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5.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6.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snwa\Documents\Codex\2026-10-22\mandatory-historical-share-price-verification-using\outputs\final-delivery\"/>
    </mc:Choice>
  </mc:AlternateContent>
  <xr:revisionPtr revIDLastSave="0" documentId="13_ncr:1_{166611ED-1791-48F8-822A-9AB44FDF71B9}" xr6:coauthVersionLast="47" xr6:coauthVersionMax="47" xr10:uidLastSave="{00000000-0000-0000-0000-000000000000}"/>
  <bookViews>
    <workbookView xWindow="-108" yWindow="-108" windowWidth="23256" windowHeight="13896" xr2:uid="{00000000-000D-0000-FFFF-FFFF00000000}"/>
  </bookViews>
  <sheets>
    <sheet name="Overview &amp; Methodology" sheetId="1" r:id="rId1"/>
    <sheet name="Published Ratio Reconciliation" sheetId="2" r:id="rId2"/>
    <sheet name="KOHC" sheetId="3" r:id="rId3"/>
    <sheet name="LUCK" sheetId="4" r:id="rId4"/>
    <sheet name="DGKC" sheetId="5" r:id="rId5"/>
    <sheet name="MLCF" sheetId="6" r:id="rId6"/>
    <sheet name="FCCL" sheetId="7" r:id="rId7"/>
    <sheet name="Industry Comparison" sheetId="8" r:id="rId8"/>
    <sheet name="Sources &amp; Validation" sheetId="9" r:id="rId9"/>
    <sheet name="PSX Prices" sheetId="10" r:id="rId10"/>
    <sheet name="Share Basis" sheetId="11" r:id="rId11"/>
    <sheet name="Corporate Actions" sheetId="12" r:id="rId12"/>
    <sheet name="Price Evidence" sheetId="13" r:id="rId13"/>
    <sheet name="Ratio Verification" sheetId="14" r:id="rId14"/>
    <sheet name="Input Review" sheetId="15" r:id="rId15"/>
    <sheet name="Opening Balances" sheetId="16" r:id="rId16"/>
    <sheet name="Investigation Log" sheetId="17" r:id="rId17"/>
    <sheet name="Full Audit Summary" sheetId="18" r:id="rId18"/>
    <sheet name="PSX Price Probe" sheetId="19" r:id="rId19"/>
    <sheet name="Forensic 63" sheetId="20" r:id="rId20"/>
    <sheet name="Forensic Tests" sheetId="21" r:id="rId21"/>
    <sheet name="Forensic Inputs" sheetId="22" r:id="rId22"/>
    <sheet name="Forensic Prices" sheetId="23" r:id="rId23"/>
    <sheet name="Forensic Identities" sheetId="24" r:id="rId24"/>
    <sheet name="27 Scope" sheetId="25" r:id="rId25"/>
    <sheet name="27 Calculations" sheetId="26" r:id="rId26"/>
    <sheet name="27 Industry" sheetId="27" r:id="rId27"/>
    <sheet name="27 Published" sheetId="28" r:id="rId28"/>
    <sheet name="Balance Practices" sheetId="29" r:id="rId29"/>
    <sheet name="EV Inputs" sheetId="30" r:id="rId30"/>
    <sheet name="Archived Methodology" sheetId="31" r:id="rId31"/>
    <sheet name="Reconciliation Guide" sheetId="32" r:id="rId3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0" i="30" l="1"/>
  <c r="U30" i="30"/>
  <c r="T30" i="30"/>
  <c r="S30" i="30"/>
  <c r="V30" i="30" s="1"/>
  <c r="P30" i="30"/>
  <c r="O30" i="30"/>
  <c r="Q30" i="30" s="1"/>
  <c r="E30" i="30"/>
  <c r="J30" i="30" s="1"/>
  <c r="W29" i="30"/>
  <c r="U29" i="30"/>
  <c r="T29" i="30"/>
  <c r="S29" i="30"/>
  <c r="V29" i="30" s="1"/>
  <c r="P29" i="30"/>
  <c r="O29" i="30"/>
  <c r="Q29" i="30" s="1"/>
  <c r="E29" i="30"/>
  <c r="J29" i="30" s="1"/>
  <c r="W28" i="30"/>
  <c r="U28" i="30"/>
  <c r="T28" i="30"/>
  <c r="S28" i="30"/>
  <c r="V28" i="30" s="1"/>
  <c r="P28" i="30"/>
  <c r="O28" i="30"/>
  <c r="Q28" i="30" s="1"/>
  <c r="E28" i="30"/>
  <c r="J28" i="30" s="1"/>
  <c r="W27" i="30"/>
  <c r="U27" i="30"/>
  <c r="T27" i="30"/>
  <c r="S27" i="30"/>
  <c r="V27" i="30" s="1"/>
  <c r="P27" i="30"/>
  <c r="O27" i="30"/>
  <c r="Q27" i="30" s="1"/>
  <c r="E27" i="30"/>
  <c r="J27" i="30" s="1"/>
  <c r="W26" i="30"/>
  <c r="U26" i="30"/>
  <c r="T26" i="30"/>
  <c r="S26" i="30"/>
  <c r="V26" i="30" s="1"/>
  <c r="P26" i="30"/>
  <c r="O26" i="30"/>
  <c r="Q26" i="30" s="1"/>
  <c r="E26" i="30"/>
  <c r="J26" i="30" s="1"/>
  <c r="W25" i="30"/>
  <c r="U25" i="30"/>
  <c r="T25" i="30"/>
  <c r="S25" i="30"/>
  <c r="V25" i="30" s="1"/>
  <c r="P25" i="30"/>
  <c r="O25" i="30"/>
  <c r="Q25" i="30" s="1"/>
  <c r="E25" i="30"/>
  <c r="J25" i="30" s="1"/>
  <c r="W24" i="30"/>
  <c r="U24" i="30"/>
  <c r="T24" i="30"/>
  <c r="S24" i="30"/>
  <c r="V24" i="30" s="1"/>
  <c r="P24" i="30"/>
  <c r="O24" i="30"/>
  <c r="Q24" i="30" s="1"/>
  <c r="E24" i="30"/>
  <c r="J24" i="30" s="1"/>
  <c r="W23" i="30"/>
  <c r="U23" i="30"/>
  <c r="T23" i="30"/>
  <c r="S23" i="30"/>
  <c r="V23" i="30" s="1"/>
  <c r="P23" i="30"/>
  <c r="O23" i="30"/>
  <c r="Q23" i="30" s="1"/>
  <c r="E23" i="30"/>
  <c r="J23" i="30" s="1"/>
  <c r="W22" i="30"/>
  <c r="U22" i="30"/>
  <c r="T22" i="30"/>
  <c r="S22" i="30"/>
  <c r="V22" i="30" s="1"/>
  <c r="P22" i="30"/>
  <c r="O22" i="30"/>
  <c r="Q22" i="30" s="1"/>
  <c r="E22" i="30"/>
  <c r="J22" i="30" s="1"/>
  <c r="W21" i="30"/>
  <c r="U21" i="30"/>
  <c r="T21" i="30"/>
  <c r="S21" i="30"/>
  <c r="V21" i="30" s="1"/>
  <c r="P21" i="30"/>
  <c r="O21" i="30"/>
  <c r="Q21" i="30" s="1"/>
  <c r="E21" i="30"/>
  <c r="J21" i="30" s="1"/>
  <c r="W20" i="30"/>
  <c r="U20" i="30"/>
  <c r="T20" i="30"/>
  <c r="S20" i="30"/>
  <c r="V20" i="30" s="1"/>
  <c r="P20" i="30"/>
  <c r="O20" i="30"/>
  <c r="Q20" i="30" s="1"/>
  <c r="E20" i="30"/>
  <c r="J20" i="30" s="1"/>
  <c r="W19" i="30"/>
  <c r="U19" i="30"/>
  <c r="T19" i="30"/>
  <c r="S19" i="30"/>
  <c r="V19" i="30" s="1"/>
  <c r="P19" i="30"/>
  <c r="O19" i="30"/>
  <c r="Q19" i="30" s="1"/>
  <c r="E19" i="30"/>
  <c r="J19" i="30" s="1"/>
  <c r="W18" i="30"/>
  <c r="U18" i="30"/>
  <c r="T18" i="30"/>
  <c r="S18" i="30"/>
  <c r="V18" i="30" s="1"/>
  <c r="P18" i="30"/>
  <c r="O18" i="30"/>
  <c r="Q18" i="30" s="1"/>
  <c r="E18" i="30"/>
  <c r="J18" i="30" s="1"/>
  <c r="W17" i="30"/>
  <c r="U17" i="30"/>
  <c r="T17" i="30"/>
  <c r="S17" i="30"/>
  <c r="V17" i="30" s="1"/>
  <c r="P17" i="30"/>
  <c r="O17" i="30"/>
  <c r="Q17" i="30" s="1"/>
  <c r="E17" i="30"/>
  <c r="J17" i="30" s="1"/>
  <c r="W16" i="30"/>
  <c r="U16" i="30"/>
  <c r="T16" i="30"/>
  <c r="S16" i="30"/>
  <c r="V16" i="30" s="1"/>
  <c r="P16" i="30"/>
  <c r="O16" i="30"/>
  <c r="Q16" i="30" s="1"/>
  <c r="E16" i="30"/>
  <c r="J16" i="30" s="1"/>
  <c r="W15" i="30"/>
  <c r="U15" i="30"/>
  <c r="T15" i="30"/>
  <c r="S15" i="30"/>
  <c r="V15" i="30" s="1"/>
  <c r="P15" i="30"/>
  <c r="O15" i="30"/>
  <c r="Q15" i="30" s="1"/>
  <c r="E15" i="30"/>
  <c r="J15" i="30" s="1"/>
  <c r="W14" i="30"/>
  <c r="U14" i="30"/>
  <c r="T14" i="30"/>
  <c r="S14" i="30"/>
  <c r="V14" i="30" s="1"/>
  <c r="P14" i="30"/>
  <c r="O14" i="30"/>
  <c r="Q14" i="30" s="1"/>
  <c r="E14" i="30"/>
  <c r="J14" i="30" s="1"/>
  <c r="W13" i="30"/>
  <c r="U13" i="30"/>
  <c r="T13" i="30"/>
  <c r="S13" i="30"/>
  <c r="V13" i="30" s="1"/>
  <c r="P13" i="30"/>
  <c r="O13" i="30"/>
  <c r="Q13" i="30" s="1"/>
  <c r="E13" i="30"/>
  <c r="J13" i="30" s="1"/>
  <c r="W12" i="30"/>
  <c r="U12" i="30"/>
  <c r="T12" i="30"/>
  <c r="S12" i="30"/>
  <c r="V12" i="30" s="1"/>
  <c r="P12" i="30"/>
  <c r="O12" i="30"/>
  <c r="Q12" i="30" s="1"/>
  <c r="E12" i="30"/>
  <c r="J12" i="30" s="1"/>
  <c r="W11" i="30"/>
  <c r="U11" i="30"/>
  <c r="T11" i="30"/>
  <c r="S11" i="30"/>
  <c r="V11" i="30" s="1"/>
  <c r="P11" i="30"/>
  <c r="O11" i="30"/>
  <c r="Q11" i="30" s="1"/>
  <c r="E11" i="30"/>
  <c r="J11" i="30" s="1"/>
  <c r="W10" i="30"/>
  <c r="U10" i="30"/>
  <c r="T10" i="30"/>
  <c r="S10" i="30"/>
  <c r="V10" i="30" s="1"/>
  <c r="P10" i="30"/>
  <c r="O10" i="30"/>
  <c r="Q10" i="30" s="1"/>
  <c r="E10" i="30"/>
  <c r="J10" i="30" s="1"/>
  <c r="W9" i="30"/>
  <c r="U9" i="30"/>
  <c r="T9" i="30"/>
  <c r="S9" i="30"/>
  <c r="V9" i="30" s="1"/>
  <c r="P9" i="30"/>
  <c r="O9" i="30"/>
  <c r="Q9" i="30" s="1"/>
  <c r="E9" i="30"/>
  <c r="J9" i="30" s="1"/>
  <c r="W8" i="30"/>
  <c r="U8" i="30"/>
  <c r="T8" i="30"/>
  <c r="S8" i="30"/>
  <c r="V8" i="30" s="1"/>
  <c r="P8" i="30"/>
  <c r="O8" i="30"/>
  <c r="Q8" i="30" s="1"/>
  <c r="E8" i="30"/>
  <c r="J8" i="30" s="1"/>
  <c r="W7" i="30"/>
  <c r="U7" i="30"/>
  <c r="T7" i="30"/>
  <c r="S7" i="30"/>
  <c r="V7" i="30" s="1"/>
  <c r="P7" i="30"/>
  <c r="O7" i="30"/>
  <c r="Q7" i="30" s="1"/>
  <c r="E7" i="30"/>
  <c r="J7" i="30" s="1"/>
  <c r="W6" i="30"/>
  <c r="U6" i="30"/>
  <c r="T6" i="30"/>
  <c r="S6" i="30"/>
  <c r="V6" i="30" s="1"/>
  <c r="P6" i="30"/>
  <c r="O6" i="30"/>
  <c r="Q6" i="30" s="1"/>
  <c r="E6" i="30"/>
  <c r="J6" i="30" s="1"/>
  <c r="I427" i="29"/>
  <c r="I426" i="29"/>
  <c r="I425" i="29"/>
  <c r="I424" i="29"/>
  <c r="I423" i="29"/>
  <c r="I422" i="29"/>
  <c r="I421" i="29"/>
  <c r="I420" i="29"/>
  <c r="I419" i="29"/>
  <c r="I418" i="29"/>
  <c r="I417" i="29"/>
  <c r="I416" i="29"/>
  <c r="I415" i="29"/>
  <c r="I414" i="29"/>
  <c r="I413" i="29"/>
  <c r="I412" i="29"/>
  <c r="I411" i="29"/>
  <c r="I410" i="29"/>
  <c r="I409" i="29"/>
  <c r="I408" i="29"/>
  <c r="I407" i="29"/>
  <c r="I406" i="29"/>
  <c r="I405" i="29"/>
  <c r="I404" i="29"/>
  <c r="I403" i="29"/>
  <c r="I402" i="29"/>
  <c r="I401" i="29"/>
  <c r="I400" i="29"/>
  <c r="I399" i="29"/>
  <c r="I398" i="29"/>
  <c r="I397" i="29"/>
  <c r="I396" i="29"/>
  <c r="I395" i="29"/>
  <c r="I394" i="29"/>
  <c r="I393" i="29"/>
  <c r="I392" i="29"/>
  <c r="I391" i="29"/>
  <c r="I390" i="29"/>
  <c r="I389" i="29"/>
  <c r="I388" i="29"/>
  <c r="I387" i="29"/>
  <c r="I386" i="29"/>
  <c r="I385" i="29"/>
  <c r="I384" i="29"/>
  <c r="I383" i="29"/>
  <c r="I382" i="29"/>
  <c r="I381" i="29"/>
  <c r="I380" i="29"/>
  <c r="I379" i="29"/>
  <c r="I378" i="29"/>
  <c r="I377" i="29"/>
  <c r="I376" i="29"/>
  <c r="I375" i="29"/>
  <c r="I374" i="29"/>
  <c r="I373" i="29"/>
  <c r="I372" i="29"/>
  <c r="I371" i="29"/>
  <c r="I370" i="29"/>
  <c r="I369" i="29"/>
  <c r="I368" i="29"/>
  <c r="I367" i="29"/>
  <c r="I366" i="29"/>
  <c r="I365" i="29"/>
  <c r="I364" i="29"/>
  <c r="I363" i="29"/>
  <c r="I362" i="29"/>
  <c r="I361" i="29"/>
  <c r="I360" i="29"/>
  <c r="I359" i="29"/>
  <c r="I358" i="29"/>
  <c r="I357" i="29"/>
  <c r="I356" i="29"/>
  <c r="I355" i="29"/>
  <c r="I354" i="29"/>
  <c r="I353" i="29"/>
  <c r="I352" i="29"/>
  <c r="I351" i="29"/>
  <c r="I350" i="29"/>
  <c r="I349" i="29"/>
  <c r="I348" i="29"/>
  <c r="I347" i="29"/>
  <c r="I346" i="29"/>
  <c r="I345" i="29"/>
  <c r="I344" i="29"/>
  <c r="I343" i="29"/>
  <c r="I342" i="29"/>
  <c r="I341" i="29"/>
  <c r="I340" i="29"/>
  <c r="I339" i="29"/>
  <c r="I338" i="29"/>
  <c r="I337" i="29"/>
  <c r="I336" i="29"/>
  <c r="I335" i="29"/>
  <c r="I334" i="29"/>
  <c r="I333" i="29"/>
  <c r="I332" i="29"/>
  <c r="I331" i="29"/>
  <c r="I330" i="29"/>
  <c r="I329" i="29"/>
  <c r="I328" i="29"/>
  <c r="F315" i="29"/>
  <c r="E315" i="29"/>
  <c r="G315" i="29" s="1"/>
  <c r="I315" i="29" s="1"/>
  <c r="F314" i="29"/>
  <c r="E314" i="29"/>
  <c r="G314" i="29" s="1"/>
  <c r="I314" i="29" s="1"/>
  <c r="F313" i="29"/>
  <c r="E313" i="29"/>
  <c r="G313" i="29" s="1"/>
  <c r="I313" i="29" s="1"/>
  <c r="F312" i="29"/>
  <c r="E312" i="29"/>
  <c r="G312" i="29" s="1"/>
  <c r="I312" i="29" s="1"/>
  <c r="F311" i="29"/>
  <c r="E311" i="29"/>
  <c r="G311" i="29" s="1"/>
  <c r="I311" i="29" s="1"/>
  <c r="F310" i="29"/>
  <c r="E310" i="29"/>
  <c r="G310" i="29" s="1"/>
  <c r="I310" i="29" s="1"/>
  <c r="F309" i="29"/>
  <c r="E309" i="29"/>
  <c r="G309" i="29" s="1"/>
  <c r="I309" i="29" s="1"/>
  <c r="F308" i="29"/>
  <c r="E308" i="29"/>
  <c r="G308" i="29" s="1"/>
  <c r="I308" i="29" s="1"/>
  <c r="F307" i="29"/>
  <c r="E307" i="29"/>
  <c r="G307" i="29" s="1"/>
  <c r="I307" i="29" s="1"/>
  <c r="F306" i="29"/>
  <c r="E306" i="29"/>
  <c r="G306" i="29" s="1"/>
  <c r="I306" i="29" s="1"/>
  <c r="E305" i="29"/>
  <c r="E304" i="29"/>
  <c r="E303" i="29"/>
  <c r="E302" i="29"/>
  <c r="E301" i="29"/>
  <c r="E300" i="29"/>
  <c r="E299" i="29"/>
  <c r="E298" i="29"/>
  <c r="E297" i="29"/>
  <c r="E296" i="29"/>
  <c r="F295" i="29"/>
  <c r="E295" i="29"/>
  <c r="G295" i="29" s="1"/>
  <c r="I295" i="29" s="1"/>
  <c r="F294" i="29"/>
  <c r="E294" i="29"/>
  <c r="G294" i="29" s="1"/>
  <c r="I294" i="29" s="1"/>
  <c r="F293" i="29"/>
  <c r="E293" i="29"/>
  <c r="G293" i="29" s="1"/>
  <c r="I293" i="29" s="1"/>
  <c r="F292" i="29"/>
  <c r="E292" i="29"/>
  <c r="G292" i="29" s="1"/>
  <c r="I292" i="29" s="1"/>
  <c r="F291" i="29"/>
  <c r="E291" i="29"/>
  <c r="G291" i="29" s="1"/>
  <c r="I291" i="29" s="1"/>
  <c r="F290" i="29"/>
  <c r="E290" i="29"/>
  <c r="G290" i="29" s="1"/>
  <c r="I290" i="29" s="1"/>
  <c r="F289" i="29"/>
  <c r="E289" i="29"/>
  <c r="G289" i="29" s="1"/>
  <c r="I289" i="29" s="1"/>
  <c r="F288" i="29"/>
  <c r="E288" i="29"/>
  <c r="G288" i="29" s="1"/>
  <c r="I288" i="29" s="1"/>
  <c r="F287" i="29"/>
  <c r="E287" i="29"/>
  <c r="G287" i="29" s="1"/>
  <c r="I287" i="29" s="1"/>
  <c r="F286" i="29"/>
  <c r="E286" i="29"/>
  <c r="G286" i="29" s="1"/>
  <c r="I286" i="29" s="1"/>
  <c r="F285" i="29"/>
  <c r="F284" i="29"/>
  <c r="F283" i="29"/>
  <c r="F282" i="29"/>
  <c r="F281" i="29"/>
  <c r="F280" i="29"/>
  <c r="F279" i="29"/>
  <c r="F278" i="29"/>
  <c r="F277" i="29"/>
  <c r="F276" i="29"/>
  <c r="F265" i="29"/>
  <c r="E265" i="29"/>
  <c r="G265" i="29" s="1"/>
  <c r="I265" i="29" s="1"/>
  <c r="F264" i="29"/>
  <c r="E264" i="29"/>
  <c r="G264" i="29" s="1"/>
  <c r="I264" i="29" s="1"/>
  <c r="F263" i="29"/>
  <c r="E263" i="29"/>
  <c r="G263" i="29" s="1"/>
  <c r="I263" i="29" s="1"/>
  <c r="F262" i="29"/>
  <c r="E262" i="29"/>
  <c r="G262" i="29" s="1"/>
  <c r="I262" i="29" s="1"/>
  <c r="F261" i="29"/>
  <c r="E261" i="29"/>
  <c r="G261" i="29" s="1"/>
  <c r="I261" i="29" s="1"/>
  <c r="F260" i="29"/>
  <c r="E260" i="29"/>
  <c r="G260" i="29" s="1"/>
  <c r="I260" i="29" s="1"/>
  <c r="F259" i="29"/>
  <c r="E259" i="29"/>
  <c r="G259" i="29" s="1"/>
  <c r="I259" i="29" s="1"/>
  <c r="F258" i="29"/>
  <c r="E258" i="29"/>
  <c r="G258" i="29" s="1"/>
  <c r="I258" i="29" s="1"/>
  <c r="F257" i="29"/>
  <c r="E257" i="29"/>
  <c r="G257" i="29" s="1"/>
  <c r="I257" i="29" s="1"/>
  <c r="F256" i="29"/>
  <c r="E256" i="29"/>
  <c r="G256" i="29" s="1"/>
  <c r="I256" i="29" s="1"/>
  <c r="E255" i="29"/>
  <c r="E254" i="29"/>
  <c r="E253" i="29"/>
  <c r="E252" i="29"/>
  <c r="E251" i="29"/>
  <c r="E250" i="29"/>
  <c r="E249" i="29"/>
  <c r="E248" i="29"/>
  <c r="E247" i="29"/>
  <c r="E246" i="29"/>
  <c r="F235" i="29"/>
  <c r="F234" i="29"/>
  <c r="F233" i="29"/>
  <c r="F232" i="29"/>
  <c r="F231" i="29"/>
  <c r="F230" i="29"/>
  <c r="F229" i="29"/>
  <c r="F228" i="29"/>
  <c r="F227" i="29"/>
  <c r="F226" i="29"/>
  <c r="F225" i="29"/>
  <c r="E225" i="29"/>
  <c r="G225" i="29" s="1"/>
  <c r="I225" i="29" s="1"/>
  <c r="F224" i="29"/>
  <c r="E224" i="29"/>
  <c r="G224" i="29" s="1"/>
  <c r="I224" i="29" s="1"/>
  <c r="F223" i="29"/>
  <c r="E223" i="29"/>
  <c r="G223" i="29" s="1"/>
  <c r="I223" i="29" s="1"/>
  <c r="F222" i="29"/>
  <c r="E222" i="29"/>
  <c r="G222" i="29" s="1"/>
  <c r="I222" i="29" s="1"/>
  <c r="F221" i="29"/>
  <c r="E221" i="29"/>
  <c r="G221" i="29" s="1"/>
  <c r="I221" i="29" s="1"/>
  <c r="F220" i="29"/>
  <c r="E220" i="29"/>
  <c r="G220" i="29" s="1"/>
  <c r="I220" i="29" s="1"/>
  <c r="F219" i="29"/>
  <c r="E219" i="29"/>
  <c r="G219" i="29" s="1"/>
  <c r="I219" i="29" s="1"/>
  <c r="F218" i="29"/>
  <c r="E218" i="29"/>
  <c r="G218" i="29" s="1"/>
  <c r="I218" i="29" s="1"/>
  <c r="F217" i="29"/>
  <c r="E217" i="29"/>
  <c r="G217" i="29" s="1"/>
  <c r="I217" i="29" s="1"/>
  <c r="F216" i="29"/>
  <c r="E216" i="29"/>
  <c r="G216" i="29" s="1"/>
  <c r="I216" i="29" s="1"/>
  <c r="F205" i="29"/>
  <c r="F204" i="29"/>
  <c r="F203" i="29"/>
  <c r="F202" i="29"/>
  <c r="F201" i="29"/>
  <c r="F200" i="29"/>
  <c r="F199" i="29"/>
  <c r="F198" i="29"/>
  <c r="F197" i="29"/>
  <c r="F196" i="29"/>
  <c r="F195" i="29"/>
  <c r="E195" i="29"/>
  <c r="G195" i="29" s="1"/>
  <c r="I195" i="29" s="1"/>
  <c r="F194" i="29"/>
  <c r="E194" i="29"/>
  <c r="G194" i="29" s="1"/>
  <c r="I194" i="29" s="1"/>
  <c r="F193" i="29"/>
  <c r="E193" i="29"/>
  <c r="G193" i="29" s="1"/>
  <c r="I193" i="29" s="1"/>
  <c r="F192" i="29"/>
  <c r="E192" i="29"/>
  <c r="G192" i="29" s="1"/>
  <c r="I192" i="29" s="1"/>
  <c r="F191" i="29"/>
  <c r="E191" i="29"/>
  <c r="G191" i="29" s="1"/>
  <c r="I191" i="29" s="1"/>
  <c r="F190" i="29"/>
  <c r="E190" i="29"/>
  <c r="G190" i="29" s="1"/>
  <c r="I190" i="29" s="1"/>
  <c r="F189" i="29"/>
  <c r="E189" i="29"/>
  <c r="G189" i="29" s="1"/>
  <c r="I189" i="29" s="1"/>
  <c r="F188" i="29"/>
  <c r="E188" i="29"/>
  <c r="G188" i="29" s="1"/>
  <c r="I188" i="29" s="1"/>
  <c r="F187" i="29"/>
  <c r="E187" i="29"/>
  <c r="G187" i="29" s="1"/>
  <c r="I187" i="29" s="1"/>
  <c r="F186" i="29"/>
  <c r="E186" i="29"/>
  <c r="G186" i="29" s="1"/>
  <c r="I186" i="29" s="1"/>
  <c r="F185" i="29"/>
  <c r="E185" i="29"/>
  <c r="G185" i="29" s="1"/>
  <c r="I185" i="29" s="1"/>
  <c r="F184" i="29"/>
  <c r="E184" i="29"/>
  <c r="G184" i="29" s="1"/>
  <c r="I184" i="29" s="1"/>
  <c r="F183" i="29"/>
  <c r="E183" i="29"/>
  <c r="G183" i="29" s="1"/>
  <c r="I183" i="29" s="1"/>
  <c r="F182" i="29"/>
  <c r="E182" i="29"/>
  <c r="G182" i="29" s="1"/>
  <c r="I182" i="29" s="1"/>
  <c r="F181" i="29"/>
  <c r="E181" i="29"/>
  <c r="G181" i="29" s="1"/>
  <c r="I181" i="29" s="1"/>
  <c r="F180" i="29"/>
  <c r="E180" i="29"/>
  <c r="G180" i="29" s="1"/>
  <c r="I180" i="29" s="1"/>
  <c r="F179" i="29"/>
  <c r="E179" i="29"/>
  <c r="G179" i="29" s="1"/>
  <c r="I179" i="29" s="1"/>
  <c r="F178" i="29"/>
  <c r="E178" i="29"/>
  <c r="G178" i="29" s="1"/>
  <c r="I178" i="29" s="1"/>
  <c r="F177" i="29"/>
  <c r="E177" i="29"/>
  <c r="G177" i="29" s="1"/>
  <c r="I177" i="29" s="1"/>
  <c r="F176" i="29"/>
  <c r="E176" i="29"/>
  <c r="G176" i="29" s="1"/>
  <c r="I176" i="29" s="1"/>
  <c r="E175" i="29"/>
  <c r="E174" i="29"/>
  <c r="E173" i="29"/>
  <c r="E172" i="29"/>
  <c r="E171" i="29"/>
  <c r="E170" i="29"/>
  <c r="E169" i="29"/>
  <c r="E168" i="29"/>
  <c r="E167" i="29"/>
  <c r="E166" i="29"/>
  <c r="F165" i="29"/>
  <c r="E165" i="29"/>
  <c r="G165" i="29" s="1"/>
  <c r="I165" i="29" s="1"/>
  <c r="F164" i="29"/>
  <c r="E164" i="29"/>
  <c r="G164" i="29" s="1"/>
  <c r="I164" i="29" s="1"/>
  <c r="F163" i="29"/>
  <c r="E163" i="29"/>
  <c r="G163" i="29" s="1"/>
  <c r="I163" i="29" s="1"/>
  <c r="F162" i="29"/>
  <c r="E162" i="29"/>
  <c r="G162" i="29" s="1"/>
  <c r="I162" i="29" s="1"/>
  <c r="F161" i="29"/>
  <c r="E161" i="29"/>
  <c r="G161" i="29" s="1"/>
  <c r="I161" i="29" s="1"/>
  <c r="F160" i="29"/>
  <c r="E160" i="29"/>
  <c r="G160" i="29" s="1"/>
  <c r="I160" i="29" s="1"/>
  <c r="F159" i="29"/>
  <c r="E159" i="29"/>
  <c r="G159" i="29" s="1"/>
  <c r="I159" i="29" s="1"/>
  <c r="F158" i="29"/>
  <c r="E158" i="29"/>
  <c r="G158" i="29" s="1"/>
  <c r="I158" i="29" s="1"/>
  <c r="F157" i="29"/>
  <c r="E157" i="29"/>
  <c r="G157" i="29" s="1"/>
  <c r="I157" i="29" s="1"/>
  <c r="F156" i="29"/>
  <c r="E156" i="29"/>
  <c r="G156" i="29" s="1"/>
  <c r="I156" i="29" s="1"/>
  <c r="F155" i="29"/>
  <c r="F154" i="29"/>
  <c r="F153" i="29"/>
  <c r="F152" i="29"/>
  <c r="F151" i="29"/>
  <c r="F150" i="29"/>
  <c r="F149" i="29"/>
  <c r="F148" i="29"/>
  <c r="F147" i="29"/>
  <c r="F146" i="29"/>
  <c r="F135" i="29"/>
  <c r="E135" i="29"/>
  <c r="G135" i="29" s="1"/>
  <c r="I135" i="29" s="1"/>
  <c r="F134" i="29"/>
  <c r="E134" i="29"/>
  <c r="G134" i="29" s="1"/>
  <c r="I134" i="29" s="1"/>
  <c r="F133" i="29"/>
  <c r="E133" i="29"/>
  <c r="G133" i="29" s="1"/>
  <c r="I133" i="29" s="1"/>
  <c r="F132" i="29"/>
  <c r="E132" i="29"/>
  <c r="G132" i="29" s="1"/>
  <c r="I132" i="29" s="1"/>
  <c r="F131" i="29"/>
  <c r="E131" i="29"/>
  <c r="G131" i="29" s="1"/>
  <c r="I131" i="29" s="1"/>
  <c r="F130" i="29"/>
  <c r="E130" i="29"/>
  <c r="G130" i="29" s="1"/>
  <c r="I130" i="29" s="1"/>
  <c r="F129" i="29"/>
  <c r="E129" i="29"/>
  <c r="G129" i="29" s="1"/>
  <c r="I129" i="29" s="1"/>
  <c r="F128" i="29"/>
  <c r="E128" i="29"/>
  <c r="G128" i="29" s="1"/>
  <c r="I128" i="29" s="1"/>
  <c r="F127" i="29"/>
  <c r="E127" i="29"/>
  <c r="G127" i="29" s="1"/>
  <c r="I127" i="29" s="1"/>
  <c r="F126" i="29"/>
  <c r="E126" i="29"/>
  <c r="G126" i="29" s="1"/>
  <c r="I126" i="29" s="1"/>
  <c r="E125" i="29"/>
  <c r="E124" i="29"/>
  <c r="E123" i="29"/>
  <c r="E122" i="29"/>
  <c r="E121" i="29"/>
  <c r="E120" i="29"/>
  <c r="E119" i="29"/>
  <c r="E118" i="29"/>
  <c r="E117" i="29"/>
  <c r="E116" i="29"/>
  <c r="F115" i="29"/>
  <c r="E115" i="29"/>
  <c r="G115" i="29" s="1"/>
  <c r="I115" i="29" s="1"/>
  <c r="F114" i="29"/>
  <c r="E114" i="29"/>
  <c r="G114" i="29" s="1"/>
  <c r="I114" i="29" s="1"/>
  <c r="F113" i="29"/>
  <c r="E113" i="29"/>
  <c r="G113" i="29" s="1"/>
  <c r="I113" i="29" s="1"/>
  <c r="F112" i="29"/>
  <c r="E112" i="29"/>
  <c r="G112" i="29" s="1"/>
  <c r="I112" i="29" s="1"/>
  <c r="F111" i="29"/>
  <c r="E111" i="29"/>
  <c r="G111" i="29" s="1"/>
  <c r="I111" i="29" s="1"/>
  <c r="F110" i="29"/>
  <c r="E110" i="29"/>
  <c r="G110" i="29" s="1"/>
  <c r="I110" i="29" s="1"/>
  <c r="F109" i="29"/>
  <c r="E109" i="29"/>
  <c r="G109" i="29" s="1"/>
  <c r="I109" i="29" s="1"/>
  <c r="F108" i="29"/>
  <c r="E108" i="29"/>
  <c r="G108" i="29" s="1"/>
  <c r="I108" i="29" s="1"/>
  <c r="F107" i="29"/>
  <c r="E107" i="29"/>
  <c r="G107" i="29" s="1"/>
  <c r="I107" i="29" s="1"/>
  <c r="F106" i="29"/>
  <c r="E106" i="29"/>
  <c r="G106" i="29" s="1"/>
  <c r="I106" i="29" s="1"/>
  <c r="F105" i="29"/>
  <c r="F104" i="29"/>
  <c r="F103" i="29"/>
  <c r="F102" i="29"/>
  <c r="F101" i="29"/>
  <c r="F100" i="29"/>
  <c r="F99" i="29"/>
  <c r="F98" i="29"/>
  <c r="F97" i="29"/>
  <c r="F96" i="29"/>
  <c r="F95" i="29"/>
  <c r="E95" i="29"/>
  <c r="G95" i="29" s="1"/>
  <c r="I95" i="29" s="1"/>
  <c r="F94" i="29"/>
  <c r="E94" i="29"/>
  <c r="G94" i="29" s="1"/>
  <c r="I94" i="29" s="1"/>
  <c r="F93" i="29"/>
  <c r="E93" i="29"/>
  <c r="G93" i="29" s="1"/>
  <c r="I93" i="29" s="1"/>
  <c r="F92" i="29"/>
  <c r="E92" i="29"/>
  <c r="G92" i="29" s="1"/>
  <c r="I92" i="29" s="1"/>
  <c r="F91" i="29"/>
  <c r="E91" i="29"/>
  <c r="G91" i="29" s="1"/>
  <c r="I91" i="29" s="1"/>
  <c r="F90" i="29"/>
  <c r="E90" i="29"/>
  <c r="G90" i="29" s="1"/>
  <c r="I90" i="29" s="1"/>
  <c r="F89" i="29"/>
  <c r="E89" i="29"/>
  <c r="G89" i="29" s="1"/>
  <c r="I89" i="29" s="1"/>
  <c r="F88" i="29"/>
  <c r="E88" i="29"/>
  <c r="G88" i="29" s="1"/>
  <c r="I88" i="29" s="1"/>
  <c r="F87" i="29"/>
  <c r="E87" i="29"/>
  <c r="G87" i="29" s="1"/>
  <c r="I87" i="29" s="1"/>
  <c r="F86" i="29"/>
  <c r="E86" i="29"/>
  <c r="G86" i="29" s="1"/>
  <c r="I86" i="29" s="1"/>
  <c r="E85" i="29"/>
  <c r="E84" i="29"/>
  <c r="E83" i="29"/>
  <c r="E82" i="29"/>
  <c r="E81" i="29"/>
  <c r="E80" i="29"/>
  <c r="E79" i="29"/>
  <c r="E78" i="29"/>
  <c r="E77" i="29"/>
  <c r="E76" i="29"/>
  <c r="F75" i="29"/>
  <c r="E75" i="29"/>
  <c r="G75" i="29" s="1"/>
  <c r="I75" i="29" s="1"/>
  <c r="F74" i="29"/>
  <c r="E74" i="29"/>
  <c r="G74" i="29" s="1"/>
  <c r="I74" i="29" s="1"/>
  <c r="F73" i="29"/>
  <c r="E73" i="29"/>
  <c r="G73" i="29" s="1"/>
  <c r="I73" i="29" s="1"/>
  <c r="F72" i="29"/>
  <c r="E72" i="29"/>
  <c r="G72" i="29" s="1"/>
  <c r="I72" i="29" s="1"/>
  <c r="F71" i="29"/>
  <c r="E71" i="29"/>
  <c r="G71" i="29" s="1"/>
  <c r="I71" i="29" s="1"/>
  <c r="F70" i="29"/>
  <c r="E70" i="29"/>
  <c r="G70" i="29" s="1"/>
  <c r="I70" i="29" s="1"/>
  <c r="F69" i="29"/>
  <c r="E69" i="29"/>
  <c r="G69" i="29" s="1"/>
  <c r="I69" i="29" s="1"/>
  <c r="F68" i="29"/>
  <c r="E68" i="29"/>
  <c r="G68" i="29" s="1"/>
  <c r="I68" i="29" s="1"/>
  <c r="F67" i="29"/>
  <c r="E67" i="29"/>
  <c r="G67" i="29" s="1"/>
  <c r="I67" i="29" s="1"/>
  <c r="F66" i="29"/>
  <c r="E66" i="29"/>
  <c r="G66" i="29" s="1"/>
  <c r="I66" i="29" s="1"/>
  <c r="E65" i="29"/>
  <c r="E64" i="29"/>
  <c r="E63" i="29"/>
  <c r="E62" i="29"/>
  <c r="E61" i="29"/>
  <c r="E60" i="29"/>
  <c r="E59" i="29"/>
  <c r="E58" i="29"/>
  <c r="E57" i="29"/>
  <c r="E56" i="29"/>
  <c r="F45" i="29"/>
  <c r="E45" i="29"/>
  <c r="G45" i="29" s="1"/>
  <c r="I45" i="29" s="1"/>
  <c r="F44" i="29"/>
  <c r="E44" i="29"/>
  <c r="G44" i="29" s="1"/>
  <c r="I44" i="29" s="1"/>
  <c r="F43" i="29"/>
  <c r="E43" i="29"/>
  <c r="G43" i="29" s="1"/>
  <c r="I43" i="29" s="1"/>
  <c r="F42" i="29"/>
  <c r="E42" i="29"/>
  <c r="G42" i="29" s="1"/>
  <c r="I42" i="29" s="1"/>
  <c r="F41" i="29"/>
  <c r="E41" i="29"/>
  <c r="G41" i="29" s="1"/>
  <c r="I41" i="29" s="1"/>
  <c r="F40" i="29"/>
  <c r="E40" i="29"/>
  <c r="G40" i="29" s="1"/>
  <c r="I40" i="29" s="1"/>
  <c r="F39" i="29"/>
  <c r="E39" i="29"/>
  <c r="G39" i="29" s="1"/>
  <c r="I39" i="29" s="1"/>
  <c r="F38" i="29"/>
  <c r="E38" i="29"/>
  <c r="G38" i="29" s="1"/>
  <c r="I38" i="29" s="1"/>
  <c r="F37" i="29"/>
  <c r="E37" i="29"/>
  <c r="G37" i="29" s="1"/>
  <c r="I37" i="29" s="1"/>
  <c r="F36" i="29"/>
  <c r="E36" i="29"/>
  <c r="G36" i="29" s="1"/>
  <c r="I36" i="29" s="1"/>
  <c r="E35" i="29"/>
  <c r="E34" i="29"/>
  <c r="E33" i="29"/>
  <c r="E32" i="29"/>
  <c r="E31" i="29"/>
  <c r="E30" i="29"/>
  <c r="E29" i="29"/>
  <c r="E28" i="29"/>
  <c r="E27" i="29"/>
  <c r="E26" i="29"/>
  <c r="F25" i="29"/>
  <c r="E25" i="29"/>
  <c r="G25" i="29" s="1"/>
  <c r="I25" i="29" s="1"/>
  <c r="F24" i="29"/>
  <c r="E24" i="29"/>
  <c r="G24" i="29" s="1"/>
  <c r="I24" i="29" s="1"/>
  <c r="F23" i="29"/>
  <c r="E23" i="29"/>
  <c r="G23" i="29" s="1"/>
  <c r="I23" i="29" s="1"/>
  <c r="F22" i="29"/>
  <c r="E22" i="29"/>
  <c r="G22" i="29" s="1"/>
  <c r="I22" i="29" s="1"/>
  <c r="F21" i="29"/>
  <c r="E21" i="29"/>
  <c r="G21" i="29" s="1"/>
  <c r="I21" i="29" s="1"/>
  <c r="F20" i="29"/>
  <c r="E20" i="29"/>
  <c r="G20" i="29" s="1"/>
  <c r="I20" i="29" s="1"/>
  <c r="F19" i="29"/>
  <c r="E19" i="29"/>
  <c r="G19" i="29" s="1"/>
  <c r="I19" i="29" s="1"/>
  <c r="F18" i="29"/>
  <c r="E18" i="29"/>
  <c r="G18" i="29" s="1"/>
  <c r="I18" i="29" s="1"/>
  <c r="F17" i="29"/>
  <c r="E17" i="29"/>
  <c r="G17" i="29" s="1"/>
  <c r="I17" i="29" s="1"/>
  <c r="F16" i="29"/>
  <c r="E16" i="29"/>
  <c r="G16" i="29" s="1"/>
  <c r="I16" i="29" s="1"/>
  <c r="E15" i="29"/>
  <c r="E14" i="29"/>
  <c r="E13" i="29"/>
  <c r="E12" i="29"/>
  <c r="E11" i="29"/>
  <c r="E10" i="29"/>
  <c r="E9" i="29"/>
  <c r="E8" i="29"/>
  <c r="E7" i="29"/>
  <c r="E6" i="29"/>
  <c r="D460" i="28"/>
  <c r="D459" i="28"/>
  <c r="D458" i="28"/>
  <c r="D457" i="28"/>
  <c r="D456" i="28"/>
  <c r="D455" i="28"/>
  <c r="D454" i="28"/>
  <c r="D453" i="28"/>
  <c r="D452" i="28"/>
  <c r="D451" i="28"/>
  <c r="D450" i="28"/>
  <c r="D449" i="28"/>
  <c r="D448" i="28"/>
  <c r="D447" i="28"/>
  <c r="D446" i="28"/>
  <c r="D445" i="28"/>
  <c r="D444" i="28"/>
  <c r="D443" i="28"/>
  <c r="D442" i="28"/>
  <c r="D441" i="28"/>
  <c r="D440" i="28"/>
  <c r="D439" i="28"/>
  <c r="D438" i="28"/>
  <c r="D437" i="28"/>
  <c r="D436" i="28"/>
  <c r="D435" i="28"/>
  <c r="D434" i="28"/>
  <c r="D433" i="28"/>
  <c r="D432" i="28"/>
  <c r="D431" i="28"/>
  <c r="D430" i="28"/>
  <c r="D429" i="28"/>
  <c r="D428" i="28"/>
  <c r="D427" i="28"/>
  <c r="D426" i="28"/>
  <c r="D425" i="28"/>
  <c r="D424" i="28"/>
  <c r="D423" i="28"/>
  <c r="D422" i="28"/>
  <c r="D421" i="28"/>
  <c r="D420" i="28"/>
  <c r="D419" i="28"/>
  <c r="D418" i="28"/>
  <c r="D417" i="28"/>
  <c r="D416" i="28"/>
  <c r="D415" i="28"/>
  <c r="D414" i="28"/>
  <c r="D413" i="28"/>
  <c r="D412" i="28"/>
  <c r="D411" i="28"/>
  <c r="D410" i="28"/>
  <c r="D409" i="28"/>
  <c r="D408" i="28"/>
  <c r="D407" i="28"/>
  <c r="D406" i="28"/>
  <c r="D405" i="28"/>
  <c r="D404" i="28"/>
  <c r="D403" i="28"/>
  <c r="D402" i="28"/>
  <c r="D401" i="28"/>
  <c r="D400" i="28"/>
  <c r="D399" i="28"/>
  <c r="D398" i="28"/>
  <c r="D397" i="28"/>
  <c r="D396" i="28"/>
  <c r="D395" i="28"/>
  <c r="D394" i="28"/>
  <c r="D393" i="28"/>
  <c r="D392" i="28"/>
  <c r="D391" i="28"/>
  <c r="D390" i="28"/>
  <c r="D389" i="28"/>
  <c r="D388" i="28"/>
  <c r="D387" i="28"/>
  <c r="D386" i="28"/>
  <c r="D385" i="28"/>
  <c r="D384" i="28"/>
  <c r="D383" i="28"/>
  <c r="D382" i="28"/>
  <c r="D381" i="28"/>
  <c r="D380" i="28"/>
  <c r="D379" i="28"/>
  <c r="D378" i="28"/>
  <c r="D377" i="28"/>
  <c r="D376" i="28"/>
  <c r="D375" i="28"/>
  <c r="D374" i="28"/>
  <c r="D373" i="28"/>
  <c r="D372" i="28"/>
  <c r="D371" i="28"/>
  <c r="D370" i="28"/>
  <c r="D369" i="28"/>
  <c r="D368" i="28"/>
  <c r="D367" i="28"/>
  <c r="D366" i="28"/>
  <c r="D365" i="28"/>
  <c r="D364" i="28"/>
  <c r="D363" i="28"/>
  <c r="D362" i="28"/>
  <c r="D361" i="28"/>
  <c r="D360" i="28"/>
  <c r="D359" i="28"/>
  <c r="D358" i="28"/>
  <c r="D357" i="28"/>
  <c r="D356" i="28"/>
  <c r="D355" i="28"/>
  <c r="D354" i="28"/>
  <c r="D353" i="28"/>
  <c r="D352" i="28"/>
  <c r="D351" i="28"/>
  <c r="D350" i="28"/>
  <c r="D349" i="28"/>
  <c r="D348" i="28"/>
  <c r="D347" i="28"/>
  <c r="D346" i="28"/>
  <c r="D345" i="28"/>
  <c r="D344" i="28"/>
  <c r="D343" i="28"/>
  <c r="D342" i="28"/>
  <c r="D341" i="28"/>
  <c r="D340" i="28"/>
  <c r="D339" i="28"/>
  <c r="D338" i="28"/>
  <c r="D337" i="28"/>
  <c r="D336" i="28"/>
  <c r="D335" i="28"/>
  <c r="D334" i="28"/>
  <c r="D333" i="28"/>
  <c r="D332" i="28"/>
  <c r="D331" i="28"/>
  <c r="D330" i="28"/>
  <c r="D329" i="28"/>
  <c r="D328" i="28"/>
  <c r="D327" i="28"/>
  <c r="D326" i="28"/>
  <c r="D325" i="28"/>
  <c r="D324" i="28"/>
  <c r="D323" i="28"/>
  <c r="D322" i="28"/>
  <c r="D321" i="28"/>
  <c r="D320" i="28"/>
  <c r="D319" i="28"/>
  <c r="D318" i="28"/>
  <c r="D317" i="28"/>
  <c r="D316" i="28"/>
  <c r="D315" i="28"/>
  <c r="D314" i="28"/>
  <c r="D313" i="28"/>
  <c r="D312" i="28"/>
  <c r="D311" i="28"/>
  <c r="D310" i="28"/>
  <c r="D309" i="28"/>
  <c r="D308" i="28"/>
  <c r="D307" i="28"/>
  <c r="D306" i="28"/>
  <c r="D305" i="28"/>
  <c r="D304" i="28"/>
  <c r="D303" i="28"/>
  <c r="D302" i="28"/>
  <c r="D301" i="28"/>
  <c r="D300" i="28"/>
  <c r="D299" i="28"/>
  <c r="D298" i="28"/>
  <c r="D297" i="28"/>
  <c r="D296" i="28"/>
  <c r="D295" i="28"/>
  <c r="D294" i="28"/>
  <c r="D293" i="28"/>
  <c r="D292" i="28"/>
  <c r="D291" i="28"/>
  <c r="D290" i="28"/>
  <c r="D289" i="28"/>
  <c r="D288" i="28"/>
  <c r="D287" i="28"/>
  <c r="D286" i="28"/>
  <c r="D285" i="28"/>
  <c r="D284" i="28"/>
  <c r="D283" i="28"/>
  <c r="D282" i="28"/>
  <c r="D281" i="28"/>
  <c r="D280" i="28"/>
  <c r="D279" i="28"/>
  <c r="D278" i="28"/>
  <c r="D277" i="28"/>
  <c r="D276" i="28"/>
  <c r="D275" i="28"/>
  <c r="D274" i="28"/>
  <c r="D273" i="28"/>
  <c r="D272" i="28"/>
  <c r="D271" i="28"/>
  <c r="D270" i="28"/>
  <c r="D269" i="28"/>
  <c r="D268" i="28"/>
  <c r="D267" i="28"/>
  <c r="D266" i="28"/>
  <c r="D265" i="28"/>
  <c r="D264" i="28"/>
  <c r="D263" i="28"/>
  <c r="D262" i="28"/>
  <c r="D261" i="28"/>
  <c r="D260" i="28"/>
  <c r="D259" i="28"/>
  <c r="D258" i="28"/>
  <c r="D257" i="28"/>
  <c r="D256" i="28"/>
  <c r="D255" i="28"/>
  <c r="D254" i="28"/>
  <c r="D253" i="28"/>
  <c r="D252" i="28"/>
  <c r="D251" i="28"/>
  <c r="D250" i="28"/>
  <c r="D249" i="28"/>
  <c r="D248" i="28"/>
  <c r="D247" i="28"/>
  <c r="D246" i="28"/>
  <c r="D245" i="28"/>
  <c r="D244" i="28"/>
  <c r="D243" i="28"/>
  <c r="D242" i="28"/>
  <c r="D241" i="28"/>
  <c r="D240" i="28"/>
  <c r="D239" i="28"/>
  <c r="D238" i="28"/>
  <c r="D237" i="28"/>
  <c r="D236" i="28"/>
  <c r="D235" i="28"/>
  <c r="D234" i="28"/>
  <c r="D233" i="28"/>
  <c r="D232" i="28"/>
  <c r="D231" i="28"/>
  <c r="D230" i="28"/>
  <c r="D229" i="28"/>
  <c r="D228" i="28"/>
  <c r="D227" i="28"/>
  <c r="D226" i="28"/>
  <c r="D225" i="28"/>
  <c r="D224" i="28"/>
  <c r="D223" i="28"/>
  <c r="D222" i="28"/>
  <c r="D221" i="28"/>
  <c r="D220" i="28"/>
  <c r="D219" i="28"/>
  <c r="D218" i="28"/>
  <c r="D217" i="28"/>
  <c r="D216" i="28"/>
  <c r="D215" i="28"/>
  <c r="D214" i="28"/>
  <c r="D213" i="28"/>
  <c r="D212" i="28"/>
  <c r="D211" i="28"/>
  <c r="D210" i="28"/>
  <c r="D209" i="28"/>
  <c r="D208" i="28"/>
  <c r="D207" i="28"/>
  <c r="D206" i="28"/>
  <c r="D205" i="28"/>
  <c r="D204" i="28"/>
  <c r="D203" i="28"/>
  <c r="D202" i="28"/>
  <c r="D201" i="28"/>
  <c r="D200" i="28"/>
  <c r="D199" i="28"/>
  <c r="D198" i="28"/>
  <c r="D197" i="28"/>
  <c r="D196" i="28"/>
  <c r="D195" i="28"/>
  <c r="D194" i="28"/>
  <c r="D193" i="28"/>
  <c r="D192" i="28"/>
  <c r="D191" i="28"/>
  <c r="D190" i="28"/>
  <c r="D189" i="28"/>
  <c r="D188" i="28"/>
  <c r="D187" i="28"/>
  <c r="D186" i="28"/>
  <c r="D185" i="28"/>
  <c r="D184" i="28"/>
  <c r="D183" i="28"/>
  <c r="D182" i="28"/>
  <c r="D181" i="28"/>
  <c r="D180" i="28"/>
  <c r="D179" i="28"/>
  <c r="D178" i="28"/>
  <c r="D177" i="28"/>
  <c r="D176" i="28"/>
  <c r="D175" i="28"/>
  <c r="D174" i="28"/>
  <c r="D173" i="28"/>
  <c r="D172" i="28"/>
  <c r="D171" i="28"/>
  <c r="D170" i="28"/>
  <c r="D169" i="28"/>
  <c r="D168" i="28"/>
  <c r="D167" i="28"/>
  <c r="D166" i="28"/>
  <c r="D165" i="28"/>
  <c r="D164" i="28"/>
  <c r="D163" i="28"/>
  <c r="D162" i="28"/>
  <c r="D161" i="28"/>
  <c r="D160" i="28"/>
  <c r="D159" i="28"/>
  <c r="D158" i="28"/>
  <c r="D157" i="28"/>
  <c r="D156" i="28"/>
  <c r="D155" i="28"/>
  <c r="D154" i="28"/>
  <c r="D153" i="28"/>
  <c r="D152" i="28"/>
  <c r="D151" i="28"/>
  <c r="D150" i="28"/>
  <c r="D149" i="28"/>
  <c r="D148" i="28"/>
  <c r="D147" i="28"/>
  <c r="D146" i="28"/>
  <c r="D145" i="28"/>
  <c r="D144" i="28"/>
  <c r="D143" i="28"/>
  <c r="D142" i="28"/>
  <c r="D141" i="28"/>
  <c r="D140" i="28"/>
  <c r="D139" i="28"/>
  <c r="D138" i="28"/>
  <c r="D137" i="28"/>
  <c r="D136" i="28"/>
  <c r="D135" i="28"/>
  <c r="D134" i="28"/>
  <c r="D133" i="28"/>
  <c r="D132" i="28"/>
  <c r="D131" i="28"/>
  <c r="D130" i="28"/>
  <c r="D129" i="28"/>
  <c r="D128" i="28"/>
  <c r="D127" i="28"/>
  <c r="D126" i="28"/>
  <c r="D125" i="28"/>
  <c r="D124" i="28"/>
  <c r="D123" i="28"/>
  <c r="D122" i="28"/>
  <c r="D121" i="28"/>
  <c r="D120" i="28"/>
  <c r="D119" i="28"/>
  <c r="D118" i="28"/>
  <c r="D117" i="28"/>
  <c r="D116" i="28"/>
  <c r="D115" i="28"/>
  <c r="D114" i="28"/>
  <c r="D113" i="28"/>
  <c r="D112" i="28"/>
  <c r="D111" i="28"/>
  <c r="D110" i="28"/>
  <c r="D109" i="28"/>
  <c r="D108" i="28"/>
  <c r="D107" i="28"/>
  <c r="D106" i="28"/>
  <c r="D105" i="28"/>
  <c r="D104" i="28"/>
  <c r="D103" i="28"/>
  <c r="D102" i="28"/>
  <c r="D101" i="28"/>
  <c r="D100" i="28"/>
  <c r="D99" i="28"/>
  <c r="D98" i="28"/>
  <c r="D97" i="28"/>
  <c r="D96" i="28"/>
  <c r="D95" i="28"/>
  <c r="D94" i="28"/>
  <c r="D93" i="28"/>
  <c r="D92" i="28"/>
  <c r="D91" i="28"/>
  <c r="D90" i="28"/>
  <c r="D89" i="28"/>
  <c r="D88" i="28"/>
  <c r="D87" i="28"/>
  <c r="D86" i="28"/>
  <c r="D85" i="28"/>
  <c r="D84" i="28"/>
  <c r="D83" i="28"/>
  <c r="D82" i="28"/>
  <c r="D81" i="28"/>
  <c r="D80" i="28"/>
  <c r="D79" i="28"/>
  <c r="D78" i="28"/>
  <c r="D77" i="28"/>
  <c r="D76" i="28"/>
  <c r="D75" i="28"/>
  <c r="D74" i="28"/>
  <c r="D73" i="28"/>
  <c r="D72" i="28"/>
  <c r="D71" i="28"/>
  <c r="D70" i="28"/>
  <c r="D69" i="28"/>
  <c r="D68" i="28"/>
  <c r="D67" i="28"/>
  <c r="D66" i="28"/>
  <c r="D65" i="28"/>
  <c r="D64" i="28"/>
  <c r="D63" i="28"/>
  <c r="D62" i="28"/>
  <c r="D61" i="28"/>
  <c r="D60" i="28"/>
  <c r="D59" i="28"/>
  <c r="D58" i="28"/>
  <c r="D57" i="28"/>
  <c r="D56" i="28"/>
  <c r="D55" i="28"/>
  <c r="D54" i="28"/>
  <c r="D53" i="28"/>
  <c r="D52" i="28"/>
  <c r="D51" i="28"/>
  <c r="D50" i="28"/>
  <c r="D49" i="28"/>
  <c r="D48" i="28"/>
  <c r="D47" i="28"/>
  <c r="D46" i="28"/>
  <c r="D45" i="28"/>
  <c r="D44" i="28"/>
  <c r="D43" i="28"/>
  <c r="D42" i="28"/>
  <c r="D41" i="28"/>
  <c r="D40" i="28"/>
  <c r="D39" i="28"/>
  <c r="D38" i="28"/>
  <c r="D37" i="28"/>
  <c r="D36" i="28"/>
  <c r="D35" i="28"/>
  <c r="D34" i="28"/>
  <c r="D33" i="28"/>
  <c r="D32" i="28"/>
  <c r="D31" i="28"/>
  <c r="D30" i="28"/>
  <c r="D29" i="28"/>
  <c r="D28" i="28"/>
  <c r="D27" i="28"/>
  <c r="D26" i="28"/>
  <c r="D25" i="28"/>
  <c r="D24" i="28"/>
  <c r="D23" i="28"/>
  <c r="D22" i="28"/>
  <c r="D21" i="28"/>
  <c r="D20" i="28"/>
  <c r="D19" i="28"/>
  <c r="D18" i="28"/>
  <c r="D17" i="28"/>
  <c r="D16" i="28"/>
  <c r="D15" i="28"/>
  <c r="D14" i="28"/>
  <c r="D13" i="28"/>
  <c r="D12" i="28"/>
  <c r="D11" i="28"/>
  <c r="D10" i="28"/>
  <c r="D9" i="28"/>
  <c r="D8" i="28"/>
  <c r="D7" i="28"/>
  <c r="D6" i="28"/>
  <c r="F675" i="26"/>
  <c r="E675" i="26"/>
  <c r="F674" i="26"/>
  <c r="E674" i="26"/>
  <c r="F673" i="26"/>
  <c r="E673" i="26"/>
  <c r="F672" i="26"/>
  <c r="E672" i="26"/>
  <c r="F671" i="26"/>
  <c r="E671" i="26"/>
  <c r="E670" i="26"/>
  <c r="E669" i="26"/>
  <c r="E668" i="26"/>
  <c r="E667" i="26"/>
  <c r="E666" i="26"/>
  <c r="E665" i="26"/>
  <c r="E664" i="26"/>
  <c r="E663" i="26"/>
  <c r="E662" i="26"/>
  <c r="E661" i="26"/>
  <c r="F655" i="26"/>
  <c r="F654" i="26"/>
  <c r="F652" i="26"/>
  <c r="F651" i="26"/>
  <c r="F630" i="26"/>
  <c r="F629" i="26"/>
  <c r="F628" i="26"/>
  <c r="F627" i="26"/>
  <c r="F626" i="26"/>
  <c r="F625" i="26"/>
  <c r="F624" i="26"/>
  <c r="F623" i="26"/>
  <c r="F622" i="26"/>
  <c r="F621" i="26"/>
  <c r="F620" i="26"/>
  <c r="F619" i="26"/>
  <c r="F618" i="26"/>
  <c r="F617" i="26"/>
  <c r="F616" i="26"/>
  <c r="E595" i="26"/>
  <c r="E594" i="26"/>
  <c r="E593" i="26"/>
  <c r="E592" i="26"/>
  <c r="E591" i="26"/>
  <c r="F590" i="26"/>
  <c r="G31" i="32" s="1"/>
  <c r="E590" i="26"/>
  <c r="F589" i="26"/>
  <c r="G30" i="32" s="1"/>
  <c r="E589" i="26"/>
  <c r="F588" i="26"/>
  <c r="G29" i="32" s="1"/>
  <c r="E588" i="26"/>
  <c r="F587" i="26"/>
  <c r="G28" i="32" s="1"/>
  <c r="E587" i="26"/>
  <c r="F586" i="26"/>
  <c r="E586" i="26"/>
  <c r="F585" i="26"/>
  <c r="G23" i="32" s="1"/>
  <c r="E585" i="26"/>
  <c r="F584" i="26"/>
  <c r="G22" i="32" s="1"/>
  <c r="E584" i="26"/>
  <c r="F583" i="26"/>
  <c r="G21" i="32" s="1"/>
  <c r="E583" i="26"/>
  <c r="F582" i="26"/>
  <c r="E582" i="26"/>
  <c r="F581" i="26"/>
  <c r="E581" i="26"/>
  <c r="F580" i="26"/>
  <c r="F579" i="26"/>
  <c r="F578" i="26"/>
  <c r="F577" i="26"/>
  <c r="F576" i="26"/>
  <c r="F575" i="26"/>
  <c r="E575" i="26"/>
  <c r="F574" i="26"/>
  <c r="E574" i="26"/>
  <c r="F573" i="26"/>
  <c r="E573" i="26"/>
  <c r="F572" i="26"/>
  <c r="E572" i="26"/>
  <c r="F571" i="26"/>
  <c r="E571" i="26"/>
  <c r="E570" i="26"/>
  <c r="E569" i="26"/>
  <c r="E568" i="26"/>
  <c r="E567" i="26"/>
  <c r="E566" i="26"/>
  <c r="F565" i="26"/>
  <c r="F564" i="26"/>
  <c r="F563" i="26"/>
  <c r="F562" i="26"/>
  <c r="F561" i="26"/>
  <c r="F540" i="26"/>
  <c r="E540" i="26"/>
  <c r="F539" i="26"/>
  <c r="E539" i="26"/>
  <c r="F538" i="26"/>
  <c r="E538" i="26"/>
  <c r="F537" i="26"/>
  <c r="E537" i="26"/>
  <c r="F536" i="26"/>
  <c r="E536" i="26"/>
  <c r="E535" i="26"/>
  <c r="E534" i="26"/>
  <c r="E533" i="26"/>
  <c r="E532" i="26"/>
  <c r="E531" i="26"/>
  <c r="E530" i="26"/>
  <c r="E529" i="26"/>
  <c r="E528" i="26"/>
  <c r="E527" i="26"/>
  <c r="E526" i="26"/>
  <c r="F520" i="26"/>
  <c r="F519" i="26"/>
  <c r="F518" i="26"/>
  <c r="F517" i="26"/>
  <c r="F516" i="26"/>
  <c r="F495" i="26"/>
  <c r="F494" i="26"/>
  <c r="F493" i="26"/>
  <c r="F492" i="26"/>
  <c r="F491" i="26"/>
  <c r="F490" i="26"/>
  <c r="F489" i="26"/>
  <c r="F488" i="26"/>
  <c r="F487" i="26"/>
  <c r="F486" i="26"/>
  <c r="F485" i="26"/>
  <c r="F484" i="26"/>
  <c r="F483" i="26"/>
  <c r="F482" i="26"/>
  <c r="F481" i="26"/>
  <c r="E460" i="26"/>
  <c r="E459" i="26"/>
  <c r="E458" i="26"/>
  <c r="E457" i="26"/>
  <c r="E456" i="26"/>
  <c r="F455" i="26"/>
  <c r="E455" i="26"/>
  <c r="F454" i="26"/>
  <c r="E454" i="26"/>
  <c r="F453" i="26"/>
  <c r="E453" i="26"/>
  <c r="F452" i="26"/>
  <c r="E452" i="26"/>
  <c r="F451" i="26"/>
  <c r="E451" i="26"/>
  <c r="F450" i="26"/>
  <c r="E450" i="26"/>
  <c r="F449" i="26"/>
  <c r="E449" i="26"/>
  <c r="F448" i="26"/>
  <c r="E448" i="26"/>
  <c r="F447" i="26"/>
  <c r="E447" i="26"/>
  <c r="F446" i="26"/>
  <c r="E446" i="26"/>
  <c r="F445" i="26"/>
  <c r="F444" i="26"/>
  <c r="F443" i="26"/>
  <c r="F442" i="26"/>
  <c r="F441" i="26"/>
  <c r="F440" i="26"/>
  <c r="E440" i="26"/>
  <c r="F439" i="26"/>
  <c r="E439" i="26"/>
  <c r="F438" i="26"/>
  <c r="E438" i="26"/>
  <c r="F437" i="26"/>
  <c r="E437" i="26"/>
  <c r="F436" i="26"/>
  <c r="E436" i="26"/>
  <c r="E435" i="26"/>
  <c r="E434" i="26"/>
  <c r="E433" i="26"/>
  <c r="E432" i="26"/>
  <c r="E431" i="26"/>
  <c r="F430" i="26"/>
  <c r="F429" i="26"/>
  <c r="F428" i="26"/>
  <c r="F427" i="26"/>
  <c r="F426" i="26"/>
  <c r="F405" i="26"/>
  <c r="E405" i="26"/>
  <c r="F404" i="26"/>
  <c r="E404" i="26"/>
  <c r="F403" i="26"/>
  <c r="E403" i="26"/>
  <c r="F402" i="26"/>
  <c r="E402" i="26"/>
  <c r="F401" i="26"/>
  <c r="E401" i="26"/>
  <c r="E400" i="26"/>
  <c r="E399" i="26"/>
  <c r="E398" i="26"/>
  <c r="E397" i="26"/>
  <c r="E396" i="26"/>
  <c r="E395" i="26"/>
  <c r="E394" i="26"/>
  <c r="E393" i="26"/>
  <c r="E392" i="26"/>
  <c r="E391" i="26"/>
  <c r="F385" i="26"/>
  <c r="F384" i="26"/>
  <c r="F383" i="26"/>
  <c r="F382" i="26"/>
  <c r="F381" i="26"/>
  <c r="F360" i="26"/>
  <c r="F359" i="26"/>
  <c r="F358" i="26"/>
  <c r="F357" i="26"/>
  <c r="F356" i="26"/>
  <c r="F355" i="26"/>
  <c r="F354" i="26"/>
  <c r="F353" i="26"/>
  <c r="F352" i="26"/>
  <c r="F351" i="26"/>
  <c r="F350" i="26"/>
  <c r="F349" i="26"/>
  <c r="F348" i="26"/>
  <c r="F347" i="26"/>
  <c r="F346" i="26"/>
  <c r="E325" i="26"/>
  <c r="E324" i="26"/>
  <c r="E323" i="26"/>
  <c r="E322" i="26"/>
  <c r="E321" i="26"/>
  <c r="F320" i="26"/>
  <c r="E320" i="26"/>
  <c r="F319" i="26"/>
  <c r="E319" i="26"/>
  <c r="F318" i="26"/>
  <c r="E318" i="26"/>
  <c r="F317" i="26"/>
  <c r="E317" i="26"/>
  <c r="F316" i="26"/>
  <c r="E316" i="26"/>
  <c r="F315" i="26"/>
  <c r="E315" i="26"/>
  <c r="F314" i="26"/>
  <c r="E314" i="26"/>
  <c r="F313" i="26"/>
  <c r="E313" i="26"/>
  <c r="F312" i="26"/>
  <c r="E312" i="26"/>
  <c r="F311" i="26"/>
  <c r="E311" i="26"/>
  <c r="F310" i="26"/>
  <c r="F309" i="26"/>
  <c r="F308" i="26"/>
  <c r="F307" i="26"/>
  <c r="F306" i="26"/>
  <c r="F305" i="26"/>
  <c r="E305" i="26"/>
  <c r="F304" i="26"/>
  <c r="E304" i="26"/>
  <c r="F303" i="26"/>
  <c r="E303" i="26"/>
  <c r="F302" i="26"/>
  <c r="E302" i="26"/>
  <c r="F301" i="26"/>
  <c r="E301" i="26"/>
  <c r="E300" i="26"/>
  <c r="E299" i="26"/>
  <c r="E298" i="26"/>
  <c r="E297" i="26"/>
  <c r="E296" i="26"/>
  <c r="F295" i="26"/>
  <c r="F294" i="26"/>
  <c r="F293" i="26"/>
  <c r="F292" i="26"/>
  <c r="F291" i="26"/>
  <c r="F270" i="26"/>
  <c r="E270" i="26"/>
  <c r="F269" i="26"/>
  <c r="E269" i="26"/>
  <c r="F268" i="26"/>
  <c r="E268" i="26"/>
  <c r="F267" i="26"/>
  <c r="E267" i="26"/>
  <c r="F266" i="26"/>
  <c r="E266" i="26"/>
  <c r="E265" i="26"/>
  <c r="E264" i="26"/>
  <c r="E263" i="26"/>
  <c r="E262" i="26"/>
  <c r="E261" i="26"/>
  <c r="E260" i="26"/>
  <c r="E259" i="26"/>
  <c r="E258" i="26"/>
  <c r="E257" i="26"/>
  <c r="E256" i="26"/>
  <c r="F250" i="26"/>
  <c r="F249" i="26"/>
  <c r="F248" i="26"/>
  <c r="F247" i="26"/>
  <c r="F246" i="26"/>
  <c r="F225" i="26"/>
  <c r="F224" i="26"/>
  <c r="F223" i="26"/>
  <c r="F222" i="26"/>
  <c r="F221" i="26"/>
  <c r="F220" i="26"/>
  <c r="F219" i="26"/>
  <c r="F218" i="26"/>
  <c r="F217" i="26"/>
  <c r="F216" i="26"/>
  <c r="F215" i="26"/>
  <c r="F214" i="26"/>
  <c r="F213" i="26"/>
  <c r="F212" i="26"/>
  <c r="F211" i="26"/>
  <c r="E190" i="26"/>
  <c r="E189" i="26"/>
  <c r="E188" i="26"/>
  <c r="E187" i="26"/>
  <c r="E186" i="26"/>
  <c r="F185" i="26"/>
  <c r="E185" i="26"/>
  <c r="F184" i="26"/>
  <c r="E184" i="26"/>
  <c r="F183" i="26"/>
  <c r="E183" i="26"/>
  <c r="F182" i="26"/>
  <c r="E182" i="26"/>
  <c r="F181" i="26"/>
  <c r="E181" i="26"/>
  <c r="F180" i="26"/>
  <c r="E180" i="26"/>
  <c r="F179" i="26"/>
  <c r="E179" i="26"/>
  <c r="F178" i="26"/>
  <c r="E178" i="26"/>
  <c r="F177" i="26"/>
  <c r="E177" i="26"/>
  <c r="F176" i="26"/>
  <c r="E176" i="26"/>
  <c r="F175" i="26"/>
  <c r="F174" i="26"/>
  <c r="F173" i="26"/>
  <c r="F172" i="26"/>
  <c r="F171" i="26"/>
  <c r="F170" i="26"/>
  <c r="E170" i="26"/>
  <c r="F169" i="26"/>
  <c r="E169" i="26"/>
  <c r="F168" i="26"/>
  <c r="E168" i="26"/>
  <c r="F167" i="26"/>
  <c r="E167" i="26"/>
  <c r="F166" i="26"/>
  <c r="E166" i="26"/>
  <c r="E165" i="26"/>
  <c r="E164" i="26"/>
  <c r="E163" i="26"/>
  <c r="E162" i="26"/>
  <c r="E161" i="26"/>
  <c r="F160" i="26"/>
  <c r="F159" i="26"/>
  <c r="F158" i="26"/>
  <c r="F157" i="26"/>
  <c r="F156" i="26"/>
  <c r="F135" i="26"/>
  <c r="E135" i="26"/>
  <c r="F134" i="26"/>
  <c r="E134" i="26"/>
  <c r="F133" i="26"/>
  <c r="E133" i="26"/>
  <c r="F132" i="26"/>
  <c r="E132" i="26"/>
  <c r="F131" i="26"/>
  <c r="E131" i="26"/>
  <c r="E130" i="26"/>
  <c r="E129" i="26"/>
  <c r="E128" i="26"/>
  <c r="E127" i="26"/>
  <c r="E126" i="26"/>
  <c r="E125" i="26"/>
  <c r="E124" i="26"/>
  <c r="E123" i="26"/>
  <c r="E122" i="26"/>
  <c r="E121" i="26"/>
  <c r="F115" i="26"/>
  <c r="F114" i="26"/>
  <c r="F113" i="26"/>
  <c r="F112" i="26"/>
  <c r="F111" i="26"/>
  <c r="F90" i="26"/>
  <c r="F89" i="26"/>
  <c r="F88" i="26"/>
  <c r="F87" i="26"/>
  <c r="F86" i="26"/>
  <c r="F85" i="26"/>
  <c r="F84" i="26"/>
  <c r="F83" i="26"/>
  <c r="F82" i="26"/>
  <c r="F81" i="26"/>
  <c r="F80" i="26"/>
  <c r="F79" i="26"/>
  <c r="F78" i="26"/>
  <c r="F77" i="26"/>
  <c r="F76" i="26"/>
  <c r="E55" i="26"/>
  <c r="E54" i="26"/>
  <c r="E53" i="26"/>
  <c r="E52" i="26"/>
  <c r="E51" i="26"/>
  <c r="F50" i="26"/>
  <c r="E50" i="26"/>
  <c r="F49" i="26"/>
  <c r="E49" i="26"/>
  <c r="F48" i="26"/>
  <c r="E48" i="26"/>
  <c r="F47" i="26"/>
  <c r="E47" i="26"/>
  <c r="F46" i="26"/>
  <c r="E46" i="26"/>
  <c r="F45" i="26"/>
  <c r="E45" i="26"/>
  <c r="F44" i="26"/>
  <c r="E44" i="26"/>
  <c r="F43" i="26"/>
  <c r="E43" i="26"/>
  <c r="F42" i="26"/>
  <c r="E42" i="26"/>
  <c r="F41" i="26"/>
  <c r="E41" i="26"/>
  <c r="F40" i="26"/>
  <c r="F39" i="26"/>
  <c r="F38" i="26"/>
  <c r="F37" i="26"/>
  <c r="F36" i="26"/>
  <c r="F35" i="26"/>
  <c r="E35" i="26"/>
  <c r="F34" i="26"/>
  <c r="E34" i="26"/>
  <c r="F33" i="26"/>
  <c r="E33" i="26"/>
  <c r="F32" i="26"/>
  <c r="E32" i="26"/>
  <c r="F31" i="26"/>
  <c r="E31" i="26"/>
  <c r="E30" i="26"/>
  <c r="E29" i="26"/>
  <c r="E28" i="26"/>
  <c r="E27" i="26"/>
  <c r="E26" i="26"/>
  <c r="F25" i="26"/>
  <c r="F24" i="26"/>
  <c r="F23" i="26"/>
  <c r="F22" i="26"/>
  <c r="F21" i="26"/>
  <c r="D228" i="24"/>
  <c r="F228" i="24" s="1"/>
  <c r="D220" i="24"/>
  <c r="F220" i="24" s="1"/>
  <c r="D212" i="24"/>
  <c r="F212" i="24" s="1"/>
  <c r="D204" i="24"/>
  <c r="F204" i="24" s="1"/>
  <c r="D196" i="24"/>
  <c r="F196" i="24" s="1"/>
  <c r="D183" i="24"/>
  <c r="F183" i="24" s="1"/>
  <c r="D175" i="24"/>
  <c r="F175" i="24" s="1"/>
  <c r="D167" i="24"/>
  <c r="F167" i="24" s="1"/>
  <c r="D159" i="24"/>
  <c r="F159" i="24" s="1"/>
  <c r="D151" i="24"/>
  <c r="F151" i="24" s="1"/>
  <c r="D138" i="24"/>
  <c r="F138" i="24" s="1"/>
  <c r="D130" i="24"/>
  <c r="F130" i="24" s="1"/>
  <c r="D122" i="24"/>
  <c r="F122" i="24" s="1"/>
  <c r="D114" i="24"/>
  <c r="F114" i="24" s="1"/>
  <c r="D106" i="24"/>
  <c r="F106" i="24" s="1"/>
  <c r="D93" i="24"/>
  <c r="F93" i="24" s="1"/>
  <c r="D85" i="24"/>
  <c r="F85" i="24" s="1"/>
  <c r="D77" i="24"/>
  <c r="F77" i="24" s="1"/>
  <c r="D69" i="24"/>
  <c r="F69" i="24" s="1"/>
  <c r="D61" i="24"/>
  <c r="F61" i="24" s="1"/>
  <c r="D48" i="24"/>
  <c r="F48" i="24" s="1"/>
  <c r="D40" i="24"/>
  <c r="F40" i="24" s="1"/>
  <c r="D32" i="24"/>
  <c r="F32" i="24" s="1"/>
  <c r="D24" i="24"/>
  <c r="F24" i="24" s="1"/>
  <c r="D16" i="24"/>
  <c r="F16" i="24" s="1"/>
  <c r="H1250" i="23"/>
  <c r="H1249" i="23"/>
  <c r="H1248" i="23"/>
  <c r="H1247" i="23"/>
  <c r="H1246" i="23"/>
  <c r="H1245" i="23"/>
  <c r="H1244" i="23"/>
  <c r="H1243" i="23"/>
  <c r="H1242" i="23"/>
  <c r="H1241" i="23"/>
  <c r="H1240" i="23"/>
  <c r="H1239" i="23"/>
  <c r="H1238" i="23"/>
  <c r="H1237" i="23"/>
  <c r="H1236" i="23"/>
  <c r="H1235" i="23"/>
  <c r="H1234" i="23"/>
  <c r="H1233" i="23"/>
  <c r="H1232" i="23"/>
  <c r="H1231" i="23"/>
  <c r="H1230" i="23"/>
  <c r="H1229" i="23"/>
  <c r="H1228" i="23"/>
  <c r="H1227" i="23"/>
  <c r="H1226" i="23"/>
  <c r="H1225" i="23"/>
  <c r="H1224" i="23"/>
  <c r="H1223" i="23"/>
  <c r="H1222" i="23"/>
  <c r="H1221" i="23"/>
  <c r="H1220" i="23"/>
  <c r="H1219" i="23"/>
  <c r="H1218" i="23"/>
  <c r="H1217" i="23"/>
  <c r="H1216" i="23"/>
  <c r="H1215" i="23"/>
  <c r="H1214" i="23"/>
  <c r="H1213" i="23"/>
  <c r="H1212" i="23"/>
  <c r="H1211" i="23"/>
  <c r="H1210" i="23"/>
  <c r="H1209" i="23"/>
  <c r="H1208" i="23"/>
  <c r="H1207" i="23"/>
  <c r="H1206" i="23"/>
  <c r="H1205" i="23"/>
  <c r="H1204" i="23"/>
  <c r="H1203" i="23"/>
  <c r="H1202" i="23"/>
  <c r="H1201" i="23"/>
  <c r="H1200" i="23"/>
  <c r="H1199" i="23"/>
  <c r="H1198" i="23"/>
  <c r="H1197" i="23"/>
  <c r="H1196" i="23"/>
  <c r="H1195" i="23"/>
  <c r="H1194" i="23"/>
  <c r="H1193" i="23"/>
  <c r="H1192" i="23"/>
  <c r="H1191" i="23"/>
  <c r="H1190" i="23"/>
  <c r="H1189" i="23"/>
  <c r="H1188" i="23"/>
  <c r="H1187" i="23"/>
  <c r="H1186" i="23"/>
  <c r="H1185" i="23"/>
  <c r="H1184" i="23"/>
  <c r="H1183" i="23"/>
  <c r="H1182" i="23"/>
  <c r="H1181" i="23"/>
  <c r="H1180" i="23"/>
  <c r="H1179" i="23"/>
  <c r="H1178" i="23"/>
  <c r="H1177" i="23"/>
  <c r="H1176" i="23"/>
  <c r="H1175" i="23"/>
  <c r="H1174" i="23"/>
  <c r="H1173" i="23"/>
  <c r="H1172" i="23"/>
  <c r="H1171" i="23"/>
  <c r="H1170" i="23"/>
  <c r="H1169" i="23"/>
  <c r="H1168" i="23"/>
  <c r="H1167" i="23"/>
  <c r="H1166" i="23"/>
  <c r="H1165" i="23"/>
  <c r="H1164" i="23"/>
  <c r="H1163" i="23"/>
  <c r="H1162" i="23"/>
  <c r="H1161" i="23"/>
  <c r="H1160" i="23"/>
  <c r="H1159" i="23"/>
  <c r="H1158" i="23"/>
  <c r="H1157" i="23"/>
  <c r="H1156" i="23"/>
  <c r="H1155" i="23"/>
  <c r="H1154" i="23"/>
  <c r="H1153" i="23"/>
  <c r="H1152" i="23"/>
  <c r="H1151" i="23"/>
  <c r="H1150" i="23"/>
  <c r="H1149" i="23"/>
  <c r="H1148" i="23"/>
  <c r="H1147" i="23"/>
  <c r="H1146" i="23"/>
  <c r="H1145" i="23"/>
  <c r="H1144" i="23"/>
  <c r="H1143" i="23"/>
  <c r="H1142" i="23"/>
  <c r="H1141" i="23"/>
  <c r="H1140" i="23"/>
  <c r="H1139" i="23"/>
  <c r="H1138" i="23"/>
  <c r="H1137" i="23"/>
  <c r="H1136" i="23"/>
  <c r="H1135" i="23"/>
  <c r="H1134" i="23"/>
  <c r="H1133" i="23"/>
  <c r="H1132" i="23"/>
  <c r="H1131" i="23"/>
  <c r="H1130" i="23"/>
  <c r="H1129" i="23"/>
  <c r="H1128" i="23"/>
  <c r="H1127" i="23"/>
  <c r="H1126" i="23"/>
  <c r="H1125" i="23"/>
  <c r="H1124" i="23"/>
  <c r="H1123" i="23"/>
  <c r="H1122" i="23"/>
  <c r="H1121" i="23"/>
  <c r="H1120" i="23"/>
  <c r="H1119" i="23"/>
  <c r="H1118" i="23"/>
  <c r="H1117" i="23"/>
  <c r="H1116" i="23"/>
  <c r="H1115" i="23"/>
  <c r="H1114" i="23"/>
  <c r="H1113" i="23"/>
  <c r="H1112" i="23"/>
  <c r="H1111" i="23"/>
  <c r="H1110" i="23"/>
  <c r="H1109" i="23"/>
  <c r="H1108" i="23"/>
  <c r="H1107" i="23"/>
  <c r="H1106" i="23"/>
  <c r="H1105" i="23"/>
  <c r="H1104" i="23"/>
  <c r="H1103" i="23"/>
  <c r="H1102" i="23"/>
  <c r="H1101" i="23"/>
  <c r="H1100" i="23"/>
  <c r="H1099" i="23"/>
  <c r="H1098" i="23"/>
  <c r="H1097" i="23"/>
  <c r="H1096" i="23"/>
  <c r="H1095" i="23"/>
  <c r="H1094" i="23"/>
  <c r="H1093" i="23"/>
  <c r="H1092" i="23"/>
  <c r="H1091" i="23"/>
  <c r="H1090" i="23"/>
  <c r="H1089" i="23"/>
  <c r="H1088" i="23"/>
  <c r="H1087" i="23"/>
  <c r="H1086" i="23"/>
  <c r="H1085" i="23"/>
  <c r="H1084" i="23"/>
  <c r="H1083" i="23"/>
  <c r="H1082" i="23"/>
  <c r="H1081" i="23"/>
  <c r="H1080" i="23"/>
  <c r="H1079" i="23"/>
  <c r="H1078" i="23"/>
  <c r="H1077" i="23"/>
  <c r="H1076" i="23"/>
  <c r="H1075" i="23"/>
  <c r="H1074" i="23"/>
  <c r="H1073" i="23"/>
  <c r="H1072" i="23"/>
  <c r="H1071" i="23"/>
  <c r="H1070" i="23"/>
  <c r="H1069" i="23"/>
  <c r="H1068" i="23"/>
  <c r="H1067" i="23"/>
  <c r="H1066" i="23"/>
  <c r="H1065" i="23"/>
  <c r="H1064" i="23"/>
  <c r="H1063" i="23"/>
  <c r="H1062" i="23"/>
  <c r="H1061" i="23"/>
  <c r="H1060" i="23"/>
  <c r="H1059" i="23"/>
  <c r="H1058" i="23"/>
  <c r="H1057" i="23"/>
  <c r="H1056" i="23"/>
  <c r="H1055" i="23"/>
  <c r="H1054" i="23"/>
  <c r="H1053" i="23"/>
  <c r="H1052" i="23"/>
  <c r="H1051" i="23"/>
  <c r="H1050" i="23"/>
  <c r="H1049" i="23"/>
  <c r="H1048" i="23"/>
  <c r="H1047" i="23"/>
  <c r="H1046" i="23"/>
  <c r="H1045" i="23"/>
  <c r="H1044" i="23"/>
  <c r="H1043" i="23"/>
  <c r="H1042" i="23"/>
  <c r="H1041" i="23"/>
  <c r="H1040" i="23"/>
  <c r="H1039" i="23"/>
  <c r="H1038" i="23"/>
  <c r="H1037" i="23"/>
  <c r="H1036" i="23"/>
  <c r="H1035" i="23"/>
  <c r="H1034" i="23"/>
  <c r="H1033" i="23"/>
  <c r="H1032" i="23"/>
  <c r="H1031" i="23"/>
  <c r="H1030" i="23"/>
  <c r="H1029" i="23"/>
  <c r="H1028" i="23"/>
  <c r="H1027" i="23"/>
  <c r="H1026" i="23"/>
  <c r="H1025" i="23"/>
  <c r="H1024" i="23"/>
  <c r="H1023" i="23"/>
  <c r="H1022" i="23"/>
  <c r="H1021" i="23"/>
  <c r="H1020" i="23"/>
  <c r="H1019" i="23"/>
  <c r="H1018" i="23"/>
  <c r="H1017" i="23"/>
  <c r="H1016" i="23"/>
  <c r="H1015" i="23"/>
  <c r="H1014" i="23"/>
  <c r="H1013" i="23"/>
  <c r="H1012" i="23"/>
  <c r="H1011" i="23"/>
  <c r="H1010" i="23"/>
  <c r="H1009" i="23"/>
  <c r="H1008" i="23"/>
  <c r="H1007" i="23"/>
  <c r="H1006" i="23"/>
  <c r="H1005" i="23"/>
  <c r="H1004" i="23"/>
  <c r="F9" i="23" s="1"/>
  <c r="G391" i="21" s="1"/>
  <c r="H1003" i="23"/>
  <c r="H1002" i="23"/>
  <c r="H1001" i="23"/>
  <c r="H1000" i="23"/>
  <c r="H999" i="23"/>
  <c r="H998" i="23"/>
  <c r="H997" i="23"/>
  <c r="H996" i="23"/>
  <c r="H995" i="23"/>
  <c r="H994" i="23"/>
  <c r="H993" i="23"/>
  <c r="H992" i="23"/>
  <c r="H991" i="23"/>
  <c r="H990" i="23"/>
  <c r="H989" i="23"/>
  <c r="H988" i="23"/>
  <c r="H987" i="23"/>
  <c r="H986" i="23"/>
  <c r="H985" i="23"/>
  <c r="H984" i="23"/>
  <c r="H983" i="23"/>
  <c r="H982" i="23"/>
  <c r="H981" i="23"/>
  <c r="H980" i="23"/>
  <c r="H979" i="23"/>
  <c r="H978" i="23"/>
  <c r="H977" i="23"/>
  <c r="H976" i="23"/>
  <c r="H975" i="23"/>
  <c r="H974" i="23"/>
  <c r="H973" i="23"/>
  <c r="H972" i="23"/>
  <c r="H971" i="23"/>
  <c r="H970" i="23"/>
  <c r="H969" i="23"/>
  <c r="H968" i="23"/>
  <c r="H967" i="23"/>
  <c r="H966" i="23"/>
  <c r="H965" i="23"/>
  <c r="H964" i="23"/>
  <c r="H963" i="23"/>
  <c r="H962" i="23"/>
  <c r="H961" i="23"/>
  <c r="H960" i="23"/>
  <c r="H959" i="23"/>
  <c r="H958" i="23"/>
  <c r="H957" i="23"/>
  <c r="H956" i="23"/>
  <c r="H955" i="23"/>
  <c r="H954" i="23"/>
  <c r="H953" i="23"/>
  <c r="H952" i="23"/>
  <c r="H951" i="23"/>
  <c r="H950" i="23"/>
  <c r="H949" i="23"/>
  <c r="H948" i="23"/>
  <c r="H947" i="23"/>
  <c r="H946" i="23"/>
  <c r="H945" i="23"/>
  <c r="H944" i="23"/>
  <c r="H943" i="23"/>
  <c r="H942" i="23"/>
  <c r="H941" i="23"/>
  <c r="H940" i="23"/>
  <c r="H939" i="23"/>
  <c r="H938" i="23"/>
  <c r="H937" i="23"/>
  <c r="H936" i="23"/>
  <c r="H935" i="23"/>
  <c r="H934" i="23"/>
  <c r="H933" i="23"/>
  <c r="H932" i="23"/>
  <c r="H931" i="23"/>
  <c r="H930" i="23"/>
  <c r="H929" i="23"/>
  <c r="H928" i="23"/>
  <c r="H927" i="23"/>
  <c r="H926" i="23"/>
  <c r="H925" i="23"/>
  <c r="H924" i="23"/>
  <c r="H923" i="23"/>
  <c r="H922" i="23"/>
  <c r="H921" i="23"/>
  <c r="H920" i="23"/>
  <c r="H919" i="23"/>
  <c r="H918" i="23"/>
  <c r="H917" i="23"/>
  <c r="H916" i="23"/>
  <c r="H915" i="23"/>
  <c r="H914" i="23"/>
  <c r="H913" i="23"/>
  <c r="H912" i="23"/>
  <c r="H911" i="23"/>
  <c r="H910" i="23"/>
  <c r="H909" i="23"/>
  <c r="H908" i="23"/>
  <c r="H907" i="23"/>
  <c r="H906" i="23"/>
  <c r="H905" i="23"/>
  <c r="H904" i="23"/>
  <c r="H903" i="23"/>
  <c r="H902" i="23"/>
  <c r="H901" i="23"/>
  <c r="H900" i="23"/>
  <c r="H899" i="23"/>
  <c r="H898" i="23"/>
  <c r="H897" i="23"/>
  <c r="H896" i="23"/>
  <c r="H895" i="23"/>
  <c r="H894" i="23"/>
  <c r="H893" i="23"/>
  <c r="H892" i="23"/>
  <c r="H891" i="23"/>
  <c r="H890" i="23"/>
  <c r="H889" i="23"/>
  <c r="H888" i="23"/>
  <c r="H887" i="23"/>
  <c r="H886" i="23"/>
  <c r="H885" i="23"/>
  <c r="H884" i="23"/>
  <c r="H883" i="23"/>
  <c r="H882" i="23"/>
  <c r="H881" i="23"/>
  <c r="H880" i="23"/>
  <c r="H879" i="23"/>
  <c r="H878" i="23"/>
  <c r="H877" i="23"/>
  <c r="H876" i="23"/>
  <c r="H875" i="23"/>
  <c r="H874" i="23"/>
  <c r="H873" i="23"/>
  <c r="H872" i="23"/>
  <c r="H871" i="23"/>
  <c r="H870" i="23"/>
  <c r="H869" i="23"/>
  <c r="H868" i="23"/>
  <c r="H867" i="23"/>
  <c r="H866" i="23"/>
  <c r="H865" i="23"/>
  <c r="H864" i="23"/>
  <c r="H863" i="23"/>
  <c r="H862" i="23"/>
  <c r="H861" i="23"/>
  <c r="H860" i="23"/>
  <c r="H859" i="23"/>
  <c r="H858" i="23"/>
  <c r="H857" i="23"/>
  <c r="H856" i="23"/>
  <c r="H855" i="23"/>
  <c r="H854" i="23"/>
  <c r="H853" i="23"/>
  <c r="H852" i="23"/>
  <c r="H851" i="23"/>
  <c r="H850" i="23"/>
  <c r="H849" i="23"/>
  <c r="H848" i="23"/>
  <c r="H847" i="23"/>
  <c r="H846" i="23"/>
  <c r="H845" i="23"/>
  <c r="H844" i="23"/>
  <c r="H843" i="23"/>
  <c r="H842" i="23"/>
  <c r="H841" i="23"/>
  <c r="H840" i="23"/>
  <c r="H839" i="23"/>
  <c r="H838" i="23"/>
  <c r="H837" i="23"/>
  <c r="H836" i="23"/>
  <c r="H835" i="23"/>
  <c r="H834" i="23"/>
  <c r="H833" i="23"/>
  <c r="H832" i="23"/>
  <c r="H831" i="23"/>
  <c r="H830" i="23"/>
  <c r="H829" i="23"/>
  <c r="H828" i="23"/>
  <c r="H827" i="23"/>
  <c r="H826" i="23"/>
  <c r="H825" i="23"/>
  <c r="H824" i="23"/>
  <c r="H823" i="23"/>
  <c r="H822" i="23"/>
  <c r="H821" i="23"/>
  <c r="H820" i="23"/>
  <c r="H819" i="23"/>
  <c r="H818" i="23"/>
  <c r="H817" i="23"/>
  <c r="H816" i="23"/>
  <c r="H815" i="23"/>
  <c r="H814" i="23"/>
  <c r="H813" i="23"/>
  <c r="H812" i="23"/>
  <c r="H811" i="23"/>
  <c r="H810" i="23"/>
  <c r="H809" i="23"/>
  <c r="H808" i="23"/>
  <c r="H807" i="23"/>
  <c r="H806" i="23"/>
  <c r="H805" i="23"/>
  <c r="H804" i="23"/>
  <c r="H803" i="23"/>
  <c r="H802" i="23"/>
  <c r="H801" i="23"/>
  <c r="H800" i="23"/>
  <c r="H799" i="23"/>
  <c r="H798" i="23"/>
  <c r="H797" i="23"/>
  <c r="H796" i="23"/>
  <c r="H795" i="23"/>
  <c r="H794" i="23"/>
  <c r="H793" i="23"/>
  <c r="H792" i="23"/>
  <c r="H791" i="23"/>
  <c r="H790" i="23"/>
  <c r="H789" i="23"/>
  <c r="H788" i="23"/>
  <c r="H787" i="23"/>
  <c r="H786" i="23"/>
  <c r="H785" i="23"/>
  <c r="H784" i="23"/>
  <c r="H783" i="23"/>
  <c r="H782" i="23"/>
  <c r="H781" i="23"/>
  <c r="H780" i="23"/>
  <c r="H779" i="23"/>
  <c r="H778" i="23"/>
  <c r="H777" i="23"/>
  <c r="H776" i="23"/>
  <c r="H775" i="23"/>
  <c r="H774" i="23"/>
  <c r="H773" i="23"/>
  <c r="H772" i="23"/>
  <c r="H771" i="23"/>
  <c r="H770" i="23"/>
  <c r="H769" i="23"/>
  <c r="H768" i="23"/>
  <c r="H767" i="23"/>
  <c r="H766" i="23"/>
  <c r="H765" i="23"/>
  <c r="H764" i="23"/>
  <c r="H763" i="23"/>
  <c r="H762" i="23"/>
  <c r="H761" i="23"/>
  <c r="H760" i="23"/>
  <c r="H759" i="23"/>
  <c r="H758" i="23"/>
  <c r="H757" i="23"/>
  <c r="H756" i="23"/>
  <c r="H755" i="23"/>
  <c r="H754" i="23"/>
  <c r="H753" i="23"/>
  <c r="H752" i="23"/>
  <c r="H751" i="23"/>
  <c r="H750" i="23"/>
  <c r="H749" i="23"/>
  <c r="H748" i="23"/>
  <c r="H747" i="23"/>
  <c r="H746" i="23"/>
  <c r="H745" i="23"/>
  <c r="H744" i="23"/>
  <c r="H743" i="23"/>
  <c r="H742" i="23"/>
  <c r="H741" i="23"/>
  <c r="H740" i="23"/>
  <c r="H739" i="23"/>
  <c r="H738" i="23"/>
  <c r="H737" i="23"/>
  <c r="H736" i="23"/>
  <c r="H735" i="23"/>
  <c r="H734" i="23"/>
  <c r="H733" i="23"/>
  <c r="H732" i="23"/>
  <c r="H731" i="23"/>
  <c r="H730" i="23"/>
  <c r="H729" i="23"/>
  <c r="H728" i="23"/>
  <c r="H727" i="23"/>
  <c r="H726" i="23"/>
  <c r="H725" i="23"/>
  <c r="H724" i="23"/>
  <c r="H723" i="23"/>
  <c r="H722" i="23"/>
  <c r="H721" i="23"/>
  <c r="H720" i="23"/>
  <c r="H719" i="23"/>
  <c r="H718" i="23"/>
  <c r="H717" i="23"/>
  <c r="H716" i="23"/>
  <c r="H715" i="23"/>
  <c r="H714" i="23"/>
  <c r="H713" i="23"/>
  <c r="H712" i="23"/>
  <c r="H711" i="23"/>
  <c r="H710" i="23"/>
  <c r="H709" i="23"/>
  <c r="H708" i="23"/>
  <c r="H707" i="23"/>
  <c r="H706" i="23"/>
  <c r="H705" i="23"/>
  <c r="H704" i="23"/>
  <c r="H703" i="23"/>
  <c r="H702" i="23"/>
  <c r="H701" i="23"/>
  <c r="H700" i="23"/>
  <c r="H699" i="23"/>
  <c r="H698" i="23"/>
  <c r="H697" i="23"/>
  <c r="H696" i="23"/>
  <c r="H695" i="23"/>
  <c r="H694" i="23"/>
  <c r="H693" i="23"/>
  <c r="H692" i="23"/>
  <c r="H691" i="23"/>
  <c r="H690" i="23"/>
  <c r="H689" i="23"/>
  <c r="H688" i="23"/>
  <c r="H687" i="23"/>
  <c r="H686" i="23"/>
  <c r="H685" i="23"/>
  <c r="H684" i="23"/>
  <c r="H683" i="23"/>
  <c r="H682" i="23"/>
  <c r="H681" i="23"/>
  <c r="H680" i="23"/>
  <c r="H679" i="23"/>
  <c r="H678" i="23"/>
  <c r="H677" i="23"/>
  <c r="H676" i="23"/>
  <c r="H675" i="23"/>
  <c r="H674" i="23"/>
  <c r="H673" i="23"/>
  <c r="H672" i="23"/>
  <c r="H671" i="23"/>
  <c r="H670" i="23"/>
  <c r="H669" i="23"/>
  <c r="H668" i="23"/>
  <c r="H667" i="23"/>
  <c r="H666" i="23"/>
  <c r="H665" i="23"/>
  <c r="H664" i="23"/>
  <c r="H663" i="23"/>
  <c r="H662" i="23"/>
  <c r="H661" i="23"/>
  <c r="H660" i="23"/>
  <c r="H659" i="23"/>
  <c r="H658" i="23"/>
  <c r="H657" i="23"/>
  <c r="H656" i="23"/>
  <c r="H655" i="23"/>
  <c r="H654" i="23"/>
  <c r="H653" i="23"/>
  <c r="H652" i="23"/>
  <c r="H651" i="23"/>
  <c r="H650" i="23"/>
  <c r="H649" i="23"/>
  <c r="H648" i="23"/>
  <c r="H647" i="23"/>
  <c r="H646" i="23"/>
  <c r="H645" i="23"/>
  <c r="H644" i="23"/>
  <c r="H643" i="23"/>
  <c r="H642" i="23"/>
  <c r="H641" i="23"/>
  <c r="H640" i="23"/>
  <c r="H639" i="23"/>
  <c r="H638" i="23"/>
  <c r="H637" i="23"/>
  <c r="H636" i="23"/>
  <c r="H635" i="23"/>
  <c r="H634" i="23"/>
  <c r="H633" i="23"/>
  <c r="H632" i="23"/>
  <c r="H631" i="23"/>
  <c r="H630" i="23"/>
  <c r="H629" i="23"/>
  <c r="H628" i="23"/>
  <c r="H627" i="23"/>
  <c r="H626" i="23"/>
  <c r="H625" i="23"/>
  <c r="H624" i="23"/>
  <c r="H623" i="23"/>
  <c r="H622" i="23"/>
  <c r="H621" i="23"/>
  <c r="H620" i="23"/>
  <c r="H619" i="23"/>
  <c r="H618" i="23"/>
  <c r="H617" i="23"/>
  <c r="H616" i="23"/>
  <c r="H615" i="23"/>
  <c r="H614" i="23"/>
  <c r="H613" i="23"/>
  <c r="H612" i="23"/>
  <c r="H611" i="23"/>
  <c r="H610" i="23"/>
  <c r="H609" i="23"/>
  <c r="H608" i="23"/>
  <c r="H607" i="23"/>
  <c r="H606" i="23"/>
  <c r="H605" i="23"/>
  <c r="H604" i="23"/>
  <c r="H603" i="23"/>
  <c r="H602" i="23"/>
  <c r="H601" i="23"/>
  <c r="H600" i="23"/>
  <c r="H599" i="23"/>
  <c r="H598" i="23"/>
  <c r="H597" i="23"/>
  <c r="H596" i="23"/>
  <c r="H595" i="23"/>
  <c r="H594" i="23"/>
  <c r="H593" i="23"/>
  <c r="H592" i="23"/>
  <c r="H591" i="23"/>
  <c r="H590" i="23"/>
  <c r="H589" i="23"/>
  <c r="H588" i="23"/>
  <c r="H587" i="23"/>
  <c r="H586" i="23"/>
  <c r="H585" i="23"/>
  <c r="H584" i="23"/>
  <c r="H583" i="23"/>
  <c r="H582" i="23"/>
  <c r="H581" i="23"/>
  <c r="H580" i="23"/>
  <c r="H579" i="23"/>
  <c r="H578" i="23"/>
  <c r="H577" i="23"/>
  <c r="H576" i="23"/>
  <c r="H575" i="23"/>
  <c r="H574" i="23"/>
  <c r="H573" i="23"/>
  <c r="H572" i="23"/>
  <c r="H571" i="23"/>
  <c r="H570" i="23"/>
  <c r="H569" i="23"/>
  <c r="H568" i="23"/>
  <c r="H567" i="23"/>
  <c r="H566" i="23"/>
  <c r="H565" i="23"/>
  <c r="H564" i="23"/>
  <c r="H563" i="23"/>
  <c r="H562" i="23"/>
  <c r="H561" i="23"/>
  <c r="H560" i="23"/>
  <c r="H559" i="23"/>
  <c r="H558" i="23"/>
  <c r="H557" i="23"/>
  <c r="H556" i="23"/>
  <c r="H555" i="23"/>
  <c r="H554" i="23"/>
  <c r="H553" i="23"/>
  <c r="H552" i="23"/>
  <c r="H551" i="23"/>
  <c r="H550" i="23"/>
  <c r="H549" i="23"/>
  <c r="H548" i="23"/>
  <c r="H547" i="23"/>
  <c r="H546" i="23"/>
  <c r="H545" i="23"/>
  <c r="H544" i="23"/>
  <c r="H543" i="23"/>
  <c r="H542" i="23"/>
  <c r="H541" i="23"/>
  <c r="H540" i="23"/>
  <c r="H539" i="23"/>
  <c r="H538" i="23"/>
  <c r="H537" i="23"/>
  <c r="H536" i="23"/>
  <c r="H535" i="23"/>
  <c r="H534" i="23"/>
  <c r="H533" i="23"/>
  <c r="H532" i="23"/>
  <c r="H531" i="23"/>
  <c r="H530" i="23"/>
  <c r="H529" i="23"/>
  <c r="H528" i="23"/>
  <c r="H527" i="23"/>
  <c r="H526" i="23"/>
  <c r="H525" i="23"/>
  <c r="H524" i="23"/>
  <c r="H523" i="23"/>
  <c r="H522" i="23"/>
  <c r="H521" i="23"/>
  <c r="H520" i="23"/>
  <c r="H519" i="23"/>
  <c r="H518" i="23"/>
  <c r="H517" i="23"/>
  <c r="H516" i="23"/>
  <c r="H515" i="23"/>
  <c r="H514" i="23"/>
  <c r="H513" i="23"/>
  <c r="H512" i="23"/>
  <c r="H511" i="23"/>
  <c r="H510" i="23"/>
  <c r="H509" i="23"/>
  <c r="H508" i="23"/>
  <c r="H507" i="23"/>
  <c r="H506" i="23"/>
  <c r="H505" i="23"/>
  <c r="H504" i="23"/>
  <c r="H503" i="23"/>
  <c r="H502" i="23"/>
  <c r="H501" i="23"/>
  <c r="H500" i="23"/>
  <c r="H499" i="23"/>
  <c r="H498" i="23"/>
  <c r="H497" i="23"/>
  <c r="H496" i="23"/>
  <c r="H495" i="23"/>
  <c r="H494" i="23"/>
  <c r="H493" i="23"/>
  <c r="H492" i="23"/>
  <c r="H491" i="23"/>
  <c r="H490" i="23"/>
  <c r="H489" i="23"/>
  <c r="H488" i="23"/>
  <c r="H487" i="23"/>
  <c r="H486" i="23"/>
  <c r="H485" i="23"/>
  <c r="H484" i="23"/>
  <c r="H483" i="23"/>
  <c r="H482" i="23"/>
  <c r="H481" i="23"/>
  <c r="H480" i="23"/>
  <c r="H479" i="23"/>
  <c r="H478" i="23"/>
  <c r="H477" i="23"/>
  <c r="H476" i="23"/>
  <c r="H475" i="23"/>
  <c r="H474" i="23"/>
  <c r="H473" i="23"/>
  <c r="H472" i="23"/>
  <c r="H471" i="23"/>
  <c r="H470" i="23"/>
  <c r="H469" i="23"/>
  <c r="H468" i="23"/>
  <c r="H467" i="23"/>
  <c r="H466" i="23"/>
  <c r="H465" i="23"/>
  <c r="H464" i="23"/>
  <c r="H463" i="23"/>
  <c r="H462" i="23"/>
  <c r="H461" i="23"/>
  <c r="H460" i="23"/>
  <c r="H459" i="23"/>
  <c r="H458" i="23"/>
  <c r="H457" i="23"/>
  <c r="H456" i="23"/>
  <c r="H455" i="23"/>
  <c r="H454" i="23"/>
  <c r="H453" i="23"/>
  <c r="H452" i="23"/>
  <c r="H451" i="23"/>
  <c r="H450" i="23"/>
  <c r="H449" i="23"/>
  <c r="H448" i="23"/>
  <c r="H447" i="23"/>
  <c r="H446" i="23"/>
  <c r="H445" i="23"/>
  <c r="H444" i="23"/>
  <c r="H443" i="23"/>
  <c r="H442" i="23"/>
  <c r="H441" i="23"/>
  <c r="H440" i="23"/>
  <c r="H439" i="23"/>
  <c r="H438" i="23"/>
  <c r="H437" i="23"/>
  <c r="H436" i="23"/>
  <c r="H435" i="23"/>
  <c r="H434" i="23"/>
  <c r="H433" i="23"/>
  <c r="H432" i="23"/>
  <c r="H431" i="23"/>
  <c r="H430" i="23"/>
  <c r="H429" i="23"/>
  <c r="H428" i="23"/>
  <c r="H427" i="23"/>
  <c r="H426" i="23"/>
  <c r="H425" i="23"/>
  <c r="H424" i="23"/>
  <c r="H423" i="23"/>
  <c r="H422" i="23"/>
  <c r="H421" i="23"/>
  <c r="H420" i="23"/>
  <c r="H419" i="23"/>
  <c r="H418" i="23"/>
  <c r="H417" i="23"/>
  <c r="H416" i="23"/>
  <c r="H415" i="23"/>
  <c r="H414" i="23"/>
  <c r="H413" i="23"/>
  <c r="H412" i="23"/>
  <c r="H411" i="23"/>
  <c r="H410" i="23"/>
  <c r="H409" i="23"/>
  <c r="H408" i="23"/>
  <c r="H407" i="23"/>
  <c r="H406" i="23"/>
  <c r="H405" i="23"/>
  <c r="H404" i="23"/>
  <c r="H403" i="23"/>
  <c r="H402" i="23"/>
  <c r="H401" i="23"/>
  <c r="H400" i="23"/>
  <c r="H399" i="23"/>
  <c r="H398" i="23"/>
  <c r="H397" i="23"/>
  <c r="H396" i="23"/>
  <c r="H395" i="23"/>
  <c r="H394" i="23"/>
  <c r="H393" i="23"/>
  <c r="H392" i="23"/>
  <c r="H391" i="23"/>
  <c r="H390" i="23"/>
  <c r="H389" i="23"/>
  <c r="H388" i="23"/>
  <c r="H387" i="23"/>
  <c r="H386" i="23"/>
  <c r="H385" i="23"/>
  <c r="H384" i="23"/>
  <c r="H383" i="23"/>
  <c r="H382" i="23"/>
  <c r="H381" i="23"/>
  <c r="H380" i="23"/>
  <c r="H379" i="23"/>
  <c r="H378" i="23"/>
  <c r="H377" i="23"/>
  <c r="H376" i="23"/>
  <c r="H375" i="23"/>
  <c r="H374" i="23"/>
  <c r="H373" i="23"/>
  <c r="H372" i="23"/>
  <c r="H371" i="23"/>
  <c r="H370" i="23"/>
  <c r="H369" i="23"/>
  <c r="H368" i="23"/>
  <c r="H367" i="23"/>
  <c r="H366" i="23"/>
  <c r="H365" i="23"/>
  <c r="H364" i="23"/>
  <c r="H363" i="23"/>
  <c r="H362" i="23"/>
  <c r="H361" i="23"/>
  <c r="H360" i="23"/>
  <c r="H359" i="23"/>
  <c r="H358" i="23"/>
  <c r="H357" i="23"/>
  <c r="H356" i="23"/>
  <c r="H355" i="23"/>
  <c r="H354" i="23"/>
  <c r="H353" i="23"/>
  <c r="H352" i="23"/>
  <c r="H351" i="23"/>
  <c r="H350" i="23"/>
  <c r="H349" i="23"/>
  <c r="H348" i="23"/>
  <c r="H347" i="23"/>
  <c r="H346" i="23"/>
  <c r="H345" i="23"/>
  <c r="H344" i="23"/>
  <c r="H343" i="23"/>
  <c r="H342" i="23"/>
  <c r="H341" i="23"/>
  <c r="H340" i="23"/>
  <c r="H339" i="23"/>
  <c r="H338" i="23"/>
  <c r="H337" i="23"/>
  <c r="H336" i="23"/>
  <c r="H335" i="23"/>
  <c r="H334" i="23"/>
  <c r="H333" i="23"/>
  <c r="H332" i="23"/>
  <c r="H331" i="23"/>
  <c r="H330" i="23"/>
  <c r="H329" i="23"/>
  <c r="H328" i="23"/>
  <c r="H327" i="23"/>
  <c r="H326" i="23"/>
  <c r="H325" i="23"/>
  <c r="H324" i="23"/>
  <c r="H323" i="23"/>
  <c r="H322" i="23"/>
  <c r="H321" i="23"/>
  <c r="H320" i="23"/>
  <c r="H319" i="23"/>
  <c r="H318" i="23"/>
  <c r="H317" i="23"/>
  <c r="H316" i="23"/>
  <c r="H315" i="23"/>
  <c r="H314" i="23"/>
  <c r="H313" i="23"/>
  <c r="H312" i="23"/>
  <c r="H311" i="23"/>
  <c r="H310" i="23"/>
  <c r="H309" i="23"/>
  <c r="H308" i="23"/>
  <c r="H307" i="23"/>
  <c r="H306" i="23"/>
  <c r="H305" i="23"/>
  <c r="H304" i="23"/>
  <c r="H303" i="23"/>
  <c r="H302" i="23"/>
  <c r="H301" i="23"/>
  <c r="H300" i="23"/>
  <c r="H299" i="23"/>
  <c r="H298" i="23"/>
  <c r="H297" i="23"/>
  <c r="H296" i="23"/>
  <c r="H295" i="23"/>
  <c r="H294" i="23"/>
  <c r="H293" i="23"/>
  <c r="H292" i="23"/>
  <c r="H291" i="23"/>
  <c r="H290" i="23"/>
  <c r="H289" i="23"/>
  <c r="H288" i="23"/>
  <c r="H287" i="23"/>
  <c r="H286" i="23"/>
  <c r="H285" i="23"/>
  <c r="H284" i="23"/>
  <c r="H283" i="23"/>
  <c r="H282" i="23"/>
  <c r="H281" i="23"/>
  <c r="H280" i="23"/>
  <c r="H279" i="23"/>
  <c r="H278" i="23"/>
  <c r="H277" i="23"/>
  <c r="H276" i="23"/>
  <c r="H275" i="23"/>
  <c r="H274" i="23"/>
  <c r="H273" i="23"/>
  <c r="H272" i="23"/>
  <c r="H271" i="23"/>
  <c r="H270" i="23"/>
  <c r="H269" i="23"/>
  <c r="H268" i="23"/>
  <c r="H267" i="23"/>
  <c r="H266" i="23"/>
  <c r="H265" i="23"/>
  <c r="H264" i="23"/>
  <c r="H263" i="23"/>
  <c r="H262" i="23"/>
  <c r="H261" i="23"/>
  <c r="H260" i="23"/>
  <c r="H259" i="23"/>
  <c r="H258" i="23"/>
  <c r="H257" i="23"/>
  <c r="H256" i="23"/>
  <c r="H255" i="23"/>
  <c r="H254" i="23"/>
  <c r="H253" i="23"/>
  <c r="H252" i="23"/>
  <c r="H251" i="23"/>
  <c r="H250" i="23"/>
  <c r="H249" i="23"/>
  <c r="H248" i="23"/>
  <c r="H247" i="23"/>
  <c r="H246" i="23"/>
  <c r="H245" i="23"/>
  <c r="H244" i="23"/>
  <c r="H243" i="23"/>
  <c r="H242" i="23"/>
  <c r="H241" i="23"/>
  <c r="H240" i="23"/>
  <c r="H239" i="23"/>
  <c r="H238" i="23"/>
  <c r="H237" i="23"/>
  <c r="H236" i="23"/>
  <c r="H235" i="23"/>
  <c r="H234" i="23"/>
  <c r="H233" i="23"/>
  <c r="H232" i="23"/>
  <c r="H231" i="23"/>
  <c r="H230" i="23"/>
  <c r="H229" i="23"/>
  <c r="H228" i="23"/>
  <c r="H227" i="23"/>
  <c r="H226" i="23"/>
  <c r="H225" i="23"/>
  <c r="H224" i="23"/>
  <c r="H223" i="23"/>
  <c r="H222" i="23"/>
  <c r="H221" i="23"/>
  <c r="H220" i="23"/>
  <c r="H219" i="23"/>
  <c r="H218" i="23"/>
  <c r="H217" i="23"/>
  <c r="H216" i="23"/>
  <c r="H215" i="23"/>
  <c r="H214" i="23"/>
  <c r="H213" i="23"/>
  <c r="H212" i="23"/>
  <c r="H211" i="23"/>
  <c r="H210" i="23"/>
  <c r="H209" i="23"/>
  <c r="H208" i="23"/>
  <c r="H207" i="23"/>
  <c r="H206" i="23"/>
  <c r="H205" i="23"/>
  <c r="H204" i="23"/>
  <c r="H203" i="23"/>
  <c r="H202" i="23"/>
  <c r="H201" i="23"/>
  <c r="H200" i="23"/>
  <c r="H199" i="23"/>
  <c r="H198" i="23"/>
  <c r="H197" i="23"/>
  <c r="H196" i="23"/>
  <c r="H195" i="23"/>
  <c r="H194" i="23"/>
  <c r="H193" i="23"/>
  <c r="H192" i="23"/>
  <c r="H191" i="23"/>
  <c r="H190" i="23"/>
  <c r="H189" i="23"/>
  <c r="H188" i="23"/>
  <c r="H187" i="23"/>
  <c r="H186" i="23"/>
  <c r="H185" i="23"/>
  <c r="H184" i="23"/>
  <c r="H183" i="23"/>
  <c r="H182" i="23"/>
  <c r="H181" i="23"/>
  <c r="H180" i="23"/>
  <c r="H179" i="23"/>
  <c r="H178" i="23"/>
  <c r="H177" i="23"/>
  <c r="H176" i="23"/>
  <c r="H175" i="23"/>
  <c r="H174" i="23"/>
  <c r="H173" i="23"/>
  <c r="H172" i="23"/>
  <c r="H171" i="23"/>
  <c r="H170" i="23"/>
  <c r="H169" i="23"/>
  <c r="H168" i="23"/>
  <c r="H167" i="23"/>
  <c r="H166" i="23"/>
  <c r="H165" i="23"/>
  <c r="H164" i="23"/>
  <c r="H163" i="23"/>
  <c r="H162" i="23"/>
  <c r="H161" i="23"/>
  <c r="H160" i="23"/>
  <c r="H159" i="23"/>
  <c r="H158" i="23"/>
  <c r="H157" i="23"/>
  <c r="H156" i="23"/>
  <c r="H155" i="23"/>
  <c r="H154" i="23"/>
  <c r="H153" i="23"/>
  <c r="H152" i="23"/>
  <c r="H151" i="23"/>
  <c r="H150" i="23"/>
  <c r="H149" i="23"/>
  <c r="H148" i="23"/>
  <c r="H147" i="23"/>
  <c r="H146" i="23"/>
  <c r="H145" i="23"/>
  <c r="H144" i="23"/>
  <c r="H143" i="23"/>
  <c r="H142" i="23"/>
  <c r="H141" i="23"/>
  <c r="H140" i="23"/>
  <c r="H139" i="23"/>
  <c r="H138" i="23"/>
  <c r="H137" i="23"/>
  <c r="H136" i="23"/>
  <c r="H135" i="23"/>
  <c r="H134" i="23"/>
  <c r="H133" i="23"/>
  <c r="H132" i="23"/>
  <c r="H131" i="23"/>
  <c r="H130" i="23"/>
  <c r="H129" i="23"/>
  <c r="H128" i="23"/>
  <c r="H127" i="23"/>
  <c r="H126" i="23"/>
  <c r="H125" i="23"/>
  <c r="H124" i="23"/>
  <c r="H123" i="23"/>
  <c r="H122" i="23"/>
  <c r="H121" i="23"/>
  <c r="H120" i="23"/>
  <c r="H119" i="23"/>
  <c r="H118" i="23"/>
  <c r="H117" i="23"/>
  <c r="H116" i="23"/>
  <c r="H115" i="23"/>
  <c r="H114" i="23"/>
  <c r="H113" i="23"/>
  <c r="H112" i="23"/>
  <c r="H111" i="23"/>
  <c r="H110" i="23"/>
  <c r="H109" i="23"/>
  <c r="H108" i="23"/>
  <c r="H107" i="23"/>
  <c r="H106" i="23"/>
  <c r="H105" i="23"/>
  <c r="H104" i="23"/>
  <c r="H103" i="23"/>
  <c r="H102" i="23"/>
  <c r="H101" i="23"/>
  <c r="H100" i="23"/>
  <c r="H99" i="23"/>
  <c r="H98" i="23"/>
  <c r="H97" i="23"/>
  <c r="H96" i="23"/>
  <c r="H95" i="23"/>
  <c r="H94" i="23"/>
  <c r="H93" i="23"/>
  <c r="H92" i="23"/>
  <c r="H91" i="23"/>
  <c r="H90" i="23"/>
  <c r="H89" i="23"/>
  <c r="H88" i="23"/>
  <c r="H87" i="23"/>
  <c r="H86" i="23"/>
  <c r="H85" i="23"/>
  <c r="H84" i="23"/>
  <c r="H83" i="23"/>
  <c r="H82" i="23"/>
  <c r="H81" i="23"/>
  <c r="H80" i="23"/>
  <c r="H79" i="23"/>
  <c r="H78" i="23"/>
  <c r="H77" i="23"/>
  <c r="H76" i="23"/>
  <c r="U75" i="23"/>
  <c r="T75" i="23"/>
  <c r="S75" i="23"/>
  <c r="H75" i="23"/>
  <c r="U74" i="23"/>
  <c r="T74" i="23"/>
  <c r="S74" i="23"/>
  <c r="H74" i="23"/>
  <c r="U73" i="23"/>
  <c r="T73" i="23"/>
  <c r="S73" i="23"/>
  <c r="H73" i="23"/>
  <c r="U72" i="23"/>
  <c r="T72" i="23"/>
  <c r="S72" i="23"/>
  <c r="H72" i="23"/>
  <c r="U71" i="23"/>
  <c r="T71" i="23"/>
  <c r="S71" i="23"/>
  <c r="H71" i="23"/>
  <c r="U70" i="23"/>
  <c r="T70" i="23"/>
  <c r="S70" i="23"/>
  <c r="H70" i="23"/>
  <c r="U69" i="23"/>
  <c r="T69" i="23"/>
  <c r="S69" i="23"/>
  <c r="H69" i="23"/>
  <c r="U68" i="23"/>
  <c r="T68" i="23"/>
  <c r="S68" i="23"/>
  <c r="H68" i="23"/>
  <c r="U67" i="23"/>
  <c r="T67" i="23"/>
  <c r="S67" i="23"/>
  <c r="H67" i="23"/>
  <c r="U66" i="23"/>
  <c r="T66" i="23"/>
  <c r="S66" i="23"/>
  <c r="H66" i="23"/>
  <c r="U65" i="23"/>
  <c r="T65" i="23"/>
  <c r="S65" i="23"/>
  <c r="H65" i="23"/>
  <c r="U64" i="23"/>
  <c r="T64" i="23"/>
  <c r="S64" i="23"/>
  <c r="H64" i="23"/>
  <c r="U63" i="23"/>
  <c r="T63" i="23"/>
  <c r="S63" i="23"/>
  <c r="H63" i="23"/>
  <c r="U62" i="23"/>
  <c r="T62" i="23"/>
  <c r="S62" i="23"/>
  <c r="H62" i="23"/>
  <c r="U61" i="23"/>
  <c r="T61" i="23"/>
  <c r="S61" i="23"/>
  <c r="H61" i="23"/>
  <c r="U60" i="23"/>
  <c r="T60" i="23"/>
  <c r="S60" i="23"/>
  <c r="H60" i="23"/>
  <c r="U59" i="23"/>
  <c r="T59" i="23"/>
  <c r="S59" i="23"/>
  <c r="H59" i="23"/>
  <c r="U58" i="23"/>
  <c r="T58" i="23"/>
  <c r="S58" i="23"/>
  <c r="H58" i="23"/>
  <c r="U57" i="23"/>
  <c r="T57" i="23"/>
  <c r="S57" i="23"/>
  <c r="H57" i="23"/>
  <c r="U56" i="23"/>
  <c r="T56" i="23"/>
  <c r="S56" i="23"/>
  <c r="H56" i="23"/>
  <c r="U55" i="23"/>
  <c r="T55" i="23"/>
  <c r="S55" i="23"/>
  <c r="H55" i="23"/>
  <c r="U54" i="23"/>
  <c r="T54" i="23"/>
  <c r="S54" i="23"/>
  <c r="H54" i="23"/>
  <c r="U53" i="23"/>
  <c r="T53" i="23"/>
  <c r="S53" i="23"/>
  <c r="H53" i="23"/>
  <c r="U52" i="23"/>
  <c r="T52" i="23"/>
  <c r="S52" i="23"/>
  <c r="H52" i="23"/>
  <c r="U51" i="23"/>
  <c r="T51" i="23"/>
  <c r="S51" i="23"/>
  <c r="H51" i="23"/>
  <c r="U50" i="23"/>
  <c r="T50" i="23"/>
  <c r="S50" i="23"/>
  <c r="H50" i="23"/>
  <c r="U49" i="23"/>
  <c r="T49" i="23"/>
  <c r="S49" i="23"/>
  <c r="H49" i="23"/>
  <c r="U48" i="23"/>
  <c r="T48" i="23"/>
  <c r="S48" i="23"/>
  <c r="H48" i="23"/>
  <c r="U47" i="23"/>
  <c r="T47" i="23"/>
  <c r="S47" i="23"/>
  <c r="H47" i="23"/>
  <c r="U46" i="23"/>
  <c r="T46" i="23"/>
  <c r="S46" i="23"/>
  <c r="H46" i="23"/>
  <c r="U45" i="23"/>
  <c r="T45" i="23"/>
  <c r="S45" i="23"/>
  <c r="H45" i="23"/>
  <c r="U44" i="23"/>
  <c r="T44" i="23"/>
  <c r="S44" i="23"/>
  <c r="H44" i="23"/>
  <c r="U43" i="23"/>
  <c r="T43" i="23"/>
  <c r="S43" i="23"/>
  <c r="H43" i="23"/>
  <c r="U42" i="23"/>
  <c r="T42" i="23"/>
  <c r="S42" i="23"/>
  <c r="H42" i="23"/>
  <c r="U41" i="23"/>
  <c r="T41" i="23"/>
  <c r="S41" i="23"/>
  <c r="H41" i="23"/>
  <c r="U40" i="23"/>
  <c r="T40" i="23"/>
  <c r="S40" i="23"/>
  <c r="H40" i="23"/>
  <c r="U39" i="23"/>
  <c r="T39" i="23"/>
  <c r="S39" i="23"/>
  <c r="H39" i="23"/>
  <c r="U38" i="23"/>
  <c r="T38" i="23"/>
  <c r="S38" i="23"/>
  <c r="H38" i="23"/>
  <c r="U37" i="23"/>
  <c r="T37" i="23"/>
  <c r="S37" i="23"/>
  <c r="H37" i="23"/>
  <c r="U36" i="23"/>
  <c r="T36" i="23"/>
  <c r="S36" i="23"/>
  <c r="H36" i="23"/>
  <c r="U35" i="23"/>
  <c r="T35" i="23"/>
  <c r="S35" i="23"/>
  <c r="H35" i="23"/>
  <c r="U34" i="23"/>
  <c r="T34" i="23"/>
  <c r="S34" i="23"/>
  <c r="H34" i="23"/>
  <c r="U33" i="23"/>
  <c r="T33" i="23"/>
  <c r="S33" i="23"/>
  <c r="H33" i="23"/>
  <c r="U32" i="23"/>
  <c r="T32" i="23"/>
  <c r="S32" i="23"/>
  <c r="H32" i="23"/>
  <c r="U31" i="23"/>
  <c r="T31" i="23"/>
  <c r="S31" i="23"/>
  <c r="H31" i="23"/>
  <c r="U30" i="23"/>
  <c r="T30" i="23"/>
  <c r="S30" i="23"/>
  <c r="H30" i="23"/>
  <c r="U29" i="23"/>
  <c r="T29" i="23"/>
  <c r="S29" i="23"/>
  <c r="H29" i="23"/>
  <c r="U28" i="23"/>
  <c r="T28" i="23"/>
  <c r="S28" i="23"/>
  <c r="H28" i="23"/>
  <c r="U27" i="23"/>
  <c r="T27" i="23"/>
  <c r="S27" i="23"/>
  <c r="H27" i="23"/>
  <c r="U26" i="23"/>
  <c r="T26" i="23"/>
  <c r="S26" i="23"/>
  <c r="H26" i="23"/>
  <c r="U25" i="23"/>
  <c r="T25" i="23"/>
  <c r="S25" i="23"/>
  <c r="H25" i="23"/>
  <c r="U24" i="23"/>
  <c r="T24" i="23"/>
  <c r="S24" i="23"/>
  <c r="H24" i="23"/>
  <c r="U23" i="23"/>
  <c r="T23" i="23"/>
  <c r="S23" i="23"/>
  <c r="H23" i="23"/>
  <c r="U22" i="23"/>
  <c r="T22" i="23"/>
  <c r="S22" i="23"/>
  <c r="H22" i="23"/>
  <c r="U21" i="23"/>
  <c r="T21" i="23"/>
  <c r="S21" i="23"/>
  <c r="H21" i="23"/>
  <c r="U20" i="23"/>
  <c r="T20" i="23"/>
  <c r="S20" i="23"/>
  <c r="H20" i="23"/>
  <c r="U19" i="23"/>
  <c r="T19" i="23"/>
  <c r="S19" i="23"/>
  <c r="H19" i="23"/>
  <c r="U18" i="23"/>
  <c r="T18" i="23"/>
  <c r="S18" i="23"/>
  <c r="H18" i="23"/>
  <c r="U17" i="23"/>
  <c r="T17" i="23"/>
  <c r="S17" i="23"/>
  <c r="H17" i="23"/>
  <c r="U16" i="23"/>
  <c r="T16" i="23"/>
  <c r="S16" i="23"/>
  <c r="H16" i="23"/>
  <c r="P9" i="23"/>
  <c r="G401" i="21" s="1"/>
  <c r="O9" i="23"/>
  <c r="G400" i="21" s="1"/>
  <c r="N9" i="23"/>
  <c r="G399" i="21" s="1"/>
  <c r="M9" i="23"/>
  <c r="G398" i="21" s="1"/>
  <c r="L9" i="23"/>
  <c r="G397" i="21" s="1"/>
  <c r="K9" i="23"/>
  <c r="G396" i="21" s="1"/>
  <c r="J9" i="23"/>
  <c r="G395" i="21" s="1"/>
  <c r="I9" i="23"/>
  <c r="G394" i="21" s="1"/>
  <c r="H9" i="23"/>
  <c r="G393" i="21" s="1"/>
  <c r="G9" i="23"/>
  <c r="G392" i="21" s="1"/>
  <c r="E9" i="23"/>
  <c r="G390" i="21" s="1"/>
  <c r="D9" i="23"/>
  <c r="G389" i="21" s="1"/>
  <c r="C9" i="23"/>
  <c r="G388" i="21" s="1"/>
  <c r="B9" i="23"/>
  <c r="P8" i="23"/>
  <c r="G381" i="21" s="1"/>
  <c r="O8" i="23"/>
  <c r="G380" i="21" s="1"/>
  <c r="N8" i="23"/>
  <c r="G379" i="21" s="1"/>
  <c r="M8" i="23"/>
  <c r="G378" i="21" s="1"/>
  <c r="L8" i="23"/>
  <c r="G377" i="21" s="1"/>
  <c r="K8" i="23"/>
  <c r="G376" i="21" s="1"/>
  <c r="J8" i="23"/>
  <c r="G375" i="21" s="1"/>
  <c r="I8" i="23"/>
  <c r="G374" i="21" s="1"/>
  <c r="H8" i="23"/>
  <c r="G373" i="21" s="1"/>
  <c r="G8" i="23"/>
  <c r="G372" i="21" s="1"/>
  <c r="F8" i="23"/>
  <c r="G371" i="21" s="1"/>
  <c r="E8" i="23"/>
  <c r="G370" i="21" s="1"/>
  <c r="D8" i="23"/>
  <c r="G369" i="21" s="1"/>
  <c r="C8" i="23"/>
  <c r="G368" i="21" s="1"/>
  <c r="B8" i="23"/>
  <c r="P7" i="23"/>
  <c r="G361" i="21" s="1"/>
  <c r="O7" i="23"/>
  <c r="G360" i="21" s="1"/>
  <c r="N7" i="23"/>
  <c r="G359" i="21" s="1"/>
  <c r="M7" i="23"/>
  <c r="G358" i="21" s="1"/>
  <c r="L7" i="23"/>
  <c r="G357" i="21" s="1"/>
  <c r="K7" i="23"/>
  <c r="G356" i="21" s="1"/>
  <c r="J7" i="23"/>
  <c r="G355" i="21" s="1"/>
  <c r="I7" i="23"/>
  <c r="G354" i="21" s="1"/>
  <c r="H7" i="23"/>
  <c r="G353" i="21" s="1"/>
  <c r="G7" i="23"/>
  <c r="G352" i="21" s="1"/>
  <c r="F7" i="23"/>
  <c r="G351" i="21" s="1"/>
  <c r="E7" i="23"/>
  <c r="G350" i="21" s="1"/>
  <c r="D7" i="23"/>
  <c r="G349" i="21" s="1"/>
  <c r="C7" i="23"/>
  <c r="G348" i="21" s="1"/>
  <c r="B7" i="23"/>
  <c r="P6" i="23"/>
  <c r="G341" i="21" s="1"/>
  <c r="O6" i="23"/>
  <c r="G340" i="21" s="1"/>
  <c r="N6" i="23"/>
  <c r="G339" i="21" s="1"/>
  <c r="M6" i="23"/>
  <c r="G338" i="21" s="1"/>
  <c r="L6" i="23"/>
  <c r="G337" i="21" s="1"/>
  <c r="K6" i="23"/>
  <c r="G336" i="21" s="1"/>
  <c r="J6" i="23"/>
  <c r="G335" i="21" s="1"/>
  <c r="I6" i="23"/>
  <c r="G334" i="21" s="1"/>
  <c r="H6" i="23"/>
  <c r="G333" i="21" s="1"/>
  <c r="G6" i="23"/>
  <c r="G332" i="21" s="1"/>
  <c r="F6" i="23"/>
  <c r="G331" i="21" s="1"/>
  <c r="E6" i="23"/>
  <c r="G330" i="21" s="1"/>
  <c r="D6" i="23"/>
  <c r="G329" i="21" s="1"/>
  <c r="C6" i="23"/>
  <c r="G328" i="21" s="1"/>
  <c r="B6" i="23"/>
  <c r="P5" i="23"/>
  <c r="G321" i="21" s="1"/>
  <c r="O5" i="23"/>
  <c r="G320" i="21" s="1"/>
  <c r="N5" i="23"/>
  <c r="G319" i="21" s="1"/>
  <c r="M5" i="23"/>
  <c r="G318" i="21" s="1"/>
  <c r="L5" i="23"/>
  <c r="G317" i="21" s="1"/>
  <c r="K5" i="23"/>
  <c r="G316" i="21" s="1"/>
  <c r="J5" i="23"/>
  <c r="G315" i="21" s="1"/>
  <c r="I5" i="23"/>
  <c r="G314" i="21" s="1"/>
  <c r="H5" i="23"/>
  <c r="G313" i="21" s="1"/>
  <c r="G5" i="23"/>
  <c r="G312" i="21" s="1"/>
  <c r="F5" i="23"/>
  <c r="G311" i="21" s="1"/>
  <c r="E5" i="23"/>
  <c r="G310" i="21" s="1"/>
  <c r="D5" i="23"/>
  <c r="G309" i="21" s="1"/>
  <c r="C5" i="23"/>
  <c r="G308" i="21" s="1"/>
  <c r="B5" i="23"/>
  <c r="G132" i="22"/>
  <c r="G131" i="22"/>
  <c r="G130" i="22"/>
  <c r="G129" i="22"/>
  <c r="G128" i="22"/>
  <c r="G127" i="22"/>
  <c r="G126" i="22"/>
  <c r="G125" i="22"/>
  <c r="G124" i="22"/>
  <c r="G123" i="22"/>
  <c r="G122" i="22"/>
  <c r="G121" i="22"/>
  <c r="G120" i="22"/>
  <c r="G119" i="22"/>
  <c r="G118" i="22"/>
  <c r="G117" i="22"/>
  <c r="G116" i="22"/>
  <c r="G115" i="22"/>
  <c r="G114" i="22"/>
  <c r="G113" i="22"/>
  <c r="G112" i="22"/>
  <c r="G111" i="22"/>
  <c r="G110" i="22"/>
  <c r="G109" i="22"/>
  <c r="G108" i="22"/>
  <c r="G107" i="22"/>
  <c r="G106" i="22"/>
  <c r="G105" i="22"/>
  <c r="G104" i="22"/>
  <c r="G103" i="22"/>
  <c r="G102" i="22"/>
  <c r="G101" i="22"/>
  <c r="G100" i="22"/>
  <c r="G99" i="22"/>
  <c r="G98" i="22"/>
  <c r="G97" i="22"/>
  <c r="G544" i="21" s="1"/>
  <c r="G96" i="22"/>
  <c r="G95" i="22"/>
  <c r="G94" i="22"/>
  <c r="G509" i="21" s="1"/>
  <c r="I509" i="21" s="1"/>
  <c r="G93" i="22"/>
  <c r="G92" i="22"/>
  <c r="G91" i="22"/>
  <c r="G90" i="22"/>
  <c r="G89" i="22"/>
  <c r="G88" i="22"/>
  <c r="G87" i="22"/>
  <c r="G86" i="22"/>
  <c r="G85" i="22"/>
  <c r="G84" i="22"/>
  <c r="G83" i="22"/>
  <c r="G82" i="22"/>
  <c r="G81" i="22"/>
  <c r="G80" i="22"/>
  <c r="G79" i="22"/>
  <c r="G78" i="22"/>
  <c r="G77" i="22"/>
  <c r="G76" i="22"/>
  <c r="G75" i="22"/>
  <c r="G74" i="22"/>
  <c r="G73" i="22"/>
  <c r="G72" i="22"/>
  <c r="G71" i="22"/>
  <c r="G246" i="21" s="1"/>
  <c r="G70" i="22"/>
  <c r="G69" i="22"/>
  <c r="G68" i="22"/>
  <c r="G67" i="22"/>
  <c r="G66" i="22"/>
  <c r="G94" i="21" s="1"/>
  <c r="G65" i="22"/>
  <c r="G64" i="22"/>
  <c r="G63" i="22"/>
  <c r="G62" i="22"/>
  <c r="G61" i="22"/>
  <c r="G60" i="22"/>
  <c r="G59" i="22"/>
  <c r="G58" i="22"/>
  <c r="G57" i="22"/>
  <c r="G56" i="22"/>
  <c r="G55" i="22"/>
  <c r="G54" i="22"/>
  <c r="G53" i="22"/>
  <c r="G52" i="22"/>
  <c r="G51" i="22"/>
  <c r="G50" i="22"/>
  <c r="G49" i="22"/>
  <c r="G48" i="22"/>
  <c r="G47" i="22"/>
  <c r="G46" i="22"/>
  <c r="G45" i="22"/>
  <c r="G44" i="22"/>
  <c r="G43" i="22"/>
  <c r="G42" i="22"/>
  <c r="G41" i="22"/>
  <c r="G40" i="22"/>
  <c r="G39" i="22"/>
  <c r="G38" i="22"/>
  <c r="G37" i="22"/>
  <c r="G36" i="22"/>
  <c r="G35" i="22"/>
  <c r="G34" i="22"/>
  <c r="G33" i="22"/>
  <c r="G32" i="22"/>
  <c r="G31" i="22"/>
  <c r="G30" i="22"/>
  <c r="G29" i="22"/>
  <c r="H406" i="21" s="1"/>
  <c r="G28" i="22"/>
  <c r="H405" i="21" s="1"/>
  <c r="M37" i="20" s="1"/>
  <c r="G27" i="22"/>
  <c r="G26" i="22"/>
  <c r="G25" i="22"/>
  <c r="G24" i="22"/>
  <c r="G23" i="22"/>
  <c r="G22" i="22"/>
  <c r="G21" i="22"/>
  <c r="G20" i="22"/>
  <c r="G19" i="22"/>
  <c r="G18" i="22"/>
  <c r="G17" i="22"/>
  <c r="G16" i="22"/>
  <c r="G15" i="22"/>
  <c r="G14" i="22"/>
  <c r="D241" i="24" s="1"/>
  <c r="F241" i="24" s="1"/>
  <c r="G13" i="22"/>
  <c r="D240" i="24" s="1"/>
  <c r="F240" i="24" s="1"/>
  <c r="G12" i="22"/>
  <c r="G11" i="22"/>
  <c r="G10" i="22"/>
  <c r="G9" i="22"/>
  <c r="G8" i="22"/>
  <c r="G7" i="22"/>
  <c r="G6" i="22"/>
  <c r="G1686" i="21"/>
  <c r="G1685" i="21"/>
  <c r="G1684" i="21"/>
  <c r="G1683" i="21"/>
  <c r="G1682" i="21"/>
  <c r="G1681" i="21"/>
  <c r="G1680" i="21"/>
  <c r="G1679" i="21"/>
  <c r="G1678" i="21"/>
  <c r="H1677" i="21"/>
  <c r="H1676" i="21"/>
  <c r="H1675" i="21"/>
  <c r="H1674" i="21"/>
  <c r="H1673" i="21"/>
  <c r="H1672" i="21"/>
  <c r="H1671" i="21"/>
  <c r="H1670" i="21"/>
  <c r="H1669" i="21"/>
  <c r="H1668" i="21"/>
  <c r="H1667" i="21"/>
  <c r="H1666" i="21"/>
  <c r="H1665" i="21"/>
  <c r="H1664" i="21"/>
  <c r="H1663" i="21"/>
  <c r="H1662" i="21"/>
  <c r="H1661" i="21"/>
  <c r="H1660" i="21"/>
  <c r="H1658" i="21"/>
  <c r="H1657" i="21"/>
  <c r="H1655" i="21"/>
  <c r="H1654" i="21"/>
  <c r="H1652" i="21"/>
  <c r="H1651" i="21"/>
  <c r="H1649" i="21"/>
  <c r="G1649" i="21"/>
  <c r="I1649" i="21" s="1"/>
  <c r="H1648" i="21"/>
  <c r="H1647" i="21"/>
  <c r="G1647" i="21"/>
  <c r="I1647" i="21" s="1"/>
  <c r="H1646" i="21"/>
  <c r="H1645" i="21"/>
  <c r="G1645" i="21"/>
  <c r="I1645" i="21" s="1"/>
  <c r="H1644" i="21"/>
  <c r="H1643" i="21"/>
  <c r="H1642" i="21"/>
  <c r="H1641" i="21"/>
  <c r="H1640" i="21"/>
  <c r="H1639" i="21"/>
  <c r="H1638" i="21"/>
  <c r="H1637" i="21"/>
  <c r="H1636" i="21"/>
  <c r="G1635" i="21"/>
  <c r="G1634" i="21"/>
  <c r="G1633" i="21"/>
  <c r="G1632" i="21"/>
  <c r="G1631" i="21"/>
  <c r="G1630" i="21"/>
  <c r="G1629" i="21"/>
  <c r="G1628" i="21"/>
  <c r="G1627" i="21"/>
  <c r="H1626" i="21"/>
  <c r="H1625" i="21"/>
  <c r="H1624" i="21"/>
  <c r="H1623" i="21"/>
  <c r="H1622" i="21"/>
  <c r="H1621" i="21"/>
  <c r="H1620" i="21"/>
  <c r="H1619" i="21"/>
  <c r="H1618" i="21"/>
  <c r="H1617" i="21"/>
  <c r="H1616" i="21"/>
  <c r="H1615" i="21"/>
  <c r="H1614" i="21"/>
  <c r="G1614" i="21"/>
  <c r="H1613" i="21"/>
  <c r="G1613" i="21"/>
  <c r="I1613" i="21" s="1"/>
  <c r="H1612" i="21"/>
  <c r="G1612" i="21"/>
  <c r="I1612" i="21" s="1"/>
  <c r="H1611" i="21"/>
  <c r="G1611" i="21"/>
  <c r="I1611" i="21" s="1"/>
  <c r="H1610" i="21"/>
  <c r="G1610" i="21"/>
  <c r="I1610" i="21" s="1"/>
  <c r="H1609" i="21"/>
  <c r="G1609" i="21"/>
  <c r="I1609" i="21" s="1"/>
  <c r="H1608" i="21"/>
  <c r="G1608" i="21"/>
  <c r="I1608" i="21" s="1"/>
  <c r="H1607" i="21"/>
  <c r="G1607" i="21"/>
  <c r="I1607" i="21" s="1"/>
  <c r="H1606" i="21"/>
  <c r="G1606" i="21"/>
  <c r="I1606" i="21" s="1"/>
  <c r="H1605" i="21"/>
  <c r="G1605" i="21"/>
  <c r="I1605" i="21" s="1"/>
  <c r="H1604" i="21"/>
  <c r="G1604" i="21"/>
  <c r="I1604" i="21" s="1"/>
  <c r="H1603" i="21"/>
  <c r="G1603" i="21"/>
  <c r="H1602" i="21"/>
  <c r="G1602" i="21"/>
  <c r="I1602" i="21" s="1"/>
  <c r="H1601" i="21"/>
  <c r="G1601" i="21"/>
  <c r="I1601" i="21" s="1"/>
  <c r="H1600" i="21"/>
  <c r="G1600" i="21"/>
  <c r="I1600" i="21" s="1"/>
  <c r="H1599" i="21"/>
  <c r="G1599" i="21"/>
  <c r="I1599" i="21" s="1"/>
  <c r="H1598" i="21"/>
  <c r="G1598" i="21"/>
  <c r="I1598" i="21" s="1"/>
  <c r="H1597" i="21"/>
  <c r="G1597" i="21"/>
  <c r="I1597" i="21" s="1"/>
  <c r="H1596" i="21"/>
  <c r="G1596" i="21"/>
  <c r="I1596" i="21" s="1"/>
  <c r="H1595" i="21"/>
  <c r="G1595" i="21"/>
  <c r="I1595" i="21" s="1"/>
  <c r="H1594" i="21"/>
  <c r="G1594" i="21"/>
  <c r="I1594" i="21" s="1"/>
  <c r="H1593" i="21"/>
  <c r="G1593" i="21"/>
  <c r="I1593" i="21" s="1"/>
  <c r="H1592" i="21"/>
  <c r="G1592" i="21"/>
  <c r="H1591" i="21"/>
  <c r="G1591" i="21"/>
  <c r="I1591" i="21" s="1"/>
  <c r="H1590" i="21"/>
  <c r="G1590" i="21"/>
  <c r="I1590" i="21" s="1"/>
  <c r="H1589" i="21"/>
  <c r="G1589" i="21"/>
  <c r="I1589" i="21" s="1"/>
  <c r="H1588" i="21"/>
  <c r="G1588" i="21"/>
  <c r="I1588" i="21" s="1"/>
  <c r="H1587" i="21"/>
  <c r="G1587" i="21"/>
  <c r="I1587" i="21" s="1"/>
  <c r="H1586" i="21"/>
  <c r="G1586" i="21"/>
  <c r="I1586" i="21" s="1"/>
  <c r="H1585" i="21"/>
  <c r="G1585" i="21"/>
  <c r="I1585" i="21" s="1"/>
  <c r="H1584" i="21"/>
  <c r="G1584" i="21"/>
  <c r="I1584" i="21" s="1"/>
  <c r="H1583" i="21"/>
  <c r="G1583" i="21"/>
  <c r="I1583" i="21" s="1"/>
  <c r="H1582" i="21"/>
  <c r="G1582" i="21"/>
  <c r="I1582" i="21" s="1"/>
  <c r="H1581" i="21"/>
  <c r="G1581" i="21"/>
  <c r="H1580" i="21"/>
  <c r="G1580" i="21"/>
  <c r="I1580" i="21" s="1"/>
  <c r="H1579" i="21"/>
  <c r="G1579" i="21"/>
  <c r="I1579" i="21" s="1"/>
  <c r="H1578" i="21"/>
  <c r="G1578" i="21"/>
  <c r="I1578" i="21" s="1"/>
  <c r="H1577" i="21"/>
  <c r="G1577" i="21"/>
  <c r="I1577" i="21" s="1"/>
  <c r="H1576" i="21"/>
  <c r="G1576" i="21"/>
  <c r="I1576" i="21" s="1"/>
  <c r="H1575" i="21"/>
  <c r="G1575" i="21"/>
  <c r="I1575" i="21" s="1"/>
  <c r="H1574" i="21"/>
  <c r="G1574" i="21"/>
  <c r="I1574" i="21" s="1"/>
  <c r="H1573" i="21"/>
  <c r="G1573" i="21"/>
  <c r="I1573" i="21" s="1"/>
  <c r="H1572" i="21"/>
  <c r="G1572" i="21"/>
  <c r="I1572" i="21" s="1"/>
  <c r="H1571" i="21"/>
  <c r="G1571" i="21"/>
  <c r="I1571" i="21" s="1"/>
  <c r="H1570" i="21"/>
  <c r="G1570" i="21"/>
  <c r="I1570" i="21" s="1"/>
  <c r="H1569" i="21"/>
  <c r="G1569" i="21"/>
  <c r="I1569" i="21" s="1"/>
  <c r="H1568" i="21"/>
  <c r="G1568" i="21"/>
  <c r="I1568" i="21" s="1"/>
  <c r="H1567" i="21"/>
  <c r="H1566" i="21"/>
  <c r="G1566" i="21"/>
  <c r="I1566" i="21" s="1"/>
  <c r="H1565" i="21"/>
  <c r="G1565" i="21"/>
  <c r="I1565" i="21" s="1"/>
  <c r="H1564" i="21"/>
  <c r="G1564" i="21"/>
  <c r="I1564" i="21" s="1"/>
  <c r="H1563" i="21"/>
  <c r="H1562" i="21"/>
  <c r="G1562" i="21"/>
  <c r="I1562" i="21" s="1"/>
  <c r="H1561" i="21"/>
  <c r="G1561" i="21"/>
  <c r="I1561" i="21" s="1"/>
  <c r="H1560" i="21"/>
  <c r="G1560" i="21"/>
  <c r="H1559" i="21"/>
  <c r="G1559" i="21"/>
  <c r="H1558" i="21"/>
  <c r="G1558" i="21"/>
  <c r="I1558" i="21" s="1"/>
  <c r="H1557" i="21"/>
  <c r="G1557" i="21"/>
  <c r="I1557" i="21" s="1"/>
  <c r="H1556" i="21"/>
  <c r="G1556" i="21"/>
  <c r="I1556" i="21" s="1"/>
  <c r="H1555" i="21"/>
  <c r="G1555" i="21"/>
  <c r="H1554" i="21"/>
  <c r="G1554" i="21"/>
  <c r="I1554" i="21" s="1"/>
  <c r="H1553" i="21"/>
  <c r="G1553" i="21"/>
  <c r="H1552" i="21"/>
  <c r="G1552" i="21"/>
  <c r="I1552" i="21" s="1"/>
  <c r="H1551" i="21"/>
  <c r="G1551" i="21"/>
  <c r="H1550" i="21"/>
  <c r="G1550" i="21"/>
  <c r="H1549" i="21"/>
  <c r="G1549" i="21"/>
  <c r="I1549" i="21" s="1"/>
  <c r="H1548" i="21"/>
  <c r="G1548" i="21"/>
  <c r="I1548" i="21" s="1"/>
  <c r="H1547" i="21"/>
  <c r="G1547" i="21"/>
  <c r="I1547" i="21" s="1"/>
  <c r="H1546" i="21"/>
  <c r="G1546" i="21"/>
  <c r="I1546" i="21" s="1"/>
  <c r="H1545" i="21"/>
  <c r="G1545" i="21"/>
  <c r="I1545" i="21" s="1"/>
  <c r="H1544" i="21"/>
  <c r="G1544" i="21"/>
  <c r="I1544" i="21" s="1"/>
  <c r="H1543" i="21"/>
  <c r="G1543" i="21"/>
  <c r="I1543" i="21" s="1"/>
  <c r="H1542" i="21"/>
  <c r="G1542" i="21"/>
  <c r="I1542" i="21" s="1"/>
  <c r="H1541" i="21"/>
  <c r="G1541" i="21"/>
  <c r="I1541" i="21" s="1"/>
  <c r="H1540" i="21"/>
  <c r="G1540" i="21"/>
  <c r="I1540" i="21" s="1"/>
  <c r="H1539" i="21"/>
  <c r="G1539" i="21"/>
  <c r="H1538" i="21"/>
  <c r="G1538" i="21"/>
  <c r="I1538" i="21" s="1"/>
  <c r="H1537" i="21"/>
  <c r="G1537" i="21"/>
  <c r="I1537" i="21" s="1"/>
  <c r="H1536" i="21"/>
  <c r="G1536" i="21"/>
  <c r="I1536" i="21" s="1"/>
  <c r="H1535" i="21"/>
  <c r="G1535" i="21"/>
  <c r="I1535" i="21" s="1"/>
  <c r="H1534" i="21"/>
  <c r="G1534" i="21"/>
  <c r="I1534" i="21" s="1"/>
  <c r="H1533" i="21"/>
  <c r="G1533" i="21"/>
  <c r="I1533" i="21" s="1"/>
  <c r="H1532" i="21"/>
  <c r="G1532" i="21"/>
  <c r="I1532" i="21" s="1"/>
  <c r="H1531" i="21"/>
  <c r="G1531" i="21"/>
  <c r="I1531" i="21" s="1"/>
  <c r="H1530" i="21"/>
  <c r="G1530" i="21"/>
  <c r="I1530" i="21" s="1"/>
  <c r="H1529" i="21"/>
  <c r="G1529" i="21"/>
  <c r="I1529" i="21" s="1"/>
  <c r="H1528" i="21"/>
  <c r="G1528" i="21"/>
  <c r="H1527" i="21"/>
  <c r="G1527" i="21"/>
  <c r="I1527" i="21" s="1"/>
  <c r="H1526" i="21"/>
  <c r="G1526" i="21"/>
  <c r="I1526" i="21" s="1"/>
  <c r="H1525" i="21"/>
  <c r="G1525" i="21"/>
  <c r="I1525" i="21" s="1"/>
  <c r="H1524" i="21"/>
  <c r="G1524" i="21"/>
  <c r="I1524" i="21" s="1"/>
  <c r="H1523" i="21"/>
  <c r="G1523" i="21"/>
  <c r="I1523" i="21" s="1"/>
  <c r="H1522" i="21"/>
  <c r="G1522" i="21"/>
  <c r="I1522" i="21" s="1"/>
  <c r="H1521" i="21"/>
  <c r="G1521" i="21"/>
  <c r="I1521" i="21" s="1"/>
  <c r="H1520" i="21"/>
  <c r="G1520" i="21"/>
  <c r="I1520" i="21" s="1"/>
  <c r="H1519" i="21"/>
  <c r="G1519" i="21"/>
  <c r="I1519" i="21" s="1"/>
  <c r="H1518" i="21"/>
  <c r="G1518" i="21"/>
  <c r="I1518" i="21" s="1"/>
  <c r="H1517" i="21"/>
  <c r="G1517" i="21"/>
  <c r="I1517" i="21" s="1"/>
  <c r="H1516" i="21"/>
  <c r="G1516" i="21"/>
  <c r="I1516" i="21" s="1"/>
  <c r="H1515" i="21"/>
  <c r="G1515" i="21"/>
  <c r="I1515" i="21" s="1"/>
  <c r="H1514" i="21"/>
  <c r="G1514" i="21"/>
  <c r="I1514" i="21" s="1"/>
  <c r="H1513" i="21"/>
  <c r="G1513" i="21"/>
  <c r="I1513" i="21" s="1"/>
  <c r="H1512" i="21"/>
  <c r="G1512" i="21"/>
  <c r="I1512" i="21" s="1"/>
  <c r="H1511" i="21"/>
  <c r="G1511" i="21"/>
  <c r="I1511" i="21" s="1"/>
  <c r="H1510" i="21"/>
  <c r="G1510" i="21"/>
  <c r="I1510" i="21" s="1"/>
  <c r="H1509" i="21"/>
  <c r="G1509" i="21"/>
  <c r="I1509" i="21" s="1"/>
  <c r="H1508" i="21"/>
  <c r="G1508" i="21"/>
  <c r="I1508" i="21" s="1"/>
  <c r="H1507" i="21"/>
  <c r="G1507" i="21"/>
  <c r="I1507" i="21" s="1"/>
  <c r="H1500" i="21"/>
  <c r="H1499" i="21"/>
  <c r="H1490" i="21"/>
  <c r="H1489" i="21"/>
  <c r="H1480" i="21"/>
  <c r="H1479" i="21"/>
  <c r="H1470" i="21"/>
  <c r="H1469" i="21"/>
  <c r="G1466" i="21"/>
  <c r="G1465" i="21"/>
  <c r="G1464" i="21"/>
  <c r="G1463" i="21"/>
  <c r="G1462" i="21"/>
  <c r="G1461" i="21"/>
  <c r="H1460" i="21"/>
  <c r="G1460" i="21"/>
  <c r="I1460" i="21" s="1"/>
  <c r="H1459" i="21"/>
  <c r="G1459" i="21"/>
  <c r="I1459" i="21" s="1"/>
  <c r="G1458" i="21"/>
  <c r="G1457" i="21"/>
  <c r="G1456" i="21"/>
  <c r="H1449" i="21"/>
  <c r="H1448" i="21"/>
  <c r="H1439" i="21"/>
  <c r="H1438" i="21"/>
  <c r="H1429" i="21"/>
  <c r="H1428" i="21"/>
  <c r="H1419" i="21"/>
  <c r="H1418" i="21"/>
  <c r="G1415" i="21"/>
  <c r="G1414" i="21"/>
  <c r="G1413" i="21"/>
  <c r="G1412" i="21"/>
  <c r="G1411" i="21"/>
  <c r="G1410" i="21"/>
  <c r="H1409" i="21"/>
  <c r="G1409" i="21"/>
  <c r="I1409" i="21" s="1"/>
  <c r="H1408" i="21"/>
  <c r="G1408" i="21"/>
  <c r="I1408" i="21" s="1"/>
  <c r="G1407" i="21"/>
  <c r="G1406" i="21"/>
  <c r="G1405" i="21"/>
  <c r="H1404" i="21"/>
  <c r="H1403" i="21"/>
  <c r="H1400" i="21"/>
  <c r="H1399" i="21"/>
  <c r="H1396" i="21"/>
  <c r="H1395" i="21"/>
  <c r="H1392" i="21"/>
  <c r="H1391" i="21"/>
  <c r="H1388" i="21"/>
  <c r="H1387" i="21"/>
  <c r="H1383" i="21"/>
  <c r="H1382" i="21"/>
  <c r="H1379" i="21"/>
  <c r="H1378" i="21"/>
  <c r="H1375" i="21"/>
  <c r="H1374" i="21"/>
  <c r="H1371" i="21"/>
  <c r="H1370" i="21"/>
  <c r="H1367" i="21"/>
  <c r="H1366" i="21"/>
  <c r="H1362" i="21"/>
  <c r="H1361" i="21"/>
  <c r="H1358" i="21"/>
  <c r="H1357" i="21"/>
  <c r="H1354" i="21"/>
  <c r="H1353" i="21"/>
  <c r="H1350" i="21"/>
  <c r="H1349" i="21"/>
  <c r="H1346" i="21"/>
  <c r="H1345" i="21"/>
  <c r="H1341" i="21"/>
  <c r="H1340" i="21"/>
  <c r="H1337" i="21"/>
  <c r="H1336" i="21"/>
  <c r="H1333" i="21"/>
  <c r="H1332" i="21"/>
  <c r="H1329" i="21"/>
  <c r="H1328" i="21"/>
  <c r="H1325" i="21"/>
  <c r="H1324" i="21"/>
  <c r="G1320" i="21"/>
  <c r="G1319" i="21"/>
  <c r="G1318" i="21"/>
  <c r="H1317" i="21"/>
  <c r="G1317" i="21"/>
  <c r="I1317" i="21" s="1"/>
  <c r="H1316" i="21"/>
  <c r="G1316" i="21"/>
  <c r="I1316" i="21" s="1"/>
  <c r="H1315" i="21"/>
  <c r="G1315" i="21"/>
  <c r="I1315" i="21" s="1"/>
  <c r="H1314" i="21"/>
  <c r="G1314" i="21"/>
  <c r="I1314" i="21" s="1"/>
  <c r="H1313" i="21"/>
  <c r="G1313" i="21"/>
  <c r="I1313" i="21" s="1"/>
  <c r="H1312" i="21"/>
  <c r="G1312" i="21"/>
  <c r="I1312" i="21" s="1"/>
  <c r="H1311" i="21"/>
  <c r="G1311" i="21"/>
  <c r="I1311" i="21" s="1"/>
  <c r="H1310" i="21"/>
  <c r="G1310" i="21"/>
  <c r="I1310" i="21" s="1"/>
  <c r="H1309" i="21"/>
  <c r="G1309" i="21"/>
  <c r="I1309" i="21" s="1"/>
  <c r="H1308" i="21"/>
  <c r="G1308" i="21"/>
  <c r="I1308" i="21" s="1"/>
  <c r="H1307" i="21"/>
  <c r="G1307" i="21"/>
  <c r="I1307" i="21" s="1"/>
  <c r="H1306" i="21"/>
  <c r="G1306" i="21"/>
  <c r="I1306" i="21" s="1"/>
  <c r="G1305" i="21"/>
  <c r="G1304" i="21"/>
  <c r="G1303" i="21"/>
  <c r="H1302" i="21"/>
  <c r="G1302" i="21"/>
  <c r="I1302" i="21" s="1"/>
  <c r="H1301" i="21"/>
  <c r="G1301" i="21"/>
  <c r="H1300" i="21"/>
  <c r="G1300" i="21"/>
  <c r="I1300" i="21" s="1"/>
  <c r="H1299" i="21"/>
  <c r="G1299" i="21"/>
  <c r="I1299" i="21" s="1"/>
  <c r="H1298" i="21"/>
  <c r="G1298" i="21"/>
  <c r="I1298" i="21" s="1"/>
  <c r="H1297" i="21"/>
  <c r="G1297" i="21"/>
  <c r="I1297" i="21" s="1"/>
  <c r="H1296" i="21"/>
  <c r="G1296" i="21"/>
  <c r="I1296" i="21" s="1"/>
  <c r="H1295" i="21"/>
  <c r="G1295" i="21"/>
  <c r="I1295" i="21" s="1"/>
  <c r="H1294" i="21"/>
  <c r="G1294" i="21"/>
  <c r="I1294" i="21" s="1"/>
  <c r="H1293" i="21"/>
  <c r="G1293" i="21"/>
  <c r="I1293" i="21" s="1"/>
  <c r="H1292" i="21"/>
  <c r="G1292" i="21"/>
  <c r="I1292" i="21" s="1"/>
  <c r="H1291" i="21"/>
  <c r="G1291" i="21"/>
  <c r="I1291" i="21" s="1"/>
  <c r="H1290" i="21"/>
  <c r="H1289" i="21"/>
  <c r="G1286" i="21"/>
  <c r="G1285" i="21"/>
  <c r="H1284" i="21"/>
  <c r="H1282" i="21"/>
  <c r="H1281" i="21"/>
  <c r="H1280" i="21"/>
  <c r="H1278" i="21"/>
  <c r="H1277" i="21"/>
  <c r="H1276" i="21"/>
  <c r="H1274" i="21"/>
  <c r="H1273" i="21"/>
  <c r="H1272" i="21"/>
  <c r="H1270" i="21"/>
  <c r="H1269" i="21"/>
  <c r="H1268" i="21"/>
  <c r="H1266" i="21"/>
  <c r="H1265" i="21"/>
  <c r="H1264" i="21"/>
  <c r="H1262" i="21"/>
  <c r="H1261" i="21"/>
  <c r="H1260" i="21"/>
  <c r="H1258" i="21"/>
  <c r="H1257" i="21"/>
  <c r="H1256" i="21"/>
  <c r="G1256" i="21"/>
  <c r="I1256" i="21" s="1"/>
  <c r="G1255" i="21"/>
  <c r="H1254" i="21"/>
  <c r="G1254" i="21"/>
  <c r="I1254" i="21" s="1"/>
  <c r="H1253" i="21"/>
  <c r="G1253" i="21"/>
  <c r="I1253" i="21" s="1"/>
  <c r="H1252" i="21"/>
  <c r="G1252" i="21"/>
  <c r="I1252" i="21" s="1"/>
  <c r="G1251" i="21"/>
  <c r="H1250" i="21"/>
  <c r="G1250" i="21"/>
  <c r="I1250" i="21" s="1"/>
  <c r="H1249" i="21"/>
  <c r="G1249" i="21"/>
  <c r="I1249" i="21" s="1"/>
  <c r="H1248" i="21"/>
  <c r="G1248" i="21"/>
  <c r="I1248" i="21" s="1"/>
  <c r="G1247" i="21"/>
  <c r="H1246" i="21"/>
  <c r="G1246" i="21"/>
  <c r="I1246" i="21" s="1"/>
  <c r="H1245" i="21"/>
  <c r="G1245" i="21"/>
  <c r="I1245" i="21" s="1"/>
  <c r="H1244" i="21"/>
  <c r="G1244" i="21"/>
  <c r="I1244" i="21" s="1"/>
  <c r="G1243" i="21"/>
  <c r="H1242" i="21"/>
  <c r="G1242" i="21"/>
  <c r="I1242" i="21" s="1"/>
  <c r="H1241" i="21"/>
  <c r="G1241" i="21"/>
  <c r="I1241" i="21" s="1"/>
  <c r="H1240" i="21"/>
  <c r="G1240" i="21"/>
  <c r="I1240" i="21" s="1"/>
  <c r="H1232" i="21"/>
  <c r="H1231" i="21"/>
  <c r="H1221" i="21"/>
  <c r="H1220" i="21"/>
  <c r="H1210" i="21"/>
  <c r="H1209" i="21"/>
  <c r="H1199" i="21"/>
  <c r="H1198" i="21"/>
  <c r="G1195" i="21"/>
  <c r="G1194" i="21"/>
  <c r="G1193" i="21"/>
  <c r="G1192" i="21"/>
  <c r="G1191" i="21"/>
  <c r="G1190" i="21"/>
  <c r="G1189" i="21"/>
  <c r="H1188" i="21"/>
  <c r="G1188" i="21"/>
  <c r="I1188" i="21" s="1"/>
  <c r="H1187" i="21"/>
  <c r="M76" i="20" s="1"/>
  <c r="G1187" i="21"/>
  <c r="G1186" i="21"/>
  <c r="G1185" i="21"/>
  <c r="G1184" i="21"/>
  <c r="H1176" i="21"/>
  <c r="H1175" i="21"/>
  <c r="H1165" i="21"/>
  <c r="H1164" i="21"/>
  <c r="H1154" i="21"/>
  <c r="H1153" i="21"/>
  <c r="H1143" i="21"/>
  <c r="H1142" i="21"/>
  <c r="G1139" i="21"/>
  <c r="G1138" i="21"/>
  <c r="G1137" i="21"/>
  <c r="G1136" i="21"/>
  <c r="G1135" i="21"/>
  <c r="G1134" i="21"/>
  <c r="G1133" i="21"/>
  <c r="H1132" i="21"/>
  <c r="G1132" i="21"/>
  <c r="I1132" i="21" s="1"/>
  <c r="H1131" i="21"/>
  <c r="M75" i="20" s="1"/>
  <c r="G1131" i="21"/>
  <c r="G1130" i="21"/>
  <c r="G1129" i="21"/>
  <c r="G1128" i="21"/>
  <c r="H1120" i="21"/>
  <c r="H1119" i="21"/>
  <c r="H1109" i="21"/>
  <c r="H1108" i="21"/>
  <c r="H1098" i="21"/>
  <c r="H1097" i="21"/>
  <c r="H1087" i="21"/>
  <c r="H1086" i="21"/>
  <c r="G1083" i="21"/>
  <c r="G1082" i="21"/>
  <c r="G1081" i="21"/>
  <c r="G1080" i="21"/>
  <c r="G1079" i="21"/>
  <c r="G1078" i="21"/>
  <c r="G1077" i="21"/>
  <c r="H1076" i="21"/>
  <c r="G1076" i="21"/>
  <c r="I1076" i="21" s="1"/>
  <c r="H1075" i="21"/>
  <c r="M74" i="20" s="1"/>
  <c r="G1075" i="21"/>
  <c r="G1074" i="21"/>
  <c r="G1073" i="21"/>
  <c r="G1072" i="21"/>
  <c r="H1064" i="21"/>
  <c r="H1063" i="21"/>
  <c r="H1053" i="21"/>
  <c r="H1052" i="21"/>
  <c r="H1042" i="21"/>
  <c r="H1041" i="21"/>
  <c r="H1031" i="21"/>
  <c r="H1030" i="21"/>
  <c r="G1027" i="21"/>
  <c r="G1026" i="21"/>
  <c r="G1025" i="21"/>
  <c r="G1024" i="21"/>
  <c r="G1023" i="21"/>
  <c r="G1022" i="21"/>
  <c r="G1021" i="21"/>
  <c r="H1020" i="21"/>
  <c r="G1020" i="21"/>
  <c r="I1020" i="21" s="1"/>
  <c r="H1019" i="21"/>
  <c r="M73" i="20" s="1"/>
  <c r="G1019" i="21"/>
  <c r="G1018" i="21"/>
  <c r="G1017" i="21"/>
  <c r="G1016" i="21"/>
  <c r="H1008" i="21"/>
  <c r="H1007" i="21"/>
  <c r="H997" i="21"/>
  <c r="H996" i="21"/>
  <c r="H986" i="21"/>
  <c r="H985" i="21"/>
  <c r="H975" i="21"/>
  <c r="H974" i="21"/>
  <c r="G971" i="21"/>
  <c r="G970" i="21"/>
  <c r="G969" i="21"/>
  <c r="G968" i="21"/>
  <c r="G967" i="21"/>
  <c r="G966" i="21"/>
  <c r="G965" i="21"/>
  <c r="H964" i="21"/>
  <c r="G964" i="21"/>
  <c r="I964" i="21" s="1"/>
  <c r="H963" i="21"/>
  <c r="G963" i="21"/>
  <c r="I963" i="21" s="1"/>
  <c r="G962" i="21"/>
  <c r="G961" i="21"/>
  <c r="G960" i="21"/>
  <c r="H952" i="21"/>
  <c r="H951" i="21"/>
  <c r="H941" i="21"/>
  <c r="H940" i="21"/>
  <c r="H930" i="21"/>
  <c r="H929" i="21"/>
  <c r="H919" i="21"/>
  <c r="H918" i="21"/>
  <c r="G915" i="21"/>
  <c r="G914" i="21"/>
  <c r="G913" i="21"/>
  <c r="G912" i="21"/>
  <c r="G911" i="21"/>
  <c r="G910" i="21"/>
  <c r="G909" i="21"/>
  <c r="H908" i="21"/>
  <c r="G908" i="21"/>
  <c r="I908" i="21" s="1"/>
  <c r="H907" i="21"/>
  <c r="G907" i="21"/>
  <c r="I907" i="21" s="1"/>
  <c r="G906" i="21"/>
  <c r="G905" i="21"/>
  <c r="G904" i="21"/>
  <c r="H896" i="21"/>
  <c r="H895" i="21"/>
  <c r="H885" i="21"/>
  <c r="H884" i="21"/>
  <c r="H874" i="21"/>
  <c r="H873" i="21"/>
  <c r="H863" i="21"/>
  <c r="H862" i="21"/>
  <c r="G859" i="21"/>
  <c r="G858" i="21"/>
  <c r="G857" i="21"/>
  <c r="G856" i="21"/>
  <c r="G855" i="21"/>
  <c r="G854" i="21"/>
  <c r="G853" i="21"/>
  <c r="H852" i="21"/>
  <c r="G852" i="21"/>
  <c r="I852" i="21" s="1"/>
  <c r="H851" i="21"/>
  <c r="G851" i="21"/>
  <c r="I851" i="21" s="1"/>
  <c r="G850" i="21"/>
  <c r="G849" i="21"/>
  <c r="G848" i="21"/>
  <c r="H840" i="21"/>
  <c r="H839" i="21"/>
  <c r="H829" i="21"/>
  <c r="H828" i="21"/>
  <c r="H818" i="21"/>
  <c r="H817" i="21"/>
  <c r="H807" i="21"/>
  <c r="H806" i="21"/>
  <c r="G803" i="21"/>
  <c r="G802" i="21"/>
  <c r="G801" i="21"/>
  <c r="G800" i="21"/>
  <c r="G799" i="21"/>
  <c r="G798" i="21"/>
  <c r="G797" i="21"/>
  <c r="H796" i="21"/>
  <c r="G796" i="21"/>
  <c r="I796" i="21" s="1"/>
  <c r="H795" i="21"/>
  <c r="G795" i="21"/>
  <c r="I795" i="21" s="1"/>
  <c r="G794" i="21"/>
  <c r="G793" i="21"/>
  <c r="L69" i="20" s="1"/>
  <c r="G792" i="21"/>
  <c r="H791" i="21"/>
  <c r="H790" i="21"/>
  <c r="M68" i="20" s="1"/>
  <c r="G790" i="21"/>
  <c r="H789" i="21"/>
  <c r="G789" i="21"/>
  <c r="I789" i="21" s="1"/>
  <c r="H788" i="21"/>
  <c r="G786" i="21"/>
  <c r="G785" i="21"/>
  <c r="H784" i="21"/>
  <c r="H782" i="21"/>
  <c r="H781" i="21"/>
  <c r="H780" i="21"/>
  <c r="H778" i="21"/>
  <c r="H777" i="21"/>
  <c r="H776" i="21"/>
  <c r="H774" i="21"/>
  <c r="H773" i="21"/>
  <c r="H772" i="21"/>
  <c r="H770" i="21"/>
  <c r="H769" i="21"/>
  <c r="H768" i="21"/>
  <c r="H766" i="21"/>
  <c r="H765" i="21"/>
  <c r="H764" i="21"/>
  <c r="H762" i="21"/>
  <c r="H761" i="21"/>
  <c r="H760" i="21"/>
  <c r="H758" i="21"/>
  <c r="H757" i="21"/>
  <c r="H756" i="21"/>
  <c r="G756" i="21"/>
  <c r="I756" i="21" s="1"/>
  <c r="G755" i="21"/>
  <c r="H754" i="21"/>
  <c r="G754" i="21"/>
  <c r="I754" i="21" s="1"/>
  <c r="H753" i="21"/>
  <c r="M67" i="20" s="1"/>
  <c r="G753" i="21"/>
  <c r="H752" i="21"/>
  <c r="G752" i="21"/>
  <c r="I752" i="21" s="1"/>
  <c r="G751" i="21"/>
  <c r="H750" i="21"/>
  <c r="G750" i="21"/>
  <c r="I750" i="21" s="1"/>
  <c r="H749" i="21"/>
  <c r="G749" i="21"/>
  <c r="I749" i="21" s="1"/>
  <c r="H748" i="21"/>
  <c r="G748" i="21"/>
  <c r="I748" i="21" s="1"/>
  <c r="G747" i="21"/>
  <c r="H746" i="21"/>
  <c r="G746" i="21"/>
  <c r="I746" i="21" s="1"/>
  <c r="H745" i="21"/>
  <c r="G745" i="21"/>
  <c r="I745" i="21" s="1"/>
  <c r="H744" i="21"/>
  <c r="G744" i="21"/>
  <c r="I744" i="21" s="1"/>
  <c r="G743" i="21"/>
  <c r="H742" i="21"/>
  <c r="G742" i="21"/>
  <c r="I742" i="21" s="1"/>
  <c r="H741" i="21"/>
  <c r="G741" i="21"/>
  <c r="I741" i="21" s="1"/>
  <c r="H740" i="21"/>
  <c r="G740" i="21"/>
  <c r="I740" i="21" s="1"/>
  <c r="G738" i="21"/>
  <c r="G737" i="21"/>
  <c r="H736" i="21"/>
  <c r="H734" i="21"/>
  <c r="H733" i="21"/>
  <c r="H732" i="21"/>
  <c r="H730" i="21"/>
  <c r="H729" i="21"/>
  <c r="H728" i="21"/>
  <c r="H726" i="21"/>
  <c r="H725" i="21"/>
  <c r="H724" i="21"/>
  <c r="H722" i="21"/>
  <c r="H721" i="21"/>
  <c r="H720" i="21"/>
  <c r="H718" i="21"/>
  <c r="H717" i="21"/>
  <c r="H716" i="21"/>
  <c r="H714" i="21"/>
  <c r="H713" i="21"/>
  <c r="H712" i="21"/>
  <c r="H710" i="21"/>
  <c r="H709" i="21"/>
  <c r="H708" i="21"/>
  <c r="G708" i="21"/>
  <c r="I708" i="21" s="1"/>
  <c r="G707" i="21"/>
  <c r="H706" i="21"/>
  <c r="G706" i="21"/>
  <c r="I706" i="21" s="1"/>
  <c r="H705" i="21"/>
  <c r="M66" i="20" s="1"/>
  <c r="G705" i="21"/>
  <c r="H704" i="21"/>
  <c r="G704" i="21"/>
  <c r="I704" i="21" s="1"/>
  <c r="G703" i="21"/>
  <c r="H702" i="21"/>
  <c r="G702" i="21"/>
  <c r="I702" i="21" s="1"/>
  <c r="H701" i="21"/>
  <c r="G701" i="21"/>
  <c r="I701" i="21" s="1"/>
  <c r="H700" i="21"/>
  <c r="G700" i="21"/>
  <c r="I700" i="21" s="1"/>
  <c r="G699" i="21"/>
  <c r="H698" i="21"/>
  <c r="G698" i="21"/>
  <c r="I698" i="21" s="1"/>
  <c r="H697" i="21"/>
  <c r="G697" i="21"/>
  <c r="I697" i="21" s="1"/>
  <c r="H696" i="21"/>
  <c r="G696" i="21"/>
  <c r="I696" i="21" s="1"/>
  <c r="G695" i="21"/>
  <c r="H694" i="21"/>
  <c r="G694" i="21"/>
  <c r="I694" i="21" s="1"/>
  <c r="H693" i="21"/>
  <c r="G693" i="21"/>
  <c r="I693" i="21" s="1"/>
  <c r="H692" i="21"/>
  <c r="G692" i="21"/>
  <c r="I692" i="21" s="1"/>
  <c r="G690" i="21"/>
  <c r="G689" i="21"/>
  <c r="H688" i="21"/>
  <c r="H686" i="21"/>
  <c r="H685" i="21"/>
  <c r="H684" i="21"/>
  <c r="H682" i="21"/>
  <c r="H681" i="21"/>
  <c r="H680" i="21"/>
  <c r="H678" i="21"/>
  <c r="H677" i="21"/>
  <c r="H676" i="21"/>
  <c r="H674" i="21"/>
  <c r="H673" i="21"/>
  <c r="H672" i="21"/>
  <c r="H670" i="21"/>
  <c r="H669" i="21"/>
  <c r="H668" i="21"/>
  <c r="H666" i="21"/>
  <c r="H665" i="21"/>
  <c r="H664" i="21"/>
  <c r="H662" i="21"/>
  <c r="H661" i="21"/>
  <c r="H660" i="21"/>
  <c r="G660" i="21"/>
  <c r="I660" i="21" s="1"/>
  <c r="G659" i="21"/>
  <c r="H658" i="21"/>
  <c r="G658" i="21"/>
  <c r="I658" i="21" s="1"/>
  <c r="H657" i="21"/>
  <c r="M65" i="20" s="1"/>
  <c r="G657" i="21"/>
  <c r="H656" i="21"/>
  <c r="G656" i="21"/>
  <c r="I656" i="21" s="1"/>
  <c r="G655" i="21"/>
  <c r="H654" i="21"/>
  <c r="G654" i="21"/>
  <c r="I654" i="21" s="1"/>
  <c r="H653" i="21"/>
  <c r="G653" i="21"/>
  <c r="I653" i="21" s="1"/>
  <c r="H652" i="21"/>
  <c r="G652" i="21"/>
  <c r="I652" i="21" s="1"/>
  <c r="G651" i="21"/>
  <c r="H650" i="21"/>
  <c r="G650" i="21"/>
  <c r="I650" i="21" s="1"/>
  <c r="H649" i="21"/>
  <c r="G649" i="21"/>
  <c r="I649" i="21" s="1"/>
  <c r="H648" i="21"/>
  <c r="G648" i="21"/>
  <c r="I648" i="21" s="1"/>
  <c r="G647" i="21"/>
  <c r="H646" i="21"/>
  <c r="G646" i="21"/>
  <c r="I646" i="21" s="1"/>
  <c r="H645" i="21"/>
  <c r="G645" i="21"/>
  <c r="I645" i="21" s="1"/>
  <c r="H644" i="21"/>
  <c r="G644" i="21"/>
  <c r="I644" i="21" s="1"/>
  <c r="G642" i="21"/>
  <c r="G641" i="21"/>
  <c r="H640" i="21"/>
  <c r="H638" i="21"/>
  <c r="H637" i="21"/>
  <c r="H636" i="21"/>
  <c r="H634" i="21"/>
  <c r="H633" i="21"/>
  <c r="H632" i="21"/>
  <c r="H630" i="21"/>
  <c r="H629" i="21"/>
  <c r="H628" i="21"/>
  <c r="H626" i="21"/>
  <c r="H625" i="21"/>
  <c r="H624" i="21"/>
  <c r="H622" i="21"/>
  <c r="H621" i="21"/>
  <c r="H620" i="21"/>
  <c r="H618" i="21"/>
  <c r="H617" i="21"/>
  <c r="H616" i="21"/>
  <c r="H614" i="21"/>
  <c r="H613" i="21"/>
  <c r="H612" i="21"/>
  <c r="G612" i="21"/>
  <c r="I612" i="21" s="1"/>
  <c r="G611" i="21"/>
  <c r="H610" i="21"/>
  <c r="G610" i="21"/>
  <c r="I610" i="21" s="1"/>
  <c r="H609" i="21"/>
  <c r="G609" i="21"/>
  <c r="I609" i="21" s="1"/>
  <c r="H608" i="21"/>
  <c r="G608" i="21"/>
  <c r="I608" i="21" s="1"/>
  <c r="G607" i="21"/>
  <c r="H606" i="21"/>
  <c r="G606" i="21"/>
  <c r="I606" i="21" s="1"/>
  <c r="H605" i="21"/>
  <c r="G605" i="21"/>
  <c r="I605" i="21" s="1"/>
  <c r="H604" i="21"/>
  <c r="G604" i="21"/>
  <c r="I604" i="21" s="1"/>
  <c r="G603" i="21"/>
  <c r="H602" i="21"/>
  <c r="G602" i="21"/>
  <c r="I602" i="21" s="1"/>
  <c r="H601" i="21"/>
  <c r="G601" i="21"/>
  <c r="I601" i="21" s="1"/>
  <c r="H600" i="21"/>
  <c r="G600" i="21"/>
  <c r="I600" i="21" s="1"/>
  <c r="G599" i="21"/>
  <c r="H598" i="21"/>
  <c r="G598" i="21"/>
  <c r="I598" i="21" s="1"/>
  <c r="H597" i="21"/>
  <c r="G597" i="21"/>
  <c r="I597" i="21" s="1"/>
  <c r="H596" i="21"/>
  <c r="M64" i="20" s="1"/>
  <c r="G596" i="21"/>
  <c r="G594" i="21"/>
  <c r="G593" i="21"/>
  <c r="H592" i="21"/>
  <c r="H590" i="21"/>
  <c r="H589" i="21"/>
  <c r="H588" i="21"/>
  <c r="H586" i="21"/>
  <c r="H585" i="21"/>
  <c r="H584" i="21"/>
  <c r="H582" i="21"/>
  <c r="H581" i="21"/>
  <c r="H580" i="21"/>
  <c r="H578" i="21"/>
  <c r="H577" i="21"/>
  <c r="H576" i="21"/>
  <c r="H574" i="21"/>
  <c r="H573" i="21"/>
  <c r="H572" i="21"/>
  <c r="H570" i="21"/>
  <c r="H569" i="21"/>
  <c r="H568" i="21"/>
  <c r="H566" i="21"/>
  <c r="H565" i="21"/>
  <c r="H564" i="21"/>
  <c r="G564" i="21"/>
  <c r="I564" i="21" s="1"/>
  <c r="G563" i="21"/>
  <c r="H562" i="21"/>
  <c r="G562" i="21"/>
  <c r="I562" i="21" s="1"/>
  <c r="H561" i="21"/>
  <c r="M63" i="20" s="1"/>
  <c r="G561" i="21"/>
  <c r="H560" i="21"/>
  <c r="G560" i="21"/>
  <c r="I560" i="21" s="1"/>
  <c r="G559" i="21"/>
  <c r="H558" i="21"/>
  <c r="G558" i="21"/>
  <c r="I558" i="21" s="1"/>
  <c r="H557" i="21"/>
  <c r="G557" i="21"/>
  <c r="I557" i="21" s="1"/>
  <c r="H556" i="21"/>
  <c r="G556" i="21"/>
  <c r="I556" i="21" s="1"/>
  <c r="G555" i="21"/>
  <c r="H554" i="21"/>
  <c r="G554" i="21"/>
  <c r="I554" i="21" s="1"/>
  <c r="H553" i="21"/>
  <c r="G553" i="21"/>
  <c r="I553" i="21" s="1"/>
  <c r="H552" i="21"/>
  <c r="G552" i="21"/>
  <c r="I552" i="21" s="1"/>
  <c r="G551" i="21"/>
  <c r="H550" i="21"/>
  <c r="G550" i="21"/>
  <c r="I550" i="21" s="1"/>
  <c r="H549" i="21"/>
  <c r="G549" i="21"/>
  <c r="I549" i="21" s="1"/>
  <c r="H548" i="21"/>
  <c r="G548" i="21"/>
  <c r="I548" i="21" s="1"/>
  <c r="G547" i="21"/>
  <c r="G546" i="21"/>
  <c r="G545" i="21"/>
  <c r="H544" i="21"/>
  <c r="M62" i="20" s="1"/>
  <c r="H543" i="21"/>
  <c r="H542" i="21"/>
  <c r="G542" i="21"/>
  <c r="I542" i="21" s="1"/>
  <c r="H541" i="21"/>
  <c r="G541" i="21"/>
  <c r="I541" i="21" s="1"/>
  <c r="H540" i="21"/>
  <c r="G540" i="21"/>
  <c r="I540" i="21" s="1"/>
  <c r="H539" i="21"/>
  <c r="G539" i="21"/>
  <c r="I539" i="21" s="1"/>
  <c r="H538" i="21"/>
  <c r="G538" i="21"/>
  <c r="I538" i="21" s="1"/>
  <c r="H537" i="21"/>
  <c r="G537" i="21"/>
  <c r="I537" i="21" s="1"/>
  <c r="H536" i="21"/>
  <c r="G536" i="21"/>
  <c r="I536" i="21" s="1"/>
  <c r="H535" i="21"/>
  <c r="G535" i="21"/>
  <c r="I535" i="21" s="1"/>
  <c r="H534" i="21"/>
  <c r="G534" i="21"/>
  <c r="I534" i="21" s="1"/>
  <c r="H533" i="21"/>
  <c r="G533" i="21"/>
  <c r="I533" i="21" s="1"/>
  <c r="H532" i="21"/>
  <c r="G532" i="21"/>
  <c r="I532" i="21" s="1"/>
  <c r="H531" i="21"/>
  <c r="G531" i="21"/>
  <c r="I531" i="21" s="1"/>
  <c r="G530" i="21"/>
  <c r="G529" i="21"/>
  <c r="G528" i="21"/>
  <c r="H527" i="21"/>
  <c r="M61" i="20" s="1"/>
  <c r="H526" i="21"/>
  <c r="H525" i="21"/>
  <c r="G525" i="21"/>
  <c r="I525" i="21" s="1"/>
  <c r="H524" i="21"/>
  <c r="G524" i="21"/>
  <c r="I524" i="21" s="1"/>
  <c r="H523" i="21"/>
  <c r="G523" i="21"/>
  <c r="I523" i="21" s="1"/>
  <c r="H522" i="21"/>
  <c r="G522" i="21"/>
  <c r="I522" i="21" s="1"/>
  <c r="H521" i="21"/>
  <c r="G521" i="21"/>
  <c r="I521" i="21" s="1"/>
  <c r="H520" i="21"/>
  <c r="G520" i="21"/>
  <c r="I520" i="21" s="1"/>
  <c r="H519" i="21"/>
  <c r="G519" i="21"/>
  <c r="I519" i="21" s="1"/>
  <c r="H518" i="21"/>
  <c r="G518" i="21"/>
  <c r="I518" i="21" s="1"/>
  <c r="H517" i="21"/>
  <c r="G517" i="21"/>
  <c r="I517" i="21" s="1"/>
  <c r="H516" i="21"/>
  <c r="G516" i="21"/>
  <c r="I516" i="21" s="1"/>
  <c r="H515" i="21"/>
  <c r="G515" i="21"/>
  <c r="I515" i="21" s="1"/>
  <c r="H514" i="21"/>
  <c r="G514" i="21"/>
  <c r="I514" i="21" s="1"/>
  <c r="G513" i="21"/>
  <c r="G512" i="21"/>
  <c r="G511" i="21"/>
  <c r="H510" i="21"/>
  <c r="M60" i="20" s="1"/>
  <c r="H509" i="21"/>
  <c r="H508" i="21"/>
  <c r="G508" i="21"/>
  <c r="I508" i="21" s="1"/>
  <c r="H507" i="21"/>
  <c r="G507" i="21"/>
  <c r="I507" i="21" s="1"/>
  <c r="H506" i="21"/>
  <c r="G506" i="21"/>
  <c r="I506" i="21" s="1"/>
  <c r="H505" i="21"/>
  <c r="G505" i="21"/>
  <c r="I505" i="21" s="1"/>
  <c r="H504" i="21"/>
  <c r="G504" i="21"/>
  <c r="I504" i="21" s="1"/>
  <c r="H503" i="21"/>
  <c r="G503" i="21"/>
  <c r="I503" i="21" s="1"/>
  <c r="H502" i="21"/>
  <c r="G502" i="21"/>
  <c r="I502" i="21" s="1"/>
  <c r="H501" i="21"/>
  <c r="G501" i="21"/>
  <c r="I501" i="21" s="1"/>
  <c r="H500" i="21"/>
  <c r="G500" i="21"/>
  <c r="I500" i="21" s="1"/>
  <c r="H499" i="21"/>
  <c r="G499" i="21"/>
  <c r="I499" i="21" s="1"/>
  <c r="H498" i="21"/>
  <c r="G498" i="21"/>
  <c r="I498" i="21" s="1"/>
  <c r="H497" i="21"/>
  <c r="G497" i="21"/>
  <c r="I497" i="21" s="1"/>
  <c r="H495" i="21"/>
  <c r="H494" i="21"/>
  <c r="M59" i="20" s="1"/>
  <c r="H492" i="21"/>
  <c r="M58" i="20" s="1"/>
  <c r="H491" i="21"/>
  <c r="H490" i="21"/>
  <c r="M57" i="20" s="1"/>
  <c r="H489" i="21"/>
  <c r="H488" i="21"/>
  <c r="H487" i="21"/>
  <c r="H486" i="21"/>
  <c r="M56" i="20" s="1"/>
  <c r="H485" i="21"/>
  <c r="H484" i="21"/>
  <c r="H483" i="21"/>
  <c r="H482" i="21"/>
  <c r="M55" i="20" s="1"/>
  <c r="H481" i="21"/>
  <c r="H480" i="21"/>
  <c r="H479" i="21"/>
  <c r="H478" i="21"/>
  <c r="M54" i="20" s="1"/>
  <c r="H477" i="21"/>
  <c r="G475" i="21"/>
  <c r="G474" i="21"/>
  <c r="G472" i="21"/>
  <c r="G471" i="21"/>
  <c r="H470" i="21"/>
  <c r="H469" i="21"/>
  <c r="M51" i="20" s="1"/>
  <c r="H468" i="21"/>
  <c r="G468" i="21"/>
  <c r="I468" i="21" s="1"/>
  <c r="G467" i="21"/>
  <c r="H466" i="21"/>
  <c r="H465" i="21"/>
  <c r="M50" i="20" s="1"/>
  <c r="H464" i="21"/>
  <c r="G464" i="21"/>
  <c r="I464" i="21" s="1"/>
  <c r="G463" i="21"/>
  <c r="H462" i="21"/>
  <c r="M49" i="20" s="1"/>
  <c r="G462" i="21"/>
  <c r="H461" i="21"/>
  <c r="H460" i="21"/>
  <c r="H459" i="21"/>
  <c r="M48" i="20" s="1"/>
  <c r="G459" i="21"/>
  <c r="H458" i="21"/>
  <c r="H457" i="21"/>
  <c r="H456" i="21"/>
  <c r="M47" i="20" s="1"/>
  <c r="G456" i="21"/>
  <c r="H455" i="21"/>
  <c r="H454" i="21"/>
  <c r="H453" i="21"/>
  <c r="M46" i="20" s="1"/>
  <c r="G453" i="21"/>
  <c r="H452" i="21"/>
  <c r="H451" i="21"/>
  <c r="G450" i="21"/>
  <c r="G449" i="21"/>
  <c r="G448" i="21"/>
  <c r="G447" i="21"/>
  <c r="G446" i="21"/>
  <c r="G445" i="21"/>
  <c r="G444" i="21"/>
  <c r="G443" i="21"/>
  <c r="H442" i="21"/>
  <c r="H441" i="21"/>
  <c r="G441" i="21"/>
  <c r="I441" i="21" s="1"/>
  <c r="G440" i="21"/>
  <c r="G439" i="21"/>
  <c r="G438" i="21"/>
  <c r="G437" i="21"/>
  <c r="H436" i="21"/>
  <c r="H430" i="21"/>
  <c r="H424" i="21"/>
  <c r="H418" i="21"/>
  <c r="H412" i="21"/>
  <c r="H403" i="21"/>
  <c r="H402" i="21"/>
  <c r="G387" i="21"/>
  <c r="G386" i="21"/>
  <c r="G385" i="21"/>
  <c r="G384" i="21"/>
  <c r="H383" i="21"/>
  <c r="G383" i="21"/>
  <c r="I383" i="21" s="1"/>
  <c r="G382" i="21"/>
  <c r="G367" i="21"/>
  <c r="G366" i="21"/>
  <c r="G365" i="21"/>
  <c r="G364" i="21"/>
  <c r="H363" i="21"/>
  <c r="G363" i="21"/>
  <c r="I363" i="21" s="1"/>
  <c r="G362" i="21"/>
  <c r="G347" i="21"/>
  <c r="G346" i="21"/>
  <c r="G345" i="21"/>
  <c r="G344" i="21"/>
  <c r="H343" i="21"/>
  <c r="G343" i="21"/>
  <c r="I343" i="21" s="1"/>
  <c r="G342" i="21"/>
  <c r="G327" i="21"/>
  <c r="G326" i="21"/>
  <c r="G325" i="21"/>
  <c r="G324" i="21"/>
  <c r="H323" i="21"/>
  <c r="G323" i="21"/>
  <c r="I323" i="21" s="1"/>
  <c r="G322" i="21"/>
  <c r="G307" i="21"/>
  <c r="G306" i="21"/>
  <c r="G305" i="21"/>
  <c r="G304" i="21"/>
  <c r="H303" i="21"/>
  <c r="G303" i="21"/>
  <c r="I303" i="21" s="1"/>
  <c r="G302" i="21"/>
  <c r="H301" i="21"/>
  <c r="H300" i="21"/>
  <c r="H297" i="21"/>
  <c r="H296" i="21"/>
  <c r="H293" i="21"/>
  <c r="H292" i="21"/>
  <c r="H289" i="21"/>
  <c r="H288" i="21"/>
  <c r="H285" i="21"/>
  <c r="H284" i="21"/>
  <c r="H278" i="21"/>
  <c r="H277" i="21"/>
  <c r="H274" i="21"/>
  <c r="H273" i="21"/>
  <c r="H272" i="21"/>
  <c r="G272" i="21"/>
  <c r="I272" i="21" s="1"/>
  <c r="H271" i="21"/>
  <c r="G271" i="21"/>
  <c r="I271" i="21" s="1"/>
  <c r="H270" i="21"/>
  <c r="G270" i="21"/>
  <c r="I270" i="21" s="1"/>
  <c r="H269" i="21"/>
  <c r="G269" i="21"/>
  <c r="I269" i="21" s="1"/>
  <c r="H268" i="21"/>
  <c r="G268" i="21"/>
  <c r="I268" i="21" s="1"/>
  <c r="H267" i="21"/>
  <c r="G267" i="21"/>
  <c r="I267" i="21" s="1"/>
  <c r="H266" i="21"/>
  <c r="G266" i="21"/>
  <c r="I266" i="21" s="1"/>
  <c r="H265" i="21"/>
  <c r="G265" i="21"/>
  <c r="I265" i="21" s="1"/>
  <c r="H264" i="21"/>
  <c r="M28" i="20" s="1"/>
  <c r="G264" i="21"/>
  <c r="H263" i="21"/>
  <c r="G263" i="21"/>
  <c r="I263" i="21" s="1"/>
  <c r="H262" i="21"/>
  <c r="G262" i="21"/>
  <c r="I262" i="21" s="1"/>
  <c r="H261" i="21"/>
  <c r="M27" i="20" s="1"/>
  <c r="G261" i="21"/>
  <c r="H260" i="21"/>
  <c r="G260" i="21"/>
  <c r="I260" i="21" s="1"/>
  <c r="H259" i="21"/>
  <c r="G259" i="21"/>
  <c r="I259" i="21" s="1"/>
  <c r="H258" i="21"/>
  <c r="G257" i="21"/>
  <c r="G256" i="21"/>
  <c r="H255" i="21"/>
  <c r="G255" i="21"/>
  <c r="I255" i="21" s="1"/>
  <c r="H254" i="21"/>
  <c r="G253" i="21"/>
  <c r="G252" i="21"/>
  <c r="H251" i="21"/>
  <c r="G251" i="21"/>
  <c r="I251" i="21" s="1"/>
  <c r="H250" i="21"/>
  <c r="H249" i="21"/>
  <c r="H248" i="21"/>
  <c r="G245" i="21"/>
  <c r="G244" i="21"/>
  <c r="H243" i="21"/>
  <c r="H241" i="21"/>
  <c r="H240" i="21"/>
  <c r="H239" i="21"/>
  <c r="H237" i="21"/>
  <c r="H236" i="21"/>
  <c r="H235" i="21"/>
  <c r="H233" i="21"/>
  <c r="H232" i="21"/>
  <c r="H231" i="21"/>
  <c r="H229" i="21"/>
  <c r="H228" i="21"/>
  <c r="H227" i="21"/>
  <c r="H225" i="21"/>
  <c r="H224" i="21"/>
  <c r="H223" i="21"/>
  <c r="H221" i="21"/>
  <c r="H220" i="21"/>
  <c r="H219" i="21"/>
  <c r="H217" i="21"/>
  <c r="H216" i="21"/>
  <c r="H215" i="21"/>
  <c r="G215" i="21"/>
  <c r="I215" i="21" s="1"/>
  <c r="G214" i="21"/>
  <c r="H213" i="21"/>
  <c r="G213" i="21"/>
  <c r="I213" i="21" s="1"/>
  <c r="H212" i="21"/>
  <c r="M24" i="20" s="1"/>
  <c r="G212" i="21"/>
  <c r="H211" i="21"/>
  <c r="G211" i="21"/>
  <c r="I211" i="21" s="1"/>
  <c r="G210" i="21"/>
  <c r="H209" i="21"/>
  <c r="G209" i="21"/>
  <c r="I209" i="21" s="1"/>
  <c r="H208" i="21"/>
  <c r="G208" i="21"/>
  <c r="I208" i="21" s="1"/>
  <c r="H207" i="21"/>
  <c r="G207" i="21"/>
  <c r="I207" i="21" s="1"/>
  <c r="G206" i="21"/>
  <c r="H205" i="21"/>
  <c r="G205" i="21"/>
  <c r="I205" i="21" s="1"/>
  <c r="H204" i="21"/>
  <c r="G204" i="21"/>
  <c r="I204" i="21" s="1"/>
  <c r="H203" i="21"/>
  <c r="G203" i="21"/>
  <c r="I203" i="21" s="1"/>
  <c r="G202" i="21"/>
  <c r="H201" i="21"/>
  <c r="G201" i="21"/>
  <c r="I201" i="21" s="1"/>
  <c r="H200" i="21"/>
  <c r="G200" i="21"/>
  <c r="I200" i="21" s="1"/>
  <c r="H199" i="21"/>
  <c r="G199" i="21"/>
  <c r="I199" i="21" s="1"/>
  <c r="H198" i="21"/>
  <c r="H197" i="21"/>
  <c r="G194" i="21"/>
  <c r="G193" i="21"/>
  <c r="H192" i="21"/>
  <c r="H190" i="21"/>
  <c r="H189" i="21"/>
  <c r="H188" i="21"/>
  <c r="H186" i="21"/>
  <c r="H185" i="21"/>
  <c r="H184" i="21"/>
  <c r="H182" i="21"/>
  <c r="H181" i="21"/>
  <c r="H180" i="21"/>
  <c r="H178" i="21"/>
  <c r="H177" i="21"/>
  <c r="H176" i="21"/>
  <c r="H174" i="21"/>
  <c r="H173" i="21"/>
  <c r="H172" i="21"/>
  <c r="H170" i="21"/>
  <c r="H169" i="21"/>
  <c r="H168" i="21"/>
  <c r="H166" i="21"/>
  <c r="H165" i="21"/>
  <c r="H164" i="21"/>
  <c r="G164" i="21"/>
  <c r="I164" i="21" s="1"/>
  <c r="G163" i="21"/>
  <c r="H162" i="21"/>
  <c r="G162" i="21"/>
  <c r="I162" i="21" s="1"/>
  <c r="H161" i="21"/>
  <c r="M23" i="20" s="1"/>
  <c r="G161" i="21"/>
  <c r="H160" i="21"/>
  <c r="G160" i="21"/>
  <c r="I160" i="21" s="1"/>
  <c r="G159" i="21"/>
  <c r="H158" i="21"/>
  <c r="G158" i="21"/>
  <c r="I158" i="21" s="1"/>
  <c r="H157" i="21"/>
  <c r="G157" i="21"/>
  <c r="I157" i="21" s="1"/>
  <c r="H156" i="21"/>
  <c r="G156" i="21"/>
  <c r="I156" i="21" s="1"/>
  <c r="G155" i="21"/>
  <c r="H154" i="21"/>
  <c r="G154" i="21"/>
  <c r="I154" i="21" s="1"/>
  <c r="H153" i="21"/>
  <c r="G153" i="21"/>
  <c r="I153" i="21" s="1"/>
  <c r="H152" i="21"/>
  <c r="G152" i="21"/>
  <c r="I152" i="21" s="1"/>
  <c r="G151" i="21"/>
  <c r="H150" i="21"/>
  <c r="G150" i="21"/>
  <c r="I150" i="21" s="1"/>
  <c r="H149" i="21"/>
  <c r="G149" i="21"/>
  <c r="I149" i="21" s="1"/>
  <c r="H148" i="21"/>
  <c r="G148" i="21"/>
  <c r="I148" i="21" s="1"/>
  <c r="H147" i="21"/>
  <c r="H146" i="21"/>
  <c r="G143" i="21"/>
  <c r="G142" i="21"/>
  <c r="H141" i="21"/>
  <c r="H139" i="21"/>
  <c r="H138" i="21"/>
  <c r="H137" i="21"/>
  <c r="H135" i="21"/>
  <c r="H134" i="21"/>
  <c r="H133" i="21"/>
  <c r="H131" i="21"/>
  <c r="H130" i="21"/>
  <c r="H129" i="21"/>
  <c r="H127" i="21"/>
  <c r="H126" i="21"/>
  <c r="H125" i="21"/>
  <c r="H123" i="21"/>
  <c r="H122" i="21"/>
  <c r="H121" i="21"/>
  <c r="H119" i="21"/>
  <c r="H118" i="21"/>
  <c r="H117" i="21"/>
  <c r="H115" i="21"/>
  <c r="H114" i="21"/>
  <c r="H113" i="21"/>
  <c r="G113" i="21"/>
  <c r="I113" i="21" s="1"/>
  <c r="G112" i="21"/>
  <c r="H111" i="21"/>
  <c r="G111" i="21"/>
  <c r="I111" i="21" s="1"/>
  <c r="H110" i="21"/>
  <c r="G110" i="21"/>
  <c r="I110" i="21" s="1"/>
  <c r="H109" i="21"/>
  <c r="G109" i="21"/>
  <c r="I109" i="21" s="1"/>
  <c r="G108" i="21"/>
  <c r="H107" i="21"/>
  <c r="G107" i="21"/>
  <c r="I107" i="21" s="1"/>
  <c r="H106" i="21"/>
  <c r="G106" i="21"/>
  <c r="I106" i="21" s="1"/>
  <c r="H105" i="21"/>
  <c r="G105" i="21"/>
  <c r="I105" i="21" s="1"/>
  <c r="G104" i="21"/>
  <c r="H103" i="21"/>
  <c r="G103" i="21"/>
  <c r="I103" i="21" s="1"/>
  <c r="H102" i="21"/>
  <c r="G102" i="21"/>
  <c r="I102" i="21" s="1"/>
  <c r="H101" i="21"/>
  <c r="G101" i="21"/>
  <c r="I101" i="21" s="1"/>
  <c r="G100" i="21"/>
  <c r="H99" i="21"/>
  <c r="G99" i="21"/>
  <c r="I99" i="21" s="1"/>
  <c r="H98" i="21"/>
  <c r="G98" i="21"/>
  <c r="I98" i="21" s="1"/>
  <c r="H97" i="21"/>
  <c r="G97" i="21"/>
  <c r="I97" i="21" s="1"/>
  <c r="H96" i="21"/>
  <c r="H95" i="21"/>
  <c r="G92" i="21"/>
  <c r="G91" i="21"/>
  <c r="H90" i="21"/>
  <c r="H88" i="21"/>
  <c r="H87" i="21"/>
  <c r="H86" i="21"/>
  <c r="H84" i="21"/>
  <c r="H83" i="21"/>
  <c r="H82" i="21"/>
  <c r="H80" i="21"/>
  <c r="H79" i="21"/>
  <c r="H78" i="21"/>
  <c r="H76" i="21"/>
  <c r="H75" i="21"/>
  <c r="H74" i="21"/>
  <c r="H72" i="21"/>
  <c r="H71" i="21"/>
  <c r="H70" i="21"/>
  <c r="H68" i="21"/>
  <c r="H67" i="21"/>
  <c r="H66" i="21"/>
  <c r="H64" i="21"/>
  <c r="H63" i="21"/>
  <c r="H62" i="21"/>
  <c r="G62" i="21"/>
  <c r="I62" i="21" s="1"/>
  <c r="G61" i="21"/>
  <c r="H60" i="21"/>
  <c r="G60" i="21"/>
  <c r="I60" i="21" s="1"/>
  <c r="H59" i="21"/>
  <c r="G59" i="21"/>
  <c r="I59" i="21" s="1"/>
  <c r="H58" i="21"/>
  <c r="G58" i="21"/>
  <c r="I58" i="21" s="1"/>
  <c r="G57" i="21"/>
  <c r="H56" i="21"/>
  <c r="G56" i="21"/>
  <c r="I56" i="21" s="1"/>
  <c r="H55" i="21"/>
  <c r="G55" i="21"/>
  <c r="I55" i="21" s="1"/>
  <c r="H54" i="21"/>
  <c r="G54" i="21"/>
  <c r="I54" i="21" s="1"/>
  <c r="G53" i="21"/>
  <c r="H52" i="21"/>
  <c r="G52" i="21"/>
  <c r="I52" i="21" s="1"/>
  <c r="H51" i="21"/>
  <c r="G51" i="21"/>
  <c r="I51" i="21" s="1"/>
  <c r="H50" i="21"/>
  <c r="G50" i="21"/>
  <c r="I50" i="21" s="1"/>
  <c r="G49" i="21"/>
  <c r="H48" i="21"/>
  <c r="G48" i="21"/>
  <c r="I48" i="21" s="1"/>
  <c r="H47" i="21"/>
  <c r="G47" i="21"/>
  <c r="I47" i="21" s="1"/>
  <c r="H46" i="21"/>
  <c r="G46" i="21"/>
  <c r="I46" i="21" s="1"/>
  <c r="H45" i="21"/>
  <c r="H43" i="21"/>
  <c r="H42" i="21"/>
  <c r="H41" i="21"/>
  <c r="G41" i="21"/>
  <c r="I41" i="21" s="1"/>
  <c r="H40" i="21"/>
  <c r="G40" i="21"/>
  <c r="I40" i="21" s="1"/>
  <c r="H39" i="21"/>
  <c r="G39" i="21"/>
  <c r="I39" i="21" s="1"/>
  <c r="H38" i="21"/>
  <c r="G38" i="21"/>
  <c r="I38" i="21" s="1"/>
  <c r="H37" i="21"/>
  <c r="G37" i="21"/>
  <c r="I37" i="21" s="1"/>
  <c r="H36" i="21"/>
  <c r="G36" i="21"/>
  <c r="I36" i="21" s="1"/>
  <c r="H35" i="21"/>
  <c r="G35" i="21"/>
  <c r="I35" i="21" s="1"/>
  <c r="H34" i="21"/>
  <c r="G34" i="21"/>
  <c r="I34" i="21" s="1"/>
  <c r="H33" i="21"/>
  <c r="G33" i="21"/>
  <c r="I33" i="21" s="1"/>
  <c r="H32" i="21"/>
  <c r="G32" i="21"/>
  <c r="I32" i="21" s="1"/>
  <c r="H31" i="21"/>
  <c r="G31" i="21"/>
  <c r="I31" i="21" s="1"/>
  <c r="G30" i="21"/>
  <c r="G29" i="21"/>
  <c r="G28" i="21"/>
  <c r="H27" i="21"/>
  <c r="G27" i="21"/>
  <c r="I27" i="21" s="1"/>
  <c r="G26" i="21"/>
  <c r="G25" i="21"/>
  <c r="G24" i="21"/>
  <c r="G23" i="21"/>
  <c r="H22" i="21"/>
  <c r="G22" i="21"/>
  <c r="I22" i="21" s="1"/>
  <c r="G21" i="21"/>
  <c r="G20" i="21"/>
  <c r="G19" i="21"/>
  <c r="G18" i="21"/>
  <c r="H17" i="21"/>
  <c r="G17" i="21"/>
  <c r="I17" i="21" s="1"/>
  <c r="G16" i="21"/>
  <c r="G15" i="21"/>
  <c r="G14" i="21"/>
  <c r="G13" i="21"/>
  <c r="H12" i="21"/>
  <c r="G12" i="21"/>
  <c r="I12" i="21" s="1"/>
  <c r="G11" i="21"/>
  <c r="G10" i="21"/>
  <c r="G9" i="21"/>
  <c r="G8" i="21"/>
  <c r="H7" i="21"/>
  <c r="G7" i="21"/>
  <c r="I7" i="21" s="1"/>
  <c r="G6" i="21"/>
  <c r="G76" i="20"/>
  <c r="D76" i="20"/>
  <c r="J76" i="20" s="1"/>
  <c r="G75" i="20"/>
  <c r="D75" i="20"/>
  <c r="J75" i="20" s="1"/>
  <c r="G74" i="20"/>
  <c r="D74" i="20"/>
  <c r="J74" i="20" s="1"/>
  <c r="G73" i="20"/>
  <c r="D73" i="20"/>
  <c r="J73" i="20" s="1"/>
  <c r="G72" i="20"/>
  <c r="D72" i="20"/>
  <c r="J72" i="20" s="1"/>
  <c r="G71" i="20"/>
  <c r="D71" i="20"/>
  <c r="J71" i="20" s="1"/>
  <c r="G70" i="20"/>
  <c r="D70" i="20"/>
  <c r="J70" i="20" s="1"/>
  <c r="G69" i="20"/>
  <c r="D69" i="20"/>
  <c r="J69" i="20" s="1"/>
  <c r="H68" i="20"/>
  <c r="D68" i="20"/>
  <c r="J68" i="20" s="1"/>
  <c r="H67" i="20"/>
  <c r="G67" i="20"/>
  <c r="D67" i="20"/>
  <c r="J67" i="20" s="1"/>
  <c r="H66" i="20"/>
  <c r="G66" i="20"/>
  <c r="D66" i="20"/>
  <c r="J66" i="20" s="1"/>
  <c r="H65" i="20"/>
  <c r="G65" i="20"/>
  <c r="D65" i="20"/>
  <c r="J65" i="20" s="1"/>
  <c r="H64" i="20"/>
  <c r="G64" i="20"/>
  <c r="D64" i="20"/>
  <c r="J64" i="20" s="1"/>
  <c r="H63" i="20"/>
  <c r="G63" i="20"/>
  <c r="D63" i="20"/>
  <c r="J63" i="20" s="1"/>
  <c r="H62" i="20"/>
  <c r="G62" i="20"/>
  <c r="D62" i="20"/>
  <c r="J62" i="20" s="1"/>
  <c r="H61" i="20"/>
  <c r="G61" i="20"/>
  <c r="D61" i="20"/>
  <c r="J61" i="20" s="1"/>
  <c r="H60" i="20"/>
  <c r="G60" i="20"/>
  <c r="D60" i="20"/>
  <c r="J60" i="20" s="1"/>
  <c r="D59" i="20"/>
  <c r="H58" i="20"/>
  <c r="D58" i="20"/>
  <c r="J58" i="20" s="1"/>
  <c r="H57" i="20"/>
  <c r="D57" i="20"/>
  <c r="J57" i="20" s="1"/>
  <c r="H56" i="20"/>
  <c r="D56" i="20"/>
  <c r="J56" i="20" s="1"/>
  <c r="H55" i="20"/>
  <c r="D55" i="20"/>
  <c r="J55" i="20" s="1"/>
  <c r="H54" i="20"/>
  <c r="D54" i="20"/>
  <c r="J54" i="20" s="1"/>
  <c r="G53" i="20"/>
  <c r="D53" i="20"/>
  <c r="J53" i="20" s="1"/>
  <c r="G52" i="20"/>
  <c r="D52" i="20"/>
  <c r="J52" i="20" s="1"/>
  <c r="G51" i="20"/>
  <c r="D51" i="20"/>
  <c r="J51" i="20" s="1"/>
  <c r="G50" i="20"/>
  <c r="D50" i="20"/>
  <c r="J50" i="20" s="1"/>
  <c r="H49" i="20"/>
  <c r="D49" i="20"/>
  <c r="J49" i="20" s="1"/>
  <c r="H48" i="20"/>
  <c r="D48" i="20"/>
  <c r="J48" i="20" s="1"/>
  <c r="H47" i="20"/>
  <c r="D47" i="20"/>
  <c r="J47" i="20" s="1"/>
  <c r="H46" i="20"/>
  <c r="D46" i="20"/>
  <c r="J46" i="20" s="1"/>
  <c r="G45" i="20"/>
  <c r="D45" i="20"/>
  <c r="J45" i="20" s="1"/>
  <c r="G44" i="20"/>
  <c r="D44" i="20"/>
  <c r="J44" i="20" s="1"/>
  <c r="G43" i="20"/>
  <c r="D43" i="20"/>
  <c r="J43" i="20" s="1"/>
  <c r="D42" i="20"/>
  <c r="D41" i="20"/>
  <c r="D40" i="20"/>
  <c r="D39" i="20"/>
  <c r="D38" i="20"/>
  <c r="H37" i="20"/>
  <c r="D37" i="20"/>
  <c r="G36" i="20"/>
  <c r="D36" i="20"/>
  <c r="G35" i="20"/>
  <c r="D35" i="20"/>
  <c r="G34" i="20"/>
  <c r="D34" i="20"/>
  <c r="G33" i="20"/>
  <c r="D33" i="20"/>
  <c r="G32" i="20"/>
  <c r="D32" i="20"/>
  <c r="D31" i="20"/>
  <c r="H30" i="20"/>
  <c r="D30" i="20"/>
  <c r="J30" i="20" s="1"/>
  <c r="H29" i="20"/>
  <c r="D29" i="20"/>
  <c r="J29" i="20" s="1"/>
  <c r="H28" i="20"/>
  <c r="G28" i="20"/>
  <c r="D28" i="20"/>
  <c r="J28" i="20" s="1"/>
  <c r="H27" i="20"/>
  <c r="D27" i="20"/>
  <c r="J27" i="20" s="1"/>
  <c r="H26" i="20"/>
  <c r="D26" i="20"/>
  <c r="J26" i="20" s="1"/>
  <c r="H25" i="20"/>
  <c r="D25" i="20"/>
  <c r="J25" i="20" s="1"/>
  <c r="H24" i="20"/>
  <c r="G24" i="20"/>
  <c r="D24" i="20"/>
  <c r="J24" i="20" s="1"/>
  <c r="H23" i="20"/>
  <c r="G23" i="20"/>
  <c r="D23" i="20"/>
  <c r="J23" i="20" s="1"/>
  <c r="M22" i="20"/>
  <c r="L22" i="20"/>
  <c r="H22" i="20"/>
  <c r="G22" i="20"/>
  <c r="D22" i="20"/>
  <c r="J22" i="20" s="1"/>
  <c r="M21" i="20"/>
  <c r="L21" i="20"/>
  <c r="H21" i="20"/>
  <c r="G21" i="20"/>
  <c r="D21" i="20"/>
  <c r="J21" i="20" s="1"/>
  <c r="M20" i="20"/>
  <c r="H20" i="20"/>
  <c r="D20" i="20"/>
  <c r="M19" i="20"/>
  <c r="L19" i="20"/>
  <c r="H19" i="20"/>
  <c r="G19" i="20"/>
  <c r="D19" i="20"/>
  <c r="J19" i="20" s="1"/>
  <c r="L18" i="20"/>
  <c r="G18" i="20"/>
  <c r="D18" i="20"/>
  <c r="L17" i="20"/>
  <c r="G17" i="20"/>
  <c r="D17" i="20"/>
  <c r="L16" i="20"/>
  <c r="G16" i="20"/>
  <c r="D16" i="20"/>
  <c r="L15" i="20"/>
  <c r="G15" i="20"/>
  <c r="D15" i="20"/>
  <c r="L14" i="20"/>
  <c r="G14" i="20"/>
  <c r="D14" i="20"/>
  <c r="D9" i="20"/>
  <c r="D8" i="20"/>
  <c r="D7" i="20"/>
  <c r="D6" i="20"/>
  <c r="H5" i="20"/>
  <c r="D5" i="20"/>
  <c r="B6" i="19"/>
  <c r="B2" i="19"/>
  <c r="H61" i="18"/>
  <c r="H59" i="18"/>
  <c r="H57" i="18"/>
  <c r="H56" i="18"/>
  <c r="D44" i="16"/>
  <c r="C44" i="16"/>
  <c r="E44" i="16" s="1"/>
  <c r="D43" i="16"/>
  <c r="C43" i="16"/>
  <c r="E43" i="16" s="1"/>
  <c r="D41" i="16"/>
  <c r="C41" i="16"/>
  <c r="E41" i="16" s="1"/>
  <c r="D40" i="16"/>
  <c r="C40" i="16"/>
  <c r="E40" i="16" s="1"/>
  <c r="D39" i="16"/>
  <c r="C39" i="16"/>
  <c r="E39" i="16" s="1"/>
  <c r="D38" i="16"/>
  <c r="C38" i="16"/>
  <c r="E38" i="16" s="1"/>
  <c r="D36" i="16"/>
  <c r="C36" i="16"/>
  <c r="E36" i="16" s="1"/>
  <c r="D35" i="16"/>
  <c r="C35" i="16"/>
  <c r="E35" i="16" s="1"/>
  <c r="D33" i="16"/>
  <c r="C33" i="16"/>
  <c r="E33" i="16" s="1"/>
  <c r="D32" i="16"/>
  <c r="C32" i="16"/>
  <c r="E32" i="16" s="1"/>
  <c r="D31" i="16"/>
  <c r="C31" i="16"/>
  <c r="E31" i="16" s="1"/>
  <c r="D30" i="16"/>
  <c r="C30" i="16"/>
  <c r="E30" i="16" s="1"/>
  <c r="D24" i="16"/>
  <c r="C24" i="16"/>
  <c r="E24" i="16" s="1"/>
  <c r="D23" i="16"/>
  <c r="C23" i="16"/>
  <c r="E23" i="16" s="1"/>
  <c r="D20" i="16"/>
  <c r="C20" i="16"/>
  <c r="E20" i="16" s="1"/>
  <c r="D19" i="16"/>
  <c r="C19" i="16"/>
  <c r="E19" i="16" s="1"/>
  <c r="D17" i="16"/>
  <c r="C17" i="16"/>
  <c r="E17" i="16" s="1"/>
  <c r="D16" i="16"/>
  <c r="C16" i="16"/>
  <c r="E16" i="16" s="1"/>
  <c r="D15" i="16"/>
  <c r="C15" i="16"/>
  <c r="E15" i="16" s="1"/>
  <c r="D14" i="16"/>
  <c r="C14" i="16"/>
  <c r="E14" i="16" s="1"/>
  <c r="D8" i="16"/>
  <c r="C8" i="16"/>
  <c r="E8" i="16" s="1"/>
  <c r="D7" i="16"/>
  <c r="C7" i="16"/>
  <c r="E7" i="16" s="1"/>
  <c r="I1715" i="15"/>
  <c r="H1715" i="15"/>
  <c r="J1715" i="15" s="1"/>
  <c r="I1714" i="15"/>
  <c r="H1714" i="15"/>
  <c r="J1714" i="15" s="1"/>
  <c r="I1713" i="15"/>
  <c r="H1713" i="15"/>
  <c r="J1713" i="15" s="1"/>
  <c r="I1712" i="15"/>
  <c r="H1712" i="15"/>
  <c r="J1712" i="15" s="1"/>
  <c r="I1711" i="15"/>
  <c r="H1711" i="15"/>
  <c r="J1711" i="15" s="1"/>
  <c r="I1710" i="15"/>
  <c r="H1710" i="15"/>
  <c r="J1710" i="15" s="1"/>
  <c r="I1709" i="15"/>
  <c r="H1709" i="15"/>
  <c r="J1709" i="15" s="1"/>
  <c r="I1708" i="15"/>
  <c r="H1708" i="15"/>
  <c r="J1708" i="15" s="1"/>
  <c r="I1707" i="15"/>
  <c r="H1707" i="15"/>
  <c r="J1707" i="15" s="1"/>
  <c r="I1706" i="15"/>
  <c r="H1706" i="15"/>
  <c r="J1706" i="15" s="1"/>
  <c r="I1705" i="15"/>
  <c r="H1705" i="15"/>
  <c r="J1705" i="15" s="1"/>
  <c r="I1704" i="15"/>
  <c r="H1704" i="15"/>
  <c r="J1704" i="15" s="1"/>
  <c r="I1703" i="15"/>
  <c r="H1703" i="15"/>
  <c r="J1703" i="15" s="1"/>
  <c r="I1702" i="15"/>
  <c r="H1702" i="15"/>
  <c r="J1702" i="15" s="1"/>
  <c r="I1701" i="15"/>
  <c r="H1701" i="15"/>
  <c r="J1701" i="15" s="1"/>
  <c r="I1700" i="15"/>
  <c r="H1700" i="15"/>
  <c r="J1700" i="15" s="1"/>
  <c r="I1699" i="15"/>
  <c r="H1699" i="15"/>
  <c r="J1699" i="15" s="1"/>
  <c r="I1698" i="15"/>
  <c r="H1698" i="15"/>
  <c r="J1698" i="15" s="1"/>
  <c r="I1697" i="15"/>
  <c r="H1697" i="15"/>
  <c r="J1697" i="15" s="1"/>
  <c r="I1696" i="15"/>
  <c r="H1696" i="15"/>
  <c r="J1696" i="15" s="1"/>
  <c r="I1695" i="15"/>
  <c r="H1695" i="15"/>
  <c r="J1695" i="15" s="1"/>
  <c r="I1694" i="15"/>
  <c r="H1694" i="15"/>
  <c r="J1694" i="15" s="1"/>
  <c r="I1693" i="15"/>
  <c r="H1693" i="15"/>
  <c r="J1693" i="15" s="1"/>
  <c r="I1692" i="15"/>
  <c r="H1692" i="15"/>
  <c r="J1692" i="15" s="1"/>
  <c r="I1691" i="15"/>
  <c r="H1691" i="15"/>
  <c r="J1691" i="15" s="1"/>
  <c r="I1690" i="15"/>
  <c r="H1690" i="15"/>
  <c r="J1690" i="15" s="1"/>
  <c r="I1689" i="15"/>
  <c r="H1689" i="15"/>
  <c r="J1689" i="15" s="1"/>
  <c r="I1688" i="15"/>
  <c r="H1688" i="15"/>
  <c r="J1688" i="15" s="1"/>
  <c r="I1687" i="15"/>
  <c r="H1687" i="15"/>
  <c r="J1687" i="15" s="1"/>
  <c r="I1686" i="15"/>
  <c r="H1686" i="15"/>
  <c r="J1686" i="15" s="1"/>
  <c r="I1685" i="15"/>
  <c r="H1685" i="15"/>
  <c r="J1685" i="15" s="1"/>
  <c r="I1684" i="15"/>
  <c r="H1684" i="15"/>
  <c r="J1684" i="15" s="1"/>
  <c r="I1683" i="15"/>
  <c r="H1683" i="15"/>
  <c r="J1683" i="15" s="1"/>
  <c r="I1682" i="15"/>
  <c r="H1682" i="15"/>
  <c r="J1682" i="15" s="1"/>
  <c r="I1681" i="15"/>
  <c r="H1681" i="15"/>
  <c r="J1681" i="15" s="1"/>
  <c r="I1680" i="15"/>
  <c r="H1680" i="15"/>
  <c r="J1680" i="15" s="1"/>
  <c r="I1679" i="15"/>
  <c r="H1679" i="15"/>
  <c r="J1679" i="15" s="1"/>
  <c r="I1678" i="15"/>
  <c r="H1678" i="15"/>
  <c r="J1678" i="15" s="1"/>
  <c r="I1677" i="15"/>
  <c r="H1677" i="15"/>
  <c r="J1677" i="15" s="1"/>
  <c r="I1676" i="15"/>
  <c r="H1676" i="15"/>
  <c r="J1676" i="15" s="1"/>
  <c r="I1675" i="15"/>
  <c r="H1675" i="15"/>
  <c r="J1675" i="15" s="1"/>
  <c r="I1674" i="15"/>
  <c r="H1674" i="15"/>
  <c r="J1674" i="15" s="1"/>
  <c r="I1673" i="15"/>
  <c r="H1673" i="15"/>
  <c r="J1673" i="15" s="1"/>
  <c r="I1672" i="15"/>
  <c r="H1672" i="15"/>
  <c r="J1672" i="15" s="1"/>
  <c r="I1671" i="15"/>
  <c r="H1671" i="15"/>
  <c r="J1671" i="15" s="1"/>
  <c r="I1670" i="15"/>
  <c r="H1670" i="15"/>
  <c r="J1670" i="15" s="1"/>
  <c r="I1669" i="15"/>
  <c r="H1669" i="15"/>
  <c r="J1669" i="15" s="1"/>
  <c r="I1668" i="15"/>
  <c r="H1668" i="15"/>
  <c r="J1668" i="15" s="1"/>
  <c r="I1667" i="15"/>
  <c r="H1667" i="15"/>
  <c r="J1667" i="15" s="1"/>
  <c r="I1666" i="15"/>
  <c r="H1666" i="15"/>
  <c r="J1666" i="15" s="1"/>
  <c r="I1665" i="15"/>
  <c r="H1665" i="15"/>
  <c r="J1665" i="15" s="1"/>
  <c r="I1664" i="15"/>
  <c r="H1664" i="15"/>
  <c r="J1664" i="15" s="1"/>
  <c r="I1663" i="15"/>
  <c r="H1663" i="15"/>
  <c r="J1663" i="15" s="1"/>
  <c r="I1662" i="15"/>
  <c r="H1662" i="15"/>
  <c r="J1662" i="15" s="1"/>
  <c r="I1661" i="15"/>
  <c r="H1661" i="15"/>
  <c r="J1661" i="15" s="1"/>
  <c r="I1660" i="15"/>
  <c r="I1659" i="15"/>
  <c r="I1658" i="15"/>
  <c r="I1657" i="15"/>
  <c r="I1656" i="15"/>
  <c r="I1655" i="15"/>
  <c r="H1655" i="15"/>
  <c r="J1655" i="15" s="1"/>
  <c r="I1654" i="15"/>
  <c r="H1654" i="15"/>
  <c r="J1654" i="15" s="1"/>
  <c r="I1653" i="15"/>
  <c r="H1653" i="15"/>
  <c r="J1653" i="15" s="1"/>
  <c r="I1652" i="15"/>
  <c r="H1652" i="15"/>
  <c r="J1652" i="15" s="1"/>
  <c r="I1651" i="15"/>
  <c r="H1651" i="15"/>
  <c r="J1651" i="15" s="1"/>
  <c r="I1650" i="15"/>
  <c r="H1650" i="15"/>
  <c r="J1650" i="15" s="1"/>
  <c r="I1649" i="15"/>
  <c r="H1649" i="15"/>
  <c r="J1649" i="15" s="1"/>
  <c r="I1648" i="15"/>
  <c r="H1648" i="15"/>
  <c r="J1648" i="15" s="1"/>
  <c r="I1647" i="15"/>
  <c r="H1647" i="15"/>
  <c r="J1647" i="15" s="1"/>
  <c r="I1646" i="15"/>
  <c r="H1646" i="15"/>
  <c r="J1646" i="15" s="1"/>
  <c r="I1645" i="15"/>
  <c r="H1645" i="15"/>
  <c r="J1645" i="15" s="1"/>
  <c r="I1644" i="15"/>
  <c r="H1644" i="15"/>
  <c r="J1644" i="15" s="1"/>
  <c r="I1643" i="15"/>
  <c r="H1643" i="15"/>
  <c r="J1643" i="15" s="1"/>
  <c r="I1642" i="15"/>
  <c r="H1642" i="15"/>
  <c r="J1642" i="15" s="1"/>
  <c r="I1641" i="15"/>
  <c r="H1641" i="15"/>
  <c r="J1641" i="15" s="1"/>
  <c r="I1640" i="15"/>
  <c r="H1640" i="15"/>
  <c r="J1640" i="15" s="1"/>
  <c r="I1639" i="15"/>
  <c r="H1639" i="15"/>
  <c r="J1639" i="15" s="1"/>
  <c r="I1638" i="15"/>
  <c r="H1638" i="15"/>
  <c r="J1638" i="15" s="1"/>
  <c r="I1637" i="15"/>
  <c r="H1637" i="15"/>
  <c r="J1637" i="15" s="1"/>
  <c r="I1636" i="15"/>
  <c r="H1636" i="15"/>
  <c r="J1636" i="15" s="1"/>
  <c r="I1635" i="15"/>
  <c r="H1635" i="15"/>
  <c r="J1635" i="15" s="1"/>
  <c r="I1634" i="15"/>
  <c r="H1634" i="15"/>
  <c r="J1634" i="15" s="1"/>
  <c r="I1633" i="15"/>
  <c r="H1633" i="15"/>
  <c r="J1633" i="15" s="1"/>
  <c r="I1632" i="15"/>
  <c r="H1632" i="15"/>
  <c r="J1632" i="15" s="1"/>
  <c r="I1631" i="15"/>
  <c r="H1631" i="15"/>
  <c r="J1631" i="15" s="1"/>
  <c r="I1630" i="15"/>
  <c r="H1630" i="15"/>
  <c r="J1630" i="15" s="1"/>
  <c r="I1629" i="15"/>
  <c r="H1629" i="15"/>
  <c r="J1629" i="15" s="1"/>
  <c r="I1628" i="15"/>
  <c r="H1628" i="15"/>
  <c r="J1628" i="15" s="1"/>
  <c r="I1627" i="15"/>
  <c r="H1627" i="15"/>
  <c r="J1627" i="15" s="1"/>
  <c r="I1626" i="15"/>
  <c r="H1626" i="15"/>
  <c r="J1626" i="15" s="1"/>
  <c r="I1625" i="15"/>
  <c r="H1625" i="15"/>
  <c r="J1625" i="15" s="1"/>
  <c r="I1624" i="15"/>
  <c r="H1624" i="15"/>
  <c r="J1624" i="15" s="1"/>
  <c r="I1623" i="15"/>
  <c r="H1623" i="15"/>
  <c r="J1623" i="15" s="1"/>
  <c r="I1622" i="15"/>
  <c r="H1622" i="15"/>
  <c r="J1622" i="15" s="1"/>
  <c r="I1621" i="15"/>
  <c r="H1621" i="15"/>
  <c r="J1621" i="15" s="1"/>
  <c r="I1620" i="15"/>
  <c r="H1620" i="15"/>
  <c r="J1620" i="15" s="1"/>
  <c r="I1619" i="15"/>
  <c r="H1619" i="15"/>
  <c r="J1619" i="15" s="1"/>
  <c r="I1618" i="15"/>
  <c r="H1618" i="15"/>
  <c r="J1618" i="15" s="1"/>
  <c r="I1617" i="15"/>
  <c r="H1617" i="15"/>
  <c r="J1617" i="15" s="1"/>
  <c r="I1616" i="15"/>
  <c r="H1616" i="15"/>
  <c r="J1616" i="15" s="1"/>
  <c r="I1615" i="15"/>
  <c r="H1615" i="15"/>
  <c r="J1615" i="15" s="1"/>
  <c r="I1614" i="15"/>
  <c r="H1614" i="15"/>
  <c r="J1614" i="15" s="1"/>
  <c r="I1613" i="15"/>
  <c r="H1613" i="15"/>
  <c r="J1613" i="15" s="1"/>
  <c r="I1612" i="15"/>
  <c r="H1612" i="15"/>
  <c r="J1612" i="15" s="1"/>
  <c r="I1611" i="15"/>
  <c r="H1611" i="15"/>
  <c r="J1611" i="15" s="1"/>
  <c r="I1610" i="15"/>
  <c r="H1610" i="15"/>
  <c r="J1610" i="15" s="1"/>
  <c r="I1609" i="15"/>
  <c r="H1609" i="15"/>
  <c r="J1609" i="15" s="1"/>
  <c r="I1608" i="15"/>
  <c r="H1608" i="15"/>
  <c r="J1608" i="15" s="1"/>
  <c r="I1607" i="15"/>
  <c r="H1607" i="15"/>
  <c r="J1607" i="15" s="1"/>
  <c r="I1606" i="15"/>
  <c r="H1606" i="15"/>
  <c r="J1606" i="15" s="1"/>
  <c r="I1605" i="15"/>
  <c r="H1605" i="15"/>
  <c r="J1605" i="15" s="1"/>
  <c r="I1604" i="15"/>
  <c r="H1604" i="15"/>
  <c r="J1604" i="15" s="1"/>
  <c r="I1603" i="15"/>
  <c r="H1603" i="15"/>
  <c r="J1603" i="15" s="1"/>
  <c r="I1602" i="15"/>
  <c r="H1602" i="15"/>
  <c r="J1602" i="15" s="1"/>
  <c r="I1601" i="15"/>
  <c r="H1601" i="15"/>
  <c r="J1601" i="15" s="1"/>
  <c r="I1600" i="15"/>
  <c r="H1600" i="15"/>
  <c r="J1600" i="15" s="1"/>
  <c r="I1599" i="15"/>
  <c r="H1599" i="15"/>
  <c r="J1599" i="15" s="1"/>
  <c r="I1598" i="15"/>
  <c r="H1598" i="15"/>
  <c r="J1598" i="15" s="1"/>
  <c r="I1597" i="15"/>
  <c r="H1597" i="15"/>
  <c r="J1597" i="15" s="1"/>
  <c r="I1596" i="15"/>
  <c r="H1596" i="15"/>
  <c r="J1596" i="15" s="1"/>
  <c r="I1595" i="15"/>
  <c r="H1595" i="15"/>
  <c r="J1595" i="15" s="1"/>
  <c r="I1594" i="15"/>
  <c r="H1594" i="15"/>
  <c r="J1594" i="15" s="1"/>
  <c r="I1593" i="15"/>
  <c r="H1593" i="15"/>
  <c r="J1593" i="15" s="1"/>
  <c r="I1592" i="15"/>
  <c r="H1592" i="15"/>
  <c r="J1592" i="15" s="1"/>
  <c r="I1591" i="15"/>
  <c r="H1591" i="15"/>
  <c r="J1591" i="15" s="1"/>
  <c r="I1590" i="15"/>
  <c r="H1590" i="15"/>
  <c r="J1590" i="15" s="1"/>
  <c r="I1589" i="15"/>
  <c r="H1589" i="15"/>
  <c r="J1589" i="15" s="1"/>
  <c r="I1588" i="15"/>
  <c r="H1588" i="15"/>
  <c r="J1588" i="15" s="1"/>
  <c r="I1587" i="15"/>
  <c r="H1587" i="15"/>
  <c r="J1587" i="15" s="1"/>
  <c r="I1586" i="15"/>
  <c r="H1586" i="15"/>
  <c r="J1586" i="15" s="1"/>
  <c r="I1585" i="15"/>
  <c r="H1585" i="15"/>
  <c r="J1585" i="15" s="1"/>
  <c r="I1584" i="15"/>
  <c r="H1584" i="15"/>
  <c r="J1584" i="15" s="1"/>
  <c r="I1583" i="15"/>
  <c r="H1583" i="15"/>
  <c r="J1583" i="15" s="1"/>
  <c r="I1582" i="15"/>
  <c r="H1582" i="15"/>
  <c r="J1582" i="15" s="1"/>
  <c r="I1581" i="15"/>
  <c r="H1581" i="15"/>
  <c r="J1581" i="15" s="1"/>
  <c r="I1580" i="15"/>
  <c r="H1580" i="15"/>
  <c r="J1580" i="15" s="1"/>
  <c r="I1579" i="15"/>
  <c r="H1579" i="15"/>
  <c r="J1579" i="15" s="1"/>
  <c r="I1578" i="15"/>
  <c r="H1578" i="15"/>
  <c r="J1578" i="15" s="1"/>
  <c r="I1577" i="15"/>
  <c r="H1577" i="15"/>
  <c r="J1577" i="15" s="1"/>
  <c r="I1576" i="15"/>
  <c r="H1576" i="15"/>
  <c r="J1576" i="15" s="1"/>
  <c r="I1575" i="15"/>
  <c r="H1575" i="15"/>
  <c r="J1575" i="15" s="1"/>
  <c r="I1574" i="15"/>
  <c r="H1574" i="15"/>
  <c r="J1574" i="15" s="1"/>
  <c r="I1573" i="15"/>
  <c r="H1573" i="15"/>
  <c r="J1573" i="15" s="1"/>
  <c r="I1572" i="15"/>
  <c r="H1572" i="15"/>
  <c r="J1572" i="15" s="1"/>
  <c r="I1571" i="15"/>
  <c r="H1571" i="15"/>
  <c r="J1571" i="15" s="1"/>
  <c r="I1570" i="15"/>
  <c r="H1570" i="15"/>
  <c r="J1570" i="15" s="1"/>
  <c r="I1569" i="15"/>
  <c r="H1569" i="15"/>
  <c r="J1569" i="15" s="1"/>
  <c r="I1568" i="15"/>
  <c r="H1568" i="15"/>
  <c r="J1568" i="15" s="1"/>
  <c r="I1567" i="15"/>
  <c r="H1567" i="15"/>
  <c r="J1567" i="15" s="1"/>
  <c r="I1566" i="15"/>
  <c r="H1566" i="15"/>
  <c r="J1566" i="15" s="1"/>
  <c r="I1565" i="15"/>
  <c r="H1565" i="15"/>
  <c r="J1565" i="15" s="1"/>
  <c r="I1564" i="15"/>
  <c r="H1564" i="15"/>
  <c r="J1564" i="15" s="1"/>
  <c r="I1563" i="15"/>
  <c r="H1563" i="15"/>
  <c r="J1563" i="15" s="1"/>
  <c r="I1562" i="15"/>
  <c r="H1562" i="15"/>
  <c r="J1562" i="15" s="1"/>
  <c r="I1561" i="15"/>
  <c r="H1561" i="15"/>
  <c r="J1561" i="15" s="1"/>
  <c r="I1560" i="15"/>
  <c r="H1560" i="15"/>
  <c r="J1560" i="15" s="1"/>
  <c r="I1559" i="15"/>
  <c r="H1559" i="15"/>
  <c r="J1559" i="15" s="1"/>
  <c r="I1558" i="15"/>
  <c r="H1558" i="15"/>
  <c r="J1558" i="15" s="1"/>
  <c r="I1557" i="15"/>
  <c r="H1557" i="15"/>
  <c r="J1557" i="15" s="1"/>
  <c r="I1556" i="15"/>
  <c r="H1556" i="15"/>
  <c r="J1556" i="15" s="1"/>
  <c r="I1555" i="15"/>
  <c r="H1555" i="15"/>
  <c r="J1555" i="15" s="1"/>
  <c r="I1554" i="15"/>
  <c r="H1554" i="15"/>
  <c r="J1554" i="15" s="1"/>
  <c r="I1553" i="15"/>
  <c r="H1553" i="15"/>
  <c r="J1553" i="15" s="1"/>
  <c r="I1552" i="15"/>
  <c r="H1552" i="15"/>
  <c r="J1552" i="15" s="1"/>
  <c r="I1551" i="15"/>
  <c r="H1551" i="15"/>
  <c r="J1551" i="15" s="1"/>
  <c r="I1550" i="15"/>
  <c r="H1550" i="15"/>
  <c r="J1550" i="15" s="1"/>
  <c r="I1549" i="15"/>
  <c r="H1549" i="15"/>
  <c r="J1549" i="15" s="1"/>
  <c r="I1548" i="15"/>
  <c r="H1548" i="15"/>
  <c r="J1548" i="15" s="1"/>
  <c r="I1547" i="15"/>
  <c r="H1547" i="15"/>
  <c r="J1547" i="15" s="1"/>
  <c r="I1546" i="15"/>
  <c r="H1546" i="15"/>
  <c r="J1546" i="15" s="1"/>
  <c r="I1545" i="15"/>
  <c r="H1545" i="15"/>
  <c r="J1545" i="15" s="1"/>
  <c r="I1544" i="15"/>
  <c r="H1544" i="15"/>
  <c r="J1544" i="15" s="1"/>
  <c r="I1543" i="15"/>
  <c r="H1543" i="15"/>
  <c r="J1543" i="15" s="1"/>
  <c r="I1542" i="15"/>
  <c r="H1542" i="15"/>
  <c r="J1542" i="15" s="1"/>
  <c r="I1541" i="15"/>
  <c r="H1541" i="15"/>
  <c r="J1541" i="15" s="1"/>
  <c r="I1540" i="15"/>
  <c r="H1540" i="15"/>
  <c r="J1540" i="15" s="1"/>
  <c r="I1539" i="15"/>
  <c r="H1539" i="15"/>
  <c r="J1539" i="15" s="1"/>
  <c r="I1538" i="15"/>
  <c r="H1538" i="15"/>
  <c r="J1538" i="15" s="1"/>
  <c r="I1537" i="15"/>
  <c r="H1537" i="15"/>
  <c r="J1537" i="15" s="1"/>
  <c r="I1536" i="15"/>
  <c r="H1536" i="15"/>
  <c r="J1536" i="15" s="1"/>
  <c r="I1535" i="15"/>
  <c r="H1535" i="15"/>
  <c r="J1535" i="15" s="1"/>
  <c r="I1534" i="15"/>
  <c r="H1534" i="15"/>
  <c r="J1534" i="15" s="1"/>
  <c r="I1533" i="15"/>
  <c r="H1533" i="15"/>
  <c r="J1533" i="15" s="1"/>
  <c r="I1532" i="15"/>
  <c r="H1532" i="15"/>
  <c r="J1532" i="15" s="1"/>
  <c r="I1531" i="15"/>
  <c r="H1531" i="15"/>
  <c r="J1531" i="15" s="1"/>
  <c r="I1530" i="15"/>
  <c r="H1530" i="15"/>
  <c r="J1530" i="15" s="1"/>
  <c r="I1529" i="15"/>
  <c r="H1529" i="15"/>
  <c r="J1529" i="15" s="1"/>
  <c r="I1528" i="15"/>
  <c r="H1528" i="15"/>
  <c r="J1528" i="15" s="1"/>
  <c r="I1527" i="15"/>
  <c r="H1527" i="15"/>
  <c r="J1527" i="15" s="1"/>
  <c r="I1526" i="15"/>
  <c r="H1526" i="15"/>
  <c r="J1526" i="15" s="1"/>
  <c r="I1525" i="15"/>
  <c r="H1525" i="15"/>
  <c r="J1525" i="15" s="1"/>
  <c r="I1524" i="15"/>
  <c r="H1524" i="15"/>
  <c r="J1524" i="15" s="1"/>
  <c r="I1523" i="15"/>
  <c r="H1523" i="15"/>
  <c r="J1523" i="15" s="1"/>
  <c r="I1522" i="15"/>
  <c r="H1522" i="15"/>
  <c r="J1522" i="15" s="1"/>
  <c r="I1521" i="15"/>
  <c r="H1521" i="15"/>
  <c r="J1521" i="15" s="1"/>
  <c r="I1520" i="15"/>
  <c r="H1520" i="15"/>
  <c r="J1520" i="15" s="1"/>
  <c r="I1519" i="15"/>
  <c r="H1519" i="15"/>
  <c r="J1519" i="15" s="1"/>
  <c r="I1518" i="15"/>
  <c r="H1518" i="15"/>
  <c r="J1518" i="15" s="1"/>
  <c r="I1517" i="15"/>
  <c r="H1517" i="15"/>
  <c r="J1517" i="15" s="1"/>
  <c r="I1516" i="15"/>
  <c r="H1516" i="15"/>
  <c r="J1516" i="15" s="1"/>
  <c r="I1515" i="15"/>
  <c r="H1515" i="15"/>
  <c r="J1515" i="15" s="1"/>
  <c r="I1514" i="15"/>
  <c r="H1514" i="15"/>
  <c r="J1514" i="15" s="1"/>
  <c r="I1513" i="15"/>
  <c r="H1513" i="15"/>
  <c r="J1513" i="15" s="1"/>
  <c r="I1512" i="15"/>
  <c r="H1512" i="15"/>
  <c r="J1512" i="15" s="1"/>
  <c r="I1511" i="15"/>
  <c r="H1511" i="15"/>
  <c r="J1511" i="15" s="1"/>
  <c r="I1510" i="15"/>
  <c r="H1510" i="15"/>
  <c r="J1510" i="15" s="1"/>
  <c r="I1509" i="15"/>
  <c r="H1509" i="15"/>
  <c r="J1509" i="15" s="1"/>
  <c r="I1508" i="15"/>
  <c r="H1508" i="15"/>
  <c r="J1508" i="15" s="1"/>
  <c r="I1507" i="15"/>
  <c r="H1507" i="15"/>
  <c r="J1507" i="15" s="1"/>
  <c r="I1506" i="15"/>
  <c r="H1506" i="15"/>
  <c r="J1506" i="15" s="1"/>
  <c r="I1505" i="15"/>
  <c r="H1505" i="15"/>
  <c r="J1505" i="15" s="1"/>
  <c r="I1504" i="15"/>
  <c r="H1504" i="15"/>
  <c r="J1504" i="15" s="1"/>
  <c r="I1503" i="15"/>
  <c r="H1503" i="15"/>
  <c r="J1503" i="15" s="1"/>
  <c r="I1502" i="15"/>
  <c r="H1502" i="15"/>
  <c r="J1502" i="15" s="1"/>
  <c r="I1501" i="15"/>
  <c r="H1501" i="15"/>
  <c r="J1501" i="15" s="1"/>
  <c r="I1500" i="15"/>
  <c r="H1500" i="15"/>
  <c r="J1500" i="15" s="1"/>
  <c r="I1499" i="15"/>
  <c r="H1499" i="15"/>
  <c r="J1499" i="15" s="1"/>
  <c r="I1498" i="15"/>
  <c r="H1498" i="15"/>
  <c r="J1498" i="15" s="1"/>
  <c r="I1497" i="15"/>
  <c r="H1497" i="15"/>
  <c r="J1497" i="15" s="1"/>
  <c r="I1496" i="15"/>
  <c r="H1496" i="15"/>
  <c r="J1496" i="15" s="1"/>
  <c r="I1495" i="15"/>
  <c r="H1495" i="15"/>
  <c r="J1495" i="15" s="1"/>
  <c r="I1494" i="15"/>
  <c r="H1494" i="15"/>
  <c r="J1494" i="15" s="1"/>
  <c r="I1493" i="15"/>
  <c r="H1493" i="15"/>
  <c r="J1493" i="15" s="1"/>
  <c r="I1492" i="15"/>
  <c r="H1492" i="15"/>
  <c r="J1492" i="15" s="1"/>
  <c r="I1491" i="15"/>
  <c r="H1491" i="15"/>
  <c r="J1491" i="15" s="1"/>
  <c r="I1490" i="15"/>
  <c r="H1490" i="15"/>
  <c r="J1490" i="15" s="1"/>
  <c r="I1489" i="15"/>
  <c r="H1489" i="15"/>
  <c r="J1489" i="15" s="1"/>
  <c r="I1488" i="15"/>
  <c r="H1488" i="15"/>
  <c r="J1488" i="15" s="1"/>
  <c r="I1487" i="15"/>
  <c r="H1487" i="15"/>
  <c r="J1487" i="15" s="1"/>
  <c r="I1486" i="15"/>
  <c r="H1486" i="15"/>
  <c r="J1486" i="15" s="1"/>
  <c r="I1485" i="15"/>
  <c r="H1485" i="15"/>
  <c r="J1485" i="15" s="1"/>
  <c r="I1484" i="15"/>
  <c r="H1484" i="15"/>
  <c r="J1484" i="15" s="1"/>
  <c r="I1483" i="15"/>
  <c r="H1483" i="15"/>
  <c r="J1483" i="15" s="1"/>
  <c r="I1482" i="15"/>
  <c r="H1482" i="15"/>
  <c r="J1482" i="15" s="1"/>
  <c r="I1481" i="15"/>
  <c r="H1481" i="15"/>
  <c r="J1481" i="15" s="1"/>
  <c r="I1480" i="15"/>
  <c r="H1480" i="15"/>
  <c r="J1480" i="15" s="1"/>
  <c r="I1479" i="15"/>
  <c r="H1479" i="15"/>
  <c r="J1479" i="15" s="1"/>
  <c r="I1478" i="15"/>
  <c r="H1478" i="15"/>
  <c r="J1478" i="15" s="1"/>
  <c r="I1477" i="15"/>
  <c r="H1477" i="15"/>
  <c r="J1477" i="15" s="1"/>
  <c r="I1476" i="15"/>
  <c r="H1476" i="15"/>
  <c r="J1476" i="15" s="1"/>
  <c r="I1475" i="15"/>
  <c r="H1475" i="15"/>
  <c r="J1475" i="15" s="1"/>
  <c r="I1474" i="15"/>
  <c r="H1474" i="15"/>
  <c r="J1474" i="15" s="1"/>
  <c r="I1473" i="15"/>
  <c r="H1473" i="15"/>
  <c r="J1473" i="15" s="1"/>
  <c r="I1472" i="15"/>
  <c r="H1472" i="15"/>
  <c r="J1472" i="15" s="1"/>
  <c r="I1471" i="15"/>
  <c r="H1471" i="15"/>
  <c r="J1471" i="15" s="1"/>
  <c r="I1470" i="15"/>
  <c r="H1470" i="15"/>
  <c r="J1470" i="15" s="1"/>
  <c r="I1469" i="15"/>
  <c r="H1469" i="15"/>
  <c r="J1469" i="15" s="1"/>
  <c r="I1468" i="15"/>
  <c r="H1468" i="15"/>
  <c r="J1468" i="15" s="1"/>
  <c r="I1467" i="15"/>
  <c r="H1467" i="15"/>
  <c r="J1467" i="15" s="1"/>
  <c r="I1466" i="15"/>
  <c r="H1466" i="15"/>
  <c r="J1466" i="15" s="1"/>
  <c r="I1465" i="15"/>
  <c r="H1465" i="15"/>
  <c r="J1465" i="15" s="1"/>
  <c r="I1464" i="15"/>
  <c r="H1464" i="15"/>
  <c r="J1464" i="15" s="1"/>
  <c r="I1463" i="15"/>
  <c r="H1463" i="15"/>
  <c r="J1463" i="15" s="1"/>
  <c r="I1462" i="15"/>
  <c r="H1462" i="15"/>
  <c r="J1462" i="15" s="1"/>
  <c r="I1461" i="15"/>
  <c r="H1461" i="15"/>
  <c r="J1461" i="15" s="1"/>
  <c r="I1460" i="15"/>
  <c r="H1460" i="15"/>
  <c r="J1460" i="15" s="1"/>
  <c r="I1459" i="15"/>
  <c r="H1459" i="15"/>
  <c r="J1459" i="15" s="1"/>
  <c r="I1458" i="15"/>
  <c r="H1458" i="15"/>
  <c r="J1458" i="15" s="1"/>
  <c r="I1457" i="15"/>
  <c r="H1457" i="15"/>
  <c r="J1457" i="15" s="1"/>
  <c r="I1456" i="15"/>
  <c r="H1456" i="15"/>
  <c r="J1456" i="15" s="1"/>
  <c r="I1455" i="15"/>
  <c r="H1455" i="15"/>
  <c r="J1455" i="15" s="1"/>
  <c r="I1454" i="15"/>
  <c r="H1454" i="15"/>
  <c r="J1454" i="15" s="1"/>
  <c r="I1453" i="15"/>
  <c r="H1453" i="15"/>
  <c r="J1453" i="15" s="1"/>
  <c r="I1452" i="15"/>
  <c r="H1452" i="15"/>
  <c r="J1452" i="15" s="1"/>
  <c r="I1451" i="15"/>
  <c r="H1451" i="15"/>
  <c r="J1451" i="15" s="1"/>
  <c r="I1450" i="15"/>
  <c r="H1450" i="15"/>
  <c r="J1450" i="15" s="1"/>
  <c r="I1449" i="15"/>
  <c r="H1449" i="15"/>
  <c r="J1449" i="15" s="1"/>
  <c r="I1448" i="15"/>
  <c r="H1448" i="15"/>
  <c r="J1448" i="15" s="1"/>
  <c r="I1447" i="15"/>
  <c r="H1447" i="15"/>
  <c r="J1447" i="15" s="1"/>
  <c r="I1446" i="15"/>
  <c r="H1446" i="15"/>
  <c r="J1446" i="15" s="1"/>
  <c r="I1445" i="15"/>
  <c r="H1445" i="15"/>
  <c r="J1445" i="15" s="1"/>
  <c r="I1444" i="15"/>
  <c r="H1444" i="15"/>
  <c r="J1444" i="15" s="1"/>
  <c r="I1443" i="15"/>
  <c r="H1443" i="15"/>
  <c r="J1443" i="15" s="1"/>
  <c r="I1442" i="15"/>
  <c r="H1442" i="15"/>
  <c r="J1442" i="15" s="1"/>
  <c r="I1441" i="15"/>
  <c r="H1441" i="15"/>
  <c r="J1441" i="15" s="1"/>
  <c r="I1440" i="15"/>
  <c r="H1440" i="15"/>
  <c r="J1440" i="15" s="1"/>
  <c r="I1439" i="15"/>
  <c r="H1439" i="15"/>
  <c r="J1439" i="15" s="1"/>
  <c r="I1438" i="15"/>
  <c r="H1438" i="15"/>
  <c r="J1438" i="15" s="1"/>
  <c r="I1437" i="15"/>
  <c r="H1437" i="15"/>
  <c r="J1437" i="15" s="1"/>
  <c r="I1436" i="15"/>
  <c r="H1436" i="15"/>
  <c r="J1436" i="15" s="1"/>
  <c r="I1435" i="15"/>
  <c r="H1435" i="15"/>
  <c r="J1435" i="15" s="1"/>
  <c r="I1434" i="15"/>
  <c r="H1434" i="15"/>
  <c r="J1434" i="15" s="1"/>
  <c r="I1433" i="15"/>
  <c r="H1433" i="15"/>
  <c r="J1433" i="15" s="1"/>
  <c r="I1432" i="15"/>
  <c r="H1432" i="15"/>
  <c r="J1432" i="15" s="1"/>
  <c r="I1431" i="15"/>
  <c r="H1431" i="15"/>
  <c r="J1431" i="15" s="1"/>
  <c r="I1430" i="15"/>
  <c r="H1430" i="15"/>
  <c r="J1430" i="15" s="1"/>
  <c r="I1429" i="15"/>
  <c r="H1429" i="15"/>
  <c r="J1429" i="15" s="1"/>
  <c r="I1428" i="15"/>
  <c r="H1428" i="15"/>
  <c r="J1428" i="15" s="1"/>
  <c r="I1427" i="15"/>
  <c r="H1427" i="15"/>
  <c r="J1427" i="15" s="1"/>
  <c r="I1426" i="15"/>
  <c r="H1426" i="15"/>
  <c r="J1426" i="15" s="1"/>
  <c r="I1425" i="15"/>
  <c r="H1425" i="15"/>
  <c r="J1425" i="15" s="1"/>
  <c r="I1424" i="15"/>
  <c r="H1424" i="15"/>
  <c r="J1424" i="15" s="1"/>
  <c r="I1423" i="15"/>
  <c r="H1423" i="15"/>
  <c r="J1423" i="15" s="1"/>
  <c r="I1422" i="15"/>
  <c r="H1422" i="15"/>
  <c r="J1422" i="15" s="1"/>
  <c r="I1421" i="15"/>
  <c r="H1421" i="15"/>
  <c r="J1421" i="15" s="1"/>
  <c r="I1420" i="15"/>
  <c r="H1420" i="15"/>
  <c r="J1420" i="15" s="1"/>
  <c r="I1419" i="15"/>
  <c r="H1419" i="15"/>
  <c r="J1419" i="15" s="1"/>
  <c r="I1418" i="15"/>
  <c r="H1418" i="15"/>
  <c r="J1418" i="15" s="1"/>
  <c r="I1417" i="15"/>
  <c r="H1417" i="15"/>
  <c r="J1417" i="15" s="1"/>
  <c r="I1416" i="15"/>
  <c r="H1416" i="15"/>
  <c r="J1416" i="15" s="1"/>
  <c r="I1415" i="15"/>
  <c r="H1415" i="15"/>
  <c r="J1415" i="15" s="1"/>
  <c r="I1414" i="15"/>
  <c r="H1414" i="15"/>
  <c r="J1414" i="15" s="1"/>
  <c r="I1413" i="15"/>
  <c r="H1413" i="15"/>
  <c r="J1413" i="15" s="1"/>
  <c r="I1412" i="15"/>
  <c r="H1412" i="15"/>
  <c r="J1412" i="15" s="1"/>
  <c r="I1411" i="15"/>
  <c r="H1411" i="15"/>
  <c r="J1411" i="15" s="1"/>
  <c r="I1410" i="15"/>
  <c r="H1410" i="15"/>
  <c r="J1410" i="15" s="1"/>
  <c r="I1409" i="15"/>
  <c r="H1409" i="15"/>
  <c r="J1409" i="15" s="1"/>
  <c r="I1408" i="15"/>
  <c r="H1408" i="15"/>
  <c r="J1408" i="15" s="1"/>
  <c r="I1407" i="15"/>
  <c r="H1407" i="15"/>
  <c r="J1407" i="15" s="1"/>
  <c r="I1406" i="15"/>
  <c r="H1406" i="15"/>
  <c r="J1406" i="15" s="1"/>
  <c r="I1405" i="15"/>
  <c r="H1405" i="15"/>
  <c r="J1405" i="15" s="1"/>
  <c r="I1404" i="15"/>
  <c r="H1404" i="15"/>
  <c r="J1404" i="15" s="1"/>
  <c r="I1403" i="15"/>
  <c r="H1403" i="15"/>
  <c r="J1403" i="15" s="1"/>
  <c r="I1402" i="15"/>
  <c r="H1402" i="15"/>
  <c r="J1402" i="15" s="1"/>
  <c r="I1401" i="15"/>
  <c r="H1401" i="15"/>
  <c r="J1401" i="15" s="1"/>
  <c r="I1400" i="15"/>
  <c r="H1400" i="15"/>
  <c r="J1400" i="15" s="1"/>
  <c r="I1399" i="15"/>
  <c r="H1399" i="15"/>
  <c r="J1399" i="15" s="1"/>
  <c r="I1398" i="15"/>
  <c r="H1398" i="15"/>
  <c r="J1398" i="15" s="1"/>
  <c r="I1397" i="15"/>
  <c r="H1397" i="15"/>
  <c r="J1397" i="15" s="1"/>
  <c r="I1396" i="15"/>
  <c r="H1396" i="15"/>
  <c r="J1396" i="15" s="1"/>
  <c r="I1395" i="15"/>
  <c r="H1395" i="15"/>
  <c r="J1395" i="15" s="1"/>
  <c r="I1394" i="15"/>
  <c r="H1394" i="15"/>
  <c r="J1394" i="15" s="1"/>
  <c r="I1393" i="15"/>
  <c r="H1393" i="15"/>
  <c r="J1393" i="15" s="1"/>
  <c r="I1392" i="15"/>
  <c r="H1392" i="15"/>
  <c r="J1392" i="15" s="1"/>
  <c r="I1391" i="15"/>
  <c r="H1391" i="15"/>
  <c r="J1391" i="15" s="1"/>
  <c r="I1390" i="15"/>
  <c r="H1390" i="15"/>
  <c r="J1390" i="15" s="1"/>
  <c r="I1389" i="15"/>
  <c r="H1389" i="15"/>
  <c r="J1389" i="15" s="1"/>
  <c r="I1388" i="15"/>
  <c r="H1388" i="15"/>
  <c r="J1388" i="15" s="1"/>
  <c r="I1387" i="15"/>
  <c r="H1387" i="15"/>
  <c r="J1387" i="15" s="1"/>
  <c r="I1386" i="15"/>
  <c r="H1386" i="15"/>
  <c r="J1386" i="15" s="1"/>
  <c r="I1385" i="15"/>
  <c r="H1385" i="15"/>
  <c r="J1385" i="15" s="1"/>
  <c r="I1384" i="15"/>
  <c r="H1384" i="15"/>
  <c r="J1384" i="15" s="1"/>
  <c r="I1383" i="15"/>
  <c r="H1383" i="15"/>
  <c r="J1383" i="15" s="1"/>
  <c r="I1382" i="15"/>
  <c r="H1382" i="15"/>
  <c r="J1382" i="15" s="1"/>
  <c r="I1381" i="15"/>
  <c r="H1381" i="15"/>
  <c r="J1381" i="15" s="1"/>
  <c r="I1380" i="15"/>
  <c r="H1380" i="15"/>
  <c r="J1380" i="15" s="1"/>
  <c r="I1379" i="15"/>
  <c r="H1379" i="15"/>
  <c r="J1379" i="15" s="1"/>
  <c r="I1378" i="15"/>
  <c r="H1378" i="15"/>
  <c r="J1378" i="15" s="1"/>
  <c r="I1377" i="15"/>
  <c r="H1377" i="15"/>
  <c r="J1377" i="15" s="1"/>
  <c r="I1376" i="15"/>
  <c r="H1376" i="15"/>
  <c r="J1376" i="15" s="1"/>
  <c r="I1375" i="15"/>
  <c r="H1375" i="15"/>
  <c r="J1375" i="15" s="1"/>
  <c r="I1374" i="15"/>
  <c r="H1374" i="15"/>
  <c r="J1374" i="15" s="1"/>
  <c r="I1373" i="15"/>
  <c r="H1373" i="15"/>
  <c r="J1373" i="15" s="1"/>
  <c r="I1372" i="15"/>
  <c r="H1372" i="15"/>
  <c r="J1372" i="15" s="1"/>
  <c r="I1371" i="15"/>
  <c r="H1371" i="15"/>
  <c r="J1371" i="15" s="1"/>
  <c r="I1370" i="15"/>
  <c r="H1370" i="15"/>
  <c r="J1370" i="15" s="1"/>
  <c r="I1369" i="15"/>
  <c r="H1369" i="15"/>
  <c r="J1369" i="15" s="1"/>
  <c r="I1368" i="15"/>
  <c r="H1368" i="15"/>
  <c r="J1368" i="15" s="1"/>
  <c r="I1367" i="15"/>
  <c r="H1367" i="15"/>
  <c r="J1367" i="15" s="1"/>
  <c r="I1366" i="15"/>
  <c r="H1366" i="15"/>
  <c r="J1366" i="15" s="1"/>
  <c r="I1365" i="15"/>
  <c r="H1365" i="15"/>
  <c r="J1365" i="15" s="1"/>
  <c r="I1364" i="15"/>
  <c r="H1364" i="15"/>
  <c r="J1364" i="15" s="1"/>
  <c r="I1363" i="15"/>
  <c r="H1363" i="15"/>
  <c r="J1363" i="15" s="1"/>
  <c r="I1362" i="15"/>
  <c r="H1362" i="15"/>
  <c r="J1362" i="15" s="1"/>
  <c r="I1361" i="15"/>
  <c r="H1361" i="15"/>
  <c r="J1361" i="15" s="1"/>
  <c r="I1360" i="15"/>
  <c r="H1360" i="15"/>
  <c r="J1360" i="15" s="1"/>
  <c r="I1359" i="15"/>
  <c r="H1359" i="15"/>
  <c r="J1359" i="15" s="1"/>
  <c r="I1358" i="15"/>
  <c r="H1358" i="15"/>
  <c r="J1358" i="15" s="1"/>
  <c r="I1357" i="15"/>
  <c r="H1357" i="15"/>
  <c r="J1357" i="15" s="1"/>
  <c r="I1356" i="15"/>
  <c r="H1356" i="15"/>
  <c r="J1356" i="15" s="1"/>
  <c r="I1355" i="15"/>
  <c r="H1355" i="15"/>
  <c r="J1355" i="15" s="1"/>
  <c r="I1354" i="15"/>
  <c r="H1354" i="15"/>
  <c r="J1354" i="15" s="1"/>
  <c r="I1353" i="15"/>
  <c r="H1353" i="15"/>
  <c r="J1353" i="15" s="1"/>
  <c r="I1352" i="15"/>
  <c r="H1352" i="15"/>
  <c r="J1352" i="15" s="1"/>
  <c r="I1351" i="15"/>
  <c r="H1351" i="15"/>
  <c r="J1351" i="15" s="1"/>
  <c r="I1350" i="15"/>
  <c r="H1350" i="15"/>
  <c r="J1350" i="15" s="1"/>
  <c r="I1349" i="15"/>
  <c r="H1349" i="15"/>
  <c r="J1349" i="15" s="1"/>
  <c r="I1348" i="15"/>
  <c r="H1348" i="15"/>
  <c r="J1348" i="15" s="1"/>
  <c r="I1347" i="15"/>
  <c r="H1347" i="15"/>
  <c r="J1347" i="15" s="1"/>
  <c r="I1346" i="15"/>
  <c r="H1346" i="15"/>
  <c r="J1346" i="15" s="1"/>
  <c r="I1345" i="15"/>
  <c r="H1345" i="15"/>
  <c r="J1345" i="15" s="1"/>
  <c r="I1344" i="15"/>
  <c r="H1344" i="15"/>
  <c r="J1344" i="15" s="1"/>
  <c r="I1343" i="15"/>
  <c r="H1343" i="15"/>
  <c r="J1343" i="15" s="1"/>
  <c r="I1342" i="15"/>
  <c r="H1342" i="15"/>
  <c r="J1342" i="15" s="1"/>
  <c r="I1341" i="15"/>
  <c r="H1341" i="15"/>
  <c r="J1341" i="15" s="1"/>
  <c r="I1340" i="15"/>
  <c r="H1340" i="15"/>
  <c r="J1340" i="15" s="1"/>
  <c r="I1339" i="15"/>
  <c r="H1339" i="15"/>
  <c r="J1339" i="15" s="1"/>
  <c r="I1338" i="15"/>
  <c r="H1338" i="15"/>
  <c r="J1338" i="15" s="1"/>
  <c r="I1337" i="15"/>
  <c r="H1337" i="15"/>
  <c r="J1337" i="15" s="1"/>
  <c r="I1336" i="15"/>
  <c r="H1336" i="15"/>
  <c r="J1336" i="15" s="1"/>
  <c r="I1335" i="15"/>
  <c r="H1335" i="15"/>
  <c r="J1335" i="15" s="1"/>
  <c r="I1334" i="15"/>
  <c r="H1334" i="15"/>
  <c r="J1334" i="15" s="1"/>
  <c r="I1333" i="15"/>
  <c r="H1333" i="15"/>
  <c r="J1333" i="15" s="1"/>
  <c r="I1332" i="15"/>
  <c r="H1332" i="15"/>
  <c r="J1332" i="15" s="1"/>
  <c r="I1331" i="15"/>
  <c r="H1331" i="15"/>
  <c r="J1331" i="15" s="1"/>
  <c r="I1330" i="15"/>
  <c r="H1330" i="15"/>
  <c r="J1330" i="15" s="1"/>
  <c r="I1329" i="15"/>
  <c r="H1329" i="15"/>
  <c r="J1329" i="15" s="1"/>
  <c r="I1328" i="15"/>
  <c r="H1328" i="15"/>
  <c r="J1328" i="15" s="1"/>
  <c r="I1327" i="15"/>
  <c r="H1327" i="15"/>
  <c r="J1327" i="15" s="1"/>
  <c r="I1326" i="15"/>
  <c r="H1326" i="15"/>
  <c r="J1326" i="15" s="1"/>
  <c r="I1325" i="15"/>
  <c r="I1324" i="15"/>
  <c r="I1323" i="15"/>
  <c r="I1322" i="15"/>
  <c r="I1321" i="15"/>
  <c r="I1320" i="15"/>
  <c r="H1320" i="15"/>
  <c r="J1320" i="15" s="1"/>
  <c r="I1319" i="15"/>
  <c r="H1319" i="15"/>
  <c r="J1319" i="15" s="1"/>
  <c r="I1318" i="15"/>
  <c r="H1318" i="15"/>
  <c r="J1318" i="15" s="1"/>
  <c r="I1317" i="15"/>
  <c r="H1317" i="15"/>
  <c r="J1317" i="15" s="1"/>
  <c r="I1316" i="15"/>
  <c r="H1316" i="15"/>
  <c r="J1316" i="15" s="1"/>
  <c r="I1315" i="15"/>
  <c r="H1315" i="15"/>
  <c r="J1315" i="15" s="1"/>
  <c r="I1314" i="15"/>
  <c r="H1314" i="15"/>
  <c r="J1314" i="15" s="1"/>
  <c r="I1313" i="15"/>
  <c r="H1313" i="15"/>
  <c r="J1313" i="15" s="1"/>
  <c r="I1312" i="15"/>
  <c r="H1312" i="15"/>
  <c r="J1312" i="15" s="1"/>
  <c r="I1311" i="15"/>
  <c r="H1311" i="15"/>
  <c r="J1311" i="15" s="1"/>
  <c r="I1310" i="15"/>
  <c r="H1310" i="15"/>
  <c r="J1310" i="15" s="1"/>
  <c r="I1309" i="15"/>
  <c r="H1309" i="15"/>
  <c r="J1309" i="15" s="1"/>
  <c r="I1308" i="15"/>
  <c r="H1308" i="15"/>
  <c r="J1308" i="15" s="1"/>
  <c r="I1307" i="15"/>
  <c r="H1307" i="15"/>
  <c r="J1307" i="15" s="1"/>
  <c r="I1306" i="15"/>
  <c r="H1306" i="15"/>
  <c r="J1306" i="15" s="1"/>
  <c r="I1305" i="15"/>
  <c r="H1305" i="15"/>
  <c r="J1305" i="15" s="1"/>
  <c r="I1304" i="15"/>
  <c r="H1304" i="15"/>
  <c r="J1304" i="15" s="1"/>
  <c r="I1303" i="15"/>
  <c r="H1303" i="15"/>
  <c r="J1303" i="15" s="1"/>
  <c r="I1302" i="15"/>
  <c r="H1302" i="15"/>
  <c r="J1302" i="15" s="1"/>
  <c r="I1301" i="15"/>
  <c r="H1301" i="15"/>
  <c r="J1301" i="15" s="1"/>
  <c r="I1300" i="15"/>
  <c r="H1300" i="15"/>
  <c r="J1300" i="15" s="1"/>
  <c r="I1299" i="15"/>
  <c r="H1299" i="15"/>
  <c r="J1299" i="15" s="1"/>
  <c r="I1298" i="15"/>
  <c r="H1298" i="15"/>
  <c r="J1298" i="15" s="1"/>
  <c r="I1297" i="15"/>
  <c r="H1297" i="15"/>
  <c r="J1297" i="15" s="1"/>
  <c r="I1296" i="15"/>
  <c r="H1296" i="15"/>
  <c r="J1296" i="15" s="1"/>
  <c r="I1295" i="15"/>
  <c r="H1295" i="15"/>
  <c r="J1295" i="15" s="1"/>
  <c r="I1294" i="15"/>
  <c r="H1294" i="15"/>
  <c r="J1294" i="15" s="1"/>
  <c r="I1293" i="15"/>
  <c r="H1293" i="15"/>
  <c r="J1293" i="15" s="1"/>
  <c r="I1292" i="15"/>
  <c r="H1292" i="15"/>
  <c r="J1292" i="15" s="1"/>
  <c r="I1291" i="15"/>
  <c r="H1291" i="15"/>
  <c r="J1291" i="15" s="1"/>
  <c r="I1290" i="15"/>
  <c r="H1290" i="15"/>
  <c r="J1290" i="15" s="1"/>
  <c r="I1289" i="15"/>
  <c r="H1289" i="15"/>
  <c r="J1289" i="15" s="1"/>
  <c r="I1288" i="15"/>
  <c r="H1288" i="15"/>
  <c r="J1288" i="15" s="1"/>
  <c r="I1287" i="15"/>
  <c r="H1287" i="15"/>
  <c r="J1287" i="15" s="1"/>
  <c r="I1286" i="15"/>
  <c r="H1286" i="15"/>
  <c r="J1286" i="15" s="1"/>
  <c r="I1285" i="15"/>
  <c r="H1285" i="15"/>
  <c r="J1285" i="15" s="1"/>
  <c r="I1284" i="15"/>
  <c r="H1284" i="15"/>
  <c r="J1284" i="15" s="1"/>
  <c r="I1283" i="15"/>
  <c r="H1283" i="15"/>
  <c r="J1283" i="15" s="1"/>
  <c r="I1282" i="15"/>
  <c r="H1282" i="15"/>
  <c r="J1282" i="15" s="1"/>
  <c r="I1281" i="15"/>
  <c r="H1281" i="15"/>
  <c r="J1281" i="15" s="1"/>
  <c r="I1280" i="15"/>
  <c r="H1280" i="15"/>
  <c r="J1280" i="15" s="1"/>
  <c r="I1279" i="15"/>
  <c r="H1279" i="15"/>
  <c r="J1279" i="15" s="1"/>
  <c r="I1278" i="15"/>
  <c r="H1278" i="15"/>
  <c r="J1278" i="15" s="1"/>
  <c r="I1277" i="15"/>
  <c r="H1277" i="15"/>
  <c r="J1277" i="15" s="1"/>
  <c r="I1276" i="15"/>
  <c r="H1276" i="15"/>
  <c r="J1276" i="15" s="1"/>
  <c r="I1275" i="15"/>
  <c r="H1275" i="15"/>
  <c r="J1275" i="15" s="1"/>
  <c r="I1274" i="15"/>
  <c r="H1274" i="15"/>
  <c r="J1274" i="15" s="1"/>
  <c r="I1273" i="15"/>
  <c r="H1273" i="15"/>
  <c r="J1273" i="15" s="1"/>
  <c r="I1272" i="15"/>
  <c r="H1272" i="15"/>
  <c r="J1272" i="15" s="1"/>
  <c r="I1271" i="15"/>
  <c r="H1271" i="15"/>
  <c r="J1271" i="15" s="1"/>
  <c r="I1270" i="15"/>
  <c r="H1270" i="15"/>
  <c r="J1270" i="15" s="1"/>
  <c r="I1269" i="15"/>
  <c r="H1269" i="15"/>
  <c r="J1269" i="15" s="1"/>
  <c r="I1268" i="15"/>
  <c r="H1268" i="15"/>
  <c r="J1268" i="15" s="1"/>
  <c r="I1267" i="15"/>
  <c r="H1267" i="15"/>
  <c r="J1267" i="15" s="1"/>
  <c r="I1266" i="15"/>
  <c r="H1266" i="15"/>
  <c r="J1266" i="15" s="1"/>
  <c r="I1265" i="15"/>
  <c r="H1265" i="15"/>
  <c r="J1265" i="15" s="1"/>
  <c r="I1264" i="15"/>
  <c r="H1264" i="15"/>
  <c r="J1264" i="15" s="1"/>
  <c r="I1263" i="15"/>
  <c r="H1263" i="15"/>
  <c r="J1263" i="15" s="1"/>
  <c r="I1262" i="15"/>
  <c r="H1262" i="15"/>
  <c r="J1262" i="15" s="1"/>
  <c r="I1261" i="15"/>
  <c r="H1261" i="15"/>
  <c r="J1261" i="15" s="1"/>
  <c r="I1260" i="15"/>
  <c r="H1260" i="15"/>
  <c r="J1260" i="15" s="1"/>
  <c r="I1259" i="15"/>
  <c r="H1259" i="15"/>
  <c r="J1259" i="15" s="1"/>
  <c r="I1258" i="15"/>
  <c r="H1258" i="15"/>
  <c r="J1258" i="15" s="1"/>
  <c r="I1257" i="15"/>
  <c r="H1257" i="15"/>
  <c r="J1257" i="15" s="1"/>
  <c r="I1256" i="15"/>
  <c r="H1256" i="15"/>
  <c r="J1256" i="15" s="1"/>
  <c r="I1255" i="15"/>
  <c r="H1255" i="15"/>
  <c r="J1255" i="15" s="1"/>
  <c r="I1254" i="15"/>
  <c r="H1254" i="15"/>
  <c r="J1254" i="15" s="1"/>
  <c r="I1253" i="15"/>
  <c r="H1253" i="15"/>
  <c r="J1253" i="15" s="1"/>
  <c r="I1252" i="15"/>
  <c r="H1252" i="15"/>
  <c r="J1252" i="15" s="1"/>
  <c r="I1251" i="15"/>
  <c r="H1251" i="15"/>
  <c r="J1251" i="15" s="1"/>
  <c r="I1250" i="15"/>
  <c r="H1250" i="15"/>
  <c r="J1250" i="15" s="1"/>
  <c r="I1249" i="15"/>
  <c r="H1249" i="15"/>
  <c r="J1249" i="15" s="1"/>
  <c r="I1248" i="15"/>
  <c r="H1248" i="15"/>
  <c r="J1248" i="15" s="1"/>
  <c r="I1247" i="15"/>
  <c r="H1247" i="15"/>
  <c r="J1247" i="15" s="1"/>
  <c r="I1246" i="15"/>
  <c r="H1246" i="15"/>
  <c r="J1246" i="15" s="1"/>
  <c r="I1245" i="15"/>
  <c r="H1245" i="15"/>
  <c r="J1245" i="15" s="1"/>
  <c r="I1244" i="15"/>
  <c r="H1244" i="15"/>
  <c r="J1244" i="15" s="1"/>
  <c r="I1243" i="15"/>
  <c r="H1243" i="15"/>
  <c r="J1243" i="15" s="1"/>
  <c r="I1242" i="15"/>
  <c r="H1242" i="15"/>
  <c r="J1242" i="15" s="1"/>
  <c r="I1241" i="15"/>
  <c r="H1241" i="15"/>
  <c r="J1241" i="15" s="1"/>
  <c r="I1240" i="15"/>
  <c r="H1240" i="15"/>
  <c r="J1240" i="15" s="1"/>
  <c r="I1239" i="15"/>
  <c r="H1239" i="15"/>
  <c r="J1239" i="15" s="1"/>
  <c r="I1238" i="15"/>
  <c r="H1238" i="15"/>
  <c r="J1238" i="15" s="1"/>
  <c r="I1237" i="15"/>
  <c r="H1237" i="15"/>
  <c r="J1237" i="15" s="1"/>
  <c r="I1236" i="15"/>
  <c r="H1236" i="15"/>
  <c r="J1236" i="15" s="1"/>
  <c r="I1235" i="15"/>
  <c r="H1235" i="15"/>
  <c r="J1235" i="15" s="1"/>
  <c r="I1234" i="15"/>
  <c r="H1234" i="15"/>
  <c r="J1234" i="15" s="1"/>
  <c r="I1233" i="15"/>
  <c r="H1233" i="15"/>
  <c r="J1233" i="15" s="1"/>
  <c r="I1232" i="15"/>
  <c r="H1232" i="15"/>
  <c r="J1232" i="15" s="1"/>
  <c r="I1231" i="15"/>
  <c r="H1231" i="15"/>
  <c r="J1231" i="15" s="1"/>
  <c r="I1230" i="15"/>
  <c r="H1230" i="15"/>
  <c r="J1230" i="15" s="1"/>
  <c r="I1229" i="15"/>
  <c r="H1229" i="15"/>
  <c r="J1229" i="15" s="1"/>
  <c r="I1228" i="15"/>
  <c r="H1228" i="15"/>
  <c r="J1228" i="15" s="1"/>
  <c r="I1227" i="15"/>
  <c r="H1227" i="15"/>
  <c r="J1227" i="15" s="1"/>
  <c r="I1226" i="15"/>
  <c r="H1226" i="15"/>
  <c r="J1226" i="15" s="1"/>
  <c r="I1225" i="15"/>
  <c r="H1225" i="15"/>
  <c r="J1225" i="15" s="1"/>
  <c r="I1224" i="15"/>
  <c r="H1224" i="15"/>
  <c r="J1224" i="15" s="1"/>
  <c r="I1223" i="15"/>
  <c r="H1223" i="15"/>
  <c r="J1223" i="15" s="1"/>
  <c r="I1222" i="15"/>
  <c r="H1222" i="15"/>
  <c r="J1222" i="15" s="1"/>
  <c r="I1221" i="15"/>
  <c r="H1221" i="15"/>
  <c r="J1221" i="15" s="1"/>
  <c r="I1220" i="15"/>
  <c r="H1220" i="15"/>
  <c r="J1220" i="15" s="1"/>
  <c r="I1219" i="15"/>
  <c r="H1219" i="15"/>
  <c r="J1219" i="15" s="1"/>
  <c r="I1218" i="15"/>
  <c r="H1218" i="15"/>
  <c r="J1218" i="15" s="1"/>
  <c r="I1217" i="15"/>
  <c r="H1217" i="15"/>
  <c r="J1217" i="15" s="1"/>
  <c r="I1216" i="15"/>
  <c r="H1216" i="15"/>
  <c r="J1216" i="15" s="1"/>
  <c r="I1215" i="15"/>
  <c r="H1215" i="15"/>
  <c r="J1215" i="15" s="1"/>
  <c r="I1214" i="15"/>
  <c r="H1214" i="15"/>
  <c r="J1214" i="15" s="1"/>
  <c r="I1213" i="15"/>
  <c r="H1213" i="15"/>
  <c r="J1213" i="15" s="1"/>
  <c r="I1212" i="15"/>
  <c r="H1212" i="15"/>
  <c r="J1212" i="15" s="1"/>
  <c r="I1211" i="15"/>
  <c r="H1211" i="15"/>
  <c r="J1211" i="15" s="1"/>
  <c r="I1210" i="15"/>
  <c r="H1210" i="15"/>
  <c r="J1210" i="15" s="1"/>
  <c r="I1209" i="15"/>
  <c r="H1209" i="15"/>
  <c r="J1209" i="15" s="1"/>
  <c r="I1208" i="15"/>
  <c r="H1208" i="15"/>
  <c r="J1208" i="15" s="1"/>
  <c r="I1207" i="15"/>
  <c r="H1207" i="15"/>
  <c r="J1207" i="15" s="1"/>
  <c r="I1206" i="15"/>
  <c r="H1206" i="15"/>
  <c r="J1206" i="15" s="1"/>
  <c r="I1205" i="15"/>
  <c r="H1205" i="15"/>
  <c r="J1205" i="15" s="1"/>
  <c r="I1204" i="15"/>
  <c r="H1204" i="15"/>
  <c r="J1204" i="15" s="1"/>
  <c r="I1203" i="15"/>
  <c r="H1203" i="15"/>
  <c r="J1203" i="15" s="1"/>
  <c r="I1202" i="15"/>
  <c r="H1202" i="15"/>
  <c r="J1202" i="15" s="1"/>
  <c r="I1201" i="15"/>
  <c r="H1201" i="15"/>
  <c r="J1201" i="15" s="1"/>
  <c r="I1200" i="15"/>
  <c r="H1200" i="15"/>
  <c r="J1200" i="15" s="1"/>
  <c r="I1199" i="15"/>
  <c r="H1199" i="15"/>
  <c r="J1199" i="15" s="1"/>
  <c r="I1198" i="15"/>
  <c r="H1198" i="15"/>
  <c r="J1198" i="15" s="1"/>
  <c r="I1197" i="15"/>
  <c r="H1197" i="15"/>
  <c r="J1197" i="15" s="1"/>
  <c r="I1196" i="15"/>
  <c r="H1196" i="15"/>
  <c r="J1196" i="15" s="1"/>
  <c r="I1195" i="15"/>
  <c r="H1195" i="15"/>
  <c r="J1195" i="15" s="1"/>
  <c r="I1194" i="15"/>
  <c r="H1194" i="15"/>
  <c r="J1194" i="15" s="1"/>
  <c r="I1193" i="15"/>
  <c r="H1193" i="15"/>
  <c r="J1193" i="15" s="1"/>
  <c r="I1192" i="15"/>
  <c r="H1192" i="15"/>
  <c r="J1192" i="15" s="1"/>
  <c r="I1191" i="15"/>
  <c r="H1191" i="15"/>
  <c r="J1191" i="15" s="1"/>
  <c r="I1190" i="15"/>
  <c r="H1190" i="15"/>
  <c r="J1190" i="15" s="1"/>
  <c r="I1189" i="15"/>
  <c r="H1189" i="15"/>
  <c r="J1189" i="15" s="1"/>
  <c r="I1188" i="15"/>
  <c r="H1188" i="15"/>
  <c r="J1188" i="15" s="1"/>
  <c r="I1187" i="15"/>
  <c r="H1187" i="15"/>
  <c r="J1187" i="15" s="1"/>
  <c r="I1186" i="15"/>
  <c r="H1186" i="15"/>
  <c r="J1186" i="15" s="1"/>
  <c r="I1185" i="15"/>
  <c r="H1185" i="15"/>
  <c r="J1185" i="15" s="1"/>
  <c r="I1184" i="15"/>
  <c r="H1184" i="15"/>
  <c r="J1184" i="15" s="1"/>
  <c r="I1183" i="15"/>
  <c r="H1183" i="15"/>
  <c r="J1183" i="15" s="1"/>
  <c r="I1182" i="15"/>
  <c r="H1182" i="15"/>
  <c r="J1182" i="15" s="1"/>
  <c r="I1181" i="15"/>
  <c r="H1181" i="15"/>
  <c r="J1181" i="15" s="1"/>
  <c r="I1180" i="15"/>
  <c r="H1180" i="15"/>
  <c r="J1180" i="15" s="1"/>
  <c r="I1179" i="15"/>
  <c r="H1179" i="15"/>
  <c r="J1179" i="15" s="1"/>
  <c r="I1178" i="15"/>
  <c r="H1178" i="15"/>
  <c r="J1178" i="15" s="1"/>
  <c r="I1177" i="15"/>
  <c r="H1177" i="15"/>
  <c r="J1177" i="15" s="1"/>
  <c r="I1176" i="15"/>
  <c r="H1176" i="15"/>
  <c r="J1176" i="15" s="1"/>
  <c r="I1175" i="15"/>
  <c r="H1175" i="15"/>
  <c r="J1175" i="15" s="1"/>
  <c r="I1174" i="15"/>
  <c r="H1174" i="15"/>
  <c r="J1174" i="15" s="1"/>
  <c r="I1173" i="15"/>
  <c r="H1173" i="15"/>
  <c r="J1173" i="15" s="1"/>
  <c r="I1172" i="15"/>
  <c r="H1172" i="15"/>
  <c r="J1172" i="15" s="1"/>
  <c r="I1171" i="15"/>
  <c r="H1171" i="15"/>
  <c r="J1171" i="15" s="1"/>
  <c r="I1170" i="15"/>
  <c r="H1170" i="15"/>
  <c r="J1170" i="15" s="1"/>
  <c r="I1169" i="15"/>
  <c r="H1169" i="15"/>
  <c r="J1169" i="15" s="1"/>
  <c r="I1168" i="15"/>
  <c r="H1168" i="15"/>
  <c r="J1168" i="15" s="1"/>
  <c r="I1167" i="15"/>
  <c r="H1167" i="15"/>
  <c r="J1167" i="15" s="1"/>
  <c r="I1166" i="15"/>
  <c r="H1166" i="15"/>
  <c r="J1166" i="15" s="1"/>
  <c r="I1165" i="15"/>
  <c r="H1165" i="15"/>
  <c r="J1165" i="15" s="1"/>
  <c r="I1164" i="15"/>
  <c r="H1164" i="15"/>
  <c r="J1164" i="15" s="1"/>
  <c r="I1163" i="15"/>
  <c r="H1163" i="15"/>
  <c r="J1163" i="15" s="1"/>
  <c r="I1162" i="15"/>
  <c r="H1162" i="15"/>
  <c r="J1162" i="15" s="1"/>
  <c r="I1161" i="15"/>
  <c r="H1161" i="15"/>
  <c r="J1161" i="15" s="1"/>
  <c r="I1160" i="15"/>
  <c r="H1160" i="15"/>
  <c r="J1160" i="15" s="1"/>
  <c r="I1159" i="15"/>
  <c r="H1159" i="15"/>
  <c r="J1159" i="15" s="1"/>
  <c r="I1158" i="15"/>
  <c r="H1158" i="15"/>
  <c r="J1158" i="15" s="1"/>
  <c r="I1157" i="15"/>
  <c r="H1157" i="15"/>
  <c r="J1157" i="15" s="1"/>
  <c r="I1156" i="15"/>
  <c r="H1156" i="15"/>
  <c r="J1156" i="15" s="1"/>
  <c r="I1155" i="15"/>
  <c r="H1155" i="15"/>
  <c r="J1155" i="15" s="1"/>
  <c r="I1154" i="15"/>
  <c r="H1154" i="15"/>
  <c r="J1154" i="15" s="1"/>
  <c r="I1153" i="15"/>
  <c r="H1153" i="15"/>
  <c r="J1153" i="15" s="1"/>
  <c r="I1152" i="15"/>
  <c r="H1152" i="15"/>
  <c r="J1152" i="15" s="1"/>
  <c r="I1151" i="15"/>
  <c r="H1151" i="15"/>
  <c r="J1151" i="15" s="1"/>
  <c r="I1150" i="15"/>
  <c r="H1150" i="15"/>
  <c r="J1150" i="15" s="1"/>
  <c r="I1149" i="15"/>
  <c r="H1149" i="15"/>
  <c r="J1149" i="15" s="1"/>
  <c r="I1148" i="15"/>
  <c r="H1148" i="15"/>
  <c r="J1148" i="15" s="1"/>
  <c r="I1147" i="15"/>
  <c r="H1147" i="15"/>
  <c r="J1147" i="15" s="1"/>
  <c r="I1146" i="15"/>
  <c r="H1146" i="15"/>
  <c r="J1146" i="15" s="1"/>
  <c r="I1145" i="15"/>
  <c r="H1145" i="15"/>
  <c r="J1145" i="15" s="1"/>
  <c r="I1144" i="15"/>
  <c r="H1144" i="15"/>
  <c r="J1144" i="15" s="1"/>
  <c r="I1143" i="15"/>
  <c r="H1143" i="15"/>
  <c r="J1143" i="15" s="1"/>
  <c r="H1142" i="15"/>
  <c r="H1141" i="15"/>
  <c r="H1140" i="15"/>
  <c r="H1139" i="15"/>
  <c r="H1138" i="15"/>
  <c r="H1137" i="15"/>
  <c r="I1136" i="15"/>
  <c r="H1136" i="15"/>
  <c r="J1136" i="15" s="1"/>
  <c r="I1135" i="15"/>
  <c r="H1135" i="15"/>
  <c r="J1135" i="15" s="1"/>
  <c r="I1134" i="15"/>
  <c r="H1134" i="15"/>
  <c r="J1134" i="15" s="1"/>
  <c r="I1133" i="15"/>
  <c r="H1133" i="15"/>
  <c r="J1133" i="15" s="1"/>
  <c r="I1132" i="15"/>
  <c r="H1132" i="15"/>
  <c r="J1132" i="15" s="1"/>
  <c r="I1131" i="15"/>
  <c r="H1131" i="15"/>
  <c r="J1131" i="15" s="1"/>
  <c r="I1130" i="15"/>
  <c r="H1130" i="15"/>
  <c r="J1130" i="15" s="1"/>
  <c r="I1129" i="15"/>
  <c r="H1129" i="15"/>
  <c r="J1129" i="15" s="1"/>
  <c r="I1128" i="15"/>
  <c r="H1128" i="15"/>
  <c r="J1128" i="15" s="1"/>
  <c r="I1127" i="15"/>
  <c r="H1127" i="15"/>
  <c r="J1127" i="15" s="1"/>
  <c r="I1126" i="15"/>
  <c r="H1126" i="15"/>
  <c r="J1126" i="15" s="1"/>
  <c r="I1125" i="15"/>
  <c r="H1125" i="15"/>
  <c r="J1125" i="15" s="1"/>
  <c r="I1124" i="15"/>
  <c r="H1124" i="15"/>
  <c r="J1124" i="15" s="1"/>
  <c r="I1123" i="15"/>
  <c r="H1123" i="15"/>
  <c r="J1123" i="15" s="1"/>
  <c r="I1122" i="15"/>
  <c r="H1122" i="15"/>
  <c r="J1122" i="15" s="1"/>
  <c r="I1121" i="15"/>
  <c r="H1121" i="15"/>
  <c r="J1121" i="15" s="1"/>
  <c r="I1120" i="15"/>
  <c r="H1120" i="15"/>
  <c r="J1120" i="15" s="1"/>
  <c r="I1119" i="15"/>
  <c r="H1119" i="15"/>
  <c r="J1119" i="15" s="1"/>
  <c r="I1118" i="15"/>
  <c r="H1118" i="15"/>
  <c r="J1118" i="15" s="1"/>
  <c r="I1117" i="15"/>
  <c r="H1117" i="15"/>
  <c r="J1117" i="15" s="1"/>
  <c r="I1116" i="15"/>
  <c r="H1116" i="15"/>
  <c r="J1116" i="15" s="1"/>
  <c r="I1115" i="15"/>
  <c r="H1115" i="15"/>
  <c r="J1115" i="15" s="1"/>
  <c r="I1114" i="15"/>
  <c r="H1114" i="15"/>
  <c r="J1114" i="15" s="1"/>
  <c r="I1113" i="15"/>
  <c r="H1113" i="15"/>
  <c r="J1113" i="15" s="1"/>
  <c r="I1112" i="15"/>
  <c r="H1112" i="15"/>
  <c r="J1112" i="15" s="1"/>
  <c r="I1111" i="15"/>
  <c r="H1111" i="15"/>
  <c r="J1111" i="15" s="1"/>
  <c r="I1110" i="15"/>
  <c r="H1110" i="15"/>
  <c r="J1110" i="15" s="1"/>
  <c r="I1109" i="15"/>
  <c r="H1109" i="15"/>
  <c r="J1109" i="15" s="1"/>
  <c r="I1108" i="15"/>
  <c r="H1108" i="15"/>
  <c r="J1108" i="15" s="1"/>
  <c r="I1107" i="15"/>
  <c r="H1107" i="15"/>
  <c r="J1107" i="15" s="1"/>
  <c r="I1106" i="15"/>
  <c r="H1106" i="15"/>
  <c r="J1106" i="15" s="1"/>
  <c r="I1105" i="15"/>
  <c r="H1105" i="15"/>
  <c r="J1105" i="15" s="1"/>
  <c r="I1104" i="15"/>
  <c r="H1104" i="15"/>
  <c r="J1104" i="15" s="1"/>
  <c r="I1103" i="15"/>
  <c r="H1103" i="15"/>
  <c r="J1103" i="15" s="1"/>
  <c r="I1102" i="15"/>
  <c r="H1102" i="15"/>
  <c r="J1102" i="15" s="1"/>
  <c r="I1101" i="15"/>
  <c r="H1101" i="15"/>
  <c r="J1101" i="15" s="1"/>
  <c r="I1100" i="15"/>
  <c r="H1100" i="15"/>
  <c r="J1100" i="15" s="1"/>
  <c r="I1099" i="15"/>
  <c r="H1099" i="15"/>
  <c r="J1099" i="15" s="1"/>
  <c r="I1098" i="15"/>
  <c r="H1098" i="15"/>
  <c r="J1098" i="15" s="1"/>
  <c r="I1097" i="15"/>
  <c r="H1097" i="15"/>
  <c r="J1097" i="15" s="1"/>
  <c r="I1096" i="15"/>
  <c r="H1096" i="15"/>
  <c r="J1096" i="15" s="1"/>
  <c r="I1095" i="15"/>
  <c r="H1095" i="15"/>
  <c r="J1095" i="15" s="1"/>
  <c r="I1094" i="15"/>
  <c r="H1094" i="15"/>
  <c r="J1094" i="15" s="1"/>
  <c r="I1093" i="15"/>
  <c r="H1093" i="15"/>
  <c r="J1093" i="15" s="1"/>
  <c r="I1092" i="15"/>
  <c r="H1092" i="15"/>
  <c r="J1092" i="15" s="1"/>
  <c r="I1091" i="15"/>
  <c r="H1091" i="15"/>
  <c r="J1091" i="15" s="1"/>
  <c r="I1090" i="15"/>
  <c r="H1090" i="15"/>
  <c r="J1090" i="15" s="1"/>
  <c r="I1089" i="15"/>
  <c r="H1089" i="15"/>
  <c r="J1089" i="15" s="1"/>
  <c r="I1088" i="15"/>
  <c r="H1088" i="15"/>
  <c r="J1088" i="15" s="1"/>
  <c r="I1087" i="15"/>
  <c r="H1087" i="15"/>
  <c r="J1087" i="15" s="1"/>
  <c r="I1086" i="15"/>
  <c r="H1086" i="15"/>
  <c r="J1086" i="15" s="1"/>
  <c r="I1085" i="15"/>
  <c r="H1085" i="15"/>
  <c r="J1085" i="15" s="1"/>
  <c r="I1084" i="15"/>
  <c r="H1084" i="15"/>
  <c r="J1084" i="15" s="1"/>
  <c r="I1083" i="15"/>
  <c r="H1083" i="15"/>
  <c r="J1083" i="15" s="1"/>
  <c r="I1082" i="15"/>
  <c r="H1082" i="15"/>
  <c r="J1082" i="15" s="1"/>
  <c r="I1081" i="15"/>
  <c r="H1081" i="15"/>
  <c r="J1081" i="15" s="1"/>
  <c r="I1080" i="15"/>
  <c r="H1080" i="15"/>
  <c r="J1080" i="15" s="1"/>
  <c r="I1079" i="15"/>
  <c r="H1079" i="15"/>
  <c r="J1079" i="15" s="1"/>
  <c r="I1078" i="15"/>
  <c r="H1078" i="15"/>
  <c r="J1078" i="15" s="1"/>
  <c r="I1077" i="15"/>
  <c r="H1077" i="15"/>
  <c r="J1077" i="15" s="1"/>
  <c r="I1076" i="15"/>
  <c r="H1076" i="15"/>
  <c r="J1076" i="15" s="1"/>
  <c r="I1075" i="15"/>
  <c r="H1075" i="15"/>
  <c r="J1075" i="15" s="1"/>
  <c r="I1074" i="15"/>
  <c r="H1074" i="15"/>
  <c r="J1074" i="15" s="1"/>
  <c r="I1073" i="15"/>
  <c r="H1073" i="15"/>
  <c r="J1073" i="15" s="1"/>
  <c r="I1072" i="15"/>
  <c r="H1072" i="15"/>
  <c r="J1072" i="15" s="1"/>
  <c r="I1071" i="15"/>
  <c r="H1071" i="15"/>
  <c r="J1071" i="15" s="1"/>
  <c r="I1070" i="15"/>
  <c r="H1070" i="15"/>
  <c r="J1070" i="15" s="1"/>
  <c r="I1069" i="15"/>
  <c r="H1069" i="15"/>
  <c r="J1069" i="15" s="1"/>
  <c r="I1068" i="15"/>
  <c r="H1068" i="15"/>
  <c r="J1068" i="15" s="1"/>
  <c r="I1067" i="15"/>
  <c r="H1067" i="15"/>
  <c r="J1067" i="15" s="1"/>
  <c r="I1066" i="15"/>
  <c r="H1066" i="15"/>
  <c r="J1066" i="15" s="1"/>
  <c r="I1065" i="15"/>
  <c r="H1065" i="15"/>
  <c r="J1065" i="15" s="1"/>
  <c r="I1064" i="15"/>
  <c r="H1064" i="15"/>
  <c r="J1064" i="15" s="1"/>
  <c r="I1063" i="15"/>
  <c r="H1063" i="15"/>
  <c r="J1063" i="15" s="1"/>
  <c r="I1062" i="15"/>
  <c r="H1062" i="15"/>
  <c r="J1062" i="15" s="1"/>
  <c r="I1061" i="15"/>
  <c r="H1061" i="15"/>
  <c r="J1061" i="15" s="1"/>
  <c r="I1060" i="15"/>
  <c r="H1060" i="15"/>
  <c r="J1060" i="15" s="1"/>
  <c r="I1059" i="15"/>
  <c r="H1059" i="15"/>
  <c r="J1059" i="15" s="1"/>
  <c r="I1058" i="15"/>
  <c r="H1058" i="15"/>
  <c r="J1058" i="15" s="1"/>
  <c r="I1057" i="15"/>
  <c r="H1057" i="15"/>
  <c r="J1057" i="15" s="1"/>
  <c r="I1056" i="15"/>
  <c r="H1056" i="15"/>
  <c r="J1056" i="15" s="1"/>
  <c r="I1055" i="15"/>
  <c r="H1055" i="15"/>
  <c r="J1055" i="15" s="1"/>
  <c r="I1054" i="15"/>
  <c r="H1054" i="15"/>
  <c r="J1054" i="15" s="1"/>
  <c r="I1053" i="15"/>
  <c r="H1053" i="15"/>
  <c r="J1053" i="15" s="1"/>
  <c r="I1052" i="15"/>
  <c r="H1052" i="15"/>
  <c r="J1052" i="15" s="1"/>
  <c r="I1051" i="15"/>
  <c r="H1051" i="15"/>
  <c r="J1051" i="15" s="1"/>
  <c r="I1050" i="15"/>
  <c r="H1050" i="15"/>
  <c r="J1050" i="15" s="1"/>
  <c r="I1049" i="15"/>
  <c r="H1049" i="15"/>
  <c r="J1049" i="15" s="1"/>
  <c r="I1048" i="15"/>
  <c r="H1048" i="15"/>
  <c r="J1048" i="15" s="1"/>
  <c r="I1047" i="15"/>
  <c r="H1047" i="15"/>
  <c r="J1047" i="15" s="1"/>
  <c r="I1046" i="15"/>
  <c r="H1046" i="15"/>
  <c r="J1046" i="15" s="1"/>
  <c r="I1045" i="15"/>
  <c r="H1045" i="15"/>
  <c r="J1045" i="15" s="1"/>
  <c r="I1044" i="15"/>
  <c r="H1044" i="15"/>
  <c r="J1044" i="15" s="1"/>
  <c r="I1043" i="15"/>
  <c r="H1043" i="15"/>
  <c r="J1043" i="15" s="1"/>
  <c r="I1042" i="15"/>
  <c r="H1042" i="15"/>
  <c r="J1042" i="15" s="1"/>
  <c r="I1041" i="15"/>
  <c r="H1041" i="15"/>
  <c r="J1041" i="15" s="1"/>
  <c r="I1040" i="15"/>
  <c r="H1040" i="15"/>
  <c r="J1040" i="15" s="1"/>
  <c r="I1039" i="15"/>
  <c r="H1039" i="15"/>
  <c r="J1039" i="15" s="1"/>
  <c r="I1038" i="15"/>
  <c r="H1038" i="15"/>
  <c r="J1038" i="15" s="1"/>
  <c r="I1037" i="15"/>
  <c r="H1037" i="15"/>
  <c r="J1037" i="15" s="1"/>
  <c r="I1036" i="15"/>
  <c r="H1036" i="15"/>
  <c r="J1036" i="15" s="1"/>
  <c r="I1035" i="15"/>
  <c r="H1035" i="15"/>
  <c r="J1035" i="15" s="1"/>
  <c r="I1034" i="15"/>
  <c r="H1034" i="15"/>
  <c r="J1034" i="15" s="1"/>
  <c r="I1033" i="15"/>
  <c r="H1033" i="15"/>
  <c r="J1033" i="15" s="1"/>
  <c r="I1032" i="15"/>
  <c r="H1032" i="15"/>
  <c r="J1032" i="15" s="1"/>
  <c r="I1031" i="15"/>
  <c r="H1031" i="15"/>
  <c r="J1031" i="15" s="1"/>
  <c r="I1030" i="15"/>
  <c r="H1030" i="15"/>
  <c r="J1030" i="15" s="1"/>
  <c r="I1029" i="15"/>
  <c r="H1029" i="15"/>
  <c r="J1029" i="15" s="1"/>
  <c r="I1028" i="15"/>
  <c r="H1028" i="15"/>
  <c r="J1028" i="15" s="1"/>
  <c r="I1027" i="15"/>
  <c r="H1027" i="15"/>
  <c r="J1027" i="15" s="1"/>
  <c r="I1026" i="15"/>
  <c r="H1026" i="15"/>
  <c r="J1026" i="15" s="1"/>
  <c r="I1025" i="15"/>
  <c r="H1025" i="15"/>
  <c r="J1025" i="15" s="1"/>
  <c r="I1024" i="15"/>
  <c r="H1024" i="15"/>
  <c r="J1024" i="15" s="1"/>
  <c r="I1023" i="15"/>
  <c r="H1023" i="15"/>
  <c r="J1023" i="15" s="1"/>
  <c r="I1022" i="15"/>
  <c r="H1022" i="15"/>
  <c r="J1022" i="15" s="1"/>
  <c r="I1021" i="15"/>
  <c r="H1021" i="15"/>
  <c r="J1021" i="15" s="1"/>
  <c r="I1020" i="15"/>
  <c r="H1020" i="15"/>
  <c r="J1020" i="15" s="1"/>
  <c r="I1019" i="15"/>
  <c r="H1019" i="15"/>
  <c r="J1019" i="15" s="1"/>
  <c r="I1018" i="15"/>
  <c r="H1018" i="15"/>
  <c r="J1018" i="15" s="1"/>
  <c r="I1017" i="15"/>
  <c r="H1017" i="15"/>
  <c r="J1017" i="15" s="1"/>
  <c r="I1016" i="15"/>
  <c r="H1016" i="15"/>
  <c r="J1016" i="15" s="1"/>
  <c r="I1015" i="15"/>
  <c r="H1015" i="15"/>
  <c r="J1015" i="15" s="1"/>
  <c r="I1014" i="15"/>
  <c r="H1014" i="15"/>
  <c r="J1014" i="15" s="1"/>
  <c r="I1013" i="15"/>
  <c r="H1013" i="15"/>
  <c r="J1013" i="15" s="1"/>
  <c r="I1012" i="15"/>
  <c r="H1012" i="15"/>
  <c r="J1012" i="15" s="1"/>
  <c r="I1011" i="15"/>
  <c r="H1011" i="15"/>
  <c r="J1011" i="15" s="1"/>
  <c r="I1010" i="15"/>
  <c r="H1010" i="15"/>
  <c r="J1010" i="15" s="1"/>
  <c r="I1009" i="15"/>
  <c r="H1009" i="15"/>
  <c r="J1009" i="15" s="1"/>
  <c r="I1008" i="15"/>
  <c r="H1008" i="15"/>
  <c r="J1008" i="15" s="1"/>
  <c r="I1007" i="15"/>
  <c r="H1007" i="15"/>
  <c r="J1007" i="15" s="1"/>
  <c r="I1006" i="15"/>
  <c r="H1006" i="15"/>
  <c r="J1006" i="15" s="1"/>
  <c r="I1005" i="15"/>
  <c r="H1005" i="15"/>
  <c r="J1005" i="15" s="1"/>
  <c r="I1004" i="15"/>
  <c r="H1004" i="15"/>
  <c r="J1004" i="15" s="1"/>
  <c r="I1003" i="15"/>
  <c r="H1003" i="15"/>
  <c r="J1003" i="15" s="1"/>
  <c r="I1002" i="15"/>
  <c r="H1002" i="15"/>
  <c r="J1002" i="15" s="1"/>
  <c r="I1001" i="15"/>
  <c r="H1001" i="15"/>
  <c r="J1001" i="15" s="1"/>
  <c r="I1000" i="15"/>
  <c r="H1000" i="15"/>
  <c r="J1000" i="15" s="1"/>
  <c r="I999" i="15"/>
  <c r="H999" i="15"/>
  <c r="J999" i="15" s="1"/>
  <c r="I998" i="15"/>
  <c r="H998" i="15"/>
  <c r="J998" i="15" s="1"/>
  <c r="I997" i="15"/>
  <c r="H997" i="15"/>
  <c r="J997" i="15" s="1"/>
  <c r="I996" i="15"/>
  <c r="H996" i="15"/>
  <c r="J996" i="15" s="1"/>
  <c r="I995" i="15"/>
  <c r="H995" i="15"/>
  <c r="J995" i="15" s="1"/>
  <c r="I994" i="15"/>
  <c r="H994" i="15"/>
  <c r="J994" i="15" s="1"/>
  <c r="I993" i="15"/>
  <c r="H993" i="15"/>
  <c r="J993" i="15" s="1"/>
  <c r="I992" i="15"/>
  <c r="H992" i="15"/>
  <c r="J992" i="15" s="1"/>
  <c r="I991" i="15"/>
  <c r="H991" i="15"/>
  <c r="J991" i="15" s="1"/>
  <c r="I990" i="15"/>
  <c r="I989" i="15"/>
  <c r="I988" i="15"/>
  <c r="I987" i="15"/>
  <c r="I986" i="15"/>
  <c r="I985" i="15"/>
  <c r="H985" i="15"/>
  <c r="J985" i="15" s="1"/>
  <c r="I984" i="15"/>
  <c r="H984" i="15"/>
  <c r="J984" i="15" s="1"/>
  <c r="I983" i="15"/>
  <c r="H983" i="15"/>
  <c r="J983" i="15" s="1"/>
  <c r="I982" i="15"/>
  <c r="H982" i="15"/>
  <c r="J982" i="15" s="1"/>
  <c r="I981" i="15"/>
  <c r="H981" i="15"/>
  <c r="J981" i="15" s="1"/>
  <c r="I980" i="15"/>
  <c r="H980" i="15"/>
  <c r="J980" i="15" s="1"/>
  <c r="I979" i="15"/>
  <c r="H979" i="15"/>
  <c r="J979" i="15" s="1"/>
  <c r="I978" i="15"/>
  <c r="H978" i="15"/>
  <c r="J978" i="15" s="1"/>
  <c r="I977" i="15"/>
  <c r="H977" i="15"/>
  <c r="J977" i="15" s="1"/>
  <c r="I976" i="15"/>
  <c r="H976" i="15"/>
  <c r="J976" i="15" s="1"/>
  <c r="I975" i="15"/>
  <c r="H975" i="15"/>
  <c r="J975" i="15" s="1"/>
  <c r="I974" i="15"/>
  <c r="H974" i="15"/>
  <c r="J974" i="15" s="1"/>
  <c r="I973" i="15"/>
  <c r="H973" i="15"/>
  <c r="J973" i="15" s="1"/>
  <c r="I972" i="15"/>
  <c r="H972" i="15"/>
  <c r="J972" i="15" s="1"/>
  <c r="I971" i="15"/>
  <c r="H971" i="15"/>
  <c r="J971" i="15" s="1"/>
  <c r="I970" i="15"/>
  <c r="H970" i="15"/>
  <c r="J970" i="15" s="1"/>
  <c r="I969" i="15"/>
  <c r="H969" i="15"/>
  <c r="J969" i="15" s="1"/>
  <c r="I968" i="15"/>
  <c r="H968" i="15"/>
  <c r="J968" i="15" s="1"/>
  <c r="I967" i="15"/>
  <c r="H967" i="15"/>
  <c r="J967" i="15" s="1"/>
  <c r="I966" i="15"/>
  <c r="H966" i="15"/>
  <c r="J966" i="15" s="1"/>
  <c r="I965" i="15"/>
  <c r="H965" i="15"/>
  <c r="J965" i="15" s="1"/>
  <c r="I964" i="15"/>
  <c r="H964" i="15"/>
  <c r="J964" i="15" s="1"/>
  <c r="I963" i="15"/>
  <c r="H963" i="15"/>
  <c r="J963" i="15" s="1"/>
  <c r="I962" i="15"/>
  <c r="H962" i="15"/>
  <c r="J962" i="15" s="1"/>
  <c r="I961" i="15"/>
  <c r="H961" i="15"/>
  <c r="J961" i="15" s="1"/>
  <c r="I960" i="15"/>
  <c r="H960" i="15"/>
  <c r="J960" i="15" s="1"/>
  <c r="I959" i="15"/>
  <c r="H959" i="15"/>
  <c r="J959" i="15" s="1"/>
  <c r="I958" i="15"/>
  <c r="H958" i="15"/>
  <c r="J958" i="15" s="1"/>
  <c r="I957" i="15"/>
  <c r="H957" i="15"/>
  <c r="J957" i="15" s="1"/>
  <c r="I956" i="15"/>
  <c r="H956" i="15"/>
  <c r="J956" i="15" s="1"/>
  <c r="I955" i="15"/>
  <c r="H955" i="15"/>
  <c r="J955" i="15" s="1"/>
  <c r="I954" i="15"/>
  <c r="H954" i="15"/>
  <c r="J954" i="15" s="1"/>
  <c r="I953" i="15"/>
  <c r="H953" i="15"/>
  <c r="J953" i="15" s="1"/>
  <c r="I952" i="15"/>
  <c r="H952" i="15"/>
  <c r="J952" i="15" s="1"/>
  <c r="I951" i="15"/>
  <c r="H951" i="15"/>
  <c r="J951" i="15" s="1"/>
  <c r="I950" i="15"/>
  <c r="H950" i="15"/>
  <c r="J950" i="15" s="1"/>
  <c r="I949" i="15"/>
  <c r="H949" i="15"/>
  <c r="J949" i="15" s="1"/>
  <c r="I948" i="15"/>
  <c r="H948" i="15"/>
  <c r="J948" i="15" s="1"/>
  <c r="I947" i="15"/>
  <c r="H947" i="15"/>
  <c r="J947" i="15" s="1"/>
  <c r="I946" i="15"/>
  <c r="H946" i="15"/>
  <c r="J946" i="15" s="1"/>
  <c r="I945" i="15"/>
  <c r="H945" i="15"/>
  <c r="J945" i="15" s="1"/>
  <c r="I944" i="15"/>
  <c r="H944" i="15"/>
  <c r="J944" i="15" s="1"/>
  <c r="I943" i="15"/>
  <c r="H943" i="15"/>
  <c r="J943" i="15" s="1"/>
  <c r="I942" i="15"/>
  <c r="H942" i="15"/>
  <c r="J942" i="15" s="1"/>
  <c r="I941" i="15"/>
  <c r="H941" i="15"/>
  <c r="J941" i="15" s="1"/>
  <c r="I940" i="15"/>
  <c r="H940" i="15"/>
  <c r="J940" i="15" s="1"/>
  <c r="I939" i="15"/>
  <c r="H939" i="15"/>
  <c r="J939" i="15" s="1"/>
  <c r="I938" i="15"/>
  <c r="H938" i="15"/>
  <c r="J938" i="15" s="1"/>
  <c r="I937" i="15"/>
  <c r="H937" i="15"/>
  <c r="J937" i="15" s="1"/>
  <c r="I936" i="15"/>
  <c r="H936" i="15"/>
  <c r="J936" i="15" s="1"/>
  <c r="I935" i="15"/>
  <c r="H935" i="15"/>
  <c r="J935" i="15" s="1"/>
  <c r="I934" i="15"/>
  <c r="H934" i="15"/>
  <c r="J934" i="15" s="1"/>
  <c r="I933" i="15"/>
  <c r="H933" i="15"/>
  <c r="J933" i="15" s="1"/>
  <c r="I932" i="15"/>
  <c r="H932" i="15"/>
  <c r="J932" i="15" s="1"/>
  <c r="I931" i="15"/>
  <c r="H931" i="15"/>
  <c r="J931" i="15" s="1"/>
  <c r="I930" i="15"/>
  <c r="H930" i="15"/>
  <c r="J930" i="15" s="1"/>
  <c r="I929" i="15"/>
  <c r="H929" i="15"/>
  <c r="J929" i="15" s="1"/>
  <c r="I928" i="15"/>
  <c r="H928" i="15"/>
  <c r="J928" i="15" s="1"/>
  <c r="I927" i="15"/>
  <c r="H927" i="15"/>
  <c r="J927" i="15" s="1"/>
  <c r="I926" i="15"/>
  <c r="H926" i="15"/>
  <c r="J926" i="15" s="1"/>
  <c r="I925" i="15"/>
  <c r="H925" i="15"/>
  <c r="J925" i="15" s="1"/>
  <c r="I924" i="15"/>
  <c r="H924" i="15"/>
  <c r="J924" i="15" s="1"/>
  <c r="I923" i="15"/>
  <c r="H923" i="15"/>
  <c r="J923" i="15" s="1"/>
  <c r="I922" i="15"/>
  <c r="H922" i="15"/>
  <c r="J922" i="15" s="1"/>
  <c r="I921" i="15"/>
  <c r="H921" i="15"/>
  <c r="J921" i="15" s="1"/>
  <c r="I920" i="15"/>
  <c r="H920" i="15"/>
  <c r="J920" i="15" s="1"/>
  <c r="I919" i="15"/>
  <c r="H919" i="15"/>
  <c r="J919" i="15" s="1"/>
  <c r="I918" i="15"/>
  <c r="H918" i="15"/>
  <c r="J918" i="15" s="1"/>
  <c r="I917" i="15"/>
  <c r="H917" i="15"/>
  <c r="J917" i="15" s="1"/>
  <c r="I916" i="15"/>
  <c r="H916" i="15"/>
  <c r="J916" i="15" s="1"/>
  <c r="I915" i="15"/>
  <c r="H915" i="15"/>
  <c r="J915" i="15" s="1"/>
  <c r="I914" i="15"/>
  <c r="H914" i="15"/>
  <c r="J914" i="15" s="1"/>
  <c r="I913" i="15"/>
  <c r="H913" i="15"/>
  <c r="J913" i="15" s="1"/>
  <c r="I912" i="15"/>
  <c r="H912" i="15"/>
  <c r="J912" i="15" s="1"/>
  <c r="I911" i="15"/>
  <c r="H911" i="15"/>
  <c r="J911" i="15" s="1"/>
  <c r="I910" i="15"/>
  <c r="H910" i="15"/>
  <c r="J910" i="15" s="1"/>
  <c r="I909" i="15"/>
  <c r="H909" i="15"/>
  <c r="J909" i="15" s="1"/>
  <c r="I908" i="15"/>
  <c r="H908" i="15"/>
  <c r="J908" i="15" s="1"/>
  <c r="I907" i="15"/>
  <c r="H907" i="15"/>
  <c r="J907" i="15" s="1"/>
  <c r="I906" i="15"/>
  <c r="H906" i="15"/>
  <c r="J906" i="15" s="1"/>
  <c r="I905" i="15"/>
  <c r="H905" i="15"/>
  <c r="J905" i="15" s="1"/>
  <c r="I904" i="15"/>
  <c r="H904" i="15"/>
  <c r="J904" i="15" s="1"/>
  <c r="I903" i="15"/>
  <c r="H903" i="15"/>
  <c r="J903" i="15" s="1"/>
  <c r="I902" i="15"/>
  <c r="H902" i="15"/>
  <c r="J902" i="15" s="1"/>
  <c r="I901" i="15"/>
  <c r="H901" i="15"/>
  <c r="J901" i="15" s="1"/>
  <c r="I900" i="15"/>
  <c r="H900" i="15"/>
  <c r="J900" i="15" s="1"/>
  <c r="I899" i="15"/>
  <c r="H899" i="15"/>
  <c r="J899" i="15" s="1"/>
  <c r="I898" i="15"/>
  <c r="H898" i="15"/>
  <c r="J898" i="15" s="1"/>
  <c r="I897" i="15"/>
  <c r="H897" i="15"/>
  <c r="J897" i="15" s="1"/>
  <c r="I896" i="15"/>
  <c r="H896" i="15"/>
  <c r="J896" i="15" s="1"/>
  <c r="I895" i="15"/>
  <c r="H895" i="15"/>
  <c r="J895" i="15" s="1"/>
  <c r="I894" i="15"/>
  <c r="H894" i="15"/>
  <c r="J894" i="15" s="1"/>
  <c r="I893" i="15"/>
  <c r="H893" i="15"/>
  <c r="J893" i="15" s="1"/>
  <c r="I892" i="15"/>
  <c r="H892" i="15"/>
  <c r="J892" i="15" s="1"/>
  <c r="I891" i="15"/>
  <c r="H891" i="15"/>
  <c r="J891" i="15" s="1"/>
  <c r="I890" i="15"/>
  <c r="H890" i="15"/>
  <c r="J890" i="15" s="1"/>
  <c r="I889" i="15"/>
  <c r="H889" i="15"/>
  <c r="J889" i="15" s="1"/>
  <c r="I888" i="15"/>
  <c r="H888" i="15"/>
  <c r="J888" i="15" s="1"/>
  <c r="I887" i="15"/>
  <c r="H887" i="15"/>
  <c r="J887" i="15" s="1"/>
  <c r="I886" i="15"/>
  <c r="H886" i="15"/>
  <c r="J886" i="15" s="1"/>
  <c r="I885" i="15"/>
  <c r="H885" i="15"/>
  <c r="J885" i="15" s="1"/>
  <c r="I884" i="15"/>
  <c r="H884" i="15"/>
  <c r="J884" i="15" s="1"/>
  <c r="I883" i="15"/>
  <c r="H883" i="15"/>
  <c r="J883" i="15" s="1"/>
  <c r="I882" i="15"/>
  <c r="H882" i="15"/>
  <c r="J882" i="15" s="1"/>
  <c r="I881" i="15"/>
  <c r="H881" i="15"/>
  <c r="J881" i="15" s="1"/>
  <c r="I880" i="15"/>
  <c r="H880" i="15"/>
  <c r="J880" i="15" s="1"/>
  <c r="I879" i="15"/>
  <c r="H879" i="15"/>
  <c r="J879" i="15" s="1"/>
  <c r="I878" i="15"/>
  <c r="H878" i="15"/>
  <c r="J878" i="15" s="1"/>
  <c r="I877" i="15"/>
  <c r="H877" i="15"/>
  <c r="J877" i="15" s="1"/>
  <c r="I876" i="15"/>
  <c r="H876" i="15"/>
  <c r="J876" i="15" s="1"/>
  <c r="I875" i="15"/>
  <c r="H875" i="15"/>
  <c r="J875" i="15" s="1"/>
  <c r="I874" i="15"/>
  <c r="H874" i="15"/>
  <c r="J874" i="15" s="1"/>
  <c r="I873" i="15"/>
  <c r="H873" i="15"/>
  <c r="J873" i="15" s="1"/>
  <c r="I872" i="15"/>
  <c r="H872" i="15"/>
  <c r="J872" i="15" s="1"/>
  <c r="I871" i="15"/>
  <c r="H871" i="15"/>
  <c r="J871" i="15" s="1"/>
  <c r="I870" i="15"/>
  <c r="H870" i="15"/>
  <c r="J870" i="15" s="1"/>
  <c r="I869" i="15"/>
  <c r="H869" i="15"/>
  <c r="J869" i="15" s="1"/>
  <c r="I868" i="15"/>
  <c r="H868" i="15"/>
  <c r="J868" i="15" s="1"/>
  <c r="I867" i="15"/>
  <c r="H867" i="15"/>
  <c r="J867" i="15" s="1"/>
  <c r="I866" i="15"/>
  <c r="H866" i="15"/>
  <c r="J866" i="15" s="1"/>
  <c r="I865" i="15"/>
  <c r="H865" i="15"/>
  <c r="J865" i="15" s="1"/>
  <c r="I864" i="15"/>
  <c r="H864" i="15"/>
  <c r="J864" i="15" s="1"/>
  <c r="I863" i="15"/>
  <c r="H863" i="15"/>
  <c r="J863" i="15" s="1"/>
  <c r="I862" i="15"/>
  <c r="H862" i="15"/>
  <c r="J862" i="15" s="1"/>
  <c r="I861" i="15"/>
  <c r="H861" i="15"/>
  <c r="J861" i="15" s="1"/>
  <c r="I860" i="15"/>
  <c r="H860" i="15"/>
  <c r="J860" i="15" s="1"/>
  <c r="I859" i="15"/>
  <c r="H859" i="15"/>
  <c r="J859" i="15" s="1"/>
  <c r="I858" i="15"/>
  <c r="H858" i="15"/>
  <c r="J858" i="15" s="1"/>
  <c r="I857" i="15"/>
  <c r="H857" i="15"/>
  <c r="J857" i="15" s="1"/>
  <c r="I856" i="15"/>
  <c r="H856" i="15"/>
  <c r="J856" i="15" s="1"/>
  <c r="I855" i="15"/>
  <c r="H855" i="15"/>
  <c r="J855" i="15" s="1"/>
  <c r="I854" i="15"/>
  <c r="H854" i="15"/>
  <c r="J854" i="15" s="1"/>
  <c r="I853" i="15"/>
  <c r="H853" i="15"/>
  <c r="J853" i="15" s="1"/>
  <c r="I852" i="15"/>
  <c r="H852" i="15"/>
  <c r="J852" i="15" s="1"/>
  <c r="I851" i="15"/>
  <c r="H851" i="15"/>
  <c r="J851" i="15" s="1"/>
  <c r="I850" i="15"/>
  <c r="H850" i="15"/>
  <c r="J850" i="15" s="1"/>
  <c r="I849" i="15"/>
  <c r="H849" i="15"/>
  <c r="J849" i="15" s="1"/>
  <c r="I848" i="15"/>
  <c r="H848" i="15"/>
  <c r="J848" i="15" s="1"/>
  <c r="I847" i="15"/>
  <c r="H847" i="15"/>
  <c r="J847" i="15" s="1"/>
  <c r="I846" i="15"/>
  <c r="H846" i="15"/>
  <c r="J846" i="15" s="1"/>
  <c r="I845" i="15"/>
  <c r="H845" i="15"/>
  <c r="J845" i="15" s="1"/>
  <c r="I844" i="15"/>
  <c r="H844" i="15"/>
  <c r="J844" i="15" s="1"/>
  <c r="I843" i="15"/>
  <c r="H843" i="15"/>
  <c r="J843" i="15" s="1"/>
  <c r="I842" i="15"/>
  <c r="H842" i="15"/>
  <c r="J842" i="15" s="1"/>
  <c r="I841" i="15"/>
  <c r="H841" i="15"/>
  <c r="J841" i="15" s="1"/>
  <c r="I840" i="15"/>
  <c r="H840" i="15"/>
  <c r="J840" i="15" s="1"/>
  <c r="I839" i="15"/>
  <c r="H839" i="15"/>
  <c r="J839" i="15" s="1"/>
  <c r="I838" i="15"/>
  <c r="H838" i="15"/>
  <c r="J838" i="15" s="1"/>
  <c r="I837" i="15"/>
  <c r="H837" i="15"/>
  <c r="J837" i="15" s="1"/>
  <c r="I836" i="15"/>
  <c r="H836" i="15"/>
  <c r="J836" i="15" s="1"/>
  <c r="I835" i="15"/>
  <c r="H835" i="15"/>
  <c r="J835" i="15" s="1"/>
  <c r="I834" i="15"/>
  <c r="H834" i="15"/>
  <c r="J834" i="15" s="1"/>
  <c r="I833" i="15"/>
  <c r="H833" i="15"/>
  <c r="J833" i="15" s="1"/>
  <c r="I832" i="15"/>
  <c r="H832" i="15"/>
  <c r="J832" i="15" s="1"/>
  <c r="I831" i="15"/>
  <c r="H831" i="15"/>
  <c r="J831" i="15" s="1"/>
  <c r="I830" i="15"/>
  <c r="H830" i="15"/>
  <c r="J830" i="15" s="1"/>
  <c r="I829" i="15"/>
  <c r="H829" i="15"/>
  <c r="J829" i="15" s="1"/>
  <c r="I828" i="15"/>
  <c r="H828" i="15"/>
  <c r="J828" i="15" s="1"/>
  <c r="I827" i="15"/>
  <c r="H827" i="15"/>
  <c r="J827" i="15" s="1"/>
  <c r="I826" i="15"/>
  <c r="H826" i="15"/>
  <c r="J826" i="15" s="1"/>
  <c r="I825" i="15"/>
  <c r="H825" i="15"/>
  <c r="J825" i="15" s="1"/>
  <c r="I824" i="15"/>
  <c r="H824" i="15"/>
  <c r="J824" i="15" s="1"/>
  <c r="I823" i="15"/>
  <c r="H823" i="15"/>
  <c r="J823" i="15" s="1"/>
  <c r="I822" i="15"/>
  <c r="H822" i="15"/>
  <c r="J822" i="15" s="1"/>
  <c r="I821" i="15"/>
  <c r="H821" i="15"/>
  <c r="J821" i="15" s="1"/>
  <c r="I820" i="15"/>
  <c r="H820" i="15"/>
  <c r="J820" i="15" s="1"/>
  <c r="I819" i="15"/>
  <c r="H819" i="15"/>
  <c r="J819" i="15" s="1"/>
  <c r="I818" i="15"/>
  <c r="H818" i="15"/>
  <c r="J818" i="15" s="1"/>
  <c r="I817" i="15"/>
  <c r="H817" i="15"/>
  <c r="J817" i="15" s="1"/>
  <c r="I816" i="15"/>
  <c r="H816" i="15"/>
  <c r="J816" i="15" s="1"/>
  <c r="I815" i="15"/>
  <c r="H815" i="15"/>
  <c r="J815" i="15" s="1"/>
  <c r="I814" i="15"/>
  <c r="H814" i="15"/>
  <c r="J814" i="15" s="1"/>
  <c r="I813" i="15"/>
  <c r="H813" i="15"/>
  <c r="J813" i="15" s="1"/>
  <c r="I812" i="15"/>
  <c r="H812" i="15"/>
  <c r="J812" i="15" s="1"/>
  <c r="I811" i="15"/>
  <c r="H811" i="15"/>
  <c r="J811" i="15" s="1"/>
  <c r="I810" i="15"/>
  <c r="H810" i="15"/>
  <c r="J810" i="15" s="1"/>
  <c r="I809" i="15"/>
  <c r="H809" i="15"/>
  <c r="J809" i="15" s="1"/>
  <c r="I808" i="15"/>
  <c r="H808" i="15"/>
  <c r="J808" i="15" s="1"/>
  <c r="I807" i="15"/>
  <c r="H807" i="15"/>
  <c r="J807" i="15" s="1"/>
  <c r="I806" i="15"/>
  <c r="H806" i="15"/>
  <c r="J806" i="15" s="1"/>
  <c r="I805" i="15"/>
  <c r="H805" i="15"/>
  <c r="J805" i="15" s="1"/>
  <c r="I804" i="15"/>
  <c r="H804" i="15"/>
  <c r="J804" i="15" s="1"/>
  <c r="I803" i="15"/>
  <c r="H803" i="15"/>
  <c r="J803" i="15" s="1"/>
  <c r="I802" i="15"/>
  <c r="H802" i="15"/>
  <c r="J802" i="15" s="1"/>
  <c r="I801" i="15"/>
  <c r="H801" i="15"/>
  <c r="J801" i="15" s="1"/>
  <c r="I800" i="15"/>
  <c r="H800" i="15"/>
  <c r="J800" i="15" s="1"/>
  <c r="I799" i="15"/>
  <c r="H799" i="15"/>
  <c r="J799" i="15" s="1"/>
  <c r="I798" i="15"/>
  <c r="H798" i="15"/>
  <c r="J798" i="15" s="1"/>
  <c r="I797" i="15"/>
  <c r="H797" i="15"/>
  <c r="J797" i="15" s="1"/>
  <c r="I796" i="15"/>
  <c r="H796" i="15"/>
  <c r="J796" i="15" s="1"/>
  <c r="I795" i="15"/>
  <c r="H795" i="15"/>
  <c r="J795" i="15" s="1"/>
  <c r="I794" i="15"/>
  <c r="H794" i="15"/>
  <c r="J794" i="15" s="1"/>
  <c r="I793" i="15"/>
  <c r="H793" i="15"/>
  <c r="J793" i="15" s="1"/>
  <c r="I792" i="15"/>
  <c r="H792" i="15"/>
  <c r="J792" i="15" s="1"/>
  <c r="I791" i="15"/>
  <c r="H791" i="15"/>
  <c r="J791" i="15" s="1"/>
  <c r="I790" i="15"/>
  <c r="H790" i="15"/>
  <c r="J790" i="15" s="1"/>
  <c r="I789" i="15"/>
  <c r="H789" i="15"/>
  <c r="J789" i="15" s="1"/>
  <c r="I788" i="15"/>
  <c r="H788" i="15"/>
  <c r="J788" i="15" s="1"/>
  <c r="I787" i="15"/>
  <c r="H787" i="15"/>
  <c r="J787" i="15" s="1"/>
  <c r="I786" i="15"/>
  <c r="H786" i="15"/>
  <c r="J786" i="15" s="1"/>
  <c r="I785" i="15"/>
  <c r="H785" i="15"/>
  <c r="J785" i="15" s="1"/>
  <c r="I784" i="15"/>
  <c r="H784" i="15"/>
  <c r="J784" i="15" s="1"/>
  <c r="I783" i="15"/>
  <c r="H783" i="15"/>
  <c r="J783" i="15" s="1"/>
  <c r="I782" i="15"/>
  <c r="H782" i="15"/>
  <c r="J782" i="15" s="1"/>
  <c r="I781" i="15"/>
  <c r="H781" i="15"/>
  <c r="J781" i="15" s="1"/>
  <c r="I780" i="15"/>
  <c r="H780" i="15"/>
  <c r="J780" i="15" s="1"/>
  <c r="I779" i="15"/>
  <c r="H779" i="15"/>
  <c r="J779" i="15" s="1"/>
  <c r="I778" i="15"/>
  <c r="H778" i="15"/>
  <c r="J778" i="15" s="1"/>
  <c r="I777" i="15"/>
  <c r="H777" i="15"/>
  <c r="J777" i="15" s="1"/>
  <c r="I776" i="15"/>
  <c r="H776" i="15"/>
  <c r="J776" i="15" s="1"/>
  <c r="I775" i="15"/>
  <c r="H775" i="15"/>
  <c r="J775" i="15" s="1"/>
  <c r="I774" i="15"/>
  <c r="H774" i="15"/>
  <c r="J774" i="15" s="1"/>
  <c r="I773" i="15"/>
  <c r="H773" i="15"/>
  <c r="J773" i="15" s="1"/>
  <c r="I772" i="15"/>
  <c r="H772" i="15"/>
  <c r="J772" i="15" s="1"/>
  <c r="I771" i="15"/>
  <c r="H771" i="15"/>
  <c r="J771" i="15" s="1"/>
  <c r="I770" i="15"/>
  <c r="H770" i="15"/>
  <c r="J770" i="15" s="1"/>
  <c r="I769" i="15"/>
  <c r="H769" i="15"/>
  <c r="J769" i="15" s="1"/>
  <c r="I768" i="15"/>
  <c r="H768" i="15"/>
  <c r="J768" i="15" s="1"/>
  <c r="I767" i="15"/>
  <c r="H767" i="15"/>
  <c r="J767" i="15" s="1"/>
  <c r="I766" i="15"/>
  <c r="H766" i="15"/>
  <c r="J766" i="15" s="1"/>
  <c r="I765" i="15"/>
  <c r="H765" i="15"/>
  <c r="J765" i="15" s="1"/>
  <c r="I764" i="15"/>
  <c r="H764" i="15"/>
  <c r="J764" i="15" s="1"/>
  <c r="I763" i="15"/>
  <c r="H763" i="15"/>
  <c r="J763" i="15" s="1"/>
  <c r="I762" i="15"/>
  <c r="H762" i="15"/>
  <c r="J762" i="15" s="1"/>
  <c r="I761" i="15"/>
  <c r="H761" i="15"/>
  <c r="J761" i="15" s="1"/>
  <c r="I760" i="15"/>
  <c r="H760" i="15"/>
  <c r="J760" i="15" s="1"/>
  <c r="I759" i="15"/>
  <c r="H759" i="15"/>
  <c r="J759" i="15" s="1"/>
  <c r="I758" i="15"/>
  <c r="H758" i="15"/>
  <c r="J758" i="15" s="1"/>
  <c r="I757" i="15"/>
  <c r="H757" i="15"/>
  <c r="J757" i="15" s="1"/>
  <c r="I756" i="15"/>
  <c r="H756" i="15"/>
  <c r="J756" i="15" s="1"/>
  <c r="I755" i="15"/>
  <c r="H755" i="15"/>
  <c r="J755" i="15" s="1"/>
  <c r="I754" i="15"/>
  <c r="H754" i="15"/>
  <c r="J754" i="15" s="1"/>
  <c r="I753" i="15"/>
  <c r="H753" i="15"/>
  <c r="J753" i="15" s="1"/>
  <c r="I752" i="15"/>
  <c r="H752" i="15"/>
  <c r="J752" i="15" s="1"/>
  <c r="I751" i="15"/>
  <c r="H751" i="15"/>
  <c r="J751" i="15" s="1"/>
  <c r="I750" i="15"/>
  <c r="H750" i="15"/>
  <c r="J750" i="15" s="1"/>
  <c r="I749" i="15"/>
  <c r="H749" i="15"/>
  <c r="J749" i="15" s="1"/>
  <c r="I748" i="15"/>
  <c r="H748" i="15"/>
  <c r="J748" i="15" s="1"/>
  <c r="I747" i="15"/>
  <c r="H747" i="15"/>
  <c r="J747" i="15" s="1"/>
  <c r="I746" i="15"/>
  <c r="H746" i="15"/>
  <c r="J746" i="15" s="1"/>
  <c r="I745" i="15"/>
  <c r="H745" i="15"/>
  <c r="J745" i="15" s="1"/>
  <c r="I744" i="15"/>
  <c r="H744" i="15"/>
  <c r="J744" i="15" s="1"/>
  <c r="I743" i="15"/>
  <c r="H743" i="15"/>
  <c r="J743" i="15" s="1"/>
  <c r="I742" i="15"/>
  <c r="H742" i="15"/>
  <c r="J742" i="15" s="1"/>
  <c r="I741" i="15"/>
  <c r="H741" i="15"/>
  <c r="J741" i="15" s="1"/>
  <c r="I740" i="15"/>
  <c r="H740" i="15"/>
  <c r="J740" i="15" s="1"/>
  <c r="I739" i="15"/>
  <c r="H739" i="15"/>
  <c r="J739" i="15" s="1"/>
  <c r="I738" i="15"/>
  <c r="H738" i="15"/>
  <c r="J738" i="15" s="1"/>
  <c r="I737" i="15"/>
  <c r="H737" i="15"/>
  <c r="J737" i="15" s="1"/>
  <c r="I736" i="15"/>
  <c r="H736" i="15"/>
  <c r="J736" i="15" s="1"/>
  <c r="I735" i="15"/>
  <c r="H735" i="15"/>
  <c r="J735" i="15" s="1"/>
  <c r="I734" i="15"/>
  <c r="H734" i="15"/>
  <c r="J734" i="15" s="1"/>
  <c r="I733" i="15"/>
  <c r="H733" i="15"/>
  <c r="J733" i="15" s="1"/>
  <c r="I732" i="15"/>
  <c r="H732" i="15"/>
  <c r="J732" i="15" s="1"/>
  <c r="I731" i="15"/>
  <c r="H731" i="15"/>
  <c r="J731" i="15" s="1"/>
  <c r="I730" i="15"/>
  <c r="H730" i="15"/>
  <c r="J730" i="15" s="1"/>
  <c r="I729" i="15"/>
  <c r="H729" i="15"/>
  <c r="J729" i="15" s="1"/>
  <c r="I728" i="15"/>
  <c r="H728" i="15"/>
  <c r="J728" i="15" s="1"/>
  <c r="I727" i="15"/>
  <c r="H727" i="15"/>
  <c r="J727" i="15" s="1"/>
  <c r="I726" i="15"/>
  <c r="H726" i="15"/>
  <c r="J726" i="15" s="1"/>
  <c r="I725" i="15"/>
  <c r="H725" i="15"/>
  <c r="J725" i="15" s="1"/>
  <c r="I724" i="15"/>
  <c r="H724" i="15"/>
  <c r="J724" i="15" s="1"/>
  <c r="I723" i="15"/>
  <c r="H723" i="15"/>
  <c r="J723" i="15" s="1"/>
  <c r="I722" i="15"/>
  <c r="H722" i="15"/>
  <c r="J722" i="15" s="1"/>
  <c r="I721" i="15"/>
  <c r="H721" i="15"/>
  <c r="J721" i="15" s="1"/>
  <c r="I720" i="15"/>
  <c r="H720" i="15"/>
  <c r="J720" i="15" s="1"/>
  <c r="I719" i="15"/>
  <c r="H719" i="15"/>
  <c r="J719" i="15" s="1"/>
  <c r="I718" i="15"/>
  <c r="H718" i="15"/>
  <c r="J718" i="15" s="1"/>
  <c r="I717" i="15"/>
  <c r="H717" i="15"/>
  <c r="J717" i="15" s="1"/>
  <c r="I716" i="15"/>
  <c r="H716" i="15"/>
  <c r="J716" i="15" s="1"/>
  <c r="I715" i="15"/>
  <c r="H715" i="15"/>
  <c r="J715" i="15" s="1"/>
  <c r="I714" i="15"/>
  <c r="H714" i="15"/>
  <c r="J714" i="15" s="1"/>
  <c r="I713" i="15"/>
  <c r="H713" i="15"/>
  <c r="J713" i="15" s="1"/>
  <c r="I712" i="15"/>
  <c r="H712" i="15"/>
  <c r="J712" i="15" s="1"/>
  <c r="I711" i="15"/>
  <c r="H711" i="15"/>
  <c r="J711" i="15" s="1"/>
  <c r="I710" i="15"/>
  <c r="H710" i="15"/>
  <c r="J710" i="15" s="1"/>
  <c r="I709" i="15"/>
  <c r="H709" i="15"/>
  <c r="J709" i="15" s="1"/>
  <c r="I708" i="15"/>
  <c r="H708" i="15"/>
  <c r="J708" i="15" s="1"/>
  <c r="I707" i="15"/>
  <c r="H707" i="15"/>
  <c r="J707" i="15" s="1"/>
  <c r="I706" i="15"/>
  <c r="H706" i="15"/>
  <c r="J706" i="15" s="1"/>
  <c r="I705" i="15"/>
  <c r="H705" i="15"/>
  <c r="J705" i="15" s="1"/>
  <c r="I704" i="15"/>
  <c r="H704" i="15"/>
  <c r="J704" i="15" s="1"/>
  <c r="I703" i="15"/>
  <c r="H703" i="15"/>
  <c r="J703" i="15" s="1"/>
  <c r="I702" i="15"/>
  <c r="H702" i="15"/>
  <c r="J702" i="15" s="1"/>
  <c r="I701" i="15"/>
  <c r="H701" i="15"/>
  <c r="J701" i="15" s="1"/>
  <c r="I700" i="15"/>
  <c r="H700" i="15"/>
  <c r="J700" i="15" s="1"/>
  <c r="I699" i="15"/>
  <c r="H699" i="15"/>
  <c r="J699" i="15" s="1"/>
  <c r="I698" i="15"/>
  <c r="H698" i="15"/>
  <c r="J698" i="15" s="1"/>
  <c r="I697" i="15"/>
  <c r="H697" i="15"/>
  <c r="J697" i="15" s="1"/>
  <c r="I696" i="15"/>
  <c r="H696" i="15"/>
  <c r="J696" i="15" s="1"/>
  <c r="I695" i="15"/>
  <c r="H695" i="15"/>
  <c r="J695" i="15" s="1"/>
  <c r="I694" i="15"/>
  <c r="H694" i="15"/>
  <c r="J694" i="15" s="1"/>
  <c r="I693" i="15"/>
  <c r="H693" i="15"/>
  <c r="J693" i="15" s="1"/>
  <c r="I692" i="15"/>
  <c r="H692" i="15"/>
  <c r="J692" i="15" s="1"/>
  <c r="I691" i="15"/>
  <c r="H691" i="15"/>
  <c r="J691" i="15" s="1"/>
  <c r="I690" i="15"/>
  <c r="H690" i="15"/>
  <c r="J690" i="15" s="1"/>
  <c r="I689" i="15"/>
  <c r="H689" i="15"/>
  <c r="J689" i="15" s="1"/>
  <c r="I688" i="15"/>
  <c r="H688" i="15"/>
  <c r="J688" i="15" s="1"/>
  <c r="I687" i="15"/>
  <c r="H687" i="15"/>
  <c r="J687" i="15" s="1"/>
  <c r="I686" i="15"/>
  <c r="H686" i="15"/>
  <c r="J686" i="15" s="1"/>
  <c r="I685" i="15"/>
  <c r="H685" i="15"/>
  <c r="J685" i="15" s="1"/>
  <c r="I684" i="15"/>
  <c r="H684" i="15"/>
  <c r="J684" i="15" s="1"/>
  <c r="I683" i="15"/>
  <c r="H683" i="15"/>
  <c r="J683" i="15" s="1"/>
  <c r="I682" i="15"/>
  <c r="H682" i="15"/>
  <c r="J682" i="15" s="1"/>
  <c r="I681" i="15"/>
  <c r="H681" i="15"/>
  <c r="J681" i="15" s="1"/>
  <c r="I680" i="15"/>
  <c r="H680" i="15"/>
  <c r="J680" i="15" s="1"/>
  <c r="I679" i="15"/>
  <c r="H679" i="15"/>
  <c r="J679" i="15" s="1"/>
  <c r="I678" i="15"/>
  <c r="H678" i="15"/>
  <c r="J678" i="15" s="1"/>
  <c r="I677" i="15"/>
  <c r="H677" i="15"/>
  <c r="J677" i="15" s="1"/>
  <c r="I676" i="15"/>
  <c r="H676" i="15"/>
  <c r="J676" i="15" s="1"/>
  <c r="I675" i="15"/>
  <c r="H675" i="15"/>
  <c r="J675" i="15" s="1"/>
  <c r="I674" i="15"/>
  <c r="H674" i="15"/>
  <c r="J674" i="15" s="1"/>
  <c r="I673" i="15"/>
  <c r="H673" i="15"/>
  <c r="J673" i="15" s="1"/>
  <c r="I672" i="15"/>
  <c r="H672" i="15"/>
  <c r="J672" i="15" s="1"/>
  <c r="I671" i="15"/>
  <c r="H671" i="15"/>
  <c r="J671" i="15" s="1"/>
  <c r="I670" i="15"/>
  <c r="H670" i="15"/>
  <c r="J670" i="15" s="1"/>
  <c r="I669" i="15"/>
  <c r="H669" i="15"/>
  <c r="J669" i="15" s="1"/>
  <c r="I668" i="15"/>
  <c r="H668" i="15"/>
  <c r="J668" i="15" s="1"/>
  <c r="I667" i="15"/>
  <c r="H667" i="15"/>
  <c r="J667" i="15" s="1"/>
  <c r="I666" i="15"/>
  <c r="H666" i="15"/>
  <c r="J666" i="15" s="1"/>
  <c r="I665" i="15"/>
  <c r="H665" i="15"/>
  <c r="J665" i="15" s="1"/>
  <c r="I664" i="15"/>
  <c r="H664" i="15"/>
  <c r="J664" i="15" s="1"/>
  <c r="I663" i="15"/>
  <c r="H663" i="15"/>
  <c r="J663" i="15" s="1"/>
  <c r="I662" i="15"/>
  <c r="H662" i="15"/>
  <c r="J662" i="15" s="1"/>
  <c r="I661" i="15"/>
  <c r="H661" i="15"/>
  <c r="J661" i="15" s="1"/>
  <c r="I660" i="15"/>
  <c r="H660" i="15"/>
  <c r="J660" i="15" s="1"/>
  <c r="I659" i="15"/>
  <c r="H659" i="15"/>
  <c r="J659" i="15" s="1"/>
  <c r="I658" i="15"/>
  <c r="H658" i="15"/>
  <c r="J658" i="15" s="1"/>
  <c r="I657" i="15"/>
  <c r="H657" i="15"/>
  <c r="J657" i="15" s="1"/>
  <c r="I656" i="15"/>
  <c r="H656" i="15"/>
  <c r="J656" i="15" s="1"/>
  <c r="I655" i="15"/>
  <c r="I654" i="15"/>
  <c r="I653" i="15"/>
  <c r="I652" i="15"/>
  <c r="I651" i="15"/>
  <c r="I650" i="15"/>
  <c r="H650" i="15"/>
  <c r="J650" i="15" s="1"/>
  <c r="I649" i="15"/>
  <c r="H649" i="15"/>
  <c r="J649" i="15" s="1"/>
  <c r="I648" i="15"/>
  <c r="H648" i="15"/>
  <c r="J648" i="15" s="1"/>
  <c r="I647" i="15"/>
  <c r="H647" i="15"/>
  <c r="J647" i="15" s="1"/>
  <c r="I646" i="15"/>
  <c r="H646" i="15"/>
  <c r="J646" i="15" s="1"/>
  <c r="I645" i="15"/>
  <c r="H645" i="15"/>
  <c r="J645" i="15" s="1"/>
  <c r="I644" i="15"/>
  <c r="H644" i="15"/>
  <c r="J644" i="15" s="1"/>
  <c r="I643" i="15"/>
  <c r="H643" i="15"/>
  <c r="J643" i="15" s="1"/>
  <c r="I642" i="15"/>
  <c r="H642" i="15"/>
  <c r="J642" i="15" s="1"/>
  <c r="I641" i="15"/>
  <c r="H641" i="15"/>
  <c r="J641" i="15" s="1"/>
  <c r="I640" i="15"/>
  <c r="H640" i="15"/>
  <c r="J640" i="15" s="1"/>
  <c r="I639" i="15"/>
  <c r="H639" i="15"/>
  <c r="J639" i="15" s="1"/>
  <c r="I638" i="15"/>
  <c r="H638" i="15"/>
  <c r="J638" i="15" s="1"/>
  <c r="I637" i="15"/>
  <c r="H637" i="15"/>
  <c r="J637" i="15" s="1"/>
  <c r="I636" i="15"/>
  <c r="H636" i="15"/>
  <c r="J636" i="15" s="1"/>
  <c r="I635" i="15"/>
  <c r="H635" i="15"/>
  <c r="J635" i="15" s="1"/>
  <c r="I634" i="15"/>
  <c r="H634" i="15"/>
  <c r="J634" i="15" s="1"/>
  <c r="I633" i="15"/>
  <c r="H633" i="15"/>
  <c r="J633" i="15" s="1"/>
  <c r="I632" i="15"/>
  <c r="H632" i="15"/>
  <c r="J632" i="15" s="1"/>
  <c r="I631" i="15"/>
  <c r="H631" i="15"/>
  <c r="J631" i="15" s="1"/>
  <c r="I630" i="15"/>
  <c r="H630" i="15"/>
  <c r="J630" i="15" s="1"/>
  <c r="I629" i="15"/>
  <c r="H629" i="15"/>
  <c r="J629" i="15" s="1"/>
  <c r="I628" i="15"/>
  <c r="H628" i="15"/>
  <c r="J628" i="15" s="1"/>
  <c r="I627" i="15"/>
  <c r="H627" i="15"/>
  <c r="J627" i="15" s="1"/>
  <c r="I626" i="15"/>
  <c r="H626" i="15"/>
  <c r="J626" i="15" s="1"/>
  <c r="I625" i="15"/>
  <c r="H625" i="15"/>
  <c r="J625" i="15" s="1"/>
  <c r="I624" i="15"/>
  <c r="H624" i="15"/>
  <c r="J624" i="15" s="1"/>
  <c r="I623" i="15"/>
  <c r="H623" i="15"/>
  <c r="J623" i="15" s="1"/>
  <c r="I622" i="15"/>
  <c r="H622" i="15"/>
  <c r="J622" i="15" s="1"/>
  <c r="I621" i="15"/>
  <c r="H621" i="15"/>
  <c r="J621" i="15" s="1"/>
  <c r="I620" i="15"/>
  <c r="H620" i="15"/>
  <c r="J620" i="15" s="1"/>
  <c r="I619" i="15"/>
  <c r="H619" i="15"/>
  <c r="J619" i="15" s="1"/>
  <c r="I618" i="15"/>
  <c r="H618" i="15"/>
  <c r="J618" i="15" s="1"/>
  <c r="I617" i="15"/>
  <c r="H617" i="15"/>
  <c r="J617" i="15" s="1"/>
  <c r="I616" i="15"/>
  <c r="H616" i="15"/>
  <c r="J616" i="15" s="1"/>
  <c r="I615" i="15"/>
  <c r="H615" i="15"/>
  <c r="J615" i="15" s="1"/>
  <c r="I614" i="15"/>
  <c r="H614" i="15"/>
  <c r="J614" i="15" s="1"/>
  <c r="I613" i="15"/>
  <c r="H613" i="15"/>
  <c r="J613" i="15" s="1"/>
  <c r="I612" i="15"/>
  <c r="H612" i="15"/>
  <c r="J612" i="15" s="1"/>
  <c r="I611" i="15"/>
  <c r="H611" i="15"/>
  <c r="J611" i="15" s="1"/>
  <c r="I610" i="15"/>
  <c r="H610" i="15"/>
  <c r="J610" i="15" s="1"/>
  <c r="I609" i="15"/>
  <c r="H609" i="15"/>
  <c r="J609" i="15" s="1"/>
  <c r="I608" i="15"/>
  <c r="H608" i="15"/>
  <c r="J608" i="15" s="1"/>
  <c r="I607" i="15"/>
  <c r="H607" i="15"/>
  <c r="J607" i="15" s="1"/>
  <c r="I606" i="15"/>
  <c r="H606" i="15"/>
  <c r="J606" i="15" s="1"/>
  <c r="I605" i="15"/>
  <c r="H605" i="15"/>
  <c r="J605" i="15" s="1"/>
  <c r="I604" i="15"/>
  <c r="H604" i="15"/>
  <c r="J604" i="15" s="1"/>
  <c r="I603" i="15"/>
  <c r="H603" i="15"/>
  <c r="J603" i="15" s="1"/>
  <c r="I602" i="15"/>
  <c r="H602" i="15"/>
  <c r="J602" i="15" s="1"/>
  <c r="I601" i="15"/>
  <c r="H601" i="15"/>
  <c r="J601" i="15" s="1"/>
  <c r="I600" i="15"/>
  <c r="H600" i="15"/>
  <c r="J600" i="15" s="1"/>
  <c r="I599" i="15"/>
  <c r="H599" i="15"/>
  <c r="J599" i="15" s="1"/>
  <c r="I598" i="15"/>
  <c r="H598" i="15"/>
  <c r="J598" i="15" s="1"/>
  <c r="I597" i="15"/>
  <c r="H597" i="15"/>
  <c r="J597" i="15" s="1"/>
  <c r="I596" i="15"/>
  <c r="H596" i="15"/>
  <c r="J596" i="15" s="1"/>
  <c r="I595" i="15"/>
  <c r="H595" i="15"/>
  <c r="J595" i="15" s="1"/>
  <c r="I594" i="15"/>
  <c r="H594" i="15"/>
  <c r="J594" i="15" s="1"/>
  <c r="I593" i="15"/>
  <c r="H593" i="15"/>
  <c r="J593" i="15" s="1"/>
  <c r="I592" i="15"/>
  <c r="H592" i="15"/>
  <c r="J592" i="15" s="1"/>
  <c r="I591" i="15"/>
  <c r="H591" i="15"/>
  <c r="J591" i="15" s="1"/>
  <c r="I590" i="15"/>
  <c r="H590" i="15"/>
  <c r="J590" i="15" s="1"/>
  <c r="I589" i="15"/>
  <c r="H589" i="15"/>
  <c r="J589" i="15" s="1"/>
  <c r="I588" i="15"/>
  <c r="H588" i="15"/>
  <c r="J588" i="15" s="1"/>
  <c r="I587" i="15"/>
  <c r="H587" i="15"/>
  <c r="J587" i="15" s="1"/>
  <c r="I586" i="15"/>
  <c r="H586" i="15"/>
  <c r="J586" i="15" s="1"/>
  <c r="I585" i="15"/>
  <c r="H585" i="15"/>
  <c r="J585" i="15" s="1"/>
  <c r="I584" i="15"/>
  <c r="H584" i="15"/>
  <c r="J584" i="15" s="1"/>
  <c r="I583" i="15"/>
  <c r="H583" i="15"/>
  <c r="J583" i="15" s="1"/>
  <c r="I582" i="15"/>
  <c r="H582" i="15"/>
  <c r="J582" i="15" s="1"/>
  <c r="I581" i="15"/>
  <c r="H581" i="15"/>
  <c r="J581" i="15" s="1"/>
  <c r="I580" i="15"/>
  <c r="H580" i="15"/>
  <c r="J580" i="15" s="1"/>
  <c r="I579" i="15"/>
  <c r="H579" i="15"/>
  <c r="J579" i="15" s="1"/>
  <c r="I578" i="15"/>
  <c r="H578" i="15"/>
  <c r="J578" i="15" s="1"/>
  <c r="I577" i="15"/>
  <c r="H577" i="15"/>
  <c r="J577" i="15" s="1"/>
  <c r="I576" i="15"/>
  <c r="H576" i="15"/>
  <c r="J576" i="15" s="1"/>
  <c r="I575" i="15"/>
  <c r="H575" i="15"/>
  <c r="J575" i="15" s="1"/>
  <c r="I574" i="15"/>
  <c r="H574" i="15"/>
  <c r="J574" i="15" s="1"/>
  <c r="I573" i="15"/>
  <c r="H573" i="15"/>
  <c r="J573" i="15" s="1"/>
  <c r="I572" i="15"/>
  <c r="H572" i="15"/>
  <c r="J572" i="15" s="1"/>
  <c r="I571" i="15"/>
  <c r="H571" i="15"/>
  <c r="J571" i="15" s="1"/>
  <c r="I570" i="15"/>
  <c r="H570" i="15"/>
  <c r="J570" i="15" s="1"/>
  <c r="I569" i="15"/>
  <c r="H569" i="15"/>
  <c r="J569" i="15" s="1"/>
  <c r="I568" i="15"/>
  <c r="H568" i="15"/>
  <c r="J568" i="15" s="1"/>
  <c r="I567" i="15"/>
  <c r="H567" i="15"/>
  <c r="J567" i="15" s="1"/>
  <c r="I566" i="15"/>
  <c r="H566" i="15"/>
  <c r="J566" i="15" s="1"/>
  <c r="I565" i="15"/>
  <c r="H565" i="15"/>
  <c r="J565" i="15" s="1"/>
  <c r="I564" i="15"/>
  <c r="H564" i="15"/>
  <c r="J564" i="15" s="1"/>
  <c r="I563" i="15"/>
  <c r="H563" i="15"/>
  <c r="J563" i="15" s="1"/>
  <c r="I562" i="15"/>
  <c r="H562" i="15"/>
  <c r="J562" i="15" s="1"/>
  <c r="I561" i="15"/>
  <c r="H561" i="15"/>
  <c r="J561" i="15" s="1"/>
  <c r="I560" i="15"/>
  <c r="H560" i="15"/>
  <c r="J560" i="15" s="1"/>
  <c r="I559" i="15"/>
  <c r="H559" i="15"/>
  <c r="J559" i="15" s="1"/>
  <c r="I558" i="15"/>
  <c r="H558" i="15"/>
  <c r="J558" i="15" s="1"/>
  <c r="I557" i="15"/>
  <c r="H557" i="15"/>
  <c r="J557" i="15" s="1"/>
  <c r="I556" i="15"/>
  <c r="H556" i="15"/>
  <c r="J556" i="15" s="1"/>
  <c r="I555" i="15"/>
  <c r="H555" i="15"/>
  <c r="J555" i="15" s="1"/>
  <c r="I554" i="15"/>
  <c r="H554" i="15"/>
  <c r="J554" i="15" s="1"/>
  <c r="I553" i="15"/>
  <c r="H553" i="15"/>
  <c r="J553" i="15" s="1"/>
  <c r="I552" i="15"/>
  <c r="H552" i="15"/>
  <c r="J552" i="15" s="1"/>
  <c r="I551" i="15"/>
  <c r="H551" i="15"/>
  <c r="J551" i="15" s="1"/>
  <c r="I550" i="15"/>
  <c r="H550" i="15"/>
  <c r="J550" i="15" s="1"/>
  <c r="I549" i="15"/>
  <c r="H549" i="15"/>
  <c r="J549" i="15" s="1"/>
  <c r="I548" i="15"/>
  <c r="H548" i="15"/>
  <c r="J548" i="15" s="1"/>
  <c r="I547" i="15"/>
  <c r="H547" i="15"/>
  <c r="J547" i="15" s="1"/>
  <c r="I546" i="15"/>
  <c r="H546" i="15"/>
  <c r="J546" i="15" s="1"/>
  <c r="I545" i="15"/>
  <c r="H545" i="15"/>
  <c r="J545" i="15" s="1"/>
  <c r="I544" i="15"/>
  <c r="H544" i="15"/>
  <c r="J544" i="15" s="1"/>
  <c r="I543" i="15"/>
  <c r="H543" i="15"/>
  <c r="J543" i="15" s="1"/>
  <c r="I542" i="15"/>
  <c r="H542" i="15"/>
  <c r="J542" i="15" s="1"/>
  <c r="I541" i="15"/>
  <c r="H541" i="15"/>
  <c r="J541" i="15" s="1"/>
  <c r="I540" i="15"/>
  <c r="H540" i="15"/>
  <c r="J540" i="15" s="1"/>
  <c r="I539" i="15"/>
  <c r="H539" i="15"/>
  <c r="J539" i="15" s="1"/>
  <c r="I538" i="15"/>
  <c r="H538" i="15"/>
  <c r="J538" i="15" s="1"/>
  <c r="I537" i="15"/>
  <c r="H537" i="15"/>
  <c r="J537" i="15" s="1"/>
  <c r="I536" i="15"/>
  <c r="H536" i="15"/>
  <c r="J536" i="15" s="1"/>
  <c r="I535" i="15"/>
  <c r="H535" i="15"/>
  <c r="J535" i="15" s="1"/>
  <c r="I534" i="15"/>
  <c r="H534" i="15"/>
  <c r="J534" i="15" s="1"/>
  <c r="I533" i="15"/>
  <c r="H533" i="15"/>
  <c r="J533" i="15" s="1"/>
  <c r="I532" i="15"/>
  <c r="H532" i="15"/>
  <c r="J532" i="15" s="1"/>
  <c r="I531" i="15"/>
  <c r="H531" i="15"/>
  <c r="J531" i="15" s="1"/>
  <c r="I530" i="15"/>
  <c r="H530" i="15"/>
  <c r="J530" i="15" s="1"/>
  <c r="I529" i="15"/>
  <c r="H529" i="15"/>
  <c r="J529" i="15" s="1"/>
  <c r="I528" i="15"/>
  <c r="H528" i="15"/>
  <c r="J528" i="15" s="1"/>
  <c r="I527" i="15"/>
  <c r="H527" i="15"/>
  <c r="J527" i="15" s="1"/>
  <c r="I526" i="15"/>
  <c r="H526" i="15"/>
  <c r="J526" i="15" s="1"/>
  <c r="I525" i="15"/>
  <c r="H525" i="15"/>
  <c r="J525" i="15" s="1"/>
  <c r="I524" i="15"/>
  <c r="H524" i="15"/>
  <c r="J524" i="15" s="1"/>
  <c r="I523" i="15"/>
  <c r="H523" i="15"/>
  <c r="J523" i="15" s="1"/>
  <c r="I522" i="15"/>
  <c r="H522" i="15"/>
  <c r="J522" i="15" s="1"/>
  <c r="I521" i="15"/>
  <c r="H521" i="15"/>
  <c r="J521" i="15" s="1"/>
  <c r="I520" i="15"/>
  <c r="H520" i="15"/>
  <c r="J520" i="15" s="1"/>
  <c r="I519" i="15"/>
  <c r="H519" i="15"/>
  <c r="J519" i="15" s="1"/>
  <c r="I518" i="15"/>
  <c r="H518" i="15"/>
  <c r="J518" i="15" s="1"/>
  <c r="I517" i="15"/>
  <c r="H517" i="15"/>
  <c r="J517" i="15" s="1"/>
  <c r="I516" i="15"/>
  <c r="H516" i="15"/>
  <c r="J516" i="15" s="1"/>
  <c r="I515" i="15"/>
  <c r="H515" i="15"/>
  <c r="J515" i="15" s="1"/>
  <c r="I514" i="15"/>
  <c r="H514" i="15"/>
  <c r="J514" i="15" s="1"/>
  <c r="I513" i="15"/>
  <c r="H513" i="15"/>
  <c r="J513" i="15" s="1"/>
  <c r="I512" i="15"/>
  <c r="H512" i="15"/>
  <c r="J512" i="15" s="1"/>
  <c r="I511" i="15"/>
  <c r="H511" i="15"/>
  <c r="J511" i="15" s="1"/>
  <c r="I510" i="15"/>
  <c r="H510" i="15"/>
  <c r="J510" i="15" s="1"/>
  <c r="I509" i="15"/>
  <c r="H509" i="15"/>
  <c r="J509" i="15" s="1"/>
  <c r="I508" i="15"/>
  <c r="H508" i="15"/>
  <c r="J508" i="15" s="1"/>
  <c r="I507" i="15"/>
  <c r="H507" i="15"/>
  <c r="J507" i="15" s="1"/>
  <c r="I506" i="15"/>
  <c r="H506" i="15"/>
  <c r="J506" i="15" s="1"/>
  <c r="I505" i="15"/>
  <c r="H505" i="15"/>
  <c r="J505" i="15" s="1"/>
  <c r="I504" i="15"/>
  <c r="H504" i="15"/>
  <c r="J504" i="15" s="1"/>
  <c r="I503" i="15"/>
  <c r="H503" i="15"/>
  <c r="J503" i="15" s="1"/>
  <c r="I502" i="15"/>
  <c r="H502" i="15"/>
  <c r="J502" i="15" s="1"/>
  <c r="I501" i="15"/>
  <c r="H501" i="15"/>
  <c r="J501" i="15" s="1"/>
  <c r="I500" i="15"/>
  <c r="H500" i="15"/>
  <c r="J500" i="15" s="1"/>
  <c r="I499" i="15"/>
  <c r="H499" i="15"/>
  <c r="J499" i="15" s="1"/>
  <c r="I498" i="15"/>
  <c r="H498" i="15"/>
  <c r="J498" i="15" s="1"/>
  <c r="I497" i="15"/>
  <c r="H497" i="15"/>
  <c r="J497" i="15" s="1"/>
  <c r="I496" i="15"/>
  <c r="H496" i="15"/>
  <c r="J496" i="15" s="1"/>
  <c r="I495" i="15"/>
  <c r="H495" i="15"/>
  <c r="J495" i="15" s="1"/>
  <c r="I494" i="15"/>
  <c r="H494" i="15"/>
  <c r="J494" i="15" s="1"/>
  <c r="I493" i="15"/>
  <c r="H493" i="15"/>
  <c r="J493" i="15" s="1"/>
  <c r="I492" i="15"/>
  <c r="H492" i="15"/>
  <c r="J492" i="15" s="1"/>
  <c r="I491" i="15"/>
  <c r="H491" i="15"/>
  <c r="J491" i="15" s="1"/>
  <c r="I490" i="15"/>
  <c r="H490" i="15"/>
  <c r="J490" i="15" s="1"/>
  <c r="I489" i="15"/>
  <c r="H489" i="15"/>
  <c r="J489" i="15" s="1"/>
  <c r="I488" i="15"/>
  <c r="H488" i="15"/>
  <c r="J488" i="15" s="1"/>
  <c r="I487" i="15"/>
  <c r="H487" i="15"/>
  <c r="J487" i="15" s="1"/>
  <c r="I486" i="15"/>
  <c r="H486" i="15"/>
  <c r="J486" i="15" s="1"/>
  <c r="I485" i="15"/>
  <c r="H485" i="15"/>
  <c r="J485" i="15" s="1"/>
  <c r="I484" i="15"/>
  <c r="H484" i="15"/>
  <c r="J484" i="15" s="1"/>
  <c r="I483" i="15"/>
  <c r="H483" i="15"/>
  <c r="J483" i="15" s="1"/>
  <c r="I482" i="15"/>
  <c r="H482" i="15"/>
  <c r="J482" i="15" s="1"/>
  <c r="I481" i="15"/>
  <c r="H481" i="15"/>
  <c r="J481" i="15" s="1"/>
  <c r="I480" i="15"/>
  <c r="H480" i="15"/>
  <c r="J480" i="15" s="1"/>
  <c r="I479" i="15"/>
  <c r="H479" i="15"/>
  <c r="J479" i="15" s="1"/>
  <c r="I478" i="15"/>
  <c r="H478" i="15"/>
  <c r="J478" i="15" s="1"/>
  <c r="I477" i="15"/>
  <c r="H477" i="15"/>
  <c r="J477" i="15" s="1"/>
  <c r="I476" i="15"/>
  <c r="H476" i="15"/>
  <c r="J476" i="15" s="1"/>
  <c r="I475" i="15"/>
  <c r="H475" i="15"/>
  <c r="J475" i="15" s="1"/>
  <c r="I474" i="15"/>
  <c r="H474" i="15"/>
  <c r="J474" i="15" s="1"/>
  <c r="I473" i="15"/>
  <c r="H473" i="15"/>
  <c r="J473" i="15" s="1"/>
  <c r="I472" i="15"/>
  <c r="H472" i="15"/>
  <c r="J472" i="15" s="1"/>
  <c r="I471" i="15"/>
  <c r="H471" i="15"/>
  <c r="J471" i="15" s="1"/>
  <c r="I470" i="15"/>
  <c r="H470" i="15"/>
  <c r="J470" i="15" s="1"/>
  <c r="I469" i="15"/>
  <c r="H469" i="15"/>
  <c r="J469" i="15" s="1"/>
  <c r="I468" i="15"/>
  <c r="H468" i="15"/>
  <c r="J468" i="15" s="1"/>
  <c r="I467" i="15"/>
  <c r="H467" i="15"/>
  <c r="J467" i="15" s="1"/>
  <c r="I466" i="15"/>
  <c r="H466" i="15"/>
  <c r="J466" i="15" s="1"/>
  <c r="I465" i="15"/>
  <c r="H465" i="15"/>
  <c r="J465" i="15" s="1"/>
  <c r="I464" i="15"/>
  <c r="H464" i="15"/>
  <c r="J464" i="15" s="1"/>
  <c r="I463" i="15"/>
  <c r="H463" i="15"/>
  <c r="J463" i="15" s="1"/>
  <c r="I462" i="15"/>
  <c r="H462" i="15"/>
  <c r="J462" i="15" s="1"/>
  <c r="I461" i="15"/>
  <c r="H461" i="15"/>
  <c r="J461" i="15" s="1"/>
  <c r="I460" i="15"/>
  <c r="H460" i="15"/>
  <c r="J460" i="15" s="1"/>
  <c r="I459" i="15"/>
  <c r="H459" i="15"/>
  <c r="J459" i="15" s="1"/>
  <c r="I458" i="15"/>
  <c r="H458" i="15"/>
  <c r="J458" i="15" s="1"/>
  <c r="I457" i="15"/>
  <c r="H457" i="15"/>
  <c r="I456" i="15"/>
  <c r="H456" i="15"/>
  <c r="J456" i="15" s="1"/>
  <c r="I455" i="15"/>
  <c r="H455" i="15"/>
  <c r="J455" i="15" s="1"/>
  <c r="I454" i="15"/>
  <c r="H454" i="15"/>
  <c r="J454" i="15" s="1"/>
  <c r="I453" i="15"/>
  <c r="H453" i="15"/>
  <c r="J453" i="15" s="1"/>
  <c r="I452" i="15"/>
  <c r="H452" i="15"/>
  <c r="J452" i="15" s="1"/>
  <c r="I451" i="15"/>
  <c r="H451" i="15"/>
  <c r="J451" i="15" s="1"/>
  <c r="I450" i="15"/>
  <c r="H450" i="15"/>
  <c r="J450" i="15" s="1"/>
  <c r="I449" i="15"/>
  <c r="H449" i="15"/>
  <c r="J449" i="15" s="1"/>
  <c r="I448" i="15"/>
  <c r="H448" i="15"/>
  <c r="J448" i="15" s="1"/>
  <c r="I447" i="15"/>
  <c r="H447" i="15"/>
  <c r="J447" i="15" s="1"/>
  <c r="I446" i="15"/>
  <c r="H446" i="15"/>
  <c r="J446" i="15" s="1"/>
  <c r="I445" i="15"/>
  <c r="H445" i="15"/>
  <c r="J445" i="15" s="1"/>
  <c r="I444" i="15"/>
  <c r="H444" i="15"/>
  <c r="J444" i="15" s="1"/>
  <c r="I443" i="15"/>
  <c r="H443" i="15"/>
  <c r="J443" i="15" s="1"/>
  <c r="I442" i="15"/>
  <c r="H442" i="15"/>
  <c r="J442" i="15" s="1"/>
  <c r="I441" i="15"/>
  <c r="H441" i="15"/>
  <c r="J441" i="15" s="1"/>
  <c r="I440" i="15"/>
  <c r="H440" i="15"/>
  <c r="J440" i="15" s="1"/>
  <c r="I439" i="15"/>
  <c r="H439" i="15"/>
  <c r="J439" i="15" s="1"/>
  <c r="I438" i="15"/>
  <c r="H438" i="15"/>
  <c r="J438" i="15" s="1"/>
  <c r="I437" i="15"/>
  <c r="H437" i="15"/>
  <c r="J437" i="15" s="1"/>
  <c r="I436" i="15"/>
  <c r="H436" i="15"/>
  <c r="J436" i="15" s="1"/>
  <c r="I435" i="15"/>
  <c r="H435" i="15"/>
  <c r="J435" i="15" s="1"/>
  <c r="I434" i="15"/>
  <c r="H434" i="15"/>
  <c r="J434" i="15" s="1"/>
  <c r="I433" i="15"/>
  <c r="H433" i="15"/>
  <c r="J433" i="15" s="1"/>
  <c r="I432" i="15"/>
  <c r="H432" i="15"/>
  <c r="J432" i="15" s="1"/>
  <c r="I431" i="15"/>
  <c r="H431" i="15"/>
  <c r="J431" i="15" s="1"/>
  <c r="I430" i="15"/>
  <c r="H430" i="15"/>
  <c r="J430" i="15" s="1"/>
  <c r="I429" i="15"/>
  <c r="H429" i="15"/>
  <c r="J429" i="15" s="1"/>
  <c r="I428" i="15"/>
  <c r="H428" i="15"/>
  <c r="J428" i="15" s="1"/>
  <c r="I427" i="15"/>
  <c r="H427" i="15"/>
  <c r="J427" i="15" s="1"/>
  <c r="I426" i="15"/>
  <c r="H426" i="15"/>
  <c r="J426" i="15" s="1"/>
  <c r="I425" i="15"/>
  <c r="H425" i="15"/>
  <c r="J425" i="15" s="1"/>
  <c r="I424" i="15"/>
  <c r="H424" i="15"/>
  <c r="J424" i="15" s="1"/>
  <c r="I423" i="15"/>
  <c r="H423" i="15"/>
  <c r="J423" i="15" s="1"/>
  <c r="I422" i="15"/>
  <c r="H422" i="15"/>
  <c r="J422" i="15" s="1"/>
  <c r="I421" i="15"/>
  <c r="H421" i="15"/>
  <c r="J421" i="15" s="1"/>
  <c r="I420" i="15"/>
  <c r="H420" i="15"/>
  <c r="J420" i="15" s="1"/>
  <c r="I419" i="15"/>
  <c r="H419" i="15"/>
  <c r="J419" i="15" s="1"/>
  <c r="I418" i="15"/>
  <c r="H418" i="15"/>
  <c r="J418" i="15" s="1"/>
  <c r="I417" i="15"/>
  <c r="H417" i="15"/>
  <c r="J417" i="15" s="1"/>
  <c r="I416" i="15"/>
  <c r="H416" i="15"/>
  <c r="J416" i="15" s="1"/>
  <c r="I415" i="15"/>
  <c r="H415" i="15"/>
  <c r="J415" i="15" s="1"/>
  <c r="I414" i="15"/>
  <c r="H414" i="15"/>
  <c r="J414" i="15" s="1"/>
  <c r="I413" i="15"/>
  <c r="H413" i="15"/>
  <c r="J413" i="15" s="1"/>
  <c r="I412" i="15"/>
  <c r="H412" i="15"/>
  <c r="J412" i="15" s="1"/>
  <c r="I411" i="15"/>
  <c r="H411" i="15"/>
  <c r="J411" i="15" s="1"/>
  <c r="I410" i="15"/>
  <c r="H410" i="15"/>
  <c r="J410" i="15" s="1"/>
  <c r="I409" i="15"/>
  <c r="H409" i="15"/>
  <c r="J409" i="15" s="1"/>
  <c r="I408" i="15"/>
  <c r="H408" i="15"/>
  <c r="J408" i="15" s="1"/>
  <c r="I407" i="15"/>
  <c r="H407" i="15"/>
  <c r="J407" i="15" s="1"/>
  <c r="I406" i="15"/>
  <c r="H406" i="15"/>
  <c r="J406" i="15" s="1"/>
  <c r="I405" i="15"/>
  <c r="H405" i="15"/>
  <c r="J405" i="15" s="1"/>
  <c r="I404" i="15"/>
  <c r="H404" i="15"/>
  <c r="J404" i="15" s="1"/>
  <c r="I403" i="15"/>
  <c r="H403" i="15"/>
  <c r="J403" i="15" s="1"/>
  <c r="I402" i="15"/>
  <c r="H402" i="15"/>
  <c r="J402" i="15" s="1"/>
  <c r="I401" i="15"/>
  <c r="H401" i="15"/>
  <c r="J401" i="15" s="1"/>
  <c r="I400" i="15"/>
  <c r="H400" i="15"/>
  <c r="J400" i="15" s="1"/>
  <c r="I399" i="15"/>
  <c r="H399" i="15"/>
  <c r="J399" i="15" s="1"/>
  <c r="I398" i="15"/>
  <c r="H398" i="15"/>
  <c r="J398" i="15" s="1"/>
  <c r="I397" i="15"/>
  <c r="H397" i="15"/>
  <c r="J397" i="15" s="1"/>
  <c r="I396" i="15"/>
  <c r="H396" i="15"/>
  <c r="J396" i="15" s="1"/>
  <c r="I395" i="15"/>
  <c r="H395" i="15"/>
  <c r="J395" i="15" s="1"/>
  <c r="I394" i="15"/>
  <c r="H394" i="15"/>
  <c r="J394" i="15" s="1"/>
  <c r="I393" i="15"/>
  <c r="H393" i="15"/>
  <c r="J393" i="15" s="1"/>
  <c r="I392" i="15"/>
  <c r="H392" i="15"/>
  <c r="J392" i="15" s="1"/>
  <c r="I391" i="15"/>
  <c r="H391" i="15"/>
  <c r="J391" i="15" s="1"/>
  <c r="I390" i="15"/>
  <c r="H390" i="15"/>
  <c r="J390" i="15" s="1"/>
  <c r="I389" i="15"/>
  <c r="H389" i="15"/>
  <c r="J389" i="15" s="1"/>
  <c r="I388" i="15"/>
  <c r="H388" i="15"/>
  <c r="J388" i="15" s="1"/>
  <c r="I387" i="15"/>
  <c r="H387" i="15"/>
  <c r="J387" i="15" s="1"/>
  <c r="I386" i="15"/>
  <c r="H386" i="15"/>
  <c r="J386" i="15" s="1"/>
  <c r="I385" i="15"/>
  <c r="H385" i="15"/>
  <c r="J385" i="15" s="1"/>
  <c r="I384" i="15"/>
  <c r="H384" i="15"/>
  <c r="J384" i="15" s="1"/>
  <c r="I383" i="15"/>
  <c r="H383" i="15"/>
  <c r="J383" i="15" s="1"/>
  <c r="I382" i="15"/>
  <c r="H382" i="15"/>
  <c r="J382" i="15" s="1"/>
  <c r="I381" i="15"/>
  <c r="H381" i="15"/>
  <c r="J381" i="15" s="1"/>
  <c r="I380" i="15"/>
  <c r="H380" i="15"/>
  <c r="J380" i="15" s="1"/>
  <c r="I379" i="15"/>
  <c r="H379" i="15"/>
  <c r="J379" i="15" s="1"/>
  <c r="I378" i="15"/>
  <c r="H378" i="15"/>
  <c r="J378" i="15" s="1"/>
  <c r="I377" i="15"/>
  <c r="H377" i="15"/>
  <c r="J377" i="15" s="1"/>
  <c r="I376" i="15"/>
  <c r="H376" i="15"/>
  <c r="J376" i="15" s="1"/>
  <c r="I375" i="15"/>
  <c r="H375" i="15"/>
  <c r="J375" i="15" s="1"/>
  <c r="I374" i="15"/>
  <c r="H374" i="15"/>
  <c r="J374" i="15" s="1"/>
  <c r="I373" i="15"/>
  <c r="H373" i="15"/>
  <c r="J373" i="15" s="1"/>
  <c r="I372" i="15"/>
  <c r="H372" i="15"/>
  <c r="J372" i="15" s="1"/>
  <c r="I371" i="15"/>
  <c r="H371" i="15"/>
  <c r="J371" i="15" s="1"/>
  <c r="I370" i="15"/>
  <c r="H370" i="15"/>
  <c r="J370" i="15" s="1"/>
  <c r="I369" i="15"/>
  <c r="H369" i="15"/>
  <c r="J369" i="15" s="1"/>
  <c r="I368" i="15"/>
  <c r="H368" i="15"/>
  <c r="J368" i="15" s="1"/>
  <c r="I367" i="15"/>
  <c r="H367" i="15"/>
  <c r="J367" i="15" s="1"/>
  <c r="I366" i="15"/>
  <c r="H366" i="15"/>
  <c r="J366" i="15" s="1"/>
  <c r="I365" i="15"/>
  <c r="H365" i="15"/>
  <c r="J365" i="15" s="1"/>
  <c r="I364" i="15"/>
  <c r="H364" i="15"/>
  <c r="J364" i="15" s="1"/>
  <c r="I363" i="15"/>
  <c r="H363" i="15"/>
  <c r="J363" i="15" s="1"/>
  <c r="I362" i="15"/>
  <c r="H362" i="15"/>
  <c r="J362" i="15" s="1"/>
  <c r="I361" i="15"/>
  <c r="H361" i="15"/>
  <c r="J361" i="15" s="1"/>
  <c r="I360" i="15"/>
  <c r="H360" i="15"/>
  <c r="J360" i="15" s="1"/>
  <c r="I359" i="15"/>
  <c r="H359" i="15"/>
  <c r="J359" i="15" s="1"/>
  <c r="I358" i="15"/>
  <c r="H358" i="15"/>
  <c r="J358" i="15" s="1"/>
  <c r="I357" i="15"/>
  <c r="H357" i="15"/>
  <c r="J357" i="15" s="1"/>
  <c r="I356" i="15"/>
  <c r="H356" i="15"/>
  <c r="J356" i="15" s="1"/>
  <c r="I355" i="15"/>
  <c r="H355" i="15"/>
  <c r="J355" i="15" s="1"/>
  <c r="I354" i="15"/>
  <c r="H354" i="15"/>
  <c r="J354" i="15" s="1"/>
  <c r="I353" i="15"/>
  <c r="H353" i="15"/>
  <c r="J353" i="15" s="1"/>
  <c r="I352" i="15"/>
  <c r="H352" i="15"/>
  <c r="J352" i="15" s="1"/>
  <c r="I351" i="15"/>
  <c r="H351" i="15"/>
  <c r="J351" i="15" s="1"/>
  <c r="I350" i="15"/>
  <c r="H350" i="15"/>
  <c r="J350" i="15" s="1"/>
  <c r="I349" i="15"/>
  <c r="H349" i="15"/>
  <c r="J349" i="15" s="1"/>
  <c r="I348" i="15"/>
  <c r="H348" i="15"/>
  <c r="J348" i="15" s="1"/>
  <c r="I347" i="15"/>
  <c r="H347" i="15"/>
  <c r="J347" i="15" s="1"/>
  <c r="I346" i="15"/>
  <c r="H346" i="15"/>
  <c r="J346" i="15" s="1"/>
  <c r="I345" i="15"/>
  <c r="H345" i="15"/>
  <c r="J345" i="15" s="1"/>
  <c r="I344" i="15"/>
  <c r="H344" i="15"/>
  <c r="J344" i="15" s="1"/>
  <c r="I343" i="15"/>
  <c r="H343" i="15"/>
  <c r="J343" i="15" s="1"/>
  <c r="I342" i="15"/>
  <c r="H342" i="15"/>
  <c r="J342" i="15" s="1"/>
  <c r="I341" i="15"/>
  <c r="H341" i="15"/>
  <c r="J341" i="15" s="1"/>
  <c r="I340" i="15"/>
  <c r="H340" i="15"/>
  <c r="J340" i="15" s="1"/>
  <c r="I339" i="15"/>
  <c r="H339" i="15"/>
  <c r="J339" i="15" s="1"/>
  <c r="I338" i="15"/>
  <c r="H338" i="15"/>
  <c r="J338" i="15" s="1"/>
  <c r="I337" i="15"/>
  <c r="H337" i="15"/>
  <c r="J337" i="15" s="1"/>
  <c r="I336" i="15"/>
  <c r="H336" i="15"/>
  <c r="J336" i="15" s="1"/>
  <c r="I335" i="15"/>
  <c r="H335" i="15"/>
  <c r="J335" i="15" s="1"/>
  <c r="I334" i="15"/>
  <c r="H334" i="15"/>
  <c r="J334" i="15" s="1"/>
  <c r="I333" i="15"/>
  <c r="H333" i="15"/>
  <c r="J333" i="15" s="1"/>
  <c r="I332" i="15"/>
  <c r="H332" i="15"/>
  <c r="J332" i="15" s="1"/>
  <c r="I331" i="15"/>
  <c r="H331" i="15"/>
  <c r="J331" i="15" s="1"/>
  <c r="I330" i="15"/>
  <c r="H330" i="15"/>
  <c r="J330" i="15" s="1"/>
  <c r="I329" i="15"/>
  <c r="H329" i="15"/>
  <c r="J329" i="15" s="1"/>
  <c r="I328" i="15"/>
  <c r="H328" i="15"/>
  <c r="J328" i="15" s="1"/>
  <c r="I327" i="15"/>
  <c r="H327" i="15"/>
  <c r="J327" i="15" s="1"/>
  <c r="I326" i="15"/>
  <c r="H326" i="15"/>
  <c r="J326" i="15" s="1"/>
  <c r="I325" i="15"/>
  <c r="H325" i="15"/>
  <c r="J325" i="15" s="1"/>
  <c r="I324" i="15"/>
  <c r="H324" i="15"/>
  <c r="J324" i="15" s="1"/>
  <c r="I323" i="15"/>
  <c r="H323" i="15"/>
  <c r="J323" i="15" s="1"/>
  <c r="I322" i="15"/>
  <c r="H322" i="15"/>
  <c r="J322" i="15" s="1"/>
  <c r="I321" i="15"/>
  <c r="H321" i="15"/>
  <c r="J321" i="15" s="1"/>
  <c r="I320" i="15"/>
  <c r="I319" i="15"/>
  <c r="I318" i="15"/>
  <c r="I317" i="15"/>
  <c r="I316" i="15"/>
  <c r="I315" i="15"/>
  <c r="H315" i="15"/>
  <c r="J315" i="15" s="1"/>
  <c r="I314" i="15"/>
  <c r="H314" i="15"/>
  <c r="J314" i="15" s="1"/>
  <c r="I313" i="15"/>
  <c r="H313" i="15"/>
  <c r="J313" i="15" s="1"/>
  <c r="I312" i="15"/>
  <c r="H312" i="15"/>
  <c r="J312" i="15" s="1"/>
  <c r="I311" i="15"/>
  <c r="H311" i="15"/>
  <c r="J311" i="15" s="1"/>
  <c r="I310" i="15"/>
  <c r="H310" i="15"/>
  <c r="J310" i="15" s="1"/>
  <c r="I309" i="15"/>
  <c r="H309" i="15"/>
  <c r="J309" i="15" s="1"/>
  <c r="I308" i="15"/>
  <c r="H308" i="15"/>
  <c r="J308" i="15" s="1"/>
  <c r="I307" i="15"/>
  <c r="H307" i="15"/>
  <c r="J307" i="15" s="1"/>
  <c r="I306" i="15"/>
  <c r="H306" i="15"/>
  <c r="J306" i="15" s="1"/>
  <c r="I305" i="15"/>
  <c r="H305" i="15"/>
  <c r="J305" i="15" s="1"/>
  <c r="I304" i="15"/>
  <c r="H304" i="15"/>
  <c r="J304" i="15" s="1"/>
  <c r="I303" i="15"/>
  <c r="H303" i="15"/>
  <c r="J303" i="15" s="1"/>
  <c r="I302" i="15"/>
  <c r="H302" i="15"/>
  <c r="J302" i="15" s="1"/>
  <c r="I301" i="15"/>
  <c r="H301" i="15"/>
  <c r="J301" i="15" s="1"/>
  <c r="I300" i="15"/>
  <c r="H300" i="15"/>
  <c r="J300" i="15" s="1"/>
  <c r="I299" i="15"/>
  <c r="H299" i="15"/>
  <c r="J299" i="15" s="1"/>
  <c r="I298" i="15"/>
  <c r="H298" i="15"/>
  <c r="J298" i="15" s="1"/>
  <c r="I297" i="15"/>
  <c r="H297" i="15"/>
  <c r="J297" i="15" s="1"/>
  <c r="I296" i="15"/>
  <c r="H296" i="15"/>
  <c r="J296" i="15" s="1"/>
  <c r="I295" i="15"/>
  <c r="H295" i="15"/>
  <c r="J295" i="15" s="1"/>
  <c r="I294" i="15"/>
  <c r="H294" i="15"/>
  <c r="J294" i="15" s="1"/>
  <c r="I293" i="15"/>
  <c r="H293" i="15"/>
  <c r="J293" i="15" s="1"/>
  <c r="I292" i="15"/>
  <c r="H292" i="15"/>
  <c r="J292" i="15" s="1"/>
  <c r="I291" i="15"/>
  <c r="H291" i="15"/>
  <c r="J291" i="15" s="1"/>
  <c r="I290" i="15"/>
  <c r="H290" i="15"/>
  <c r="J290" i="15" s="1"/>
  <c r="I289" i="15"/>
  <c r="H289" i="15"/>
  <c r="J289" i="15" s="1"/>
  <c r="I288" i="15"/>
  <c r="H288" i="15"/>
  <c r="J288" i="15" s="1"/>
  <c r="I287" i="15"/>
  <c r="H287" i="15"/>
  <c r="J287" i="15" s="1"/>
  <c r="I286" i="15"/>
  <c r="H286" i="15"/>
  <c r="J286" i="15" s="1"/>
  <c r="I285" i="15"/>
  <c r="H285" i="15"/>
  <c r="J285" i="15" s="1"/>
  <c r="I284" i="15"/>
  <c r="H284" i="15"/>
  <c r="J284" i="15" s="1"/>
  <c r="I283" i="15"/>
  <c r="H283" i="15"/>
  <c r="J283" i="15" s="1"/>
  <c r="I282" i="15"/>
  <c r="H282" i="15"/>
  <c r="J282" i="15" s="1"/>
  <c r="I281" i="15"/>
  <c r="H281" i="15"/>
  <c r="J281" i="15" s="1"/>
  <c r="I280" i="15"/>
  <c r="H280" i="15"/>
  <c r="J280" i="15" s="1"/>
  <c r="I279" i="15"/>
  <c r="H279" i="15"/>
  <c r="J279" i="15" s="1"/>
  <c r="I278" i="15"/>
  <c r="H278" i="15"/>
  <c r="J278" i="15" s="1"/>
  <c r="I277" i="15"/>
  <c r="H277" i="15"/>
  <c r="J277" i="15" s="1"/>
  <c r="I276" i="15"/>
  <c r="H276" i="15"/>
  <c r="J276" i="15" s="1"/>
  <c r="I275" i="15"/>
  <c r="H275" i="15"/>
  <c r="J275" i="15" s="1"/>
  <c r="I274" i="15"/>
  <c r="H274" i="15"/>
  <c r="J274" i="15" s="1"/>
  <c r="I273" i="15"/>
  <c r="H273" i="15"/>
  <c r="J273" i="15" s="1"/>
  <c r="I272" i="15"/>
  <c r="H272" i="15"/>
  <c r="J272" i="15" s="1"/>
  <c r="I271" i="15"/>
  <c r="H271" i="15"/>
  <c r="J271" i="15" s="1"/>
  <c r="I270" i="15"/>
  <c r="H270" i="15"/>
  <c r="J270" i="15" s="1"/>
  <c r="I269" i="15"/>
  <c r="H269" i="15"/>
  <c r="J269" i="15" s="1"/>
  <c r="I268" i="15"/>
  <c r="H268" i="15"/>
  <c r="J268" i="15" s="1"/>
  <c r="I267" i="15"/>
  <c r="H267" i="15"/>
  <c r="J267" i="15" s="1"/>
  <c r="I266" i="15"/>
  <c r="H266" i="15"/>
  <c r="J266" i="15" s="1"/>
  <c r="I265" i="15"/>
  <c r="H265" i="15"/>
  <c r="J265" i="15" s="1"/>
  <c r="I264" i="15"/>
  <c r="H264" i="15"/>
  <c r="J264" i="15" s="1"/>
  <c r="I263" i="15"/>
  <c r="H263" i="15"/>
  <c r="J263" i="15" s="1"/>
  <c r="I262" i="15"/>
  <c r="H262" i="15"/>
  <c r="J262" i="15" s="1"/>
  <c r="I261" i="15"/>
  <c r="H261" i="15"/>
  <c r="J261" i="15" s="1"/>
  <c r="I260" i="15"/>
  <c r="H260" i="15"/>
  <c r="J260" i="15" s="1"/>
  <c r="I259" i="15"/>
  <c r="H259" i="15"/>
  <c r="J259" i="15" s="1"/>
  <c r="I258" i="15"/>
  <c r="H258" i="15"/>
  <c r="J258" i="15" s="1"/>
  <c r="I257" i="15"/>
  <c r="H257" i="15"/>
  <c r="J257" i="15" s="1"/>
  <c r="I256" i="15"/>
  <c r="H256" i="15"/>
  <c r="J256" i="15" s="1"/>
  <c r="I255" i="15"/>
  <c r="H255" i="15"/>
  <c r="J255" i="15" s="1"/>
  <c r="I254" i="15"/>
  <c r="H254" i="15"/>
  <c r="J254" i="15" s="1"/>
  <c r="I253" i="15"/>
  <c r="H253" i="15"/>
  <c r="J253" i="15" s="1"/>
  <c r="I252" i="15"/>
  <c r="H252" i="15"/>
  <c r="J252" i="15" s="1"/>
  <c r="I251" i="15"/>
  <c r="H251" i="15"/>
  <c r="J251" i="15" s="1"/>
  <c r="I250" i="15"/>
  <c r="H250" i="15"/>
  <c r="J250" i="15" s="1"/>
  <c r="I249" i="15"/>
  <c r="H249" i="15"/>
  <c r="J249" i="15" s="1"/>
  <c r="I248" i="15"/>
  <c r="H248" i="15"/>
  <c r="J248" i="15" s="1"/>
  <c r="I247" i="15"/>
  <c r="H247" i="15"/>
  <c r="J247" i="15" s="1"/>
  <c r="I246" i="15"/>
  <c r="H246" i="15"/>
  <c r="J246" i="15" s="1"/>
  <c r="I245" i="15"/>
  <c r="H245" i="15"/>
  <c r="J245" i="15" s="1"/>
  <c r="I244" i="15"/>
  <c r="H244" i="15"/>
  <c r="J244" i="15" s="1"/>
  <c r="I243" i="15"/>
  <c r="H243" i="15"/>
  <c r="J243" i="15" s="1"/>
  <c r="I242" i="15"/>
  <c r="H242" i="15"/>
  <c r="J242" i="15" s="1"/>
  <c r="I241" i="15"/>
  <c r="H241" i="15"/>
  <c r="J241" i="15" s="1"/>
  <c r="I240" i="15"/>
  <c r="H240" i="15"/>
  <c r="J240" i="15" s="1"/>
  <c r="I239" i="15"/>
  <c r="H239" i="15"/>
  <c r="J239" i="15" s="1"/>
  <c r="I238" i="15"/>
  <c r="H238" i="15"/>
  <c r="J238" i="15" s="1"/>
  <c r="I237" i="15"/>
  <c r="H237" i="15"/>
  <c r="J237" i="15" s="1"/>
  <c r="I236" i="15"/>
  <c r="H236" i="15"/>
  <c r="J236" i="15" s="1"/>
  <c r="I235" i="15"/>
  <c r="H235" i="15"/>
  <c r="J235" i="15" s="1"/>
  <c r="I234" i="15"/>
  <c r="H234" i="15"/>
  <c r="J234" i="15" s="1"/>
  <c r="I233" i="15"/>
  <c r="H233" i="15"/>
  <c r="J233" i="15" s="1"/>
  <c r="I232" i="15"/>
  <c r="H232" i="15"/>
  <c r="J232" i="15" s="1"/>
  <c r="I231" i="15"/>
  <c r="H231" i="15"/>
  <c r="J231" i="15" s="1"/>
  <c r="I230" i="15"/>
  <c r="H230" i="15"/>
  <c r="J230" i="15" s="1"/>
  <c r="I229" i="15"/>
  <c r="H229" i="15"/>
  <c r="J229" i="15" s="1"/>
  <c r="I228" i="15"/>
  <c r="H228" i="15"/>
  <c r="J228" i="15" s="1"/>
  <c r="I227" i="15"/>
  <c r="H227" i="15"/>
  <c r="J227" i="15" s="1"/>
  <c r="I226" i="15"/>
  <c r="H226" i="15"/>
  <c r="J226" i="15" s="1"/>
  <c r="I225" i="15"/>
  <c r="H225" i="15"/>
  <c r="J225" i="15" s="1"/>
  <c r="I224" i="15"/>
  <c r="H224" i="15"/>
  <c r="J224" i="15" s="1"/>
  <c r="I223" i="15"/>
  <c r="H223" i="15"/>
  <c r="J223" i="15" s="1"/>
  <c r="I222" i="15"/>
  <c r="H222" i="15"/>
  <c r="J222" i="15" s="1"/>
  <c r="I221" i="15"/>
  <c r="H221" i="15"/>
  <c r="J221" i="15" s="1"/>
  <c r="I220" i="15"/>
  <c r="H220" i="15"/>
  <c r="J220" i="15" s="1"/>
  <c r="I219" i="15"/>
  <c r="H219" i="15"/>
  <c r="J219" i="15" s="1"/>
  <c r="I218" i="15"/>
  <c r="H218" i="15"/>
  <c r="J218" i="15" s="1"/>
  <c r="I217" i="15"/>
  <c r="H217" i="15"/>
  <c r="J217" i="15" s="1"/>
  <c r="I216" i="15"/>
  <c r="H216" i="15"/>
  <c r="J216" i="15" s="1"/>
  <c r="I215" i="15"/>
  <c r="H215" i="15"/>
  <c r="J215" i="15" s="1"/>
  <c r="I214" i="15"/>
  <c r="H214" i="15"/>
  <c r="J214" i="15" s="1"/>
  <c r="I213" i="15"/>
  <c r="H213" i="15"/>
  <c r="J213" i="15" s="1"/>
  <c r="I212" i="15"/>
  <c r="H212" i="15"/>
  <c r="J212" i="15" s="1"/>
  <c r="I211" i="15"/>
  <c r="H211" i="15"/>
  <c r="J211" i="15" s="1"/>
  <c r="I210" i="15"/>
  <c r="H210" i="15"/>
  <c r="J210" i="15" s="1"/>
  <c r="I209" i="15"/>
  <c r="H209" i="15"/>
  <c r="J209" i="15" s="1"/>
  <c r="I208" i="15"/>
  <c r="H208" i="15"/>
  <c r="J208" i="15" s="1"/>
  <c r="I207" i="15"/>
  <c r="H207" i="15"/>
  <c r="J207" i="15" s="1"/>
  <c r="I206" i="15"/>
  <c r="H206" i="15"/>
  <c r="J206" i="15" s="1"/>
  <c r="I205" i="15"/>
  <c r="H205" i="15"/>
  <c r="J205" i="15" s="1"/>
  <c r="I204" i="15"/>
  <c r="H204" i="15"/>
  <c r="J204" i="15" s="1"/>
  <c r="I203" i="15"/>
  <c r="H203" i="15"/>
  <c r="J203" i="15" s="1"/>
  <c r="I202" i="15"/>
  <c r="H202" i="15"/>
  <c r="J202" i="15" s="1"/>
  <c r="I201" i="15"/>
  <c r="H201" i="15"/>
  <c r="J201" i="15" s="1"/>
  <c r="I200" i="15"/>
  <c r="H200" i="15"/>
  <c r="J200" i="15" s="1"/>
  <c r="I199" i="15"/>
  <c r="H199" i="15"/>
  <c r="J199" i="15" s="1"/>
  <c r="I198" i="15"/>
  <c r="H198" i="15"/>
  <c r="J198" i="15" s="1"/>
  <c r="I197" i="15"/>
  <c r="H197" i="15"/>
  <c r="J197" i="15" s="1"/>
  <c r="I196" i="15"/>
  <c r="H196" i="15"/>
  <c r="J196" i="15" s="1"/>
  <c r="I195" i="15"/>
  <c r="H195" i="15"/>
  <c r="J195" i="15" s="1"/>
  <c r="I194" i="15"/>
  <c r="H194" i="15"/>
  <c r="J194" i="15" s="1"/>
  <c r="I193" i="15"/>
  <c r="H193" i="15"/>
  <c r="J193" i="15" s="1"/>
  <c r="I192" i="15"/>
  <c r="H192" i="15"/>
  <c r="J192" i="15" s="1"/>
  <c r="I191" i="15"/>
  <c r="H191" i="15"/>
  <c r="J191" i="15" s="1"/>
  <c r="I190" i="15"/>
  <c r="H190" i="15"/>
  <c r="J190" i="15" s="1"/>
  <c r="I189" i="15"/>
  <c r="H189" i="15"/>
  <c r="J189" i="15" s="1"/>
  <c r="I188" i="15"/>
  <c r="H188" i="15"/>
  <c r="J188" i="15" s="1"/>
  <c r="I187" i="15"/>
  <c r="H187" i="15"/>
  <c r="J187" i="15" s="1"/>
  <c r="I186" i="15"/>
  <c r="H186" i="15"/>
  <c r="J186" i="15" s="1"/>
  <c r="I185" i="15"/>
  <c r="H185" i="15"/>
  <c r="J185" i="15" s="1"/>
  <c r="I184" i="15"/>
  <c r="H184" i="15"/>
  <c r="J184" i="15" s="1"/>
  <c r="I183" i="15"/>
  <c r="H183" i="15"/>
  <c r="J183" i="15" s="1"/>
  <c r="I182" i="15"/>
  <c r="H182" i="15"/>
  <c r="J182" i="15" s="1"/>
  <c r="I181" i="15"/>
  <c r="H181" i="15"/>
  <c r="J181" i="15" s="1"/>
  <c r="I180" i="15"/>
  <c r="H180" i="15"/>
  <c r="J180" i="15" s="1"/>
  <c r="I179" i="15"/>
  <c r="H179" i="15"/>
  <c r="J179" i="15" s="1"/>
  <c r="I178" i="15"/>
  <c r="H178" i="15"/>
  <c r="J178" i="15" s="1"/>
  <c r="I177" i="15"/>
  <c r="H177" i="15"/>
  <c r="J177" i="15" s="1"/>
  <c r="I176" i="15"/>
  <c r="H176" i="15"/>
  <c r="J176" i="15" s="1"/>
  <c r="I175" i="15"/>
  <c r="H175" i="15"/>
  <c r="J175" i="15" s="1"/>
  <c r="I174" i="15"/>
  <c r="H174" i="15"/>
  <c r="J174" i="15" s="1"/>
  <c r="I173" i="15"/>
  <c r="H173" i="15"/>
  <c r="J173" i="15" s="1"/>
  <c r="I172" i="15"/>
  <c r="H172" i="15"/>
  <c r="J172" i="15" s="1"/>
  <c r="I171" i="15"/>
  <c r="H171" i="15"/>
  <c r="J171" i="15" s="1"/>
  <c r="I170" i="15"/>
  <c r="H170" i="15"/>
  <c r="J170" i="15" s="1"/>
  <c r="I169" i="15"/>
  <c r="H169" i="15"/>
  <c r="J169" i="15" s="1"/>
  <c r="I168" i="15"/>
  <c r="H168" i="15"/>
  <c r="J168" i="15" s="1"/>
  <c r="I167" i="15"/>
  <c r="H167" i="15"/>
  <c r="J167" i="15" s="1"/>
  <c r="I166" i="15"/>
  <c r="H166" i="15"/>
  <c r="J166" i="15" s="1"/>
  <c r="I165" i="15"/>
  <c r="H165" i="15"/>
  <c r="J165" i="15" s="1"/>
  <c r="I164" i="15"/>
  <c r="H164" i="15"/>
  <c r="J164" i="15" s="1"/>
  <c r="I163" i="15"/>
  <c r="H163" i="15"/>
  <c r="J163" i="15" s="1"/>
  <c r="I162" i="15"/>
  <c r="H162" i="15"/>
  <c r="J162" i="15" s="1"/>
  <c r="I161" i="15"/>
  <c r="H161" i="15"/>
  <c r="J161" i="15" s="1"/>
  <c r="I160" i="15"/>
  <c r="H160" i="15"/>
  <c r="J160" i="15" s="1"/>
  <c r="I159" i="15"/>
  <c r="H159" i="15"/>
  <c r="J159" i="15" s="1"/>
  <c r="I158" i="15"/>
  <c r="H158" i="15"/>
  <c r="J158" i="15" s="1"/>
  <c r="I157" i="15"/>
  <c r="H157" i="15"/>
  <c r="J157" i="15" s="1"/>
  <c r="I156" i="15"/>
  <c r="H156" i="15"/>
  <c r="J156" i="15" s="1"/>
  <c r="I155" i="15"/>
  <c r="H155" i="15"/>
  <c r="J155" i="15" s="1"/>
  <c r="I154" i="15"/>
  <c r="H154" i="15"/>
  <c r="J154" i="15" s="1"/>
  <c r="I153" i="15"/>
  <c r="H153" i="15"/>
  <c r="J153" i="15" s="1"/>
  <c r="I152" i="15"/>
  <c r="H152" i="15"/>
  <c r="J152" i="15" s="1"/>
  <c r="I151" i="15"/>
  <c r="H151" i="15"/>
  <c r="J151" i="15" s="1"/>
  <c r="I150" i="15"/>
  <c r="H150" i="15"/>
  <c r="J150" i="15" s="1"/>
  <c r="I149" i="15"/>
  <c r="H149" i="15"/>
  <c r="J149" i="15" s="1"/>
  <c r="I148" i="15"/>
  <c r="H148" i="15"/>
  <c r="J148" i="15" s="1"/>
  <c r="I147" i="15"/>
  <c r="H147" i="15"/>
  <c r="J147" i="15" s="1"/>
  <c r="I146" i="15"/>
  <c r="H146" i="15"/>
  <c r="J146" i="15" s="1"/>
  <c r="I145" i="15"/>
  <c r="H145" i="15"/>
  <c r="J145" i="15" s="1"/>
  <c r="I144" i="15"/>
  <c r="H144" i="15"/>
  <c r="J144" i="15" s="1"/>
  <c r="I143" i="15"/>
  <c r="H143" i="15"/>
  <c r="J143" i="15" s="1"/>
  <c r="I142" i="15"/>
  <c r="H142" i="15"/>
  <c r="J142" i="15" s="1"/>
  <c r="I141" i="15"/>
  <c r="H141" i="15"/>
  <c r="J141" i="15" s="1"/>
  <c r="I140" i="15"/>
  <c r="H140" i="15"/>
  <c r="J140" i="15" s="1"/>
  <c r="I139" i="15"/>
  <c r="H139" i="15"/>
  <c r="J139" i="15" s="1"/>
  <c r="I138" i="15"/>
  <c r="H138" i="15"/>
  <c r="J138" i="15" s="1"/>
  <c r="I137" i="15"/>
  <c r="H137" i="15"/>
  <c r="J137" i="15" s="1"/>
  <c r="I136" i="15"/>
  <c r="H136" i="15"/>
  <c r="J136" i="15" s="1"/>
  <c r="I135" i="15"/>
  <c r="H135" i="15"/>
  <c r="J135" i="15" s="1"/>
  <c r="I134" i="15"/>
  <c r="H134" i="15"/>
  <c r="J134" i="15" s="1"/>
  <c r="I133" i="15"/>
  <c r="H133" i="15"/>
  <c r="J133" i="15" s="1"/>
  <c r="I132" i="15"/>
  <c r="H132" i="15"/>
  <c r="J132" i="15" s="1"/>
  <c r="I131" i="15"/>
  <c r="H131" i="15"/>
  <c r="J131" i="15" s="1"/>
  <c r="I130" i="15"/>
  <c r="H130" i="15"/>
  <c r="J130" i="15" s="1"/>
  <c r="I129" i="15"/>
  <c r="H129" i="15"/>
  <c r="J129" i="15" s="1"/>
  <c r="I128" i="15"/>
  <c r="H128" i="15"/>
  <c r="J128" i="15" s="1"/>
  <c r="I127" i="15"/>
  <c r="H127" i="15"/>
  <c r="J127" i="15" s="1"/>
  <c r="I126" i="15"/>
  <c r="H126" i="15"/>
  <c r="J126" i="15" s="1"/>
  <c r="I125" i="15"/>
  <c r="H125" i="15"/>
  <c r="J125" i="15" s="1"/>
  <c r="I124" i="15"/>
  <c r="H124" i="15"/>
  <c r="J124" i="15" s="1"/>
  <c r="I123" i="15"/>
  <c r="H123" i="15"/>
  <c r="J123" i="15" s="1"/>
  <c r="I122" i="15"/>
  <c r="H122" i="15"/>
  <c r="J122" i="15" s="1"/>
  <c r="I121" i="15"/>
  <c r="H121" i="15"/>
  <c r="J121" i="15" s="1"/>
  <c r="I120" i="15"/>
  <c r="H120" i="15"/>
  <c r="J120" i="15" s="1"/>
  <c r="I119" i="15"/>
  <c r="H119" i="15"/>
  <c r="J119" i="15" s="1"/>
  <c r="I118" i="15"/>
  <c r="H118" i="15"/>
  <c r="J118" i="15" s="1"/>
  <c r="I117" i="15"/>
  <c r="H117" i="15"/>
  <c r="J117" i="15" s="1"/>
  <c r="I116" i="15"/>
  <c r="H116" i="15"/>
  <c r="J116" i="15" s="1"/>
  <c r="I115" i="15"/>
  <c r="H115" i="15"/>
  <c r="J115" i="15" s="1"/>
  <c r="I114" i="15"/>
  <c r="H114" i="15"/>
  <c r="J114" i="15" s="1"/>
  <c r="I113" i="15"/>
  <c r="H113" i="15"/>
  <c r="J113" i="15" s="1"/>
  <c r="I112" i="15"/>
  <c r="H112" i="15"/>
  <c r="J112" i="15" s="1"/>
  <c r="I111" i="15"/>
  <c r="H111" i="15"/>
  <c r="J111" i="15" s="1"/>
  <c r="I110" i="15"/>
  <c r="H110" i="15"/>
  <c r="J110" i="15" s="1"/>
  <c r="I109" i="15"/>
  <c r="H109" i="15"/>
  <c r="J109" i="15" s="1"/>
  <c r="I108" i="15"/>
  <c r="H108" i="15"/>
  <c r="J108" i="15" s="1"/>
  <c r="I107" i="15"/>
  <c r="H107" i="15"/>
  <c r="J107" i="15" s="1"/>
  <c r="I106" i="15"/>
  <c r="H106" i="15"/>
  <c r="J106" i="15" s="1"/>
  <c r="I105" i="15"/>
  <c r="H105" i="15"/>
  <c r="J105" i="15" s="1"/>
  <c r="I104" i="15"/>
  <c r="H104" i="15"/>
  <c r="J104" i="15" s="1"/>
  <c r="I103" i="15"/>
  <c r="H103" i="15"/>
  <c r="J103" i="15" s="1"/>
  <c r="I102" i="15"/>
  <c r="H102" i="15"/>
  <c r="J102" i="15" s="1"/>
  <c r="I101" i="15"/>
  <c r="H101" i="15"/>
  <c r="J101" i="15" s="1"/>
  <c r="I100" i="15"/>
  <c r="H100" i="15"/>
  <c r="J100" i="15" s="1"/>
  <c r="I99" i="15"/>
  <c r="H99" i="15"/>
  <c r="J99" i="15" s="1"/>
  <c r="I98" i="15"/>
  <c r="H98" i="15"/>
  <c r="J98" i="15" s="1"/>
  <c r="I97" i="15"/>
  <c r="H97" i="15"/>
  <c r="J97" i="15" s="1"/>
  <c r="I96" i="15"/>
  <c r="H96" i="15"/>
  <c r="J96" i="15" s="1"/>
  <c r="I95" i="15"/>
  <c r="H95" i="15"/>
  <c r="J95" i="15" s="1"/>
  <c r="I94" i="15"/>
  <c r="H94" i="15"/>
  <c r="J94" i="15" s="1"/>
  <c r="I93" i="15"/>
  <c r="H93" i="15"/>
  <c r="J93" i="15" s="1"/>
  <c r="I92" i="15"/>
  <c r="H92" i="15"/>
  <c r="J92" i="15" s="1"/>
  <c r="I91" i="15"/>
  <c r="H91" i="15"/>
  <c r="J91" i="15" s="1"/>
  <c r="I90" i="15"/>
  <c r="H90" i="15"/>
  <c r="J90" i="15" s="1"/>
  <c r="I89" i="15"/>
  <c r="H89" i="15"/>
  <c r="J89" i="15" s="1"/>
  <c r="I88" i="15"/>
  <c r="H88" i="15"/>
  <c r="J88" i="15" s="1"/>
  <c r="I87" i="15"/>
  <c r="H87" i="15"/>
  <c r="J87" i="15" s="1"/>
  <c r="I86" i="15"/>
  <c r="H86" i="15"/>
  <c r="J86" i="15" s="1"/>
  <c r="I85" i="15"/>
  <c r="H85" i="15"/>
  <c r="J85" i="15" s="1"/>
  <c r="I84" i="15"/>
  <c r="H84" i="15"/>
  <c r="J84" i="15" s="1"/>
  <c r="I83" i="15"/>
  <c r="H83" i="15"/>
  <c r="J83" i="15" s="1"/>
  <c r="I82" i="15"/>
  <c r="H82" i="15"/>
  <c r="J82" i="15" s="1"/>
  <c r="I81" i="15"/>
  <c r="H81" i="15"/>
  <c r="J81" i="15" s="1"/>
  <c r="I80" i="15"/>
  <c r="H80" i="15"/>
  <c r="J80" i="15" s="1"/>
  <c r="I79" i="15"/>
  <c r="H79" i="15"/>
  <c r="J79" i="15" s="1"/>
  <c r="I78" i="15"/>
  <c r="H78" i="15"/>
  <c r="J78" i="15" s="1"/>
  <c r="I77" i="15"/>
  <c r="H77" i="15"/>
  <c r="J77" i="15" s="1"/>
  <c r="I76" i="15"/>
  <c r="H76" i="15"/>
  <c r="J76" i="15" s="1"/>
  <c r="I75" i="15"/>
  <c r="H75" i="15"/>
  <c r="J75" i="15" s="1"/>
  <c r="I74" i="15"/>
  <c r="H74" i="15"/>
  <c r="J74" i="15" s="1"/>
  <c r="I73" i="15"/>
  <c r="H73" i="15"/>
  <c r="J73" i="15" s="1"/>
  <c r="I72" i="15"/>
  <c r="H72" i="15"/>
  <c r="J72" i="15" s="1"/>
  <c r="I71" i="15"/>
  <c r="H71" i="15"/>
  <c r="J71" i="15" s="1"/>
  <c r="I70" i="15"/>
  <c r="H70" i="15"/>
  <c r="J70" i="15" s="1"/>
  <c r="I69" i="15"/>
  <c r="H69" i="15"/>
  <c r="J69" i="15" s="1"/>
  <c r="I68" i="15"/>
  <c r="H68" i="15"/>
  <c r="J68" i="15" s="1"/>
  <c r="I67" i="15"/>
  <c r="H67" i="15"/>
  <c r="J67" i="15" s="1"/>
  <c r="I66" i="15"/>
  <c r="H66" i="15"/>
  <c r="J66" i="15" s="1"/>
  <c r="I65" i="15"/>
  <c r="H65" i="15"/>
  <c r="J65" i="15" s="1"/>
  <c r="I64" i="15"/>
  <c r="H64" i="15"/>
  <c r="J64" i="15" s="1"/>
  <c r="I63" i="15"/>
  <c r="H63" i="15"/>
  <c r="J63" i="15" s="1"/>
  <c r="I62" i="15"/>
  <c r="H62" i="15"/>
  <c r="J62" i="15" s="1"/>
  <c r="I61" i="15"/>
  <c r="H61" i="15"/>
  <c r="J61" i="15" s="1"/>
  <c r="I60" i="15"/>
  <c r="H60" i="15"/>
  <c r="J60" i="15" s="1"/>
  <c r="I59" i="15"/>
  <c r="H59" i="15"/>
  <c r="J59" i="15" s="1"/>
  <c r="I58" i="15"/>
  <c r="H58" i="15"/>
  <c r="J58" i="15" s="1"/>
  <c r="I57" i="15"/>
  <c r="H57" i="15"/>
  <c r="J57" i="15" s="1"/>
  <c r="I56" i="15"/>
  <c r="H56" i="15"/>
  <c r="J56" i="15" s="1"/>
  <c r="I55" i="15"/>
  <c r="H55" i="15"/>
  <c r="J55" i="15" s="1"/>
  <c r="I54" i="15"/>
  <c r="H54" i="15"/>
  <c r="J54" i="15" s="1"/>
  <c r="I53" i="15"/>
  <c r="H53" i="15"/>
  <c r="J53" i="15" s="1"/>
  <c r="I52" i="15"/>
  <c r="H52" i="15"/>
  <c r="J52" i="15" s="1"/>
  <c r="I51" i="15"/>
  <c r="H51" i="15"/>
  <c r="J51" i="15" s="1"/>
  <c r="I50" i="15"/>
  <c r="H50" i="15"/>
  <c r="J50" i="15" s="1"/>
  <c r="I49" i="15"/>
  <c r="H49" i="15"/>
  <c r="J49" i="15" s="1"/>
  <c r="I48" i="15"/>
  <c r="H48" i="15"/>
  <c r="J48" i="15" s="1"/>
  <c r="I47" i="15"/>
  <c r="H47" i="15"/>
  <c r="J47" i="15" s="1"/>
  <c r="I46" i="15"/>
  <c r="H46" i="15"/>
  <c r="J46" i="15" s="1"/>
  <c r="I45" i="15"/>
  <c r="H45" i="15"/>
  <c r="J45" i="15" s="1"/>
  <c r="I44" i="15"/>
  <c r="H44" i="15"/>
  <c r="J44" i="15" s="1"/>
  <c r="I43" i="15"/>
  <c r="H43" i="15"/>
  <c r="J43" i="15" s="1"/>
  <c r="I42" i="15"/>
  <c r="H42" i="15"/>
  <c r="J42" i="15" s="1"/>
  <c r="I41" i="15"/>
  <c r="H41" i="15"/>
  <c r="J41" i="15" s="1"/>
  <c r="I40" i="15"/>
  <c r="H40" i="15"/>
  <c r="J40" i="15" s="1"/>
  <c r="I39" i="15"/>
  <c r="H39" i="15"/>
  <c r="J39" i="15" s="1"/>
  <c r="I38" i="15"/>
  <c r="H38" i="15"/>
  <c r="J38" i="15" s="1"/>
  <c r="I37" i="15"/>
  <c r="H37" i="15"/>
  <c r="J37" i="15" s="1"/>
  <c r="I36" i="15"/>
  <c r="H36" i="15"/>
  <c r="J36" i="15" s="1"/>
  <c r="I35" i="15"/>
  <c r="H35" i="15"/>
  <c r="J35" i="15" s="1"/>
  <c r="I34" i="15"/>
  <c r="H34" i="15"/>
  <c r="J34" i="15" s="1"/>
  <c r="I33" i="15"/>
  <c r="H33" i="15"/>
  <c r="J33" i="15" s="1"/>
  <c r="I32" i="15"/>
  <c r="H32" i="15"/>
  <c r="J32" i="15" s="1"/>
  <c r="I31" i="15"/>
  <c r="H31" i="15"/>
  <c r="J31" i="15" s="1"/>
  <c r="I30" i="15"/>
  <c r="H30" i="15"/>
  <c r="J30" i="15" s="1"/>
  <c r="I29" i="15"/>
  <c r="H29" i="15"/>
  <c r="J29" i="15" s="1"/>
  <c r="I28" i="15"/>
  <c r="H28" i="15"/>
  <c r="J28" i="15" s="1"/>
  <c r="I27" i="15"/>
  <c r="H27" i="15"/>
  <c r="J27" i="15" s="1"/>
  <c r="I26" i="15"/>
  <c r="H26" i="15"/>
  <c r="J26" i="15" s="1"/>
  <c r="I25" i="15"/>
  <c r="H25" i="15"/>
  <c r="J25" i="15" s="1"/>
  <c r="I24" i="15"/>
  <c r="H24" i="15"/>
  <c r="J24" i="15" s="1"/>
  <c r="I23" i="15"/>
  <c r="H23" i="15"/>
  <c r="J23" i="15" s="1"/>
  <c r="I22" i="15"/>
  <c r="H22" i="15"/>
  <c r="J22" i="15" s="1"/>
  <c r="I21" i="15"/>
  <c r="H21" i="15"/>
  <c r="J21" i="15" s="1"/>
  <c r="I20" i="15"/>
  <c r="H20" i="15"/>
  <c r="J20" i="15" s="1"/>
  <c r="I19" i="15"/>
  <c r="H19" i="15"/>
  <c r="J19" i="15" s="1"/>
  <c r="I18" i="15"/>
  <c r="H18" i="15"/>
  <c r="J18" i="15" s="1"/>
  <c r="I17" i="15"/>
  <c r="H17" i="15"/>
  <c r="J17" i="15" s="1"/>
  <c r="I16" i="15"/>
  <c r="H16" i="15"/>
  <c r="J16" i="15" s="1"/>
  <c r="I15" i="15"/>
  <c r="H15" i="15"/>
  <c r="J15" i="15" s="1"/>
  <c r="I14" i="15"/>
  <c r="H14" i="15"/>
  <c r="J14" i="15" s="1"/>
  <c r="I13" i="15"/>
  <c r="H13" i="15"/>
  <c r="J13" i="15" s="1"/>
  <c r="I12" i="15"/>
  <c r="H12" i="15"/>
  <c r="J12" i="15" s="1"/>
  <c r="I11" i="15"/>
  <c r="H11" i="15"/>
  <c r="J11" i="15" s="1"/>
  <c r="I10" i="15"/>
  <c r="H10" i="15"/>
  <c r="J10" i="15" s="1"/>
  <c r="I9" i="15"/>
  <c r="H9" i="15"/>
  <c r="J9" i="15" s="1"/>
  <c r="I8" i="15"/>
  <c r="H8" i="15"/>
  <c r="J8" i="15" s="1"/>
  <c r="I7" i="15"/>
  <c r="H7" i="15"/>
  <c r="J7" i="15" s="1"/>
  <c r="I6" i="15"/>
  <c r="H6" i="15"/>
  <c r="J6" i="15" s="1"/>
  <c r="F830" i="14"/>
  <c r="G829" i="14"/>
  <c r="F829" i="14"/>
  <c r="F828" i="14"/>
  <c r="G827" i="14"/>
  <c r="F826" i="14"/>
  <c r="G820" i="14"/>
  <c r="G819" i="14"/>
  <c r="G818" i="14"/>
  <c r="F812" i="14"/>
  <c r="F811" i="14"/>
  <c r="G810" i="14"/>
  <c r="G809" i="14"/>
  <c r="G808" i="14"/>
  <c r="F808" i="14"/>
  <c r="G807" i="14"/>
  <c r="F807" i="14"/>
  <c r="G806" i="14"/>
  <c r="G805" i="14"/>
  <c r="F805" i="14"/>
  <c r="G804" i="14"/>
  <c r="F804" i="14"/>
  <c r="F803" i="14"/>
  <c r="G802" i="14"/>
  <c r="G801" i="14"/>
  <c r="F800" i="14"/>
  <c r="F797" i="14"/>
  <c r="G796" i="14"/>
  <c r="F796" i="14"/>
  <c r="F795" i="14"/>
  <c r="G794" i="14"/>
  <c r="F793" i="14"/>
  <c r="G787" i="14"/>
  <c r="G786" i="14"/>
  <c r="G785" i="14"/>
  <c r="F779" i="14"/>
  <c r="F778" i="14"/>
  <c r="G777" i="14"/>
  <c r="G776" i="14"/>
  <c r="G775" i="14"/>
  <c r="F775" i="14"/>
  <c r="G774" i="14"/>
  <c r="F774" i="14"/>
  <c r="G773" i="14"/>
  <c r="G772" i="14"/>
  <c r="F772" i="14"/>
  <c r="G771" i="14"/>
  <c r="F771" i="14"/>
  <c r="F770" i="14"/>
  <c r="G769" i="14"/>
  <c r="G768" i="14"/>
  <c r="F767" i="14"/>
  <c r="F764" i="14"/>
  <c r="G763" i="14"/>
  <c r="F763" i="14"/>
  <c r="F762" i="14"/>
  <c r="F760" i="14"/>
  <c r="G754" i="14"/>
  <c r="G753" i="14"/>
  <c r="G752" i="14"/>
  <c r="F746" i="14"/>
  <c r="F745" i="14"/>
  <c r="G744" i="14"/>
  <c r="G743" i="14"/>
  <c r="G742" i="14"/>
  <c r="F742" i="14"/>
  <c r="G741" i="14"/>
  <c r="F741" i="14"/>
  <c r="G740" i="14"/>
  <c r="G739" i="14"/>
  <c r="F739" i="14"/>
  <c r="G738" i="14"/>
  <c r="F738" i="14"/>
  <c r="F737" i="14"/>
  <c r="G736" i="14"/>
  <c r="G735" i="14"/>
  <c r="F734" i="14"/>
  <c r="F731" i="14"/>
  <c r="G730" i="14"/>
  <c r="F730" i="14"/>
  <c r="F729" i="14"/>
  <c r="G728" i="14"/>
  <c r="F727" i="14"/>
  <c r="G721" i="14"/>
  <c r="G720" i="14"/>
  <c r="G719" i="14"/>
  <c r="F713" i="14"/>
  <c r="F712" i="14"/>
  <c r="G711" i="14"/>
  <c r="G710" i="14"/>
  <c r="G709" i="14"/>
  <c r="F709" i="14"/>
  <c r="G708" i="14"/>
  <c r="F708" i="14"/>
  <c r="G707" i="14"/>
  <c r="G706" i="14"/>
  <c r="F706" i="14"/>
  <c r="G705" i="14"/>
  <c r="H705" i="14" s="1"/>
  <c r="F705" i="14"/>
  <c r="F704" i="14"/>
  <c r="G703" i="14"/>
  <c r="G702" i="14"/>
  <c r="F701" i="14"/>
  <c r="F698" i="14"/>
  <c r="G697" i="14"/>
  <c r="H697" i="14" s="1"/>
  <c r="F697" i="14"/>
  <c r="F696" i="14"/>
  <c r="G695" i="14"/>
  <c r="F694" i="14"/>
  <c r="G688" i="14"/>
  <c r="G687" i="14"/>
  <c r="G686" i="14"/>
  <c r="F680" i="14"/>
  <c r="F679" i="14"/>
  <c r="G678" i="14"/>
  <c r="G677" i="14"/>
  <c r="G676" i="14"/>
  <c r="F676" i="14"/>
  <c r="G675" i="14"/>
  <c r="F675" i="14"/>
  <c r="G674" i="14"/>
  <c r="G673" i="14"/>
  <c r="F673" i="14"/>
  <c r="G672" i="14"/>
  <c r="H672" i="14" s="1"/>
  <c r="F672" i="14"/>
  <c r="F671" i="14"/>
  <c r="G670" i="14"/>
  <c r="G669" i="14"/>
  <c r="F668" i="14"/>
  <c r="F665" i="14"/>
  <c r="G664" i="14"/>
  <c r="H664" i="14" s="1"/>
  <c r="F664" i="14"/>
  <c r="F663" i="14"/>
  <c r="G662" i="14"/>
  <c r="F661" i="14"/>
  <c r="G655" i="14"/>
  <c r="G654" i="14"/>
  <c r="G653" i="14"/>
  <c r="F647" i="14"/>
  <c r="F646" i="14"/>
  <c r="G645" i="14"/>
  <c r="G644" i="14"/>
  <c r="G643" i="14"/>
  <c r="G642" i="14"/>
  <c r="F642" i="14"/>
  <c r="G641" i="14"/>
  <c r="F640" i="14"/>
  <c r="G639" i="14"/>
  <c r="H639" i="14" s="1"/>
  <c r="F639" i="14"/>
  <c r="F638" i="14"/>
  <c r="G637" i="14"/>
  <c r="G636" i="14"/>
  <c r="F635" i="14"/>
  <c r="F632" i="14"/>
  <c r="G631" i="14"/>
  <c r="H631" i="14" s="1"/>
  <c r="F631" i="14"/>
  <c r="F630" i="14"/>
  <c r="G629" i="14"/>
  <c r="F628" i="14"/>
  <c r="G622" i="14"/>
  <c r="G621" i="14"/>
  <c r="G620" i="14"/>
  <c r="F614" i="14"/>
  <c r="F613" i="14"/>
  <c r="G612" i="14"/>
  <c r="G611" i="14"/>
  <c r="G610" i="14"/>
  <c r="G609" i="14"/>
  <c r="F609" i="14"/>
  <c r="G608" i="14"/>
  <c r="F607" i="14"/>
  <c r="G606" i="14"/>
  <c r="H606" i="14" s="1"/>
  <c r="F606" i="14"/>
  <c r="F605" i="14"/>
  <c r="G604" i="14"/>
  <c r="G603" i="14"/>
  <c r="F602" i="14"/>
  <c r="F599" i="14"/>
  <c r="G598" i="14"/>
  <c r="H598" i="14" s="1"/>
  <c r="F598" i="14"/>
  <c r="F597" i="14"/>
  <c r="G596" i="14"/>
  <c r="F595" i="14"/>
  <c r="G589" i="14"/>
  <c r="G588" i="14"/>
  <c r="G587" i="14"/>
  <c r="F581" i="14"/>
  <c r="F580" i="14"/>
  <c r="G579" i="14"/>
  <c r="G578" i="14"/>
  <c r="G577" i="14"/>
  <c r="G576" i="14"/>
  <c r="H576" i="14" s="1"/>
  <c r="F576" i="14"/>
  <c r="G575" i="14"/>
  <c r="F574" i="14"/>
  <c r="G573" i="14"/>
  <c r="H573" i="14" s="1"/>
  <c r="F573" i="14"/>
  <c r="F572" i="14"/>
  <c r="G571" i="14"/>
  <c r="G570" i="14"/>
  <c r="F569" i="14"/>
  <c r="F566" i="14"/>
  <c r="G565" i="14"/>
  <c r="F565" i="14"/>
  <c r="F564" i="14"/>
  <c r="G563" i="14"/>
  <c r="F562" i="14"/>
  <c r="G556" i="14"/>
  <c r="G555" i="14"/>
  <c r="G554" i="14"/>
  <c r="F548" i="14"/>
  <c r="F547" i="14"/>
  <c r="G546" i="14"/>
  <c r="G545" i="14"/>
  <c r="G544" i="14"/>
  <c r="G543" i="14"/>
  <c r="F543" i="14"/>
  <c r="G542" i="14"/>
  <c r="F541" i="14"/>
  <c r="G540" i="14"/>
  <c r="H540" i="14" s="1"/>
  <c r="F540" i="14"/>
  <c r="F539" i="14"/>
  <c r="G538" i="14"/>
  <c r="G537" i="14"/>
  <c r="F536" i="14"/>
  <c r="F533" i="14"/>
  <c r="G532" i="14"/>
  <c r="H532" i="14" s="1"/>
  <c r="F532" i="14"/>
  <c r="F531" i="14"/>
  <c r="G530" i="14"/>
  <c r="F529" i="14"/>
  <c r="G523" i="14"/>
  <c r="G522" i="14"/>
  <c r="G521" i="14"/>
  <c r="F515" i="14"/>
  <c r="F514" i="14"/>
  <c r="G513" i="14"/>
  <c r="G512" i="14"/>
  <c r="G511" i="14"/>
  <c r="G510" i="14"/>
  <c r="H510" i="14" s="1"/>
  <c r="F510" i="14"/>
  <c r="G509" i="14"/>
  <c r="F508" i="14"/>
  <c r="G507" i="14"/>
  <c r="H507" i="14" s="1"/>
  <c r="F507" i="14"/>
  <c r="F506" i="14"/>
  <c r="G505" i="14"/>
  <c r="G504" i="14"/>
  <c r="F503" i="14"/>
  <c r="F500" i="14"/>
  <c r="G499" i="14"/>
  <c r="H499" i="14" s="1"/>
  <c r="F499" i="14"/>
  <c r="F498" i="14"/>
  <c r="G497" i="14"/>
  <c r="F496" i="14"/>
  <c r="G490" i="14"/>
  <c r="G489" i="14"/>
  <c r="G488" i="14"/>
  <c r="F482" i="14"/>
  <c r="F481" i="14"/>
  <c r="G480" i="14"/>
  <c r="G479" i="14"/>
  <c r="G478" i="14"/>
  <c r="F478" i="14"/>
  <c r="G477" i="14"/>
  <c r="F477" i="14"/>
  <c r="G476" i="14"/>
  <c r="G475" i="14"/>
  <c r="F475" i="14"/>
  <c r="G474" i="14"/>
  <c r="F474" i="14"/>
  <c r="F473" i="14"/>
  <c r="G472" i="14"/>
  <c r="G471" i="14"/>
  <c r="F470" i="14"/>
  <c r="F467" i="14"/>
  <c r="G466" i="14"/>
  <c r="F466" i="14"/>
  <c r="F465" i="14"/>
  <c r="G464" i="14"/>
  <c r="F463" i="14"/>
  <c r="G457" i="14"/>
  <c r="G456" i="14"/>
  <c r="G455" i="14"/>
  <c r="F449" i="14"/>
  <c r="F448" i="14"/>
  <c r="G447" i="14"/>
  <c r="G446" i="14"/>
  <c r="G445" i="14"/>
  <c r="F445" i="14"/>
  <c r="G444" i="14"/>
  <c r="F444" i="14"/>
  <c r="G443" i="14"/>
  <c r="G442" i="14"/>
  <c r="F442" i="14"/>
  <c r="G441" i="14"/>
  <c r="F441" i="14"/>
  <c r="F440" i="14"/>
  <c r="G439" i="14"/>
  <c r="G438" i="14"/>
  <c r="F437" i="14"/>
  <c r="F434" i="14"/>
  <c r="G433" i="14"/>
  <c r="F433" i="14"/>
  <c r="F432" i="14"/>
  <c r="G431" i="14"/>
  <c r="F430" i="14"/>
  <c r="G424" i="14"/>
  <c r="G423" i="14"/>
  <c r="G422" i="14"/>
  <c r="F416" i="14"/>
  <c r="F415" i="14"/>
  <c r="G414" i="14"/>
  <c r="G413" i="14"/>
  <c r="G412" i="14"/>
  <c r="F412" i="14"/>
  <c r="G411" i="14"/>
  <c r="F411" i="14"/>
  <c r="G410" i="14"/>
  <c r="G409" i="14"/>
  <c r="F409" i="14"/>
  <c r="G408" i="14"/>
  <c r="F408" i="14"/>
  <c r="F407" i="14"/>
  <c r="G406" i="14"/>
  <c r="G405" i="14"/>
  <c r="F404" i="14"/>
  <c r="F401" i="14"/>
  <c r="G400" i="14"/>
  <c r="F400" i="14"/>
  <c r="F399" i="14"/>
  <c r="G398" i="14"/>
  <c r="F397" i="14"/>
  <c r="G391" i="14"/>
  <c r="G390" i="14"/>
  <c r="G389" i="14"/>
  <c r="F383" i="14"/>
  <c r="F382" i="14"/>
  <c r="G381" i="14"/>
  <c r="G380" i="14"/>
  <c r="G379" i="14"/>
  <c r="F379" i="14"/>
  <c r="G378" i="14"/>
  <c r="F378" i="14"/>
  <c r="G377" i="14"/>
  <c r="G376" i="14"/>
  <c r="F376" i="14"/>
  <c r="G375" i="14"/>
  <c r="F375" i="14"/>
  <c r="F374" i="14"/>
  <c r="G373" i="14"/>
  <c r="G372" i="14"/>
  <c r="F371" i="14"/>
  <c r="F368" i="14"/>
  <c r="G367" i="14"/>
  <c r="F367" i="14"/>
  <c r="F366" i="14"/>
  <c r="G365" i="14"/>
  <c r="F364" i="14"/>
  <c r="G358" i="14"/>
  <c r="G357" i="14"/>
  <c r="G356" i="14"/>
  <c r="F350" i="14"/>
  <c r="F349" i="14"/>
  <c r="G348" i="14"/>
  <c r="G347" i="14"/>
  <c r="G346" i="14"/>
  <c r="F346" i="14"/>
  <c r="G345" i="14"/>
  <c r="F345" i="14"/>
  <c r="G344" i="14"/>
  <c r="G343" i="14"/>
  <c r="F343" i="14"/>
  <c r="G342" i="14"/>
  <c r="F342" i="14"/>
  <c r="F341" i="14"/>
  <c r="G340" i="14"/>
  <c r="G339" i="14"/>
  <c r="F338" i="14"/>
  <c r="F335" i="14"/>
  <c r="G334" i="14"/>
  <c r="F334" i="14"/>
  <c r="F333" i="14"/>
  <c r="G332" i="14"/>
  <c r="F331" i="14"/>
  <c r="G325" i="14"/>
  <c r="G324" i="14"/>
  <c r="G323" i="14"/>
  <c r="F317" i="14"/>
  <c r="F316" i="14"/>
  <c r="G315" i="14"/>
  <c r="G314" i="14"/>
  <c r="G313" i="14"/>
  <c r="F313" i="14"/>
  <c r="G312" i="14"/>
  <c r="F312" i="14"/>
  <c r="G311" i="14"/>
  <c r="G310" i="14"/>
  <c r="F310" i="14"/>
  <c r="G309" i="14"/>
  <c r="F309" i="14"/>
  <c r="F308" i="14"/>
  <c r="G307" i="14"/>
  <c r="G306" i="14"/>
  <c r="F305" i="14"/>
  <c r="F302" i="14"/>
  <c r="G301" i="14"/>
  <c r="F301" i="14"/>
  <c r="F300" i="14"/>
  <c r="G299" i="14"/>
  <c r="F298" i="14"/>
  <c r="G292" i="14"/>
  <c r="G291" i="14"/>
  <c r="G290" i="14"/>
  <c r="F284" i="14"/>
  <c r="F283" i="14"/>
  <c r="G282" i="14"/>
  <c r="G281" i="14"/>
  <c r="G280" i="14"/>
  <c r="F280" i="14"/>
  <c r="G279" i="14"/>
  <c r="F279" i="14"/>
  <c r="G278" i="14"/>
  <c r="G277" i="14"/>
  <c r="F277" i="14"/>
  <c r="G276" i="14"/>
  <c r="F276" i="14"/>
  <c r="F275" i="14"/>
  <c r="G274" i="14"/>
  <c r="G273" i="14"/>
  <c r="F272" i="14"/>
  <c r="F269" i="14"/>
  <c r="G268" i="14"/>
  <c r="F268" i="14"/>
  <c r="F267" i="14"/>
  <c r="G266" i="14"/>
  <c r="F265" i="14"/>
  <c r="G259" i="14"/>
  <c r="G258" i="14"/>
  <c r="G257" i="14"/>
  <c r="F251" i="14"/>
  <c r="F250" i="14"/>
  <c r="G249" i="14"/>
  <c r="G248" i="14"/>
  <c r="G247" i="14"/>
  <c r="F247" i="14"/>
  <c r="G246" i="14"/>
  <c r="F246" i="14"/>
  <c r="G245" i="14"/>
  <c r="G244" i="14"/>
  <c r="F244" i="14"/>
  <c r="G243" i="14"/>
  <c r="F243" i="14"/>
  <c r="F242" i="14"/>
  <c r="G241" i="14"/>
  <c r="G240" i="14"/>
  <c r="F239" i="14"/>
  <c r="F236" i="14"/>
  <c r="G235" i="14"/>
  <c r="F235" i="14"/>
  <c r="F234" i="14"/>
  <c r="G233" i="14"/>
  <c r="F232" i="14"/>
  <c r="G226" i="14"/>
  <c r="G225" i="14"/>
  <c r="G224" i="14"/>
  <c r="F218" i="14"/>
  <c r="F217" i="14"/>
  <c r="G216" i="14"/>
  <c r="G215" i="14"/>
  <c r="G214" i="14"/>
  <c r="F214" i="14"/>
  <c r="G213" i="14"/>
  <c r="F213" i="14"/>
  <c r="G212" i="14"/>
  <c r="G211" i="14"/>
  <c r="F211" i="14"/>
  <c r="G210" i="14"/>
  <c r="F210" i="14"/>
  <c r="F209" i="14"/>
  <c r="G208" i="14"/>
  <c r="G207" i="14"/>
  <c r="F206" i="14"/>
  <c r="F203" i="14"/>
  <c r="G202" i="14"/>
  <c r="F202" i="14"/>
  <c r="F201" i="14"/>
  <c r="G200" i="14"/>
  <c r="F199" i="14"/>
  <c r="G193" i="14"/>
  <c r="G192" i="14"/>
  <c r="G191" i="14"/>
  <c r="F185" i="14"/>
  <c r="F184" i="14"/>
  <c r="G183" i="14"/>
  <c r="G182" i="14"/>
  <c r="G181" i="14"/>
  <c r="F181" i="14"/>
  <c r="G180" i="14"/>
  <c r="F180" i="14"/>
  <c r="G179" i="14"/>
  <c r="G178" i="14"/>
  <c r="F178" i="14"/>
  <c r="G177" i="14"/>
  <c r="F177" i="14"/>
  <c r="F176" i="14"/>
  <c r="G175" i="14"/>
  <c r="G174" i="14"/>
  <c r="F173" i="14"/>
  <c r="F170" i="14"/>
  <c r="G169" i="14"/>
  <c r="F169" i="14"/>
  <c r="F168" i="14"/>
  <c r="G167" i="14"/>
  <c r="F166" i="14"/>
  <c r="G160" i="14"/>
  <c r="G159" i="14"/>
  <c r="G158" i="14"/>
  <c r="F152" i="14"/>
  <c r="F151" i="14"/>
  <c r="G150" i="14"/>
  <c r="G149" i="14"/>
  <c r="G148" i="14"/>
  <c r="F148" i="14"/>
  <c r="G147" i="14"/>
  <c r="F147" i="14"/>
  <c r="G146" i="14"/>
  <c r="G145" i="14"/>
  <c r="F145" i="14"/>
  <c r="G144" i="14"/>
  <c r="F144" i="14"/>
  <c r="F143" i="14"/>
  <c r="G142" i="14"/>
  <c r="G141" i="14"/>
  <c r="F140" i="14"/>
  <c r="F137" i="14"/>
  <c r="G136" i="14"/>
  <c r="F136" i="14"/>
  <c r="F135" i="14"/>
  <c r="G134" i="14"/>
  <c r="F133" i="14"/>
  <c r="G127" i="14"/>
  <c r="G126" i="14"/>
  <c r="G125" i="14"/>
  <c r="F119" i="14"/>
  <c r="F118" i="14"/>
  <c r="G117" i="14"/>
  <c r="G116" i="14"/>
  <c r="G115" i="14"/>
  <c r="F115" i="14"/>
  <c r="G114" i="14"/>
  <c r="F114" i="14"/>
  <c r="G113" i="14"/>
  <c r="G112" i="14"/>
  <c r="F112" i="14"/>
  <c r="G111" i="14"/>
  <c r="F111" i="14"/>
  <c r="F110" i="14"/>
  <c r="G109" i="14"/>
  <c r="G108" i="14"/>
  <c r="F107" i="14"/>
  <c r="F104" i="14"/>
  <c r="G103" i="14"/>
  <c r="F103" i="14"/>
  <c r="F102" i="14"/>
  <c r="G101" i="14"/>
  <c r="F100" i="14"/>
  <c r="G94" i="14"/>
  <c r="G93" i="14"/>
  <c r="G92" i="14"/>
  <c r="F86" i="14"/>
  <c r="F85" i="14"/>
  <c r="G84" i="14"/>
  <c r="G83" i="14"/>
  <c r="G82" i="14"/>
  <c r="F82" i="14"/>
  <c r="G81" i="14"/>
  <c r="F81" i="14"/>
  <c r="G80" i="14"/>
  <c r="G79" i="14"/>
  <c r="F79" i="14"/>
  <c r="G78" i="14"/>
  <c r="F78" i="14"/>
  <c r="F77" i="14"/>
  <c r="G76" i="14"/>
  <c r="G75" i="14"/>
  <c r="F74" i="14"/>
  <c r="F71" i="14"/>
  <c r="G70" i="14"/>
  <c r="H70" i="14" s="1"/>
  <c r="F70" i="14"/>
  <c r="F69" i="14"/>
  <c r="G68" i="14"/>
  <c r="F67" i="14"/>
  <c r="G61" i="14"/>
  <c r="G60" i="14"/>
  <c r="G59" i="14"/>
  <c r="F53" i="14"/>
  <c r="F52" i="14"/>
  <c r="G51" i="14"/>
  <c r="G50" i="14"/>
  <c r="G49" i="14"/>
  <c r="F49" i="14"/>
  <c r="G48" i="14"/>
  <c r="F48" i="14"/>
  <c r="G47" i="14"/>
  <c r="G46" i="14"/>
  <c r="H46" i="14" s="1"/>
  <c r="F46" i="14"/>
  <c r="G45" i="14"/>
  <c r="H45" i="14" s="1"/>
  <c r="F45" i="14"/>
  <c r="F44" i="14"/>
  <c r="G43" i="14"/>
  <c r="G42" i="14"/>
  <c r="F41" i="14"/>
  <c r="F38" i="14"/>
  <c r="G37" i="14"/>
  <c r="H37" i="14" s="1"/>
  <c r="F37" i="14"/>
  <c r="F36" i="14"/>
  <c r="G35" i="14"/>
  <c r="F34" i="14"/>
  <c r="G28" i="14"/>
  <c r="G27" i="14"/>
  <c r="G26" i="14"/>
  <c r="F20" i="14"/>
  <c r="F19" i="14"/>
  <c r="G18" i="14"/>
  <c r="G17" i="14"/>
  <c r="G16" i="14"/>
  <c r="F16" i="14"/>
  <c r="G15" i="14"/>
  <c r="F15" i="14"/>
  <c r="G14" i="14"/>
  <c r="G13" i="14"/>
  <c r="H13" i="14" s="1"/>
  <c r="F13" i="14"/>
  <c r="G12" i="14"/>
  <c r="H12" i="14" s="1"/>
  <c r="F12" i="14"/>
  <c r="F11" i="14"/>
  <c r="G10" i="14"/>
  <c r="G9" i="14"/>
  <c r="F8" i="14"/>
  <c r="M30" i="11"/>
  <c r="I30" i="11"/>
  <c r="H30" i="11"/>
  <c r="F30" i="11"/>
  <c r="M29" i="11"/>
  <c r="I29" i="11"/>
  <c r="H29" i="11"/>
  <c r="F29" i="11"/>
  <c r="M28" i="11"/>
  <c r="I28" i="11"/>
  <c r="H28" i="11"/>
  <c r="M27" i="11"/>
  <c r="I27" i="11"/>
  <c r="H27" i="11"/>
  <c r="F27" i="11"/>
  <c r="M26" i="11"/>
  <c r="I26" i="11"/>
  <c r="H26" i="11"/>
  <c r="F26" i="11"/>
  <c r="M25" i="11"/>
  <c r="I25" i="11"/>
  <c r="H25" i="11"/>
  <c r="F25" i="11"/>
  <c r="M24" i="11"/>
  <c r="I24" i="11"/>
  <c r="H24" i="11"/>
  <c r="F24" i="11"/>
  <c r="M23" i="11"/>
  <c r="I23" i="11"/>
  <c r="H23" i="11"/>
  <c r="F23" i="11"/>
  <c r="M22" i="11"/>
  <c r="I22" i="11"/>
  <c r="H22" i="11"/>
  <c r="F22" i="11"/>
  <c r="M21" i="11"/>
  <c r="I21" i="11"/>
  <c r="H21" i="11"/>
  <c r="F21" i="11"/>
  <c r="M20" i="11"/>
  <c r="I20" i="11"/>
  <c r="H20" i="11"/>
  <c r="F20" i="11"/>
  <c r="M19" i="11"/>
  <c r="I19" i="11"/>
  <c r="H19" i="11"/>
  <c r="F19" i="11"/>
  <c r="M18" i="11"/>
  <c r="I18" i="11"/>
  <c r="H18" i="11"/>
  <c r="F18" i="11"/>
  <c r="M17" i="11"/>
  <c r="I17" i="11"/>
  <c r="H17" i="11"/>
  <c r="F17" i="11"/>
  <c r="M16" i="11"/>
  <c r="I16" i="11"/>
  <c r="H16" i="11"/>
  <c r="F16" i="11"/>
  <c r="M15" i="11"/>
  <c r="I15" i="11"/>
  <c r="H15" i="11"/>
  <c r="F15" i="11"/>
  <c r="M14" i="11"/>
  <c r="I14" i="11"/>
  <c r="H14" i="11"/>
  <c r="F14" i="11"/>
  <c r="M13" i="11"/>
  <c r="I13" i="11"/>
  <c r="H13" i="11"/>
  <c r="F13" i="11"/>
  <c r="M12" i="11"/>
  <c r="I12" i="11"/>
  <c r="H12" i="11"/>
  <c r="F12" i="11"/>
  <c r="M11" i="11"/>
  <c r="I11" i="11"/>
  <c r="H11" i="11"/>
  <c r="F11" i="11"/>
  <c r="M10" i="11"/>
  <c r="I10" i="11"/>
  <c r="H10" i="11"/>
  <c r="F10" i="11"/>
  <c r="M9" i="11"/>
  <c r="I9" i="11"/>
  <c r="H9" i="11"/>
  <c r="F9" i="11"/>
  <c r="M8" i="11"/>
  <c r="I8" i="11"/>
  <c r="H8" i="11"/>
  <c r="F8" i="11"/>
  <c r="M7" i="11"/>
  <c r="I7" i="11"/>
  <c r="H7" i="11"/>
  <c r="F7" i="11"/>
  <c r="M6" i="11"/>
  <c r="I6" i="11"/>
  <c r="H6" i="11"/>
  <c r="F6" i="11"/>
  <c r="H30" i="10"/>
  <c r="I30" i="10" s="1"/>
  <c r="J30" i="10" s="1"/>
  <c r="H29" i="10"/>
  <c r="I29" i="10" s="1"/>
  <c r="J29" i="10" s="1"/>
  <c r="H28" i="10"/>
  <c r="I28" i="10" s="1"/>
  <c r="J28" i="10" s="1"/>
  <c r="H27" i="10"/>
  <c r="I27" i="10" s="1"/>
  <c r="J27" i="10" s="1"/>
  <c r="H26" i="10"/>
  <c r="I26" i="10" s="1"/>
  <c r="J26" i="10" s="1"/>
  <c r="H25" i="10"/>
  <c r="I25" i="10" s="1"/>
  <c r="J25" i="10" s="1"/>
  <c r="H24" i="10"/>
  <c r="I24" i="10" s="1"/>
  <c r="J24" i="10" s="1"/>
  <c r="H23" i="10"/>
  <c r="I23" i="10" s="1"/>
  <c r="J23" i="10" s="1"/>
  <c r="H22" i="10"/>
  <c r="I22" i="10" s="1"/>
  <c r="J22" i="10" s="1"/>
  <c r="H21" i="10"/>
  <c r="I21" i="10" s="1"/>
  <c r="J21" i="10" s="1"/>
  <c r="H20" i="10"/>
  <c r="I20" i="10" s="1"/>
  <c r="J20" i="10" s="1"/>
  <c r="H19" i="10"/>
  <c r="I19" i="10" s="1"/>
  <c r="J19" i="10" s="1"/>
  <c r="H18" i="10"/>
  <c r="I18" i="10" s="1"/>
  <c r="J18" i="10" s="1"/>
  <c r="H17" i="10"/>
  <c r="I17" i="10" s="1"/>
  <c r="J17" i="10" s="1"/>
  <c r="H16" i="10"/>
  <c r="I16" i="10" s="1"/>
  <c r="J16" i="10" s="1"/>
  <c r="H15" i="10"/>
  <c r="I15" i="10" s="1"/>
  <c r="J15" i="10" s="1"/>
  <c r="H14" i="10"/>
  <c r="I14" i="10" s="1"/>
  <c r="J14" i="10" s="1"/>
  <c r="H13" i="10"/>
  <c r="I13" i="10" s="1"/>
  <c r="J13" i="10" s="1"/>
  <c r="H12" i="10"/>
  <c r="I12" i="10" s="1"/>
  <c r="J12" i="10" s="1"/>
  <c r="H11" i="10"/>
  <c r="I11" i="10" s="1"/>
  <c r="J11" i="10" s="1"/>
  <c r="H10" i="10"/>
  <c r="I10" i="10" s="1"/>
  <c r="J10" i="10" s="1"/>
  <c r="H9" i="10"/>
  <c r="I9" i="10" s="1"/>
  <c r="J9" i="10" s="1"/>
  <c r="H8" i="10"/>
  <c r="I8" i="10" s="1"/>
  <c r="J8" i="10" s="1"/>
  <c r="H7" i="10"/>
  <c r="I7" i="10" s="1"/>
  <c r="J7" i="10" s="1"/>
  <c r="H6" i="10"/>
  <c r="I6" i="10" s="1"/>
  <c r="J6" i="10" s="1"/>
  <c r="P1972" i="9"/>
  <c r="O1972" i="9"/>
  <c r="Q1972" i="9" s="1"/>
  <c r="P1971" i="9"/>
  <c r="O1971" i="9"/>
  <c r="Q1971" i="9" s="1"/>
  <c r="P1970" i="9"/>
  <c r="O1970" i="9"/>
  <c r="Q1970" i="9" s="1"/>
  <c r="P1969" i="9"/>
  <c r="O1969" i="9"/>
  <c r="Q1969" i="9" s="1"/>
  <c r="P1968" i="9"/>
  <c r="O1968" i="9"/>
  <c r="Q1968" i="9" s="1"/>
  <c r="P1967" i="9"/>
  <c r="O1967" i="9"/>
  <c r="Q1967" i="9" s="1"/>
  <c r="P1966" i="9"/>
  <c r="O1966" i="9"/>
  <c r="Q1966" i="9" s="1"/>
  <c r="P1965" i="9"/>
  <c r="O1965" i="9"/>
  <c r="Q1965" i="9" s="1"/>
  <c r="P1964" i="9"/>
  <c r="O1964" i="9"/>
  <c r="Q1964" i="9" s="1"/>
  <c r="P1963" i="9"/>
  <c r="O1963" i="9"/>
  <c r="Q1963" i="9" s="1"/>
  <c r="P1962" i="9"/>
  <c r="O1962" i="9"/>
  <c r="Q1962" i="9" s="1"/>
  <c r="P1961" i="9"/>
  <c r="O1961" i="9"/>
  <c r="Q1961" i="9" s="1"/>
  <c r="P1960" i="9"/>
  <c r="O1960" i="9"/>
  <c r="Q1960" i="9" s="1"/>
  <c r="P1959" i="9"/>
  <c r="O1959" i="9"/>
  <c r="Q1959" i="9" s="1"/>
  <c r="P1958" i="9"/>
  <c r="O1958" i="9"/>
  <c r="Q1958" i="9" s="1"/>
  <c r="P1957" i="9"/>
  <c r="O1957" i="9"/>
  <c r="Q1957" i="9" s="1"/>
  <c r="P1956" i="9"/>
  <c r="O1956" i="9"/>
  <c r="Q1956" i="9" s="1"/>
  <c r="P1955" i="9"/>
  <c r="O1955" i="9"/>
  <c r="Q1955" i="9" s="1"/>
  <c r="P1954" i="9"/>
  <c r="O1954" i="9"/>
  <c r="Q1954" i="9" s="1"/>
  <c r="P1953" i="9"/>
  <c r="O1953" i="9"/>
  <c r="Q1953" i="9" s="1"/>
  <c r="P1952" i="9"/>
  <c r="O1952" i="9"/>
  <c r="Q1952" i="9" s="1"/>
  <c r="P1951" i="9"/>
  <c r="O1951" i="9"/>
  <c r="Q1951" i="9" s="1"/>
  <c r="P1949" i="9"/>
  <c r="O1949" i="9"/>
  <c r="Q1949" i="9" s="1"/>
  <c r="P1948" i="9"/>
  <c r="O1948" i="9"/>
  <c r="Q1948" i="9" s="1"/>
  <c r="P1947" i="9"/>
  <c r="O1947" i="9"/>
  <c r="P1946" i="9"/>
  <c r="O1946" i="9"/>
  <c r="P1945" i="9"/>
  <c r="O1945" i="9"/>
  <c r="Q1945" i="9" s="1"/>
  <c r="P1944" i="9"/>
  <c r="O1944" i="9"/>
  <c r="Q1944" i="9" s="1"/>
  <c r="P1943" i="9"/>
  <c r="O1943" i="9"/>
  <c r="Q1943" i="9" s="1"/>
  <c r="P1942" i="9"/>
  <c r="O1942" i="9"/>
  <c r="P1941" i="9"/>
  <c r="O1941" i="9"/>
  <c r="Q1941" i="9" s="1"/>
  <c r="P1940" i="9"/>
  <c r="O1940" i="9"/>
  <c r="Q1940" i="9" s="1"/>
  <c r="P1939" i="9"/>
  <c r="O1939" i="9"/>
  <c r="Q1939" i="9" s="1"/>
  <c r="P1938" i="9"/>
  <c r="O1938" i="9"/>
  <c r="Q1938" i="9" s="1"/>
  <c r="P1937" i="9"/>
  <c r="O1937" i="9"/>
  <c r="Q1937" i="9" s="1"/>
  <c r="P1936" i="9"/>
  <c r="O1936" i="9"/>
  <c r="Q1936" i="9" s="1"/>
  <c r="P1935" i="9"/>
  <c r="O1935" i="9"/>
  <c r="Q1935" i="9" s="1"/>
  <c r="P1934" i="9"/>
  <c r="O1934" i="9"/>
  <c r="Q1934" i="9" s="1"/>
  <c r="P1933" i="9"/>
  <c r="O1933" i="9"/>
  <c r="Q1933" i="9" s="1"/>
  <c r="P1932" i="9"/>
  <c r="O1932" i="9"/>
  <c r="Q1932" i="9" s="1"/>
  <c r="P1931" i="9"/>
  <c r="O1931" i="9"/>
  <c r="Q1931" i="9" s="1"/>
  <c r="P1930" i="9"/>
  <c r="O1930" i="9"/>
  <c r="Q1930" i="9" s="1"/>
  <c r="P1929" i="9"/>
  <c r="O1929" i="9"/>
  <c r="Q1929" i="9" s="1"/>
  <c r="P1928" i="9"/>
  <c r="O1928" i="9"/>
  <c r="Q1928" i="9" s="1"/>
  <c r="P1927" i="9"/>
  <c r="O1927" i="9"/>
  <c r="Q1927" i="9" s="1"/>
  <c r="P1926" i="9"/>
  <c r="O1926" i="9"/>
  <c r="Q1926" i="9" s="1"/>
  <c r="P1925" i="9"/>
  <c r="O1925" i="9"/>
  <c r="Q1925" i="9" s="1"/>
  <c r="P1924" i="9"/>
  <c r="O1924" i="9"/>
  <c r="Q1924" i="9" s="1"/>
  <c r="P1923" i="9"/>
  <c r="O1923" i="9"/>
  <c r="Q1923" i="9" s="1"/>
  <c r="P1922" i="9"/>
  <c r="O1922" i="9"/>
  <c r="Q1922" i="9" s="1"/>
  <c r="P1921" i="9"/>
  <c r="O1921" i="9"/>
  <c r="Q1921" i="9" s="1"/>
  <c r="P1920" i="9"/>
  <c r="O1920" i="9"/>
  <c r="Q1920" i="9" s="1"/>
  <c r="P1919" i="9"/>
  <c r="O1919" i="9"/>
  <c r="Q1919" i="9" s="1"/>
  <c r="P1918" i="9"/>
  <c r="O1918" i="9"/>
  <c r="Q1918" i="9" s="1"/>
  <c r="P1917" i="9"/>
  <c r="O1917" i="9"/>
  <c r="Q1917" i="9" s="1"/>
  <c r="P1916" i="9"/>
  <c r="O1916" i="9"/>
  <c r="Q1916" i="9" s="1"/>
  <c r="P1915" i="9"/>
  <c r="O1915" i="9"/>
  <c r="Q1915" i="9" s="1"/>
  <c r="P1914" i="9"/>
  <c r="O1914" i="9"/>
  <c r="Q1914" i="9" s="1"/>
  <c r="P1913" i="9"/>
  <c r="O1913" i="9"/>
  <c r="Q1913" i="9" s="1"/>
  <c r="P1912" i="9"/>
  <c r="O1912" i="9"/>
  <c r="Q1912" i="9" s="1"/>
  <c r="P1911" i="9"/>
  <c r="O1911" i="9"/>
  <c r="Q1911" i="9" s="1"/>
  <c r="P1910" i="9"/>
  <c r="O1910" i="9"/>
  <c r="Q1910" i="9" s="1"/>
  <c r="P1909" i="9"/>
  <c r="O1909" i="9"/>
  <c r="P1908" i="9"/>
  <c r="O1908" i="9"/>
  <c r="Q1908" i="9" s="1"/>
  <c r="P1907" i="9"/>
  <c r="O1907" i="9"/>
  <c r="P1906" i="9"/>
  <c r="O1906" i="9"/>
  <c r="Q1906" i="9" s="1"/>
  <c r="P1905" i="9"/>
  <c r="O1905" i="9"/>
  <c r="Q1905" i="9" s="1"/>
  <c r="P1904" i="9"/>
  <c r="O1904" i="9"/>
  <c r="Q1904" i="9" s="1"/>
  <c r="P1903" i="9"/>
  <c r="O1903" i="9"/>
  <c r="Q1903" i="9" s="1"/>
  <c r="P1902" i="9"/>
  <c r="O1902" i="9"/>
  <c r="Q1902" i="9" s="1"/>
  <c r="P1901" i="9"/>
  <c r="O1901" i="9"/>
  <c r="Q1901" i="9" s="1"/>
  <c r="P1900" i="9"/>
  <c r="O1900" i="9"/>
  <c r="Q1900" i="9" s="1"/>
  <c r="P1899" i="9"/>
  <c r="O1899" i="9"/>
  <c r="Q1899" i="9" s="1"/>
  <c r="P1898" i="9"/>
  <c r="O1898" i="9"/>
  <c r="Q1898" i="9" s="1"/>
  <c r="P1897" i="9"/>
  <c r="O1897" i="9"/>
  <c r="Q1897" i="9" s="1"/>
  <c r="P1896" i="9"/>
  <c r="O1896" i="9"/>
  <c r="Q1896" i="9" s="1"/>
  <c r="P1895" i="9"/>
  <c r="O1895" i="9"/>
  <c r="Q1895" i="9" s="1"/>
  <c r="P1894" i="9"/>
  <c r="O1894" i="9"/>
  <c r="Q1894" i="9" s="1"/>
  <c r="P1893" i="9"/>
  <c r="O1893" i="9"/>
  <c r="Q1893" i="9" s="1"/>
  <c r="P1892" i="9"/>
  <c r="O1892" i="9"/>
  <c r="Q1892" i="9" s="1"/>
  <c r="P1891" i="9"/>
  <c r="O1891" i="9"/>
  <c r="Q1891" i="9" s="1"/>
  <c r="P1890" i="9"/>
  <c r="O1890" i="9"/>
  <c r="Q1890" i="9" s="1"/>
  <c r="P1889" i="9"/>
  <c r="O1889" i="9"/>
  <c r="Q1889" i="9" s="1"/>
  <c r="P1888" i="9"/>
  <c r="O1888" i="9"/>
  <c r="Q1888" i="9" s="1"/>
  <c r="P1887" i="9"/>
  <c r="O1887" i="9"/>
  <c r="P1886" i="9"/>
  <c r="O1886" i="9"/>
  <c r="Q1886" i="9" s="1"/>
  <c r="P1885" i="9"/>
  <c r="O1885" i="9"/>
  <c r="Q1885" i="9" s="1"/>
  <c r="P1884" i="9"/>
  <c r="O1884" i="9"/>
  <c r="Q1884" i="9" s="1"/>
  <c r="P1883" i="9"/>
  <c r="O1883" i="9"/>
  <c r="P1882" i="9"/>
  <c r="O1882" i="9"/>
  <c r="Q1882" i="9" s="1"/>
  <c r="P1881" i="9"/>
  <c r="O1881" i="9"/>
  <c r="Q1881" i="9" s="1"/>
  <c r="P1880" i="9"/>
  <c r="O1880" i="9"/>
  <c r="Q1880" i="9" s="1"/>
  <c r="P1879" i="9"/>
  <c r="O1879" i="9"/>
  <c r="Q1879" i="9" s="1"/>
  <c r="P1878" i="9"/>
  <c r="O1878" i="9"/>
  <c r="P1877" i="9"/>
  <c r="O1877" i="9"/>
  <c r="Q1877" i="9" s="1"/>
  <c r="P1876" i="9"/>
  <c r="O1876" i="9"/>
  <c r="Q1876" i="9" s="1"/>
  <c r="P1875" i="9"/>
  <c r="O1875" i="9"/>
  <c r="Q1875" i="9" s="1"/>
  <c r="P1874" i="9"/>
  <c r="O1874" i="9"/>
  <c r="Q1874" i="9" s="1"/>
  <c r="P1873" i="9"/>
  <c r="O1873" i="9"/>
  <c r="Q1873" i="9" s="1"/>
  <c r="P1872" i="9"/>
  <c r="O1872" i="9"/>
  <c r="Q1872" i="9" s="1"/>
  <c r="P1871" i="9"/>
  <c r="O1871" i="9"/>
  <c r="Q1871" i="9" s="1"/>
  <c r="P1870" i="9"/>
  <c r="O1870" i="9"/>
  <c r="Q1870" i="9" s="1"/>
  <c r="P1869" i="9"/>
  <c r="O1869" i="9"/>
  <c r="Q1869" i="9" s="1"/>
  <c r="P1868" i="9"/>
  <c r="O1868" i="9"/>
  <c r="Q1868" i="9" s="1"/>
  <c r="P1867" i="9"/>
  <c r="O1867" i="9"/>
  <c r="P1866" i="9"/>
  <c r="O1866" i="9"/>
  <c r="Q1866" i="9" s="1"/>
  <c r="P1865" i="9"/>
  <c r="O1865" i="9"/>
  <c r="Q1865" i="9" s="1"/>
  <c r="P1864" i="9"/>
  <c r="O1864" i="9"/>
  <c r="Q1864" i="9" s="1"/>
  <c r="P1863" i="9"/>
  <c r="O1863" i="9"/>
  <c r="Q1863" i="9" s="1"/>
  <c r="P1862" i="9"/>
  <c r="O1862" i="9"/>
  <c r="Q1862" i="9" s="1"/>
  <c r="P1861" i="9"/>
  <c r="O1861" i="9"/>
  <c r="Q1861" i="9" s="1"/>
  <c r="P1860" i="9"/>
  <c r="O1860" i="9"/>
  <c r="Q1860" i="9" s="1"/>
  <c r="P1859" i="9"/>
  <c r="O1859" i="9"/>
  <c r="Q1859" i="9" s="1"/>
  <c r="P1858" i="9"/>
  <c r="O1858" i="9"/>
  <c r="Q1858" i="9" s="1"/>
  <c r="P1857" i="9"/>
  <c r="O1857" i="9"/>
  <c r="Q1857" i="9" s="1"/>
  <c r="P1856" i="9"/>
  <c r="O1856" i="9"/>
  <c r="Q1856" i="9" s="1"/>
  <c r="P1855" i="9"/>
  <c r="O1855" i="9"/>
  <c r="Q1855" i="9" s="1"/>
  <c r="P1854" i="9"/>
  <c r="O1854" i="9"/>
  <c r="Q1854" i="9" s="1"/>
  <c r="P1853" i="9"/>
  <c r="O1853" i="9"/>
  <c r="Q1853" i="9" s="1"/>
  <c r="P1852" i="9"/>
  <c r="O1852" i="9"/>
  <c r="Q1852" i="9" s="1"/>
  <c r="P1851" i="9"/>
  <c r="O1851" i="9"/>
  <c r="Q1851" i="9" s="1"/>
  <c r="P1850" i="9"/>
  <c r="O1850" i="9"/>
  <c r="Q1850" i="9" s="1"/>
  <c r="P1849" i="9"/>
  <c r="O1849" i="9"/>
  <c r="Q1849" i="9" s="1"/>
  <c r="P1848" i="9"/>
  <c r="O1848" i="9"/>
  <c r="Q1848" i="9" s="1"/>
  <c r="P1847" i="9"/>
  <c r="O1847" i="9"/>
  <c r="Q1847" i="9" s="1"/>
  <c r="P1846" i="9"/>
  <c r="O1846" i="9"/>
  <c r="Q1846" i="9" s="1"/>
  <c r="P1845" i="9"/>
  <c r="O1845" i="9"/>
  <c r="Q1845" i="9" s="1"/>
  <c r="P1844" i="9"/>
  <c r="O1844" i="9"/>
  <c r="Q1844" i="9" s="1"/>
  <c r="P1843" i="9"/>
  <c r="O1843" i="9"/>
  <c r="Q1843" i="9" s="1"/>
  <c r="P1842" i="9"/>
  <c r="O1842" i="9"/>
  <c r="Q1842" i="9" s="1"/>
  <c r="P1841" i="9"/>
  <c r="O1841" i="9"/>
  <c r="Q1841" i="9" s="1"/>
  <c r="P1840" i="9"/>
  <c r="O1840" i="9"/>
  <c r="Q1840" i="9" s="1"/>
  <c r="P1839" i="9"/>
  <c r="O1839" i="9"/>
  <c r="Q1839" i="9" s="1"/>
  <c r="P1838" i="9"/>
  <c r="O1838" i="9"/>
  <c r="Q1838" i="9" s="1"/>
  <c r="P1837" i="9"/>
  <c r="O1837" i="9"/>
  <c r="Q1837" i="9" s="1"/>
  <c r="P1836" i="9"/>
  <c r="O1836" i="9"/>
  <c r="Q1836" i="9" s="1"/>
  <c r="P1835" i="9"/>
  <c r="O1835" i="9"/>
  <c r="Q1835" i="9" s="1"/>
  <c r="P1834" i="9"/>
  <c r="O1834" i="9"/>
  <c r="Q1834" i="9" s="1"/>
  <c r="P1833" i="9"/>
  <c r="O1833" i="9"/>
  <c r="Q1833" i="9" s="1"/>
  <c r="P1832" i="9"/>
  <c r="O1832" i="9"/>
  <c r="Q1832" i="9" s="1"/>
  <c r="P1831" i="9"/>
  <c r="O1831" i="9"/>
  <c r="Q1831" i="9" s="1"/>
  <c r="P1830" i="9"/>
  <c r="O1830" i="9"/>
  <c r="Q1830" i="9" s="1"/>
  <c r="P1829" i="9"/>
  <c r="O1829" i="9"/>
  <c r="Q1829" i="9" s="1"/>
  <c r="P1828" i="9"/>
  <c r="O1828" i="9"/>
  <c r="Q1828" i="9" s="1"/>
  <c r="P1827" i="9"/>
  <c r="O1827" i="9"/>
  <c r="Q1827" i="9" s="1"/>
  <c r="P1826" i="9"/>
  <c r="O1826" i="9"/>
  <c r="Q1826" i="9" s="1"/>
  <c r="P1825" i="9"/>
  <c r="O1825" i="9"/>
  <c r="Q1825" i="9" s="1"/>
  <c r="P1824" i="9"/>
  <c r="O1824" i="9"/>
  <c r="Q1824" i="9" s="1"/>
  <c r="P1823" i="9"/>
  <c r="O1823" i="9"/>
  <c r="Q1823" i="9" s="1"/>
  <c r="P1822" i="9"/>
  <c r="O1822" i="9"/>
  <c r="Q1822" i="9" s="1"/>
  <c r="P1821" i="9"/>
  <c r="O1821" i="9"/>
  <c r="Q1821" i="9" s="1"/>
  <c r="P1820" i="9"/>
  <c r="O1820" i="9"/>
  <c r="Q1820" i="9" s="1"/>
  <c r="P1819" i="9"/>
  <c r="O1819" i="9"/>
  <c r="Q1819" i="9" s="1"/>
  <c r="P1818" i="9"/>
  <c r="O1818" i="9"/>
  <c r="Q1818" i="9" s="1"/>
  <c r="P1817" i="9"/>
  <c r="O1817" i="9"/>
  <c r="Q1817" i="9" s="1"/>
  <c r="P1816" i="9"/>
  <c r="O1816" i="9"/>
  <c r="Q1816" i="9" s="1"/>
  <c r="P1815" i="9"/>
  <c r="O1815" i="9"/>
  <c r="Q1815" i="9" s="1"/>
  <c r="P1814" i="9"/>
  <c r="O1814" i="9"/>
  <c r="Q1814" i="9" s="1"/>
  <c r="P1813" i="9"/>
  <c r="O1813" i="9"/>
  <c r="Q1813" i="9" s="1"/>
  <c r="P1812" i="9"/>
  <c r="O1812" i="9"/>
  <c r="Q1812" i="9" s="1"/>
  <c r="P1811" i="9"/>
  <c r="O1811" i="9"/>
  <c r="Q1811" i="9" s="1"/>
  <c r="P1810" i="9"/>
  <c r="O1810" i="9"/>
  <c r="Q1810" i="9" s="1"/>
  <c r="P1809" i="9"/>
  <c r="O1809" i="9"/>
  <c r="Q1809" i="9" s="1"/>
  <c r="P1808" i="9"/>
  <c r="O1808" i="9"/>
  <c r="Q1808" i="9" s="1"/>
  <c r="P1807" i="9"/>
  <c r="O1807" i="9"/>
  <c r="Q1807" i="9" s="1"/>
  <c r="P1806" i="9"/>
  <c r="O1806" i="9"/>
  <c r="Q1806" i="9" s="1"/>
  <c r="P1805" i="9"/>
  <c r="O1805" i="9"/>
  <c r="Q1805" i="9" s="1"/>
  <c r="P1804" i="9"/>
  <c r="O1804" i="9"/>
  <c r="Q1804" i="9" s="1"/>
  <c r="P1803" i="9"/>
  <c r="O1803" i="9"/>
  <c r="Q1803" i="9" s="1"/>
  <c r="P1802" i="9"/>
  <c r="O1802" i="9"/>
  <c r="Q1802" i="9" s="1"/>
  <c r="P1801" i="9"/>
  <c r="O1801" i="9"/>
  <c r="Q1801" i="9" s="1"/>
  <c r="P1800" i="9"/>
  <c r="O1800" i="9"/>
  <c r="Q1800" i="9" s="1"/>
  <c r="P1799" i="9"/>
  <c r="O1799" i="9"/>
  <c r="Q1799" i="9" s="1"/>
  <c r="P1798" i="9"/>
  <c r="O1798" i="9"/>
  <c r="Q1798" i="9" s="1"/>
  <c r="P1797" i="9"/>
  <c r="O1797" i="9"/>
  <c r="Q1797" i="9" s="1"/>
  <c r="P1796" i="9"/>
  <c r="O1796" i="9"/>
  <c r="Q1796" i="9" s="1"/>
  <c r="P1795" i="9"/>
  <c r="O1795" i="9"/>
  <c r="Q1795" i="9" s="1"/>
  <c r="P1794" i="9"/>
  <c r="O1794" i="9"/>
  <c r="Q1794" i="9" s="1"/>
  <c r="P1793" i="9"/>
  <c r="O1793" i="9"/>
  <c r="Q1793" i="9" s="1"/>
  <c r="P1792" i="9"/>
  <c r="O1792" i="9"/>
  <c r="Q1792" i="9" s="1"/>
  <c r="P1791" i="9"/>
  <c r="O1791" i="9"/>
  <c r="Q1791" i="9" s="1"/>
  <c r="P1790" i="9"/>
  <c r="O1790" i="9"/>
  <c r="Q1790" i="9" s="1"/>
  <c r="P1789" i="9"/>
  <c r="O1789" i="9"/>
  <c r="Q1789" i="9" s="1"/>
  <c r="P1788" i="9"/>
  <c r="O1788" i="9"/>
  <c r="Q1788" i="9" s="1"/>
  <c r="P1787" i="9"/>
  <c r="O1787" i="9"/>
  <c r="Q1787" i="9" s="1"/>
  <c r="P1786" i="9"/>
  <c r="O1786" i="9"/>
  <c r="Q1786" i="9" s="1"/>
  <c r="P1785" i="9"/>
  <c r="O1785" i="9"/>
  <c r="Q1785" i="9" s="1"/>
  <c r="P1784" i="9"/>
  <c r="O1784" i="9"/>
  <c r="Q1784" i="9" s="1"/>
  <c r="P1783" i="9"/>
  <c r="O1783" i="9"/>
  <c r="Q1783" i="9" s="1"/>
  <c r="P1782" i="9"/>
  <c r="O1782" i="9"/>
  <c r="P1781" i="9"/>
  <c r="O1781" i="9"/>
  <c r="Q1781" i="9" s="1"/>
  <c r="P1780" i="9"/>
  <c r="O1780" i="9"/>
  <c r="Q1780" i="9" s="1"/>
  <c r="P1779" i="9"/>
  <c r="O1779" i="9"/>
  <c r="Q1779" i="9" s="1"/>
  <c r="P1778" i="9"/>
  <c r="O1778" i="9"/>
  <c r="Q1778" i="9" s="1"/>
  <c r="P1777" i="9"/>
  <c r="O1777" i="9"/>
  <c r="Q1777" i="9" s="1"/>
  <c r="P1776" i="9"/>
  <c r="O1776" i="9"/>
  <c r="Q1776" i="9" s="1"/>
  <c r="P1775" i="9"/>
  <c r="O1775" i="9"/>
  <c r="Q1775" i="9" s="1"/>
  <c r="P1774" i="9"/>
  <c r="O1774" i="9"/>
  <c r="Q1774" i="9" s="1"/>
  <c r="P1773" i="9"/>
  <c r="O1773" i="9"/>
  <c r="Q1773" i="9" s="1"/>
  <c r="P1772" i="9"/>
  <c r="O1772" i="9"/>
  <c r="Q1772" i="9" s="1"/>
  <c r="P1771" i="9"/>
  <c r="O1771" i="9"/>
  <c r="Q1771" i="9" s="1"/>
  <c r="P1770" i="9"/>
  <c r="O1770" i="9"/>
  <c r="Q1770" i="9" s="1"/>
  <c r="P1769" i="9"/>
  <c r="O1769" i="9"/>
  <c r="Q1769" i="9" s="1"/>
  <c r="P1768" i="9"/>
  <c r="O1768" i="9"/>
  <c r="Q1768" i="9" s="1"/>
  <c r="P1767" i="9"/>
  <c r="O1767" i="9"/>
  <c r="Q1767" i="9" s="1"/>
  <c r="P1766" i="9"/>
  <c r="O1766" i="9"/>
  <c r="Q1766" i="9" s="1"/>
  <c r="P1765" i="9"/>
  <c r="O1765" i="9"/>
  <c r="Q1765" i="9" s="1"/>
  <c r="P1764" i="9"/>
  <c r="O1764" i="9"/>
  <c r="Q1764" i="9" s="1"/>
  <c r="P1763" i="9"/>
  <c r="O1763" i="9"/>
  <c r="Q1763" i="9" s="1"/>
  <c r="P1762" i="9"/>
  <c r="O1762" i="9"/>
  <c r="Q1762" i="9" s="1"/>
  <c r="P1761" i="9"/>
  <c r="O1761" i="9"/>
  <c r="Q1761" i="9" s="1"/>
  <c r="P1760" i="9"/>
  <c r="O1760" i="9"/>
  <c r="P1759" i="9"/>
  <c r="O1759" i="9"/>
  <c r="Q1759" i="9" s="1"/>
  <c r="P1758" i="9"/>
  <c r="O1758" i="9"/>
  <c r="Q1758" i="9" s="1"/>
  <c r="P1757" i="9"/>
  <c r="O1757" i="9"/>
  <c r="Q1757" i="9" s="1"/>
  <c r="P1756" i="9"/>
  <c r="O1756" i="9"/>
  <c r="Q1756" i="9" s="1"/>
  <c r="P1755" i="9"/>
  <c r="O1755" i="9"/>
  <c r="Q1755" i="9" s="1"/>
  <c r="P1754" i="9"/>
  <c r="O1754" i="9"/>
  <c r="Q1754" i="9" s="1"/>
  <c r="P1753" i="9"/>
  <c r="O1753" i="9"/>
  <c r="Q1753" i="9" s="1"/>
  <c r="P1752" i="9"/>
  <c r="O1752" i="9"/>
  <c r="Q1752" i="9" s="1"/>
  <c r="P1751" i="9"/>
  <c r="O1751" i="9"/>
  <c r="Q1751" i="9" s="1"/>
  <c r="P1750" i="9"/>
  <c r="O1750" i="9"/>
  <c r="Q1750" i="9" s="1"/>
  <c r="P1749" i="9"/>
  <c r="O1749" i="9"/>
  <c r="Q1749" i="9" s="1"/>
  <c r="P1748" i="9"/>
  <c r="O1748" i="9"/>
  <c r="Q1748" i="9" s="1"/>
  <c r="P1747" i="9"/>
  <c r="O1747" i="9"/>
  <c r="Q1747" i="9" s="1"/>
  <c r="P1746" i="9"/>
  <c r="O1746" i="9"/>
  <c r="Q1746" i="9" s="1"/>
  <c r="P1745" i="9"/>
  <c r="O1745" i="9"/>
  <c r="Q1745" i="9" s="1"/>
  <c r="P1744" i="9"/>
  <c r="O1744" i="9"/>
  <c r="Q1744" i="9" s="1"/>
  <c r="P1743" i="9"/>
  <c r="O1743" i="9"/>
  <c r="Q1743" i="9" s="1"/>
  <c r="P1742" i="9"/>
  <c r="O1742" i="9"/>
  <c r="Q1742" i="9" s="1"/>
  <c r="P1741" i="9"/>
  <c r="O1741" i="9"/>
  <c r="Q1741" i="9" s="1"/>
  <c r="P1740" i="9"/>
  <c r="O1740" i="9"/>
  <c r="Q1740" i="9" s="1"/>
  <c r="P1739" i="9"/>
  <c r="O1739" i="9"/>
  <c r="Q1739" i="9" s="1"/>
  <c r="P1738" i="9"/>
  <c r="O1738" i="9"/>
  <c r="Q1738" i="9" s="1"/>
  <c r="P1737" i="9"/>
  <c r="O1737" i="9"/>
  <c r="Q1737" i="9" s="1"/>
  <c r="P1736" i="9"/>
  <c r="O1736" i="9"/>
  <c r="Q1736" i="9" s="1"/>
  <c r="P1735" i="9"/>
  <c r="O1735" i="9"/>
  <c r="Q1735" i="9" s="1"/>
  <c r="P1734" i="9"/>
  <c r="O1734" i="9"/>
  <c r="Q1734" i="9" s="1"/>
  <c r="P1733" i="9"/>
  <c r="O1733" i="9"/>
  <c r="Q1733" i="9" s="1"/>
  <c r="P1732" i="9"/>
  <c r="O1732" i="9"/>
  <c r="Q1732" i="9" s="1"/>
  <c r="P1731" i="9"/>
  <c r="O1731" i="9"/>
  <c r="Q1731" i="9" s="1"/>
  <c r="P1730" i="9"/>
  <c r="O1730" i="9"/>
  <c r="Q1730" i="9" s="1"/>
  <c r="P1729" i="9"/>
  <c r="O1729" i="9"/>
  <c r="Q1729" i="9" s="1"/>
  <c r="P1728" i="9"/>
  <c r="O1728" i="9"/>
  <c r="Q1728" i="9" s="1"/>
  <c r="P1727" i="9"/>
  <c r="O1727" i="9"/>
  <c r="Q1727" i="9" s="1"/>
  <c r="P1726" i="9"/>
  <c r="O1726" i="9"/>
  <c r="Q1726" i="9" s="1"/>
  <c r="P1725" i="9"/>
  <c r="O1725" i="9"/>
  <c r="Q1725" i="9" s="1"/>
  <c r="P1724" i="9"/>
  <c r="O1724" i="9"/>
  <c r="Q1724" i="9" s="1"/>
  <c r="P1723" i="9"/>
  <c r="O1723" i="9"/>
  <c r="Q1723" i="9" s="1"/>
  <c r="P1722" i="9"/>
  <c r="O1722" i="9"/>
  <c r="Q1722" i="9" s="1"/>
  <c r="P1721" i="9"/>
  <c r="O1721" i="9"/>
  <c r="Q1721" i="9" s="1"/>
  <c r="P1720" i="9"/>
  <c r="O1720" i="9"/>
  <c r="Q1720" i="9" s="1"/>
  <c r="P1719" i="9"/>
  <c r="O1719" i="9"/>
  <c r="Q1719" i="9" s="1"/>
  <c r="P1718" i="9"/>
  <c r="O1718" i="9"/>
  <c r="Q1718" i="9" s="1"/>
  <c r="P1717" i="9"/>
  <c r="O1717" i="9"/>
  <c r="Q1717" i="9" s="1"/>
  <c r="P1716" i="9"/>
  <c r="O1716" i="9"/>
  <c r="Q1716" i="9" s="1"/>
  <c r="P1715" i="9"/>
  <c r="O1715" i="9"/>
  <c r="Q1715" i="9" s="1"/>
  <c r="P1714" i="9"/>
  <c r="O1714" i="9"/>
  <c r="Q1714" i="9" s="1"/>
  <c r="P1713" i="9"/>
  <c r="O1713" i="9"/>
  <c r="Q1713" i="9" s="1"/>
  <c r="P1712" i="9"/>
  <c r="O1712" i="9"/>
  <c r="Q1712" i="9" s="1"/>
  <c r="P1711" i="9"/>
  <c r="O1711" i="9"/>
  <c r="Q1711" i="9" s="1"/>
  <c r="P1710" i="9"/>
  <c r="O1710" i="9"/>
  <c r="Q1710" i="9" s="1"/>
  <c r="P1709" i="9"/>
  <c r="O1709" i="9"/>
  <c r="Q1709" i="9" s="1"/>
  <c r="P1708" i="9"/>
  <c r="O1708" i="9"/>
  <c r="Q1708" i="9" s="1"/>
  <c r="P1707" i="9"/>
  <c r="O1707" i="9"/>
  <c r="Q1707" i="9" s="1"/>
  <c r="P1706" i="9"/>
  <c r="O1706" i="9"/>
  <c r="Q1706" i="9" s="1"/>
  <c r="P1705" i="9"/>
  <c r="O1705" i="9"/>
  <c r="Q1705" i="9" s="1"/>
  <c r="P1704" i="9"/>
  <c r="O1704" i="9"/>
  <c r="Q1704" i="9" s="1"/>
  <c r="P1703" i="9"/>
  <c r="O1703" i="9"/>
  <c r="Q1703" i="9" s="1"/>
  <c r="P1702" i="9"/>
  <c r="O1702" i="9"/>
  <c r="Q1702" i="9" s="1"/>
  <c r="P1701" i="9"/>
  <c r="O1701" i="9"/>
  <c r="Q1701" i="9" s="1"/>
  <c r="P1700" i="9"/>
  <c r="O1700" i="9"/>
  <c r="Q1700" i="9" s="1"/>
  <c r="P1699" i="9"/>
  <c r="O1699" i="9"/>
  <c r="Q1699" i="9" s="1"/>
  <c r="P1698" i="9"/>
  <c r="O1698" i="9"/>
  <c r="Q1698" i="9" s="1"/>
  <c r="P1697" i="9"/>
  <c r="O1697" i="9"/>
  <c r="Q1697" i="9" s="1"/>
  <c r="P1696" i="9"/>
  <c r="O1696" i="9"/>
  <c r="Q1696" i="9" s="1"/>
  <c r="P1695" i="9"/>
  <c r="O1695" i="9"/>
  <c r="Q1695" i="9" s="1"/>
  <c r="P1694" i="9"/>
  <c r="O1694" i="9"/>
  <c r="Q1694" i="9" s="1"/>
  <c r="P1693" i="9"/>
  <c r="O1693" i="9"/>
  <c r="Q1693" i="9" s="1"/>
  <c r="P1692" i="9"/>
  <c r="O1692" i="9"/>
  <c r="Q1692" i="9" s="1"/>
  <c r="P1691" i="9"/>
  <c r="O1691" i="9"/>
  <c r="Q1691" i="9" s="1"/>
  <c r="P1690" i="9"/>
  <c r="O1690" i="9"/>
  <c r="Q1690" i="9" s="1"/>
  <c r="P1689" i="9"/>
  <c r="O1689" i="9"/>
  <c r="Q1689" i="9" s="1"/>
  <c r="P1688" i="9"/>
  <c r="O1688" i="9"/>
  <c r="Q1688" i="9" s="1"/>
  <c r="P1687" i="9"/>
  <c r="O1687" i="9"/>
  <c r="Q1687" i="9" s="1"/>
  <c r="P1686" i="9"/>
  <c r="O1686" i="9"/>
  <c r="Q1686" i="9" s="1"/>
  <c r="P1685" i="9"/>
  <c r="O1685" i="9"/>
  <c r="Q1685" i="9" s="1"/>
  <c r="P1684" i="9"/>
  <c r="O1684" i="9"/>
  <c r="Q1684" i="9" s="1"/>
  <c r="P1683" i="9"/>
  <c r="O1683" i="9"/>
  <c r="Q1683" i="9" s="1"/>
  <c r="P1682" i="9"/>
  <c r="O1682" i="9"/>
  <c r="Q1682" i="9" s="1"/>
  <c r="P1681" i="9"/>
  <c r="O1681" i="9"/>
  <c r="Q1681" i="9" s="1"/>
  <c r="P1680" i="9"/>
  <c r="O1680" i="9"/>
  <c r="Q1680" i="9" s="1"/>
  <c r="P1679" i="9"/>
  <c r="O1679" i="9"/>
  <c r="Q1679" i="9" s="1"/>
  <c r="P1678" i="9"/>
  <c r="O1678" i="9"/>
  <c r="Q1678" i="9" s="1"/>
  <c r="P1677" i="9"/>
  <c r="O1677" i="9"/>
  <c r="Q1677" i="9" s="1"/>
  <c r="P1676" i="9"/>
  <c r="O1676" i="9"/>
  <c r="Q1676" i="9" s="1"/>
  <c r="P1675" i="9"/>
  <c r="O1675" i="9"/>
  <c r="Q1675" i="9" s="1"/>
  <c r="P1674" i="9"/>
  <c r="O1674" i="9"/>
  <c r="Q1674" i="9" s="1"/>
  <c r="P1673" i="9"/>
  <c r="O1673" i="9"/>
  <c r="Q1673" i="9" s="1"/>
  <c r="P1672" i="9"/>
  <c r="O1672" i="9"/>
  <c r="Q1672" i="9" s="1"/>
  <c r="P1671" i="9"/>
  <c r="O1671" i="9"/>
  <c r="Q1671" i="9" s="1"/>
  <c r="P1670" i="9"/>
  <c r="O1670" i="9"/>
  <c r="Q1670" i="9" s="1"/>
  <c r="P1669" i="9"/>
  <c r="O1669" i="9"/>
  <c r="Q1669" i="9" s="1"/>
  <c r="P1668" i="9"/>
  <c r="O1668" i="9"/>
  <c r="Q1668" i="9" s="1"/>
  <c r="P1667" i="9"/>
  <c r="O1667" i="9"/>
  <c r="Q1667" i="9" s="1"/>
  <c r="P1666" i="9"/>
  <c r="O1666" i="9"/>
  <c r="Q1666" i="9" s="1"/>
  <c r="P1665" i="9"/>
  <c r="O1665" i="9"/>
  <c r="Q1665" i="9" s="1"/>
  <c r="P1664" i="9"/>
  <c r="O1664" i="9"/>
  <c r="Q1664" i="9" s="1"/>
  <c r="P1663" i="9"/>
  <c r="O1663" i="9"/>
  <c r="Q1663" i="9" s="1"/>
  <c r="P1662" i="9"/>
  <c r="O1662" i="9"/>
  <c r="Q1662" i="9" s="1"/>
  <c r="P1661" i="9"/>
  <c r="O1661" i="9"/>
  <c r="Q1661" i="9" s="1"/>
  <c r="P1660" i="9"/>
  <c r="O1660" i="9"/>
  <c r="Q1660" i="9" s="1"/>
  <c r="P1659" i="9"/>
  <c r="O1659" i="9"/>
  <c r="Q1659" i="9" s="1"/>
  <c r="P1658" i="9"/>
  <c r="O1658" i="9"/>
  <c r="Q1658" i="9" s="1"/>
  <c r="P1657" i="9"/>
  <c r="O1657" i="9"/>
  <c r="Q1657" i="9" s="1"/>
  <c r="P1656" i="9"/>
  <c r="O1656" i="9"/>
  <c r="Q1656" i="9" s="1"/>
  <c r="P1655" i="9"/>
  <c r="O1655" i="9"/>
  <c r="Q1655" i="9" s="1"/>
  <c r="P1654" i="9"/>
  <c r="O1654" i="9"/>
  <c r="Q1654" i="9" s="1"/>
  <c r="P1653" i="9"/>
  <c r="O1653" i="9"/>
  <c r="Q1653" i="9" s="1"/>
  <c r="P1652" i="9"/>
  <c r="O1652" i="9"/>
  <c r="Q1652" i="9" s="1"/>
  <c r="P1651" i="9"/>
  <c r="O1651" i="9"/>
  <c r="Q1651" i="9" s="1"/>
  <c r="P1650" i="9"/>
  <c r="O1650" i="9"/>
  <c r="Q1650" i="9" s="1"/>
  <c r="P1649" i="9"/>
  <c r="O1649" i="9"/>
  <c r="Q1649" i="9" s="1"/>
  <c r="P1648" i="9"/>
  <c r="O1648" i="9"/>
  <c r="Q1648" i="9" s="1"/>
  <c r="P1647" i="9"/>
  <c r="O1647" i="9"/>
  <c r="Q1647" i="9" s="1"/>
  <c r="P1646" i="9"/>
  <c r="O1646" i="9"/>
  <c r="Q1646" i="9" s="1"/>
  <c r="P1645" i="9"/>
  <c r="O1645" i="9"/>
  <c r="Q1645" i="9" s="1"/>
  <c r="P1644" i="9"/>
  <c r="O1644" i="9"/>
  <c r="Q1644" i="9" s="1"/>
  <c r="P1643" i="9"/>
  <c r="O1643" i="9"/>
  <c r="Q1643" i="9" s="1"/>
  <c r="P1642" i="9"/>
  <c r="O1642" i="9"/>
  <c r="Q1642" i="9" s="1"/>
  <c r="P1641" i="9"/>
  <c r="O1641" i="9"/>
  <c r="Q1641" i="9" s="1"/>
  <c r="P1640" i="9"/>
  <c r="O1640" i="9"/>
  <c r="Q1640" i="9" s="1"/>
  <c r="P1639" i="9"/>
  <c r="O1639" i="9"/>
  <c r="Q1639" i="9" s="1"/>
  <c r="P1638" i="9"/>
  <c r="O1638" i="9"/>
  <c r="Q1638" i="9" s="1"/>
  <c r="P1637" i="9"/>
  <c r="O1637" i="9"/>
  <c r="Q1637" i="9" s="1"/>
  <c r="P1636" i="9"/>
  <c r="O1636" i="9"/>
  <c r="Q1636" i="9" s="1"/>
  <c r="P1635" i="9"/>
  <c r="O1635" i="9"/>
  <c r="Q1635" i="9" s="1"/>
  <c r="P1634" i="9"/>
  <c r="O1634" i="9"/>
  <c r="Q1634" i="9" s="1"/>
  <c r="P1633" i="9"/>
  <c r="O1633" i="9"/>
  <c r="Q1633" i="9" s="1"/>
  <c r="P1632" i="9"/>
  <c r="O1632" i="9"/>
  <c r="Q1632" i="9" s="1"/>
  <c r="P1631" i="9"/>
  <c r="O1631" i="9"/>
  <c r="Q1631" i="9" s="1"/>
  <c r="P1630" i="9"/>
  <c r="O1630" i="9"/>
  <c r="Q1630" i="9" s="1"/>
  <c r="P1629" i="9"/>
  <c r="O1629" i="9"/>
  <c r="Q1629" i="9" s="1"/>
  <c r="P1628" i="9"/>
  <c r="O1628" i="9"/>
  <c r="Q1628" i="9" s="1"/>
  <c r="P1627" i="9"/>
  <c r="O1627" i="9"/>
  <c r="Q1627" i="9" s="1"/>
  <c r="P1626" i="9"/>
  <c r="O1626" i="9"/>
  <c r="Q1626" i="9" s="1"/>
  <c r="P1625" i="9"/>
  <c r="O1625" i="9"/>
  <c r="Q1625" i="9" s="1"/>
  <c r="P1624" i="9"/>
  <c r="O1624" i="9"/>
  <c r="Q1624" i="9" s="1"/>
  <c r="P1623" i="9"/>
  <c r="O1623" i="9"/>
  <c r="Q1623" i="9" s="1"/>
  <c r="P1622" i="9"/>
  <c r="O1622" i="9"/>
  <c r="Q1622" i="9" s="1"/>
  <c r="P1621" i="9"/>
  <c r="O1621" i="9"/>
  <c r="Q1621" i="9" s="1"/>
  <c r="P1620" i="9"/>
  <c r="O1620" i="9"/>
  <c r="Q1620" i="9" s="1"/>
  <c r="P1619" i="9"/>
  <c r="O1619" i="9"/>
  <c r="Q1619" i="9" s="1"/>
  <c r="P1618" i="9"/>
  <c r="O1618" i="9"/>
  <c r="Q1618" i="9" s="1"/>
  <c r="P1617" i="9"/>
  <c r="O1617" i="9"/>
  <c r="Q1617" i="9" s="1"/>
  <c r="P1616" i="9"/>
  <c r="O1616" i="9"/>
  <c r="Q1616" i="9" s="1"/>
  <c r="P1615" i="9"/>
  <c r="O1615" i="9"/>
  <c r="Q1615" i="9" s="1"/>
  <c r="P1614" i="9"/>
  <c r="O1614" i="9"/>
  <c r="Q1614" i="9" s="1"/>
  <c r="P1613" i="9"/>
  <c r="O1613" i="9"/>
  <c r="Q1613" i="9" s="1"/>
  <c r="P1612" i="9"/>
  <c r="O1612" i="9"/>
  <c r="Q1612" i="9" s="1"/>
  <c r="P1611" i="9"/>
  <c r="O1611" i="9"/>
  <c r="Q1611" i="9" s="1"/>
  <c r="P1610" i="9"/>
  <c r="O1610" i="9"/>
  <c r="Q1610" i="9" s="1"/>
  <c r="P1609" i="9"/>
  <c r="O1609" i="9"/>
  <c r="Q1609" i="9" s="1"/>
  <c r="P1608" i="9"/>
  <c r="O1608" i="9"/>
  <c r="Q1608" i="9" s="1"/>
  <c r="P1607" i="9"/>
  <c r="O1607" i="9"/>
  <c r="Q1607" i="9" s="1"/>
  <c r="P1606" i="9"/>
  <c r="O1606" i="9"/>
  <c r="Q1606" i="9" s="1"/>
  <c r="P1605" i="9"/>
  <c r="O1605" i="9"/>
  <c r="Q1605" i="9" s="1"/>
  <c r="P1604" i="9"/>
  <c r="O1604" i="9"/>
  <c r="Q1604" i="9" s="1"/>
  <c r="P1603" i="9"/>
  <c r="O1603" i="9"/>
  <c r="Q1603" i="9" s="1"/>
  <c r="P1602" i="9"/>
  <c r="O1602" i="9"/>
  <c r="Q1602" i="9" s="1"/>
  <c r="P1601" i="9"/>
  <c r="O1601" i="9"/>
  <c r="Q1601" i="9" s="1"/>
  <c r="P1600" i="9"/>
  <c r="O1600" i="9"/>
  <c r="Q1600" i="9" s="1"/>
  <c r="P1599" i="9"/>
  <c r="O1599" i="9"/>
  <c r="Q1599" i="9" s="1"/>
  <c r="P1598" i="9"/>
  <c r="O1598" i="9"/>
  <c r="Q1598" i="9" s="1"/>
  <c r="P1597" i="9"/>
  <c r="O1597" i="9"/>
  <c r="Q1597" i="9" s="1"/>
  <c r="P1596" i="9"/>
  <c r="O1596" i="9"/>
  <c r="Q1596" i="9" s="1"/>
  <c r="P1595" i="9"/>
  <c r="O1595" i="9"/>
  <c r="Q1595" i="9" s="1"/>
  <c r="P1594" i="9"/>
  <c r="O1594" i="9"/>
  <c r="Q1594" i="9" s="1"/>
  <c r="P1593" i="9"/>
  <c r="O1593" i="9"/>
  <c r="Q1593" i="9" s="1"/>
  <c r="P1592" i="9"/>
  <c r="O1592" i="9"/>
  <c r="Q1592" i="9" s="1"/>
  <c r="P1591" i="9"/>
  <c r="O1591" i="9"/>
  <c r="Q1591" i="9" s="1"/>
  <c r="P1590" i="9"/>
  <c r="O1590" i="9"/>
  <c r="Q1590" i="9" s="1"/>
  <c r="P1589" i="9"/>
  <c r="O1589" i="9"/>
  <c r="Q1589" i="9" s="1"/>
  <c r="P1588" i="9"/>
  <c r="O1588" i="9"/>
  <c r="Q1588" i="9" s="1"/>
  <c r="P1587" i="9"/>
  <c r="O1587" i="9"/>
  <c r="Q1587" i="9" s="1"/>
  <c r="P1586" i="9"/>
  <c r="O1586" i="9"/>
  <c r="Q1586" i="9" s="1"/>
  <c r="P1585" i="9"/>
  <c r="O1585" i="9"/>
  <c r="Q1585" i="9" s="1"/>
  <c r="P1584" i="9"/>
  <c r="O1584" i="9"/>
  <c r="Q1584" i="9" s="1"/>
  <c r="P1583" i="9"/>
  <c r="O1583" i="9"/>
  <c r="Q1583" i="9" s="1"/>
  <c r="P1582" i="9"/>
  <c r="O1582" i="9"/>
  <c r="Q1582" i="9" s="1"/>
  <c r="P1581" i="9"/>
  <c r="O1581" i="9"/>
  <c r="Q1581" i="9" s="1"/>
  <c r="P1580" i="9"/>
  <c r="O1580" i="9"/>
  <c r="Q1580" i="9" s="1"/>
  <c r="P1579" i="9"/>
  <c r="O1579" i="9"/>
  <c r="Q1579" i="9" s="1"/>
  <c r="P1578" i="9"/>
  <c r="O1578" i="9"/>
  <c r="Q1578" i="9" s="1"/>
  <c r="P1577" i="9"/>
  <c r="O1577" i="9"/>
  <c r="Q1577" i="9" s="1"/>
  <c r="P1576" i="9"/>
  <c r="O1576" i="9"/>
  <c r="Q1576" i="9" s="1"/>
  <c r="P1575" i="9"/>
  <c r="O1575" i="9"/>
  <c r="Q1575" i="9" s="1"/>
  <c r="P1574" i="9"/>
  <c r="O1574" i="9"/>
  <c r="Q1574" i="9" s="1"/>
  <c r="P1573" i="9"/>
  <c r="O1573" i="9"/>
  <c r="Q1573" i="9" s="1"/>
  <c r="P1572" i="9"/>
  <c r="O1572" i="9"/>
  <c r="Q1572" i="9" s="1"/>
  <c r="P1571" i="9"/>
  <c r="O1571" i="9"/>
  <c r="Q1571" i="9" s="1"/>
  <c r="P1570" i="9"/>
  <c r="O1570" i="9"/>
  <c r="Q1570" i="9" s="1"/>
  <c r="P1569" i="9"/>
  <c r="O1569" i="9"/>
  <c r="Q1569" i="9" s="1"/>
  <c r="P1568" i="9"/>
  <c r="O1568" i="9"/>
  <c r="Q1568" i="9" s="1"/>
  <c r="P1567" i="9"/>
  <c r="O1567" i="9"/>
  <c r="Q1567" i="9" s="1"/>
  <c r="P1566" i="9"/>
  <c r="O1566" i="9"/>
  <c r="Q1566" i="9" s="1"/>
  <c r="P1565" i="9"/>
  <c r="O1565" i="9"/>
  <c r="Q1565" i="9" s="1"/>
  <c r="P1564" i="9"/>
  <c r="O1564" i="9"/>
  <c r="Q1564" i="9" s="1"/>
  <c r="P1563" i="9"/>
  <c r="O1563" i="9"/>
  <c r="Q1563" i="9" s="1"/>
  <c r="P1562" i="9"/>
  <c r="O1562" i="9"/>
  <c r="Q1562" i="9" s="1"/>
  <c r="P1561" i="9"/>
  <c r="O1561" i="9"/>
  <c r="Q1561" i="9" s="1"/>
  <c r="P1560" i="9"/>
  <c r="O1560" i="9"/>
  <c r="Q1560" i="9" s="1"/>
  <c r="P1559" i="9"/>
  <c r="O1559" i="9"/>
  <c r="Q1559" i="9" s="1"/>
  <c r="P1558" i="9"/>
  <c r="O1558" i="9"/>
  <c r="Q1558" i="9" s="1"/>
  <c r="P1557" i="9"/>
  <c r="O1557" i="9"/>
  <c r="Q1557" i="9" s="1"/>
  <c r="P1556" i="9"/>
  <c r="O1556" i="9"/>
  <c r="Q1556" i="9" s="1"/>
  <c r="P1555" i="9"/>
  <c r="O1555" i="9"/>
  <c r="Q1555" i="9" s="1"/>
  <c r="P1554" i="9"/>
  <c r="O1554" i="9"/>
  <c r="Q1554" i="9" s="1"/>
  <c r="P1553" i="9"/>
  <c r="O1553" i="9"/>
  <c r="Q1553" i="9" s="1"/>
  <c r="P1552" i="9"/>
  <c r="O1552" i="9"/>
  <c r="Q1552" i="9" s="1"/>
  <c r="P1551" i="9"/>
  <c r="O1551" i="9"/>
  <c r="Q1551" i="9" s="1"/>
  <c r="P1550" i="9"/>
  <c r="O1550" i="9"/>
  <c r="Q1550" i="9" s="1"/>
  <c r="P1549" i="9"/>
  <c r="O1549" i="9"/>
  <c r="Q1549" i="9" s="1"/>
  <c r="P1548" i="9"/>
  <c r="O1548" i="9"/>
  <c r="Q1548" i="9" s="1"/>
  <c r="P1547" i="9"/>
  <c r="O1547" i="9"/>
  <c r="Q1547" i="9" s="1"/>
  <c r="P1546" i="9"/>
  <c r="O1546" i="9"/>
  <c r="Q1546" i="9" s="1"/>
  <c r="P1545" i="9"/>
  <c r="O1545" i="9"/>
  <c r="Q1545" i="9" s="1"/>
  <c r="P1544" i="9"/>
  <c r="O1544" i="9"/>
  <c r="Q1544" i="9" s="1"/>
  <c r="P1543" i="9"/>
  <c r="O1543" i="9"/>
  <c r="Q1543" i="9" s="1"/>
  <c r="P1542" i="9"/>
  <c r="O1542" i="9"/>
  <c r="Q1542" i="9" s="1"/>
  <c r="P1541" i="9"/>
  <c r="O1541" i="9"/>
  <c r="Q1541" i="9" s="1"/>
  <c r="P1540" i="9"/>
  <c r="O1540" i="9"/>
  <c r="Q1540" i="9" s="1"/>
  <c r="P1539" i="9"/>
  <c r="O1539" i="9"/>
  <c r="Q1539" i="9" s="1"/>
  <c r="P1538" i="9"/>
  <c r="O1538" i="9"/>
  <c r="Q1538" i="9" s="1"/>
  <c r="P1537" i="9"/>
  <c r="O1537" i="9"/>
  <c r="Q1537" i="9" s="1"/>
  <c r="P1536" i="9"/>
  <c r="O1536" i="9"/>
  <c r="Q1536" i="9" s="1"/>
  <c r="P1535" i="9"/>
  <c r="O1535" i="9"/>
  <c r="Q1535" i="9" s="1"/>
  <c r="P1534" i="9"/>
  <c r="O1534" i="9"/>
  <c r="Q1534" i="9" s="1"/>
  <c r="P1533" i="9"/>
  <c r="O1533" i="9"/>
  <c r="Q1533" i="9" s="1"/>
  <c r="P1532" i="9"/>
  <c r="O1532" i="9"/>
  <c r="Q1532" i="9" s="1"/>
  <c r="P1531" i="9"/>
  <c r="O1531" i="9"/>
  <c r="Q1531" i="9" s="1"/>
  <c r="P1530" i="9"/>
  <c r="O1530" i="9"/>
  <c r="Q1530" i="9" s="1"/>
  <c r="P1529" i="9"/>
  <c r="O1529" i="9"/>
  <c r="Q1529" i="9" s="1"/>
  <c r="P1528" i="9"/>
  <c r="O1528" i="9"/>
  <c r="Q1528" i="9" s="1"/>
  <c r="P1527" i="9"/>
  <c r="O1527" i="9"/>
  <c r="Q1527" i="9" s="1"/>
  <c r="P1526" i="9"/>
  <c r="O1526" i="9"/>
  <c r="Q1526" i="9" s="1"/>
  <c r="P1525" i="9"/>
  <c r="O1525" i="9"/>
  <c r="Q1525" i="9" s="1"/>
  <c r="P1524" i="9"/>
  <c r="O1524" i="9"/>
  <c r="Q1524" i="9" s="1"/>
  <c r="P1523" i="9"/>
  <c r="O1523" i="9"/>
  <c r="Q1523" i="9" s="1"/>
  <c r="P1522" i="9"/>
  <c r="O1522" i="9"/>
  <c r="Q1522" i="9" s="1"/>
  <c r="P1521" i="9"/>
  <c r="O1521" i="9"/>
  <c r="Q1521" i="9" s="1"/>
  <c r="P1520" i="9"/>
  <c r="O1520" i="9"/>
  <c r="Q1520" i="9" s="1"/>
  <c r="P1519" i="9"/>
  <c r="O1519" i="9"/>
  <c r="Q1519" i="9" s="1"/>
  <c r="P1518" i="9"/>
  <c r="O1518" i="9"/>
  <c r="Q1518" i="9" s="1"/>
  <c r="P1517" i="9"/>
  <c r="O1517" i="9"/>
  <c r="Q1517" i="9" s="1"/>
  <c r="P1516" i="9"/>
  <c r="O1516" i="9"/>
  <c r="Q1516" i="9" s="1"/>
  <c r="P1515" i="9"/>
  <c r="O1515" i="9"/>
  <c r="Q1515" i="9" s="1"/>
  <c r="P1514" i="9"/>
  <c r="O1514" i="9"/>
  <c r="Q1514" i="9" s="1"/>
  <c r="P1513" i="9"/>
  <c r="O1513" i="9"/>
  <c r="Q1513" i="9" s="1"/>
  <c r="P1512" i="9"/>
  <c r="O1512" i="9"/>
  <c r="Q1512" i="9" s="1"/>
  <c r="P1511" i="9"/>
  <c r="O1511" i="9"/>
  <c r="Q1511" i="9" s="1"/>
  <c r="P1510" i="9"/>
  <c r="O1510" i="9"/>
  <c r="Q1510" i="9" s="1"/>
  <c r="P1509" i="9"/>
  <c r="O1509" i="9"/>
  <c r="Q1509" i="9" s="1"/>
  <c r="P1508" i="9"/>
  <c r="O1508" i="9"/>
  <c r="Q1508" i="9" s="1"/>
  <c r="P1507" i="9"/>
  <c r="O1507" i="9"/>
  <c r="Q1507" i="9" s="1"/>
  <c r="P1506" i="9"/>
  <c r="O1506" i="9"/>
  <c r="Q1506" i="9" s="1"/>
  <c r="P1505" i="9"/>
  <c r="O1505" i="9"/>
  <c r="Q1505" i="9" s="1"/>
  <c r="P1504" i="9"/>
  <c r="O1504" i="9"/>
  <c r="Q1504" i="9" s="1"/>
  <c r="P1503" i="9"/>
  <c r="O1503" i="9"/>
  <c r="Q1503" i="9" s="1"/>
  <c r="P1502" i="9"/>
  <c r="O1502" i="9"/>
  <c r="Q1502" i="9" s="1"/>
  <c r="P1501" i="9"/>
  <c r="O1501" i="9"/>
  <c r="Q1501" i="9" s="1"/>
  <c r="P1500" i="9"/>
  <c r="O1500" i="9"/>
  <c r="Q1500" i="9" s="1"/>
  <c r="P1499" i="9"/>
  <c r="O1499" i="9"/>
  <c r="Q1499" i="9" s="1"/>
  <c r="P1498" i="9"/>
  <c r="O1498" i="9"/>
  <c r="Q1498" i="9" s="1"/>
  <c r="P1497" i="9"/>
  <c r="O1497" i="9"/>
  <c r="Q1497" i="9" s="1"/>
  <c r="P1496" i="9"/>
  <c r="O1496" i="9"/>
  <c r="Q1496" i="9" s="1"/>
  <c r="P1495" i="9"/>
  <c r="O1495" i="9"/>
  <c r="Q1495" i="9" s="1"/>
  <c r="P1494" i="9"/>
  <c r="O1494" i="9"/>
  <c r="Q1494" i="9" s="1"/>
  <c r="P1493" i="9"/>
  <c r="O1493" i="9"/>
  <c r="Q1493" i="9" s="1"/>
  <c r="P1492" i="9"/>
  <c r="O1492" i="9"/>
  <c r="Q1492" i="9" s="1"/>
  <c r="P1491" i="9"/>
  <c r="O1491" i="9"/>
  <c r="Q1491" i="9" s="1"/>
  <c r="P1490" i="9"/>
  <c r="O1490" i="9"/>
  <c r="Q1490" i="9" s="1"/>
  <c r="P1489" i="9"/>
  <c r="O1489" i="9"/>
  <c r="Q1489" i="9" s="1"/>
  <c r="P1488" i="9"/>
  <c r="O1488" i="9"/>
  <c r="Q1488" i="9" s="1"/>
  <c r="P1487" i="9"/>
  <c r="O1487" i="9"/>
  <c r="Q1487" i="9" s="1"/>
  <c r="P1486" i="9"/>
  <c r="O1486" i="9"/>
  <c r="Q1486" i="9" s="1"/>
  <c r="P1485" i="9"/>
  <c r="O1485" i="9"/>
  <c r="Q1485" i="9" s="1"/>
  <c r="P1484" i="9"/>
  <c r="O1484" i="9"/>
  <c r="Q1484" i="9" s="1"/>
  <c r="P1483" i="9"/>
  <c r="O1483" i="9"/>
  <c r="Q1483" i="9" s="1"/>
  <c r="P1482" i="9"/>
  <c r="O1482" i="9"/>
  <c r="Q1482" i="9" s="1"/>
  <c r="P1481" i="9"/>
  <c r="O1481" i="9"/>
  <c r="Q1481" i="9" s="1"/>
  <c r="P1480" i="9"/>
  <c r="O1480" i="9"/>
  <c r="Q1480" i="9" s="1"/>
  <c r="P1479" i="9"/>
  <c r="O1479" i="9"/>
  <c r="Q1479" i="9" s="1"/>
  <c r="P1478" i="9"/>
  <c r="O1478" i="9"/>
  <c r="Q1478" i="9" s="1"/>
  <c r="P1477" i="9"/>
  <c r="O1477" i="9"/>
  <c r="Q1477" i="9" s="1"/>
  <c r="P1476" i="9"/>
  <c r="O1476" i="9"/>
  <c r="Q1476" i="9" s="1"/>
  <c r="P1475" i="9"/>
  <c r="O1475" i="9"/>
  <c r="Q1475" i="9" s="1"/>
  <c r="P1474" i="9"/>
  <c r="O1474" i="9"/>
  <c r="Q1474" i="9" s="1"/>
  <c r="P1473" i="9"/>
  <c r="O1473" i="9"/>
  <c r="Q1473" i="9" s="1"/>
  <c r="P1472" i="9"/>
  <c r="O1472" i="9"/>
  <c r="Q1472" i="9" s="1"/>
  <c r="P1471" i="9"/>
  <c r="O1471" i="9"/>
  <c r="Q1471" i="9" s="1"/>
  <c r="P1470" i="9"/>
  <c r="O1470" i="9"/>
  <c r="Q1470" i="9" s="1"/>
  <c r="P1469" i="9"/>
  <c r="O1469" i="9"/>
  <c r="Q1469" i="9" s="1"/>
  <c r="P1468" i="9"/>
  <c r="O1468" i="9"/>
  <c r="Q1468" i="9" s="1"/>
  <c r="P1467" i="9"/>
  <c r="O1467" i="9"/>
  <c r="Q1467" i="9" s="1"/>
  <c r="P1466" i="9"/>
  <c r="O1466" i="9"/>
  <c r="Q1466" i="9" s="1"/>
  <c r="P1465" i="9"/>
  <c r="O1465" i="9"/>
  <c r="Q1465" i="9" s="1"/>
  <c r="P1464" i="9"/>
  <c r="O1464" i="9"/>
  <c r="Q1464" i="9" s="1"/>
  <c r="P1463" i="9"/>
  <c r="O1463" i="9"/>
  <c r="Q1463" i="9" s="1"/>
  <c r="P1462" i="9"/>
  <c r="O1462" i="9"/>
  <c r="Q1462" i="9" s="1"/>
  <c r="P1461" i="9"/>
  <c r="O1461" i="9"/>
  <c r="Q1461" i="9" s="1"/>
  <c r="P1460" i="9"/>
  <c r="O1460" i="9"/>
  <c r="Q1460" i="9" s="1"/>
  <c r="P1459" i="9"/>
  <c r="O1459" i="9"/>
  <c r="Q1459" i="9" s="1"/>
  <c r="P1458" i="9"/>
  <c r="O1458" i="9"/>
  <c r="Q1458" i="9" s="1"/>
  <c r="P1457" i="9"/>
  <c r="O1457" i="9"/>
  <c r="Q1457" i="9" s="1"/>
  <c r="P1456" i="9"/>
  <c r="O1456" i="9"/>
  <c r="Q1456" i="9" s="1"/>
  <c r="P1455" i="9"/>
  <c r="O1455" i="9"/>
  <c r="Q1455" i="9" s="1"/>
  <c r="P1454" i="9"/>
  <c r="O1454" i="9"/>
  <c r="Q1454" i="9" s="1"/>
  <c r="P1453" i="9"/>
  <c r="O1453" i="9"/>
  <c r="Q1453" i="9" s="1"/>
  <c r="P1452" i="9"/>
  <c r="O1452" i="9"/>
  <c r="Q1452" i="9" s="1"/>
  <c r="P1451" i="9"/>
  <c r="O1451" i="9"/>
  <c r="Q1451" i="9" s="1"/>
  <c r="P1450" i="9"/>
  <c r="O1450" i="9"/>
  <c r="Q1450" i="9" s="1"/>
  <c r="P1449" i="9"/>
  <c r="O1449" i="9"/>
  <c r="Q1449" i="9" s="1"/>
  <c r="P1448" i="9"/>
  <c r="O1448" i="9"/>
  <c r="Q1448" i="9" s="1"/>
  <c r="P1447" i="9"/>
  <c r="O1447" i="9"/>
  <c r="Q1447" i="9" s="1"/>
  <c r="P1446" i="9"/>
  <c r="O1446" i="9"/>
  <c r="Q1446" i="9" s="1"/>
  <c r="P1445" i="9"/>
  <c r="O1445" i="9"/>
  <c r="Q1445" i="9" s="1"/>
  <c r="P1444" i="9"/>
  <c r="O1444" i="9"/>
  <c r="Q1444" i="9" s="1"/>
  <c r="P1443" i="9"/>
  <c r="O1443" i="9"/>
  <c r="Q1443" i="9" s="1"/>
  <c r="P1442" i="9"/>
  <c r="O1442" i="9"/>
  <c r="Q1442" i="9" s="1"/>
  <c r="P1441" i="9"/>
  <c r="O1441" i="9"/>
  <c r="Q1441" i="9" s="1"/>
  <c r="P1440" i="9"/>
  <c r="O1440" i="9"/>
  <c r="Q1440" i="9" s="1"/>
  <c r="P1439" i="9"/>
  <c r="O1439" i="9"/>
  <c r="Q1439" i="9" s="1"/>
  <c r="P1438" i="9"/>
  <c r="O1438" i="9"/>
  <c r="Q1438" i="9" s="1"/>
  <c r="P1437" i="9"/>
  <c r="O1437" i="9"/>
  <c r="Q1437" i="9" s="1"/>
  <c r="P1436" i="9"/>
  <c r="O1436" i="9"/>
  <c r="Q1436" i="9" s="1"/>
  <c r="P1435" i="9"/>
  <c r="O1435" i="9"/>
  <c r="Q1435" i="9" s="1"/>
  <c r="P1434" i="9"/>
  <c r="O1434" i="9"/>
  <c r="Q1434" i="9" s="1"/>
  <c r="P1433" i="9"/>
  <c r="O1433" i="9"/>
  <c r="Q1433" i="9" s="1"/>
  <c r="P1432" i="9"/>
  <c r="O1432" i="9"/>
  <c r="Q1432" i="9" s="1"/>
  <c r="P1431" i="9"/>
  <c r="O1431" i="9"/>
  <c r="Q1431" i="9" s="1"/>
  <c r="P1430" i="9"/>
  <c r="O1430" i="9"/>
  <c r="Q1430" i="9" s="1"/>
  <c r="P1429" i="9"/>
  <c r="O1429" i="9"/>
  <c r="Q1429" i="9" s="1"/>
  <c r="P1428" i="9"/>
  <c r="O1428" i="9"/>
  <c r="Q1428" i="9" s="1"/>
  <c r="P1427" i="9"/>
  <c r="O1427" i="9"/>
  <c r="Q1427" i="9" s="1"/>
  <c r="P1426" i="9"/>
  <c r="O1426" i="9"/>
  <c r="Q1426" i="9" s="1"/>
  <c r="P1425" i="9"/>
  <c r="O1425" i="9"/>
  <c r="Q1425" i="9" s="1"/>
  <c r="P1424" i="9"/>
  <c r="O1424" i="9"/>
  <c r="Q1424" i="9" s="1"/>
  <c r="P1423" i="9"/>
  <c r="O1423" i="9"/>
  <c r="Q1423" i="9" s="1"/>
  <c r="P1422" i="9"/>
  <c r="O1422" i="9"/>
  <c r="Q1422" i="9" s="1"/>
  <c r="P1421" i="9"/>
  <c r="O1421" i="9"/>
  <c r="Q1421" i="9" s="1"/>
  <c r="P1420" i="9"/>
  <c r="O1420" i="9"/>
  <c r="Q1420" i="9" s="1"/>
  <c r="P1419" i="9"/>
  <c r="O1419" i="9"/>
  <c r="Q1419" i="9" s="1"/>
  <c r="P1418" i="9"/>
  <c r="O1418" i="9"/>
  <c r="Q1418" i="9" s="1"/>
  <c r="P1417" i="9"/>
  <c r="O1417" i="9"/>
  <c r="Q1417" i="9" s="1"/>
  <c r="P1416" i="9"/>
  <c r="O1416" i="9"/>
  <c r="Q1416" i="9" s="1"/>
  <c r="P1415" i="9"/>
  <c r="O1415" i="9"/>
  <c r="Q1415" i="9" s="1"/>
  <c r="P1414" i="9"/>
  <c r="O1414" i="9"/>
  <c r="Q1414" i="9" s="1"/>
  <c r="P1413" i="9"/>
  <c r="O1413" i="9"/>
  <c r="Q1413" i="9" s="1"/>
  <c r="P1412" i="9"/>
  <c r="O1412" i="9"/>
  <c r="Q1412" i="9" s="1"/>
  <c r="P1411" i="9"/>
  <c r="O1411" i="9"/>
  <c r="Q1411" i="9" s="1"/>
  <c r="P1410" i="9"/>
  <c r="O1410" i="9"/>
  <c r="Q1410" i="9" s="1"/>
  <c r="P1409" i="9"/>
  <c r="O1409" i="9"/>
  <c r="Q1409" i="9" s="1"/>
  <c r="P1408" i="9"/>
  <c r="O1408" i="9"/>
  <c r="Q1408" i="9" s="1"/>
  <c r="P1407" i="9"/>
  <c r="O1407" i="9"/>
  <c r="Q1407" i="9" s="1"/>
  <c r="P1406" i="9"/>
  <c r="O1406" i="9"/>
  <c r="Q1406" i="9" s="1"/>
  <c r="P1405" i="9"/>
  <c r="O1405" i="9"/>
  <c r="Q1405" i="9" s="1"/>
  <c r="P1404" i="9"/>
  <c r="O1404" i="9"/>
  <c r="Q1404" i="9" s="1"/>
  <c r="P1403" i="9"/>
  <c r="O1403" i="9"/>
  <c r="Q1403" i="9" s="1"/>
  <c r="P1402" i="9"/>
  <c r="O1402" i="9"/>
  <c r="Q1402" i="9" s="1"/>
  <c r="P1401" i="9"/>
  <c r="O1401" i="9"/>
  <c r="Q1401" i="9" s="1"/>
  <c r="P1400" i="9"/>
  <c r="O1400" i="9"/>
  <c r="Q1400" i="9" s="1"/>
  <c r="P1399" i="9"/>
  <c r="O1399" i="9"/>
  <c r="Q1399" i="9" s="1"/>
  <c r="P1398" i="9"/>
  <c r="O1398" i="9"/>
  <c r="Q1398" i="9" s="1"/>
  <c r="P1397" i="9"/>
  <c r="O1397" i="9"/>
  <c r="Q1397" i="9" s="1"/>
  <c r="P1396" i="9"/>
  <c r="O1396" i="9"/>
  <c r="Q1396" i="9" s="1"/>
  <c r="P1395" i="9"/>
  <c r="O1395" i="9"/>
  <c r="Q1395" i="9" s="1"/>
  <c r="P1394" i="9"/>
  <c r="O1394" i="9"/>
  <c r="Q1394" i="9" s="1"/>
  <c r="P1393" i="9"/>
  <c r="O1393" i="9"/>
  <c r="Q1393" i="9" s="1"/>
  <c r="P1392" i="9"/>
  <c r="O1392" i="9"/>
  <c r="Q1392" i="9" s="1"/>
  <c r="P1391" i="9"/>
  <c r="O1391" i="9"/>
  <c r="Q1391" i="9" s="1"/>
  <c r="P1390" i="9"/>
  <c r="O1390" i="9"/>
  <c r="Q1390" i="9" s="1"/>
  <c r="P1389" i="9"/>
  <c r="O1389" i="9"/>
  <c r="Q1389" i="9" s="1"/>
  <c r="P1388" i="9"/>
  <c r="O1388" i="9"/>
  <c r="Q1388" i="9" s="1"/>
  <c r="P1387" i="9"/>
  <c r="O1387" i="9"/>
  <c r="Q1387" i="9" s="1"/>
  <c r="P1386" i="9"/>
  <c r="O1386" i="9"/>
  <c r="Q1386" i="9" s="1"/>
  <c r="P1385" i="9"/>
  <c r="O1385" i="9"/>
  <c r="Q1385" i="9" s="1"/>
  <c r="P1384" i="9"/>
  <c r="O1384" i="9"/>
  <c r="Q1384" i="9" s="1"/>
  <c r="P1383" i="9"/>
  <c r="O1383" i="9"/>
  <c r="Q1383" i="9" s="1"/>
  <c r="P1382" i="9"/>
  <c r="O1382" i="9"/>
  <c r="Q1382" i="9" s="1"/>
  <c r="P1381" i="9"/>
  <c r="O1381" i="9"/>
  <c r="Q1381" i="9" s="1"/>
  <c r="P1380" i="9"/>
  <c r="O1380" i="9"/>
  <c r="Q1380" i="9" s="1"/>
  <c r="P1379" i="9"/>
  <c r="O1379" i="9"/>
  <c r="Q1379" i="9" s="1"/>
  <c r="P1378" i="9"/>
  <c r="O1378" i="9"/>
  <c r="Q1378" i="9" s="1"/>
  <c r="P1377" i="9"/>
  <c r="O1377" i="9"/>
  <c r="Q1377" i="9" s="1"/>
  <c r="P1376" i="9"/>
  <c r="O1376" i="9"/>
  <c r="Q1376" i="9" s="1"/>
  <c r="P1375" i="9"/>
  <c r="O1375" i="9"/>
  <c r="Q1375" i="9" s="1"/>
  <c r="O1374" i="9"/>
  <c r="Q1374" i="9" s="1"/>
  <c r="O1373" i="9"/>
  <c r="O1372" i="9"/>
  <c r="O1371" i="9"/>
  <c r="O1370" i="9"/>
  <c r="O1369" i="9"/>
  <c r="P1368" i="9"/>
  <c r="O1368" i="9"/>
  <c r="Q1368" i="9" s="1"/>
  <c r="P1367" i="9"/>
  <c r="O1367" i="9"/>
  <c r="Q1367" i="9" s="1"/>
  <c r="P1366" i="9"/>
  <c r="O1366" i="9"/>
  <c r="Q1366" i="9" s="1"/>
  <c r="P1365" i="9"/>
  <c r="O1365" i="9"/>
  <c r="Q1365" i="9" s="1"/>
  <c r="P1364" i="9"/>
  <c r="O1364" i="9"/>
  <c r="Q1364" i="9" s="1"/>
  <c r="P1363" i="9"/>
  <c r="O1363" i="9"/>
  <c r="Q1363" i="9" s="1"/>
  <c r="P1362" i="9"/>
  <c r="O1362" i="9"/>
  <c r="Q1362" i="9" s="1"/>
  <c r="P1361" i="9"/>
  <c r="O1361" i="9"/>
  <c r="Q1361" i="9" s="1"/>
  <c r="P1360" i="9"/>
  <c r="O1360" i="9"/>
  <c r="Q1360" i="9" s="1"/>
  <c r="P1359" i="9"/>
  <c r="O1359" i="9"/>
  <c r="Q1359" i="9" s="1"/>
  <c r="P1358" i="9"/>
  <c r="O1358" i="9"/>
  <c r="Q1358" i="9" s="1"/>
  <c r="P1357" i="9"/>
  <c r="O1357" i="9"/>
  <c r="Q1357" i="9" s="1"/>
  <c r="P1356" i="9"/>
  <c r="O1356" i="9"/>
  <c r="P1355" i="9"/>
  <c r="O1355" i="9"/>
  <c r="P1354" i="9"/>
  <c r="O1354" i="9"/>
  <c r="Q1354" i="9" s="1"/>
  <c r="P1353" i="9"/>
  <c r="O1353" i="9"/>
  <c r="Q1353" i="9" s="1"/>
  <c r="P1352" i="9"/>
  <c r="O1352" i="9"/>
  <c r="Q1352" i="9" s="1"/>
  <c r="P1351" i="9"/>
  <c r="O1351" i="9"/>
  <c r="Q1351" i="9" s="1"/>
  <c r="P1350" i="9"/>
  <c r="O1350" i="9"/>
  <c r="Q1350" i="9" s="1"/>
  <c r="P1349" i="9"/>
  <c r="O1349" i="9"/>
  <c r="Q1349" i="9" s="1"/>
  <c r="P1348" i="9"/>
  <c r="O1348" i="9"/>
  <c r="Q1348" i="9" s="1"/>
  <c r="P1347" i="9"/>
  <c r="O1347" i="9"/>
  <c r="Q1347" i="9" s="1"/>
  <c r="P1346" i="9"/>
  <c r="O1346" i="9"/>
  <c r="Q1346" i="9" s="1"/>
  <c r="P1345" i="9"/>
  <c r="O1345" i="9"/>
  <c r="Q1345" i="9" s="1"/>
  <c r="P1344" i="9"/>
  <c r="O1344" i="9"/>
  <c r="Q1344" i="9" s="1"/>
  <c r="P1343" i="9"/>
  <c r="O1343" i="9"/>
  <c r="Q1343" i="9" s="1"/>
  <c r="P1342" i="9"/>
  <c r="O1342" i="9"/>
  <c r="Q1342" i="9" s="1"/>
  <c r="P1341" i="9"/>
  <c r="O1341" i="9"/>
  <c r="Q1341" i="9" s="1"/>
  <c r="P1340" i="9"/>
  <c r="O1340" i="9"/>
  <c r="Q1340" i="9" s="1"/>
  <c r="P1339" i="9"/>
  <c r="O1339" i="9"/>
  <c r="Q1339" i="9" s="1"/>
  <c r="P1338" i="9"/>
  <c r="O1338" i="9"/>
  <c r="Q1338" i="9" s="1"/>
  <c r="P1337" i="9"/>
  <c r="O1337" i="9"/>
  <c r="Q1337" i="9" s="1"/>
  <c r="P1336" i="9"/>
  <c r="O1336" i="9"/>
  <c r="Q1336" i="9" s="1"/>
  <c r="P1335" i="9"/>
  <c r="O1335" i="9"/>
  <c r="Q1335" i="9" s="1"/>
  <c r="P1334" i="9"/>
  <c r="O1334" i="9"/>
  <c r="Q1334" i="9" s="1"/>
  <c r="P1333" i="9"/>
  <c r="O1333" i="9"/>
  <c r="Q1333" i="9" s="1"/>
  <c r="P1332" i="9"/>
  <c r="O1332" i="9"/>
  <c r="Q1332" i="9" s="1"/>
  <c r="P1331" i="9"/>
  <c r="O1331" i="9"/>
  <c r="Q1331" i="9" s="1"/>
  <c r="P1330" i="9"/>
  <c r="O1330" i="9"/>
  <c r="Q1330" i="9" s="1"/>
  <c r="P1329" i="9"/>
  <c r="O1329" i="9"/>
  <c r="Q1329" i="9" s="1"/>
  <c r="P1328" i="9"/>
  <c r="O1328" i="9"/>
  <c r="Q1328" i="9" s="1"/>
  <c r="P1327" i="9"/>
  <c r="O1327" i="9"/>
  <c r="Q1327" i="9" s="1"/>
  <c r="P1326" i="9"/>
  <c r="O1326" i="9"/>
  <c r="Q1326" i="9" s="1"/>
  <c r="P1325" i="9"/>
  <c r="O1325" i="9"/>
  <c r="Q1325" i="9" s="1"/>
  <c r="P1324" i="9"/>
  <c r="O1324" i="9"/>
  <c r="Q1324" i="9" s="1"/>
  <c r="P1323" i="9"/>
  <c r="O1323" i="9"/>
  <c r="Q1323" i="9" s="1"/>
  <c r="P1322" i="9"/>
  <c r="O1322" i="9"/>
  <c r="Q1322" i="9" s="1"/>
  <c r="P1321" i="9"/>
  <c r="O1321" i="9"/>
  <c r="P1320" i="9"/>
  <c r="O1320" i="9"/>
  <c r="Q1320" i="9" s="1"/>
  <c r="P1319" i="9"/>
  <c r="O1319" i="9"/>
  <c r="Q1319" i="9" s="1"/>
  <c r="P1318" i="9"/>
  <c r="O1318" i="9"/>
  <c r="Q1318" i="9" s="1"/>
  <c r="P1317" i="9"/>
  <c r="O1317" i="9"/>
  <c r="Q1317" i="9" s="1"/>
  <c r="P1316" i="9"/>
  <c r="O1316" i="9"/>
  <c r="Q1316" i="9" s="1"/>
  <c r="P1315" i="9"/>
  <c r="O1315" i="9"/>
  <c r="Q1315" i="9" s="1"/>
  <c r="P1314" i="9"/>
  <c r="O1314" i="9"/>
  <c r="Q1314" i="9" s="1"/>
  <c r="P1313" i="9"/>
  <c r="O1313" i="9"/>
  <c r="Q1313" i="9" s="1"/>
  <c r="P1312" i="9"/>
  <c r="O1312" i="9"/>
  <c r="Q1312" i="9" s="1"/>
  <c r="P1311" i="9"/>
  <c r="O1311" i="9"/>
  <c r="Q1311" i="9" s="1"/>
  <c r="P1310" i="9"/>
  <c r="O1310" i="9"/>
  <c r="Q1310" i="9" s="1"/>
  <c r="P1309" i="9"/>
  <c r="O1309" i="9"/>
  <c r="Q1309" i="9" s="1"/>
  <c r="P1308" i="9"/>
  <c r="O1308" i="9"/>
  <c r="Q1308" i="9" s="1"/>
  <c r="P1307" i="9"/>
  <c r="O1307" i="9"/>
  <c r="Q1307" i="9" s="1"/>
  <c r="P1306" i="9"/>
  <c r="O1306" i="9"/>
  <c r="Q1306" i="9" s="1"/>
  <c r="P1305" i="9"/>
  <c r="O1305" i="9"/>
  <c r="Q1305" i="9" s="1"/>
  <c r="P1304" i="9"/>
  <c r="O1304" i="9"/>
  <c r="Q1304" i="9" s="1"/>
  <c r="P1303" i="9"/>
  <c r="O1303" i="9"/>
  <c r="Q1303" i="9" s="1"/>
  <c r="P1302" i="9"/>
  <c r="O1302" i="9"/>
  <c r="Q1302" i="9" s="1"/>
  <c r="P1301" i="9"/>
  <c r="O1301" i="9"/>
  <c r="Q1301" i="9" s="1"/>
  <c r="P1300" i="9"/>
  <c r="O1300" i="9"/>
  <c r="Q1300" i="9" s="1"/>
  <c r="P1299" i="9"/>
  <c r="O1299" i="9"/>
  <c r="Q1299" i="9" s="1"/>
  <c r="P1298" i="9"/>
  <c r="O1298" i="9"/>
  <c r="Q1298" i="9" s="1"/>
  <c r="P1297" i="9"/>
  <c r="O1297" i="9"/>
  <c r="Q1297" i="9" s="1"/>
  <c r="P1296" i="9"/>
  <c r="O1296" i="9"/>
  <c r="Q1296" i="9" s="1"/>
  <c r="P1295" i="9"/>
  <c r="O1295" i="9"/>
  <c r="Q1295" i="9" s="1"/>
  <c r="P1294" i="9"/>
  <c r="O1294" i="9"/>
  <c r="Q1294" i="9" s="1"/>
  <c r="P1293" i="9"/>
  <c r="O1293" i="9"/>
  <c r="Q1293" i="9" s="1"/>
  <c r="P1292" i="9"/>
  <c r="O1292" i="9"/>
  <c r="Q1292" i="9" s="1"/>
  <c r="P1291" i="9"/>
  <c r="O1291" i="9"/>
  <c r="Q1291" i="9" s="1"/>
  <c r="P1290" i="9"/>
  <c r="O1290" i="9"/>
  <c r="Q1290" i="9" s="1"/>
  <c r="P1289" i="9"/>
  <c r="O1289" i="9"/>
  <c r="Q1289" i="9" s="1"/>
  <c r="P1288" i="9"/>
  <c r="O1288" i="9"/>
  <c r="Q1288" i="9" s="1"/>
  <c r="P1287" i="9"/>
  <c r="O1287" i="9"/>
  <c r="Q1287" i="9" s="1"/>
  <c r="P1286" i="9"/>
  <c r="O1286" i="9"/>
  <c r="P1285" i="9"/>
  <c r="O1285" i="9"/>
  <c r="Q1285" i="9" s="1"/>
  <c r="P1284" i="9"/>
  <c r="O1284" i="9"/>
  <c r="Q1284" i="9" s="1"/>
  <c r="P1283" i="9"/>
  <c r="O1283" i="9"/>
  <c r="Q1283" i="9" s="1"/>
  <c r="P1282" i="9"/>
  <c r="O1282" i="9"/>
  <c r="Q1282" i="9" s="1"/>
  <c r="P1281" i="9"/>
  <c r="O1281" i="9"/>
  <c r="Q1281" i="9" s="1"/>
  <c r="P1280" i="9"/>
  <c r="O1280" i="9"/>
  <c r="Q1280" i="9" s="1"/>
  <c r="P1279" i="9"/>
  <c r="O1279" i="9"/>
  <c r="Q1279" i="9" s="1"/>
  <c r="P1278" i="9"/>
  <c r="O1278" i="9"/>
  <c r="Q1278" i="9" s="1"/>
  <c r="P1277" i="9"/>
  <c r="O1277" i="9"/>
  <c r="Q1277" i="9" s="1"/>
  <c r="P1276" i="9"/>
  <c r="O1276" i="9"/>
  <c r="Q1276" i="9" s="1"/>
  <c r="P1275" i="9"/>
  <c r="O1275" i="9"/>
  <c r="Q1275" i="9" s="1"/>
  <c r="P1274" i="9"/>
  <c r="O1274" i="9"/>
  <c r="Q1274" i="9" s="1"/>
  <c r="P1273" i="9"/>
  <c r="O1273" i="9"/>
  <c r="Q1273" i="9" s="1"/>
  <c r="P1272" i="9"/>
  <c r="O1272" i="9"/>
  <c r="Q1272" i="9" s="1"/>
  <c r="P1271" i="9"/>
  <c r="O1271" i="9"/>
  <c r="Q1271" i="9" s="1"/>
  <c r="P1270" i="9"/>
  <c r="O1270" i="9"/>
  <c r="Q1270" i="9" s="1"/>
  <c r="P1269" i="9"/>
  <c r="O1269" i="9"/>
  <c r="Q1269" i="9" s="1"/>
  <c r="P1268" i="9"/>
  <c r="O1268" i="9"/>
  <c r="Q1268" i="9" s="1"/>
  <c r="P1267" i="9"/>
  <c r="O1267" i="9"/>
  <c r="Q1267" i="9" s="1"/>
  <c r="P1266" i="9"/>
  <c r="O1266" i="9"/>
  <c r="Q1266" i="9" s="1"/>
  <c r="P1265" i="9"/>
  <c r="O1265" i="9"/>
  <c r="Q1265" i="9" s="1"/>
  <c r="P1264" i="9"/>
  <c r="O1264" i="9"/>
  <c r="Q1264" i="9" s="1"/>
  <c r="P1263" i="9"/>
  <c r="O1263" i="9"/>
  <c r="Q1263" i="9" s="1"/>
  <c r="P1262" i="9"/>
  <c r="O1262" i="9"/>
  <c r="Q1262" i="9" s="1"/>
  <c r="P1261" i="9"/>
  <c r="O1261" i="9"/>
  <c r="Q1261" i="9" s="1"/>
  <c r="P1260" i="9"/>
  <c r="O1260" i="9"/>
  <c r="Q1260" i="9" s="1"/>
  <c r="P1259" i="9"/>
  <c r="O1259" i="9"/>
  <c r="Q1259" i="9" s="1"/>
  <c r="P1258" i="9"/>
  <c r="O1258" i="9"/>
  <c r="Q1258" i="9" s="1"/>
  <c r="P1257" i="9"/>
  <c r="O1257" i="9"/>
  <c r="Q1257" i="9" s="1"/>
  <c r="P1256" i="9"/>
  <c r="O1256" i="9"/>
  <c r="Q1256" i="9" s="1"/>
  <c r="P1255" i="9"/>
  <c r="O1255" i="9"/>
  <c r="Q1255" i="9" s="1"/>
  <c r="P1254" i="9"/>
  <c r="O1254" i="9"/>
  <c r="Q1254" i="9" s="1"/>
  <c r="P1253" i="9"/>
  <c r="O1253" i="9"/>
  <c r="Q1253" i="9" s="1"/>
  <c r="P1252" i="9"/>
  <c r="O1252" i="9"/>
  <c r="Q1252" i="9" s="1"/>
  <c r="P1251" i="9"/>
  <c r="O1251" i="9"/>
  <c r="Q1251" i="9" s="1"/>
  <c r="P1250" i="9"/>
  <c r="O1250" i="9"/>
  <c r="Q1250" i="9" s="1"/>
  <c r="P1249" i="9"/>
  <c r="O1249" i="9"/>
  <c r="Q1249" i="9" s="1"/>
  <c r="P1248" i="9"/>
  <c r="O1248" i="9"/>
  <c r="Q1248" i="9" s="1"/>
  <c r="P1247" i="9"/>
  <c r="O1247" i="9"/>
  <c r="Q1247" i="9" s="1"/>
  <c r="P1246" i="9"/>
  <c r="O1246" i="9"/>
  <c r="Q1246" i="9" s="1"/>
  <c r="P1245" i="9"/>
  <c r="O1245" i="9"/>
  <c r="Q1245" i="9" s="1"/>
  <c r="P1244" i="9"/>
  <c r="O1244" i="9"/>
  <c r="Q1244" i="9" s="1"/>
  <c r="P1243" i="9"/>
  <c r="O1243" i="9"/>
  <c r="Q1243" i="9" s="1"/>
  <c r="P1242" i="9"/>
  <c r="O1242" i="9"/>
  <c r="Q1242" i="9" s="1"/>
  <c r="P1241" i="9"/>
  <c r="O1241" i="9"/>
  <c r="Q1241" i="9" s="1"/>
  <c r="P1240" i="9"/>
  <c r="O1240" i="9"/>
  <c r="Q1240" i="9" s="1"/>
  <c r="P1239" i="9"/>
  <c r="O1239" i="9"/>
  <c r="Q1239" i="9" s="1"/>
  <c r="P1238" i="9"/>
  <c r="O1238" i="9"/>
  <c r="Q1238" i="9" s="1"/>
  <c r="P1237" i="9"/>
  <c r="O1237" i="9"/>
  <c r="Q1237" i="9" s="1"/>
  <c r="P1236" i="9"/>
  <c r="O1236" i="9"/>
  <c r="Q1236" i="9" s="1"/>
  <c r="P1235" i="9"/>
  <c r="O1235" i="9"/>
  <c r="Q1235" i="9" s="1"/>
  <c r="P1234" i="9"/>
  <c r="O1234" i="9"/>
  <c r="Q1234" i="9" s="1"/>
  <c r="P1233" i="9"/>
  <c r="O1233" i="9"/>
  <c r="Q1233" i="9" s="1"/>
  <c r="P1232" i="9"/>
  <c r="O1232" i="9"/>
  <c r="Q1232" i="9" s="1"/>
  <c r="P1231" i="9"/>
  <c r="O1231" i="9"/>
  <c r="Q1231" i="9" s="1"/>
  <c r="P1230" i="9"/>
  <c r="O1230" i="9"/>
  <c r="Q1230" i="9" s="1"/>
  <c r="P1229" i="9"/>
  <c r="O1229" i="9"/>
  <c r="Q1229" i="9" s="1"/>
  <c r="P1228" i="9"/>
  <c r="O1228" i="9"/>
  <c r="Q1228" i="9" s="1"/>
  <c r="P1227" i="9"/>
  <c r="O1227" i="9"/>
  <c r="Q1227" i="9" s="1"/>
  <c r="P1226" i="9"/>
  <c r="O1226" i="9"/>
  <c r="Q1226" i="9" s="1"/>
  <c r="P1225" i="9"/>
  <c r="O1225" i="9"/>
  <c r="Q1225" i="9" s="1"/>
  <c r="P1224" i="9"/>
  <c r="O1224" i="9"/>
  <c r="Q1224" i="9" s="1"/>
  <c r="P1223" i="9"/>
  <c r="O1223" i="9"/>
  <c r="Q1223" i="9" s="1"/>
  <c r="P1222" i="9"/>
  <c r="O1222" i="9"/>
  <c r="Q1222" i="9" s="1"/>
  <c r="P1221" i="9"/>
  <c r="O1221" i="9"/>
  <c r="Q1221" i="9" s="1"/>
  <c r="P1220" i="9"/>
  <c r="O1220" i="9"/>
  <c r="Q1220" i="9" s="1"/>
  <c r="P1219" i="9"/>
  <c r="O1219" i="9"/>
  <c r="Q1219" i="9" s="1"/>
  <c r="P1218" i="9"/>
  <c r="O1218" i="9"/>
  <c r="Q1218" i="9" s="1"/>
  <c r="P1217" i="9"/>
  <c r="O1217" i="9"/>
  <c r="Q1217" i="9" s="1"/>
  <c r="P1216" i="9"/>
  <c r="O1216" i="9"/>
  <c r="Q1216" i="9" s="1"/>
  <c r="P1215" i="9"/>
  <c r="O1215" i="9"/>
  <c r="Q1215" i="9" s="1"/>
  <c r="P1214" i="9"/>
  <c r="O1214" i="9"/>
  <c r="Q1214" i="9" s="1"/>
  <c r="P1213" i="9"/>
  <c r="O1213" i="9"/>
  <c r="Q1213" i="9" s="1"/>
  <c r="P1212" i="9"/>
  <c r="O1212" i="9"/>
  <c r="Q1212" i="9" s="1"/>
  <c r="P1211" i="9"/>
  <c r="O1211" i="9"/>
  <c r="Q1211" i="9" s="1"/>
  <c r="P1210" i="9"/>
  <c r="O1210" i="9"/>
  <c r="Q1210" i="9" s="1"/>
  <c r="P1209" i="9"/>
  <c r="O1209" i="9"/>
  <c r="Q1209" i="9" s="1"/>
  <c r="P1208" i="9"/>
  <c r="O1208" i="9"/>
  <c r="Q1208" i="9" s="1"/>
  <c r="P1207" i="9"/>
  <c r="O1207" i="9"/>
  <c r="Q1207" i="9" s="1"/>
  <c r="P1206" i="9"/>
  <c r="O1206" i="9"/>
  <c r="Q1206" i="9" s="1"/>
  <c r="P1205" i="9"/>
  <c r="O1205" i="9"/>
  <c r="Q1205" i="9" s="1"/>
  <c r="P1204" i="9"/>
  <c r="O1204" i="9"/>
  <c r="Q1204" i="9" s="1"/>
  <c r="P1203" i="9"/>
  <c r="O1203" i="9"/>
  <c r="Q1203" i="9" s="1"/>
  <c r="P1202" i="9"/>
  <c r="O1202" i="9"/>
  <c r="Q1202" i="9" s="1"/>
  <c r="P1201" i="9"/>
  <c r="O1201" i="9"/>
  <c r="Q1201" i="9" s="1"/>
  <c r="P1200" i="9"/>
  <c r="O1200" i="9"/>
  <c r="Q1200" i="9" s="1"/>
  <c r="P1199" i="9"/>
  <c r="O1199" i="9"/>
  <c r="Q1199" i="9" s="1"/>
  <c r="P1198" i="9"/>
  <c r="O1198" i="9"/>
  <c r="Q1198" i="9" s="1"/>
  <c r="P1197" i="9"/>
  <c r="O1197" i="9"/>
  <c r="Q1197" i="9" s="1"/>
  <c r="P1196" i="9"/>
  <c r="O1196" i="9"/>
  <c r="Q1196" i="9" s="1"/>
  <c r="P1195" i="9"/>
  <c r="O1195" i="9"/>
  <c r="Q1195" i="9" s="1"/>
  <c r="P1194" i="9"/>
  <c r="O1194" i="9"/>
  <c r="Q1194" i="9" s="1"/>
  <c r="P1193" i="9"/>
  <c r="O1193" i="9"/>
  <c r="Q1193" i="9" s="1"/>
  <c r="P1192" i="9"/>
  <c r="O1192" i="9"/>
  <c r="Q1192" i="9" s="1"/>
  <c r="P1191" i="9"/>
  <c r="O1191" i="9"/>
  <c r="Q1191" i="9" s="1"/>
  <c r="P1190" i="9"/>
  <c r="O1190" i="9"/>
  <c r="Q1190" i="9" s="1"/>
  <c r="P1189" i="9"/>
  <c r="O1189" i="9"/>
  <c r="Q1189" i="9" s="1"/>
  <c r="P1188" i="9"/>
  <c r="O1188" i="9"/>
  <c r="Q1188" i="9" s="1"/>
  <c r="P1187" i="9"/>
  <c r="O1187" i="9"/>
  <c r="Q1187" i="9" s="1"/>
  <c r="P1186" i="9"/>
  <c r="O1186" i="9"/>
  <c r="Q1186" i="9" s="1"/>
  <c r="P1185" i="9"/>
  <c r="O1185" i="9"/>
  <c r="Q1185" i="9" s="1"/>
  <c r="P1184" i="9"/>
  <c r="O1184" i="9"/>
  <c r="Q1184" i="9" s="1"/>
  <c r="P1183" i="9"/>
  <c r="O1183" i="9"/>
  <c r="Q1183" i="9" s="1"/>
  <c r="P1182" i="9"/>
  <c r="O1182" i="9"/>
  <c r="Q1182" i="9" s="1"/>
  <c r="P1181" i="9"/>
  <c r="O1181" i="9"/>
  <c r="Q1181" i="9" s="1"/>
  <c r="P1180" i="9"/>
  <c r="O1180" i="9"/>
  <c r="Q1180" i="9" s="1"/>
  <c r="P1179" i="9"/>
  <c r="O1179" i="9"/>
  <c r="Q1179" i="9" s="1"/>
  <c r="P1178" i="9"/>
  <c r="O1178" i="9"/>
  <c r="Q1178" i="9" s="1"/>
  <c r="P1177" i="9"/>
  <c r="O1177" i="9"/>
  <c r="Q1177" i="9" s="1"/>
  <c r="P1176" i="9"/>
  <c r="O1176" i="9"/>
  <c r="Q1176" i="9" s="1"/>
  <c r="P1175" i="9"/>
  <c r="O1175" i="9"/>
  <c r="Q1175" i="9" s="1"/>
  <c r="P1174" i="9"/>
  <c r="O1174" i="9"/>
  <c r="Q1174" i="9" s="1"/>
  <c r="P1173" i="9"/>
  <c r="O1173" i="9"/>
  <c r="Q1173" i="9" s="1"/>
  <c r="P1172" i="9"/>
  <c r="O1172" i="9"/>
  <c r="Q1172" i="9" s="1"/>
  <c r="P1171" i="9"/>
  <c r="O1171" i="9"/>
  <c r="Q1171" i="9" s="1"/>
  <c r="P1170" i="9"/>
  <c r="O1170" i="9"/>
  <c r="Q1170" i="9" s="1"/>
  <c r="P1169" i="9"/>
  <c r="O1169" i="9"/>
  <c r="Q1169" i="9" s="1"/>
  <c r="P1168" i="9"/>
  <c r="O1168" i="9"/>
  <c r="Q1168" i="9" s="1"/>
  <c r="P1167" i="9"/>
  <c r="O1167" i="9"/>
  <c r="Q1167" i="9" s="1"/>
  <c r="P1166" i="9"/>
  <c r="O1166" i="9"/>
  <c r="Q1166" i="9" s="1"/>
  <c r="P1165" i="9"/>
  <c r="O1165" i="9"/>
  <c r="Q1165" i="9" s="1"/>
  <c r="P1164" i="9"/>
  <c r="O1164" i="9"/>
  <c r="Q1164" i="9" s="1"/>
  <c r="P1163" i="9"/>
  <c r="O1163" i="9"/>
  <c r="Q1163" i="9" s="1"/>
  <c r="P1162" i="9"/>
  <c r="O1162" i="9"/>
  <c r="Q1162" i="9" s="1"/>
  <c r="P1161" i="9"/>
  <c r="O1161" i="9"/>
  <c r="Q1161" i="9" s="1"/>
  <c r="P1160" i="9"/>
  <c r="O1160" i="9"/>
  <c r="Q1160" i="9" s="1"/>
  <c r="P1159" i="9"/>
  <c r="O1159" i="9"/>
  <c r="Q1159" i="9" s="1"/>
  <c r="P1158" i="9"/>
  <c r="O1158" i="9"/>
  <c r="Q1158" i="9" s="1"/>
  <c r="P1157" i="9"/>
  <c r="O1157" i="9"/>
  <c r="Q1157" i="9" s="1"/>
  <c r="P1156" i="9"/>
  <c r="O1156" i="9"/>
  <c r="Q1156" i="9" s="1"/>
  <c r="P1155" i="9"/>
  <c r="O1155" i="9"/>
  <c r="Q1155" i="9" s="1"/>
  <c r="P1154" i="9"/>
  <c r="O1154" i="9"/>
  <c r="Q1154" i="9" s="1"/>
  <c r="P1153" i="9"/>
  <c r="O1153" i="9"/>
  <c r="Q1153" i="9" s="1"/>
  <c r="P1152" i="9"/>
  <c r="O1152" i="9"/>
  <c r="Q1152" i="9" s="1"/>
  <c r="P1151" i="9"/>
  <c r="O1151" i="9"/>
  <c r="Q1151" i="9" s="1"/>
  <c r="P1150" i="9"/>
  <c r="O1150" i="9"/>
  <c r="Q1150" i="9" s="1"/>
  <c r="P1149" i="9"/>
  <c r="O1149" i="9"/>
  <c r="Q1149" i="9" s="1"/>
  <c r="P1148" i="9"/>
  <c r="O1148" i="9"/>
  <c r="Q1148" i="9" s="1"/>
  <c r="P1147" i="9"/>
  <c r="O1147" i="9"/>
  <c r="Q1147" i="9" s="1"/>
  <c r="P1146" i="9"/>
  <c r="O1146" i="9"/>
  <c r="Q1146" i="9" s="1"/>
  <c r="P1145" i="9"/>
  <c r="O1145" i="9"/>
  <c r="Q1145" i="9" s="1"/>
  <c r="P1144" i="9"/>
  <c r="O1144" i="9"/>
  <c r="Q1144" i="9" s="1"/>
  <c r="P1143" i="9"/>
  <c r="O1143" i="9"/>
  <c r="Q1143" i="9" s="1"/>
  <c r="P1142" i="9"/>
  <c r="O1142" i="9"/>
  <c r="Q1142" i="9" s="1"/>
  <c r="P1141" i="9"/>
  <c r="O1141" i="9"/>
  <c r="Q1141" i="9" s="1"/>
  <c r="P1140" i="9"/>
  <c r="O1140" i="9"/>
  <c r="Q1140" i="9" s="1"/>
  <c r="P1139" i="9"/>
  <c r="O1139" i="9"/>
  <c r="Q1139" i="9" s="1"/>
  <c r="P1138" i="9"/>
  <c r="O1138" i="9"/>
  <c r="Q1138" i="9" s="1"/>
  <c r="P1137" i="9"/>
  <c r="O1137" i="9"/>
  <c r="Q1137" i="9" s="1"/>
  <c r="P1136" i="9"/>
  <c r="O1136" i="9"/>
  <c r="Q1136" i="9" s="1"/>
  <c r="P1135" i="9"/>
  <c r="O1135" i="9"/>
  <c r="Q1135" i="9" s="1"/>
  <c r="P1134" i="9"/>
  <c r="O1134" i="9"/>
  <c r="Q1134" i="9" s="1"/>
  <c r="P1133" i="9"/>
  <c r="O1133" i="9"/>
  <c r="Q1133" i="9" s="1"/>
  <c r="P1132" i="9"/>
  <c r="O1132" i="9"/>
  <c r="Q1132" i="9" s="1"/>
  <c r="P1131" i="9"/>
  <c r="O1131" i="9"/>
  <c r="Q1131" i="9" s="1"/>
  <c r="P1130" i="9"/>
  <c r="O1130" i="9"/>
  <c r="Q1130" i="9" s="1"/>
  <c r="P1129" i="9"/>
  <c r="O1129" i="9"/>
  <c r="Q1129" i="9" s="1"/>
  <c r="P1128" i="9"/>
  <c r="O1128" i="9"/>
  <c r="Q1128" i="9" s="1"/>
  <c r="P1127" i="9"/>
  <c r="O1127" i="9"/>
  <c r="Q1127" i="9" s="1"/>
  <c r="P1126" i="9"/>
  <c r="O1126" i="9"/>
  <c r="Q1126" i="9" s="1"/>
  <c r="P1125" i="9"/>
  <c r="O1125" i="9"/>
  <c r="Q1125" i="9" s="1"/>
  <c r="P1124" i="9"/>
  <c r="O1124" i="9"/>
  <c r="Q1124" i="9" s="1"/>
  <c r="P1123" i="9"/>
  <c r="O1123" i="9"/>
  <c r="Q1123" i="9" s="1"/>
  <c r="P1122" i="9"/>
  <c r="O1122" i="9"/>
  <c r="Q1122" i="9" s="1"/>
  <c r="P1121" i="9"/>
  <c r="O1121" i="9"/>
  <c r="Q1121" i="9" s="1"/>
  <c r="P1120" i="9"/>
  <c r="O1120" i="9"/>
  <c r="Q1120" i="9" s="1"/>
  <c r="P1119" i="9"/>
  <c r="O1119" i="9"/>
  <c r="Q1119" i="9" s="1"/>
  <c r="P1118" i="9"/>
  <c r="O1118" i="9"/>
  <c r="Q1118" i="9" s="1"/>
  <c r="P1117" i="9"/>
  <c r="O1117" i="9"/>
  <c r="Q1117" i="9" s="1"/>
  <c r="P1116" i="9"/>
  <c r="O1116" i="9"/>
  <c r="Q1116" i="9" s="1"/>
  <c r="P1115" i="9"/>
  <c r="O1115" i="9"/>
  <c r="Q1115" i="9" s="1"/>
  <c r="P1114" i="9"/>
  <c r="O1114" i="9"/>
  <c r="Q1114" i="9" s="1"/>
  <c r="P1113" i="9"/>
  <c r="O1113" i="9"/>
  <c r="Q1113" i="9" s="1"/>
  <c r="P1112" i="9"/>
  <c r="O1112" i="9"/>
  <c r="Q1112" i="9" s="1"/>
  <c r="P1111" i="9"/>
  <c r="O1111" i="9"/>
  <c r="Q1111" i="9" s="1"/>
  <c r="P1110" i="9"/>
  <c r="O1110" i="9"/>
  <c r="Q1110" i="9" s="1"/>
  <c r="P1109" i="9"/>
  <c r="O1109" i="9"/>
  <c r="Q1109" i="9" s="1"/>
  <c r="P1108" i="9"/>
  <c r="O1108" i="9"/>
  <c r="Q1108" i="9" s="1"/>
  <c r="P1107" i="9"/>
  <c r="O1107" i="9"/>
  <c r="Q1107" i="9" s="1"/>
  <c r="P1106" i="9"/>
  <c r="O1106" i="9"/>
  <c r="Q1106" i="9" s="1"/>
  <c r="P1105" i="9"/>
  <c r="O1105" i="9"/>
  <c r="Q1105" i="9" s="1"/>
  <c r="P1104" i="9"/>
  <c r="O1104" i="9"/>
  <c r="Q1104" i="9" s="1"/>
  <c r="P1103" i="9"/>
  <c r="O1103" i="9"/>
  <c r="Q1103" i="9" s="1"/>
  <c r="P1102" i="9"/>
  <c r="O1102" i="9"/>
  <c r="Q1102" i="9" s="1"/>
  <c r="P1101" i="9"/>
  <c r="O1101" i="9"/>
  <c r="Q1101" i="9" s="1"/>
  <c r="P1100" i="9"/>
  <c r="O1100" i="9"/>
  <c r="Q1100" i="9" s="1"/>
  <c r="P1099" i="9"/>
  <c r="O1099" i="9"/>
  <c r="Q1099" i="9" s="1"/>
  <c r="P1098" i="9"/>
  <c r="O1098" i="9"/>
  <c r="Q1098" i="9" s="1"/>
  <c r="P1097" i="9"/>
  <c r="O1097" i="9"/>
  <c r="Q1097" i="9" s="1"/>
  <c r="P1096" i="9"/>
  <c r="O1096" i="9"/>
  <c r="Q1096" i="9" s="1"/>
  <c r="P1095" i="9"/>
  <c r="O1095" i="9"/>
  <c r="Q1095" i="9" s="1"/>
  <c r="P1094" i="9"/>
  <c r="O1094" i="9"/>
  <c r="Q1094" i="9" s="1"/>
  <c r="P1093" i="9"/>
  <c r="O1093" i="9"/>
  <c r="Q1093" i="9" s="1"/>
  <c r="P1092" i="9"/>
  <c r="O1092" i="9"/>
  <c r="Q1092" i="9" s="1"/>
  <c r="P1091" i="9"/>
  <c r="O1091" i="9"/>
  <c r="Q1091" i="9" s="1"/>
  <c r="P1090" i="9"/>
  <c r="O1090" i="9"/>
  <c r="Q1090" i="9" s="1"/>
  <c r="P1089" i="9"/>
  <c r="O1089" i="9"/>
  <c r="Q1089" i="9" s="1"/>
  <c r="P1088" i="9"/>
  <c r="O1088" i="9"/>
  <c r="Q1088" i="9" s="1"/>
  <c r="P1087" i="9"/>
  <c r="O1087" i="9"/>
  <c r="Q1087" i="9" s="1"/>
  <c r="P1086" i="9"/>
  <c r="O1086" i="9"/>
  <c r="Q1086" i="9" s="1"/>
  <c r="P1085" i="9"/>
  <c r="O1085" i="9"/>
  <c r="Q1085" i="9" s="1"/>
  <c r="P1084" i="9"/>
  <c r="O1084" i="9"/>
  <c r="Q1084" i="9" s="1"/>
  <c r="P1083" i="9"/>
  <c r="O1083" i="9"/>
  <c r="Q1083" i="9" s="1"/>
  <c r="P1082" i="9"/>
  <c r="O1082" i="9"/>
  <c r="Q1082" i="9" s="1"/>
  <c r="P1081" i="9"/>
  <c r="O1081" i="9"/>
  <c r="Q1081" i="9" s="1"/>
  <c r="P1080" i="9"/>
  <c r="O1080" i="9"/>
  <c r="Q1080" i="9" s="1"/>
  <c r="P1079" i="9"/>
  <c r="O1079" i="9"/>
  <c r="Q1079" i="9" s="1"/>
  <c r="P1078" i="9"/>
  <c r="O1078" i="9"/>
  <c r="Q1078" i="9" s="1"/>
  <c r="P1077" i="9"/>
  <c r="O1077" i="9"/>
  <c r="Q1077" i="9" s="1"/>
  <c r="P1076" i="9"/>
  <c r="O1076" i="9"/>
  <c r="Q1076" i="9" s="1"/>
  <c r="P1075" i="9"/>
  <c r="O1075" i="9"/>
  <c r="Q1075" i="9" s="1"/>
  <c r="P1074" i="9"/>
  <c r="O1074" i="9"/>
  <c r="Q1074" i="9" s="1"/>
  <c r="P1073" i="9"/>
  <c r="O1073" i="9"/>
  <c r="Q1073" i="9" s="1"/>
  <c r="P1072" i="9"/>
  <c r="O1072" i="9"/>
  <c r="Q1072" i="9" s="1"/>
  <c r="P1071" i="9"/>
  <c r="O1071" i="9"/>
  <c r="Q1071" i="9" s="1"/>
  <c r="P1070" i="9"/>
  <c r="O1070" i="9"/>
  <c r="Q1070" i="9" s="1"/>
  <c r="P1069" i="9"/>
  <c r="O1069" i="9"/>
  <c r="Q1069" i="9" s="1"/>
  <c r="P1068" i="9"/>
  <c r="O1068" i="9"/>
  <c r="Q1068" i="9" s="1"/>
  <c r="P1067" i="9"/>
  <c r="O1067" i="9"/>
  <c r="Q1067" i="9" s="1"/>
  <c r="P1066" i="9"/>
  <c r="O1066" i="9"/>
  <c r="Q1066" i="9" s="1"/>
  <c r="P1065" i="9"/>
  <c r="O1065" i="9"/>
  <c r="Q1065" i="9" s="1"/>
  <c r="P1064" i="9"/>
  <c r="O1064" i="9"/>
  <c r="Q1064" i="9" s="1"/>
  <c r="P1063" i="9"/>
  <c r="O1063" i="9"/>
  <c r="Q1063" i="9" s="1"/>
  <c r="P1062" i="9"/>
  <c r="O1062" i="9"/>
  <c r="Q1062" i="9" s="1"/>
  <c r="P1061" i="9"/>
  <c r="O1061" i="9"/>
  <c r="Q1061" i="9" s="1"/>
  <c r="P1060" i="9"/>
  <c r="O1060" i="9"/>
  <c r="Q1060" i="9" s="1"/>
  <c r="P1059" i="9"/>
  <c r="O1059" i="9"/>
  <c r="Q1059" i="9" s="1"/>
  <c r="P1058" i="9"/>
  <c r="O1058" i="9"/>
  <c r="Q1058" i="9" s="1"/>
  <c r="P1057" i="9"/>
  <c r="O1057" i="9"/>
  <c r="Q1057" i="9" s="1"/>
  <c r="P1056" i="9"/>
  <c r="O1056" i="9"/>
  <c r="Q1056" i="9" s="1"/>
  <c r="P1055" i="9"/>
  <c r="O1055" i="9"/>
  <c r="Q1055" i="9" s="1"/>
  <c r="P1054" i="9"/>
  <c r="O1054" i="9"/>
  <c r="Q1054" i="9" s="1"/>
  <c r="P1053" i="9"/>
  <c r="O1053" i="9"/>
  <c r="Q1053" i="9" s="1"/>
  <c r="P1052" i="9"/>
  <c r="O1052" i="9"/>
  <c r="Q1052" i="9" s="1"/>
  <c r="P1051" i="9"/>
  <c r="O1051" i="9"/>
  <c r="Q1051" i="9" s="1"/>
  <c r="P1050" i="9"/>
  <c r="O1050" i="9"/>
  <c r="Q1050" i="9" s="1"/>
  <c r="P1049" i="9"/>
  <c r="O1049" i="9"/>
  <c r="Q1049" i="9" s="1"/>
  <c r="P1048" i="9"/>
  <c r="O1048" i="9"/>
  <c r="Q1048" i="9" s="1"/>
  <c r="P1047" i="9"/>
  <c r="O1047" i="9"/>
  <c r="Q1047" i="9" s="1"/>
  <c r="P1046" i="9"/>
  <c r="O1046" i="9"/>
  <c r="Q1046" i="9" s="1"/>
  <c r="P1045" i="9"/>
  <c r="O1045" i="9"/>
  <c r="Q1045" i="9" s="1"/>
  <c r="P1044" i="9"/>
  <c r="O1044" i="9"/>
  <c r="Q1044" i="9" s="1"/>
  <c r="P1043" i="9"/>
  <c r="O1043" i="9"/>
  <c r="Q1043" i="9" s="1"/>
  <c r="P1042" i="9"/>
  <c r="O1042" i="9"/>
  <c r="Q1042" i="9" s="1"/>
  <c r="P1041" i="9"/>
  <c r="O1041" i="9"/>
  <c r="Q1041" i="9" s="1"/>
  <c r="P1040" i="9"/>
  <c r="O1040" i="9"/>
  <c r="Q1040" i="9" s="1"/>
  <c r="P1039" i="9"/>
  <c r="O1039" i="9"/>
  <c r="Q1039" i="9" s="1"/>
  <c r="P1038" i="9"/>
  <c r="O1038" i="9"/>
  <c r="Q1038" i="9" s="1"/>
  <c r="P1037" i="9"/>
  <c r="O1037" i="9"/>
  <c r="Q1037" i="9" s="1"/>
  <c r="P1036" i="9"/>
  <c r="O1036" i="9"/>
  <c r="Q1036" i="9" s="1"/>
  <c r="P1035" i="9"/>
  <c r="O1035" i="9"/>
  <c r="Q1035" i="9" s="1"/>
  <c r="P1034" i="9"/>
  <c r="O1034" i="9"/>
  <c r="Q1034" i="9" s="1"/>
  <c r="P1033" i="9"/>
  <c r="O1033" i="9"/>
  <c r="Q1033" i="9" s="1"/>
  <c r="P1032" i="9"/>
  <c r="O1032" i="9"/>
  <c r="Q1032" i="9" s="1"/>
  <c r="P1031" i="9"/>
  <c r="O1031" i="9"/>
  <c r="Q1031" i="9" s="1"/>
  <c r="P1030" i="9"/>
  <c r="O1030" i="9"/>
  <c r="Q1030" i="9" s="1"/>
  <c r="P1029" i="9"/>
  <c r="O1029" i="9"/>
  <c r="Q1029" i="9" s="1"/>
  <c r="P1028" i="9"/>
  <c r="O1028" i="9"/>
  <c r="Q1028" i="9" s="1"/>
  <c r="P1027" i="9"/>
  <c r="O1027" i="9"/>
  <c r="Q1027" i="9" s="1"/>
  <c r="P1026" i="9"/>
  <c r="O1026" i="9"/>
  <c r="Q1026" i="9" s="1"/>
  <c r="P1025" i="9"/>
  <c r="O1025" i="9"/>
  <c r="Q1025" i="9" s="1"/>
  <c r="P1024" i="9"/>
  <c r="O1024" i="9"/>
  <c r="Q1024" i="9" s="1"/>
  <c r="P1023" i="9"/>
  <c r="O1023" i="9"/>
  <c r="Q1023" i="9" s="1"/>
  <c r="P1022" i="9"/>
  <c r="O1022" i="9"/>
  <c r="Q1022" i="9" s="1"/>
  <c r="P1021" i="9"/>
  <c r="O1021" i="9"/>
  <c r="Q1021" i="9" s="1"/>
  <c r="P1020" i="9"/>
  <c r="O1020" i="9"/>
  <c r="Q1020" i="9" s="1"/>
  <c r="P1019" i="9"/>
  <c r="O1019" i="9"/>
  <c r="Q1019" i="9" s="1"/>
  <c r="P1018" i="9"/>
  <c r="O1018" i="9"/>
  <c r="Q1018" i="9" s="1"/>
  <c r="P1017" i="9"/>
  <c r="O1017" i="9"/>
  <c r="Q1017" i="9" s="1"/>
  <c r="P1016" i="9"/>
  <c r="O1016" i="9"/>
  <c r="Q1016" i="9" s="1"/>
  <c r="P1015" i="9"/>
  <c r="O1015" i="9"/>
  <c r="Q1015" i="9" s="1"/>
  <c r="P1014" i="9"/>
  <c r="O1014" i="9"/>
  <c r="Q1014" i="9" s="1"/>
  <c r="P1013" i="9"/>
  <c r="O1013" i="9"/>
  <c r="Q1013" i="9" s="1"/>
  <c r="P1012" i="9"/>
  <c r="O1012" i="9"/>
  <c r="Q1012" i="9" s="1"/>
  <c r="P1011" i="9"/>
  <c r="O1011" i="9"/>
  <c r="Q1011" i="9" s="1"/>
  <c r="P1010" i="9"/>
  <c r="O1010" i="9"/>
  <c r="Q1010" i="9" s="1"/>
  <c r="P1009" i="9"/>
  <c r="O1009" i="9"/>
  <c r="Q1009" i="9" s="1"/>
  <c r="P1008" i="9"/>
  <c r="O1008" i="9"/>
  <c r="Q1008" i="9" s="1"/>
  <c r="P1007" i="9"/>
  <c r="O1007" i="9"/>
  <c r="Q1007" i="9" s="1"/>
  <c r="P1006" i="9"/>
  <c r="O1006" i="9"/>
  <c r="Q1006" i="9" s="1"/>
  <c r="P1005" i="9"/>
  <c r="O1005" i="9"/>
  <c r="Q1005" i="9" s="1"/>
  <c r="P1004" i="9"/>
  <c r="O1004" i="9"/>
  <c r="Q1004" i="9" s="1"/>
  <c r="P1003" i="9"/>
  <c r="O1003" i="9"/>
  <c r="Q1003" i="9" s="1"/>
  <c r="P1002" i="9"/>
  <c r="O1002" i="9"/>
  <c r="Q1002" i="9" s="1"/>
  <c r="P1001" i="9"/>
  <c r="O1001" i="9"/>
  <c r="Q1001" i="9" s="1"/>
  <c r="P1000" i="9"/>
  <c r="O1000" i="9"/>
  <c r="Q1000" i="9" s="1"/>
  <c r="P999" i="9"/>
  <c r="O999" i="9"/>
  <c r="Q999" i="9" s="1"/>
  <c r="P998" i="9"/>
  <c r="O998" i="9"/>
  <c r="Q998" i="9" s="1"/>
  <c r="P997" i="9"/>
  <c r="O997" i="9"/>
  <c r="Q997" i="9" s="1"/>
  <c r="P996" i="9"/>
  <c r="O996" i="9"/>
  <c r="Q996" i="9" s="1"/>
  <c r="P995" i="9"/>
  <c r="O995" i="9"/>
  <c r="Q995" i="9" s="1"/>
  <c r="P994" i="9"/>
  <c r="O994" i="9"/>
  <c r="Q994" i="9" s="1"/>
  <c r="P993" i="9"/>
  <c r="O993" i="9"/>
  <c r="Q993" i="9" s="1"/>
  <c r="P992" i="9"/>
  <c r="O992" i="9"/>
  <c r="Q992" i="9" s="1"/>
  <c r="P991" i="9"/>
  <c r="O991" i="9"/>
  <c r="Q991" i="9" s="1"/>
  <c r="P990" i="9"/>
  <c r="O990" i="9"/>
  <c r="Q990" i="9" s="1"/>
  <c r="P989" i="9"/>
  <c r="O989" i="9"/>
  <c r="Q989" i="9" s="1"/>
  <c r="P988" i="9"/>
  <c r="O988" i="9"/>
  <c r="Q988" i="9" s="1"/>
  <c r="P987" i="9"/>
  <c r="O987" i="9"/>
  <c r="Q987" i="9" s="1"/>
  <c r="P986" i="9"/>
  <c r="O986" i="9"/>
  <c r="Q986" i="9" s="1"/>
  <c r="P985" i="9"/>
  <c r="O985" i="9"/>
  <c r="Q985" i="9" s="1"/>
  <c r="P984" i="9"/>
  <c r="O984" i="9"/>
  <c r="Q984" i="9" s="1"/>
  <c r="P983" i="9"/>
  <c r="O983" i="9"/>
  <c r="Q983" i="9" s="1"/>
  <c r="P982" i="9"/>
  <c r="O982" i="9"/>
  <c r="Q982" i="9" s="1"/>
  <c r="P981" i="9"/>
  <c r="O981" i="9"/>
  <c r="Q981" i="9" s="1"/>
  <c r="P980" i="9"/>
  <c r="O980" i="9"/>
  <c r="Q980" i="9" s="1"/>
  <c r="P979" i="9"/>
  <c r="O979" i="9"/>
  <c r="Q979" i="9" s="1"/>
  <c r="P978" i="9"/>
  <c r="O978" i="9"/>
  <c r="Q978" i="9" s="1"/>
  <c r="P977" i="9"/>
  <c r="O977" i="9"/>
  <c r="Q977" i="9" s="1"/>
  <c r="P976" i="9"/>
  <c r="O976" i="9"/>
  <c r="Q976" i="9" s="1"/>
  <c r="P975" i="9"/>
  <c r="O975" i="9"/>
  <c r="Q975" i="9" s="1"/>
  <c r="P974" i="9"/>
  <c r="O974" i="9"/>
  <c r="Q974" i="9" s="1"/>
  <c r="P973" i="9"/>
  <c r="O973" i="9"/>
  <c r="Q973" i="9" s="1"/>
  <c r="P972" i="9"/>
  <c r="O972" i="9"/>
  <c r="Q972" i="9" s="1"/>
  <c r="P971" i="9"/>
  <c r="O971" i="9"/>
  <c r="Q971" i="9" s="1"/>
  <c r="P970" i="9"/>
  <c r="O970" i="9"/>
  <c r="Q970" i="9" s="1"/>
  <c r="P969" i="9"/>
  <c r="O969" i="9"/>
  <c r="Q969" i="9" s="1"/>
  <c r="P968" i="9"/>
  <c r="O968" i="9"/>
  <c r="Q968" i="9" s="1"/>
  <c r="P967" i="9"/>
  <c r="O967" i="9"/>
  <c r="Q967" i="9" s="1"/>
  <c r="P966" i="9"/>
  <c r="O966" i="9"/>
  <c r="Q966" i="9" s="1"/>
  <c r="P965" i="9"/>
  <c r="O965" i="9"/>
  <c r="Q965" i="9" s="1"/>
  <c r="P964" i="9"/>
  <c r="O964" i="9"/>
  <c r="Q964" i="9" s="1"/>
  <c r="P963" i="9"/>
  <c r="O963" i="9"/>
  <c r="Q963" i="9" s="1"/>
  <c r="P962" i="9"/>
  <c r="O962" i="9"/>
  <c r="Q962" i="9" s="1"/>
  <c r="P961" i="9"/>
  <c r="O961" i="9"/>
  <c r="Q961" i="9" s="1"/>
  <c r="P960" i="9"/>
  <c r="O960" i="9"/>
  <c r="Q960" i="9" s="1"/>
  <c r="P959" i="9"/>
  <c r="O959" i="9"/>
  <c r="Q959" i="9" s="1"/>
  <c r="P958" i="9"/>
  <c r="O958" i="9"/>
  <c r="Q958" i="9" s="1"/>
  <c r="P957" i="9"/>
  <c r="O957" i="9"/>
  <c r="Q957" i="9" s="1"/>
  <c r="P956" i="9"/>
  <c r="O956" i="9"/>
  <c r="Q956" i="9" s="1"/>
  <c r="P955" i="9"/>
  <c r="O955" i="9"/>
  <c r="Q955" i="9" s="1"/>
  <c r="P954" i="9"/>
  <c r="O954" i="9"/>
  <c r="Q954" i="9" s="1"/>
  <c r="P953" i="9"/>
  <c r="O953" i="9"/>
  <c r="Q953" i="9" s="1"/>
  <c r="P952" i="9"/>
  <c r="O952" i="9"/>
  <c r="Q952" i="9" s="1"/>
  <c r="P951" i="9"/>
  <c r="O951" i="9"/>
  <c r="Q951" i="9" s="1"/>
  <c r="P950" i="9"/>
  <c r="O950" i="9"/>
  <c r="Q950" i="9" s="1"/>
  <c r="P949" i="9"/>
  <c r="O949" i="9"/>
  <c r="Q949" i="9" s="1"/>
  <c r="P948" i="9"/>
  <c r="O948" i="9"/>
  <c r="Q948" i="9" s="1"/>
  <c r="P947" i="9"/>
  <c r="O947" i="9"/>
  <c r="Q947" i="9" s="1"/>
  <c r="P946" i="9"/>
  <c r="O946" i="9"/>
  <c r="Q946" i="9" s="1"/>
  <c r="P945" i="9"/>
  <c r="O945" i="9"/>
  <c r="Q945" i="9" s="1"/>
  <c r="P944" i="9"/>
  <c r="O944" i="9"/>
  <c r="Q944" i="9" s="1"/>
  <c r="P943" i="9"/>
  <c r="O943" i="9"/>
  <c r="Q943" i="9" s="1"/>
  <c r="P942" i="9"/>
  <c r="O942" i="9"/>
  <c r="Q942" i="9" s="1"/>
  <c r="P941" i="9"/>
  <c r="O941" i="9"/>
  <c r="Q941" i="9" s="1"/>
  <c r="P940" i="9"/>
  <c r="O940" i="9"/>
  <c r="Q940" i="9" s="1"/>
  <c r="P939" i="9"/>
  <c r="O939" i="9"/>
  <c r="Q939" i="9" s="1"/>
  <c r="P938" i="9"/>
  <c r="O938" i="9"/>
  <c r="Q938" i="9" s="1"/>
  <c r="P937" i="9"/>
  <c r="O937" i="9"/>
  <c r="Q937" i="9" s="1"/>
  <c r="P936" i="9"/>
  <c r="O936" i="9"/>
  <c r="Q936" i="9" s="1"/>
  <c r="P935" i="9"/>
  <c r="O935" i="9"/>
  <c r="Q935" i="9" s="1"/>
  <c r="P934" i="9"/>
  <c r="O934" i="9"/>
  <c r="Q934" i="9" s="1"/>
  <c r="P933" i="9"/>
  <c r="O933" i="9"/>
  <c r="Q933" i="9" s="1"/>
  <c r="P932" i="9"/>
  <c r="O932" i="9"/>
  <c r="Q932" i="9" s="1"/>
  <c r="P931" i="9"/>
  <c r="O931" i="9"/>
  <c r="Q931" i="9" s="1"/>
  <c r="P930" i="9"/>
  <c r="O930" i="9"/>
  <c r="Q930" i="9" s="1"/>
  <c r="P929" i="9"/>
  <c r="O929" i="9"/>
  <c r="Q929" i="9" s="1"/>
  <c r="P928" i="9"/>
  <c r="O928" i="9"/>
  <c r="Q928" i="9" s="1"/>
  <c r="P927" i="9"/>
  <c r="O927" i="9"/>
  <c r="Q927" i="9" s="1"/>
  <c r="P926" i="9"/>
  <c r="O926" i="9"/>
  <c r="Q926" i="9" s="1"/>
  <c r="P925" i="9"/>
  <c r="O925" i="9"/>
  <c r="Q925" i="9" s="1"/>
  <c r="P924" i="9"/>
  <c r="O924" i="9"/>
  <c r="Q924" i="9" s="1"/>
  <c r="P923" i="9"/>
  <c r="O923" i="9"/>
  <c r="Q923" i="9" s="1"/>
  <c r="P922" i="9"/>
  <c r="O922" i="9"/>
  <c r="Q922" i="9" s="1"/>
  <c r="P921" i="9"/>
  <c r="O921" i="9"/>
  <c r="Q921" i="9" s="1"/>
  <c r="P920" i="9"/>
  <c r="O920" i="9"/>
  <c r="Q920" i="9" s="1"/>
  <c r="P919" i="9"/>
  <c r="O919" i="9"/>
  <c r="Q919" i="9" s="1"/>
  <c r="P918" i="9"/>
  <c r="O918" i="9"/>
  <c r="Q918" i="9" s="1"/>
  <c r="P917" i="9"/>
  <c r="O917" i="9"/>
  <c r="Q917" i="9" s="1"/>
  <c r="P916" i="9"/>
  <c r="O916" i="9"/>
  <c r="Q916" i="9" s="1"/>
  <c r="P915" i="9"/>
  <c r="O915" i="9"/>
  <c r="Q915" i="9" s="1"/>
  <c r="P914" i="9"/>
  <c r="O914" i="9"/>
  <c r="Q914" i="9" s="1"/>
  <c r="P913" i="9"/>
  <c r="O913" i="9"/>
  <c r="Q913" i="9" s="1"/>
  <c r="P912" i="9"/>
  <c r="O912" i="9"/>
  <c r="Q912" i="9" s="1"/>
  <c r="P911" i="9"/>
  <c r="O911" i="9"/>
  <c r="Q911" i="9" s="1"/>
  <c r="P910" i="9"/>
  <c r="O910" i="9"/>
  <c r="Q910" i="9" s="1"/>
  <c r="P909" i="9"/>
  <c r="O909" i="9"/>
  <c r="Q909" i="9" s="1"/>
  <c r="P908" i="9"/>
  <c r="O908" i="9"/>
  <c r="Q908" i="9" s="1"/>
  <c r="P907" i="9"/>
  <c r="O907" i="9"/>
  <c r="Q907" i="9" s="1"/>
  <c r="P906" i="9"/>
  <c r="O906" i="9"/>
  <c r="Q906" i="9" s="1"/>
  <c r="P905" i="9"/>
  <c r="O905" i="9"/>
  <c r="Q905" i="9" s="1"/>
  <c r="P904" i="9"/>
  <c r="O904" i="9"/>
  <c r="Q904" i="9" s="1"/>
  <c r="P903" i="9"/>
  <c r="O903" i="9"/>
  <c r="Q903" i="9" s="1"/>
  <c r="P902" i="9"/>
  <c r="O902" i="9"/>
  <c r="Q902" i="9" s="1"/>
  <c r="P901" i="9"/>
  <c r="O901" i="9"/>
  <c r="Q901" i="9" s="1"/>
  <c r="P900" i="9"/>
  <c r="O900" i="9"/>
  <c r="Q900" i="9" s="1"/>
  <c r="P899" i="9"/>
  <c r="O899" i="9"/>
  <c r="Q899" i="9" s="1"/>
  <c r="P898" i="9"/>
  <c r="O898" i="9"/>
  <c r="Q898" i="9" s="1"/>
  <c r="P897" i="9"/>
  <c r="O897" i="9"/>
  <c r="Q897" i="9" s="1"/>
  <c r="P896" i="9"/>
  <c r="O896" i="9"/>
  <c r="Q896" i="9" s="1"/>
  <c r="P895" i="9"/>
  <c r="O895" i="9"/>
  <c r="Q895" i="9" s="1"/>
  <c r="P894" i="9"/>
  <c r="O894" i="9"/>
  <c r="Q894" i="9" s="1"/>
  <c r="P893" i="9"/>
  <c r="O893" i="9"/>
  <c r="Q893" i="9" s="1"/>
  <c r="P892" i="9"/>
  <c r="O892" i="9"/>
  <c r="Q892" i="9" s="1"/>
  <c r="P891" i="9"/>
  <c r="O891" i="9"/>
  <c r="Q891" i="9" s="1"/>
  <c r="P890" i="9"/>
  <c r="O890" i="9"/>
  <c r="Q890" i="9" s="1"/>
  <c r="P889" i="9"/>
  <c r="O889" i="9"/>
  <c r="Q889" i="9" s="1"/>
  <c r="P888" i="9"/>
  <c r="O888" i="9"/>
  <c r="Q888" i="9" s="1"/>
  <c r="P887" i="9"/>
  <c r="O887" i="9"/>
  <c r="Q887" i="9" s="1"/>
  <c r="P886" i="9"/>
  <c r="O886" i="9"/>
  <c r="Q886" i="9" s="1"/>
  <c r="P885" i="9"/>
  <c r="O885" i="9"/>
  <c r="Q885" i="9" s="1"/>
  <c r="P884" i="9"/>
  <c r="O884" i="9"/>
  <c r="Q884" i="9" s="1"/>
  <c r="P883" i="9"/>
  <c r="O883" i="9"/>
  <c r="Q883" i="9" s="1"/>
  <c r="P882" i="9"/>
  <c r="O882" i="9"/>
  <c r="Q882" i="9" s="1"/>
  <c r="P881" i="9"/>
  <c r="O881" i="9"/>
  <c r="Q881" i="9" s="1"/>
  <c r="P880" i="9"/>
  <c r="O880" i="9"/>
  <c r="Q880" i="9" s="1"/>
  <c r="P879" i="9"/>
  <c r="O879" i="9"/>
  <c r="Q879" i="9" s="1"/>
  <c r="P878" i="9"/>
  <c r="O878" i="9"/>
  <c r="Q878" i="9" s="1"/>
  <c r="P877" i="9"/>
  <c r="O877" i="9"/>
  <c r="Q877" i="9" s="1"/>
  <c r="P876" i="9"/>
  <c r="O876" i="9"/>
  <c r="Q876" i="9" s="1"/>
  <c r="P875" i="9"/>
  <c r="O875" i="9"/>
  <c r="Q875" i="9" s="1"/>
  <c r="P874" i="9"/>
  <c r="O874" i="9"/>
  <c r="Q874" i="9" s="1"/>
  <c r="P873" i="9"/>
  <c r="O873" i="9"/>
  <c r="Q873" i="9" s="1"/>
  <c r="P872" i="9"/>
  <c r="O872" i="9"/>
  <c r="Q872" i="9" s="1"/>
  <c r="P871" i="9"/>
  <c r="O871" i="9"/>
  <c r="Q871" i="9" s="1"/>
  <c r="P870" i="9"/>
  <c r="O870" i="9"/>
  <c r="Q870" i="9" s="1"/>
  <c r="P869" i="9"/>
  <c r="O869" i="9"/>
  <c r="Q869" i="9" s="1"/>
  <c r="P868" i="9"/>
  <c r="O868" i="9"/>
  <c r="Q868" i="9" s="1"/>
  <c r="P867" i="9"/>
  <c r="O867" i="9"/>
  <c r="Q867" i="9" s="1"/>
  <c r="P866" i="9"/>
  <c r="O866" i="9"/>
  <c r="Q866" i="9" s="1"/>
  <c r="P865" i="9"/>
  <c r="O865" i="9"/>
  <c r="Q865" i="9" s="1"/>
  <c r="P864" i="9"/>
  <c r="O864" i="9"/>
  <c r="Q864" i="9" s="1"/>
  <c r="P863" i="9"/>
  <c r="O863" i="9"/>
  <c r="Q863" i="9" s="1"/>
  <c r="P862" i="9"/>
  <c r="O862" i="9"/>
  <c r="Q862" i="9" s="1"/>
  <c r="P861" i="9"/>
  <c r="O861" i="9"/>
  <c r="Q861" i="9" s="1"/>
  <c r="P860" i="9"/>
  <c r="O860" i="9"/>
  <c r="Q860" i="9" s="1"/>
  <c r="P859" i="9"/>
  <c r="O859" i="9"/>
  <c r="Q859" i="9" s="1"/>
  <c r="P858" i="9"/>
  <c r="O858" i="9"/>
  <c r="Q858" i="9" s="1"/>
  <c r="P857" i="9"/>
  <c r="O857" i="9"/>
  <c r="Q857" i="9" s="1"/>
  <c r="P856" i="9"/>
  <c r="O856" i="9"/>
  <c r="Q856" i="9" s="1"/>
  <c r="P855" i="9"/>
  <c r="O855" i="9"/>
  <c r="Q855" i="9" s="1"/>
  <c r="P854" i="9"/>
  <c r="O854" i="9"/>
  <c r="Q854" i="9" s="1"/>
  <c r="P853" i="9"/>
  <c r="O853" i="9"/>
  <c r="Q853" i="9" s="1"/>
  <c r="P852" i="9"/>
  <c r="O852" i="9"/>
  <c r="Q852" i="9" s="1"/>
  <c r="P851" i="9"/>
  <c r="O851" i="9"/>
  <c r="Q851" i="9" s="1"/>
  <c r="P850" i="9"/>
  <c r="O850" i="9"/>
  <c r="Q850" i="9" s="1"/>
  <c r="P849" i="9"/>
  <c r="O849" i="9"/>
  <c r="Q849" i="9" s="1"/>
  <c r="P848" i="9"/>
  <c r="O848" i="9"/>
  <c r="Q848" i="9" s="1"/>
  <c r="P847" i="9"/>
  <c r="O847" i="9"/>
  <c r="Q847" i="9" s="1"/>
  <c r="P846" i="9"/>
  <c r="O846" i="9"/>
  <c r="Q846" i="9" s="1"/>
  <c r="P845" i="9"/>
  <c r="O845" i="9"/>
  <c r="Q845" i="9" s="1"/>
  <c r="P844" i="9"/>
  <c r="O844" i="9"/>
  <c r="Q844" i="9" s="1"/>
  <c r="P843" i="9"/>
  <c r="O843" i="9"/>
  <c r="Q843" i="9" s="1"/>
  <c r="P842" i="9"/>
  <c r="O842" i="9"/>
  <c r="Q842" i="9" s="1"/>
  <c r="P841" i="9"/>
  <c r="O841" i="9"/>
  <c r="Q841" i="9" s="1"/>
  <c r="P840" i="9"/>
  <c r="O840" i="9"/>
  <c r="Q840" i="9" s="1"/>
  <c r="P839" i="9"/>
  <c r="O839" i="9"/>
  <c r="Q839" i="9" s="1"/>
  <c r="P838" i="9"/>
  <c r="O838" i="9"/>
  <c r="Q838" i="9" s="1"/>
  <c r="P837" i="9"/>
  <c r="O837" i="9"/>
  <c r="Q837" i="9" s="1"/>
  <c r="P836" i="9"/>
  <c r="O836" i="9"/>
  <c r="Q836" i="9" s="1"/>
  <c r="P835" i="9"/>
  <c r="O835" i="9"/>
  <c r="Q835" i="9" s="1"/>
  <c r="P834" i="9"/>
  <c r="O834" i="9"/>
  <c r="Q834" i="9" s="1"/>
  <c r="P833" i="9"/>
  <c r="O833" i="9"/>
  <c r="Q833" i="9" s="1"/>
  <c r="P832" i="9"/>
  <c r="O832" i="9"/>
  <c r="Q832" i="9" s="1"/>
  <c r="P831" i="9"/>
  <c r="O831" i="9"/>
  <c r="Q831" i="9" s="1"/>
  <c r="P830" i="9"/>
  <c r="O830" i="9"/>
  <c r="Q830" i="9" s="1"/>
  <c r="P829" i="9"/>
  <c r="O829" i="9"/>
  <c r="Q829" i="9" s="1"/>
  <c r="P828" i="9"/>
  <c r="O828" i="9"/>
  <c r="Q828" i="9" s="1"/>
  <c r="P827" i="9"/>
  <c r="O827" i="9"/>
  <c r="Q827" i="9" s="1"/>
  <c r="P826" i="9"/>
  <c r="O826" i="9"/>
  <c r="Q826" i="9" s="1"/>
  <c r="P825" i="9"/>
  <c r="O825" i="9"/>
  <c r="Q825" i="9" s="1"/>
  <c r="P824" i="9"/>
  <c r="O824" i="9"/>
  <c r="Q824" i="9" s="1"/>
  <c r="P823" i="9"/>
  <c r="O823" i="9"/>
  <c r="Q823" i="9" s="1"/>
  <c r="P822" i="9"/>
  <c r="O822" i="9"/>
  <c r="Q822" i="9" s="1"/>
  <c r="P821" i="9"/>
  <c r="O821" i="9"/>
  <c r="Q821" i="9" s="1"/>
  <c r="P820" i="9"/>
  <c r="O820" i="9"/>
  <c r="Q820" i="9" s="1"/>
  <c r="P819" i="9"/>
  <c r="O819" i="9"/>
  <c r="Q819" i="9" s="1"/>
  <c r="P818" i="9"/>
  <c r="O818" i="9"/>
  <c r="Q818" i="9" s="1"/>
  <c r="P817" i="9"/>
  <c r="O817" i="9"/>
  <c r="Q817" i="9" s="1"/>
  <c r="P816" i="9"/>
  <c r="O816" i="9"/>
  <c r="Q816" i="9" s="1"/>
  <c r="P815" i="9"/>
  <c r="O815" i="9"/>
  <c r="Q815" i="9" s="1"/>
  <c r="P814" i="9"/>
  <c r="O814" i="9"/>
  <c r="Q814" i="9" s="1"/>
  <c r="P813" i="9"/>
  <c r="O813" i="9"/>
  <c r="Q813" i="9" s="1"/>
  <c r="P812" i="9"/>
  <c r="O812" i="9"/>
  <c r="Q812" i="9" s="1"/>
  <c r="P811" i="9"/>
  <c r="O811" i="9"/>
  <c r="Q811" i="9" s="1"/>
  <c r="P810" i="9"/>
  <c r="O810" i="9"/>
  <c r="Q810" i="9" s="1"/>
  <c r="P809" i="9"/>
  <c r="O809" i="9"/>
  <c r="Q809" i="9" s="1"/>
  <c r="P808" i="9"/>
  <c r="O808" i="9"/>
  <c r="Q808" i="9" s="1"/>
  <c r="P807" i="9"/>
  <c r="O807" i="9"/>
  <c r="Q807" i="9" s="1"/>
  <c r="P806" i="9"/>
  <c r="O806" i="9"/>
  <c r="Q806" i="9" s="1"/>
  <c r="P805" i="9"/>
  <c r="O805" i="9"/>
  <c r="Q805" i="9" s="1"/>
  <c r="P804" i="9"/>
  <c r="O804" i="9"/>
  <c r="Q804" i="9" s="1"/>
  <c r="P803" i="9"/>
  <c r="O803" i="9"/>
  <c r="Q803" i="9" s="1"/>
  <c r="P802" i="9"/>
  <c r="O802" i="9"/>
  <c r="Q802" i="9" s="1"/>
  <c r="P801" i="9"/>
  <c r="O801" i="9"/>
  <c r="Q801" i="9" s="1"/>
  <c r="P800" i="9"/>
  <c r="O800" i="9"/>
  <c r="Q800" i="9" s="1"/>
  <c r="P799" i="9"/>
  <c r="O799" i="9"/>
  <c r="Q799" i="9" s="1"/>
  <c r="P798" i="9"/>
  <c r="O798" i="9"/>
  <c r="Q798" i="9" s="1"/>
  <c r="P797" i="9"/>
  <c r="O797" i="9"/>
  <c r="Q797" i="9" s="1"/>
  <c r="P796" i="9"/>
  <c r="O796" i="9"/>
  <c r="Q796" i="9" s="1"/>
  <c r="P795" i="9"/>
  <c r="O795" i="9"/>
  <c r="Q795" i="9" s="1"/>
  <c r="P794" i="9"/>
  <c r="O794" i="9"/>
  <c r="Q794" i="9" s="1"/>
  <c r="P793" i="9"/>
  <c r="O793" i="9"/>
  <c r="Q793" i="9" s="1"/>
  <c r="P792" i="9"/>
  <c r="O792" i="9"/>
  <c r="Q792" i="9" s="1"/>
  <c r="P791" i="9"/>
  <c r="O791" i="9"/>
  <c r="Q791" i="9" s="1"/>
  <c r="P790" i="9"/>
  <c r="O790" i="9"/>
  <c r="Q790" i="9" s="1"/>
  <c r="P789" i="9"/>
  <c r="O789" i="9"/>
  <c r="Q789" i="9" s="1"/>
  <c r="P788" i="9"/>
  <c r="O788" i="9"/>
  <c r="Q788" i="9" s="1"/>
  <c r="P787" i="9"/>
  <c r="O787" i="9"/>
  <c r="Q787" i="9" s="1"/>
  <c r="P786" i="9"/>
  <c r="O786" i="9"/>
  <c r="Q786" i="9" s="1"/>
  <c r="P785" i="9"/>
  <c r="O785" i="9"/>
  <c r="Q785" i="9" s="1"/>
  <c r="P784" i="9"/>
  <c r="O784" i="9"/>
  <c r="Q784" i="9" s="1"/>
  <c r="P783" i="9"/>
  <c r="O783" i="9"/>
  <c r="Q783" i="9" s="1"/>
  <c r="P782" i="9"/>
  <c r="O782" i="9"/>
  <c r="Q782" i="9" s="1"/>
  <c r="P781" i="9"/>
  <c r="O781" i="9"/>
  <c r="Q781" i="9" s="1"/>
  <c r="P780" i="9"/>
  <c r="O780" i="9"/>
  <c r="Q780" i="9" s="1"/>
  <c r="P779" i="9"/>
  <c r="O779" i="9"/>
  <c r="Q779" i="9" s="1"/>
  <c r="P778" i="9"/>
  <c r="O778" i="9"/>
  <c r="Q778" i="9" s="1"/>
  <c r="P777" i="9"/>
  <c r="O777" i="9"/>
  <c r="Q777" i="9" s="1"/>
  <c r="P776" i="9"/>
  <c r="O776" i="9"/>
  <c r="Q776" i="9" s="1"/>
  <c r="P775" i="9"/>
  <c r="O775" i="9"/>
  <c r="Q775" i="9" s="1"/>
  <c r="P774" i="9"/>
  <c r="O774" i="9"/>
  <c r="Q774" i="9" s="1"/>
  <c r="P773" i="9"/>
  <c r="O773" i="9"/>
  <c r="Q773" i="9" s="1"/>
  <c r="P772" i="9"/>
  <c r="O772" i="9"/>
  <c r="Q772" i="9" s="1"/>
  <c r="P771" i="9"/>
  <c r="O771" i="9"/>
  <c r="Q771" i="9" s="1"/>
  <c r="P770" i="9"/>
  <c r="O770" i="9"/>
  <c r="Q770" i="9" s="1"/>
  <c r="P769" i="9"/>
  <c r="O769" i="9"/>
  <c r="Q769" i="9" s="1"/>
  <c r="P768" i="9"/>
  <c r="O768" i="9"/>
  <c r="Q768" i="9" s="1"/>
  <c r="P767" i="9"/>
  <c r="O767" i="9"/>
  <c r="Q767" i="9" s="1"/>
  <c r="P766" i="9"/>
  <c r="O766" i="9"/>
  <c r="Q766" i="9" s="1"/>
  <c r="P765" i="9"/>
  <c r="O765" i="9"/>
  <c r="Q765" i="9" s="1"/>
  <c r="P764" i="9"/>
  <c r="O764" i="9"/>
  <c r="Q764" i="9" s="1"/>
  <c r="P763" i="9"/>
  <c r="O763" i="9"/>
  <c r="Q763" i="9" s="1"/>
  <c r="P762" i="9"/>
  <c r="O762" i="9"/>
  <c r="Q762" i="9" s="1"/>
  <c r="P761" i="9"/>
  <c r="O761" i="9"/>
  <c r="Q761" i="9" s="1"/>
  <c r="P760" i="9"/>
  <c r="O760" i="9"/>
  <c r="Q760" i="9" s="1"/>
  <c r="P759" i="9"/>
  <c r="O759" i="9"/>
  <c r="Q759" i="9" s="1"/>
  <c r="P758" i="9"/>
  <c r="O758" i="9"/>
  <c r="Q758" i="9" s="1"/>
  <c r="P757" i="9"/>
  <c r="O757" i="9"/>
  <c r="Q757" i="9" s="1"/>
  <c r="P756" i="9"/>
  <c r="O756" i="9"/>
  <c r="Q756" i="9" s="1"/>
  <c r="P755" i="9"/>
  <c r="O755" i="9"/>
  <c r="Q755" i="9" s="1"/>
  <c r="P754" i="9"/>
  <c r="O754" i="9"/>
  <c r="Q754" i="9" s="1"/>
  <c r="P753" i="9"/>
  <c r="O753" i="9"/>
  <c r="Q753" i="9" s="1"/>
  <c r="P752" i="9"/>
  <c r="O752" i="9"/>
  <c r="Q752" i="9" s="1"/>
  <c r="P751" i="9"/>
  <c r="O751" i="9"/>
  <c r="Q751" i="9" s="1"/>
  <c r="P750" i="9"/>
  <c r="O750" i="9"/>
  <c r="Q750" i="9" s="1"/>
  <c r="P749" i="9"/>
  <c r="O749" i="9"/>
  <c r="Q749" i="9" s="1"/>
  <c r="P748" i="9"/>
  <c r="O748" i="9"/>
  <c r="Q748" i="9" s="1"/>
  <c r="P747" i="9"/>
  <c r="O747" i="9"/>
  <c r="Q747" i="9" s="1"/>
  <c r="P746" i="9"/>
  <c r="O746" i="9"/>
  <c r="Q746" i="9" s="1"/>
  <c r="P745" i="9"/>
  <c r="O745" i="9"/>
  <c r="Q745" i="9" s="1"/>
  <c r="P744" i="9"/>
  <c r="O744" i="9"/>
  <c r="Q744" i="9" s="1"/>
  <c r="P743" i="9"/>
  <c r="O743" i="9"/>
  <c r="Q743" i="9" s="1"/>
  <c r="P742" i="9"/>
  <c r="O742" i="9"/>
  <c r="Q742" i="9" s="1"/>
  <c r="P741" i="9"/>
  <c r="O741" i="9"/>
  <c r="Q741" i="9" s="1"/>
  <c r="P740" i="9"/>
  <c r="O740" i="9"/>
  <c r="Q740" i="9" s="1"/>
  <c r="P739" i="9"/>
  <c r="O739" i="9"/>
  <c r="Q739" i="9" s="1"/>
  <c r="P738" i="9"/>
  <c r="O738" i="9"/>
  <c r="Q738" i="9" s="1"/>
  <c r="P737" i="9"/>
  <c r="O737" i="9"/>
  <c r="Q737" i="9" s="1"/>
  <c r="P736" i="9"/>
  <c r="O736" i="9"/>
  <c r="Q736" i="9" s="1"/>
  <c r="P735" i="9"/>
  <c r="O735" i="9"/>
  <c r="Q735" i="9" s="1"/>
  <c r="P734" i="9"/>
  <c r="O734" i="9"/>
  <c r="Q734" i="9" s="1"/>
  <c r="P733" i="9"/>
  <c r="O733" i="9"/>
  <c r="Q733" i="9" s="1"/>
  <c r="P732" i="9"/>
  <c r="O732" i="9"/>
  <c r="Q732" i="9" s="1"/>
  <c r="P731" i="9"/>
  <c r="O731" i="9"/>
  <c r="Q731" i="9" s="1"/>
  <c r="P730" i="9"/>
  <c r="O730" i="9"/>
  <c r="Q730" i="9" s="1"/>
  <c r="P729" i="9"/>
  <c r="O729" i="9"/>
  <c r="Q729" i="9" s="1"/>
  <c r="P728" i="9"/>
  <c r="O728" i="9"/>
  <c r="Q728" i="9" s="1"/>
  <c r="P727" i="9"/>
  <c r="O727" i="9"/>
  <c r="Q727" i="9" s="1"/>
  <c r="P726" i="9"/>
  <c r="O726" i="9"/>
  <c r="Q726" i="9" s="1"/>
  <c r="P725" i="9"/>
  <c r="O725" i="9"/>
  <c r="Q725" i="9" s="1"/>
  <c r="P724" i="9"/>
  <c r="O724" i="9"/>
  <c r="Q724" i="9" s="1"/>
  <c r="P723" i="9"/>
  <c r="O723" i="9"/>
  <c r="Q723" i="9" s="1"/>
  <c r="P722" i="9"/>
  <c r="O722" i="9"/>
  <c r="Q722" i="9" s="1"/>
  <c r="P721" i="9"/>
  <c r="O721" i="9"/>
  <c r="Q721" i="9" s="1"/>
  <c r="P720" i="9"/>
  <c r="O720" i="9"/>
  <c r="Q720" i="9" s="1"/>
  <c r="P719" i="9"/>
  <c r="O719" i="9"/>
  <c r="Q719" i="9" s="1"/>
  <c r="P718" i="9"/>
  <c r="O718" i="9"/>
  <c r="Q718" i="9" s="1"/>
  <c r="P717" i="9"/>
  <c r="O717" i="9"/>
  <c r="Q717" i="9" s="1"/>
  <c r="P716" i="9"/>
  <c r="O716" i="9"/>
  <c r="Q716" i="9" s="1"/>
  <c r="P715" i="9"/>
  <c r="O715" i="9"/>
  <c r="Q715" i="9" s="1"/>
  <c r="P714" i="9"/>
  <c r="O714" i="9"/>
  <c r="Q714" i="9" s="1"/>
  <c r="P713" i="9"/>
  <c r="O713" i="9"/>
  <c r="Q713" i="9" s="1"/>
  <c r="P712" i="9"/>
  <c r="O712" i="9"/>
  <c r="Q712" i="9" s="1"/>
  <c r="P711" i="9"/>
  <c r="O711" i="9"/>
  <c r="Q711" i="9" s="1"/>
  <c r="P710" i="9"/>
  <c r="O710" i="9"/>
  <c r="Q710" i="9" s="1"/>
  <c r="P709" i="9"/>
  <c r="O709" i="9"/>
  <c r="Q709" i="9" s="1"/>
  <c r="P708" i="9"/>
  <c r="O708" i="9"/>
  <c r="Q708" i="9" s="1"/>
  <c r="P707" i="9"/>
  <c r="O707" i="9"/>
  <c r="Q707" i="9" s="1"/>
  <c r="P706" i="9"/>
  <c r="O706" i="9"/>
  <c r="Q706" i="9" s="1"/>
  <c r="P705" i="9"/>
  <c r="O705" i="9"/>
  <c r="Q705" i="9" s="1"/>
  <c r="P704" i="9"/>
  <c r="O704" i="9"/>
  <c r="Q704" i="9" s="1"/>
  <c r="P703" i="9"/>
  <c r="O703" i="9"/>
  <c r="Q703" i="9" s="1"/>
  <c r="P702" i="9"/>
  <c r="O702" i="9"/>
  <c r="Q702" i="9" s="1"/>
  <c r="P701" i="9"/>
  <c r="O701" i="9"/>
  <c r="Q701" i="9" s="1"/>
  <c r="P700" i="9"/>
  <c r="O700" i="9"/>
  <c r="Q700" i="9" s="1"/>
  <c r="P699" i="9"/>
  <c r="O699" i="9"/>
  <c r="Q699" i="9" s="1"/>
  <c r="P698" i="9"/>
  <c r="O698" i="9"/>
  <c r="Q698" i="9" s="1"/>
  <c r="P697" i="9"/>
  <c r="O697" i="9"/>
  <c r="Q697" i="9" s="1"/>
  <c r="P696" i="9"/>
  <c r="O696" i="9"/>
  <c r="Q696" i="9" s="1"/>
  <c r="P695" i="9"/>
  <c r="O695" i="9"/>
  <c r="Q695" i="9" s="1"/>
  <c r="P694" i="9"/>
  <c r="O694" i="9"/>
  <c r="Q694" i="9" s="1"/>
  <c r="P693" i="9"/>
  <c r="O693" i="9"/>
  <c r="Q693" i="9" s="1"/>
  <c r="P692" i="9"/>
  <c r="O692" i="9"/>
  <c r="Q692" i="9" s="1"/>
  <c r="P691" i="9"/>
  <c r="O691" i="9"/>
  <c r="Q691" i="9" s="1"/>
  <c r="P690" i="9"/>
  <c r="O690" i="9"/>
  <c r="Q690" i="9" s="1"/>
  <c r="P689" i="9"/>
  <c r="O689" i="9"/>
  <c r="Q689" i="9" s="1"/>
  <c r="P688" i="9"/>
  <c r="O688" i="9"/>
  <c r="Q688" i="9" s="1"/>
  <c r="P687" i="9"/>
  <c r="O687" i="9"/>
  <c r="Q687" i="9" s="1"/>
  <c r="P686" i="9"/>
  <c r="O686" i="9"/>
  <c r="Q686" i="9" s="1"/>
  <c r="P685" i="9"/>
  <c r="O685" i="9"/>
  <c r="Q685" i="9" s="1"/>
  <c r="P684" i="9"/>
  <c r="O684" i="9"/>
  <c r="Q684" i="9" s="1"/>
  <c r="P683" i="9"/>
  <c r="O683" i="9"/>
  <c r="Q683" i="9" s="1"/>
  <c r="P682" i="9"/>
  <c r="O682" i="9"/>
  <c r="Q682" i="9" s="1"/>
  <c r="P681" i="9"/>
  <c r="O681" i="9"/>
  <c r="Q681" i="9" s="1"/>
  <c r="P680" i="9"/>
  <c r="O680" i="9"/>
  <c r="Q680" i="9" s="1"/>
  <c r="P679" i="9"/>
  <c r="O679" i="9"/>
  <c r="Q679" i="9" s="1"/>
  <c r="P678" i="9"/>
  <c r="O678" i="9"/>
  <c r="Q678" i="9" s="1"/>
  <c r="P677" i="9"/>
  <c r="O677" i="9"/>
  <c r="Q677" i="9" s="1"/>
  <c r="P676" i="9"/>
  <c r="O676" i="9"/>
  <c r="Q676" i="9" s="1"/>
  <c r="P675" i="9"/>
  <c r="O675" i="9"/>
  <c r="Q675" i="9" s="1"/>
  <c r="P674" i="9"/>
  <c r="O674" i="9"/>
  <c r="Q674" i="9" s="1"/>
  <c r="P673" i="9"/>
  <c r="O673" i="9"/>
  <c r="Q673" i="9" s="1"/>
  <c r="P672" i="9"/>
  <c r="O672" i="9"/>
  <c r="Q672" i="9" s="1"/>
  <c r="P671" i="9"/>
  <c r="O671" i="9"/>
  <c r="Q671" i="9" s="1"/>
  <c r="P670" i="9"/>
  <c r="O670" i="9"/>
  <c r="Q670" i="9" s="1"/>
  <c r="P669" i="9"/>
  <c r="O669" i="9"/>
  <c r="Q669" i="9" s="1"/>
  <c r="P668" i="9"/>
  <c r="O668" i="9"/>
  <c r="Q668" i="9" s="1"/>
  <c r="P667" i="9"/>
  <c r="O667" i="9"/>
  <c r="Q667" i="9" s="1"/>
  <c r="P666" i="9"/>
  <c r="O666" i="9"/>
  <c r="Q666" i="9" s="1"/>
  <c r="P665" i="9"/>
  <c r="O665" i="9"/>
  <c r="Q665" i="9" s="1"/>
  <c r="P664" i="9"/>
  <c r="O664" i="9"/>
  <c r="Q664" i="9" s="1"/>
  <c r="P663" i="9"/>
  <c r="O663" i="9"/>
  <c r="Q663" i="9" s="1"/>
  <c r="P662" i="9"/>
  <c r="O662" i="9"/>
  <c r="Q662" i="9" s="1"/>
  <c r="P661" i="9"/>
  <c r="O661" i="9"/>
  <c r="Q661" i="9" s="1"/>
  <c r="P660" i="9"/>
  <c r="O660" i="9"/>
  <c r="Q660" i="9" s="1"/>
  <c r="P659" i="9"/>
  <c r="O659" i="9"/>
  <c r="Q659" i="9" s="1"/>
  <c r="P658" i="9"/>
  <c r="O658" i="9"/>
  <c r="Q658" i="9" s="1"/>
  <c r="P657" i="9"/>
  <c r="O657" i="9"/>
  <c r="Q657" i="9" s="1"/>
  <c r="P656" i="9"/>
  <c r="O656" i="9"/>
  <c r="Q656" i="9" s="1"/>
  <c r="P655" i="9"/>
  <c r="O655" i="9"/>
  <c r="Q655" i="9" s="1"/>
  <c r="P654" i="9"/>
  <c r="O654" i="9"/>
  <c r="Q654" i="9" s="1"/>
  <c r="P653" i="9"/>
  <c r="O653" i="9"/>
  <c r="Q653" i="9" s="1"/>
  <c r="P652" i="9"/>
  <c r="O652" i="9"/>
  <c r="Q652" i="9" s="1"/>
  <c r="P651" i="9"/>
  <c r="O651" i="9"/>
  <c r="Q651" i="9" s="1"/>
  <c r="P650" i="9"/>
  <c r="O650" i="9"/>
  <c r="Q650" i="9" s="1"/>
  <c r="P649" i="9"/>
  <c r="O649" i="9"/>
  <c r="Q649" i="9" s="1"/>
  <c r="P648" i="9"/>
  <c r="O648" i="9"/>
  <c r="Q648" i="9" s="1"/>
  <c r="P647" i="9"/>
  <c r="O647" i="9"/>
  <c r="Q647" i="9" s="1"/>
  <c r="P646" i="9"/>
  <c r="O646" i="9"/>
  <c r="P645" i="9"/>
  <c r="O645" i="9"/>
  <c r="Q645" i="9" s="1"/>
  <c r="P644" i="9"/>
  <c r="O644" i="9"/>
  <c r="Q644" i="9" s="1"/>
  <c r="P643" i="9"/>
  <c r="O643" i="9"/>
  <c r="Q643" i="9" s="1"/>
  <c r="P642" i="9"/>
  <c r="O642" i="9"/>
  <c r="Q642" i="9" s="1"/>
  <c r="P641" i="9"/>
  <c r="O641" i="9"/>
  <c r="Q641" i="9" s="1"/>
  <c r="P640" i="9"/>
  <c r="O640" i="9"/>
  <c r="Q640" i="9" s="1"/>
  <c r="P639" i="9"/>
  <c r="O639" i="9"/>
  <c r="Q639" i="9" s="1"/>
  <c r="P638" i="9"/>
  <c r="O638" i="9"/>
  <c r="Q638" i="9" s="1"/>
  <c r="P637" i="9"/>
  <c r="O637" i="9"/>
  <c r="Q637" i="9" s="1"/>
  <c r="P636" i="9"/>
  <c r="O636" i="9"/>
  <c r="Q636" i="9" s="1"/>
  <c r="P635" i="9"/>
  <c r="O635" i="9"/>
  <c r="Q635" i="9" s="1"/>
  <c r="P634" i="9"/>
  <c r="O634" i="9"/>
  <c r="Q634" i="9" s="1"/>
  <c r="P633" i="9"/>
  <c r="O633" i="9"/>
  <c r="Q633" i="9" s="1"/>
  <c r="P632" i="9"/>
  <c r="O632" i="9"/>
  <c r="Q632" i="9" s="1"/>
  <c r="P631" i="9"/>
  <c r="O631" i="9"/>
  <c r="Q631" i="9" s="1"/>
  <c r="P630" i="9"/>
  <c r="O630" i="9"/>
  <c r="Q630" i="9" s="1"/>
  <c r="P629" i="9"/>
  <c r="O629" i="9"/>
  <c r="Q629" i="9" s="1"/>
  <c r="P628" i="9"/>
  <c r="O628" i="9"/>
  <c r="Q628" i="9" s="1"/>
  <c r="P627" i="9"/>
  <c r="O627" i="9"/>
  <c r="Q627" i="9" s="1"/>
  <c r="P626" i="9"/>
  <c r="O626" i="9"/>
  <c r="Q626" i="9" s="1"/>
  <c r="P625" i="9"/>
  <c r="O625" i="9"/>
  <c r="Q625" i="9" s="1"/>
  <c r="P624" i="9"/>
  <c r="O624" i="9"/>
  <c r="Q624" i="9" s="1"/>
  <c r="P623" i="9"/>
  <c r="O623" i="9"/>
  <c r="Q623" i="9" s="1"/>
  <c r="P622" i="9"/>
  <c r="O622" i="9"/>
  <c r="Q622" i="9" s="1"/>
  <c r="P621" i="9"/>
  <c r="O621" i="9"/>
  <c r="P620" i="9"/>
  <c r="O620" i="9"/>
  <c r="Q620" i="9" s="1"/>
  <c r="P619" i="9"/>
  <c r="O619" i="9"/>
  <c r="Q619" i="9" s="1"/>
  <c r="P618" i="9"/>
  <c r="O618" i="9"/>
  <c r="Q618" i="9" s="1"/>
  <c r="P617" i="9"/>
  <c r="O617" i="9"/>
  <c r="Q617" i="9" s="1"/>
  <c r="P616" i="9"/>
  <c r="O616" i="9"/>
  <c r="Q616" i="9" s="1"/>
  <c r="P615" i="9"/>
  <c r="O615" i="9"/>
  <c r="Q615" i="9" s="1"/>
  <c r="P614" i="9"/>
  <c r="O614" i="9"/>
  <c r="Q614" i="9" s="1"/>
  <c r="P613" i="9"/>
  <c r="O613" i="9"/>
  <c r="Q613" i="9" s="1"/>
  <c r="P612" i="9"/>
  <c r="O612" i="9"/>
  <c r="P611" i="9"/>
  <c r="O611" i="9"/>
  <c r="Q611" i="9" s="1"/>
  <c r="P610" i="9"/>
  <c r="O610" i="9"/>
  <c r="Q610" i="9" s="1"/>
  <c r="P609" i="9"/>
  <c r="O609" i="9"/>
  <c r="Q609" i="9" s="1"/>
  <c r="P608" i="9"/>
  <c r="O608" i="9"/>
  <c r="Q608" i="9" s="1"/>
  <c r="P607" i="9"/>
  <c r="O607" i="9"/>
  <c r="Q607" i="9" s="1"/>
  <c r="P606" i="9"/>
  <c r="O606" i="9"/>
  <c r="Q606" i="9" s="1"/>
  <c r="P605" i="9"/>
  <c r="O605" i="9"/>
  <c r="Q605" i="9" s="1"/>
  <c r="P604" i="9"/>
  <c r="O604" i="9"/>
  <c r="Q604" i="9" s="1"/>
  <c r="P603" i="9"/>
  <c r="O603" i="9"/>
  <c r="Q603" i="9" s="1"/>
  <c r="P602" i="9"/>
  <c r="O602" i="9"/>
  <c r="Q602" i="9" s="1"/>
  <c r="P601" i="9"/>
  <c r="O601" i="9"/>
  <c r="Q601" i="9" s="1"/>
  <c r="P600" i="9"/>
  <c r="O600" i="9"/>
  <c r="Q600" i="9" s="1"/>
  <c r="P599" i="9"/>
  <c r="O599" i="9"/>
  <c r="Q599" i="9" s="1"/>
  <c r="P598" i="9"/>
  <c r="O598" i="9"/>
  <c r="Q598" i="9" s="1"/>
  <c r="P597" i="9"/>
  <c r="O597" i="9"/>
  <c r="Q597" i="9" s="1"/>
  <c r="P596" i="9"/>
  <c r="O596" i="9"/>
  <c r="Q596" i="9" s="1"/>
  <c r="P595" i="9"/>
  <c r="O595" i="9"/>
  <c r="Q595" i="9" s="1"/>
  <c r="P594" i="9"/>
  <c r="O594" i="9"/>
  <c r="Q594" i="9" s="1"/>
  <c r="P593" i="9"/>
  <c r="O593" i="9"/>
  <c r="Q593" i="9" s="1"/>
  <c r="P592" i="9"/>
  <c r="O592" i="9"/>
  <c r="Q592" i="9" s="1"/>
  <c r="P591" i="9"/>
  <c r="O591" i="9"/>
  <c r="Q591" i="9" s="1"/>
  <c r="P590" i="9"/>
  <c r="O590" i="9"/>
  <c r="Q590" i="9" s="1"/>
  <c r="P589" i="9"/>
  <c r="O589" i="9"/>
  <c r="Q589" i="9" s="1"/>
  <c r="P588" i="9"/>
  <c r="O588" i="9"/>
  <c r="Q588" i="9" s="1"/>
  <c r="P587" i="9"/>
  <c r="O587" i="9"/>
  <c r="P586" i="9"/>
  <c r="O586" i="9"/>
  <c r="Q586" i="9" s="1"/>
  <c r="P585" i="9"/>
  <c r="O585" i="9"/>
  <c r="Q585" i="9" s="1"/>
  <c r="P584" i="9"/>
  <c r="O584" i="9"/>
  <c r="Q584" i="9" s="1"/>
  <c r="P583" i="9"/>
  <c r="O583" i="9"/>
  <c r="Q583" i="9" s="1"/>
  <c r="P582" i="9"/>
  <c r="O582" i="9"/>
  <c r="Q582" i="9" s="1"/>
  <c r="P581" i="9"/>
  <c r="O581" i="9"/>
  <c r="Q581" i="9" s="1"/>
  <c r="P580" i="9"/>
  <c r="O580" i="9"/>
  <c r="P579" i="9"/>
  <c r="O579" i="9"/>
  <c r="Q579" i="9" s="1"/>
  <c r="P578" i="9"/>
  <c r="O578" i="9"/>
  <c r="Q578" i="9" s="1"/>
  <c r="P577" i="9"/>
  <c r="O577" i="9"/>
  <c r="Q577" i="9" s="1"/>
  <c r="P576" i="9"/>
  <c r="O576" i="9"/>
  <c r="Q576" i="9" s="1"/>
  <c r="P575" i="9"/>
  <c r="O575" i="9"/>
  <c r="Q575" i="9" s="1"/>
  <c r="P574" i="9"/>
  <c r="O574" i="9"/>
  <c r="Q574" i="9" s="1"/>
  <c r="P573" i="9"/>
  <c r="O573" i="9"/>
  <c r="P572" i="9"/>
  <c r="O572" i="9"/>
  <c r="Q572" i="9" s="1"/>
  <c r="P571" i="9"/>
  <c r="O571" i="9"/>
  <c r="Q571" i="9" s="1"/>
  <c r="P570" i="9"/>
  <c r="O570" i="9"/>
  <c r="Q570" i="9" s="1"/>
  <c r="P569" i="9"/>
  <c r="O569" i="9"/>
  <c r="Q569" i="9" s="1"/>
  <c r="P568" i="9"/>
  <c r="O568" i="9"/>
  <c r="Q568" i="9" s="1"/>
  <c r="P567" i="9"/>
  <c r="O567" i="9"/>
  <c r="Q567" i="9" s="1"/>
  <c r="P566" i="9"/>
  <c r="O566" i="9"/>
  <c r="Q566" i="9" s="1"/>
  <c r="P565" i="9"/>
  <c r="O565" i="9"/>
  <c r="Q565" i="9" s="1"/>
  <c r="P564" i="9"/>
  <c r="O564" i="9"/>
  <c r="Q564" i="9" s="1"/>
  <c r="P563" i="9"/>
  <c r="O563" i="9"/>
  <c r="Q563" i="9" s="1"/>
  <c r="P562" i="9"/>
  <c r="O562" i="9"/>
  <c r="Q562" i="9" s="1"/>
  <c r="P561" i="9"/>
  <c r="O561" i="9"/>
  <c r="Q561" i="9" s="1"/>
  <c r="P560" i="9"/>
  <c r="O560" i="9"/>
  <c r="Q560" i="9" s="1"/>
  <c r="P559" i="9"/>
  <c r="O559" i="9"/>
  <c r="Q559" i="9" s="1"/>
  <c r="P558" i="9"/>
  <c r="O558" i="9"/>
  <c r="Q558" i="9" s="1"/>
  <c r="P557" i="9"/>
  <c r="O557" i="9"/>
  <c r="Q557" i="9" s="1"/>
  <c r="P556" i="9"/>
  <c r="O556" i="9"/>
  <c r="Q556" i="9" s="1"/>
  <c r="P555" i="9"/>
  <c r="O555" i="9"/>
  <c r="Q555" i="9" s="1"/>
  <c r="P554" i="9"/>
  <c r="O554" i="9"/>
  <c r="Q554" i="9" s="1"/>
  <c r="P553" i="9"/>
  <c r="O553" i="9"/>
  <c r="Q553" i="9" s="1"/>
  <c r="P552" i="9"/>
  <c r="O552" i="9"/>
  <c r="Q552" i="9" s="1"/>
  <c r="P551" i="9"/>
  <c r="O551" i="9"/>
  <c r="Q551" i="9" s="1"/>
  <c r="P550" i="9"/>
  <c r="O550" i="9"/>
  <c r="Q550" i="9" s="1"/>
  <c r="P549" i="9"/>
  <c r="O549" i="9"/>
  <c r="Q549" i="9" s="1"/>
  <c r="P548" i="9"/>
  <c r="O548" i="9"/>
  <c r="Q548" i="9" s="1"/>
  <c r="P547" i="9"/>
  <c r="O547" i="9"/>
  <c r="Q547" i="9" s="1"/>
  <c r="P546" i="9"/>
  <c r="O546" i="9"/>
  <c r="Q546" i="9" s="1"/>
  <c r="P545" i="9"/>
  <c r="O545" i="9"/>
  <c r="Q545" i="9" s="1"/>
  <c r="P544" i="9"/>
  <c r="O544" i="9"/>
  <c r="Q544" i="9" s="1"/>
  <c r="P543" i="9"/>
  <c r="O543" i="9"/>
  <c r="Q543" i="9" s="1"/>
  <c r="P542" i="9"/>
  <c r="O542" i="9"/>
  <c r="Q542" i="9" s="1"/>
  <c r="P541" i="9"/>
  <c r="O541" i="9"/>
  <c r="Q541" i="9" s="1"/>
  <c r="P540" i="9"/>
  <c r="O540" i="9"/>
  <c r="Q540" i="9" s="1"/>
  <c r="P539" i="9"/>
  <c r="O539" i="9"/>
  <c r="Q539" i="9" s="1"/>
  <c r="P538" i="9"/>
  <c r="O538" i="9"/>
  <c r="P537" i="9"/>
  <c r="O537" i="9"/>
  <c r="Q537" i="9" s="1"/>
  <c r="P536" i="9"/>
  <c r="O536" i="9"/>
  <c r="Q536" i="9" s="1"/>
  <c r="P535" i="9"/>
  <c r="O535" i="9"/>
  <c r="Q535" i="9" s="1"/>
  <c r="P534" i="9"/>
  <c r="O534" i="9"/>
  <c r="Q534" i="9" s="1"/>
  <c r="P533" i="9"/>
  <c r="O533" i="9"/>
  <c r="Q533" i="9" s="1"/>
  <c r="P532" i="9"/>
  <c r="O532" i="9"/>
  <c r="Q532" i="9" s="1"/>
  <c r="P531" i="9"/>
  <c r="O531" i="9"/>
  <c r="P530" i="9"/>
  <c r="O530" i="9"/>
  <c r="Q530" i="9" s="1"/>
  <c r="P529" i="9"/>
  <c r="O529" i="9"/>
  <c r="Q529" i="9" s="1"/>
  <c r="P528" i="9"/>
  <c r="O528" i="9"/>
  <c r="Q528" i="9" s="1"/>
  <c r="P527" i="9"/>
  <c r="O527" i="9"/>
  <c r="Q527" i="9" s="1"/>
  <c r="P526" i="9"/>
  <c r="O526" i="9"/>
  <c r="Q526" i="9" s="1"/>
  <c r="P525" i="9"/>
  <c r="O525" i="9"/>
  <c r="Q525" i="9" s="1"/>
  <c r="P524" i="9"/>
  <c r="O524" i="9"/>
  <c r="Q524" i="9" s="1"/>
  <c r="P523" i="9"/>
  <c r="O523" i="9"/>
  <c r="Q523" i="9" s="1"/>
  <c r="P522" i="9"/>
  <c r="O522" i="9"/>
  <c r="Q522" i="9" s="1"/>
  <c r="P521" i="9"/>
  <c r="O521" i="9"/>
  <c r="Q521" i="9" s="1"/>
  <c r="P520" i="9"/>
  <c r="O520" i="9"/>
  <c r="Q520" i="9" s="1"/>
  <c r="P519" i="9"/>
  <c r="O519" i="9"/>
  <c r="Q519" i="9" s="1"/>
  <c r="P518" i="9"/>
  <c r="O518" i="9"/>
  <c r="Q518" i="9" s="1"/>
  <c r="P517" i="9"/>
  <c r="O517" i="9"/>
  <c r="Q517" i="9" s="1"/>
  <c r="P516" i="9"/>
  <c r="O516" i="9"/>
  <c r="Q516" i="9" s="1"/>
  <c r="P515" i="9"/>
  <c r="O515" i="9"/>
  <c r="Q515" i="9" s="1"/>
  <c r="P514" i="9"/>
  <c r="O514" i="9"/>
  <c r="Q514" i="9" s="1"/>
  <c r="P513" i="9"/>
  <c r="O513" i="9"/>
  <c r="Q513" i="9" s="1"/>
  <c r="P512" i="9"/>
  <c r="O512" i="9"/>
  <c r="Q512" i="9" s="1"/>
  <c r="P511" i="9"/>
  <c r="O511" i="9"/>
  <c r="Q511" i="9" s="1"/>
  <c r="P510" i="9"/>
  <c r="O510" i="9"/>
  <c r="Q510" i="9" s="1"/>
  <c r="P509" i="9"/>
  <c r="O509" i="9"/>
  <c r="Q509" i="9" s="1"/>
  <c r="P508" i="9"/>
  <c r="O508" i="9"/>
  <c r="Q508" i="9" s="1"/>
  <c r="P507" i="9"/>
  <c r="O507" i="9"/>
  <c r="Q507" i="9" s="1"/>
  <c r="P506" i="9"/>
  <c r="O506" i="9"/>
  <c r="Q506" i="9" s="1"/>
  <c r="P505" i="9"/>
  <c r="O505" i="9"/>
  <c r="P504" i="9"/>
  <c r="O504" i="9"/>
  <c r="Q504" i="9" s="1"/>
  <c r="P503" i="9"/>
  <c r="O503" i="9"/>
  <c r="P502" i="9"/>
  <c r="O502" i="9"/>
  <c r="Q502" i="9" s="1"/>
  <c r="P501" i="9"/>
  <c r="O501" i="9"/>
  <c r="Q501" i="9" s="1"/>
  <c r="P500" i="9"/>
  <c r="O500" i="9"/>
  <c r="Q500" i="9" s="1"/>
  <c r="P499" i="9"/>
  <c r="O499" i="9"/>
  <c r="Q499" i="9" s="1"/>
  <c r="P498" i="9"/>
  <c r="O498" i="9"/>
  <c r="Q498" i="9" s="1"/>
  <c r="P497" i="9"/>
  <c r="O497" i="9"/>
  <c r="Q497" i="9" s="1"/>
  <c r="P496" i="9"/>
  <c r="O496" i="9"/>
  <c r="Q496" i="9" s="1"/>
  <c r="P495" i="9"/>
  <c r="O495" i="9"/>
  <c r="Q495" i="9" s="1"/>
  <c r="P494" i="9"/>
  <c r="O494" i="9"/>
  <c r="Q494" i="9" s="1"/>
  <c r="P493" i="9"/>
  <c r="O493" i="9"/>
  <c r="Q493" i="9" s="1"/>
  <c r="P492" i="9"/>
  <c r="O492" i="9"/>
  <c r="Q492" i="9" s="1"/>
  <c r="P491" i="9"/>
  <c r="O491" i="9"/>
  <c r="Q491" i="9" s="1"/>
  <c r="P490" i="9"/>
  <c r="O490" i="9"/>
  <c r="Q490" i="9" s="1"/>
  <c r="P489" i="9"/>
  <c r="O489" i="9"/>
  <c r="Q489" i="9" s="1"/>
  <c r="P488" i="9"/>
  <c r="O488" i="9"/>
  <c r="Q488" i="9" s="1"/>
  <c r="P487" i="9"/>
  <c r="O487" i="9"/>
  <c r="Q487" i="9" s="1"/>
  <c r="P486" i="9"/>
  <c r="O486" i="9"/>
  <c r="Q486" i="9" s="1"/>
  <c r="P485" i="9"/>
  <c r="O485" i="9"/>
  <c r="Q485" i="9" s="1"/>
  <c r="P484" i="9"/>
  <c r="O484" i="9"/>
  <c r="Q484" i="9" s="1"/>
  <c r="P483" i="9"/>
  <c r="O483" i="9"/>
  <c r="Q483" i="9" s="1"/>
  <c r="P482" i="9"/>
  <c r="O482" i="9"/>
  <c r="Q482" i="9" s="1"/>
  <c r="P481" i="9"/>
  <c r="O481" i="9"/>
  <c r="Q481" i="9" s="1"/>
  <c r="P480" i="9"/>
  <c r="O480" i="9"/>
  <c r="Q480" i="9" s="1"/>
  <c r="P479" i="9"/>
  <c r="O479" i="9"/>
  <c r="Q479" i="9" s="1"/>
  <c r="P478" i="9"/>
  <c r="O478" i="9"/>
  <c r="Q478" i="9" s="1"/>
  <c r="P477" i="9"/>
  <c r="O477" i="9"/>
  <c r="Q477" i="9" s="1"/>
  <c r="P476" i="9"/>
  <c r="O476" i="9"/>
  <c r="Q476" i="9" s="1"/>
  <c r="P475" i="9"/>
  <c r="O475" i="9"/>
  <c r="Q475" i="9" s="1"/>
  <c r="P474" i="9"/>
  <c r="O474" i="9"/>
  <c r="Q474" i="9" s="1"/>
  <c r="P473" i="9"/>
  <c r="O473" i="9"/>
  <c r="Q473" i="9" s="1"/>
  <c r="P472" i="9"/>
  <c r="O472" i="9"/>
  <c r="Q472" i="9" s="1"/>
  <c r="P471" i="9"/>
  <c r="O471" i="9"/>
  <c r="Q471" i="9" s="1"/>
  <c r="P470" i="9"/>
  <c r="O470" i="9"/>
  <c r="Q470" i="9" s="1"/>
  <c r="P469" i="9"/>
  <c r="O469" i="9"/>
  <c r="Q469" i="9" s="1"/>
  <c r="P468" i="9"/>
  <c r="O468" i="9"/>
  <c r="Q468" i="9" s="1"/>
  <c r="P467" i="9"/>
  <c r="O467" i="9"/>
  <c r="Q467" i="9" s="1"/>
  <c r="P466" i="9"/>
  <c r="O466" i="9"/>
  <c r="Q466" i="9" s="1"/>
  <c r="P465" i="9"/>
  <c r="O465" i="9"/>
  <c r="Q465" i="9" s="1"/>
  <c r="P464" i="9"/>
  <c r="O464" i="9"/>
  <c r="Q464" i="9" s="1"/>
  <c r="P463" i="9"/>
  <c r="O463" i="9"/>
  <c r="Q463" i="9" s="1"/>
  <c r="P462" i="9"/>
  <c r="O462" i="9"/>
  <c r="Q462" i="9" s="1"/>
  <c r="P461" i="9"/>
  <c r="O461" i="9"/>
  <c r="P460" i="9"/>
  <c r="O460" i="9"/>
  <c r="Q460" i="9" s="1"/>
  <c r="P459" i="9"/>
  <c r="O459" i="9"/>
  <c r="Q459" i="9" s="1"/>
  <c r="P458" i="9"/>
  <c r="O458" i="9"/>
  <c r="Q458" i="9" s="1"/>
  <c r="P457" i="9"/>
  <c r="O457" i="9"/>
  <c r="Q457" i="9" s="1"/>
  <c r="P456" i="9"/>
  <c r="O456" i="9"/>
  <c r="Q456" i="9" s="1"/>
  <c r="P455" i="9"/>
  <c r="O455" i="9"/>
  <c r="Q455" i="9" s="1"/>
  <c r="P454" i="9"/>
  <c r="O454" i="9"/>
  <c r="Q454" i="9" s="1"/>
  <c r="P453" i="9"/>
  <c r="O453" i="9"/>
  <c r="Q453" i="9" s="1"/>
  <c r="P452" i="9"/>
  <c r="O452" i="9"/>
  <c r="Q452" i="9" s="1"/>
  <c r="P451" i="9"/>
  <c r="O451" i="9"/>
  <c r="Q451" i="9" s="1"/>
  <c r="P450" i="9"/>
  <c r="O450" i="9"/>
  <c r="Q450" i="9" s="1"/>
  <c r="P449" i="9"/>
  <c r="O449" i="9"/>
  <c r="Q449" i="9" s="1"/>
  <c r="P448" i="9"/>
  <c r="O448" i="9"/>
  <c r="Q448" i="9" s="1"/>
  <c r="P447" i="9"/>
  <c r="O447" i="9"/>
  <c r="Q447" i="9" s="1"/>
  <c r="P446" i="9"/>
  <c r="O446" i="9"/>
  <c r="Q446" i="9" s="1"/>
  <c r="P445" i="9"/>
  <c r="O445" i="9"/>
  <c r="Q445" i="9" s="1"/>
  <c r="P444" i="9"/>
  <c r="O444" i="9"/>
  <c r="P443" i="9"/>
  <c r="O443" i="9"/>
  <c r="Q443" i="9" s="1"/>
  <c r="P442" i="9"/>
  <c r="O442" i="9"/>
  <c r="Q442" i="9" s="1"/>
  <c r="P441" i="9"/>
  <c r="O441" i="9"/>
  <c r="Q441" i="9" s="1"/>
  <c r="P440" i="9"/>
  <c r="O440" i="9"/>
  <c r="Q440" i="9" s="1"/>
  <c r="P439" i="9"/>
  <c r="O439" i="9"/>
  <c r="Q439" i="9" s="1"/>
  <c r="P438" i="9"/>
  <c r="O438" i="9"/>
  <c r="Q438" i="9" s="1"/>
  <c r="P437" i="9"/>
  <c r="O437" i="9"/>
  <c r="Q437" i="9" s="1"/>
  <c r="P436" i="9"/>
  <c r="O436" i="9"/>
  <c r="Q436" i="9" s="1"/>
  <c r="P435" i="9"/>
  <c r="O435" i="9"/>
  <c r="Q435" i="9" s="1"/>
  <c r="P434" i="9"/>
  <c r="O434" i="9"/>
  <c r="Q434" i="9" s="1"/>
  <c r="P433" i="9"/>
  <c r="O433" i="9"/>
  <c r="Q433" i="9" s="1"/>
  <c r="P432" i="9"/>
  <c r="O432" i="9"/>
  <c r="Q432" i="9" s="1"/>
  <c r="P431" i="9"/>
  <c r="O431" i="9"/>
  <c r="Q431" i="9" s="1"/>
  <c r="P430" i="9"/>
  <c r="O430" i="9"/>
  <c r="Q430" i="9" s="1"/>
  <c r="P429" i="9"/>
  <c r="O429" i="9"/>
  <c r="Q429" i="9" s="1"/>
  <c r="P428" i="9"/>
  <c r="O428" i="9"/>
  <c r="Q428" i="9" s="1"/>
  <c r="P427" i="9"/>
  <c r="O427" i="9"/>
  <c r="Q427" i="9" s="1"/>
  <c r="P426" i="9"/>
  <c r="O426" i="9"/>
  <c r="Q426" i="9" s="1"/>
  <c r="P425" i="9"/>
  <c r="O425" i="9"/>
  <c r="Q425" i="9" s="1"/>
  <c r="P424" i="9"/>
  <c r="O424" i="9"/>
  <c r="Q424" i="9" s="1"/>
  <c r="P423" i="9"/>
  <c r="O423" i="9"/>
  <c r="Q423" i="9" s="1"/>
  <c r="P422" i="9"/>
  <c r="O422" i="9"/>
  <c r="Q422" i="9" s="1"/>
  <c r="P421" i="9"/>
  <c r="O421" i="9"/>
  <c r="Q421" i="9" s="1"/>
  <c r="P420" i="9"/>
  <c r="O420" i="9"/>
  <c r="Q420" i="9" s="1"/>
  <c r="P419" i="9"/>
  <c r="O419" i="9"/>
  <c r="Q419" i="9" s="1"/>
  <c r="P418" i="9"/>
  <c r="O418" i="9"/>
  <c r="Q418" i="9" s="1"/>
  <c r="P417" i="9"/>
  <c r="O417" i="9"/>
  <c r="Q417" i="9" s="1"/>
  <c r="P416" i="9"/>
  <c r="O416" i="9"/>
  <c r="Q416" i="9" s="1"/>
  <c r="P415" i="9"/>
  <c r="O415" i="9"/>
  <c r="Q415" i="9" s="1"/>
  <c r="P414" i="9"/>
  <c r="O414" i="9"/>
  <c r="Q414" i="9" s="1"/>
  <c r="P413" i="9"/>
  <c r="O413" i="9"/>
  <c r="Q413" i="9" s="1"/>
  <c r="P412" i="9"/>
  <c r="O412" i="9"/>
  <c r="Q412" i="9" s="1"/>
  <c r="P411" i="9"/>
  <c r="O411" i="9"/>
  <c r="Q411" i="9" s="1"/>
  <c r="P410" i="9"/>
  <c r="O410" i="9"/>
  <c r="Q410" i="9" s="1"/>
  <c r="P409" i="9"/>
  <c r="O409" i="9"/>
  <c r="Q409" i="9" s="1"/>
  <c r="P408" i="9"/>
  <c r="O408" i="9"/>
  <c r="Q408" i="9" s="1"/>
  <c r="P407" i="9"/>
  <c r="O407" i="9"/>
  <c r="Q407" i="9" s="1"/>
  <c r="P406" i="9"/>
  <c r="O406" i="9"/>
  <c r="Q406" i="9" s="1"/>
  <c r="P405" i="9"/>
  <c r="O405" i="9"/>
  <c r="Q405" i="9" s="1"/>
  <c r="P404" i="9"/>
  <c r="O404" i="9"/>
  <c r="Q404" i="9" s="1"/>
  <c r="P403" i="9"/>
  <c r="O403" i="9"/>
  <c r="Q403" i="9" s="1"/>
  <c r="P402" i="9"/>
  <c r="O402" i="9"/>
  <c r="Q402" i="9" s="1"/>
  <c r="P401" i="9"/>
  <c r="O401" i="9"/>
  <c r="Q401" i="9" s="1"/>
  <c r="P400" i="9"/>
  <c r="O400" i="9"/>
  <c r="Q400" i="9" s="1"/>
  <c r="P399" i="9"/>
  <c r="O399" i="9"/>
  <c r="Q399" i="9" s="1"/>
  <c r="P398" i="9"/>
  <c r="O398" i="9"/>
  <c r="Q398" i="9" s="1"/>
  <c r="P397" i="9"/>
  <c r="O397" i="9"/>
  <c r="Q397" i="9" s="1"/>
  <c r="P396" i="9"/>
  <c r="O396" i="9"/>
  <c r="Q396" i="9" s="1"/>
  <c r="P395" i="9"/>
  <c r="O395" i="9"/>
  <c r="Q395" i="9" s="1"/>
  <c r="P394" i="9"/>
  <c r="O394" i="9"/>
  <c r="Q394" i="9" s="1"/>
  <c r="P393" i="9"/>
  <c r="O393" i="9"/>
  <c r="Q393" i="9" s="1"/>
  <c r="P392" i="9"/>
  <c r="O392" i="9"/>
  <c r="Q392" i="9" s="1"/>
  <c r="P391" i="9"/>
  <c r="O391" i="9"/>
  <c r="Q391" i="9" s="1"/>
  <c r="P390" i="9"/>
  <c r="O390" i="9"/>
  <c r="Q390" i="9" s="1"/>
  <c r="P389" i="9"/>
  <c r="O389" i="9"/>
  <c r="Q389" i="9" s="1"/>
  <c r="P388" i="9"/>
  <c r="O388" i="9"/>
  <c r="Q388" i="9" s="1"/>
  <c r="P387" i="9"/>
  <c r="O387" i="9"/>
  <c r="Q387" i="9" s="1"/>
  <c r="P386" i="9"/>
  <c r="O386" i="9"/>
  <c r="Q386" i="9" s="1"/>
  <c r="P385" i="9"/>
  <c r="O385" i="9"/>
  <c r="Q385" i="9" s="1"/>
  <c r="P384" i="9"/>
  <c r="O384" i="9"/>
  <c r="Q384" i="9" s="1"/>
  <c r="P383" i="9"/>
  <c r="O383" i="9"/>
  <c r="Q383" i="9" s="1"/>
  <c r="P382" i="9"/>
  <c r="O382" i="9"/>
  <c r="Q382" i="9" s="1"/>
  <c r="P381" i="9"/>
  <c r="O381" i="9"/>
  <c r="Q381" i="9" s="1"/>
  <c r="P380" i="9"/>
  <c r="O380" i="9"/>
  <c r="P379" i="9"/>
  <c r="O379" i="9"/>
  <c r="Q379" i="9" s="1"/>
  <c r="P378" i="9"/>
  <c r="O378" i="9"/>
  <c r="Q378" i="9" s="1"/>
  <c r="P377" i="9"/>
  <c r="O377" i="9"/>
  <c r="Q377" i="9" s="1"/>
  <c r="P376" i="9"/>
  <c r="O376" i="9"/>
  <c r="Q376" i="9" s="1"/>
  <c r="P375" i="9"/>
  <c r="O375" i="9"/>
  <c r="Q375" i="9" s="1"/>
  <c r="P374" i="9"/>
  <c r="O374" i="9"/>
  <c r="Q374" i="9" s="1"/>
  <c r="P373" i="9"/>
  <c r="O373" i="9"/>
  <c r="Q373" i="9" s="1"/>
  <c r="P372" i="9"/>
  <c r="O372" i="9"/>
  <c r="Q372" i="9" s="1"/>
  <c r="P371" i="9"/>
  <c r="O371" i="9"/>
  <c r="Q371" i="9" s="1"/>
  <c r="P370" i="9"/>
  <c r="O370" i="9"/>
  <c r="Q370" i="9" s="1"/>
  <c r="P369" i="9"/>
  <c r="O369" i="9"/>
  <c r="Q369" i="9" s="1"/>
  <c r="P368" i="9"/>
  <c r="O368" i="9"/>
  <c r="Q368" i="9" s="1"/>
  <c r="P367" i="9"/>
  <c r="O367" i="9"/>
  <c r="Q367" i="9" s="1"/>
  <c r="P366" i="9"/>
  <c r="O366" i="9"/>
  <c r="Q366" i="9" s="1"/>
  <c r="P365" i="9"/>
  <c r="O365" i="9"/>
  <c r="Q365" i="9" s="1"/>
  <c r="P364" i="9"/>
  <c r="O364" i="9"/>
  <c r="Q364" i="9" s="1"/>
  <c r="P363" i="9"/>
  <c r="O363" i="9"/>
  <c r="Q363" i="9" s="1"/>
  <c r="P362" i="9"/>
  <c r="O362" i="9"/>
  <c r="Q362" i="9" s="1"/>
  <c r="P361" i="9"/>
  <c r="O361" i="9"/>
  <c r="Q361" i="9" s="1"/>
  <c r="P360" i="9"/>
  <c r="O360" i="9"/>
  <c r="Q360" i="9" s="1"/>
  <c r="P359" i="9"/>
  <c r="O359" i="9"/>
  <c r="Q359" i="9" s="1"/>
  <c r="P358" i="9"/>
  <c r="O358" i="9"/>
  <c r="Q358" i="9" s="1"/>
  <c r="P357" i="9"/>
  <c r="O357" i="9"/>
  <c r="Q357" i="9" s="1"/>
  <c r="P356" i="9"/>
  <c r="O356" i="9"/>
  <c r="Q356" i="9" s="1"/>
  <c r="P355" i="9"/>
  <c r="O355" i="9"/>
  <c r="Q355" i="9" s="1"/>
  <c r="P354" i="9"/>
  <c r="O354" i="9"/>
  <c r="P353" i="9"/>
  <c r="O353" i="9"/>
  <c r="Q353" i="9" s="1"/>
  <c r="P352" i="9"/>
  <c r="O352" i="9"/>
  <c r="Q352" i="9" s="1"/>
  <c r="P351" i="9"/>
  <c r="O351" i="9"/>
  <c r="Q351" i="9" s="1"/>
  <c r="P350" i="9"/>
  <c r="O350" i="9"/>
  <c r="Q350" i="9" s="1"/>
  <c r="P349" i="9"/>
  <c r="O349" i="9"/>
  <c r="Q349" i="9" s="1"/>
  <c r="P348" i="9"/>
  <c r="O348" i="9"/>
  <c r="P347" i="9"/>
  <c r="O347" i="9"/>
  <c r="Q347" i="9" s="1"/>
  <c r="P346" i="9"/>
  <c r="O346" i="9"/>
  <c r="Q346" i="9" s="1"/>
  <c r="P345" i="9"/>
  <c r="O345" i="9"/>
  <c r="Q345" i="9" s="1"/>
  <c r="P344" i="9"/>
  <c r="O344" i="9"/>
  <c r="Q344" i="9" s="1"/>
  <c r="P343" i="9"/>
  <c r="O343" i="9"/>
  <c r="Q343" i="9" s="1"/>
  <c r="P342" i="9"/>
  <c r="O342" i="9"/>
  <c r="Q342" i="9" s="1"/>
  <c r="P341" i="9"/>
  <c r="O341" i="9"/>
  <c r="Q341" i="9" s="1"/>
  <c r="P340" i="9"/>
  <c r="O340" i="9"/>
  <c r="P339" i="9"/>
  <c r="O339" i="9"/>
  <c r="Q339" i="9" s="1"/>
  <c r="P338" i="9"/>
  <c r="O338" i="9"/>
  <c r="Q338" i="9" s="1"/>
  <c r="P337" i="9"/>
  <c r="O337" i="9"/>
  <c r="Q337" i="9" s="1"/>
  <c r="P336" i="9"/>
  <c r="O336" i="9"/>
  <c r="Q336" i="9" s="1"/>
  <c r="P335" i="9"/>
  <c r="O335" i="9"/>
  <c r="Q335" i="9" s="1"/>
  <c r="P334" i="9"/>
  <c r="O334" i="9"/>
  <c r="Q334" i="9" s="1"/>
  <c r="P333" i="9"/>
  <c r="O333" i="9"/>
  <c r="Q333" i="9" s="1"/>
  <c r="P332" i="9"/>
  <c r="O332" i="9"/>
  <c r="Q332" i="9" s="1"/>
  <c r="P331" i="9"/>
  <c r="O331" i="9"/>
  <c r="Q331" i="9" s="1"/>
  <c r="P330" i="9"/>
  <c r="O330" i="9"/>
  <c r="Q330" i="9" s="1"/>
  <c r="P329" i="9"/>
  <c r="O329" i="9"/>
  <c r="Q329" i="9" s="1"/>
  <c r="P328" i="9"/>
  <c r="O328" i="9"/>
  <c r="Q328" i="9" s="1"/>
  <c r="P327" i="9"/>
  <c r="O327" i="9"/>
  <c r="Q327" i="9" s="1"/>
  <c r="P326" i="9"/>
  <c r="O326" i="9"/>
  <c r="P325" i="9"/>
  <c r="O325" i="9"/>
  <c r="Q325" i="9" s="1"/>
  <c r="P324" i="9"/>
  <c r="O324" i="9"/>
  <c r="Q324" i="9" s="1"/>
  <c r="P323" i="9"/>
  <c r="O323" i="9"/>
  <c r="Q323" i="9" s="1"/>
  <c r="P322" i="9"/>
  <c r="O322" i="9"/>
  <c r="Q322" i="9" s="1"/>
  <c r="P321" i="9"/>
  <c r="O321" i="9"/>
  <c r="Q321" i="9" s="1"/>
  <c r="P320" i="9"/>
  <c r="O320" i="9"/>
  <c r="Q320" i="9" s="1"/>
  <c r="P319" i="9"/>
  <c r="O319" i="9"/>
  <c r="Q319" i="9" s="1"/>
  <c r="P318" i="9"/>
  <c r="O318" i="9"/>
  <c r="Q318" i="9" s="1"/>
  <c r="P317" i="9"/>
  <c r="O317" i="9"/>
  <c r="Q317" i="9" s="1"/>
  <c r="P316" i="9"/>
  <c r="O316" i="9"/>
  <c r="Q316" i="9" s="1"/>
  <c r="P315" i="9"/>
  <c r="O315" i="9"/>
  <c r="Q315" i="9" s="1"/>
  <c r="P314" i="9"/>
  <c r="O314" i="9"/>
  <c r="Q314" i="9" s="1"/>
  <c r="P313" i="9"/>
  <c r="O313" i="9"/>
  <c r="Q313" i="9" s="1"/>
  <c r="P312" i="9"/>
  <c r="O312" i="9"/>
  <c r="Q312" i="9" s="1"/>
  <c r="P311" i="9"/>
  <c r="O311" i="9"/>
  <c r="Q311" i="9" s="1"/>
  <c r="P310" i="9"/>
  <c r="O310" i="9"/>
  <c r="Q310" i="9" s="1"/>
  <c r="P309" i="9"/>
  <c r="O309" i="9"/>
  <c r="Q309" i="9" s="1"/>
  <c r="P308" i="9"/>
  <c r="O308" i="9"/>
  <c r="Q308" i="9" s="1"/>
  <c r="P307" i="9"/>
  <c r="O307" i="9"/>
  <c r="Q307" i="9" s="1"/>
  <c r="P306" i="9"/>
  <c r="O306" i="9"/>
  <c r="Q306" i="9" s="1"/>
  <c r="P305" i="9"/>
  <c r="O305" i="9"/>
  <c r="Q305" i="9" s="1"/>
  <c r="P304" i="9"/>
  <c r="O304" i="9"/>
  <c r="Q304" i="9" s="1"/>
  <c r="P303" i="9"/>
  <c r="O303" i="9"/>
  <c r="Q303" i="9" s="1"/>
  <c r="P302" i="9"/>
  <c r="O302" i="9"/>
  <c r="Q302" i="9" s="1"/>
  <c r="P301" i="9"/>
  <c r="O301" i="9"/>
  <c r="Q301" i="9" s="1"/>
  <c r="P300" i="9"/>
  <c r="O300" i="9"/>
  <c r="Q300" i="9" s="1"/>
  <c r="P299" i="9"/>
  <c r="O299" i="9"/>
  <c r="Q299" i="9" s="1"/>
  <c r="P298" i="9"/>
  <c r="O298" i="9"/>
  <c r="Q298" i="9" s="1"/>
  <c r="P297" i="9"/>
  <c r="O297" i="9"/>
  <c r="Q297" i="9" s="1"/>
  <c r="P296" i="9"/>
  <c r="O296" i="9"/>
  <c r="Q296" i="9" s="1"/>
  <c r="P295" i="9"/>
  <c r="O295" i="9"/>
  <c r="Q295" i="9" s="1"/>
  <c r="P294" i="9"/>
  <c r="O294" i="9"/>
  <c r="Q294" i="9" s="1"/>
  <c r="P293" i="9"/>
  <c r="O293" i="9"/>
  <c r="Q293" i="9" s="1"/>
  <c r="P292" i="9"/>
  <c r="O292" i="9"/>
  <c r="Q292" i="9" s="1"/>
  <c r="P291" i="9"/>
  <c r="O291" i="9"/>
  <c r="Q291" i="9" s="1"/>
  <c r="P290" i="9"/>
  <c r="O290" i="9"/>
  <c r="Q290" i="9" s="1"/>
  <c r="P289" i="9"/>
  <c r="O289" i="9"/>
  <c r="Q289" i="9" s="1"/>
  <c r="P288" i="9"/>
  <c r="O288" i="9"/>
  <c r="Q288" i="9" s="1"/>
  <c r="P287" i="9"/>
  <c r="O287" i="9"/>
  <c r="Q287" i="9" s="1"/>
  <c r="P286" i="9"/>
  <c r="O286" i="9"/>
  <c r="Q286" i="9" s="1"/>
  <c r="P285" i="9"/>
  <c r="O285" i="9"/>
  <c r="Q285" i="9" s="1"/>
  <c r="P284" i="9"/>
  <c r="O284" i="9"/>
  <c r="Q284" i="9" s="1"/>
  <c r="P283" i="9"/>
  <c r="O283" i="9"/>
  <c r="Q283" i="9" s="1"/>
  <c r="P282" i="9"/>
  <c r="O282" i="9"/>
  <c r="Q282" i="9" s="1"/>
  <c r="P281" i="9"/>
  <c r="O281" i="9"/>
  <c r="Q281" i="9" s="1"/>
  <c r="P280" i="9"/>
  <c r="O280" i="9"/>
  <c r="Q280" i="9" s="1"/>
  <c r="P279" i="9"/>
  <c r="O279" i="9"/>
  <c r="Q279" i="9" s="1"/>
  <c r="P278" i="9"/>
  <c r="O278" i="9"/>
  <c r="Q278" i="9" s="1"/>
  <c r="P277" i="9"/>
  <c r="O277" i="9"/>
  <c r="Q277" i="9" s="1"/>
  <c r="P276" i="9"/>
  <c r="O276" i="9"/>
  <c r="Q276" i="9" s="1"/>
  <c r="P275" i="9"/>
  <c r="O275" i="9"/>
  <c r="Q275" i="9" s="1"/>
  <c r="P274" i="9"/>
  <c r="O274" i="9"/>
  <c r="Q274" i="9" s="1"/>
  <c r="P273" i="9"/>
  <c r="O273" i="9"/>
  <c r="Q273" i="9" s="1"/>
  <c r="P272" i="9"/>
  <c r="O272" i="9"/>
  <c r="Q272" i="9" s="1"/>
  <c r="P271" i="9"/>
  <c r="O271" i="9"/>
  <c r="Q271" i="9" s="1"/>
  <c r="P270" i="9"/>
  <c r="O270" i="9"/>
  <c r="Q270" i="9" s="1"/>
  <c r="P269" i="9"/>
  <c r="O269" i="9"/>
  <c r="Q269" i="9" s="1"/>
  <c r="P268" i="9"/>
  <c r="O268" i="9"/>
  <c r="Q268" i="9" s="1"/>
  <c r="P267" i="9"/>
  <c r="O267" i="9"/>
  <c r="Q267" i="9" s="1"/>
  <c r="P266" i="9"/>
  <c r="O266" i="9"/>
  <c r="Q266" i="9" s="1"/>
  <c r="P265" i="9"/>
  <c r="O265" i="9"/>
  <c r="Q265" i="9" s="1"/>
  <c r="P264" i="9"/>
  <c r="O264" i="9"/>
  <c r="Q264" i="9" s="1"/>
  <c r="P263" i="9"/>
  <c r="O263" i="9"/>
  <c r="Q263" i="9" s="1"/>
  <c r="P262" i="9"/>
  <c r="O262" i="9"/>
  <c r="Q262" i="9" s="1"/>
  <c r="P261" i="9"/>
  <c r="O261" i="9"/>
  <c r="Q261" i="9" s="1"/>
  <c r="P260" i="9"/>
  <c r="O260" i="9"/>
  <c r="P259" i="9"/>
  <c r="O259" i="9"/>
  <c r="Q259" i="9" s="1"/>
  <c r="P258" i="9"/>
  <c r="O258" i="9"/>
  <c r="Q258" i="9" s="1"/>
  <c r="P257" i="9"/>
  <c r="O257" i="9"/>
  <c r="Q257" i="9" s="1"/>
  <c r="P256" i="9"/>
  <c r="O256" i="9"/>
  <c r="Q256" i="9" s="1"/>
  <c r="P255" i="9"/>
  <c r="O255" i="9"/>
  <c r="Q255" i="9" s="1"/>
  <c r="P254" i="9"/>
  <c r="O254" i="9"/>
  <c r="Q254" i="9" s="1"/>
  <c r="P253" i="9"/>
  <c r="O253" i="9"/>
  <c r="Q253" i="9" s="1"/>
  <c r="P252" i="9"/>
  <c r="O252" i="9"/>
  <c r="Q252" i="9" s="1"/>
  <c r="P251" i="9"/>
  <c r="O251" i="9"/>
  <c r="Q251" i="9" s="1"/>
  <c r="P250" i="9"/>
  <c r="O250" i="9"/>
  <c r="Q250" i="9" s="1"/>
  <c r="P249" i="9"/>
  <c r="O249" i="9"/>
  <c r="Q249" i="9" s="1"/>
  <c r="P248" i="9"/>
  <c r="O248" i="9"/>
  <c r="Q248" i="9" s="1"/>
  <c r="P247" i="9"/>
  <c r="O247" i="9"/>
  <c r="Q247" i="9" s="1"/>
  <c r="P246" i="9"/>
  <c r="O246" i="9"/>
  <c r="Q246" i="9" s="1"/>
  <c r="P245" i="9"/>
  <c r="O245" i="9"/>
  <c r="Q245" i="9" s="1"/>
  <c r="P244" i="9"/>
  <c r="O244" i="9"/>
  <c r="Q244" i="9" s="1"/>
  <c r="P243" i="9"/>
  <c r="O243" i="9"/>
  <c r="Q243" i="9" s="1"/>
  <c r="P242" i="9"/>
  <c r="O242" i="9"/>
  <c r="Q242" i="9" s="1"/>
  <c r="P241" i="9"/>
  <c r="O241" i="9"/>
  <c r="Q241" i="9" s="1"/>
  <c r="P240" i="9"/>
  <c r="O240" i="9"/>
  <c r="Q240" i="9" s="1"/>
  <c r="P239" i="9"/>
  <c r="O239" i="9"/>
  <c r="Q239" i="9" s="1"/>
  <c r="P238" i="9"/>
  <c r="O238" i="9"/>
  <c r="Q238" i="9" s="1"/>
  <c r="P237" i="9"/>
  <c r="O237" i="9"/>
  <c r="Q237" i="9" s="1"/>
  <c r="P236" i="9"/>
  <c r="O236" i="9"/>
  <c r="Q236" i="9" s="1"/>
  <c r="P235" i="9"/>
  <c r="O235" i="9"/>
  <c r="Q235" i="9" s="1"/>
  <c r="P234" i="9"/>
  <c r="O234" i="9"/>
  <c r="Q234" i="9" s="1"/>
  <c r="P233" i="9"/>
  <c r="O233" i="9"/>
  <c r="Q233" i="9" s="1"/>
  <c r="P232" i="9"/>
  <c r="O232" i="9"/>
  <c r="Q232" i="9" s="1"/>
  <c r="P231" i="9"/>
  <c r="O231" i="9"/>
  <c r="Q231" i="9" s="1"/>
  <c r="P230" i="9"/>
  <c r="O230" i="9"/>
  <c r="Q230" i="9" s="1"/>
  <c r="P229" i="9"/>
  <c r="O229" i="9"/>
  <c r="Q229" i="9" s="1"/>
  <c r="P228" i="9"/>
  <c r="O228" i="9"/>
  <c r="Q228" i="9" s="1"/>
  <c r="P227" i="9"/>
  <c r="O227" i="9"/>
  <c r="Q227" i="9" s="1"/>
  <c r="P226" i="9"/>
  <c r="O226" i="9"/>
  <c r="Q226" i="9" s="1"/>
  <c r="P225" i="9"/>
  <c r="O225" i="9"/>
  <c r="Q225" i="9" s="1"/>
  <c r="P224" i="9"/>
  <c r="O224" i="9"/>
  <c r="Q224" i="9" s="1"/>
  <c r="P223" i="9"/>
  <c r="O223" i="9"/>
  <c r="Q223" i="9" s="1"/>
  <c r="P222" i="9"/>
  <c r="O222" i="9"/>
  <c r="Q222" i="9" s="1"/>
  <c r="P221" i="9"/>
  <c r="O221" i="9"/>
  <c r="Q221" i="9" s="1"/>
  <c r="P220" i="9"/>
  <c r="O220" i="9"/>
  <c r="Q220" i="9" s="1"/>
  <c r="P219" i="9"/>
  <c r="O219" i="9"/>
  <c r="Q219" i="9" s="1"/>
  <c r="P218" i="9"/>
  <c r="O218" i="9"/>
  <c r="Q218" i="9" s="1"/>
  <c r="P217" i="9"/>
  <c r="O217" i="9"/>
  <c r="Q217" i="9" s="1"/>
  <c r="P216" i="9"/>
  <c r="O216" i="9"/>
  <c r="Q216" i="9" s="1"/>
  <c r="P215" i="9"/>
  <c r="O215" i="9"/>
  <c r="Q215" i="9" s="1"/>
  <c r="P214" i="9"/>
  <c r="O214" i="9"/>
  <c r="Q214" i="9" s="1"/>
  <c r="P213" i="9"/>
  <c r="O213" i="9"/>
  <c r="Q213" i="9" s="1"/>
  <c r="P212" i="9"/>
  <c r="O212" i="9"/>
  <c r="Q212" i="9" s="1"/>
  <c r="P211" i="9"/>
  <c r="O211" i="9"/>
  <c r="Q211" i="9" s="1"/>
  <c r="P210" i="9"/>
  <c r="O210" i="9"/>
  <c r="Q210" i="9" s="1"/>
  <c r="P209" i="9"/>
  <c r="O209" i="9"/>
  <c r="Q209" i="9" s="1"/>
  <c r="P208" i="9"/>
  <c r="O208" i="9"/>
  <c r="Q208" i="9" s="1"/>
  <c r="P207" i="9"/>
  <c r="O207" i="9"/>
  <c r="Q207" i="9" s="1"/>
  <c r="P206" i="9"/>
  <c r="O206" i="9"/>
  <c r="Q206" i="9" s="1"/>
  <c r="P205" i="9"/>
  <c r="O205" i="9"/>
  <c r="Q205" i="9" s="1"/>
  <c r="P204" i="9"/>
  <c r="O204" i="9"/>
  <c r="Q204" i="9" s="1"/>
  <c r="P203" i="9"/>
  <c r="O203" i="9"/>
  <c r="Q203" i="9" s="1"/>
  <c r="P202" i="9"/>
  <c r="O202" i="9"/>
  <c r="Q202" i="9" s="1"/>
  <c r="P201" i="9"/>
  <c r="O201" i="9"/>
  <c r="Q201" i="9" s="1"/>
  <c r="P200" i="9"/>
  <c r="O200" i="9"/>
  <c r="Q200" i="9" s="1"/>
  <c r="P199" i="9"/>
  <c r="O199" i="9"/>
  <c r="Q199" i="9" s="1"/>
  <c r="P198" i="9"/>
  <c r="O198" i="9"/>
  <c r="Q198" i="9" s="1"/>
  <c r="P197" i="9"/>
  <c r="O197" i="9"/>
  <c r="Q197" i="9" s="1"/>
  <c r="P196" i="9"/>
  <c r="O196" i="9"/>
  <c r="Q196" i="9" s="1"/>
  <c r="P195" i="9"/>
  <c r="O195" i="9"/>
  <c r="Q195" i="9" s="1"/>
  <c r="P194" i="9"/>
  <c r="O194" i="9"/>
  <c r="Q194" i="9" s="1"/>
  <c r="P193" i="9"/>
  <c r="O193" i="9"/>
  <c r="Q193" i="9" s="1"/>
  <c r="P192" i="9"/>
  <c r="O192" i="9"/>
  <c r="Q192" i="9" s="1"/>
  <c r="P191" i="9"/>
  <c r="O191" i="9"/>
  <c r="Q191" i="9" s="1"/>
  <c r="P190" i="9"/>
  <c r="O190" i="9"/>
  <c r="Q190" i="9" s="1"/>
  <c r="P189" i="9"/>
  <c r="O189" i="9"/>
  <c r="Q189" i="9" s="1"/>
  <c r="P188" i="9"/>
  <c r="O188" i="9"/>
  <c r="Q188" i="9" s="1"/>
  <c r="P187" i="9"/>
  <c r="O187" i="9"/>
  <c r="Q187" i="9" s="1"/>
  <c r="P186" i="9"/>
  <c r="O186" i="9"/>
  <c r="Q186" i="9" s="1"/>
  <c r="P185" i="9"/>
  <c r="O185" i="9"/>
  <c r="Q185" i="9" s="1"/>
  <c r="P184" i="9"/>
  <c r="O184" i="9"/>
  <c r="Q184" i="9" s="1"/>
  <c r="P183" i="9"/>
  <c r="O183" i="9"/>
  <c r="Q183" i="9" s="1"/>
  <c r="P182" i="9"/>
  <c r="O182" i="9"/>
  <c r="Q182" i="9" s="1"/>
  <c r="P181" i="9"/>
  <c r="O181" i="9"/>
  <c r="Q181" i="9" s="1"/>
  <c r="P180" i="9"/>
  <c r="O180" i="9"/>
  <c r="Q180" i="9" s="1"/>
  <c r="P179" i="9"/>
  <c r="O179" i="9"/>
  <c r="Q179" i="9" s="1"/>
  <c r="P178" i="9"/>
  <c r="O178" i="9"/>
  <c r="Q178" i="9" s="1"/>
  <c r="P177" i="9"/>
  <c r="O177" i="9"/>
  <c r="Q177" i="9" s="1"/>
  <c r="P176" i="9"/>
  <c r="O176" i="9"/>
  <c r="Q176" i="9" s="1"/>
  <c r="P175" i="9"/>
  <c r="O175" i="9"/>
  <c r="Q175" i="9" s="1"/>
  <c r="P174" i="9"/>
  <c r="O174" i="9"/>
  <c r="Q174" i="9" s="1"/>
  <c r="P173" i="9"/>
  <c r="O173" i="9"/>
  <c r="Q173" i="9" s="1"/>
  <c r="P172" i="9"/>
  <c r="O172" i="9"/>
  <c r="Q172" i="9" s="1"/>
  <c r="P171" i="9"/>
  <c r="O171" i="9"/>
  <c r="Q171" i="9" s="1"/>
  <c r="P170" i="9"/>
  <c r="O170" i="9"/>
  <c r="Q170" i="9" s="1"/>
  <c r="P169" i="9"/>
  <c r="O169" i="9"/>
  <c r="Q169" i="9" s="1"/>
  <c r="P168" i="9"/>
  <c r="O168" i="9"/>
  <c r="Q168" i="9" s="1"/>
  <c r="P167" i="9"/>
  <c r="O167" i="9"/>
  <c r="Q167" i="9" s="1"/>
  <c r="P166" i="9"/>
  <c r="O166" i="9"/>
  <c r="Q166" i="9" s="1"/>
  <c r="P165" i="9"/>
  <c r="O165" i="9"/>
  <c r="Q165" i="9" s="1"/>
  <c r="P164" i="9"/>
  <c r="O164" i="9"/>
  <c r="Q164" i="9" s="1"/>
  <c r="P163" i="9"/>
  <c r="O163" i="9"/>
  <c r="Q163" i="9" s="1"/>
  <c r="P162" i="9"/>
  <c r="O162" i="9"/>
  <c r="Q162" i="9" s="1"/>
  <c r="P161" i="9"/>
  <c r="O161" i="9"/>
  <c r="Q161" i="9" s="1"/>
  <c r="P160" i="9"/>
  <c r="O160" i="9"/>
  <c r="Q160" i="9" s="1"/>
  <c r="P159" i="9"/>
  <c r="O159" i="9"/>
  <c r="Q159" i="9" s="1"/>
  <c r="P158" i="9"/>
  <c r="O158" i="9"/>
  <c r="Q158" i="9" s="1"/>
  <c r="P157" i="9"/>
  <c r="O157" i="9"/>
  <c r="Q157" i="9" s="1"/>
  <c r="P156" i="9"/>
  <c r="O156" i="9"/>
  <c r="Q156" i="9" s="1"/>
  <c r="P155" i="9"/>
  <c r="O155" i="9"/>
  <c r="Q155" i="9" s="1"/>
  <c r="P154" i="9"/>
  <c r="O154" i="9"/>
  <c r="Q154" i="9" s="1"/>
  <c r="P153" i="9"/>
  <c r="O153" i="9"/>
  <c r="Q153" i="9" s="1"/>
  <c r="P152" i="9"/>
  <c r="O152" i="9"/>
  <c r="Q152" i="9" s="1"/>
  <c r="P151" i="9"/>
  <c r="O151" i="9"/>
  <c r="Q151" i="9" s="1"/>
  <c r="P150" i="9"/>
  <c r="O150" i="9"/>
  <c r="Q150" i="9" s="1"/>
  <c r="P149" i="9"/>
  <c r="O149" i="9"/>
  <c r="Q149" i="9" s="1"/>
  <c r="P148" i="9"/>
  <c r="O148" i="9"/>
  <c r="Q148" i="9" s="1"/>
  <c r="G144" i="9"/>
  <c r="G143" i="9"/>
  <c r="G142" i="9"/>
  <c r="G141" i="9"/>
  <c r="G140" i="9"/>
  <c r="G139" i="9"/>
  <c r="G138" i="9"/>
  <c r="G137" i="9"/>
  <c r="G136" i="9"/>
  <c r="G135" i="9"/>
  <c r="G134" i="9"/>
  <c r="G133" i="9"/>
  <c r="G132" i="9"/>
  <c r="G131" i="9"/>
  <c r="G130" i="9"/>
  <c r="G129" i="9"/>
  <c r="G128" i="9"/>
  <c r="G127" i="9"/>
  <c r="G126" i="9"/>
  <c r="G125" i="9"/>
  <c r="G124" i="9"/>
  <c r="G123" i="9"/>
  <c r="G122" i="9"/>
  <c r="G121" i="9"/>
  <c r="G120" i="9"/>
  <c r="G119" i="9"/>
  <c r="G118" i="9"/>
  <c r="G117" i="9"/>
  <c r="G116" i="9"/>
  <c r="G115" i="9"/>
  <c r="G114" i="9"/>
  <c r="G113" i="9"/>
  <c r="G112" i="9"/>
  <c r="G111" i="9"/>
  <c r="G110" i="9"/>
  <c r="G109" i="9"/>
  <c r="G108" i="9"/>
  <c r="G107" i="9"/>
  <c r="G106" i="9"/>
  <c r="G105" i="9"/>
  <c r="G104" i="9"/>
  <c r="G103" i="9"/>
  <c r="G102" i="9"/>
  <c r="G101" i="9"/>
  <c r="G100" i="9"/>
  <c r="G99" i="9"/>
  <c r="G98" i="9"/>
  <c r="G97" i="9"/>
  <c r="G96" i="9"/>
  <c r="G95" i="9"/>
  <c r="G94" i="9"/>
  <c r="G93" i="9"/>
  <c r="G92" i="9"/>
  <c r="G91" i="9"/>
  <c r="G90" i="9"/>
  <c r="G89" i="9"/>
  <c r="G88" i="9"/>
  <c r="G87" i="9"/>
  <c r="G86" i="9"/>
  <c r="G85" i="9"/>
  <c r="G84" i="9"/>
  <c r="G83" i="9"/>
  <c r="G82" i="9"/>
  <c r="G81" i="9"/>
  <c r="G80" i="9"/>
  <c r="G79" i="9"/>
  <c r="G78" i="9"/>
  <c r="G77" i="9"/>
  <c r="G76" i="9"/>
  <c r="G75" i="9"/>
  <c r="G74" i="9"/>
  <c r="H16" i="9"/>
  <c r="G16" i="9"/>
  <c r="F16" i="9"/>
  <c r="E16" i="9"/>
  <c r="D16" i="9"/>
  <c r="C16" i="9"/>
  <c r="I245" i="8"/>
  <c r="H245" i="8"/>
  <c r="G245" i="8"/>
  <c r="F245" i="8"/>
  <c r="M245" i="8" s="1"/>
  <c r="E245" i="8"/>
  <c r="I244" i="8"/>
  <c r="H244" i="8"/>
  <c r="G244" i="8"/>
  <c r="F244" i="8"/>
  <c r="M244" i="8" s="1"/>
  <c r="E244" i="8"/>
  <c r="I243" i="8"/>
  <c r="H243" i="8"/>
  <c r="G243" i="8"/>
  <c r="F243" i="8"/>
  <c r="M243" i="8" s="1"/>
  <c r="E243" i="8"/>
  <c r="I242" i="8"/>
  <c r="H242" i="8"/>
  <c r="G242" i="8"/>
  <c r="F242" i="8"/>
  <c r="M242" i="8" s="1"/>
  <c r="E242" i="8"/>
  <c r="I241" i="8"/>
  <c r="H241" i="8"/>
  <c r="G241" i="8"/>
  <c r="F241" i="8"/>
  <c r="M241" i="8" s="1"/>
  <c r="E241" i="8"/>
  <c r="I239" i="8"/>
  <c r="H239" i="8"/>
  <c r="G239" i="8"/>
  <c r="F239" i="8"/>
  <c r="M239" i="8" s="1"/>
  <c r="E239" i="8"/>
  <c r="I238" i="8"/>
  <c r="H238" i="8"/>
  <c r="G238" i="8"/>
  <c r="F238" i="8"/>
  <c r="M238" i="8" s="1"/>
  <c r="E238" i="8"/>
  <c r="I237" i="8"/>
  <c r="H237" i="8"/>
  <c r="G237" i="8"/>
  <c r="F237" i="8"/>
  <c r="M237" i="8" s="1"/>
  <c r="E237" i="8"/>
  <c r="I236" i="8"/>
  <c r="H236" i="8"/>
  <c r="G236" i="8"/>
  <c r="F236" i="8"/>
  <c r="M236" i="8" s="1"/>
  <c r="E236" i="8"/>
  <c r="I235" i="8"/>
  <c r="H235" i="8"/>
  <c r="G235" i="8"/>
  <c r="F235" i="8"/>
  <c r="M235" i="8" s="1"/>
  <c r="E235" i="8"/>
  <c r="I233" i="8"/>
  <c r="H233" i="8"/>
  <c r="G233" i="8"/>
  <c r="F233" i="8"/>
  <c r="M233" i="8" s="1"/>
  <c r="E233" i="8"/>
  <c r="I232" i="8"/>
  <c r="H232" i="8"/>
  <c r="G232" i="8"/>
  <c r="F232" i="8"/>
  <c r="M232" i="8" s="1"/>
  <c r="E232" i="8"/>
  <c r="I231" i="8"/>
  <c r="H231" i="8"/>
  <c r="G231" i="8"/>
  <c r="F231" i="8"/>
  <c r="M231" i="8" s="1"/>
  <c r="E231" i="8"/>
  <c r="I230" i="8"/>
  <c r="H230" i="8"/>
  <c r="G230" i="8"/>
  <c r="F230" i="8"/>
  <c r="M230" i="8" s="1"/>
  <c r="E230" i="8"/>
  <c r="I229" i="8"/>
  <c r="H229" i="8"/>
  <c r="G229" i="8"/>
  <c r="F229" i="8"/>
  <c r="M229" i="8" s="1"/>
  <c r="E229" i="8"/>
  <c r="H246" i="7"/>
  <c r="G246" i="7"/>
  <c r="F246" i="7"/>
  <c r="E246" i="7"/>
  <c r="D246" i="7"/>
  <c r="H245" i="7"/>
  <c r="G245" i="7"/>
  <c r="F245" i="7"/>
  <c r="E245" i="7"/>
  <c r="D245" i="7"/>
  <c r="H244" i="7"/>
  <c r="G244" i="7"/>
  <c r="F244" i="7"/>
  <c r="E244" i="7"/>
  <c r="D244" i="7"/>
  <c r="H243" i="7"/>
  <c r="G243" i="7"/>
  <c r="F243" i="7"/>
  <c r="E243" i="7"/>
  <c r="D243" i="7"/>
  <c r="H234" i="7"/>
  <c r="G234" i="7"/>
  <c r="F234" i="7"/>
  <c r="E234" i="7"/>
  <c r="D234" i="7"/>
  <c r="H233" i="7"/>
  <c r="G233" i="7"/>
  <c r="F233" i="7"/>
  <c r="E233" i="7"/>
  <c r="H224" i="7"/>
  <c r="G224" i="7"/>
  <c r="F224" i="7"/>
  <c r="E224" i="7"/>
  <c r="D224" i="7"/>
  <c r="H223" i="7"/>
  <c r="G223" i="7"/>
  <c r="F223" i="7"/>
  <c r="E223" i="7"/>
  <c r="H216" i="7"/>
  <c r="G216" i="7"/>
  <c r="F216" i="7"/>
  <c r="E216" i="7"/>
  <c r="D216" i="7"/>
  <c r="H215" i="7"/>
  <c r="G215" i="7"/>
  <c r="F215" i="7"/>
  <c r="E215" i="7"/>
  <c r="D215" i="7"/>
  <c r="H213" i="7"/>
  <c r="G213" i="7"/>
  <c r="F213" i="7"/>
  <c r="E213" i="7"/>
  <c r="D213" i="7"/>
  <c r="H212" i="7"/>
  <c r="G212" i="7"/>
  <c r="F212" i="7"/>
  <c r="E212" i="7"/>
  <c r="D212" i="7"/>
  <c r="H211" i="7"/>
  <c r="G211" i="7"/>
  <c r="F211" i="7"/>
  <c r="E211" i="7"/>
  <c r="D211" i="7"/>
  <c r="H209" i="7"/>
  <c r="G209" i="7"/>
  <c r="F209" i="7"/>
  <c r="E209" i="7"/>
  <c r="D209" i="7"/>
  <c r="H173" i="7"/>
  <c r="I201" i="8" s="1"/>
  <c r="G173" i="7"/>
  <c r="I200" i="8" s="1"/>
  <c r="F173" i="7"/>
  <c r="I199" i="8" s="1"/>
  <c r="E173" i="7"/>
  <c r="I198" i="8" s="1"/>
  <c r="D173" i="7"/>
  <c r="I197" i="8" s="1"/>
  <c r="H149" i="7"/>
  <c r="G149" i="7"/>
  <c r="F149" i="7"/>
  <c r="E149" i="7"/>
  <c r="D149" i="7"/>
  <c r="H148" i="7"/>
  <c r="G148" i="7"/>
  <c r="F148" i="7"/>
  <c r="E148" i="7"/>
  <c r="D148" i="7"/>
  <c r="H146" i="7"/>
  <c r="G146" i="7"/>
  <c r="F146" i="7"/>
  <c r="E146" i="7"/>
  <c r="D146" i="7"/>
  <c r="H145" i="7"/>
  <c r="G145" i="7"/>
  <c r="F145" i="7"/>
  <c r="E145" i="7"/>
  <c r="D145" i="7"/>
  <c r="H128" i="7"/>
  <c r="G128" i="7"/>
  <c r="F128" i="7"/>
  <c r="E128" i="7"/>
  <c r="D128" i="7"/>
  <c r="H120" i="7"/>
  <c r="G120" i="7"/>
  <c r="F120" i="7"/>
  <c r="E120" i="7"/>
  <c r="D120" i="7"/>
  <c r="H110" i="7"/>
  <c r="H218" i="7" s="1"/>
  <c r="G110" i="7"/>
  <c r="G218" i="7" s="1"/>
  <c r="F110" i="7"/>
  <c r="F218" i="7" s="1"/>
  <c r="E110" i="7"/>
  <c r="E218" i="7" s="1"/>
  <c r="D110" i="7"/>
  <c r="D218" i="7" s="1"/>
  <c r="H106" i="7"/>
  <c r="G106" i="7"/>
  <c r="F106" i="7"/>
  <c r="E106" i="7"/>
  <c r="D106" i="7"/>
  <c r="H86" i="7"/>
  <c r="G86" i="7"/>
  <c r="F86" i="7"/>
  <c r="E86" i="7"/>
  <c r="D86" i="7"/>
  <c r="H67" i="7"/>
  <c r="F816" i="14" s="1"/>
  <c r="G67" i="7"/>
  <c r="F783" i="14" s="1"/>
  <c r="F67" i="7"/>
  <c r="F750" i="14" s="1"/>
  <c r="E67" i="7"/>
  <c r="F717" i="14" s="1"/>
  <c r="D67" i="7"/>
  <c r="F684" i="14" s="1"/>
  <c r="C67" i="7"/>
  <c r="H66" i="7"/>
  <c r="G66" i="7"/>
  <c r="F66" i="7"/>
  <c r="E66" i="7"/>
  <c r="D66" i="7"/>
  <c r="C66" i="7"/>
  <c r="H65" i="7"/>
  <c r="G65" i="7"/>
  <c r="F65" i="7"/>
  <c r="E65" i="7"/>
  <c r="D65" i="7"/>
  <c r="C65" i="7"/>
  <c r="H61" i="7"/>
  <c r="G61" i="7"/>
  <c r="F61" i="7"/>
  <c r="E61" i="7"/>
  <c r="D61" i="7"/>
  <c r="C61" i="7"/>
  <c r="H48" i="7"/>
  <c r="H62" i="7" s="1"/>
  <c r="G48" i="7"/>
  <c r="G62" i="7" s="1"/>
  <c r="F48" i="7"/>
  <c r="F62" i="7" s="1"/>
  <c r="E48" i="7"/>
  <c r="E62" i="7" s="1"/>
  <c r="D48" i="7"/>
  <c r="D62" i="7" s="1"/>
  <c r="C48" i="7"/>
  <c r="C62" i="7" s="1"/>
  <c r="H41" i="7"/>
  <c r="G41" i="7"/>
  <c r="F41" i="7"/>
  <c r="E41" i="7"/>
  <c r="D41" i="7"/>
  <c r="C41" i="7"/>
  <c r="H36" i="7"/>
  <c r="G36" i="7"/>
  <c r="F36" i="7"/>
  <c r="E36" i="7"/>
  <c r="D36" i="7"/>
  <c r="C36" i="7"/>
  <c r="H28" i="7"/>
  <c r="G28" i="7"/>
  <c r="F28" i="7"/>
  <c r="E28" i="7"/>
  <c r="D28" i="7"/>
  <c r="C28" i="7"/>
  <c r="H22" i="7"/>
  <c r="G22" i="7"/>
  <c r="F22" i="7"/>
  <c r="E22" i="7"/>
  <c r="D22" i="7"/>
  <c r="C22" i="7"/>
  <c r="H246" i="6"/>
  <c r="G246" i="6"/>
  <c r="F246" i="6"/>
  <c r="E246" i="6"/>
  <c r="D246" i="6"/>
  <c r="H245" i="6"/>
  <c r="G245" i="6"/>
  <c r="F245" i="6"/>
  <c r="E245" i="6"/>
  <c r="D245" i="6"/>
  <c r="H244" i="6"/>
  <c r="G244" i="6"/>
  <c r="F244" i="6"/>
  <c r="E244" i="6"/>
  <c r="D244" i="6"/>
  <c r="H243" i="6"/>
  <c r="G243" i="6"/>
  <c r="F243" i="6"/>
  <c r="E243" i="6"/>
  <c r="D243" i="6"/>
  <c r="H234" i="6"/>
  <c r="G234" i="6"/>
  <c r="F234" i="6"/>
  <c r="E234" i="6"/>
  <c r="D234" i="6"/>
  <c r="H233" i="6"/>
  <c r="G233" i="6"/>
  <c r="F233" i="6"/>
  <c r="E233" i="6"/>
  <c r="H224" i="6"/>
  <c r="G224" i="6"/>
  <c r="F224" i="6"/>
  <c r="E224" i="6"/>
  <c r="D224" i="6"/>
  <c r="H223" i="6"/>
  <c r="G223" i="6"/>
  <c r="F223" i="6"/>
  <c r="E223" i="6"/>
  <c r="H216" i="6"/>
  <c r="G216" i="6"/>
  <c r="F216" i="6"/>
  <c r="E216" i="6"/>
  <c r="D216" i="6"/>
  <c r="H215" i="6"/>
  <c r="G215" i="6"/>
  <c r="F215" i="6"/>
  <c r="E215" i="6"/>
  <c r="D215" i="6"/>
  <c r="H213" i="6"/>
  <c r="G213" i="6"/>
  <c r="F213" i="6"/>
  <c r="E213" i="6"/>
  <c r="D213" i="6"/>
  <c r="H212" i="6"/>
  <c r="G212" i="6"/>
  <c r="F212" i="6"/>
  <c r="E212" i="6"/>
  <c r="D212" i="6"/>
  <c r="H211" i="6"/>
  <c r="G211" i="6"/>
  <c r="F211" i="6"/>
  <c r="E211" i="6"/>
  <c r="D211" i="6"/>
  <c r="H209" i="6"/>
  <c r="G209" i="6"/>
  <c r="F209" i="6"/>
  <c r="E209" i="6"/>
  <c r="D209" i="6"/>
  <c r="H173" i="6"/>
  <c r="H201" i="8" s="1"/>
  <c r="G173" i="6"/>
  <c r="H200" i="8" s="1"/>
  <c r="F173" i="6"/>
  <c r="H199" i="8" s="1"/>
  <c r="E173" i="6"/>
  <c r="H198" i="8" s="1"/>
  <c r="D173" i="6"/>
  <c r="H197" i="8" s="1"/>
  <c r="H148" i="6"/>
  <c r="G148" i="6"/>
  <c r="F148" i="6"/>
  <c r="E148" i="6"/>
  <c r="D148" i="6"/>
  <c r="H145" i="6"/>
  <c r="G145" i="6"/>
  <c r="F145" i="6"/>
  <c r="E145" i="6"/>
  <c r="D145" i="6"/>
  <c r="H128" i="6"/>
  <c r="G128" i="6"/>
  <c r="F128" i="6"/>
  <c r="E128" i="6"/>
  <c r="D128" i="6"/>
  <c r="H120" i="6"/>
  <c r="G120" i="6"/>
  <c r="F120" i="6"/>
  <c r="E120" i="6"/>
  <c r="D120" i="6"/>
  <c r="H110" i="6"/>
  <c r="H218" i="6" s="1"/>
  <c r="G110" i="6"/>
  <c r="G218" i="6" s="1"/>
  <c r="F110" i="6"/>
  <c r="F218" i="6" s="1"/>
  <c r="E110" i="6"/>
  <c r="E218" i="6" s="1"/>
  <c r="D110" i="6"/>
  <c r="D218" i="6" s="1"/>
  <c r="H106" i="6"/>
  <c r="G106" i="6"/>
  <c r="F106" i="6"/>
  <c r="E106" i="6"/>
  <c r="D106" i="6"/>
  <c r="H86" i="6"/>
  <c r="G86" i="6"/>
  <c r="F86" i="6"/>
  <c r="E86" i="6"/>
  <c r="D86" i="6"/>
  <c r="H67" i="6"/>
  <c r="F651" i="14" s="1"/>
  <c r="G67" i="6"/>
  <c r="F618" i="14" s="1"/>
  <c r="F67" i="6"/>
  <c r="F585" i="14" s="1"/>
  <c r="E67" i="6"/>
  <c r="F552" i="14" s="1"/>
  <c r="D67" i="6"/>
  <c r="F519" i="14" s="1"/>
  <c r="C67" i="6"/>
  <c r="H66" i="6"/>
  <c r="G66" i="6"/>
  <c r="F66" i="6"/>
  <c r="E66" i="6"/>
  <c r="D66" i="6"/>
  <c r="C66" i="6"/>
  <c r="H65" i="6"/>
  <c r="G65" i="6"/>
  <c r="F65" i="6"/>
  <c r="E65" i="6"/>
  <c r="D65" i="6"/>
  <c r="C65" i="6"/>
  <c r="H61" i="6"/>
  <c r="G61" i="6"/>
  <c r="F61" i="6"/>
  <c r="E61" i="6"/>
  <c r="D61" i="6"/>
  <c r="C61" i="6"/>
  <c r="H51" i="6"/>
  <c r="G51" i="6"/>
  <c r="I1141" i="15" s="1"/>
  <c r="J1141" i="15" s="1"/>
  <c r="F51" i="6"/>
  <c r="I1140" i="15" s="1"/>
  <c r="J1140" i="15" s="1"/>
  <c r="E51" i="6"/>
  <c r="I1139" i="15" s="1"/>
  <c r="J1139" i="15" s="1"/>
  <c r="D51" i="6"/>
  <c r="I1138" i="15" s="1"/>
  <c r="J1138" i="15" s="1"/>
  <c r="C51" i="6"/>
  <c r="I1137" i="15" s="1"/>
  <c r="J1137" i="15" s="1"/>
  <c r="H48" i="6"/>
  <c r="H62" i="6" s="1"/>
  <c r="G48" i="6"/>
  <c r="G62" i="6" s="1"/>
  <c r="F48" i="6"/>
  <c r="F62" i="6" s="1"/>
  <c r="E48" i="6"/>
  <c r="E62" i="6" s="1"/>
  <c r="D48" i="6"/>
  <c r="D62" i="6" s="1"/>
  <c r="C48" i="6"/>
  <c r="C62" i="6" s="1"/>
  <c r="H41" i="6"/>
  <c r="G41" i="6"/>
  <c r="F41" i="6"/>
  <c r="E41" i="6"/>
  <c r="D41" i="6"/>
  <c r="C41" i="6"/>
  <c r="H36" i="6"/>
  <c r="G36" i="6"/>
  <c r="F36" i="6"/>
  <c r="E36" i="6"/>
  <c r="D36" i="6"/>
  <c r="C36" i="6"/>
  <c r="H28" i="6"/>
  <c r="H37" i="6" s="1"/>
  <c r="G28" i="6"/>
  <c r="G37" i="6" s="1"/>
  <c r="F28" i="6"/>
  <c r="F37" i="6" s="1"/>
  <c r="E28" i="6"/>
  <c r="E37" i="6" s="1"/>
  <c r="D28" i="6"/>
  <c r="D37" i="6" s="1"/>
  <c r="C28" i="6"/>
  <c r="C37" i="6" s="1"/>
  <c r="H22" i="6"/>
  <c r="G22" i="6"/>
  <c r="F22" i="6"/>
  <c r="E22" i="6"/>
  <c r="D22" i="6"/>
  <c r="C22" i="6"/>
  <c r="H246" i="5"/>
  <c r="G246" i="5"/>
  <c r="F246" i="5"/>
  <c r="E246" i="5"/>
  <c r="D246" i="5"/>
  <c r="H245" i="5"/>
  <c r="G245" i="5"/>
  <c r="F245" i="5"/>
  <c r="E245" i="5"/>
  <c r="D245" i="5"/>
  <c r="H244" i="5"/>
  <c r="G244" i="5"/>
  <c r="F244" i="5"/>
  <c r="E244" i="5"/>
  <c r="D244" i="5"/>
  <c r="H243" i="5"/>
  <c r="G243" i="5"/>
  <c r="F243" i="5"/>
  <c r="E243" i="5"/>
  <c r="D243" i="5"/>
  <c r="H234" i="5"/>
  <c r="G234" i="5"/>
  <c r="F234" i="5"/>
  <c r="E234" i="5"/>
  <c r="D234" i="5"/>
  <c r="H233" i="5"/>
  <c r="G233" i="5"/>
  <c r="F233" i="5"/>
  <c r="E233" i="5"/>
  <c r="H224" i="5"/>
  <c r="G224" i="5"/>
  <c r="F224" i="5"/>
  <c r="E224" i="5"/>
  <c r="D224" i="5"/>
  <c r="H223" i="5"/>
  <c r="G223" i="5"/>
  <c r="F223" i="5"/>
  <c r="E223" i="5"/>
  <c r="H216" i="5"/>
  <c r="G216" i="5"/>
  <c r="F216" i="5"/>
  <c r="E216" i="5"/>
  <c r="D216" i="5"/>
  <c r="H215" i="5"/>
  <c r="G215" i="5"/>
  <c r="F215" i="5"/>
  <c r="E215" i="5"/>
  <c r="D215" i="5"/>
  <c r="H213" i="5"/>
  <c r="G213" i="5"/>
  <c r="F213" i="5"/>
  <c r="E213" i="5"/>
  <c r="D213" i="5"/>
  <c r="H212" i="5"/>
  <c r="G212" i="5"/>
  <c r="F212" i="5"/>
  <c r="E212" i="5"/>
  <c r="D212" i="5"/>
  <c r="H211" i="5"/>
  <c r="G211" i="5"/>
  <c r="F211" i="5"/>
  <c r="E211" i="5"/>
  <c r="D211" i="5"/>
  <c r="H209" i="5"/>
  <c r="G209" i="5"/>
  <c r="F209" i="5"/>
  <c r="E209" i="5"/>
  <c r="D209" i="5"/>
  <c r="H173" i="5"/>
  <c r="G201" i="8" s="1"/>
  <c r="G173" i="5"/>
  <c r="G200" i="8" s="1"/>
  <c r="F173" i="5"/>
  <c r="G199" i="8" s="1"/>
  <c r="E173" i="5"/>
  <c r="G198" i="8" s="1"/>
  <c r="D173" i="5"/>
  <c r="G197" i="8" s="1"/>
  <c r="H149" i="5"/>
  <c r="G149" i="5"/>
  <c r="F149" i="5"/>
  <c r="E149" i="5"/>
  <c r="D149" i="5"/>
  <c r="H148" i="5"/>
  <c r="G148" i="5"/>
  <c r="F148" i="5"/>
  <c r="E148" i="5"/>
  <c r="D148" i="5"/>
  <c r="H146" i="5"/>
  <c r="G146" i="5"/>
  <c r="F146" i="5"/>
  <c r="E146" i="5"/>
  <c r="D146" i="5"/>
  <c r="H145" i="5"/>
  <c r="G145" i="5"/>
  <c r="F145" i="5"/>
  <c r="E145" i="5"/>
  <c r="D145" i="5"/>
  <c r="H128" i="5"/>
  <c r="G128" i="5"/>
  <c r="F128" i="5"/>
  <c r="E128" i="5"/>
  <c r="D128" i="5"/>
  <c r="H120" i="5"/>
  <c r="G120" i="5"/>
  <c r="F120" i="5"/>
  <c r="E120" i="5"/>
  <c r="D120" i="5"/>
  <c r="H110" i="5"/>
  <c r="H218" i="5" s="1"/>
  <c r="G110" i="5"/>
  <c r="G218" i="5" s="1"/>
  <c r="F110" i="5"/>
  <c r="F218" i="5" s="1"/>
  <c r="E110" i="5"/>
  <c r="E218" i="5" s="1"/>
  <c r="D110" i="5"/>
  <c r="D218" i="5" s="1"/>
  <c r="H106" i="5"/>
  <c r="G106" i="5"/>
  <c r="F106" i="5"/>
  <c r="E106" i="5"/>
  <c r="D106" i="5"/>
  <c r="H86" i="5"/>
  <c r="G86" i="5"/>
  <c r="F86" i="5"/>
  <c r="E86" i="5"/>
  <c r="D86" i="5"/>
  <c r="H67" i="5"/>
  <c r="F486" i="14" s="1"/>
  <c r="G67" i="5"/>
  <c r="F453" i="14" s="1"/>
  <c r="F67" i="5"/>
  <c r="F420" i="14" s="1"/>
  <c r="E67" i="5"/>
  <c r="F387" i="14" s="1"/>
  <c r="D67" i="5"/>
  <c r="F354" i="14" s="1"/>
  <c r="C67" i="5"/>
  <c r="H66" i="5"/>
  <c r="G66" i="5"/>
  <c r="F66" i="5"/>
  <c r="E66" i="5"/>
  <c r="D66" i="5"/>
  <c r="C66" i="5"/>
  <c r="H65" i="5"/>
  <c r="G65" i="5"/>
  <c r="F65" i="5"/>
  <c r="E65" i="5"/>
  <c r="D65" i="5"/>
  <c r="C65" i="5"/>
  <c r="H61" i="5"/>
  <c r="G61" i="5"/>
  <c r="F61" i="5"/>
  <c r="E61" i="5"/>
  <c r="D61" i="5"/>
  <c r="C61" i="5"/>
  <c r="H48" i="5"/>
  <c r="H62" i="5" s="1"/>
  <c r="G48" i="5"/>
  <c r="G62" i="5" s="1"/>
  <c r="F48" i="5"/>
  <c r="F62" i="5" s="1"/>
  <c r="E48" i="5"/>
  <c r="E62" i="5" s="1"/>
  <c r="D48" i="5"/>
  <c r="D62" i="5" s="1"/>
  <c r="C48" i="5"/>
  <c r="C62" i="5" s="1"/>
  <c r="H41" i="5"/>
  <c r="G41" i="5"/>
  <c r="F41" i="5"/>
  <c r="E41" i="5"/>
  <c r="D41" i="5"/>
  <c r="C41" i="5"/>
  <c r="H36" i="5"/>
  <c r="G36" i="5"/>
  <c r="F36" i="5"/>
  <c r="E36" i="5"/>
  <c r="D36" i="5"/>
  <c r="C36" i="5"/>
  <c r="H28" i="5"/>
  <c r="H37" i="5" s="1"/>
  <c r="G28" i="5"/>
  <c r="G37" i="5" s="1"/>
  <c r="F28" i="5"/>
  <c r="F37" i="5" s="1"/>
  <c r="E28" i="5"/>
  <c r="E37" i="5" s="1"/>
  <c r="D28" i="5"/>
  <c r="D37" i="5" s="1"/>
  <c r="C28" i="5"/>
  <c r="C37" i="5" s="1"/>
  <c r="H22" i="5"/>
  <c r="G22" i="5"/>
  <c r="F22" i="5"/>
  <c r="E22" i="5"/>
  <c r="D22" i="5"/>
  <c r="C22" i="5"/>
  <c r="H246" i="4"/>
  <c r="G246" i="4"/>
  <c r="F246" i="4"/>
  <c r="E246" i="4"/>
  <c r="D246" i="4"/>
  <c r="H245" i="4"/>
  <c r="G245" i="4"/>
  <c r="F245" i="4"/>
  <c r="E245" i="4"/>
  <c r="D245" i="4"/>
  <c r="H244" i="4"/>
  <c r="G244" i="4"/>
  <c r="F244" i="4"/>
  <c r="E244" i="4"/>
  <c r="D244" i="4"/>
  <c r="H243" i="4"/>
  <c r="G243" i="4"/>
  <c r="F243" i="4"/>
  <c r="E243" i="4"/>
  <c r="D243" i="4"/>
  <c r="H234" i="4"/>
  <c r="G234" i="4"/>
  <c r="F234" i="4"/>
  <c r="E234" i="4"/>
  <c r="D234" i="4"/>
  <c r="H233" i="4"/>
  <c r="G233" i="4"/>
  <c r="F233" i="4"/>
  <c r="E233" i="4"/>
  <c r="H224" i="4"/>
  <c r="G224" i="4"/>
  <c r="F224" i="4"/>
  <c r="E224" i="4"/>
  <c r="D224" i="4"/>
  <c r="H223" i="4"/>
  <c r="G223" i="4"/>
  <c r="F223" i="4"/>
  <c r="E223" i="4"/>
  <c r="H216" i="4"/>
  <c r="G216" i="4"/>
  <c r="F216" i="4"/>
  <c r="E216" i="4"/>
  <c r="D216" i="4"/>
  <c r="H215" i="4"/>
  <c r="G215" i="4"/>
  <c r="F215" i="4"/>
  <c r="E215" i="4"/>
  <c r="D215" i="4"/>
  <c r="H213" i="4"/>
  <c r="G213" i="4"/>
  <c r="F213" i="4"/>
  <c r="E213" i="4"/>
  <c r="D213" i="4"/>
  <c r="H212" i="4"/>
  <c r="G212" i="4"/>
  <c r="F212" i="4"/>
  <c r="E212" i="4"/>
  <c r="D212" i="4"/>
  <c r="H211" i="4"/>
  <c r="G211" i="4"/>
  <c r="F211" i="4"/>
  <c r="E211" i="4"/>
  <c r="D211" i="4"/>
  <c r="H209" i="4"/>
  <c r="G209" i="4"/>
  <c r="F209" i="4"/>
  <c r="E209" i="4"/>
  <c r="D209" i="4"/>
  <c r="H173" i="4"/>
  <c r="G173" i="4"/>
  <c r="F173" i="4"/>
  <c r="E173" i="4"/>
  <c r="D173" i="4"/>
  <c r="H149" i="4"/>
  <c r="G149" i="4"/>
  <c r="F149" i="4"/>
  <c r="E149" i="4"/>
  <c r="D149" i="4"/>
  <c r="H148" i="4"/>
  <c r="G148" i="4"/>
  <c r="F148" i="4"/>
  <c r="E148" i="4"/>
  <c r="D148" i="4"/>
  <c r="H146" i="4"/>
  <c r="G146" i="4"/>
  <c r="F146" i="4"/>
  <c r="E146" i="4"/>
  <c r="D146" i="4"/>
  <c r="H145" i="4"/>
  <c r="G145" i="4"/>
  <c r="F145" i="4"/>
  <c r="E145" i="4"/>
  <c r="D145" i="4"/>
  <c r="H128" i="4"/>
  <c r="G128" i="4"/>
  <c r="F128" i="4"/>
  <c r="E128" i="4"/>
  <c r="D128" i="4"/>
  <c r="H120" i="4"/>
  <c r="G120" i="4"/>
  <c r="F120" i="4"/>
  <c r="E120" i="4"/>
  <c r="D120" i="4"/>
  <c r="H110" i="4"/>
  <c r="H218" i="4" s="1"/>
  <c r="G110" i="4"/>
  <c r="G218" i="4" s="1"/>
  <c r="F110" i="4"/>
  <c r="F218" i="4" s="1"/>
  <c r="E110" i="4"/>
  <c r="E218" i="4" s="1"/>
  <c r="D110" i="4"/>
  <c r="D218" i="4" s="1"/>
  <c r="H106" i="4"/>
  <c r="G106" i="4"/>
  <c r="F106" i="4"/>
  <c r="E106" i="4"/>
  <c r="D106" i="4"/>
  <c r="H86" i="4"/>
  <c r="G86" i="4"/>
  <c r="F86" i="4"/>
  <c r="E86" i="4"/>
  <c r="D86" i="4"/>
  <c r="H67" i="4"/>
  <c r="F321" i="14" s="1"/>
  <c r="G67" i="4"/>
  <c r="F288" i="14" s="1"/>
  <c r="F67" i="4"/>
  <c r="F255" i="14" s="1"/>
  <c r="E67" i="4"/>
  <c r="F222" i="14" s="1"/>
  <c r="D67" i="4"/>
  <c r="F189" i="14" s="1"/>
  <c r="C67" i="4"/>
  <c r="H66" i="4"/>
  <c r="G66" i="4"/>
  <c r="F66" i="4"/>
  <c r="E66" i="4"/>
  <c r="D66" i="4"/>
  <c r="C66" i="4"/>
  <c r="D240" i="4" s="1"/>
  <c r="H65" i="4"/>
  <c r="G65" i="4"/>
  <c r="F65" i="4"/>
  <c r="E65" i="4"/>
  <c r="D65" i="4"/>
  <c r="C65" i="4"/>
  <c r="H61" i="4"/>
  <c r="G61" i="4"/>
  <c r="F61" i="4"/>
  <c r="E61" i="4"/>
  <c r="D61" i="4"/>
  <c r="C61" i="4"/>
  <c r="H48" i="4"/>
  <c r="H62" i="4" s="1"/>
  <c r="G48" i="4"/>
  <c r="G62" i="4" s="1"/>
  <c r="F48" i="4"/>
  <c r="F62" i="4" s="1"/>
  <c r="E48" i="4"/>
  <c r="E62" i="4" s="1"/>
  <c r="D48" i="4"/>
  <c r="D62" i="4" s="1"/>
  <c r="C48" i="4"/>
  <c r="C62" i="4" s="1"/>
  <c r="H41" i="4"/>
  <c r="G41" i="4"/>
  <c r="F41" i="4"/>
  <c r="E41" i="4"/>
  <c r="D41" i="4"/>
  <c r="C41" i="4"/>
  <c r="H36" i="4"/>
  <c r="G36" i="4"/>
  <c r="F36" i="4"/>
  <c r="E36" i="4"/>
  <c r="D36" i="4"/>
  <c r="C36" i="4"/>
  <c r="H28" i="4"/>
  <c r="H37" i="4" s="1"/>
  <c r="G28" i="4"/>
  <c r="G37" i="4" s="1"/>
  <c r="F28" i="4"/>
  <c r="F37" i="4" s="1"/>
  <c r="E28" i="4"/>
  <c r="E37" i="4" s="1"/>
  <c r="D28" i="4"/>
  <c r="D37" i="4" s="1"/>
  <c r="C28" i="4"/>
  <c r="C37" i="4" s="1"/>
  <c r="H22" i="4"/>
  <c r="G22" i="4"/>
  <c r="F22" i="4"/>
  <c r="E22" i="4"/>
  <c r="D22" i="4"/>
  <c r="C22" i="4"/>
  <c r="H246" i="3"/>
  <c r="G246" i="3"/>
  <c r="F246" i="3"/>
  <c r="E246" i="3"/>
  <c r="D246" i="3"/>
  <c r="H245" i="3"/>
  <c r="G245" i="3"/>
  <c r="F245" i="3"/>
  <c r="E245" i="3"/>
  <c r="D245" i="3"/>
  <c r="H244" i="3"/>
  <c r="G244" i="3"/>
  <c r="F244" i="3"/>
  <c r="E244" i="3"/>
  <c r="D244" i="3"/>
  <c r="H243" i="3"/>
  <c r="G243" i="3"/>
  <c r="F243" i="3"/>
  <c r="E243" i="3"/>
  <c r="D243" i="3"/>
  <c r="H234" i="3"/>
  <c r="G234" i="3"/>
  <c r="F234" i="3"/>
  <c r="E234" i="3"/>
  <c r="D234" i="3"/>
  <c r="H233" i="3"/>
  <c r="G233" i="3"/>
  <c r="F233" i="3"/>
  <c r="E233" i="3"/>
  <c r="H224" i="3"/>
  <c r="G224" i="3"/>
  <c r="F224" i="3"/>
  <c r="E224" i="3"/>
  <c r="D224" i="3"/>
  <c r="H223" i="3"/>
  <c r="G223" i="3"/>
  <c r="F223" i="3"/>
  <c r="E223" i="3"/>
  <c r="H216" i="3"/>
  <c r="G216" i="3"/>
  <c r="F216" i="3"/>
  <c r="E216" i="3"/>
  <c r="D216" i="3"/>
  <c r="H215" i="3"/>
  <c r="G215" i="3"/>
  <c r="F215" i="3"/>
  <c r="E215" i="3"/>
  <c r="D215" i="3"/>
  <c r="H213" i="3"/>
  <c r="G213" i="3"/>
  <c r="F213" i="3"/>
  <c r="E213" i="3"/>
  <c r="D213" i="3"/>
  <c r="H212" i="3"/>
  <c r="G212" i="3"/>
  <c r="F212" i="3"/>
  <c r="E212" i="3"/>
  <c r="D212" i="3"/>
  <c r="H211" i="3"/>
  <c r="G211" i="3"/>
  <c r="F211" i="3"/>
  <c r="E211" i="3"/>
  <c r="D211" i="3"/>
  <c r="H209" i="3"/>
  <c r="G209" i="3"/>
  <c r="F209" i="3"/>
  <c r="E209" i="3"/>
  <c r="D209" i="3"/>
  <c r="H173" i="3"/>
  <c r="G173" i="3"/>
  <c r="F173" i="3"/>
  <c r="E173" i="3"/>
  <c r="D173" i="3"/>
  <c r="H149" i="3"/>
  <c r="G149" i="3"/>
  <c r="F149" i="3"/>
  <c r="E149" i="3"/>
  <c r="D149" i="3"/>
  <c r="H148" i="3"/>
  <c r="G148" i="3"/>
  <c r="F148" i="3"/>
  <c r="E148" i="3"/>
  <c r="D148" i="3"/>
  <c r="H146" i="3"/>
  <c r="G146" i="3"/>
  <c r="F146" i="3"/>
  <c r="E146" i="3"/>
  <c r="D146" i="3"/>
  <c r="H145" i="3"/>
  <c r="G145" i="3"/>
  <c r="F145" i="3"/>
  <c r="E145" i="3"/>
  <c r="D145" i="3"/>
  <c r="H128" i="3"/>
  <c r="G165" i="14" s="1"/>
  <c r="G128" i="3"/>
  <c r="F128" i="3"/>
  <c r="G99" i="14" s="1"/>
  <c r="E128" i="3"/>
  <c r="G66" i="14" s="1"/>
  <c r="D128" i="3"/>
  <c r="G33" i="14" s="1"/>
  <c r="H120" i="3"/>
  <c r="G120" i="3"/>
  <c r="F120" i="3"/>
  <c r="E120" i="3"/>
  <c r="D120" i="3"/>
  <c r="H110" i="3"/>
  <c r="H218" i="3" s="1"/>
  <c r="G110" i="3"/>
  <c r="G218" i="3" s="1"/>
  <c r="F110" i="3"/>
  <c r="F218" i="3" s="1"/>
  <c r="E110" i="3"/>
  <c r="E218" i="3" s="1"/>
  <c r="D110" i="3"/>
  <c r="D218" i="3" s="1"/>
  <c r="H106" i="3"/>
  <c r="G157" i="14" s="1"/>
  <c r="G106" i="3"/>
  <c r="G124" i="14" s="1"/>
  <c r="F106" i="3"/>
  <c r="G91" i="14" s="1"/>
  <c r="E106" i="3"/>
  <c r="G58" i="14" s="1"/>
  <c r="D106" i="3"/>
  <c r="G25" i="14" s="1"/>
  <c r="H86" i="3"/>
  <c r="F158" i="14" s="1"/>
  <c r="G86" i="3"/>
  <c r="F125" i="14" s="1"/>
  <c r="F86" i="3"/>
  <c r="F92" i="14" s="1"/>
  <c r="E86" i="3"/>
  <c r="F59" i="14" s="1"/>
  <c r="H59" i="14" s="1"/>
  <c r="D86" i="3"/>
  <c r="F26" i="14" s="1"/>
  <c r="H67" i="3"/>
  <c r="F156" i="14" s="1"/>
  <c r="G67" i="3"/>
  <c r="F123" i="14" s="1"/>
  <c r="F67" i="3"/>
  <c r="F90" i="14" s="1"/>
  <c r="E67" i="3"/>
  <c r="F57" i="14" s="1"/>
  <c r="D67" i="3"/>
  <c r="F24" i="14" s="1"/>
  <c r="C67" i="3"/>
  <c r="H66" i="3"/>
  <c r="G66" i="3"/>
  <c r="F66" i="3"/>
  <c r="E66" i="3"/>
  <c r="D66" i="3"/>
  <c r="C66" i="3"/>
  <c r="C12" i="16" s="1"/>
  <c r="H65" i="3"/>
  <c r="G65" i="3"/>
  <c r="F65" i="3"/>
  <c r="E65" i="3"/>
  <c r="D65" i="3"/>
  <c r="C65" i="3"/>
  <c r="H61" i="3"/>
  <c r="G61" i="3"/>
  <c r="F61" i="3"/>
  <c r="E61" i="3"/>
  <c r="D61" i="3"/>
  <c r="D15" i="24" s="1"/>
  <c r="F15" i="24" s="1"/>
  <c r="C61" i="3"/>
  <c r="H48" i="3"/>
  <c r="H62" i="3" s="1"/>
  <c r="G48" i="3"/>
  <c r="G62" i="3" s="1"/>
  <c r="F48" i="3"/>
  <c r="F62" i="3" s="1"/>
  <c r="E48" i="3"/>
  <c r="E62" i="3" s="1"/>
  <c r="D48" i="3"/>
  <c r="D62" i="3" s="1"/>
  <c r="C48" i="3"/>
  <c r="C62" i="3" s="1"/>
  <c r="H41" i="3"/>
  <c r="G41" i="3"/>
  <c r="F41" i="3"/>
  <c r="E41" i="3"/>
  <c r="D41" i="3"/>
  <c r="C41" i="3"/>
  <c r="H36" i="3"/>
  <c r="G36" i="3"/>
  <c r="F36" i="3"/>
  <c r="E36" i="3"/>
  <c r="D36" i="3"/>
  <c r="D14" i="24" s="1"/>
  <c r="F14" i="24" s="1"/>
  <c r="C36" i="3"/>
  <c r="H28" i="3"/>
  <c r="H37" i="3" s="1"/>
  <c r="G28" i="3"/>
  <c r="G37" i="3" s="1"/>
  <c r="F28" i="3"/>
  <c r="F37" i="3" s="1"/>
  <c r="E28" i="3"/>
  <c r="E37" i="3" s="1"/>
  <c r="D28" i="3"/>
  <c r="D37" i="3" s="1"/>
  <c r="C28" i="3"/>
  <c r="C37" i="3" s="1"/>
  <c r="H22" i="3"/>
  <c r="G22" i="3"/>
  <c r="F22" i="3"/>
  <c r="E22" i="3"/>
  <c r="D22" i="3"/>
  <c r="C22" i="3"/>
  <c r="F543" i="2"/>
  <c r="F459" i="28" s="1"/>
  <c r="G459" i="28" s="1"/>
  <c r="E543" i="2"/>
  <c r="M543" i="2" s="1"/>
  <c r="F542" i="2"/>
  <c r="F458" i="28" s="1"/>
  <c r="G458" i="28" s="1"/>
  <c r="E542" i="2"/>
  <c r="M542" i="2" s="1"/>
  <c r="F541" i="2"/>
  <c r="F457" i="28" s="1"/>
  <c r="G457" i="28" s="1"/>
  <c r="E541" i="2"/>
  <c r="M541" i="2" s="1"/>
  <c r="F540" i="2"/>
  <c r="F456" i="28" s="1"/>
  <c r="G456" i="28" s="1"/>
  <c r="E540" i="2"/>
  <c r="M540" i="2" s="1"/>
  <c r="F534" i="2"/>
  <c r="F450" i="28" s="1"/>
  <c r="G450" i="28" s="1"/>
  <c r="F533" i="2"/>
  <c r="F449" i="28" s="1"/>
  <c r="G449" i="28" s="1"/>
  <c r="F532" i="2"/>
  <c r="F448" i="28" s="1"/>
  <c r="G448" i="28" s="1"/>
  <c r="F531" i="2"/>
  <c r="F447" i="28" s="1"/>
  <c r="G447" i="28" s="1"/>
  <c r="F530" i="2"/>
  <c r="F446" i="28" s="1"/>
  <c r="G446" i="28" s="1"/>
  <c r="F519" i="2"/>
  <c r="F518" i="2"/>
  <c r="F517" i="2"/>
  <c r="F516" i="2"/>
  <c r="F515" i="2"/>
  <c r="F514" i="2"/>
  <c r="F513" i="2"/>
  <c r="F512" i="2"/>
  <c r="F511" i="2"/>
  <c r="F510" i="2"/>
  <c r="F504" i="2"/>
  <c r="F503" i="2"/>
  <c r="F502" i="2"/>
  <c r="F501" i="2"/>
  <c r="F500" i="2"/>
  <c r="F499" i="2"/>
  <c r="E499" i="2"/>
  <c r="F498" i="2"/>
  <c r="E498" i="2"/>
  <c r="F497" i="2"/>
  <c r="E497" i="2"/>
  <c r="F496" i="2"/>
  <c r="E496" i="2"/>
  <c r="F495" i="2"/>
  <c r="E495" i="2"/>
  <c r="F494" i="2"/>
  <c r="E494" i="2"/>
  <c r="F493" i="2"/>
  <c r="E493" i="2"/>
  <c r="F492" i="2"/>
  <c r="E492" i="2"/>
  <c r="F491" i="2"/>
  <c r="E491" i="2"/>
  <c r="M491" i="2" s="1"/>
  <c r="F490" i="2"/>
  <c r="E490" i="2"/>
  <c r="M490" i="2" s="1"/>
  <c r="F489" i="2"/>
  <c r="F488" i="2"/>
  <c r="F487" i="2"/>
  <c r="F486" i="2"/>
  <c r="F485" i="2"/>
  <c r="F484" i="2"/>
  <c r="F483" i="2"/>
  <c r="F482" i="2"/>
  <c r="F481" i="2"/>
  <c r="F480" i="2"/>
  <c r="F479" i="2"/>
  <c r="F478" i="2"/>
  <c r="F477" i="2"/>
  <c r="F476" i="2"/>
  <c r="F475" i="2"/>
  <c r="F474" i="2"/>
  <c r="F473" i="2"/>
  <c r="F472" i="2"/>
  <c r="F471" i="2"/>
  <c r="F470" i="2"/>
  <c r="F464" i="2"/>
  <c r="F463" i="2"/>
  <c r="F462" i="2"/>
  <c r="F461" i="2"/>
  <c r="F460" i="2"/>
  <c r="F454" i="2"/>
  <c r="F453" i="2"/>
  <c r="F452" i="2"/>
  <c r="F451" i="2"/>
  <c r="F450" i="2"/>
  <c r="F414" i="2"/>
  <c r="E414" i="2"/>
  <c r="M414" i="2" s="1"/>
  <c r="F413" i="2"/>
  <c r="E413" i="2"/>
  <c r="M413" i="2" s="1"/>
  <c r="F412" i="2"/>
  <c r="E412" i="2"/>
  <c r="M412" i="2" s="1"/>
  <c r="F411" i="2"/>
  <c r="E411" i="2"/>
  <c r="M411" i="2" s="1"/>
  <c r="F410" i="2"/>
  <c r="E410" i="2"/>
  <c r="M410" i="2" s="1"/>
  <c r="F409" i="2"/>
  <c r="F408" i="2"/>
  <c r="F407" i="2"/>
  <c r="F406" i="2"/>
  <c r="F405" i="2"/>
  <c r="F389" i="2"/>
  <c r="F388" i="2"/>
  <c r="F387" i="2"/>
  <c r="F386" i="2"/>
  <c r="F385" i="2"/>
  <c r="F364" i="2"/>
  <c r="F363" i="2"/>
  <c r="F362" i="2"/>
  <c r="F361" i="2"/>
  <c r="F360" i="2"/>
  <c r="F359" i="2"/>
  <c r="F358" i="2"/>
  <c r="F357" i="2"/>
  <c r="F356" i="2"/>
  <c r="F355" i="2"/>
  <c r="F354" i="2"/>
  <c r="F353" i="2"/>
  <c r="F352" i="2"/>
  <c r="F351" i="2"/>
  <c r="F350" i="2"/>
  <c r="F349" i="2"/>
  <c r="F348" i="2"/>
  <c r="F347" i="2"/>
  <c r="F346" i="2"/>
  <c r="F345" i="2"/>
  <c r="F334" i="2"/>
  <c r="F333" i="2"/>
  <c r="F332" i="2"/>
  <c r="F331" i="2"/>
  <c r="F330" i="2"/>
  <c r="F329" i="2"/>
  <c r="F328" i="2"/>
  <c r="F327" i="2"/>
  <c r="F326" i="2"/>
  <c r="F325" i="2"/>
  <c r="F324" i="2"/>
  <c r="F323" i="2"/>
  <c r="F322" i="2"/>
  <c r="F321" i="2"/>
  <c r="F320" i="2"/>
  <c r="F319" i="2"/>
  <c r="F318" i="2"/>
  <c r="F317" i="2"/>
  <c r="F316" i="2"/>
  <c r="F315" i="2"/>
  <c r="F314" i="2"/>
  <c r="F313" i="2"/>
  <c r="F312" i="2"/>
  <c r="F311" i="2"/>
  <c r="F310" i="2"/>
  <c r="F309" i="2"/>
  <c r="F308" i="2"/>
  <c r="F307" i="2"/>
  <c r="F306" i="2"/>
  <c r="F305" i="2"/>
  <c r="F304" i="2"/>
  <c r="F303" i="2"/>
  <c r="F302" i="2"/>
  <c r="F301" i="2"/>
  <c r="F300" i="2"/>
  <c r="F299" i="2"/>
  <c r="F298" i="2"/>
  <c r="F297" i="2"/>
  <c r="F296" i="2"/>
  <c r="F295" i="2"/>
  <c r="F294" i="2"/>
  <c r="F293" i="2"/>
  <c r="F292" i="2"/>
  <c r="F291" i="2"/>
  <c r="F290" i="2"/>
  <c r="F284" i="2"/>
  <c r="F283" i="2"/>
  <c r="F282" i="2"/>
  <c r="F281" i="2"/>
  <c r="F280" i="2"/>
  <c r="F274" i="2"/>
  <c r="F273" i="2"/>
  <c r="F272" i="2"/>
  <c r="F271" i="2"/>
  <c r="F270" i="2"/>
  <c r="F269" i="2"/>
  <c r="E269" i="2"/>
  <c r="M269" i="2" s="1"/>
  <c r="F268" i="2"/>
  <c r="E268" i="2"/>
  <c r="M268" i="2" s="1"/>
  <c r="F267" i="2"/>
  <c r="E267" i="2"/>
  <c r="M267" i="2" s="1"/>
  <c r="F266" i="2"/>
  <c r="E266" i="2"/>
  <c r="M266" i="2" s="1"/>
  <c r="F265" i="2"/>
  <c r="E265" i="2"/>
  <c r="M265" i="2" s="1"/>
  <c r="F264" i="2"/>
  <c r="E264" i="2"/>
  <c r="M264" i="2" s="1"/>
  <c r="F263" i="2"/>
  <c r="E263" i="2"/>
  <c r="M263" i="2" s="1"/>
  <c r="F262" i="2"/>
  <c r="E262" i="2"/>
  <c r="M262" i="2" s="1"/>
  <c r="F261" i="2"/>
  <c r="E261" i="2"/>
  <c r="M261" i="2" s="1"/>
  <c r="F260" i="2"/>
  <c r="E260" i="2"/>
  <c r="M260" i="2" s="1"/>
  <c r="F259" i="2"/>
  <c r="F258" i="2"/>
  <c r="F257" i="2"/>
  <c r="F256" i="2"/>
  <c r="F255" i="2"/>
  <c r="F249" i="2"/>
  <c r="E249" i="2"/>
  <c r="M249" i="2" s="1"/>
  <c r="F248" i="2"/>
  <c r="E248" i="2"/>
  <c r="M248" i="2" s="1"/>
  <c r="F247" i="2"/>
  <c r="E247" i="2"/>
  <c r="M247" i="2" s="1"/>
  <c r="F246" i="2"/>
  <c r="E246" i="2"/>
  <c r="M246" i="2" s="1"/>
  <c r="F245" i="2"/>
  <c r="E245" i="2"/>
  <c r="M245" i="2" s="1"/>
  <c r="F234" i="2"/>
  <c r="F233" i="2"/>
  <c r="F232" i="2"/>
  <c r="F231" i="2"/>
  <c r="F230" i="2"/>
  <c r="F214" i="2"/>
  <c r="F213" i="2"/>
  <c r="F212" i="2"/>
  <c r="F211" i="2"/>
  <c r="F210" i="2"/>
  <c r="F204" i="2"/>
  <c r="F203" i="2"/>
  <c r="F202" i="2"/>
  <c r="F201" i="2"/>
  <c r="F200" i="2"/>
  <c r="F199" i="2"/>
  <c r="E199" i="2"/>
  <c r="M199" i="2" s="1"/>
  <c r="F198" i="2"/>
  <c r="E198" i="2"/>
  <c r="F197" i="2"/>
  <c r="E197" i="2"/>
  <c r="M197" i="2" s="1"/>
  <c r="F196" i="2"/>
  <c r="E196" i="2"/>
  <c r="M196" i="2" s="1"/>
  <c r="F195" i="2"/>
  <c r="E195" i="2"/>
  <c r="M195" i="2" s="1"/>
  <c r="F194" i="2"/>
  <c r="F193" i="2"/>
  <c r="F192" i="2"/>
  <c r="F191" i="2"/>
  <c r="F190" i="2"/>
  <c r="F189" i="2"/>
  <c r="F188" i="2"/>
  <c r="F187" i="2"/>
  <c r="F186" i="2"/>
  <c r="F185" i="2"/>
  <c r="F184" i="2"/>
  <c r="F183" i="2"/>
  <c r="F182" i="2"/>
  <c r="F181" i="2"/>
  <c r="F180" i="2"/>
  <c r="F179" i="2"/>
  <c r="E179" i="2"/>
  <c r="M179" i="2" s="1"/>
  <c r="F178" i="2"/>
  <c r="E178" i="2"/>
  <c r="M178" i="2" s="1"/>
  <c r="F177" i="2"/>
  <c r="E177" i="2"/>
  <c r="M177" i="2" s="1"/>
  <c r="F176" i="2"/>
  <c r="E176" i="2"/>
  <c r="M176" i="2" s="1"/>
  <c r="F175" i="2"/>
  <c r="E175" i="2"/>
  <c r="M175" i="2" s="1"/>
  <c r="F159" i="2"/>
  <c r="F158" i="2"/>
  <c r="F157" i="2"/>
  <c r="F156" i="2"/>
  <c r="F155" i="2"/>
  <c r="F149" i="2"/>
  <c r="F148" i="2"/>
  <c r="F147" i="2"/>
  <c r="F146" i="2"/>
  <c r="F145" i="2"/>
  <c r="F139" i="2"/>
  <c r="E139" i="2"/>
  <c r="F138" i="2"/>
  <c r="E138" i="2"/>
  <c r="F137" i="2"/>
  <c r="E137" i="2"/>
  <c r="M137" i="2" s="1"/>
  <c r="F136" i="2"/>
  <c r="E136" i="2"/>
  <c r="F135" i="2"/>
  <c r="E135" i="2"/>
  <c r="F134" i="2"/>
  <c r="E134" i="2"/>
  <c r="M134" i="2" s="1"/>
  <c r="F133" i="2"/>
  <c r="E133" i="2"/>
  <c r="M133" i="2" s="1"/>
  <c r="F132" i="2"/>
  <c r="E132" i="2"/>
  <c r="M132" i="2" s="1"/>
  <c r="F131" i="2"/>
  <c r="E131" i="2"/>
  <c r="M131" i="2" s="1"/>
  <c r="F130" i="2"/>
  <c r="E130" i="2"/>
  <c r="M130" i="2" s="1"/>
  <c r="F129" i="2"/>
  <c r="F128" i="2"/>
  <c r="F127" i="2"/>
  <c r="F126" i="2"/>
  <c r="F125" i="2"/>
  <c r="F124" i="2"/>
  <c r="F123" i="2"/>
  <c r="F122" i="2"/>
  <c r="F121" i="2"/>
  <c r="F120" i="2"/>
  <c r="F119" i="2"/>
  <c r="F118" i="2"/>
  <c r="F117" i="2"/>
  <c r="F116" i="2"/>
  <c r="F115" i="2"/>
  <c r="F109" i="2"/>
  <c r="F108" i="2"/>
  <c r="F107" i="2"/>
  <c r="F106" i="2"/>
  <c r="F105" i="2"/>
  <c r="F104" i="2"/>
  <c r="F103" i="2"/>
  <c r="F102" i="2"/>
  <c r="F101" i="2"/>
  <c r="F100" i="2"/>
  <c r="F94" i="2"/>
  <c r="E94" i="2"/>
  <c r="M94" i="2" s="1"/>
  <c r="F93" i="2"/>
  <c r="E93" i="2"/>
  <c r="M93" i="2" s="1"/>
  <c r="F92" i="2"/>
  <c r="E92" i="2"/>
  <c r="M92" i="2" s="1"/>
  <c r="F91" i="2"/>
  <c r="E91" i="2"/>
  <c r="M91" i="2" s="1"/>
  <c r="F90" i="2"/>
  <c r="E90" i="2"/>
  <c r="M90" i="2" s="1"/>
  <c r="F89" i="2"/>
  <c r="E89" i="2"/>
  <c r="F88" i="2"/>
  <c r="E88" i="2"/>
  <c r="M88" i="2" s="1"/>
  <c r="F87" i="2"/>
  <c r="E87" i="2"/>
  <c r="M87" i="2" s="1"/>
  <c r="F86" i="2"/>
  <c r="E86" i="2"/>
  <c r="M86" i="2" s="1"/>
  <c r="F85" i="2"/>
  <c r="E85" i="2"/>
  <c r="M85" i="2" s="1"/>
  <c r="F84" i="2"/>
  <c r="F83" i="2"/>
  <c r="F82" i="2"/>
  <c r="F81" i="2"/>
  <c r="F80" i="2"/>
  <c r="F79" i="2"/>
  <c r="F78" i="2"/>
  <c r="F77" i="2"/>
  <c r="F76" i="2"/>
  <c r="F75" i="2"/>
  <c r="F74" i="2"/>
  <c r="F73" i="2"/>
  <c r="F72" i="2"/>
  <c r="F71" i="2"/>
  <c r="F70" i="2"/>
  <c r="F54" i="2"/>
  <c r="F53" i="2"/>
  <c r="F52" i="2"/>
  <c r="F51" i="2"/>
  <c r="F50" i="2"/>
  <c r="F44" i="2"/>
  <c r="F43" i="2"/>
  <c r="F42" i="2"/>
  <c r="F41" i="2"/>
  <c r="F40" i="2"/>
  <c r="F34" i="2"/>
  <c r="F33" i="2"/>
  <c r="F32" i="2"/>
  <c r="F31" i="2"/>
  <c r="F30" i="2"/>
  <c r="F29" i="2"/>
  <c r="E29" i="2"/>
  <c r="M29" i="2" s="1"/>
  <c r="F28" i="2"/>
  <c r="E28" i="2"/>
  <c r="M28" i="2" s="1"/>
  <c r="F27" i="2"/>
  <c r="E27" i="2"/>
  <c r="M27" i="2" s="1"/>
  <c r="F26" i="2"/>
  <c r="E26" i="2"/>
  <c r="M26" i="2" s="1"/>
  <c r="F25" i="2"/>
  <c r="E25" i="2"/>
  <c r="M25" i="2" s="1"/>
  <c r="F24" i="2"/>
  <c r="E24" i="2"/>
  <c r="M24" i="2" s="1"/>
  <c r="F23" i="2"/>
  <c r="E23" i="2"/>
  <c r="M23" i="2" s="1"/>
  <c r="F22" i="2"/>
  <c r="E22" i="2"/>
  <c r="M22" i="2" s="1"/>
  <c r="F21" i="2"/>
  <c r="E21" i="2"/>
  <c r="M21" i="2" s="1"/>
  <c r="F20" i="2"/>
  <c r="E20" i="2"/>
  <c r="M20" i="2" s="1"/>
  <c r="F19" i="2"/>
  <c r="F18" i="2"/>
  <c r="F17" i="2"/>
  <c r="F16" i="2"/>
  <c r="F15" i="2"/>
  <c r="F14" i="2"/>
  <c r="F13" i="2"/>
  <c r="F12" i="2"/>
  <c r="F11" i="2"/>
  <c r="F10" i="2"/>
  <c r="F9" i="2"/>
  <c r="F8" i="2"/>
  <c r="F7" i="2"/>
  <c r="F6" i="2"/>
  <c r="F5" i="2"/>
  <c r="I1603" i="21" l="1"/>
  <c r="I1581" i="21"/>
  <c r="I1559" i="21"/>
  <c r="I1551" i="21"/>
  <c r="I1539" i="21"/>
  <c r="I1528" i="21"/>
  <c r="I1301" i="21"/>
  <c r="I1614" i="21"/>
  <c r="I1592" i="21"/>
  <c r="I1560" i="21"/>
  <c r="I1555" i="21"/>
  <c r="I1553" i="21"/>
  <c r="I1550" i="21"/>
  <c r="J42" i="20"/>
  <c r="J41" i="20"/>
  <c r="J40" i="20"/>
  <c r="J39" i="20"/>
  <c r="J38" i="20"/>
  <c r="J18" i="20"/>
  <c r="J17" i="20"/>
  <c r="J16" i="20"/>
  <c r="J15" i="20"/>
  <c r="J14" i="20"/>
  <c r="H58" i="18"/>
  <c r="Q503" i="9"/>
  <c r="H676" i="14"/>
  <c r="H642" i="14"/>
  <c r="H609" i="14"/>
  <c r="H543" i="14"/>
  <c r="H26" i="14"/>
  <c r="H16" i="14"/>
  <c r="Q1887" i="9"/>
  <c r="Q1286" i="9"/>
  <c r="J457" i="15"/>
  <c r="H829" i="14"/>
  <c r="H808" i="14"/>
  <c r="H807" i="14"/>
  <c r="H805" i="14"/>
  <c r="H804" i="14"/>
  <c r="H796" i="14"/>
  <c r="H775" i="14"/>
  <c r="H774" i="14"/>
  <c r="H772" i="14"/>
  <c r="H771" i="14"/>
  <c r="H763" i="14"/>
  <c r="H742" i="14"/>
  <c r="H741" i="14"/>
  <c r="H739" i="14"/>
  <c r="H738" i="14"/>
  <c r="H730" i="14"/>
  <c r="H709" i="14"/>
  <c r="H708" i="14"/>
  <c r="H706" i="14"/>
  <c r="H675" i="14"/>
  <c r="H673" i="14"/>
  <c r="H565" i="14"/>
  <c r="H49" i="14"/>
  <c r="H48" i="14"/>
  <c r="Q1946" i="9"/>
  <c r="Q1907" i="9"/>
  <c r="Q1883" i="9"/>
  <c r="Q1867" i="9"/>
  <c r="Q573" i="9"/>
  <c r="Q260" i="9"/>
  <c r="H478" i="14"/>
  <c r="H477" i="14"/>
  <c r="H475" i="14"/>
  <c r="H474" i="14"/>
  <c r="H466" i="14"/>
  <c r="H445" i="14"/>
  <c r="H444" i="14"/>
  <c r="H442" i="14"/>
  <c r="H441" i="14"/>
  <c r="H433" i="14"/>
  <c r="H412" i="14"/>
  <c r="H411" i="14"/>
  <c r="H409" i="14"/>
  <c r="H408" i="14"/>
  <c r="H400" i="14"/>
  <c r="H379" i="14"/>
  <c r="H378" i="14"/>
  <c r="H376" i="14"/>
  <c r="H375" i="14"/>
  <c r="H367" i="14"/>
  <c r="H346" i="14"/>
  <c r="H345" i="14"/>
  <c r="H343" i="14"/>
  <c r="H342" i="14"/>
  <c r="H334" i="14"/>
  <c r="H313" i="14"/>
  <c r="H312" i="14"/>
  <c r="H310" i="14"/>
  <c r="H309" i="14"/>
  <c r="H301" i="14"/>
  <c r="H280" i="14"/>
  <c r="H279" i="14"/>
  <c r="H277" i="14"/>
  <c r="H276" i="14"/>
  <c r="H268" i="14"/>
  <c r="H247" i="14"/>
  <c r="H246" i="14"/>
  <c r="H244" i="14"/>
  <c r="H243" i="14"/>
  <c r="H235" i="14"/>
  <c r="H214" i="14"/>
  <c r="H213" i="14"/>
  <c r="H211" i="14"/>
  <c r="H210" i="14"/>
  <c r="H202" i="14"/>
  <c r="H181" i="14"/>
  <c r="H180" i="14"/>
  <c r="H178" i="14"/>
  <c r="H177" i="14"/>
  <c r="H169" i="14"/>
  <c r="H158" i="14"/>
  <c r="H148" i="14"/>
  <c r="H147" i="14"/>
  <c r="H145" i="14"/>
  <c r="H144" i="14"/>
  <c r="H136" i="14"/>
  <c r="H125" i="14"/>
  <c r="H115" i="14"/>
  <c r="H114" i="14"/>
  <c r="H112" i="14"/>
  <c r="H111" i="14"/>
  <c r="H103" i="14"/>
  <c r="H92" i="14"/>
  <c r="H82" i="14"/>
  <c r="H81" i="14"/>
  <c r="H79" i="14"/>
  <c r="H78" i="14"/>
  <c r="H15" i="14"/>
  <c r="Q1947" i="9"/>
  <c r="Q1942" i="9"/>
  <c r="Q1909" i="9"/>
  <c r="Q1878" i="9"/>
  <c r="Q1782" i="9"/>
  <c r="Q1356" i="9"/>
  <c r="Q1355" i="9"/>
  <c r="Q1321" i="9"/>
  <c r="Q621" i="9"/>
  <c r="Q612" i="9"/>
  <c r="Q538" i="9"/>
  <c r="Q531" i="9"/>
  <c r="Q505" i="9"/>
  <c r="Q444" i="9"/>
  <c r="Q380" i="9"/>
  <c r="Q1760" i="9"/>
  <c r="Q646" i="9"/>
  <c r="Q587" i="9"/>
  <c r="Q580" i="9"/>
  <c r="Q461" i="9"/>
  <c r="Q354" i="9"/>
  <c r="Q348" i="9"/>
  <c r="Q340" i="9"/>
  <c r="Q326" i="9"/>
  <c r="H70" i="4"/>
  <c r="G70" i="4"/>
  <c r="F70" i="4"/>
  <c r="E70" i="4"/>
  <c r="D70" i="4"/>
  <c r="C70" i="4"/>
  <c r="I790" i="21"/>
  <c r="L68" i="20"/>
  <c r="I753" i="21"/>
  <c r="L67" i="20"/>
  <c r="I705" i="21"/>
  <c r="L66" i="20"/>
  <c r="P1374" i="9"/>
  <c r="I1142" i="15"/>
  <c r="J1142" i="15" s="1"/>
  <c r="H133" i="4"/>
  <c r="G15" i="11"/>
  <c r="F255" i="26"/>
  <c r="H169" i="4"/>
  <c r="G330" i="14"/>
  <c r="X15" i="30"/>
  <c r="Y15" i="30" s="1"/>
  <c r="G133" i="4"/>
  <c r="X14" i="30"/>
  <c r="Y14" i="30" s="1"/>
  <c r="G169" i="4"/>
  <c r="F254" i="26"/>
  <c r="G297" i="14"/>
  <c r="G14" i="11"/>
  <c r="F133" i="4"/>
  <c r="X13" i="30"/>
  <c r="Y13" i="30" s="1"/>
  <c r="F169" i="4"/>
  <c r="F253" i="26"/>
  <c r="H44" i="21"/>
  <c r="G264" i="14"/>
  <c r="G13" i="11"/>
  <c r="E133" i="4"/>
  <c r="X12" i="30"/>
  <c r="Y12" i="30" s="1"/>
  <c r="E169" i="4"/>
  <c r="F252" i="26"/>
  <c r="G231" i="14"/>
  <c r="G12" i="11"/>
  <c r="D133" i="4"/>
  <c r="G198" i="14"/>
  <c r="F251" i="26"/>
  <c r="D169" i="4"/>
  <c r="G11" i="11"/>
  <c r="X11" i="30"/>
  <c r="Y11" i="30" s="1"/>
  <c r="G322" i="14"/>
  <c r="F210" i="26"/>
  <c r="F209" i="26"/>
  <c r="G289" i="14"/>
  <c r="G256" i="14"/>
  <c r="F208" i="26"/>
  <c r="G223" i="14"/>
  <c r="F207" i="26"/>
  <c r="G190" i="14"/>
  <c r="F206" i="26"/>
  <c r="H225" i="4"/>
  <c r="H161" i="4"/>
  <c r="F323" i="14"/>
  <c r="H323" i="14" s="1"/>
  <c r="H210" i="4"/>
  <c r="E215" i="26"/>
  <c r="G225" i="4"/>
  <c r="F290" i="14"/>
  <c r="H290" i="14" s="1"/>
  <c r="G161" i="4"/>
  <c r="G210" i="4"/>
  <c r="H226" i="4"/>
  <c r="E214" i="26"/>
  <c r="F210" i="4"/>
  <c r="E213" i="26"/>
  <c r="F225" i="4"/>
  <c r="F161" i="4"/>
  <c r="G226" i="4"/>
  <c r="F257" i="14"/>
  <c r="H257" i="14" s="1"/>
  <c r="E212" i="26"/>
  <c r="F224" i="14"/>
  <c r="H224" i="14" s="1"/>
  <c r="E210" i="4"/>
  <c r="E225" i="4"/>
  <c r="F226" i="4"/>
  <c r="E161" i="4"/>
  <c r="E226" i="4"/>
  <c r="D226" i="4"/>
  <c r="E211" i="26"/>
  <c r="F191" i="14"/>
  <c r="H191" i="14" s="1"/>
  <c r="D210" i="4"/>
  <c r="D161" i="4"/>
  <c r="G320" i="14"/>
  <c r="E205" i="26"/>
  <c r="R15" i="30"/>
  <c r="E200" i="26"/>
  <c r="F320" i="14"/>
  <c r="H157" i="4"/>
  <c r="H239" i="4"/>
  <c r="F205" i="26"/>
  <c r="E199" i="26"/>
  <c r="G239" i="4"/>
  <c r="G157" i="4"/>
  <c r="E204" i="26"/>
  <c r="H240" i="4"/>
  <c r="F204" i="26"/>
  <c r="G287" i="14"/>
  <c r="F287" i="14"/>
  <c r="R14" i="30"/>
  <c r="R13" i="30"/>
  <c r="E203" i="26"/>
  <c r="F203" i="26"/>
  <c r="G240" i="4"/>
  <c r="F157" i="4"/>
  <c r="G254" i="14"/>
  <c r="E198" i="26"/>
  <c r="F239" i="4"/>
  <c r="F254" i="14"/>
  <c r="E197" i="26"/>
  <c r="F202" i="26"/>
  <c r="E202" i="26"/>
  <c r="G221" i="14"/>
  <c r="F221" i="14"/>
  <c r="E239" i="4"/>
  <c r="R12" i="30"/>
  <c r="F240" i="4"/>
  <c r="E157" i="4"/>
  <c r="F188" i="14"/>
  <c r="E240" i="4"/>
  <c r="G188" i="14"/>
  <c r="H188" i="14" s="1"/>
  <c r="E196" i="26"/>
  <c r="F201" i="26"/>
  <c r="D157" i="4"/>
  <c r="D239" i="4"/>
  <c r="R11" i="30"/>
  <c r="E201" i="26"/>
  <c r="F64" i="29"/>
  <c r="G64" i="29" s="1"/>
  <c r="I64" i="29" s="1"/>
  <c r="H241" i="4"/>
  <c r="E234" i="29"/>
  <c r="G234" i="29" s="1"/>
  <c r="I234" i="29" s="1"/>
  <c r="H150" i="4"/>
  <c r="F314" i="14"/>
  <c r="H314" i="14" s="1"/>
  <c r="F65" i="29"/>
  <c r="G65" i="29" s="1"/>
  <c r="I65" i="29" s="1"/>
  <c r="H147" i="4"/>
  <c r="H151" i="4"/>
  <c r="G308" i="14"/>
  <c r="H308" i="14" s="1"/>
  <c r="E232" i="29"/>
  <c r="G232" i="29" s="1"/>
  <c r="I232" i="29" s="1"/>
  <c r="F165" i="26"/>
  <c r="H242" i="4"/>
  <c r="E235" i="29"/>
  <c r="G235" i="29" s="1"/>
  <c r="I235" i="29" s="1"/>
  <c r="F311" i="14"/>
  <c r="H311" i="14" s="1"/>
  <c r="G241" i="4"/>
  <c r="F315" i="14"/>
  <c r="H315" i="14" s="1"/>
  <c r="E175" i="26"/>
  <c r="F62" i="29"/>
  <c r="G62" i="29" s="1"/>
  <c r="I62" i="29" s="1"/>
  <c r="H144" i="4"/>
  <c r="E84" i="2" s="1"/>
  <c r="M84" i="2" s="1"/>
  <c r="F60" i="29"/>
  <c r="G60" i="29" s="1"/>
  <c r="I60" i="29" s="1"/>
  <c r="F63" i="29"/>
  <c r="G63" i="29" s="1"/>
  <c r="I63" i="29" s="1"/>
  <c r="E174" i="26"/>
  <c r="F282" i="14"/>
  <c r="H282" i="14" s="1"/>
  <c r="F281" i="14"/>
  <c r="H281" i="14" s="1"/>
  <c r="G275" i="14"/>
  <c r="H275" i="14" s="1"/>
  <c r="F278" i="14"/>
  <c r="H278" i="14" s="1"/>
  <c r="F164" i="26"/>
  <c r="G151" i="4"/>
  <c r="G242" i="4"/>
  <c r="G150" i="4"/>
  <c r="F241" i="4"/>
  <c r="E230" i="29"/>
  <c r="G230" i="29" s="1"/>
  <c r="I230" i="29" s="1"/>
  <c r="E233" i="29"/>
  <c r="G233" i="29" s="1"/>
  <c r="I233" i="29" s="1"/>
  <c r="G147" i="4"/>
  <c r="G144" i="4"/>
  <c r="E83" i="2" s="1"/>
  <c r="M83" i="2" s="1"/>
  <c r="F248" i="14"/>
  <c r="H248" i="14" s="1"/>
  <c r="F245" i="14"/>
  <c r="H245" i="14" s="1"/>
  <c r="G242" i="14"/>
  <c r="H242" i="14" s="1"/>
  <c r="F163" i="26"/>
  <c r="F58" i="29"/>
  <c r="G58" i="29" s="1"/>
  <c r="I58" i="29" s="1"/>
  <c r="F150" i="4"/>
  <c r="F61" i="29"/>
  <c r="G61" i="29" s="1"/>
  <c r="I61" i="29" s="1"/>
  <c r="E228" i="29"/>
  <c r="G228" i="29" s="1"/>
  <c r="I228" i="29" s="1"/>
  <c r="F151" i="4"/>
  <c r="E231" i="29"/>
  <c r="G231" i="29" s="1"/>
  <c r="I231" i="29" s="1"/>
  <c r="F249" i="14"/>
  <c r="H249" i="14" s="1"/>
  <c r="E241" i="4"/>
  <c r="F147" i="4"/>
  <c r="F242" i="4"/>
  <c r="E173" i="26"/>
  <c r="F144" i="4"/>
  <c r="E82" i="2" s="1"/>
  <c r="M82" i="2" s="1"/>
  <c r="F216" i="14"/>
  <c r="H216" i="14" s="1"/>
  <c r="E242" i="4"/>
  <c r="E172" i="26"/>
  <c r="G209" i="14"/>
  <c r="H209" i="14" s="1"/>
  <c r="E229" i="29"/>
  <c r="G229" i="29" s="1"/>
  <c r="I229" i="29" s="1"/>
  <c r="F162" i="26"/>
  <c r="F212" i="14"/>
  <c r="H212" i="14" s="1"/>
  <c r="E226" i="29"/>
  <c r="G226" i="29" s="1"/>
  <c r="I226" i="29" s="1"/>
  <c r="D241" i="4"/>
  <c r="F215" i="14"/>
  <c r="H215" i="14" s="1"/>
  <c r="F56" i="29"/>
  <c r="G56" i="29" s="1"/>
  <c r="I56" i="29" s="1"/>
  <c r="E147" i="4"/>
  <c r="E150" i="4"/>
  <c r="F59" i="29"/>
  <c r="G59" i="29" s="1"/>
  <c r="I59" i="29" s="1"/>
  <c r="E151" i="4"/>
  <c r="E144" i="4"/>
  <c r="E81" i="2" s="1"/>
  <c r="M81" i="2" s="1"/>
  <c r="D150" i="4"/>
  <c r="F57" i="29"/>
  <c r="G57" i="29" s="1"/>
  <c r="I57" i="29" s="1"/>
  <c r="F179" i="14"/>
  <c r="H179" i="14" s="1"/>
  <c r="F161" i="26"/>
  <c r="F182" i="14"/>
  <c r="H182" i="14" s="1"/>
  <c r="F183" i="14"/>
  <c r="H183" i="14" s="1"/>
  <c r="G176" i="14"/>
  <c r="H176" i="14" s="1"/>
  <c r="D147" i="4"/>
  <c r="E171" i="26"/>
  <c r="E227" i="29"/>
  <c r="G227" i="29" s="1"/>
  <c r="I227" i="29" s="1"/>
  <c r="D242" i="4"/>
  <c r="D151" i="4"/>
  <c r="D144" i="4"/>
  <c r="E80" i="2" s="1"/>
  <c r="M80" i="2" s="1"/>
  <c r="F150" i="26"/>
  <c r="G303" i="14"/>
  <c r="G304" i="14"/>
  <c r="D92" i="24"/>
  <c r="F92" i="24" s="1"/>
  <c r="H139" i="4"/>
  <c r="F155" i="26"/>
  <c r="G305" i="14"/>
  <c r="H305" i="14" s="1"/>
  <c r="F145" i="26"/>
  <c r="H140" i="4"/>
  <c r="G270" i="14"/>
  <c r="G271" i="14"/>
  <c r="G272" i="14"/>
  <c r="H272" i="14" s="1"/>
  <c r="D84" i="24"/>
  <c r="F84" i="24" s="1"/>
  <c r="F149" i="26"/>
  <c r="F154" i="26"/>
  <c r="F144" i="26"/>
  <c r="G140" i="4"/>
  <c r="G237" i="14"/>
  <c r="D76" i="24"/>
  <c r="F76" i="24" s="1"/>
  <c r="F143" i="26"/>
  <c r="G239" i="14"/>
  <c r="H239" i="14" s="1"/>
  <c r="G238" i="14"/>
  <c r="F153" i="26"/>
  <c r="F148" i="26"/>
  <c r="F140" i="4"/>
  <c r="D68" i="24"/>
  <c r="F68" i="24" s="1"/>
  <c r="F147" i="26"/>
  <c r="F142" i="26"/>
  <c r="F152" i="26"/>
  <c r="G204" i="14"/>
  <c r="G206" i="14"/>
  <c r="H206" i="14" s="1"/>
  <c r="G205" i="14"/>
  <c r="E140" i="4"/>
  <c r="D140" i="4"/>
  <c r="D60" i="24"/>
  <c r="F60" i="24" s="1"/>
  <c r="F141" i="26"/>
  <c r="F146" i="26"/>
  <c r="F151" i="26"/>
  <c r="G171" i="14"/>
  <c r="G172" i="14"/>
  <c r="G173" i="14"/>
  <c r="H173" i="14" s="1"/>
  <c r="C73" i="4"/>
  <c r="D55" i="24"/>
  <c r="F55" i="24" s="1"/>
  <c r="F244" i="29"/>
  <c r="H237" i="4"/>
  <c r="H432" i="21"/>
  <c r="H170" i="4"/>
  <c r="F330" i="14"/>
  <c r="F200" i="26"/>
  <c r="E255" i="26"/>
  <c r="F235" i="26"/>
  <c r="G331" i="14"/>
  <c r="H331" i="14" s="1"/>
  <c r="D90" i="24"/>
  <c r="F90" i="24" s="1"/>
  <c r="F265" i="26"/>
  <c r="G319" i="14"/>
  <c r="H434" i="21"/>
  <c r="M42" i="20" s="1"/>
  <c r="G237" i="4"/>
  <c r="F245" i="29"/>
  <c r="H426" i="21"/>
  <c r="H238" i="4"/>
  <c r="H435" i="21"/>
  <c r="H428" i="21"/>
  <c r="M41" i="20" s="1"/>
  <c r="D82" i="24"/>
  <c r="F82" i="24" s="1"/>
  <c r="H431" i="21"/>
  <c r="H433" i="21"/>
  <c r="F242" i="29"/>
  <c r="F234" i="26"/>
  <c r="E254" i="26"/>
  <c r="G286" i="14"/>
  <c r="F297" i="14"/>
  <c r="F264" i="26"/>
  <c r="H42" i="20"/>
  <c r="F199" i="26"/>
  <c r="G327" i="14"/>
  <c r="G298" i="14"/>
  <c r="H298" i="14" s="1"/>
  <c r="G170" i="4"/>
  <c r="G238" i="4"/>
  <c r="D74" i="24"/>
  <c r="F74" i="24" s="1"/>
  <c r="G253" i="14"/>
  <c r="F240" i="29"/>
  <c r="H41" i="20"/>
  <c r="H420" i="21"/>
  <c r="F237" i="4"/>
  <c r="F263" i="26"/>
  <c r="F170" i="4"/>
  <c r="H422" i="21"/>
  <c r="M40" i="20" s="1"/>
  <c r="H425" i="21"/>
  <c r="F198" i="26"/>
  <c r="H427" i="21"/>
  <c r="G265" i="14"/>
  <c r="H265" i="14" s="1"/>
  <c r="H429" i="21"/>
  <c r="E253" i="26"/>
  <c r="F264" i="14"/>
  <c r="F233" i="26"/>
  <c r="F243" i="29"/>
  <c r="G294" i="14"/>
  <c r="G261" i="14"/>
  <c r="G232" i="14"/>
  <c r="H232" i="14" s="1"/>
  <c r="F231" i="14"/>
  <c r="G220" i="14"/>
  <c r="E237" i="4"/>
  <c r="E170" i="4"/>
  <c r="F241" i="29"/>
  <c r="F238" i="29"/>
  <c r="F262" i="26"/>
  <c r="E252" i="26"/>
  <c r="F232" i="26"/>
  <c r="F197" i="26"/>
  <c r="D66" i="24"/>
  <c r="F66" i="24" s="1"/>
  <c r="H423" i="21"/>
  <c r="H421" i="21"/>
  <c r="H419" i="21"/>
  <c r="H416" i="21"/>
  <c r="M39" i="20" s="1"/>
  <c r="H414" i="21"/>
  <c r="H40" i="20"/>
  <c r="F238" i="4"/>
  <c r="D170" i="4"/>
  <c r="H408" i="21"/>
  <c r="F239" i="29"/>
  <c r="D58" i="24"/>
  <c r="F58" i="24" s="1"/>
  <c r="H39" i="20"/>
  <c r="G187" i="14"/>
  <c r="F236" i="29"/>
  <c r="H413" i="21"/>
  <c r="H415" i="21"/>
  <c r="H417" i="21"/>
  <c r="E238" i="4"/>
  <c r="H410" i="21"/>
  <c r="M38" i="20" s="1"/>
  <c r="F261" i="26"/>
  <c r="E251" i="26"/>
  <c r="F198" i="14"/>
  <c r="G199" i="14"/>
  <c r="H199" i="14" s="1"/>
  <c r="F196" i="26"/>
  <c r="D237" i="4"/>
  <c r="G228" i="14"/>
  <c r="F231" i="26"/>
  <c r="H409" i="21"/>
  <c r="F237" i="29"/>
  <c r="H38" i="20"/>
  <c r="H411" i="21"/>
  <c r="D238" i="4"/>
  <c r="G195" i="14"/>
  <c r="D53" i="24"/>
  <c r="F53" i="24" s="1"/>
  <c r="H407" i="21"/>
  <c r="H72" i="4"/>
  <c r="D91" i="24"/>
  <c r="F91" i="24" s="1"/>
  <c r="F306" i="14"/>
  <c r="H306" i="14" s="1"/>
  <c r="E145" i="26"/>
  <c r="E160" i="26"/>
  <c r="F303" i="14"/>
  <c r="H141" i="4"/>
  <c r="E150" i="26"/>
  <c r="F304" i="14"/>
  <c r="G72" i="4"/>
  <c r="F271" i="14"/>
  <c r="G141" i="4"/>
  <c r="F270" i="14"/>
  <c r="E159" i="26"/>
  <c r="E144" i="26"/>
  <c r="E149" i="26"/>
  <c r="D83" i="24"/>
  <c r="F83" i="24" s="1"/>
  <c r="F273" i="14"/>
  <c r="H273" i="14" s="1"/>
  <c r="F72" i="4"/>
  <c r="E158" i="26"/>
  <c r="F237" i="14"/>
  <c r="F141" i="4"/>
  <c r="F238" i="14"/>
  <c r="E143" i="26"/>
  <c r="F240" i="14"/>
  <c r="H240" i="14" s="1"/>
  <c r="E148" i="26"/>
  <c r="D75" i="24"/>
  <c r="F75" i="24" s="1"/>
  <c r="E72" i="4"/>
  <c r="F207" i="14"/>
  <c r="H207" i="14" s="1"/>
  <c r="E141" i="4"/>
  <c r="E157" i="26"/>
  <c r="F205" i="14"/>
  <c r="D67" i="24"/>
  <c r="F67" i="24" s="1"/>
  <c r="F204" i="14"/>
  <c r="E147" i="26"/>
  <c r="E142" i="26"/>
  <c r="D72" i="4"/>
  <c r="F171" i="14"/>
  <c r="E141" i="26"/>
  <c r="D59" i="24"/>
  <c r="F59" i="24" s="1"/>
  <c r="D141" i="4"/>
  <c r="E156" i="26"/>
  <c r="F172" i="14"/>
  <c r="F174" i="14"/>
  <c r="H174" i="14" s="1"/>
  <c r="E146" i="26"/>
  <c r="C72" i="4"/>
  <c r="D54" i="24"/>
  <c r="F54" i="24" s="1"/>
  <c r="H153" i="4"/>
  <c r="G317" i="14"/>
  <c r="H317" i="14" s="1"/>
  <c r="G284" i="14"/>
  <c r="H284" i="14" s="1"/>
  <c r="G153" i="4"/>
  <c r="F153" i="4"/>
  <c r="G251" i="14"/>
  <c r="H251" i="14" s="1"/>
  <c r="E153" i="4"/>
  <c r="G218" i="14"/>
  <c r="H218" i="14" s="1"/>
  <c r="D153" i="4"/>
  <c r="G185" i="14"/>
  <c r="H185" i="14" s="1"/>
  <c r="E201" i="8"/>
  <c r="Q10" i="11"/>
  <c r="M169" i="14"/>
  <c r="N169" i="14" s="1"/>
  <c r="Q9" i="11"/>
  <c r="E200" i="8"/>
  <c r="M136" i="14"/>
  <c r="N136" i="14" s="1"/>
  <c r="E199" i="8"/>
  <c r="Q8" i="11"/>
  <c r="M103" i="14"/>
  <c r="N103" i="14" s="1"/>
  <c r="Q7" i="11"/>
  <c r="M70" i="14"/>
  <c r="N70" i="14" s="1"/>
  <c r="E198" i="8"/>
  <c r="M37" i="14"/>
  <c r="N37" i="14" s="1"/>
  <c r="Q6" i="11"/>
  <c r="E197" i="8"/>
  <c r="E72" i="8"/>
  <c r="M148" i="14"/>
  <c r="N148" i="14" s="1"/>
  <c r="E71" i="8"/>
  <c r="M115" i="14"/>
  <c r="N115" i="14" s="1"/>
  <c r="E70" i="8"/>
  <c r="M82" i="14"/>
  <c r="N82" i="14" s="1"/>
  <c r="E69" i="8"/>
  <c r="M49" i="14"/>
  <c r="N49" i="14" s="1"/>
  <c r="E68" i="8"/>
  <c r="M16" i="14"/>
  <c r="N16" i="14" s="1"/>
  <c r="M147" i="14"/>
  <c r="N147" i="14" s="1"/>
  <c r="E66" i="8"/>
  <c r="E65" i="8"/>
  <c r="M114" i="14"/>
  <c r="N114" i="14" s="1"/>
  <c r="E64" i="8"/>
  <c r="M81" i="14"/>
  <c r="N81" i="14" s="1"/>
  <c r="E63" i="8"/>
  <c r="M48" i="14"/>
  <c r="N48" i="14" s="1"/>
  <c r="E62" i="8"/>
  <c r="M15" i="14"/>
  <c r="N15" i="14" s="1"/>
  <c r="E54" i="8"/>
  <c r="M145" i="14"/>
  <c r="N145" i="14" s="1"/>
  <c r="M112" i="14"/>
  <c r="N112" i="14" s="1"/>
  <c r="E53" i="8"/>
  <c r="M79" i="14"/>
  <c r="N79" i="14" s="1"/>
  <c r="E52" i="8"/>
  <c r="M46" i="14"/>
  <c r="N46" i="14" s="1"/>
  <c r="E51" i="8"/>
  <c r="E50" i="8"/>
  <c r="M13" i="14"/>
  <c r="N13" i="14" s="1"/>
  <c r="E48" i="8"/>
  <c r="M144" i="14"/>
  <c r="N144" i="14" s="1"/>
  <c r="E47" i="8"/>
  <c r="M111" i="14"/>
  <c r="N111" i="14" s="1"/>
  <c r="E46" i="8"/>
  <c r="M78" i="14"/>
  <c r="N78" i="14" s="1"/>
  <c r="M45" i="14"/>
  <c r="N45" i="14" s="1"/>
  <c r="E45" i="8"/>
  <c r="E44" i="8"/>
  <c r="M12" i="14"/>
  <c r="N12" i="14" s="1"/>
  <c r="G132" i="14"/>
  <c r="H404" i="21"/>
  <c r="G155" i="14"/>
  <c r="F155" i="14"/>
  <c r="G122" i="14"/>
  <c r="F122" i="14"/>
  <c r="G89" i="14"/>
  <c r="F89" i="14"/>
  <c r="G56" i="14"/>
  <c r="F56" i="14"/>
  <c r="F23" i="14"/>
  <c r="G23" i="14"/>
  <c r="H23" i="14" s="1"/>
  <c r="D12" i="16"/>
  <c r="E12" i="16" s="1"/>
  <c r="H241" i="3"/>
  <c r="F14" i="29"/>
  <c r="G14" i="29" s="1"/>
  <c r="I14" i="29" s="1"/>
  <c r="E204" i="29"/>
  <c r="G204" i="29" s="1"/>
  <c r="I204" i="29" s="1"/>
  <c r="F146" i="14"/>
  <c r="H146" i="14" s="1"/>
  <c r="G143" i="14"/>
  <c r="H143" i="14" s="1"/>
  <c r="F150" i="14"/>
  <c r="H150" i="14" s="1"/>
  <c r="F12" i="29"/>
  <c r="G12" i="29" s="1"/>
  <c r="I12" i="29" s="1"/>
  <c r="F15" i="29"/>
  <c r="G15" i="29" s="1"/>
  <c r="I15" i="29" s="1"/>
  <c r="E202" i="29"/>
  <c r="G202" i="29" s="1"/>
  <c r="I202" i="29" s="1"/>
  <c r="E205" i="29"/>
  <c r="G205" i="29" s="1"/>
  <c r="I205" i="29" s="1"/>
  <c r="F149" i="14"/>
  <c r="H149" i="14" s="1"/>
  <c r="F117" i="14"/>
  <c r="H117" i="14" s="1"/>
  <c r="E200" i="29"/>
  <c r="G200" i="29" s="1"/>
  <c r="I200" i="29" s="1"/>
  <c r="F10" i="29"/>
  <c r="G10" i="29" s="1"/>
  <c r="I10" i="29" s="1"/>
  <c r="G110" i="14"/>
  <c r="H110" i="14" s="1"/>
  <c r="F113" i="14"/>
  <c r="H113" i="14" s="1"/>
  <c r="E203" i="29"/>
  <c r="G203" i="29" s="1"/>
  <c r="I203" i="29" s="1"/>
  <c r="F116" i="14"/>
  <c r="H116" i="14" s="1"/>
  <c r="F13" i="29"/>
  <c r="G13" i="29" s="1"/>
  <c r="I13" i="29" s="1"/>
  <c r="F84" i="14"/>
  <c r="H84" i="14" s="1"/>
  <c r="E201" i="29"/>
  <c r="G201" i="29" s="1"/>
  <c r="I201" i="29" s="1"/>
  <c r="F11" i="29"/>
  <c r="G11" i="29" s="1"/>
  <c r="I11" i="29" s="1"/>
  <c r="E198" i="29"/>
  <c r="G198" i="29" s="1"/>
  <c r="I198" i="29" s="1"/>
  <c r="F8" i="29"/>
  <c r="G8" i="29" s="1"/>
  <c r="I8" i="29" s="1"/>
  <c r="G77" i="14"/>
  <c r="H77" i="14" s="1"/>
  <c r="F80" i="14"/>
  <c r="H80" i="14" s="1"/>
  <c r="F83" i="14"/>
  <c r="H83" i="14" s="1"/>
  <c r="E199" i="29"/>
  <c r="G199" i="29" s="1"/>
  <c r="I199" i="29" s="1"/>
  <c r="F9" i="29"/>
  <c r="G9" i="29" s="1"/>
  <c r="I9" i="29" s="1"/>
  <c r="F47" i="14"/>
  <c r="H47" i="14" s="1"/>
  <c r="F50" i="14"/>
  <c r="H50" i="14" s="1"/>
  <c r="D6" i="16"/>
  <c r="E196" i="29"/>
  <c r="G196" i="29" s="1"/>
  <c r="I196" i="29" s="1"/>
  <c r="F6" i="29"/>
  <c r="G6" i="29" s="1"/>
  <c r="I6" i="29" s="1"/>
  <c r="G44" i="14"/>
  <c r="H44" i="14" s="1"/>
  <c r="F51" i="14"/>
  <c r="H51" i="14" s="1"/>
  <c r="C6" i="16"/>
  <c r="E6" i="16" s="1"/>
  <c r="F7" i="29"/>
  <c r="G7" i="29" s="1"/>
  <c r="I7" i="29" s="1"/>
  <c r="F17" i="14"/>
  <c r="H17" i="14" s="1"/>
  <c r="F14" i="14"/>
  <c r="H14" i="14" s="1"/>
  <c r="E197" i="29"/>
  <c r="G197" i="29" s="1"/>
  <c r="I197" i="29" s="1"/>
  <c r="F18" i="14"/>
  <c r="H18" i="14" s="1"/>
  <c r="G11" i="14"/>
  <c r="H11" i="14" s="1"/>
  <c r="G139" i="14"/>
  <c r="D47" i="24"/>
  <c r="F47" i="24" s="1"/>
  <c r="G138" i="14"/>
  <c r="G140" i="14"/>
  <c r="H140" i="14" s="1"/>
  <c r="G107" i="14"/>
  <c r="H107" i="14" s="1"/>
  <c r="D39" i="24"/>
  <c r="F39" i="24" s="1"/>
  <c r="G105" i="14"/>
  <c r="G106" i="14"/>
  <c r="G73" i="14"/>
  <c r="G72" i="14"/>
  <c r="D31" i="24"/>
  <c r="F31" i="24" s="1"/>
  <c r="G74" i="14"/>
  <c r="H74" i="14" s="1"/>
  <c r="G40" i="14"/>
  <c r="G41" i="14"/>
  <c r="H41" i="14" s="1"/>
  <c r="G39" i="14"/>
  <c r="D23" i="24"/>
  <c r="F23" i="24" s="1"/>
  <c r="C73" i="3"/>
  <c r="D10" i="24"/>
  <c r="F10" i="24" s="1"/>
  <c r="H7" i="9"/>
  <c r="G154" i="14"/>
  <c r="F165" i="14"/>
  <c r="H165" i="14" s="1"/>
  <c r="G166" i="14"/>
  <c r="H166" i="14" s="1"/>
  <c r="D45" i="24"/>
  <c r="F45" i="24" s="1"/>
  <c r="F54" i="29"/>
  <c r="H18" i="20"/>
  <c r="H17" i="20"/>
  <c r="F52" i="29"/>
  <c r="D37" i="24"/>
  <c r="F37" i="24" s="1"/>
  <c r="F55" i="29"/>
  <c r="G7" i="9"/>
  <c r="G121" i="14"/>
  <c r="F132" i="14"/>
  <c r="G133" i="14"/>
  <c r="H133" i="14" s="1"/>
  <c r="G162" i="14"/>
  <c r="D29" i="24"/>
  <c r="F29" i="24" s="1"/>
  <c r="G129" i="14"/>
  <c r="F50" i="29"/>
  <c r="G100" i="14"/>
  <c r="H100" i="14" s="1"/>
  <c r="F53" i="29"/>
  <c r="H16" i="20"/>
  <c r="G88" i="14"/>
  <c r="F99" i="14"/>
  <c r="H99" i="14" s="1"/>
  <c r="F7" i="9"/>
  <c r="H15" i="20"/>
  <c r="G55" i="14"/>
  <c r="F48" i="29"/>
  <c r="G67" i="14"/>
  <c r="H67" i="14" s="1"/>
  <c r="F51" i="29"/>
  <c r="E7" i="9"/>
  <c r="D21" i="24"/>
  <c r="F21" i="24" s="1"/>
  <c r="F66" i="14"/>
  <c r="H66" i="14" s="1"/>
  <c r="G96" i="14"/>
  <c r="F33" i="14"/>
  <c r="H33" i="14" s="1"/>
  <c r="D11" i="16"/>
  <c r="F46" i="29"/>
  <c r="F49" i="29"/>
  <c r="H14" i="20"/>
  <c r="G22" i="14"/>
  <c r="D7" i="9"/>
  <c r="G63" i="14"/>
  <c r="D13" i="24"/>
  <c r="F13" i="24" s="1"/>
  <c r="G34" i="14"/>
  <c r="H34" i="14" s="1"/>
  <c r="C11" i="16"/>
  <c r="D8" i="24"/>
  <c r="F8" i="24" s="1"/>
  <c r="C7" i="9"/>
  <c r="G30" i="14"/>
  <c r="F47" i="29"/>
  <c r="F141" i="14"/>
  <c r="H141" i="14" s="1"/>
  <c r="F139" i="14"/>
  <c r="F138" i="14"/>
  <c r="D46" i="24"/>
  <c r="F46" i="24" s="1"/>
  <c r="D38" i="24"/>
  <c r="F38" i="24" s="1"/>
  <c r="F105" i="14"/>
  <c r="F108" i="14"/>
  <c r="H108" i="14" s="1"/>
  <c r="F106" i="14"/>
  <c r="D30" i="24"/>
  <c r="F30" i="24" s="1"/>
  <c r="F75" i="14"/>
  <c r="H75" i="14" s="1"/>
  <c r="F73" i="14"/>
  <c r="F72" i="14"/>
  <c r="F42" i="14"/>
  <c r="H42" i="14" s="1"/>
  <c r="F39" i="14"/>
  <c r="D22" i="24"/>
  <c r="F22" i="24" s="1"/>
  <c r="F40" i="14"/>
  <c r="C72" i="3"/>
  <c r="D9" i="24"/>
  <c r="F9" i="24" s="1"/>
  <c r="H153" i="3"/>
  <c r="G152" i="14"/>
  <c r="H152" i="14" s="1"/>
  <c r="G153" i="3"/>
  <c r="G119" i="14"/>
  <c r="H119" i="14" s="1"/>
  <c r="F153" i="3"/>
  <c r="G86" i="14"/>
  <c r="H86" i="14" s="1"/>
  <c r="E153" i="3"/>
  <c r="D9" i="16"/>
  <c r="G53" i="14"/>
  <c r="H53" i="14" s="1"/>
  <c r="D153" i="3"/>
  <c r="G20" i="14"/>
  <c r="H20" i="14" s="1"/>
  <c r="C9" i="16"/>
  <c r="E9" i="16" s="1"/>
  <c r="K30" i="30"/>
  <c r="E560" i="26"/>
  <c r="K29" i="30"/>
  <c r="E559" i="26"/>
  <c r="K28" i="30"/>
  <c r="E558" i="26"/>
  <c r="K27" i="30"/>
  <c r="E557" i="26"/>
  <c r="K26" i="30"/>
  <c r="E556" i="26"/>
  <c r="K25" i="30"/>
  <c r="E425" i="26"/>
  <c r="K24" i="30"/>
  <c r="E424" i="26"/>
  <c r="K23" i="30"/>
  <c r="E423" i="26"/>
  <c r="K22" i="30"/>
  <c r="E422" i="26"/>
  <c r="K21" i="30"/>
  <c r="E421" i="26"/>
  <c r="K20" i="30"/>
  <c r="E290" i="26"/>
  <c r="K19" i="30"/>
  <c r="E289" i="26"/>
  <c r="K18" i="30"/>
  <c r="E288" i="26"/>
  <c r="K17" i="30"/>
  <c r="E287" i="26"/>
  <c r="K16" i="30"/>
  <c r="E286" i="26"/>
  <c r="K15" i="30"/>
  <c r="E155" i="26"/>
  <c r="K14" i="30"/>
  <c r="E154" i="26"/>
  <c r="K13" i="30"/>
  <c r="E153" i="26"/>
  <c r="K12" i="30"/>
  <c r="E152" i="26"/>
  <c r="K11" i="30"/>
  <c r="E151" i="26"/>
  <c r="K10" i="30"/>
  <c r="E20" i="26"/>
  <c r="K9" i="30"/>
  <c r="E19" i="26"/>
  <c r="K8" i="30"/>
  <c r="E18" i="26"/>
  <c r="K7" i="30"/>
  <c r="E17" i="26"/>
  <c r="K6" i="30"/>
  <c r="E16" i="26"/>
  <c r="D31" i="32"/>
  <c r="D30" i="32"/>
  <c r="D29" i="32"/>
  <c r="D28" i="32"/>
  <c r="D27" i="32"/>
  <c r="D26" i="32"/>
  <c r="D25" i="32"/>
  <c r="D24" i="32"/>
  <c r="D23" i="32"/>
  <c r="D22" i="32"/>
  <c r="D21" i="32"/>
  <c r="D20" i="32"/>
  <c r="D19" i="32"/>
  <c r="D18" i="32"/>
  <c r="D17" i="32"/>
  <c r="D16" i="32"/>
  <c r="D15" i="32"/>
  <c r="D14" i="32"/>
  <c r="H675" i="26"/>
  <c r="E225" i="28" s="1"/>
  <c r="G675" i="26"/>
  <c r="J675" i="26" s="1"/>
  <c r="G674" i="26"/>
  <c r="J674" i="26" s="1"/>
  <c r="H674" i="26"/>
  <c r="E224" i="28" s="1"/>
  <c r="G673" i="26"/>
  <c r="J673" i="26" s="1"/>
  <c r="H673" i="26"/>
  <c r="E223" i="28" s="1"/>
  <c r="H672" i="26"/>
  <c r="E222" i="28" s="1"/>
  <c r="G672" i="26"/>
  <c r="J672" i="26" s="1"/>
  <c r="H671" i="26"/>
  <c r="E221" i="28" s="1"/>
  <c r="G671" i="26"/>
  <c r="J671" i="26" s="1"/>
  <c r="F19" i="32"/>
  <c r="F18" i="32"/>
  <c r="F17" i="32"/>
  <c r="F16" i="32"/>
  <c r="F15" i="32"/>
  <c r="F27" i="32"/>
  <c r="F26" i="32"/>
  <c r="F25" i="32"/>
  <c r="F24" i="32"/>
  <c r="F31" i="32"/>
  <c r="G590" i="26"/>
  <c r="H590" i="26"/>
  <c r="F30" i="32"/>
  <c r="H589" i="26"/>
  <c r="G589" i="26"/>
  <c r="F29" i="32"/>
  <c r="H588" i="26"/>
  <c r="G588" i="26"/>
  <c r="F28" i="32"/>
  <c r="G587" i="26"/>
  <c r="H587" i="26"/>
  <c r="G586" i="26"/>
  <c r="J586" i="26" s="1"/>
  <c r="H586" i="26"/>
  <c r="E426" i="28" s="1"/>
  <c r="H585" i="26"/>
  <c r="G585" i="26"/>
  <c r="F23" i="32"/>
  <c r="G584" i="26"/>
  <c r="H584" i="26"/>
  <c r="F22" i="32"/>
  <c r="H583" i="26"/>
  <c r="G583" i="26"/>
  <c r="F21" i="32"/>
  <c r="H582" i="26"/>
  <c r="E417" i="28" s="1"/>
  <c r="G582" i="26"/>
  <c r="J582" i="26" s="1"/>
  <c r="G581" i="26"/>
  <c r="J581" i="26" s="1"/>
  <c r="H581" i="26"/>
  <c r="E416" i="28" s="1"/>
  <c r="G575" i="26"/>
  <c r="J575" i="26" s="1"/>
  <c r="H575" i="26"/>
  <c r="G574" i="26"/>
  <c r="J574" i="26" s="1"/>
  <c r="H574" i="26"/>
  <c r="G573" i="26"/>
  <c r="J573" i="26" s="1"/>
  <c r="H573" i="26"/>
  <c r="G572" i="26"/>
  <c r="J572" i="26" s="1"/>
  <c r="H572" i="26"/>
  <c r="H571" i="26"/>
  <c r="G571" i="26"/>
  <c r="J571" i="26" s="1"/>
  <c r="G540" i="26"/>
  <c r="J540" i="26" s="1"/>
  <c r="H540" i="26"/>
  <c r="E395" i="28" s="1"/>
  <c r="H539" i="26"/>
  <c r="E394" i="28" s="1"/>
  <c r="G539" i="26"/>
  <c r="J539" i="26" s="1"/>
  <c r="G538" i="26"/>
  <c r="J538" i="26" s="1"/>
  <c r="H538" i="26"/>
  <c r="E393" i="28" s="1"/>
  <c r="G537" i="26"/>
  <c r="J537" i="26" s="1"/>
  <c r="H537" i="26"/>
  <c r="E392" i="28" s="1"/>
  <c r="G536" i="26"/>
  <c r="J536" i="26" s="1"/>
  <c r="H536" i="26"/>
  <c r="E391" i="28" s="1"/>
  <c r="H455" i="26"/>
  <c r="E190" i="28" s="1"/>
  <c r="G455" i="26"/>
  <c r="J455" i="26" s="1"/>
  <c r="G454" i="26"/>
  <c r="J454" i="26" s="1"/>
  <c r="H454" i="26"/>
  <c r="E189" i="28" s="1"/>
  <c r="H453" i="26"/>
  <c r="E188" i="28" s="1"/>
  <c r="G453" i="26"/>
  <c r="J453" i="26" s="1"/>
  <c r="H452" i="26"/>
  <c r="E187" i="28" s="1"/>
  <c r="G452" i="26"/>
  <c r="J452" i="26" s="1"/>
  <c r="H451" i="26"/>
  <c r="E186" i="28" s="1"/>
  <c r="G451" i="26"/>
  <c r="J451" i="26" s="1"/>
  <c r="H450" i="26"/>
  <c r="E180" i="28" s="1"/>
  <c r="G450" i="26"/>
  <c r="J450" i="26" s="1"/>
  <c r="G449" i="26"/>
  <c r="J449" i="26" s="1"/>
  <c r="H449" i="26"/>
  <c r="E179" i="28" s="1"/>
  <c r="H448" i="26"/>
  <c r="E178" i="28" s="1"/>
  <c r="G448" i="26"/>
  <c r="J448" i="26" s="1"/>
  <c r="H447" i="26"/>
  <c r="E177" i="28" s="1"/>
  <c r="G447" i="26"/>
  <c r="J447" i="26" s="1"/>
  <c r="H446" i="26"/>
  <c r="E176" i="28" s="1"/>
  <c r="G446" i="26"/>
  <c r="J446" i="26" s="1"/>
  <c r="H440" i="26"/>
  <c r="E355" i="28" s="1"/>
  <c r="G440" i="26"/>
  <c r="J440" i="26" s="1"/>
  <c r="G439" i="26"/>
  <c r="J439" i="26" s="1"/>
  <c r="H439" i="26"/>
  <c r="E354" i="28" s="1"/>
  <c r="H438" i="26"/>
  <c r="E353" i="28" s="1"/>
  <c r="G438" i="26"/>
  <c r="J438" i="26" s="1"/>
  <c r="H437" i="26"/>
  <c r="E352" i="28" s="1"/>
  <c r="G437" i="26"/>
  <c r="J437" i="26" s="1"/>
  <c r="H436" i="26"/>
  <c r="E351" i="28" s="1"/>
  <c r="G436" i="26"/>
  <c r="J436" i="26" s="1"/>
  <c r="G405" i="26"/>
  <c r="J405" i="26" s="1"/>
  <c r="H405" i="26"/>
  <c r="E160" i="28" s="1"/>
  <c r="G404" i="26"/>
  <c r="J404" i="26" s="1"/>
  <c r="H404" i="26"/>
  <c r="E159" i="28" s="1"/>
  <c r="G403" i="26"/>
  <c r="J403" i="26" s="1"/>
  <c r="H403" i="26"/>
  <c r="E158" i="28" s="1"/>
  <c r="G402" i="26"/>
  <c r="J402" i="26" s="1"/>
  <c r="H402" i="26"/>
  <c r="E157" i="28" s="1"/>
  <c r="H401" i="26"/>
  <c r="E156" i="28" s="1"/>
  <c r="G401" i="26"/>
  <c r="J401" i="26" s="1"/>
  <c r="G320" i="26"/>
  <c r="J320" i="26" s="1"/>
  <c r="H320" i="26"/>
  <c r="E130" i="28" s="1"/>
  <c r="H319" i="26"/>
  <c r="E129" i="28" s="1"/>
  <c r="G319" i="26"/>
  <c r="J319" i="26" s="1"/>
  <c r="G318" i="26"/>
  <c r="J318" i="26" s="1"/>
  <c r="H318" i="26"/>
  <c r="E128" i="28" s="1"/>
  <c r="G317" i="26"/>
  <c r="J317" i="26" s="1"/>
  <c r="H317" i="26"/>
  <c r="E127" i="28" s="1"/>
  <c r="H316" i="26"/>
  <c r="E126" i="28" s="1"/>
  <c r="G316" i="26"/>
  <c r="J316" i="26" s="1"/>
  <c r="G315" i="26"/>
  <c r="J315" i="26" s="1"/>
  <c r="H315" i="26"/>
  <c r="E120" i="28" s="1"/>
  <c r="G314" i="26"/>
  <c r="J314" i="26" s="1"/>
  <c r="H314" i="26"/>
  <c r="E119" i="28" s="1"/>
  <c r="H313" i="26"/>
  <c r="E118" i="28" s="1"/>
  <c r="G313" i="26"/>
  <c r="J313" i="26" s="1"/>
  <c r="G312" i="26"/>
  <c r="J312" i="26" s="1"/>
  <c r="H312" i="26"/>
  <c r="E117" i="28" s="1"/>
  <c r="G311" i="26"/>
  <c r="J311" i="26" s="1"/>
  <c r="H311" i="26"/>
  <c r="E116" i="28" s="1"/>
  <c r="G305" i="26"/>
  <c r="J305" i="26" s="1"/>
  <c r="H305" i="26"/>
  <c r="H304" i="26"/>
  <c r="G304" i="26"/>
  <c r="J304" i="26" s="1"/>
  <c r="G303" i="26"/>
  <c r="J303" i="26" s="1"/>
  <c r="H303" i="26"/>
  <c r="H302" i="26"/>
  <c r="G302" i="26"/>
  <c r="J302" i="26" s="1"/>
  <c r="H301" i="26"/>
  <c r="G301" i="26"/>
  <c r="J301" i="26" s="1"/>
  <c r="G300" i="26"/>
  <c r="J300" i="26" s="1"/>
  <c r="H300" i="26"/>
  <c r="G299" i="26"/>
  <c r="J299" i="26" s="1"/>
  <c r="H299" i="26"/>
  <c r="G298" i="26"/>
  <c r="J298" i="26" s="1"/>
  <c r="H298" i="26"/>
  <c r="G270" i="26"/>
  <c r="J270" i="26" s="1"/>
  <c r="H270" i="26"/>
  <c r="E315" i="28" s="1"/>
  <c r="H269" i="26"/>
  <c r="E314" i="28" s="1"/>
  <c r="G269" i="26"/>
  <c r="J269" i="26" s="1"/>
  <c r="G268" i="26"/>
  <c r="J268" i="26" s="1"/>
  <c r="H268" i="26"/>
  <c r="E313" i="28" s="1"/>
  <c r="H267" i="26"/>
  <c r="E312" i="28" s="1"/>
  <c r="G267" i="26"/>
  <c r="J267" i="26" s="1"/>
  <c r="H266" i="26"/>
  <c r="E311" i="28" s="1"/>
  <c r="G266" i="26"/>
  <c r="J266" i="26" s="1"/>
  <c r="H265" i="26"/>
  <c r="E310" i="28" s="1"/>
  <c r="G265" i="26"/>
  <c r="J265" i="26" s="1"/>
  <c r="G264" i="26"/>
  <c r="J264" i="26" s="1"/>
  <c r="H264" i="26"/>
  <c r="E309" i="28" s="1"/>
  <c r="H263" i="26"/>
  <c r="E308" i="28" s="1"/>
  <c r="G263" i="26"/>
  <c r="J263" i="26" s="1"/>
  <c r="G262" i="26"/>
  <c r="J262" i="26" s="1"/>
  <c r="H262" i="26"/>
  <c r="E307" i="28" s="1"/>
  <c r="G261" i="26"/>
  <c r="J261" i="26" s="1"/>
  <c r="H261" i="26"/>
  <c r="E306" i="28" s="1"/>
  <c r="G255" i="26"/>
  <c r="J255" i="26" s="1"/>
  <c r="H255" i="26"/>
  <c r="E305" i="28" s="1"/>
  <c r="H254" i="26"/>
  <c r="E304" i="28" s="1"/>
  <c r="G254" i="26"/>
  <c r="J254" i="26" s="1"/>
  <c r="H253" i="26"/>
  <c r="E303" i="28" s="1"/>
  <c r="G253" i="26"/>
  <c r="J253" i="26" s="1"/>
  <c r="G252" i="26"/>
  <c r="J252" i="26" s="1"/>
  <c r="H252" i="26"/>
  <c r="E302" i="28" s="1"/>
  <c r="G251" i="26"/>
  <c r="J251" i="26" s="1"/>
  <c r="H251" i="26"/>
  <c r="E301" i="28" s="1"/>
  <c r="G215" i="26"/>
  <c r="J215" i="26" s="1"/>
  <c r="H215" i="26"/>
  <c r="E290" i="28" s="1"/>
  <c r="G214" i="26"/>
  <c r="J214" i="26" s="1"/>
  <c r="H214" i="26"/>
  <c r="E289" i="28" s="1"/>
  <c r="G213" i="26"/>
  <c r="J213" i="26" s="1"/>
  <c r="H213" i="26"/>
  <c r="E288" i="28" s="1"/>
  <c r="H212" i="26"/>
  <c r="E287" i="28" s="1"/>
  <c r="G212" i="26"/>
  <c r="J212" i="26" s="1"/>
  <c r="H211" i="26"/>
  <c r="E286" i="28" s="1"/>
  <c r="G211" i="26"/>
  <c r="J211" i="26" s="1"/>
  <c r="G205" i="26"/>
  <c r="J205" i="26" s="1"/>
  <c r="H205" i="26"/>
  <c r="G204" i="26"/>
  <c r="J204" i="26" s="1"/>
  <c r="H204" i="26"/>
  <c r="H203" i="26"/>
  <c r="G203" i="26"/>
  <c r="J203" i="26" s="1"/>
  <c r="H202" i="26"/>
  <c r="G202" i="26"/>
  <c r="J202" i="26" s="1"/>
  <c r="H201" i="26"/>
  <c r="G201" i="26"/>
  <c r="J201" i="26" s="1"/>
  <c r="G200" i="26"/>
  <c r="J200" i="26" s="1"/>
  <c r="H200" i="26"/>
  <c r="E285" i="28" s="1"/>
  <c r="H199" i="26"/>
  <c r="E284" i="28" s="1"/>
  <c r="G199" i="26"/>
  <c r="J199" i="26" s="1"/>
  <c r="H198" i="26"/>
  <c r="E283" i="28" s="1"/>
  <c r="G198" i="26"/>
  <c r="J198" i="26" s="1"/>
  <c r="G197" i="26"/>
  <c r="J197" i="26" s="1"/>
  <c r="H197" i="26"/>
  <c r="E282" i="28" s="1"/>
  <c r="G196" i="26"/>
  <c r="J196" i="26" s="1"/>
  <c r="H196" i="26"/>
  <c r="E281" i="28" s="1"/>
  <c r="H190" i="26"/>
  <c r="E85" i="28" s="1"/>
  <c r="G190" i="26"/>
  <c r="J190" i="26" s="1"/>
  <c r="G189" i="26"/>
  <c r="J189" i="26" s="1"/>
  <c r="H189" i="26"/>
  <c r="E84" i="28" s="1"/>
  <c r="H188" i="26"/>
  <c r="E83" i="28" s="1"/>
  <c r="G188" i="26"/>
  <c r="J188" i="26" s="1"/>
  <c r="G185" i="26"/>
  <c r="J185" i="26" s="1"/>
  <c r="H185" i="26"/>
  <c r="E90" i="28" s="1"/>
  <c r="H184" i="26"/>
  <c r="E89" i="28" s="1"/>
  <c r="G184" i="26"/>
  <c r="J184" i="26" s="1"/>
  <c r="H183" i="26"/>
  <c r="E88" i="28" s="1"/>
  <c r="G183" i="26"/>
  <c r="J183" i="26" s="1"/>
  <c r="H182" i="26"/>
  <c r="E87" i="28" s="1"/>
  <c r="G182" i="26"/>
  <c r="J182" i="26" s="1"/>
  <c r="G181" i="26"/>
  <c r="J181" i="26" s="1"/>
  <c r="H181" i="26"/>
  <c r="E86" i="28" s="1"/>
  <c r="G180" i="26"/>
  <c r="J180" i="26" s="1"/>
  <c r="H180" i="26"/>
  <c r="E80" i="28" s="1"/>
  <c r="G179" i="26"/>
  <c r="J179" i="26" s="1"/>
  <c r="H179" i="26"/>
  <c r="E79" i="28" s="1"/>
  <c r="H178" i="26"/>
  <c r="E78" i="28" s="1"/>
  <c r="G178" i="26"/>
  <c r="J178" i="26" s="1"/>
  <c r="H177" i="26"/>
  <c r="E77" i="28" s="1"/>
  <c r="G177" i="26"/>
  <c r="J177" i="26" s="1"/>
  <c r="H176" i="26"/>
  <c r="E76" i="28" s="1"/>
  <c r="G176" i="26"/>
  <c r="J176" i="26" s="1"/>
  <c r="H170" i="26"/>
  <c r="E275" i="28" s="1"/>
  <c r="G170" i="26"/>
  <c r="J170" i="26" s="1"/>
  <c r="G169" i="26"/>
  <c r="J169" i="26" s="1"/>
  <c r="H169" i="26"/>
  <c r="E274" i="28" s="1"/>
  <c r="G168" i="26"/>
  <c r="J168" i="26" s="1"/>
  <c r="H168" i="26"/>
  <c r="E273" i="28" s="1"/>
  <c r="H167" i="26"/>
  <c r="E272" i="28" s="1"/>
  <c r="G167" i="26"/>
  <c r="J167" i="26" s="1"/>
  <c r="H166" i="26"/>
  <c r="E271" i="28" s="1"/>
  <c r="G166" i="26"/>
  <c r="J166" i="26" s="1"/>
  <c r="H135" i="26"/>
  <c r="G135" i="26"/>
  <c r="J135" i="26" s="1"/>
  <c r="H134" i="26"/>
  <c r="G134" i="26"/>
  <c r="J134" i="26" s="1"/>
  <c r="H133" i="26"/>
  <c r="G133" i="26"/>
  <c r="J133" i="26" s="1"/>
  <c r="H132" i="26"/>
  <c r="G132" i="26"/>
  <c r="J132" i="26" s="1"/>
  <c r="H131" i="26"/>
  <c r="G131" i="26"/>
  <c r="J131" i="26" s="1"/>
  <c r="H55" i="26"/>
  <c r="G55" i="26"/>
  <c r="J55" i="26" s="1"/>
  <c r="H54" i="26"/>
  <c r="G54" i="26"/>
  <c r="J54" i="26" s="1"/>
  <c r="G50" i="26"/>
  <c r="J50" i="26" s="1"/>
  <c r="H50" i="26"/>
  <c r="G49" i="26"/>
  <c r="J49" i="26" s="1"/>
  <c r="H49" i="26"/>
  <c r="G48" i="26"/>
  <c r="J48" i="26" s="1"/>
  <c r="H48" i="26"/>
  <c r="G47" i="26"/>
  <c r="J47" i="26" s="1"/>
  <c r="H47" i="26"/>
  <c r="G46" i="26"/>
  <c r="J46" i="26" s="1"/>
  <c r="H46" i="26"/>
  <c r="G45" i="26"/>
  <c r="J45" i="26" s="1"/>
  <c r="H45" i="26"/>
  <c r="G44" i="26"/>
  <c r="J44" i="26" s="1"/>
  <c r="H44" i="26"/>
  <c r="H43" i="26"/>
  <c r="G43" i="26"/>
  <c r="J43" i="26" s="1"/>
  <c r="G42" i="26"/>
  <c r="J42" i="26" s="1"/>
  <c r="H42" i="26"/>
  <c r="H41" i="26"/>
  <c r="G41" i="26"/>
  <c r="J41" i="26" s="1"/>
  <c r="G35" i="26"/>
  <c r="J35" i="26" s="1"/>
  <c r="H35" i="26"/>
  <c r="H34" i="26"/>
  <c r="G34" i="26"/>
  <c r="J34" i="26" s="1"/>
  <c r="G33" i="26"/>
  <c r="J33" i="26" s="1"/>
  <c r="H33" i="26"/>
  <c r="H32" i="26"/>
  <c r="G32" i="26"/>
  <c r="J32" i="26" s="1"/>
  <c r="G31" i="26"/>
  <c r="J31" i="26" s="1"/>
  <c r="H31" i="26"/>
  <c r="G248" i="21"/>
  <c r="I248" i="21" s="1"/>
  <c r="G249" i="21"/>
  <c r="I249" i="21" s="1"/>
  <c r="G197" i="21"/>
  <c r="I197" i="21" s="1"/>
  <c r="G198" i="21"/>
  <c r="I198" i="21" s="1"/>
  <c r="G1289" i="21"/>
  <c r="I1289" i="21" s="1"/>
  <c r="G1290" i="21"/>
  <c r="I1290" i="21" s="1"/>
  <c r="G146" i="21"/>
  <c r="I146" i="21" s="1"/>
  <c r="G147" i="21"/>
  <c r="I147" i="21" s="1"/>
  <c r="G96" i="21"/>
  <c r="I96" i="21" s="1"/>
  <c r="G95" i="21"/>
  <c r="I95" i="21" s="1"/>
  <c r="H786" i="21"/>
  <c r="I786" i="21" s="1"/>
  <c r="H787" i="21"/>
  <c r="H785" i="21"/>
  <c r="I785" i="21" s="1"/>
  <c r="H547" i="21"/>
  <c r="I547" i="21" s="1"/>
  <c r="H545" i="21"/>
  <c r="I545" i="21" s="1"/>
  <c r="H546" i="21"/>
  <c r="I546" i="21" s="1"/>
  <c r="H738" i="21"/>
  <c r="I738" i="21" s="1"/>
  <c r="H737" i="21"/>
  <c r="I737" i="21" s="1"/>
  <c r="H739" i="21"/>
  <c r="H528" i="21"/>
  <c r="I528" i="21" s="1"/>
  <c r="H530" i="21"/>
  <c r="I530" i="21" s="1"/>
  <c r="H529" i="21"/>
  <c r="I529" i="21" s="1"/>
  <c r="H689" i="21"/>
  <c r="I689" i="21" s="1"/>
  <c r="H690" i="21"/>
  <c r="I690" i="21" s="1"/>
  <c r="H691" i="21"/>
  <c r="H513" i="21"/>
  <c r="I513" i="21" s="1"/>
  <c r="H512" i="21"/>
  <c r="I512" i="21" s="1"/>
  <c r="H511" i="21"/>
  <c r="I511" i="21" s="1"/>
  <c r="H643" i="21"/>
  <c r="H642" i="21"/>
  <c r="I642" i="21" s="1"/>
  <c r="H641" i="21"/>
  <c r="I641" i="21" s="1"/>
  <c r="H1318" i="21"/>
  <c r="I1318" i="21" s="1"/>
  <c r="H1319" i="21"/>
  <c r="I1319" i="21" s="1"/>
  <c r="H1320" i="21"/>
  <c r="I1320" i="21" s="1"/>
  <c r="H593" i="21"/>
  <c r="I593" i="21" s="1"/>
  <c r="H594" i="21"/>
  <c r="I594" i="21" s="1"/>
  <c r="H595" i="21"/>
  <c r="H1303" i="21"/>
  <c r="I1303" i="21" s="1"/>
  <c r="H1304" i="21"/>
  <c r="I1304" i="21" s="1"/>
  <c r="H1305" i="21"/>
  <c r="I1305" i="21" s="1"/>
  <c r="H1003" i="21"/>
  <c r="H1002" i="21"/>
  <c r="H969" i="21"/>
  <c r="I969" i="21" s="1"/>
  <c r="H992" i="21"/>
  <c r="H991" i="21"/>
  <c r="H1014" i="21"/>
  <c r="H1013" i="21"/>
  <c r="D235" i="24"/>
  <c r="F235" i="24" s="1"/>
  <c r="H1194" i="21"/>
  <c r="I1194" i="21" s="1"/>
  <c r="H1193" i="21"/>
  <c r="I1193" i="21" s="1"/>
  <c r="H1204" i="21"/>
  <c r="H1205" i="21"/>
  <c r="H1215" i="21"/>
  <c r="H1216" i="21"/>
  <c r="H1226" i="21"/>
  <c r="H1227" i="21"/>
  <c r="H1237" i="21"/>
  <c r="H1238" i="21"/>
  <c r="H981" i="21"/>
  <c r="H970" i="21"/>
  <c r="I970" i="21" s="1"/>
  <c r="H980" i="21"/>
  <c r="H1004" i="21"/>
  <c r="H1171" i="21"/>
  <c r="H1181" i="21"/>
  <c r="H925" i="21"/>
  <c r="H924" i="21"/>
  <c r="H1138" i="21"/>
  <c r="I1138" i="21" s="1"/>
  <c r="H913" i="21"/>
  <c r="I913" i="21" s="1"/>
  <c r="H936" i="21"/>
  <c r="H1170" i="21"/>
  <c r="H982" i="21"/>
  <c r="H971" i="21"/>
  <c r="I971" i="21" s="1"/>
  <c r="H1015" i="21"/>
  <c r="H1160" i="21"/>
  <c r="H993" i="21"/>
  <c r="H1239" i="21"/>
  <c r="H914" i="21"/>
  <c r="I914" i="21" s="1"/>
  <c r="H1182" i="21"/>
  <c r="H935" i="21"/>
  <c r="H946" i="21"/>
  <c r="H947" i="21"/>
  <c r="H957" i="21"/>
  <c r="H958" i="21"/>
  <c r="H1228" i="21"/>
  <c r="D234" i="24"/>
  <c r="F234" i="24" s="1"/>
  <c r="H1159" i="21"/>
  <c r="H1137" i="21"/>
  <c r="I1137" i="21" s="1"/>
  <c r="H1217" i="21"/>
  <c r="H1206" i="21"/>
  <c r="H1195" i="21"/>
  <c r="I1195" i="21" s="1"/>
  <c r="H1149" i="21"/>
  <c r="H1148" i="21"/>
  <c r="H1125" i="21"/>
  <c r="H891" i="21"/>
  <c r="H926" i="21"/>
  <c r="H1183" i="21"/>
  <c r="H901" i="21"/>
  <c r="H1082" i="21"/>
  <c r="I1082" i="21" s="1"/>
  <c r="H890" i="21"/>
  <c r="H857" i="21"/>
  <c r="I857" i="21" s="1"/>
  <c r="H937" i="21"/>
  <c r="H880" i="21"/>
  <c r="H1115" i="21"/>
  <c r="H948" i="21"/>
  <c r="H879" i="21"/>
  <c r="H1139" i="21"/>
  <c r="I1139" i="21" s="1"/>
  <c r="H858" i="21"/>
  <c r="I858" i="21" s="1"/>
  <c r="H1161" i="21"/>
  <c r="H902" i="21"/>
  <c r="H1126" i="21"/>
  <c r="D233" i="24"/>
  <c r="F233" i="24" s="1"/>
  <c r="H1103" i="21"/>
  <c r="H1172" i="21"/>
  <c r="H1114" i="21"/>
  <c r="H869" i="21"/>
  <c r="H868" i="21"/>
  <c r="H1081" i="21"/>
  <c r="I1081" i="21" s="1"/>
  <c r="H1104" i="21"/>
  <c r="H915" i="21"/>
  <c r="I915" i="21" s="1"/>
  <c r="H1150" i="21"/>
  <c r="H1093" i="21"/>
  <c r="H1092" i="21"/>
  <c r="H959" i="21"/>
  <c r="H812" i="21"/>
  <c r="H802" i="21"/>
  <c r="I802" i="21" s="1"/>
  <c r="H801" i="21"/>
  <c r="I801" i="21" s="1"/>
  <c r="H1026" i="21"/>
  <c r="I1026" i="21" s="1"/>
  <c r="H823" i="21"/>
  <c r="H824" i="21"/>
  <c r="H834" i="21"/>
  <c r="H835" i="21"/>
  <c r="H845" i="21"/>
  <c r="H846" i="21"/>
  <c r="H859" i="21"/>
  <c r="I859" i="21" s="1"/>
  <c r="H870" i="21"/>
  <c r="H881" i="21"/>
  <c r="H892" i="21"/>
  <c r="H1116" i="21"/>
  <c r="H903" i="21"/>
  <c r="H1105" i="21"/>
  <c r="H1127" i="21"/>
  <c r="H1094" i="21"/>
  <c r="D232" i="24"/>
  <c r="F232" i="24" s="1"/>
  <c r="H1083" i="21"/>
  <c r="I1083" i="21" s="1"/>
  <c r="H1070" i="21"/>
  <c r="H1069" i="21"/>
  <c r="H1059" i="21"/>
  <c r="H1058" i="21"/>
  <c r="H1048" i="21"/>
  <c r="H1047" i="21"/>
  <c r="H1037" i="21"/>
  <c r="H1036" i="21"/>
  <c r="H1025" i="21"/>
  <c r="I1025" i="21" s="1"/>
  <c r="H813" i="21"/>
  <c r="H836" i="21"/>
  <c r="H1434" i="21"/>
  <c r="H1496" i="21"/>
  <c r="H1505" i="21"/>
  <c r="H1060" i="21"/>
  <c r="H814" i="21"/>
  <c r="H803" i="21"/>
  <c r="I803" i="21" s="1"/>
  <c r="H1506" i="21"/>
  <c r="H1425" i="21"/>
  <c r="H1435" i="21"/>
  <c r="H1424" i="21"/>
  <c r="H1444" i="21"/>
  <c r="H1445" i="21"/>
  <c r="H1049" i="21"/>
  <c r="H1415" i="21"/>
  <c r="I1415" i="21" s="1"/>
  <c r="H825" i="21"/>
  <c r="H1038" i="21"/>
  <c r="H1454" i="21"/>
  <c r="H1455" i="21"/>
  <c r="H1414" i="21"/>
  <c r="I1414" i="21" s="1"/>
  <c r="D231" i="24"/>
  <c r="F231" i="24" s="1"/>
  <c r="H1465" i="21"/>
  <c r="I1465" i="21" s="1"/>
  <c r="H1466" i="21"/>
  <c r="I1466" i="21" s="1"/>
  <c r="H1475" i="21"/>
  <c r="H1476" i="21"/>
  <c r="H1485" i="21"/>
  <c r="H1071" i="21"/>
  <c r="H847" i="21"/>
  <c r="H1027" i="21"/>
  <c r="I1027" i="21" s="1"/>
  <c r="H1486" i="21"/>
  <c r="H1495" i="21"/>
  <c r="I544" i="21"/>
  <c r="L62" i="20"/>
  <c r="G527" i="21"/>
  <c r="G543" i="21"/>
  <c r="I543" i="21" s="1"/>
  <c r="G510" i="21"/>
  <c r="G526" i="21"/>
  <c r="I526" i="21" s="1"/>
  <c r="K509" i="21"/>
  <c r="N509" i="21"/>
  <c r="G772" i="21"/>
  <c r="I772" i="21" s="1"/>
  <c r="G770" i="21"/>
  <c r="I770" i="21" s="1"/>
  <c r="G769" i="21"/>
  <c r="I769" i="21" s="1"/>
  <c r="G771" i="21"/>
  <c r="G780" i="21"/>
  <c r="I780" i="21" s="1"/>
  <c r="G779" i="21"/>
  <c r="G778" i="21"/>
  <c r="I778" i="21" s="1"/>
  <c r="G777" i="21"/>
  <c r="I777" i="21" s="1"/>
  <c r="G781" i="21"/>
  <c r="I781" i="21" s="1"/>
  <c r="G782" i="21"/>
  <c r="I782" i="21" s="1"/>
  <c r="G732" i="21"/>
  <c r="I732" i="21" s="1"/>
  <c r="G730" i="21"/>
  <c r="I730" i="21" s="1"/>
  <c r="G729" i="21"/>
  <c r="I729" i="21" s="1"/>
  <c r="G724" i="21"/>
  <c r="I724" i="21" s="1"/>
  <c r="G723" i="21"/>
  <c r="G722" i="21"/>
  <c r="I722" i="21" s="1"/>
  <c r="G721" i="21"/>
  <c r="I721" i="21" s="1"/>
  <c r="G776" i="21"/>
  <c r="I776" i="21" s="1"/>
  <c r="G774" i="21"/>
  <c r="I774" i="21" s="1"/>
  <c r="G773" i="21"/>
  <c r="I773" i="21" s="1"/>
  <c r="G784" i="21"/>
  <c r="I784" i="21" s="1"/>
  <c r="G731" i="21"/>
  <c r="G775" i="21"/>
  <c r="G783" i="21"/>
  <c r="G682" i="21"/>
  <c r="I682" i="21" s="1"/>
  <c r="G728" i="21"/>
  <c r="I728" i="21" s="1"/>
  <c r="G727" i="21"/>
  <c r="G684" i="21"/>
  <c r="I684" i="21" s="1"/>
  <c r="G735" i="21"/>
  <c r="G674" i="21"/>
  <c r="I674" i="21" s="1"/>
  <c r="G676" i="21"/>
  <c r="I676" i="21" s="1"/>
  <c r="G675" i="21"/>
  <c r="I675" i="21" s="1"/>
  <c r="G683" i="21"/>
  <c r="I683" i="21" s="1"/>
  <c r="G673" i="21"/>
  <c r="I673" i="21" s="1"/>
  <c r="G736" i="21"/>
  <c r="I736" i="21" s="1"/>
  <c r="G726" i="21"/>
  <c r="I726" i="21" s="1"/>
  <c r="G725" i="21"/>
  <c r="I725" i="21" s="1"/>
  <c r="G733" i="21"/>
  <c r="I733" i="21" s="1"/>
  <c r="G734" i="21"/>
  <c r="I734" i="21" s="1"/>
  <c r="G681" i="21"/>
  <c r="I681" i="21" s="1"/>
  <c r="G688" i="21"/>
  <c r="I688" i="21" s="1"/>
  <c r="G687" i="21"/>
  <c r="I687" i="21" s="1"/>
  <c r="G686" i="21"/>
  <c r="I686" i="21" s="1"/>
  <c r="G685" i="21"/>
  <c r="I685" i="21" s="1"/>
  <c r="G625" i="21"/>
  <c r="I625" i="21" s="1"/>
  <c r="G627" i="21"/>
  <c r="I627" i="21" s="1"/>
  <c r="G628" i="21"/>
  <c r="I628" i="21" s="1"/>
  <c r="G679" i="21"/>
  <c r="I679" i="21" s="1"/>
  <c r="G678" i="21"/>
  <c r="I678" i="21" s="1"/>
  <c r="G677" i="21"/>
  <c r="I677" i="21" s="1"/>
  <c r="G633" i="21"/>
  <c r="I633" i="21" s="1"/>
  <c r="G634" i="21"/>
  <c r="I634" i="21" s="1"/>
  <c r="G635" i="21"/>
  <c r="I635" i="21" s="1"/>
  <c r="G636" i="21"/>
  <c r="I636" i="21" s="1"/>
  <c r="G680" i="21"/>
  <c r="I680" i="21" s="1"/>
  <c r="G626" i="21"/>
  <c r="I626" i="21" s="1"/>
  <c r="G631" i="21"/>
  <c r="I631" i="21" s="1"/>
  <c r="G632" i="21"/>
  <c r="I632" i="21" s="1"/>
  <c r="G637" i="21"/>
  <c r="I637" i="21" s="1"/>
  <c r="G638" i="21"/>
  <c r="I638" i="21" s="1"/>
  <c r="G640" i="21"/>
  <c r="I640" i="21" s="1"/>
  <c r="G630" i="21"/>
  <c r="I630" i="21" s="1"/>
  <c r="G639" i="21"/>
  <c r="I639" i="21" s="1"/>
  <c r="G579" i="21"/>
  <c r="I579" i="21" s="1"/>
  <c r="G580" i="21"/>
  <c r="I580" i="21" s="1"/>
  <c r="G585" i="21"/>
  <c r="I585" i="21" s="1"/>
  <c r="G586" i="21"/>
  <c r="I586" i="21" s="1"/>
  <c r="G577" i="21"/>
  <c r="I577" i="21" s="1"/>
  <c r="G587" i="21"/>
  <c r="I587" i="21" s="1"/>
  <c r="G578" i="21"/>
  <c r="I578" i="21" s="1"/>
  <c r="G588" i="21"/>
  <c r="I588" i="21" s="1"/>
  <c r="G629" i="21"/>
  <c r="I629" i="21" s="1"/>
  <c r="G581" i="21"/>
  <c r="I581" i="21" s="1"/>
  <c r="G591" i="21"/>
  <c r="I591" i="21" s="1"/>
  <c r="G590" i="21"/>
  <c r="I590" i="21" s="1"/>
  <c r="G582" i="21"/>
  <c r="I582" i="21" s="1"/>
  <c r="G583" i="21"/>
  <c r="I583" i="21" s="1"/>
  <c r="G584" i="21"/>
  <c r="I584" i="21" s="1"/>
  <c r="G589" i="21"/>
  <c r="I589" i="21" s="1"/>
  <c r="G592" i="21"/>
  <c r="I592" i="21" s="1"/>
  <c r="G761" i="21"/>
  <c r="I761" i="21" s="1"/>
  <c r="G762" i="21"/>
  <c r="I762" i="21" s="1"/>
  <c r="G763" i="21"/>
  <c r="G764" i="21"/>
  <c r="I764" i="21" s="1"/>
  <c r="G787" i="21"/>
  <c r="I787" i="21" s="1"/>
  <c r="G716" i="21"/>
  <c r="I716" i="21" s="1"/>
  <c r="G739" i="21"/>
  <c r="I739" i="21" s="1"/>
  <c r="G713" i="21"/>
  <c r="I713" i="21" s="1"/>
  <c r="G714" i="21"/>
  <c r="I714" i="21" s="1"/>
  <c r="G715" i="21"/>
  <c r="G766" i="21"/>
  <c r="I766" i="21" s="1"/>
  <c r="G767" i="21"/>
  <c r="G765" i="21"/>
  <c r="I765" i="21" s="1"/>
  <c r="G768" i="21"/>
  <c r="I768" i="21" s="1"/>
  <c r="G666" i="21"/>
  <c r="I666" i="21" s="1"/>
  <c r="G665" i="21"/>
  <c r="I665" i="21" s="1"/>
  <c r="G691" i="21"/>
  <c r="I691" i="21" s="1"/>
  <c r="G667" i="21"/>
  <c r="I667" i="21" s="1"/>
  <c r="G668" i="21"/>
  <c r="I668" i="21" s="1"/>
  <c r="G717" i="21"/>
  <c r="I717" i="21" s="1"/>
  <c r="G718" i="21"/>
  <c r="I718" i="21" s="1"/>
  <c r="G719" i="21"/>
  <c r="G720" i="21"/>
  <c r="I720" i="21" s="1"/>
  <c r="G617" i="21"/>
  <c r="I617" i="21" s="1"/>
  <c r="G620" i="21"/>
  <c r="I620" i="21" s="1"/>
  <c r="G671" i="21"/>
  <c r="I671" i="21" s="1"/>
  <c r="G619" i="21"/>
  <c r="I619" i="21" s="1"/>
  <c r="G618" i="21"/>
  <c r="I618" i="21" s="1"/>
  <c r="G672" i="21"/>
  <c r="I672" i="21" s="1"/>
  <c r="G669" i="21"/>
  <c r="I669" i="21" s="1"/>
  <c r="G643" i="21"/>
  <c r="I643" i="21" s="1"/>
  <c r="G670" i="21"/>
  <c r="I670" i="21" s="1"/>
  <c r="G621" i="21"/>
  <c r="I621" i="21" s="1"/>
  <c r="G624" i="21"/>
  <c r="I624" i="21" s="1"/>
  <c r="G595" i="21"/>
  <c r="G623" i="21"/>
  <c r="G572" i="21"/>
  <c r="I572" i="21" s="1"/>
  <c r="G571" i="21"/>
  <c r="G622" i="21"/>
  <c r="I622" i="21" s="1"/>
  <c r="G569" i="21"/>
  <c r="I569" i="21" s="1"/>
  <c r="G570" i="21"/>
  <c r="I570" i="21" s="1"/>
  <c r="G574" i="21"/>
  <c r="I574" i="21" s="1"/>
  <c r="G576" i="21"/>
  <c r="I576" i="21" s="1"/>
  <c r="G575" i="21"/>
  <c r="G573" i="21"/>
  <c r="I573" i="21" s="1"/>
  <c r="H244" i="21"/>
  <c r="I244" i="21" s="1"/>
  <c r="H245" i="21"/>
  <c r="I245" i="21" s="1"/>
  <c r="H193" i="21"/>
  <c r="I193" i="21" s="1"/>
  <c r="H194" i="21"/>
  <c r="I194" i="21" s="1"/>
  <c r="H1285" i="21"/>
  <c r="I1285" i="21" s="1"/>
  <c r="H1286" i="21"/>
  <c r="I1286" i="21" s="1"/>
  <c r="H143" i="21"/>
  <c r="I143" i="21" s="1"/>
  <c r="H142" i="21"/>
  <c r="I142" i="21" s="1"/>
  <c r="H92" i="21"/>
  <c r="I92" i="21" s="1"/>
  <c r="H91" i="21"/>
  <c r="I91" i="21" s="1"/>
  <c r="H246" i="21"/>
  <c r="I246" i="21" s="1"/>
  <c r="H247" i="21"/>
  <c r="H195" i="21"/>
  <c r="H196" i="21"/>
  <c r="H1287" i="21"/>
  <c r="H1288" i="21"/>
  <c r="H145" i="21"/>
  <c r="H144" i="21"/>
  <c r="H93" i="21"/>
  <c r="H94" i="21"/>
  <c r="I94" i="21" s="1"/>
  <c r="G247" i="21"/>
  <c r="G195" i="21"/>
  <c r="G1287" i="21"/>
  <c r="G196" i="21"/>
  <c r="G144" i="21"/>
  <c r="G1288" i="21"/>
  <c r="G93" i="21"/>
  <c r="G145" i="21"/>
  <c r="G239" i="21"/>
  <c r="I239" i="21" s="1"/>
  <c r="G236" i="21"/>
  <c r="I236" i="21" s="1"/>
  <c r="G238" i="21"/>
  <c r="G237" i="21"/>
  <c r="I237" i="21" s="1"/>
  <c r="G229" i="21"/>
  <c r="I229" i="21" s="1"/>
  <c r="G228" i="21"/>
  <c r="I228" i="21" s="1"/>
  <c r="G231" i="21"/>
  <c r="I231" i="21" s="1"/>
  <c r="G230" i="21"/>
  <c r="G220" i="21"/>
  <c r="I220" i="21" s="1"/>
  <c r="G223" i="21"/>
  <c r="I223" i="21" s="1"/>
  <c r="G221" i="21"/>
  <c r="I221" i="21" s="1"/>
  <c r="G222" i="21"/>
  <c r="G243" i="21"/>
  <c r="I243" i="21" s="1"/>
  <c r="G240" i="21"/>
  <c r="I240" i="21" s="1"/>
  <c r="G241" i="21"/>
  <c r="I241" i="21" s="1"/>
  <c r="G242" i="21"/>
  <c r="G187" i="21"/>
  <c r="G185" i="21"/>
  <c r="I185" i="21" s="1"/>
  <c r="G188" i="21"/>
  <c r="I188" i="21" s="1"/>
  <c r="G186" i="21"/>
  <c r="I186" i="21" s="1"/>
  <c r="G232" i="21"/>
  <c r="I232" i="21" s="1"/>
  <c r="G233" i="21"/>
  <c r="I233" i="21" s="1"/>
  <c r="G179" i="21"/>
  <c r="G178" i="21"/>
  <c r="I178" i="21" s="1"/>
  <c r="G234" i="21"/>
  <c r="G235" i="21"/>
  <c r="I235" i="21" s="1"/>
  <c r="G180" i="21"/>
  <c r="I180" i="21" s="1"/>
  <c r="G177" i="21"/>
  <c r="I177" i="21" s="1"/>
  <c r="G227" i="21"/>
  <c r="I227" i="21" s="1"/>
  <c r="G226" i="21"/>
  <c r="G225" i="21"/>
  <c r="I225" i="21" s="1"/>
  <c r="G224" i="21"/>
  <c r="I224" i="21" s="1"/>
  <c r="G169" i="21"/>
  <c r="I169" i="21" s="1"/>
  <c r="G170" i="21"/>
  <c r="I170" i="21" s="1"/>
  <c r="G172" i="21"/>
  <c r="I172" i="21" s="1"/>
  <c r="G171" i="21"/>
  <c r="G1280" i="21"/>
  <c r="I1280" i="21" s="1"/>
  <c r="G1279" i="21"/>
  <c r="G192" i="21"/>
  <c r="I192" i="21" s="1"/>
  <c r="G190" i="21"/>
  <c r="I190" i="21" s="1"/>
  <c r="G189" i="21"/>
  <c r="I189" i="21" s="1"/>
  <c r="G1278" i="21"/>
  <c r="I1278" i="21" s="1"/>
  <c r="G191" i="21"/>
  <c r="G1277" i="21"/>
  <c r="I1277" i="21" s="1"/>
  <c r="G181" i="21"/>
  <c r="I181" i="21" s="1"/>
  <c r="G182" i="21"/>
  <c r="I182" i="21" s="1"/>
  <c r="G183" i="21"/>
  <c r="G1270" i="21"/>
  <c r="I1270" i="21" s="1"/>
  <c r="G184" i="21"/>
  <c r="I184" i="21" s="1"/>
  <c r="G1272" i="21"/>
  <c r="I1272" i="21" s="1"/>
  <c r="G1269" i="21"/>
  <c r="I1269" i="21" s="1"/>
  <c r="G1271" i="21"/>
  <c r="G175" i="21"/>
  <c r="G1261" i="21"/>
  <c r="I1261" i="21" s="1"/>
  <c r="G1263" i="21"/>
  <c r="G176" i="21"/>
  <c r="I176" i="21" s="1"/>
  <c r="G1262" i="21"/>
  <c r="I1262" i="21" s="1"/>
  <c r="G1264" i="21"/>
  <c r="I1264" i="21" s="1"/>
  <c r="G173" i="21"/>
  <c r="I173" i="21" s="1"/>
  <c r="G174" i="21"/>
  <c r="I174" i="21" s="1"/>
  <c r="G134" i="21"/>
  <c r="I134" i="21" s="1"/>
  <c r="G1283" i="21"/>
  <c r="G1282" i="21"/>
  <c r="I1282" i="21" s="1"/>
  <c r="G136" i="21"/>
  <c r="G135" i="21"/>
  <c r="I135" i="21" s="1"/>
  <c r="G137" i="21"/>
  <c r="I137" i="21" s="1"/>
  <c r="G1281" i="21"/>
  <c r="I1281" i="21" s="1"/>
  <c r="G1284" i="21"/>
  <c r="I1284" i="21" s="1"/>
  <c r="G129" i="21"/>
  <c r="I129" i="21" s="1"/>
  <c r="G1275" i="21"/>
  <c r="G1276" i="21"/>
  <c r="I1276" i="21" s="1"/>
  <c r="G1274" i="21"/>
  <c r="I1274" i="21" s="1"/>
  <c r="G126" i="21"/>
  <c r="I126" i="21" s="1"/>
  <c r="G1273" i="21"/>
  <c r="I1273" i="21" s="1"/>
  <c r="G127" i="21"/>
  <c r="I127" i="21" s="1"/>
  <c r="G128" i="21"/>
  <c r="G121" i="21"/>
  <c r="I121" i="21" s="1"/>
  <c r="G1267" i="21"/>
  <c r="G1266" i="21"/>
  <c r="I1266" i="21" s="1"/>
  <c r="G1265" i="21"/>
  <c r="I1265" i="21" s="1"/>
  <c r="G1268" i="21"/>
  <c r="I1268" i="21" s="1"/>
  <c r="G119" i="21"/>
  <c r="I119" i="21" s="1"/>
  <c r="G118" i="21"/>
  <c r="I118" i="21" s="1"/>
  <c r="G120" i="21"/>
  <c r="G140" i="21"/>
  <c r="G83" i="21"/>
  <c r="I83" i="21" s="1"/>
  <c r="G84" i="21"/>
  <c r="I84" i="21" s="1"/>
  <c r="G85" i="21"/>
  <c r="G86" i="21"/>
  <c r="I86" i="21" s="1"/>
  <c r="G138" i="21"/>
  <c r="I138" i="21" s="1"/>
  <c r="G141" i="21"/>
  <c r="I141" i="21" s="1"/>
  <c r="G139" i="21"/>
  <c r="I139" i="21" s="1"/>
  <c r="G130" i="21"/>
  <c r="I130" i="21" s="1"/>
  <c r="G78" i="21"/>
  <c r="I78" i="21" s="1"/>
  <c r="G131" i="21"/>
  <c r="I131" i="21" s="1"/>
  <c r="G133" i="21"/>
  <c r="I133" i="21" s="1"/>
  <c r="G77" i="21"/>
  <c r="G132" i="21"/>
  <c r="G75" i="21"/>
  <c r="I75" i="21" s="1"/>
  <c r="G76" i="21"/>
  <c r="I76" i="21" s="1"/>
  <c r="G70" i="21"/>
  <c r="I70" i="21" s="1"/>
  <c r="G69" i="21"/>
  <c r="G68" i="21"/>
  <c r="I68" i="21" s="1"/>
  <c r="G125" i="21"/>
  <c r="I125" i="21" s="1"/>
  <c r="G124" i="21"/>
  <c r="G122" i="21"/>
  <c r="I122" i="21" s="1"/>
  <c r="G123" i="21"/>
  <c r="I123" i="21" s="1"/>
  <c r="G67" i="21"/>
  <c r="I67" i="21" s="1"/>
  <c r="G90" i="21"/>
  <c r="I90" i="21" s="1"/>
  <c r="G87" i="21"/>
  <c r="I87" i="21" s="1"/>
  <c r="G88" i="21"/>
  <c r="I88" i="21" s="1"/>
  <c r="G89" i="21"/>
  <c r="G82" i="21"/>
  <c r="I82" i="21" s="1"/>
  <c r="G81" i="21"/>
  <c r="G80" i="21"/>
  <c r="I80" i="21" s="1"/>
  <c r="G79" i="21"/>
  <c r="I79" i="21" s="1"/>
  <c r="G72" i="21"/>
  <c r="I72" i="21" s="1"/>
  <c r="G73" i="21"/>
  <c r="G71" i="21"/>
  <c r="I71" i="21" s="1"/>
  <c r="G74" i="21"/>
  <c r="I74" i="21" s="1"/>
  <c r="H286" i="21"/>
  <c r="H294" i="21"/>
  <c r="H290" i="21"/>
  <c r="H282" i="21"/>
  <c r="M31" i="20" s="1"/>
  <c r="H298" i="21"/>
  <c r="H1397" i="21"/>
  <c r="H1385" i="21"/>
  <c r="H1389" i="21"/>
  <c r="H1393" i="21"/>
  <c r="H1401" i="21"/>
  <c r="H1376" i="21"/>
  <c r="H1372" i="21"/>
  <c r="H1368" i="21"/>
  <c r="H1364" i="21"/>
  <c r="H1380" i="21"/>
  <c r="H1359" i="21"/>
  <c r="H1355" i="21"/>
  <c r="H1351" i="21"/>
  <c r="H1347" i="21"/>
  <c r="H1343" i="21"/>
  <c r="H1334" i="21"/>
  <c r="H1330" i="21"/>
  <c r="H1326" i="21"/>
  <c r="H1322" i="21"/>
  <c r="H1338" i="21"/>
  <c r="G470" i="21"/>
  <c r="I470" i="21" s="1"/>
  <c r="G469" i="21"/>
  <c r="D238" i="24"/>
  <c r="F238" i="24" s="1"/>
  <c r="D239" i="24"/>
  <c r="F239" i="24" s="1"/>
  <c r="H279" i="21"/>
  <c r="M30" i="20" s="1"/>
  <c r="H280" i="21"/>
  <c r="G484" i="21"/>
  <c r="I484" i="21" s="1"/>
  <c r="G482" i="21"/>
  <c r="G483" i="21"/>
  <c r="I483" i="21" s="1"/>
  <c r="G492" i="21"/>
  <c r="H257" i="21"/>
  <c r="H256" i="21"/>
  <c r="I256" i="21" s="1"/>
  <c r="G476" i="21"/>
  <c r="D236" i="24"/>
  <c r="F236" i="24" s="1"/>
  <c r="D237" i="24"/>
  <c r="F237" i="24" s="1"/>
  <c r="H252" i="21"/>
  <c r="I252" i="21" s="1"/>
  <c r="H253" i="21"/>
  <c r="G490" i="21"/>
  <c r="G480" i="21"/>
  <c r="I480" i="21" s="1"/>
  <c r="G479" i="21"/>
  <c r="I479" i="21" s="1"/>
  <c r="G478" i="21"/>
  <c r="G473" i="21"/>
  <c r="G466" i="21"/>
  <c r="I466" i="21" s="1"/>
  <c r="H275" i="21"/>
  <c r="M29" i="20" s="1"/>
  <c r="H276" i="21"/>
  <c r="G465" i="21"/>
  <c r="G434" i="21"/>
  <c r="G435" i="21"/>
  <c r="G428" i="21"/>
  <c r="G429" i="21"/>
  <c r="G423" i="21"/>
  <c r="G422" i="21"/>
  <c r="G416" i="21"/>
  <c r="G417" i="21"/>
  <c r="G410" i="21"/>
  <c r="G411" i="21"/>
  <c r="N1649" i="21"/>
  <c r="K1649" i="21"/>
  <c r="N1647" i="21"/>
  <c r="K1647" i="21"/>
  <c r="N1645" i="21"/>
  <c r="K1645" i="21"/>
  <c r="K1614" i="21"/>
  <c r="N1614" i="21"/>
  <c r="K1613" i="21"/>
  <c r="N1613" i="21"/>
  <c r="K1612" i="21"/>
  <c r="N1612" i="21"/>
  <c r="K1611" i="21"/>
  <c r="N1611" i="21"/>
  <c r="K1610" i="21"/>
  <c r="N1610" i="21"/>
  <c r="K1609" i="21"/>
  <c r="N1609" i="21"/>
  <c r="N1608" i="21"/>
  <c r="K1608" i="21"/>
  <c r="K1607" i="21"/>
  <c r="N1607" i="21"/>
  <c r="N1606" i="21"/>
  <c r="K1606" i="21"/>
  <c r="N1605" i="21"/>
  <c r="K1605" i="21"/>
  <c r="K1604" i="21"/>
  <c r="N1604" i="21"/>
  <c r="K1603" i="21"/>
  <c r="N1603" i="21"/>
  <c r="N1602" i="21"/>
  <c r="K1602" i="21"/>
  <c r="N1601" i="21"/>
  <c r="K1601" i="21"/>
  <c r="N1600" i="21"/>
  <c r="K1600" i="21"/>
  <c r="K1599" i="21"/>
  <c r="N1599" i="21"/>
  <c r="N1598" i="21"/>
  <c r="K1598" i="21"/>
  <c r="N1597" i="21"/>
  <c r="K1597" i="21"/>
  <c r="N1596" i="21"/>
  <c r="K1596" i="21"/>
  <c r="N1595" i="21"/>
  <c r="K1595" i="21"/>
  <c r="K1594" i="21"/>
  <c r="N1594" i="21"/>
  <c r="K1593" i="21"/>
  <c r="N1593" i="21"/>
  <c r="K1592" i="21"/>
  <c r="N1592" i="21"/>
  <c r="K1591" i="21"/>
  <c r="N1591" i="21"/>
  <c r="N1590" i="21"/>
  <c r="K1590" i="21"/>
  <c r="K1589" i="21"/>
  <c r="N1589" i="21"/>
  <c r="N1588" i="21"/>
  <c r="K1588" i="21"/>
  <c r="N1587" i="21"/>
  <c r="K1587" i="21"/>
  <c r="N1586" i="21"/>
  <c r="K1586" i="21"/>
  <c r="N1585" i="21"/>
  <c r="K1585" i="21"/>
  <c r="K1584" i="21"/>
  <c r="N1584" i="21"/>
  <c r="K1583" i="21"/>
  <c r="N1583" i="21"/>
  <c r="K1582" i="21"/>
  <c r="N1582" i="21"/>
  <c r="K1581" i="21"/>
  <c r="N1581" i="21"/>
  <c r="K1580" i="21"/>
  <c r="N1580" i="21"/>
  <c r="N1579" i="21"/>
  <c r="K1579" i="21"/>
  <c r="K1578" i="21"/>
  <c r="N1578" i="21"/>
  <c r="N1577" i="21"/>
  <c r="K1577" i="21"/>
  <c r="N1576" i="21"/>
  <c r="K1576" i="21"/>
  <c r="N1575" i="21"/>
  <c r="K1575" i="21"/>
  <c r="N1574" i="21"/>
  <c r="K1574" i="21"/>
  <c r="K1573" i="21"/>
  <c r="N1573" i="21"/>
  <c r="K1572" i="21"/>
  <c r="N1572" i="21"/>
  <c r="K1571" i="21"/>
  <c r="N1571" i="21"/>
  <c r="K1570" i="21"/>
  <c r="N1570" i="21"/>
  <c r="K1569" i="21"/>
  <c r="N1569" i="21"/>
  <c r="N1568" i="21"/>
  <c r="K1568" i="21"/>
  <c r="K1566" i="21"/>
  <c r="N1566" i="21"/>
  <c r="K1565" i="21"/>
  <c r="N1565" i="21"/>
  <c r="K1564" i="21"/>
  <c r="N1564" i="21"/>
  <c r="K1562" i="21"/>
  <c r="N1562" i="21"/>
  <c r="K1561" i="21"/>
  <c r="N1561" i="21"/>
  <c r="K1560" i="21"/>
  <c r="N1560" i="21"/>
  <c r="K1559" i="21"/>
  <c r="N1559" i="21"/>
  <c r="K1558" i="21"/>
  <c r="N1558" i="21"/>
  <c r="N1557" i="21"/>
  <c r="K1557" i="21"/>
  <c r="K1556" i="21"/>
  <c r="N1556" i="21"/>
  <c r="K1555" i="21"/>
  <c r="N1555" i="21"/>
  <c r="K1554" i="21"/>
  <c r="N1554" i="21"/>
  <c r="K1553" i="21"/>
  <c r="N1553" i="21"/>
  <c r="K1552" i="21"/>
  <c r="N1552" i="21"/>
  <c r="K1551" i="21"/>
  <c r="N1551" i="21"/>
  <c r="N1550" i="21"/>
  <c r="K1550" i="21"/>
  <c r="K1549" i="21"/>
  <c r="N1549" i="21"/>
  <c r="N1548" i="21"/>
  <c r="K1548" i="21"/>
  <c r="N1547" i="21"/>
  <c r="K1547" i="21"/>
  <c r="N1546" i="21"/>
  <c r="K1546" i="21"/>
  <c r="N1545" i="21"/>
  <c r="K1545" i="21"/>
  <c r="N1544" i="21"/>
  <c r="K1544" i="21"/>
  <c r="N1543" i="21"/>
  <c r="K1543" i="21"/>
  <c r="K1542" i="21"/>
  <c r="N1542" i="21"/>
  <c r="K1541" i="21"/>
  <c r="N1541" i="21"/>
  <c r="K1540" i="21"/>
  <c r="N1540" i="21"/>
  <c r="K1539" i="21"/>
  <c r="N1539" i="21"/>
  <c r="K1538" i="21"/>
  <c r="N1538" i="21"/>
  <c r="K1537" i="21"/>
  <c r="N1537" i="21"/>
  <c r="N1536" i="21"/>
  <c r="K1536" i="21"/>
  <c r="K1535" i="21"/>
  <c r="N1535" i="21"/>
  <c r="N1534" i="21"/>
  <c r="K1534" i="21"/>
  <c r="N1533" i="21"/>
  <c r="K1533" i="21"/>
  <c r="K1532" i="21"/>
  <c r="N1532" i="21"/>
  <c r="K1531" i="21"/>
  <c r="N1531" i="21"/>
  <c r="K1530" i="21"/>
  <c r="N1530" i="21"/>
  <c r="K1529" i="21"/>
  <c r="N1529" i="21"/>
  <c r="K1528" i="21"/>
  <c r="N1528" i="21"/>
  <c r="K1527" i="21"/>
  <c r="N1527" i="21"/>
  <c r="K1526" i="21"/>
  <c r="N1526" i="21"/>
  <c r="K1525" i="21"/>
  <c r="N1525" i="21"/>
  <c r="K1524" i="21"/>
  <c r="N1524" i="21"/>
  <c r="K1523" i="21"/>
  <c r="N1523" i="21"/>
  <c r="K1522" i="21"/>
  <c r="N1522" i="21"/>
  <c r="K1521" i="21"/>
  <c r="N1521" i="21"/>
  <c r="K1520" i="21"/>
  <c r="N1520" i="21"/>
  <c r="K1519" i="21"/>
  <c r="N1519" i="21"/>
  <c r="K1518" i="21"/>
  <c r="N1518" i="21"/>
  <c r="K1517" i="21"/>
  <c r="N1517" i="21"/>
  <c r="K1516" i="21"/>
  <c r="N1516" i="21"/>
  <c r="K1515" i="21"/>
  <c r="N1515" i="21"/>
  <c r="K1514" i="21"/>
  <c r="N1514" i="21"/>
  <c r="K1513" i="21"/>
  <c r="N1513" i="21"/>
  <c r="K1512" i="21"/>
  <c r="N1512" i="21"/>
  <c r="K1511" i="21"/>
  <c r="N1511" i="21"/>
  <c r="K1510" i="21"/>
  <c r="N1510" i="21"/>
  <c r="K1509" i="21"/>
  <c r="N1509" i="21"/>
  <c r="K1508" i="21"/>
  <c r="N1508" i="21"/>
  <c r="K1507" i="21"/>
  <c r="N1507" i="21"/>
  <c r="K1460" i="21"/>
  <c r="N1460" i="21"/>
  <c r="K1459" i="21"/>
  <c r="N1459" i="21"/>
  <c r="K1409" i="21"/>
  <c r="N1409" i="21"/>
  <c r="K1408" i="21"/>
  <c r="N1408" i="21"/>
  <c r="K1317" i="21"/>
  <c r="N1317" i="21"/>
  <c r="K1316" i="21"/>
  <c r="N1316" i="21"/>
  <c r="K1315" i="21"/>
  <c r="N1315" i="21"/>
  <c r="K1314" i="21"/>
  <c r="N1314" i="21"/>
  <c r="K1313" i="21"/>
  <c r="N1313" i="21"/>
  <c r="K1312" i="21"/>
  <c r="N1312" i="21"/>
  <c r="K1311" i="21"/>
  <c r="N1311" i="21"/>
  <c r="K1310" i="21"/>
  <c r="N1310" i="21"/>
  <c r="K1309" i="21"/>
  <c r="N1309" i="21"/>
  <c r="K1308" i="21"/>
  <c r="N1308" i="21"/>
  <c r="K1307" i="21"/>
  <c r="N1307" i="21"/>
  <c r="K1306" i="21"/>
  <c r="N1306" i="21"/>
  <c r="K1302" i="21"/>
  <c r="N1302" i="21"/>
  <c r="K1301" i="21"/>
  <c r="N1301" i="21"/>
  <c r="K1300" i="21"/>
  <c r="N1300" i="21"/>
  <c r="K1299" i="21"/>
  <c r="N1299" i="21"/>
  <c r="K1298" i="21"/>
  <c r="N1298" i="21"/>
  <c r="K1297" i="21"/>
  <c r="N1297" i="21"/>
  <c r="K1296" i="21"/>
  <c r="N1296" i="21"/>
  <c r="K1295" i="21"/>
  <c r="N1295" i="21"/>
  <c r="K1294" i="21"/>
  <c r="N1294" i="21"/>
  <c r="K1293" i="21"/>
  <c r="N1293" i="21"/>
  <c r="K1292" i="21"/>
  <c r="N1292" i="21"/>
  <c r="K1291" i="21"/>
  <c r="N1291" i="21"/>
  <c r="K1256" i="21"/>
  <c r="N1256" i="21"/>
  <c r="K1254" i="21"/>
  <c r="N1254" i="21"/>
  <c r="K1253" i="21"/>
  <c r="N1253" i="21"/>
  <c r="K1252" i="21"/>
  <c r="N1252" i="21"/>
  <c r="K1250" i="21"/>
  <c r="N1250" i="21"/>
  <c r="K1249" i="21"/>
  <c r="N1249" i="21"/>
  <c r="K1248" i="21"/>
  <c r="N1248" i="21"/>
  <c r="K1246" i="21"/>
  <c r="N1246" i="21"/>
  <c r="K1245" i="21"/>
  <c r="N1245" i="21"/>
  <c r="K1244" i="21"/>
  <c r="N1244" i="21"/>
  <c r="K1242" i="21"/>
  <c r="N1242" i="21"/>
  <c r="K1241" i="21"/>
  <c r="N1241" i="21"/>
  <c r="K1240" i="21"/>
  <c r="N1240" i="21"/>
  <c r="K1188" i="21"/>
  <c r="N1188" i="21"/>
  <c r="L76" i="20"/>
  <c r="I1187" i="21"/>
  <c r="K1132" i="21"/>
  <c r="N1132" i="21"/>
  <c r="L75" i="20"/>
  <c r="I1131" i="21"/>
  <c r="K1076" i="21"/>
  <c r="N1076" i="21"/>
  <c r="L74" i="20"/>
  <c r="I1075" i="21"/>
  <c r="K1020" i="21"/>
  <c r="N1020" i="21"/>
  <c r="I1019" i="21"/>
  <c r="L73" i="20"/>
  <c r="K964" i="21"/>
  <c r="N964" i="21"/>
  <c r="K963" i="21"/>
  <c r="N963" i="21"/>
  <c r="L72" i="20"/>
  <c r="K908" i="21"/>
  <c r="N908" i="21"/>
  <c r="K907" i="21"/>
  <c r="N907" i="21"/>
  <c r="L71" i="20"/>
  <c r="K852" i="21"/>
  <c r="N852" i="21"/>
  <c r="K851" i="21"/>
  <c r="N851" i="21"/>
  <c r="L70" i="20"/>
  <c r="K796" i="21"/>
  <c r="N796" i="21"/>
  <c r="K795" i="21"/>
  <c r="N795" i="21"/>
  <c r="K790" i="21"/>
  <c r="N790" i="21"/>
  <c r="O68" i="20" s="1"/>
  <c r="N68" i="20"/>
  <c r="K789" i="21"/>
  <c r="N789" i="21"/>
  <c r="K756" i="21"/>
  <c r="N756" i="21"/>
  <c r="K754" i="21"/>
  <c r="N754" i="21"/>
  <c r="K753" i="21"/>
  <c r="N753" i="21"/>
  <c r="O67" i="20" s="1"/>
  <c r="N67" i="20"/>
  <c r="K752" i="21"/>
  <c r="N752" i="21"/>
  <c r="K750" i="21"/>
  <c r="N750" i="21"/>
  <c r="K749" i="21"/>
  <c r="N749" i="21"/>
  <c r="K748" i="21"/>
  <c r="N748" i="21"/>
  <c r="K746" i="21"/>
  <c r="N746" i="21"/>
  <c r="K745" i="21"/>
  <c r="N745" i="21"/>
  <c r="K744" i="21"/>
  <c r="N744" i="21"/>
  <c r="K742" i="21"/>
  <c r="N742" i="21"/>
  <c r="K741" i="21"/>
  <c r="N741" i="21"/>
  <c r="K740" i="21"/>
  <c r="N740" i="21"/>
  <c r="K708" i="21"/>
  <c r="N708" i="21"/>
  <c r="K706" i="21"/>
  <c r="N706" i="21"/>
  <c r="K705" i="21"/>
  <c r="N705" i="21"/>
  <c r="O66" i="20" s="1"/>
  <c r="N66" i="20"/>
  <c r="K704" i="21"/>
  <c r="N704" i="21"/>
  <c r="K702" i="21"/>
  <c r="N702" i="21"/>
  <c r="K701" i="21"/>
  <c r="N701" i="21"/>
  <c r="K700" i="21"/>
  <c r="N700" i="21"/>
  <c r="K698" i="21"/>
  <c r="N698" i="21"/>
  <c r="K697" i="21"/>
  <c r="N697" i="21"/>
  <c r="K696" i="21"/>
  <c r="N696" i="21"/>
  <c r="K694" i="21"/>
  <c r="N694" i="21"/>
  <c r="K693" i="21"/>
  <c r="N693" i="21"/>
  <c r="K692" i="21"/>
  <c r="N692" i="21"/>
  <c r="K660" i="21"/>
  <c r="N660" i="21"/>
  <c r="K658" i="21"/>
  <c r="N658" i="21"/>
  <c r="I657" i="21"/>
  <c r="L65" i="20"/>
  <c r="K656" i="21"/>
  <c r="N656" i="21"/>
  <c r="K654" i="21"/>
  <c r="N654" i="21"/>
  <c r="K653" i="21"/>
  <c r="N653" i="21"/>
  <c r="K652" i="21"/>
  <c r="N652" i="21"/>
  <c r="K650" i="21"/>
  <c r="N650" i="21"/>
  <c r="K649" i="21"/>
  <c r="N649" i="21"/>
  <c r="K648" i="21"/>
  <c r="N648" i="21"/>
  <c r="K646" i="21"/>
  <c r="N646" i="21"/>
  <c r="K645" i="21"/>
  <c r="N645" i="21"/>
  <c r="K644" i="21"/>
  <c r="N644" i="21"/>
  <c r="K612" i="21"/>
  <c r="N612" i="21"/>
  <c r="K610" i="21"/>
  <c r="N610" i="21"/>
  <c r="K609" i="21"/>
  <c r="N609" i="21"/>
  <c r="K608" i="21"/>
  <c r="N608" i="21"/>
  <c r="K606" i="21"/>
  <c r="N606" i="21"/>
  <c r="K605" i="21"/>
  <c r="N605" i="21"/>
  <c r="K604" i="21"/>
  <c r="N604" i="21"/>
  <c r="K602" i="21"/>
  <c r="N602" i="21"/>
  <c r="K601" i="21"/>
  <c r="N601" i="21"/>
  <c r="K600" i="21"/>
  <c r="N600" i="21"/>
  <c r="K598" i="21"/>
  <c r="N598" i="21"/>
  <c r="K597" i="21"/>
  <c r="N597" i="21"/>
  <c r="L64" i="20"/>
  <c r="I596" i="21"/>
  <c r="K564" i="21"/>
  <c r="N564" i="21"/>
  <c r="K562" i="21"/>
  <c r="N562" i="21"/>
  <c r="L63" i="20"/>
  <c r="I561" i="21"/>
  <c r="K560" i="21"/>
  <c r="N560" i="21"/>
  <c r="K558" i="21"/>
  <c r="N558" i="21"/>
  <c r="K557" i="21"/>
  <c r="N557" i="21"/>
  <c r="K556" i="21"/>
  <c r="N556" i="21"/>
  <c r="K554" i="21"/>
  <c r="N554" i="21"/>
  <c r="K553" i="21"/>
  <c r="N553" i="21"/>
  <c r="K552" i="21"/>
  <c r="N552" i="21"/>
  <c r="K550" i="21"/>
  <c r="N550" i="21"/>
  <c r="K549" i="21"/>
  <c r="N549" i="21"/>
  <c r="K548" i="21"/>
  <c r="N548" i="21"/>
  <c r="K542" i="21"/>
  <c r="N542" i="21"/>
  <c r="K541" i="21"/>
  <c r="N541" i="21"/>
  <c r="K540" i="21"/>
  <c r="N540" i="21"/>
  <c r="K539" i="21"/>
  <c r="N539" i="21"/>
  <c r="K538" i="21"/>
  <c r="N538" i="21"/>
  <c r="K537" i="21"/>
  <c r="N537" i="21"/>
  <c r="K536" i="21"/>
  <c r="N536" i="21"/>
  <c r="K535" i="21"/>
  <c r="N535" i="21"/>
  <c r="K534" i="21"/>
  <c r="N534" i="21"/>
  <c r="K533" i="21"/>
  <c r="N533" i="21"/>
  <c r="K532" i="21"/>
  <c r="N532" i="21"/>
  <c r="K531" i="21"/>
  <c r="N531" i="21"/>
  <c r="K525" i="21"/>
  <c r="N525" i="21"/>
  <c r="K524" i="21"/>
  <c r="N524" i="21"/>
  <c r="K523" i="21"/>
  <c r="N523" i="21"/>
  <c r="K522" i="21"/>
  <c r="N522" i="21"/>
  <c r="K521" i="21"/>
  <c r="N521" i="21"/>
  <c r="K520" i="21"/>
  <c r="N520" i="21"/>
  <c r="K519" i="21"/>
  <c r="N519" i="21"/>
  <c r="K518" i="21"/>
  <c r="N518" i="21"/>
  <c r="K517" i="21"/>
  <c r="N517" i="21"/>
  <c r="K516" i="21"/>
  <c r="N516" i="21"/>
  <c r="K515" i="21"/>
  <c r="N515" i="21"/>
  <c r="K514" i="21"/>
  <c r="N514" i="21"/>
  <c r="K508" i="21"/>
  <c r="N508" i="21"/>
  <c r="K507" i="21"/>
  <c r="N507" i="21"/>
  <c r="K506" i="21"/>
  <c r="N506" i="21"/>
  <c r="K505" i="21"/>
  <c r="N505" i="21"/>
  <c r="K504" i="21"/>
  <c r="N504" i="21"/>
  <c r="K503" i="21"/>
  <c r="N503" i="21"/>
  <c r="K502" i="21"/>
  <c r="N502" i="21"/>
  <c r="K501" i="21"/>
  <c r="N501" i="21"/>
  <c r="K500" i="21"/>
  <c r="N500" i="21"/>
  <c r="K499" i="21"/>
  <c r="N499" i="21"/>
  <c r="K498" i="21"/>
  <c r="N498" i="21"/>
  <c r="K497" i="21"/>
  <c r="N497" i="21"/>
  <c r="K468" i="21"/>
  <c r="N468" i="21"/>
  <c r="K464" i="21"/>
  <c r="N464" i="21"/>
  <c r="I462" i="21"/>
  <c r="L49" i="20"/>
  <c r="I459" i="21"/>
  <c r="L48" i="20"/>
  <c r="I456" i="21"/>
  <c r="L47" i="20"/>
  <c r="I453" i="21"/>
  <c r="L46" i="20"/>
  <c r="L45" i="20"/>
  <c r="L44" i="20"/>
  <c r="K441" i="21"/>
  <c r="N441" i="21"/>
  <c r="L43" i="20"/>
  <c r="L36" i="20"/>
  <c r="K383" i="21"/>
  <c r="N383" i="21"/>
  <c r="L35" i="20"/>
  <c r="K363" i="21"/>
  <c r="N363" i="21"/>
  <c r="L34" i="20"/>
  <c r="K343" i="21"/>
  <c r="N343" i="21"/>
  <c r="L33" i="20"/>
  <c r="K323" i="21"/>
  <c r="N323" i="21"/>
  <c r="L32" i="20"/>
  <c r="K303" i="21"/>
  <c r="N303" i="21"/>
  <c r="K272" i="21"/>
  <c r="N272" i="21"/>
  <c r="K271" i="21"/>
  <c r="N271" i="21"/>
  <c r="K270" i="21"/>
  <c r="N270" i="21"/>
  <c r="K269" i="21"/>
  <c r="N269" i="21"/>
  <c r="K268" i="21"/>
  <c r="N268" i="21"/>
  <c r="K267" i="21"/>
  <c r="N267" i="21"/>
  <c r="K266" i="21"/>
  <c r="N266" i="21"/>
  <c r="K265" i="21"/>
  <c r="N265" i="21"/>
  <c r="I264" i="21"/>
  <c r="L28" i="20"/>
  <c r="K263" i="21"/>
  <c r="N263" i="21"/>
  <c r="K262" i="21"/>
  <c r="N262" i="21"/>
  <c r="I261" i="21"/>
  <c r="L27" i="20"/>
  <c r="K260" i="21"/>
  <c r="N260" i="21"/>
  <c r="K259" i="21"/>
  <c r="N259" i="21"/>
  <c r="L26" i="20"/>
  <c r="K255" i="21"/>
  <c r="N255" i="21"/>
  <c r="L25" i="20"/>
  <c r="K251" i="21"/>
  <c r="N251" i="21"/>
  <c r="N215" i="21"/>
  <c r="K215" i="21"/>
  <c r="K213" i="21"/>
  <c r="N213" i="21"/>
  <c r="L24" i="20"/>
  <c r="I212" i="21"/>
  <c r="K211" i="21"/>
  <c r="N211" i="21"/>
  <c r="K209" i="21"/>
  <c r="N209" i="21"/>
  <c r="K208" i="21"/>
  <c r="N208" i="21"/>
  <c r="N207" i="21"/>
  <c r="K207" i="21"/>
  <c r="K205" i="21"/>
  <c r="N205" i="21"/>
  <c r="K204" i="21"/>
  <c r="N204" i="21"/>
  <c r="K203" i="21"/>
  <c r="N203" i="21"/>
  <c r="K201" i="21"/>
  <c r="N201" i="21"/>
  <c r="K200" i="21"/>
  <c r="N200" i="21"/>
  <c r="K199" i="21"/>
  <c r="N199" i="21"/>
  <c r="N164" i="21"/>
  <c r="K164" i="21"/>
  <c r="K162" i="21"/>
  <c r="N162" i="21"/>
  <c r="L23" i="20"/>
  <c r="I161" i="21"/>
  <c r="N160" i="21"/>
  <c r="K160" i="21"/>
  <c r="K158" i="21"/>
  <c r="N158" i="21"/>
  <c r="N157" i="21"/>
  <c r="K157" i="21"/>
  <c r="N156" i="21"/>
  <c r="K156" i="21"/>
  <c r="K154" i="21"/>
  <c r="N154" i="21"/>
  <c r="K153" i="21"/>
  <c r="N153" i="21"/>
  <c r="K152" i="21"/>
  <c r="N152" i="21"/>
  <c r="N150" i="21"/>
  <c r="K150" i="21"/>
  <c r="N149" i="21"/>
  <c r="K149" i="21"/>
  <c r="N148" i="21"/>
  <c r="K148" i="21"/>
  <c r="K113" i="21"/>
  <c r="N113" i="21"/>
  <c r="K111" i="21"/>
  <c r="N111" i="21"/>
  <c r="K110" i="21"/>
  <c r="N110" i="21"/>
  <c r="O22" i="20" s="1"/>
  <c r="N22" i="20"/>
  <c r="K109" i="21"/>
  <c r="N109" i="21"/>
  <c r="K107" i="21"/>
  <c r="N107" i="21"/>
  <c r="K106" i="21"/>
  <c r="N106" i="21"/>
  <c r="K105" i="21"/>
  <c r="N105" i="21"/>
  <c r="K103" i="21"/>
  <c r="N103" i="21"/>
  <c r="K102" i="21"/>
  <c r="N102" i="21"/>
  <c r="K101" i="21"/>
  <c r="N101" i="21"/>
  <c r="K99" i="21"/>
  <c r="N99" i="21"/>
  <c r="K98" i="21"/>
  <c r="N98" i="21"/>
  <c r="K97" i="21"/>
  <c r="N97" i="21"/>
  <c r="K62" i="21"/>
  <c r="N62" i="21"/>
  <c r="K60" i="21"/>
  <c r="N60" i="21"/>
  <c r="K59" i="21"/>
  <c r="N59" i="21"/>
  <c r="O21" i="20" s="1"/>
  <c r="N21" i="20"/>
  <c r="K58" i="21"/>
  <c r="N58" i="21"/>
  <c r="K56" i="21"/>
  <c r="N56" i="21"/>
  <c r="K55" i="21"/>
  <c r="N55" i="21"/>
  <c r="K54" i="21"/>
  <c r="N54" i="21"/>
  <c r="K52" i="21"/>
  <c r="N52" i="21"/>
  <c r="K51" i="21"/>
  <c r="N51" i="21"/>
  <c r="K50" i="21"/>
  <c r="N50" i="21"/>
  <c r="K48" i="21"/>
  <c r="N48" i="21"/>
  <c r="K47" i="21"/>
  <c r="N47" i="21"/>
  <c r="K46" i="21"/>
  <c r="N46" i="21"/>
  <c r="K41" i="21"/>
  <c r="N41" i="21"/>
  <c r="O19" i="20" s="1"/>
  <c r="F80" i="28"/>
  <c r="G80" i="28" s="1"/>
  <c r="N19" i="20"/>
  <c r="K40" i="21"/>
  <c r="N40" i="21"/>
  <c r="K39" i="21"/>
  <c r="N39" i="21"/>
  <c r="K38" i="21"/>
  <c r="N38" i="21"/>
  <c r="K37" i="21"/>
  <c r="N37" i="21"/>
  <c r="K36" i="21"/>
  <c r="N36" i="21"/>
  <c r="K35" i="21"/>
  <c r="N35" i="21"/>
  <c r="K34" i="21"/>
  <c r="N34" i="21"/>
  <c r="K33" i="21"/>
  <c r="N33" i="21"/>
  <c r="K32" i="21"/>
  <c r="N32" i="21"/>
  <c r="K31" i="21"/>
  <c r="N31" i="21"/>
  <c r="K27" i="21"/>
  <c r="N27" i="21"/>
  <c r="K22" i="21"/>
  <c r="N22" i="21"/>
  <c r="K17" i="21"/>
  <c r="N17" i="21"/>
  <c r="K12" i="21"/>
  <c r="N12" i="21"/>
  <c r="K7" i="21"/>
  <c r="N7" i="21"/>
  <c r="J245" i="8"/>
  <c r="L245" i="8" s="1"/>
  <c r="K245" i="8"/>
  <c r="R245" i="8" s="1"/>
  <c r="N245" i="8"/>
  <c r="J244" i="8"/>
  <c r="L244" i="8" s="1"/>
  <c r="N244" i="8"/>
  <c r="K244" i="8"/>
  <c r="R244" i="8" s="1"/>
  <c r="N243" i="8"/>
  <c r="K243" i="8"/>
  <c r="J243" i="8"/>
  <c r="L243" i="8" s="1"/>
  <c r="P243" i="8" s="1"/>
  <c r="J242" i="8"/>
  <c r="N242" i="8"/>
  <c r="L242" i="8"/>
  <c r="K242" i="8"/>
  <c r="R242" i="8" s="1"/>
  <c r="K241" i="8"/>
  <c r="N241" i="8"/>
  <c r="J241" i="8"/>
  <c r="L241" i="8" s="1"/>
  <c r="P241" i="8" s="1"/>
  <c r="N239" i="8"/>
  <c r="J239" i="8"/>
  <c r="L239" i="8" s="1"/>
  <c r="K239" i="8"/>
  <c r="R239" i="8" s="1"/>
  <c r="K238" i="8"/>
  <c r="J238" i="8"/>
  <c r="N238" i="8"/>
  <c r="L238" i="8"/>
  <c r="P238" i="8" s="1"/>
  <c r="J237" i="8"/>
  <c r="L237" i="8" s="1"/>
  <c r="K237" i="8"/>
  <c r="R237" i="8" s="1"/>
  <c r="N237" i="8"/>
  <c r="K236" i="8"/>
  <c r="J236" i="8"/>
  <c r="L236" i="8" s="1"/>
  <c r="P236" i="8" s="1"/>
  <c r="N236" i="8"/>
  <c r="K235" i="8"/>
  <c r="N235" i="8"/>
  <c r="J235" i="8"/>
  <c r="L235" i="8" s="1"/>
  <c r="P235" i="8" s="1"/>
  <c r="J233" i="8"/>
  <c r="L233" i="8" s="1"/>
  <c r="K233" i="8"/>
  <c r="R233" i="8" s="1"/>
  <c r="N233" i="8"/>
  <c r="K232" i="8"/>
  <c r="J232" i="8"/>
  <c r="N232" i="8"/>
  <c r="L232" i="8"/>
  <c r="P232" i="8" s="1"/>
  <c r="K231" i="8"/>
  <c r="J231" i="8"/>
  <c r="L231" i="8"/>
  <c r="P231" i="8" s="1"/>
  <c r="N231" i="8"/>
  <c r="J230" i="8"/>
  <c r="K230" i="8"/>
  <c r="R230" i="8" s="1"/>
  <c r="N230" i="8"/>
  <c r="L230" i="8"/>
  <c r="P230" i="8" s="1"/>
  <c r="N229" i="8"/>
  <c r="J229" i="8"/>
  <c r="L229" i="8" s="1"/>
  <c r="K229" i="8"/>
  <c r="R229" i="8" s="1"/>
  <c r="M829" i="14"/>
  <c r="N829" i="14" s="1"/>
  <c r="Q30" i="11"/>
  <c r="M796" i="14"/>
  <c r="N796" i="14" s="1"/>
  <c r="Q29" i="11"/>
  <c r="M763" i="14"/>
  <c r="N763" i="14" s="1"/>
  <c r="Q28" i="11"/>
  <c r="Q27" i="11"/>
  <c r="M730" i="14"/>
  <c r="N730" i="14" s="1"/>
  <c r="Q26" i="11"/>
  <c r="M697" i="14"/>
  <c r="N697" i="14" s="1"/>
  <c r="I72" i="8"/>
  <c r="M808" i="14"/>
  <c r="N808" i="14" s="1"/>
  <c r="M775" i="14"/>
  <c r="N775" i="14" s="1"/>
  <c r="I71" i="8"/>
  <c r="I70" i="8"/>
  <c r="M742" i="14"/>
  <c r="N742" i="14" s="1"/>
  <c r="I69" i="8"/>
  <c r="M709" i="14"/>
  <c r="N709" i="14" s="1"/>
  <c r="I68" i="8"/>
  <c r="M676" i="14"/>
  <c r="N676" i="14" s="1"/>
  <c r="I66" i="8"/>
  <c r="M807" i="14"/>
  <c r="N807" i="14" s="1"/>
  <c r="M774" i="14"/>
  <c r="N774" i="14" s="1"/>
  <c r="I65" i="8"/>
  <c r="M741" i="14"/>
  <c r="N741" i="14" s="1"/>
  <c r="I64" i="8"/>
  <c r="I63" i="8"/>
  <c r="M708" i="14"/>
  <c r="N708" i="14" s="1"/>
  <c r="M675" i="14"/>
  <c r="N675" i="14" s="1"/>
  <c r="I62" i="8"/>
  <c r="M805" i="14"/>
  <c r="N805" i="14" s="1"/>
  <c r="I54" i="8"/>
  <c r="I53" i="8"/>
  <c r="M772" i="14"/>
  <c r="N772" i="14" s="1"/>
  <c r="I52" i="8"/>
  <c r="M739" i="14"/>
  <c r="N739" i="14" s="1"/>
  <c r="M706" i="14"/>
  <c r="N706" i="14" s="1"/>
  <c r="I51" i="8"/>
  <c r="I50" i="8"/>
  <c r="M673" i="14"/>
  <c r="N673" i="14" s="1"/>
  <c r="M804" i="14"/>
  <c r="N804" i="14" s="1"/>
  <c r="I48" i="8"/>
  <c r="I47" i="8"/>
  <c r="M771" i="14"/>
  <c r="N771" i="14" s="1"/>
  <c r="I46" i="8"/>
  <c r="M738" i="14"/>
  <c r="N738" i="14" s="1"/>
  <c r="I45" i="8"/>
  <c r="M705" i="14"/>
  <c r="N705" i="14" s="1"/>
  <c r="M672" i="14"/>
  <c r="N672" i="14" s="1"/>
  <c r="I44" i="8"/>
  <c r="G825" i="14"/>
  <c r="X30" i="30"/>
  <c r="Y30" i="30" s="1"/>
  <c r="G30" i="11"/>
  <c r="H169" i="7"/>
  <c r="H133" i="7"/>
  <c r="F660" i="26"/>
  <c r="X29" i="30"/>
  <c r="Y29" i="30" s="1"/>
  <c r="G133" i="7"/>
  <c r="G29" i="11"/>
  <c r="G792" i="14"/>
  <c r="G169" i="7"/>
  <c r="F659" i="26"/>
  <c r="X28" i="30"/>
  <c r="Y28" i="30" s="1"/>
  <c r="N1950" i="9"/>
  <c r="O1950" i="9" s="1"/>
  <c r="G28" i="11"/>
  <c r="F133" i="7"/>
  <c r="H55" i="18"/>
  <c r="F658" i="26"/>
  <c r="F169" i="7"/>
  <c r="G759" i="14"/>
  <c r="F129" i="7"/>
  <c r="E169" i="7"/>
  <c r="E133" i="7"/>
  <c r="X27" i="30"/>
  <c r="Y27" i="30" s="1"/>
  <c r="G726" i="14"/>
  <c r="H54" i="18"/>
  <c r="H60" i="18" s="1"/>
  <c r="H62" i="18" s="1"/>
  <c r="G27" i="11"/>
  <c r="F657" i="26"/>
  <c r="F656" i="26"/>
  <c r="X26" i="30"/>
  <c r="Y26" i="30" s="1"/>
  <c r="D169" i="7"/>
  <c r="G693" i="14"/>
  <c r="G26" i="11"/>
  <c r="D133" i="7"/>
  <c r="H287" i="21"/>
  <c r="H283" i="21"/>
  <c r="H31" i="20"/>
  <c r="G817" i="14"/>
  <c r="H299" i="21"/>
  <c r="H295" i="21"/>
  <c r="H291" i="21"/>
  <c r="H281" i="21"/>
  <c r="F615" i="26"/>
  <c r="G14" i="32" s="1"/>
  <c r="H1390" i="21"/>
  <c r="H1386" i="21"/>
  <c r="H1384" i="21"/>
  <c r="G784" i="14"/>
  <c r="H1394" i="21"/>
  <c r="H1398" i="21"/>
  <c r="H1402" i="21"/>
  <c r="F614" i="26"/>
  <c r="H1377" i="21"/>
  <c r="H1373" i="21"/>
  <c r="H1369" i="21"/>
  <c r="H1365" i="21"/>
  <c r="G751" i="14"/>
  <c r="H1381" i="21"/>
  <c r="F613" i="26"/>
  <c r="H1363" i="21"/>
  <c r="G718" i="14"/>
  <c r="H1342" i="21"/>
  <c r="H1344" i="21"/>
  <c r="H1348" i="21"/>
  <c r="H1352" i="21"/>
  <c r="F612" i="26"/>
  <c r="H1356" i="21"/>
  <c r="H1360" i="21"/>
  <c r="H1331" i="21"/>
  <c r="H1335" i="21"/>
  <c r="G685" i="14"/>
  <c r="H1339" i="21"/>
  <c r="H1321" i="21"/>
  <c r="H1327" i="21"/>
  <c r="H1323" i="21"/>
  <c r="F611" i="26"/>
  <c r="E620" i="26"/>
  <c r="F818" i="14"/>
  <c r="H161" i="7"/>
  <c r="H91" i="7"/>
  <c r="H225" i="7"/>
  <c r="H210" i="7"/>
  <c r="G91" i="7"/>
  <c r="H226" i="7"/>
  <c r="F785" i="14"/>
  <c r="G225" i="7"/>
  <c r="G210" i="7"/>
  <c r="G161" i="7"/>
  <c r="E619" i="26"/>
  <c r="F91" i="7"/>
  <c r="F210" i="7"/>
  <c r="G226" i="7"/>
  <c r="F752" i="14"/>
  <c r="F161" i="7"/>
  <c r="F225" i="7"/>
  <c r="E618" i="26"/>
  <c r="F226" i="7"/>
  <c r="E210" i="7"/>
  <c r="F719" i="14"/>
  <c r="E91" i="7"/>
  <c r="E161" i="7"/>
  <c r="E617" i="26"/>
  <c r="E225" i="7"/>
  <c r="D226" i="7"/>
  <c r="D91" i="7"/>
  <c r="D161" i="7"/>
  <c r="F686" i="14"/>
  <c r="D210" i="7"/>
  <c r="E616" i="26"/>
  <c r="E226" i="7"/>
  <c r="H70" i="7"/>
  <c r="F610" i="26"/>
  <c r="F815" i="14"/>
  <c r="H239" i="7"/>
  <c r="E605" i="26"/>
  <c r="E610" i="26"/>
  <c r="G815" i="14"/>
  <c r="H815" i="14" s="1"/>
  <c r="R30" i="30"/>
  <c r="H157" i="7"/>
  <c r="G782" i="14"/>
  <c r="G70" i="7"/>
  <c r="R29" i="30"/>
  <c r="H240" i="7"/>
  <c r="E604" i="26"/>
  <c r="E609" i="26"/>
  <c r="F609" i="26"/>
  <c r="G157" i="7"/>
  <c r="F782" i="14"/>
  <c r="G239" i="7"/>
  <c r="R28" i="30"/>
  <c r="G240" i="7"/>
  <c r="F239" i="7"/>
  <c r="F70" i="7"/>
  <c r="F157" i="7"/>
  <c r="E603" i="26"/>
  <c r="G749" i="14"/>
  <c r="F608" i="26"/>
  <c r="E608" i="26"/>
  <c r="F749" i="14"/>
  <c r="R27" i="30"/>
  <c r="F240" i="7"/>
  <c r="E239" i="7"/>
  <c r="E70" i="7"/>
  <c r="E157" i="7"/>
  <c r="G716" i="14"/>
  <c r="F716" i="14"/>
  <c r="E602" i="26"/>
  <c r="F607" i="26"/>
  <c r="E607" i="26"/>
  <c r="R26" i="30"/>
  <c r="E240" i="7"/>
  <c r="G683" i="14"/>
  <c r="F683" i="14"/>
  <c r="D70" i="7"/>
  <c r="D157" i="7"/>
  <c r="D239" i="7"/>
  <c r="E606" i="26"/>
  <c r="E601" i="26"/>
  <c r="F606" i="26"/>
  <c r="D240" i="7"/>
  <c r="C70" i="7"/>
  <c r="H767" i="21"/>
  <c r="H747" i="21"/>
  <c r="I747" i="21" s="1"/>
  <c r="E284" i="29"/>
  <c r="G284" i="29" s="1"/>
  <c r="I284" i="29" s="1"/>
  <c r="H241" i="7"/>
  <c r="H743" i="21"/>
  <c r="I743" i="21" s="1"/>
  <c r="H46" i="9"/>
  <c r="H783" i="21"/>
  <c r="H759" i="21"/>
  <c r="H763" i="21"/>
  <c r="H771" i="21"/>
  <c r="H775" i="21"/>
  <c r="H779" i="21"/>
  <c r="H751" i="21"/>
  <c r="I751" i="21" s="1"/>
  <c r="H755" i="21"/>
  <c r="I755" i="21" s="1"/>
  <c r="H147" i="7"/>
  <c r="E285" i="29"/>
  <c r="G285" i="29" s="1"/>
  <c r="I285" i="29" s="1"/>
  <c r="G803" i="14"/>
  <c r="H715" i="21"/>
  <c r="F806" i="14"/>
  <c r="H723" i="21"/>
  <c r="H727" i="21"/>
  <c r="F570" i="26"/>
  <c r="H699" i="21"/>
  <c r="I699" i="21" s="1"/>
  <c r="H144" i="7"/>
  <c r="F810" i="14"/>
  <c r="E580" i="26"/>
  <c r="H242" i="7"/>
  <c r="H703" i="21"/>
  <c r="I703" i="21" s="1"/>
  <c r="G241" i="7"/>
  <c r="H719" i="21"/>
  <c r="H707" i="21"/>
  <c r="I707" i="21" s="1"/>
  <c r="H151" i="7"/>
  <c r="H711" i="21"/>
  <c r="F809" i="14"/>
  <c r="G46" i="9"/>
  <c r="E282" i="29"/>
  <c r="G282" i="29" s="1"/>
  <c r="I282" i="29" s="1"/>
  <c r="H150" i="7"/>
  <c r="H735" i="21"/>
  <c r="H731" i="21"/>
  <c r="H695" i="21"/>
  <c r="I695" i="21" s="1"/>
  <c r="G770" i="14"/>
  <c r="H687" i="21"/>
  <c r="H683" i="21"/>
  <c r="H679" i="21"/>
  <c r="G150" i="7"/>
  <c r="H675" i="21"/>
  <c r="H671" i="21"/>
  <c r="H667" i="21"/>
  <c r="F241" i="7"/>
  <c r="H663" i="21"/>
  <c r="G144" i="7"/>
  <c r="G242" i="7"/>
  <c r="G147" i="7"/>
  <c r="E283" i="29"/>
  <c r="G283" i="29" s="1"/>
  <c r="I283" i="29" s="1"/>
  <c r="E280" i="29"/>
  <c r="G280" i="29" s="1"/>
  <c r="I280" i="29" s="1"/>
  <c r="F569" i="26"/>
  <c r="G151" i="7"/>
  <c r="E579" i="26"/>
  <c r="H659" i="21"/>
  <c r="I659" i="21" s="1"/>
  <c r="H655" i="21"/>
  <c r="I655" i="21" s="1"/>
  <c r="H651" i="21"/>
  <c r="I651" i="21" s="1"/>
  <c r="F777" i="14"/>
  <c r="F776" i="14"/>
  <c r="H647" i="21"/>
  <c r="I647" i="21" s="1"/>
  <c r="F773" i="14"/>
  <c r="F151" i="7"/>
  <c r="H607" i="21"/>
  <c r="I607" i="21" s="1"/>
  <c r="H603" i="21"/>
  <c r="I603" i="21" s="1"/>
  <c r="F568" i="26"/>
  <c r="E241" i="7"/>
  <c r="F147" i="7"/>
  <c r="H619" i="21"/>
  <c r="F144" i="7"/>
  <c r="G737" i="14"/>
  <c r="F740" i="14"/>
  <c r="G788" i="21"/>
  <c r="I788" i="21" s="1"/>
  <c r="G68" i="20"/>
  <c r="E578" i="26"/>
  <c r="E278" i="29"/>
  <c r="G278" i="29" s="1"/>
  <c r="I278" i="29" s="1"/>
  <c r="H627" i="21"/>
  <c r="H631" i="21"/>
  <c r="H599" i="21"/>
  <c r="I599" i="21" s="1"/>
  <c r="H639" i="21"/>
  <c r="H615" i="21"/>
  <c r="F150" i="7"/>
  <c r="H635" i="21"/>
  <c r="F743" i="14"/>
  <c r="G791" i="21"/>
  <c r="I791" i="21" s="1"/>
  <c r="F744" i="14"/>
  <c r="H611" i="21"/>
  <c r="I611" i="21" s="1"/>
  <c r="E281" i="29"/>
  <c r="G281" i="29" s="1"/>
  <c r="I281" i="29" s="1"/>
  <c r="F242" i="7"/>
  <c r="H623" i="21"/>
  <c r="H575" i="21"/>
  <c r="F710" i="14"/>
  <c r="F711" i="14"/>
  <c r="E147" i="7"/>
  <c r="H563" i="21"/>
  <c r="I563" i="21" s="1"/>
  <c r="H571" i="21"/>
  <c r="E150" i="7"/>
  <c r="H567" i="21"/>
  <c r="H579" i="21"/>
  <c r="E151" i="7"/>
  <c r="F707" i="14"/>
  <c r="H583" i="21"/>
  <c r="D241" i="7"/>
  <c r="H587" i="21"/>
  <c r="E242" i="7"/>
  <c r="H559" i="21"/>
  <c r="I559" i="21" s="1"/>
  <c r="E276" i="29"/>
  <c r="G276" i="29" s="1"/>
  <c r="I276" i="29" s="1"/>
  <c r="E144" i="7"/>
  <c r="F567" i="26"/>
  <c r="H591" i="21"/>
  <c r="E577" i="26"/>
  <c r="H555" i="21"/>
  <c r="I555" i="21" s="1"/>
  <c r="E279" i="29"/>
  <c r="G279" i="29" s="1"/>
  <c r="I279" i="29" s="1"/>
  <c r="G704" i="14"/>
  <c r="H551" i="21"/>
  <c r="I551" i="21" s="1"/>
  <c r="F566" i="26"/>
  <c r="E576" i="26"/>
  <c r="G671" i="14"/>
  <c r="D147" i="7"/>
  <c r="E277" i="29"/>
  <c r="G277" i="29" s="1"/>
  <c r="I277" i="29" s="1"/>
  <c r="F677" i="14"/>
  <c r="D144" i="7"/>
  <c r="F678" i="14"/>
  <c r="D242" i="7"/>
  <c r="F674" i="14"/>
  <c r="D151" i="7"/>
  <c r="D150" i="7"/>
  <c r="H139" i="7"/>
  <c r="D227" i="24"/>
  <c r="F227" i="24" s="1"/>
  <c r="G798" i="14"/>
  <c r="F550" i="26"/>
  <c r="G800" i="14"/>
  <c r="F555" i="26"/>
  <c r="G799" i="14"/>
  <c r="H73" i="7"/>
  <c r="H138" i="7"/>
  <c r="F560" i="26"/>
  <c r="H140" i="7"/>
  <c r="G759" i="21"/>
  <c r="G758" i="21"/>
  <c r="I758" i="21" s="1"/>
  <c r="G765" i="14"/>
  <c r="G140" i="7"/>
  <c r="G138" i="7"/>
  <c r="G760" i="21"/>
  <c r="I760" i="21" s="1"/>
  <c r="G757" i="21"/>
  <c r="I757" i="21" s="1"/>
  <c r="F549" i="26"/>
  <c r="F554" i="26"/>
  <c r="G767" i="14"/>
  <c r="G73" i="7"/>
  <c r="G766" i="14"/>
  <c r="F559" i="26"/>
  <c r="D219" i="24"/>
  <c r="F219" i="24" s="1"/>
  <c r="G139" i="7"/>
  <c r="G734" i="14"/>
  <c r="G733" i="14"/>
  <c r="G732" i="14"/>
  <c r="F558" i="26"/>
  <c r="F138" i="7"/>
  <c r="F73" i="7"/>
  <c r="F139" i="7"/>
  <c r="D211" i="24"/>
  <c r="F211" i="24" s="1"/>
  <c r="F140" i="7"/>
  <c r="F548" i="26"/>
  <c r="G712" i="21"/>
  <c r="I712" i="21" s="1"/>
  <c r="G711" i="21"/>
  <c r="F553" i="26"/>
  <c r="G710" i="21"/>
  <c r="I710" i="21" s="1"/>
  <c r="G709" i="21"/>
  <c r="I709" i="21" s="1"/>
  <c r="E138" i="7"/>
  <c r="G664" i="21"/>
  <c r="I664" i="21" s="1"/>
  <c r="E140" i="7"/>
  <c r="E73" i="7"/>
  <c r="G663" i="21"/>
  <c r="I663" i="21" s="1"/>
  <c r="F552" i="26"/>
  <c r="G699" i="14"/>
  <c r="G700" i="14"/>
  <c r="E139" i="7"/>
  <c r="D203" i="24"/>
  <c r="F203" i="24" s="1"/>
  <c r="F557" i="26"/>
  <c r="G662" i="21"/>
  <c r="I662" i="21" s="1"/>
  <c r="F547" i="26"/>
  <c r="G661" i="21"/>
  <c r="I661" i="21" s="1"/>
  <c r="G701" i="14"/>
  <c r="D195" i="24"/>
  <c r="F195" i="24" s="1"/>
  <c r="G614" i="21"/>
  <c r="I614" i="21" s="1"/>
  <c r="G615" i="21"/>
  <c r="I615" i="21" s="1"/>
  <c r="F551" i="26"/>
  <c r="D139" i="7"/>
  <c r="G616" i="21"/>
  <c r="I616" i="21" s="1"/>
  <c r="D140" i="7"/>
  <c r="G668" i="14"/>
  <c r="G667" i="14"/>
  <c r="F546" i="26"/>
  <c r="G666" i="14"/>
  <c r="D73" i="7"/>
  <c r="D138" i="7"/>
  <c r="F556" i="26"/>
  <c r="G613" i="21"/>
  <c r="I613" i="21" s="1"/>
  <c r="G565" i="21"/>
  <c r="I565" i="21" s="1"/>
  <c r="C73" i="7"/>
  <c r="D190" i="24"/>
  <c r="F190" i="24" s="1"/>
  <c r="G566" i="21"/>
  <c r="I566" i="21" s="1"/>
  <c r="G567" i="21"/>
  <c r="I567" i="21" s="1"/>
  <c r="G568" i="21"/>
  <c r="I568" i="21" s="1"/>
  <c r="F813" i="14"/>
  <c r="F814" i="14"/>
  <c r="E600" i="26"/>
  <c r="F780" i="14"/>
  <c r="F781" i="14"/>
  <c r="E599" i="26"/>
  <c r="F747" i="14"/>
  <c r="F748" i="14"/>
  <c r="E598" i="26"/>
  <c r="F714" i="14"/>
  <c r="F715" i="14"/>
  <c r="E597" i="26"/>
  <c r="F681" i="14"/>
  <c r="F682" i="14"/>
  <c r="E596" i="26"/>
  <c r="F324" i="29"/>
  <c r="H63" i="7"/>
  <c r="D225" i="24"/>
  <c r="F225" i="24" s="1"/>
  <c r="H237" i="7"/>
  <c r="G826" i="14"/>
  <c r="H81" i="7"/>
  <c r="J43" i="9" s="1"/>
  <c r="H170" i="7"/>
  <c r="F825" i="14"/>
  <c r="E660" i="26"/>
  <c r="F640" i="26"/>
  <c r="F605" i="26"/>
  <c r="H156" i="7"/>
  <c r="H43" i="9"/>
  <c r="F670" i="26"/>
  <c r="G814" i="14"/>
  <c r="H814" i="14" s="1"/>
  <c r="G237" i="7"/>
  <c r="G43" i="9"/>
  <c r="G781" i="14"/>
  <c r="H781" i="14" s="1"/>
  <c r="F639" i="26"/>
  <c r="E659" i="26"/>
  <c r="G63" i="7"/>
  <c r="F669" i="26"/>
  <c r="G170" i="7"/>
  <c r="H238" i="7"/>
  <c r="F322" i="29"/>
  <c r="G156" i="7"/>
  <c r="G793" i="14"/>
  <c r="F792" i="14"/>
  <c r="G822" i="14"/>
  <c r="F604" i="26"/>
  <c r="G81" i="7"/>
  <c r="I43" i="9" s="1"/>
  <c r="D217" i="24"/>
  <c r="F217" i="24" s="1"/>
  <c r="F325" i="29"/>
  <c r="G748" i="14"/>
  <c r="H748" i="14" s="1"/>
  <c r="F759" i="14"/>
  <c r="G760" i="14"/>
  <c r="G789" i="14"/>
  <c r="F638" i="26"/>
  <c r="F156" i="7"/>
  <c r="E658" i="26"/>
  <c r="F668" i="26"/>
  <c r="F63" i="7"/>
  <c r="F170" i="7"/>
  <c r="F320" i="29"/>
  <c r="F323" i="29"/>
  <c r="F237" i="7"/>
  <c r="F81" i="7"/>
  <c r="G238" i="7"/>
  <c r="D209" i="24"/>
  <c r="F209" i="24" s="1"/>
  <c r="F43" i="9"/>
  <c r="F603" i="26"/>
  <c r="G727" i="14"/>
  <c r="E156" i="7"/>
  <c r="F726" i="14"/>
  <c r="G756" i="14"/>
  <c r="F602" i="26"/>
  <c r="D201" i="24"/>
  <c r="F201" i="24" s="1"/>
  <c r="F318" i="29"/>
  <c r="G715" i="14"/>
  <c r="H715" i="14" s="1"/>
  <c r="E170" i="7"/>
  <c r="E43" i="9"/>
  <c r="F238" i="7"/>
  <c r="E63" i="7"/>
  <c r="F637" i="26"/>
  <c r="F667" i="26"/>
  <c r="E657" i="26"/>
  <c r="E237" i="7"/>
  <c r="F321" i="29"/>
  <c r="E81" i="7"/>
  <c r="D170" i="7"/>
  <c r="G723" i="14"/>
  <c r="F666" i="26"/>
  <c r="D193" i="24"/>
  <c r="F193" i="24" s="1"/>
  <c r="D63" i="7"/>
  <c r="D156" i="7"/>
  <c r="F693" i="14"/>
  <c r="E656" i="26"/>
  <c r="F601" i="26"/>
  <c r="F636" i="26"/>
  <c r="E238" i="7"/>
  <c r="D43" i="9"/>
  <c r="F316" i="29"/>
  <c r="G694" i="14"/>
  <c r="G682" i="14"/>
  <c r="H682" i="14" s="1"/>
  <c r="F319" i="29"/>
  <c r="D81" i="7"/>
  <c r="D237" i="7"/>
  <c r="C43" i="9"/>
  <c r="C81" i="7"/>
  <c r="C63" i="7"/>
  <c r="D188" i="24"/>
  <c r="F188" i="24" s="1"/>
  <c r="D238" i="7"/>
  <c r="F317" i="29"/>
  <c r="G690" i="14"/>
  <c r="E550" i="26"/>
  <c r="E555" i="26"/>
  <c r="F798" i="14"/>
  <c r="E565" i="26"/>
  <c r="D226" i="24"/>
  <c r="F226" i="24" s="1"/>
  <c r="F799" i="14"/>
  <c r="H72" i="7"/>
  <c r="H141" i="7"/>
  <c r="F801" i="14"/>
  <c r="F766" i="14"/>
  <c r="D218" i="24"/>
  <c r="F218" i="24" s="1"/>
  <c r="F765" i="14"/>
  <c r="F768" i="14"/>
  <c r="G72" i="7"/>
  <c r="E549" i="26"/>
  <c r="E554" i="26"/>
  <c r="E564" i="26"/>
  <c r="G141" i="7"/>
  <c r="D210" i="24"/>
  <c r="F210" i="24" s="1"/>
  <c r="F72" i="7"/>
  <c r="E548" i="26"/>
  <c r="F733" i="14"/>
  <c r="E563" i="26"/>
  <c r="F141" i="7"/>
  <c r="F732" i="14"/>
  <c r="E553" i="26"/>
  <c r="F735" i="14"/>
  <c r="F700" i="14"/>
  <c r="D202" i="24"/>
  <c r="F202" i="24" s="1"/>
  <c r="E562" i="26"/>
  <c r="F702" i="14"/>
  <c r="E552" i="26"/>
  <c r="F699" i="14"/>
  <c r="E72" i="7"/>
  <c r="E141" i="7"/>
  <c r="E547" i="26"/>
  <c r="D72" i="7"/>
  <c r="D141" i="7"/>
  <c r="E551" i="26"/>
  <c r="F666" i="14"/>
  <c r="D194" i="24"/>
  <c r="F194" i="24" s="1"/>
  <c r="E561" i="26"/>
  <c r="E546" i="26"/>
  <c r="F669" i="14"/>
  <c r="F667" i="14"/>
  <c r="C72" i="7"/>
  <c r="D189" i="24"/>
  <c r="F189" i="24" s="1"/>
  <c r="H989" i="21"/>
  <c r="H1011" i="21"/>
  <c r="H37" i="7"/>
  <c r="H967" i="21"/>
  <c r="I967" i="21" s="1"/>
  <c r="H978" i="21"/>
  <c r="H1224" i="21"/>
  <c r="H1213" i="21"/>
  <c r="H1202" i="21"/>
  <c r="H1235" i="21"/>
  <c r="H1000" i="21"/>
  <c r="H1191" i="21"/>
  <c r="I1191" i="21" s="1"/>
  <c r="H1001" i="21"/>
  <c r="H1146" i="21"/>
  <c r="G37" i="7"/>
  <c r="H1236" i="21"/>
  <c r="H944" i="21"/>
  <c r="H1012" i="21"/>
  <c r="H1157" i="21"/>
  <c r="H1225" i="21"/>
  <c r="H1168" i="21"/>
  <c r="H968" i="21"/>
  <c r="I968" i="21" s="1"/>
  <c r="H911" i="21"/>
  <c r="I911" i="21" s="1"/>
  <c r="H1203" i="21"/>
  <c r="H933" i="21"/>
  <c r="H979" i="21"/>
  <c r="H955" i="21"/>
  <c r="H1214" i="21"/>
  <c r="H1192" i="21"/>
  <c r="I1192" i="21" s="1"/>
  <c r="H990" i="21"/>
  <c r="H1135" i="21"/>
  <c r="I1135" i="21" s="1"/>
  <c r="H1179" i="21"/>
  <c r="H922" i="21"/>
  <c r="H1079" i="21"/>
  <c r="I1079" i="21" s="1"/>
  <c r="H956" i="21"/>
  <c r="H945" i="21"/>
  <c r="H1101" i="21"/>
  <c r="H934" i="21"/>
  <c r="H923" i="21"/>
  <c r="H912" i="21"/>
  <c r="I912" i="21" s="1"/>
  <c r="H899" i="21"/>
  <c r="H855" i="21"/>
  <c r="I855" i="21" s="1"/>
  <c r="H888" i="21"/>
  <c r="H866" i="21"/>
  <c r="F37" i="7"/>
  <c r="F46" i="9" s="1"/>
  <c r="H877" i="21"/>
  <c r="H1180" i="21"/>
  <c r="H1169" i="21"/>
  <c r="H1158" i="21"/>
  <c r="H1147" i="21"/>
  <c r="H1136" i="21"/>
  <c r="I1136" i="21" s="1"/>
  <c r="H1123" i="21"/>
  <c r="H1112" i="21"/>
  <c r="H1090" i="21"/>
  <c r="H878" i="21"/>
  <c r="H1113" i="21"/>
  <c r="H1091" i="21"/>
  <c r="H821" i="21"/>
  <c r="H856" i="21"/>
  <c r="I856" i="21" s="1"/>
  <c r="E37" i="7"/>
  <c r="E46" i="9" s="1"/>
  <c r="H1045" i="21"/>
  <c r="H832" i="21"/>
  <c r="H1034" i="21"/>
  <c r="H889" i="21"/>
  <c r="H1102" i="21"/>
  <c r="H900" i="21"/>
  <c r="H1067" i="21"/>
  <c r="H1056" i="21"/>
  <c r="H799" i="21"/>
  <c r="I799" i="21" s="1"/>
  <c r="H867" i="21"/>
  <c r="H810" i="21"/>
  <c r="H1124" i="21"/>
  <c r="H1080" i="21"/>
  <c r="I1080" i="21" s="1"/>
  <c r="H1023" i="21"/>
  <c r="I1023" i="21" s="1"/>
  <c r="H843" i="21"/>
  <c r="H1057" i="21"/>
  <c r="H844" i="21"/>
  <c r="H1432" i="21"/>
  <c r="H1024" i="21"/>
  <c r="I1024" i="21" s="1"/>
  <c r="H1483" i="21"/>
  <c r="H1068" i="21"/>
  <c r="H1452" i="21"/>
  <c r="H800" i="21"/>
  <c r="I800" i="21" s="1"/>
  <c r="H1412" i="21"/>
  <c r="I1412" i="21" s="1"/>
  <c r="H811" i="21"/>
  <c r="H1422" i="21"/>
  <c r="H1035" i="21"/>
  <c r="H833" i="21"/>
  <c r="H1442" i="21"/>
  <c r="H1473" i="21"/>
  <c r="H1503" i="21"/>
  <c r="D37" i="7"/>
  <c r="D46" i="9" s="1"/>
  <c r="H1046" i="21"/>
  <c r="H822" i="21"/>
  <c r="H1463" i="21"/>
  <c r="I1463" i="21" s="1"/>
  <c r="H1493" i="21"/>
  <c r="H1453" i="21"/>
  <c r="H1443" i="21"/>
  <c r="C37" i="7"/>
  <c r="C46" i="9" s="1"/>
  <c r="H1504" i="21"/>
  <c r="H1433" i="21"/>
  <c r="H1484" i="21"/>
  <c r="H1474" i="21"/>
  <c r="H1494" i="21"/>
  <c r="H1423" i="21"/>
  <c r="H1413" i="21"/>
  <c r="I1413" i="21" s="1"/>
  <c r="H1464" i="21"/>
  <c r="I1464" i="21" s="1"/>
  <c r="H998" i="21"/>
  <c r="H976" i="21"/>
  <c r="H965" i="21"/>
  <c r="I965" i="21" s="1"/>
  <c r="H1009" i="21"/>
  <c r="H987" i="21"/>
  <c r="H1233" i="21"/>
  <c r="H1222" i="21"/>
  <c r="H1211" i="21"/>
  <c r="H1200" i="21"/>
  <c r="H1189" i="21"/>
  <c r="I1189" i="21" s="1"/>
  <c r="H999" i="21"/>
  <c r="H942" i="21"/>
  <c r="H1166" i="21"/>
  <c r="H988" i="21"/>
  <c r="H977" i="21"/>
  <c r="H966" i="21"/>
  <c r="I966" i="21" s="1"/>
  <c r="H1177" i="21"/>
  <c r="H953" i="21"/>
  <c r="H1184" i="21"/>
  <c r="I1184" i="21" s="1"/>
  <c r="H1190" i="21"/>
  <c r="I1190" i="21" s="1"/>
  <c r="H1201" i="21"/>
  <c r="H1212" i="21"/>
  <c r="H1234" i="21"/>
  <c r="H153" i="7"/>
  <c r="H76" i="20"/>
  <c r="G812" i="14"/>
  <c r="H1010" i="21"/>
  <c r="H1223" i="21"/>
  <c r="H1133" i="21"/>
  <c r="I1133" i="21" s="1"/>
  <c r="H1144" i="21"/>
  <c r="H1155" i="21"/>
  <c r="H909" i="21"/>
  <c r="I909" i="21" s="1"/>
  <c r="H920" i="21"/>
  <c r="H931" i="21"/>
  <c r="H910" i="21"/>
  <c r="I910" i="21" s="1"/>
  <c r="H1121" i="21"/>
  <c r="H954" i="21"/>
  <c r="H875" i="21"/>
  <c r="H886" i="21"/>
  <c r="H921" i="21"/>
  <c r="H1145" i="21"/>
  <c r="H1088" i="21"/>
  <c r="H932" i="21"/>
  <c r="H897" i="21"/>
  <c r="H1077" i="21"/>
  <c r="I1077" i="21" s="1"/>
  <c r="H943" i="21"/>
  <c r="G779" i="14"/>
  <c r="H853" i="21"/>
  <c r="I853" i="21" s="1"/>
  <c r="H75" i="20"/>
  <c r="H1128" i="21"/>
  <c r="I1128" i="21" s="1"/>
  <c r="H1178" i="21"/>
  <c r="H1099" i="21"/>
  <c r="H1134" i="21"/>
  <c r="I1134" i="21" s="1"/>
  <c r="H1110" i="21"/>
  <c r="H864" i="21"/>
  <c r="G153" i="7"/>
  <c r="H1156" i="21"/>
  <c r="H1167" i="21"/>
  <c r="H887" i="21"/>
  <c r="H1122" i="21"/>
  <c r="H1043" i="21"/>
  <c r="H1032" i="21"/>
  <c r="H1065" i="21"/>
  <c r="G746" i="14"/>
  <c r="H74" i="20"/>
  <c r="H819" i="21"/>
  <c r="H1078" i="21"/>
  <c r="I1078" i="21" s="1"/>
  <c r="H854" i="21"/>
  <c r="I854" i="21" s="1"/>
  <c r="H865" i="21"/>
  <c r="H876" i="21"/>
  <c r="H1021" i="21"/>
  <c r="I1021" i="21" s="1"/>
  <c r="H808" i="21"/>
  <c r="H898" i="21"/>
  <c r="H1100" i="21"/>
  <c r="H797" i="21"/>
  <c r="I797" i="21" s="1"/>
  <c r="H1054" i="21"/>
  <c r="H1089" i="21"/>
  <c r="H1111" i="21"/>
  <c r="F153" i="7"/>
  <c r="H830" i="21"/>
  <c r="H841" i="21"/>
  <c r="H1072" i="21"/>
  <c r="I1072" i="21" s="1"/>
  <c r="H1430" i="21"/>
  <c r="H1450" i="21"/>
  <c r="H809" i="21"/>
  <c r="H1461" i="21"/>
  <c r="I1461" i="21" s="1"/>
  <c r="H1420" i="21"/>
  <c r="H1055" i="21"/>
  <c r="H1471" i="21"/>
  <c r="H1410" i="21"/>
  <c r="I1410" i="21" s="1"/>
  <c r="G713" i="14"/>
  <c r="H1033" i="21"/>
  <c r="H798" i="21"/>
  <c r="I798" i="21" s="1"/>
  <c r="H1481" i="21"/>
  <c r="H1016" i="21"/>
  <c r="I1016" i="21" s="1"/>
  <c r="H842" i="21"/>
  <c r="H1044" i="21"/>
  <c r="H831" i="21"/>
  <c r="H1491" i="21"/>
  <c r="H1440" i="21"/>
  <c r="E153" i="7"/>
  <c r="H1066" i="21"/>
  <c r="H73" i="20"/>
  <c r="H820" i="21"/>
  <c r="H1022" i="21"/>
  <c r="I1022" i="21" s="1"/>
  <c r="H1501" i="21"/>
  <c r="H1441" i="21"/>
  <c r="G680" i="14"/>
  <c r="H1451" i="21"/>
  <c r="H1456" i="21"/>
  <c r="I1456" i="21" s="1"/>
  <c r="H1462" i="21"/>
  <c r="I1462" i="21" s="1"/>
  <c r="H1472" i="21"/>
  <c r="H1482" i="21"/>
  <c r="H1492" i="21"/>
  <c r="H1502" i="21"/>
  <c r="D153" i="7"/>
  <c r="H1411" i="21"/>
  <c r="I1411" i="21" s="1"/>
  <c r="H1421" i="21"/>
  <c r="H1431" i="21"/>
  <c r="M664" i="14"/>
  <c r="N664" i="14" s="1"/>
  <c r="E464" i="2"/>
  <c r="M464" i="2" s="1"/>
  <c r="Q25" i="11"/>
  <c r="E463" i="2"/>
  <c r="M463" i="2" s="1"/>
  <c r="M631" i="14"/>
  <c r="N631" i="14" s="1"/>
  <c r="Q24" i="11"/>
  <c r="M598" i="14"/>
  <c r="N598" i="14" s="1"/>
  <c r="E462" i="2"/>
  <c r="M462" i="2" s="1"/>
  <c r="Q23" i="11"/>
  <c r="E461" i="2"/>
  <c r="M461" i="2" s="1"/>
  <c r="Q22" i="11"/>
  <c r="M565" i="14"/>
  <c r="N565" i="14" s="1"/>
  <c r="E460" i="2"/>
  <c r="M460" i="2" s="1"/>
  <c r="M532" i="14"/>
  <c r="N532" i="14" s="1"/>
  <c r="Q21" i="11"/>
  <c r="M642" i="14"/>
  <c r="N642" i="14" s="1"/>
  <c r="H66" i="8"/>
  <c r="M609" i="14"/>
  <c r="N609" i="14" s="1"/>
  <c r="H65" i="8"/>
  <c r="M576" i="14"/>
  <c r="N576" i="14" s="1"/>
  <c r="H64" i="8"/>
  <c r="M543" i="14"/>
  <c r="N543" i="14" s="1"/>
  <c r="H63" i="8"/>
  <c r="M510" i="14"/>
  <c r="N510" i="14" s="1"/>
  <c r="H62" i="8"/>
  <c r="H48" i="8"/>
  <c r="M639" i="14"/>
  <c r="N639" i="14" s="1"/>
  <c r="M606" i="14"/>
  <c r="N606" i="14" s="1"/>
  <c r="H47" i="8"/>
  <c r="H46" i="8"/>
  <c r="M573" i="14"/>
  <c r="N573" i="14" s="1"/>
  <c r="H45" i="8"/>
  <c r="M540" i="14"/>
  <c r="N540" i="14" s="1"/>
  <c r="H44" i="8"/>
  <c r="M507" i="14"/>
  <c r="N507" i="14" s="1"/>
  <c r="F525" i="26"/>
  <c r="H169" i="6"/>
  <c r="H1659" i="21"/>
  <c r="X25" i="30"/>
  <c r="Y25" i="30" s="1"/>
  <c r="G25" i="11"/>
  <c r="G660" i="14"/>
  <c r="H660" i="14" s="1"/>
  <c r="H133" i="6"/>
  <c r="F524" i="26"/>
  <c r="G24" i="11"/>
  <c r="G169" i="6"/>
  <c r="H493" i="21"/>
  <c r="H496" i="21"/>
  <c r="G627" i="14"/>
  <c r="H627" i="14" s="1"/>
  <c r="G133" i="6"/>
  <c r="H59" i="20"/>
  <c r="X24" i="30"/>
  <c r="Y24" i="30" s="1"/>
  <c r="F133" i="6"/>
  <c r="F523" i="26"/>
  <c r="G594" i="14"/>
  <c r="H1656" i="21"/>
  <c r="G23" i="11"/>
  <c r="X23" i="30"/>
  <c r="Y23" i="30" s="1"/>
  <c r="F169" i="6"/>
  <c r="H1653" i="21"/>
  <c r="G22" i="11"/>
  <c r="G561" i="14"/>
  <c r="E169" i="6"/>
  <c r="X22" i="30"/>
  <c r="Y22" i="30" s="1"/>
  <c r="F522" i="26"/>
  <c r="E133" i="6"/>
  <c r="D133" i="6"/>
  <c r="G21" i="11"/>
  <c r="X21" i="30"/>
  <c r="Y21" i="30" s="1"/>
  <c r="F521" i="26"/>
  <c r="H1650" i="21"/>
  <c r="D169" i="6"/>
  <c r="G528" i="14"/>
  <c r="F480" i="26"/>
  <c r="G652" i="14"/>
  <c r="G619" i="14"/>
  <c r="F479" i="26"/>
  <c r="G586" i="14"/>
  <c r="F478" i="26"/>
  <c r="G553" i="14"/>
  <c r="F477" i="26"/>
  <c r="G520" i="14"/>
  <c r="F476" i="26"/>
  <c r="H225" i="6"/>
  <c r="H161" i="6"/>
  <c r="G1648" i="21"/>
  <c r="I1648" i="21" s="1"/>
  <c r="H210" i="6"/>
  <c r="H91" i="6"/>
  <c r="E485" i="26"/>
  <c r="F653" i="14"/>
  <c r="F434" i="2"/>
  <c r="E484" i="26"/>
  <c r="G91" i="6"/>
  <c r="F620" i="14"/>
  <c r="G161" i="6"/>
  <c r="G1646" i="21"/>
  <c r="I1646" i="21" s="1"/>
  <c r="G210" i="6"/>
  <c r="H226" i="6"/>
  <c r="G225" i="6"/>
  <c r="F433" i="2"/>
  <c r="G1644" i="21"/>
  <c r="I1644" i="21" s="1"/>
  <c r="E483" i="26"/>
  <c r="G226" i="6"/>
  <c r="F161" i="6"/>
  <c r="F91" i="6"/>
  <c r="F587" i="14"/>
  <c r="F225" i="6"/>
  <c r="F210" i="6"/>
  <c r="F432" i="2"/>
  <c r="E225" i="6"/>
  <c r="F554" i="14"/>
  <c r="E482" i="26"/>
  <c r="G491" i="21"/>
  <c r="I491" i="21" s="1"/>
  <c r="G58" i="20"/>
  <c r="E210" i="6"/>
  <c r="E91" i="6"/>
  <c r="F226" i="6"/>
  <c r="E161" i="6"/>
  <c r="F431" i="2"/>
  <c r="D226" i="6"/>
  <c r="F430" i="2"/>
  <c r="D161" i="6"/>
  <c r="G57" i="20"/>
  <c r="E226" i="6"/>
  <c r="D91" i="6"/>
  <c r="E481" i="26"/>
  <c r="G489" i="21"/>
  <c r="I489" i="21" s="1"/>
  <c r="F521" i="14"/>
  <c r="D210" i="6"/>
  <c r="G650" i="14"/>
  <c r="H70" i="6"/>
  <c r="R25" i="30"/>
  <c r="H239" i="6"/>
  <c r="E470" i="26"/>
  <c r="F475" i="26"/>
  <c r="H157" i="6"/>
  <c r="E475" i="26"/>
  <c r="F650" i="14"/>
  <c r="E469" i="26"/>
  <c r="G157" i="6"/>
  <c r="H240" i="6"/>
  <c r="R24" i="30"/>
  <c r="G70" i="6"/>
  <c r="G239" i="6"/>
  <c r="G617" i="14"/>
  <c r="F617" i="14"/>
  <c r="F474" i="26"/>
  <c r="E474" i="26"/>
  <c r="R23" i="30"/>
  <c r="F70" i="6"/>
  <c r="F584" i="14"/>
  <c r="G584" i="14"/>
  <c r="H584" i="14" s="1"/>
  <c r="F157" i="6"/>
  <c r="E473" i="26"/>
  <c r="F473" i="26"/>
  <c r="F239" i="6"/>
  <c r="E468" i="26"/>
  <c r="G240" i="6"/>
  <c r="E70" i="6"/>
  <c r="E239" i="6"/>
  <c r="E467" i="26"/>
  <c r="E157" i="6"/>
  <c r="R22" i="30"/>
  <c r="F472" i="26"/>
  <c r="F240" i="6"/>
  <c r="F551" i="14"/>
  <c r="G551" i="14"/>
  <c r="H551" i="14" s="1"/>
  <c r="E472" i="26"/>
  <c r="D70" i="6"/>
  <c r="F518" i="14"/>
  <c r="D239" i="6"/>
  <c r="E466" i="26"/>
  <c r="D157" i="6"/>
  <c r="R21" i="30"/>
  <c r="E240" i="6"/>
  <c r="E471" i="26"/>
  <c r="F471" i="26"/>
  <c r="G518" i="14"/>
  <c r="H518" i="14" s="1"/>
  <c r="C70" i="6"/>
  <c r="D240" i="6"/>
  <c r="H241" i="6"/>
  <c r="E154" i="29"/>
  <c r="G154" i="29" s="1"/>
  <c r="I154" i="29" s="1"/>
  <c r="H37" i="9"/>
  <c r="F254" i="29"/>
  <c r="G254" i="29" s="1"/>
  <c r="I254" i="29" s="1"/>
  <c r="H150" i="6"/>
  <c r="E152" i="29"/>
  <c r="G152" i="29" s="1"/>
  <c r="I152" i="29" s="1"/>
  <c r="F252" i="29"/>
  <c r="G252" i="29" s="1"/>
  <c r="I252" i="29" s="1"/>
  <c r="F255" i="29"/>
  <c r="G255" i="29" s="1"/>
  <c r="I255" i="29" s="1"/>
  <c r="H147" i="6"/>
  <c r="E155" i="29"/>
  <c r="G155" i="29" s="1"/>
  <c r="I155" i="29" s="1"/>
  <c r="G37" i="9"/>
  <c r="H242" i="6"/>
  <c r="E445" i="26"/>
  <c r="F644" i="14"/>
  <c r="G241" i="6"/>
  <c r="F435" i="26"/>
  <c r="F641" i="14"/>
  <c r="F645" i="14"/>
  <c r="G1640" i="21"/>
  <c r="I1640" i="21" s="1"/>
  <c r="H151" i="6"/>
  <c r="G638" i="14"/>
  <c r="H144" i="6"/>
  <c r="G1567" i="21"/>
  <c r="I1567" i="21" s="1"/>
  <c r="E150" i="29"/>
  <c r="G150" i="29" s="1"/>
  <c r="I150" i="29" s="1"/>
  <c r="E444" i="26"/>
  <c r="E153" i="29"/>
  <c r="G153" i="29" s="1"/>
  <c r="I153" i="29" s="1"/>
  <c r="F434" i="26"/>
  <c r="G485" i="21"/>
  <c r="I485" i="21" s="1"/>
  <c r="G27" i="20"/>
  <c r="G151" i="6"/>
  <c r="G56" i="20"/>
  <c r="F250" i="29"/>
  <c r="G250" i="29" s="1"/>
  <c r="I250" i="29" s="1"/>
  <c r="G150" i="6"/>
  <c r="G147" i="6"/>
  <c r="G144" i="6"/>
  <c r="G242" i="6"/>
  <c r="F253" i="29"/>
  <c r="G253" i="29" s="1"/>
  <c r="I253" i="29" s="1"/>
  <c r="G258" i="21"/>
  <c r="I258" i="21" s="1"/>
  <c r="G605" i="14"/>
  <c r="F608" i="14"/>
  <c r="F611" i="14"/>
  <c r="F612" i="14"/>
  <c r="F37" i="9"/>
  <c r="F241" i="6"/>
  <c r="F147" i="6"/>
  <c r="E37" i="9"/>
  <c r="G1636" i="21"/>
  <c r="I1636" i="21" s="1"/>
  <c r="E443" i="26"/>
  <c r="F433" i="26"/>
  <c r="F579" i="14"/>
  <c r="F578" i="14"/>
  <c r="E241" i="6"/>
  <c r="F575" i="14"/>
  <c r="F144" i="6"/>
  <c r="F151" i="6"/>
  <c r="F150" i="6"/>
  <c r="F251" i="29"/>
  <c r="G251" i="29" s="1"/>
  <c r="I251" i="29" s="1"/>
  <c r="E148" i="29"/>
  <c r="G148" i="29" s="1"/>
  <c r="I148" i="29" s="1"/>
  <c r="G1563" i="21"/>
  <c r="I1563" i="21" s="1"/>
  <c r="E151" i="29"/>
  <c r="G151" i="29" s="1"/>
  <c r="I151" i="29" s="1"/>
  <c r="F248" i="29"/>
  <c r="G248" i="29" s="1"/>
  <c r="I248" i="29" s="1"/>
  <c r="F242" i="6"/>
  <c r="G572" i="14"/>
  <c r="E147" i="6"/>
  <c r="F542" i="14"/>
  <c r="F432" i="26"/>
  <c r="G481" i="21"/>
  <c r="I481" i="21" s="1"/>
  <c r="F546" i="14"/>
  <c r="E150" i="6"/>
  <c r="H51" i="20"/>
  <c r="E151" i="6"/>
  <c r="G539" i="14"/>
  <c r="H467" i="21"/>
  <c r="I467" i="21" s="1"/>
  <c r="G254" i="21"/>
  <c r="I254" i="21" s="1"/>
  <c r="E146" i="29"/>
  <c r="G146" i="29" s="1"/>
  <c r="I146" i="29" s="1"/>
  <c r="F545" i="14"/>
  <c r="D241" i="6"/>
  <c r="F246" i="29"/>
  <c r="G246" i="29" s="1"/>
  <c r="I246" i="29" s="1"/>
  <c r="E144" i="6"/>
  <c r="F249" i="29"/>
  <c r="G249" i="29" s="1"/>
  <c r="I249" i="29" s="1"/>
  <c r="G26" i="20"/>
  <c r="E242" i="6"/>
  <c r="D37" i="9"/>
  <c r="G55" i="20"/>
  <c r="E442" i="26"/>
  <c r="E149" i="29"/>
  <c r="G149" i="29" s="1"/>
  <c r="I149" i="29" s="1"/>
  <c r="F512" i="14"/>
  <c r="H463" i="21"/>
  <c r="I463" i="21" s="1"/>
  <c r="C37" i="9"/>
  <c r="E147" i="29"/>
  <c r="G147" i="29" s="1"/>
  <c r="I147" i="29" s="1"/>
  <c r="D147" i="6"/>
  <c r="G506" i="14"/>
  <c r="D150" i="6"/>
  <c r="D151" i="6"/>
  <c r="F247" i="29"/>
  <c r="G247" i="29" s="1"/>
  <c r="I247" i="29" s="1"/>
  <c r="F509" i="14"/>
  <c r="G54" i="20"/>
  <c r="D144" i="6"/>
  <c r="H50" i="20"/>
  <c r="G250" i="21"/>
  <c r="I250" i="21" s="1"/>
  <c r="E441" i="26"/>
  <c r="F513" i="14"/>
  <c r="G25" i="20"/>
  <c r="F431" i="26"/>
  <c r="D242" i="6"/>
  <c r="G477" i="21"/>
  <c r="I477" i="21" s="1"/>
  <c r="H140" i="6"/>
  <c r="G634" i="14"/>
  <c r="F404" i="2"/>
  <c r="G635" i="14"/>
  <c r="G633" i="14"/>
  <c r="H73" i="6"/>
  <c r="F420" i="26"/>
  <c r="F425" i="26"/>
  <c r="F415" i="26"/>
  <c r="H138" i="6"/>
  <c r="H139" i="6"/>
  <c r="D182" i="24"/>
  <c r="F182" i="24" s="1"/>
  <c r="G601" i="14"/>
  <c r="F403" i="2"/>
  <c r="G140" i="6"/>
  <c r="G600" i="14"/>
  <c r="F424" i="26"/>
  <c r="D174" i="24"/>
  <c r="F174" i="24" s="1"/>
  <c r="F419" i="26"/>
  <c r="F414" i="26"/>
  <c r="G139" i="6"/>
  <c r="G138" i="6"/>
  <c r="G73" i="6"/>
  <c r="G602" i="14"/>
  <c r="F402" i="2"/>
  <c r="G568" i="14"/>
  <c r="F140" i="6"/>
  <c r="G567" i="14"/>
  <c r="F423" i="26"/>
  <c r="F139" i="6"/>
  <c r="F418" i="26"/>
  <c r="F138" i="6"/>
  <c r="G569" i="14"/>
  <c r="F73" i="6"/>
  <c r="D166" i="24"/>
  <c r="F166" i="24" s="1"/>
  <c r="F413" i="26"/>
  <c r="E73" i="6"/>
  <c r="E140" i="6"/>
  <c r="F401" i="2"/>
  <c r="D158" i="24"/>
  <c r="F158" i="24" s="1"/>
  <c r="E139" i="6"/>
  <c r="G536" i="14"/>
  <c r="F417" i="26"/>
  <c r="F422" i="26"/>
  <c r="E138" i="6"/>
  <c r="F412" i="26"/>
  <c r="G535" i="14"/>
  <c r="G534" i="14"/>
  <c r="D73" i="6"/>
  <c r="D140" i="6"/>
  <c r="G502" i="14"/>
  <c r="G503" i="14"/>
  <c r="D138" i="6"/>
  <c r="F416" i="26"/>
  <c r="D150" i="24"/>
  <c r="F150" i="24" s="1"/>
  <c r="F400" i="2"/>
  <c r="D139" i="6"/>
  <c r="F411" i="26"/>
  <c r="F421" i="26"/>
  <c r="G501" i="14"/>
  <c r="D145" i="24"/>
  <c r="F145" i="24" s="1"/>
  <c r="C73" i="6"/>
  <c r="H1634" i="21"/>
  <c r="I1634" i="21" s="1"/>
  <c r="G1642" i="21"/>
  <c r="I1642" i="21" s="1"/>
  <c r="P1373" i="9"/>
  <c r="Q1373" i="9" s="1"/>
  <c r="G640" i="14"/>
  <c r="G1641" i="21"/>
  <c r="I1641" i="21" s="1"/>
  <c r="H1635" i="21"/>
  <c r="I1635" i="21" s="1"/>
  <c r="H146" i="6"/>
  <c r="G1626" i="21"/>
  <c r="I1626" i="21" s="1"/>
  <c r="F424" i="2"/>
  <c r="H1633" i="21"/>
  <c r="I1633" i="21" s="1"/>
  <c r="F419" i="2"/>
  <c r="F643" i="14"/>
  <c r="G1624" i="21"/>
  <c r="I1624" i="21" s="1"/>
  <c r="G1625" i="21"/>
  <c r="I1625" i="21" s="1"/>
  <c r="G1623" i="21"/>
  <c r="I1623" i="21" s="1"/>
  <c r="H149" i="6"/>
  <c r="G1643" i="21"/>
  <c r="I1643" i="21" s="1"/>
  <c r="G1622" i="21"/>
  <c r="I1622" i="21" s="1"/>
  <c r="F418" i="2"/>
  <c r="G487" i="21"/>
  <c r="I487" i="21" s="1"/>
  <c r="G486" i="21"/>
  <c r="F610" i="14"/>
  <c r="P1372" i="9"/>
  <c r="Q1372" i="9" s="1"/>
  <c r="G1619" i="21"/>
  <c r="I1619" i="21" s="1"/>
  <c r="H1630" i="21"/>
  <c r="I1630" i="21" s="1"/>
  <c r="G1621" i="21"/>
  <c r="I1621" i="21" s="1"/>
  <c r="G149" i="6"/>
  <c r="G1620" i="21"/>
  <c r="I1620" i="21" s="1"/>
  <c r="H1632" i="21"/>
  <c r="I1632" i="21" s="1"/>
  <c r="F423" i="2"/>
  <c r="G488" i="21"/>
  <c r="I488" i="21" s="1"/>
  <c r="G146" i="6"/>
  <c r="H1631" i="21"/>
  <c r="I1631" i="21" s="1"/>
  <c r="G607" i="14"/>
  <c r="G1639" i="21"/>
  <c r="I1639" i="21" s="1"/>
  <c r="G1638" i="21"/>
  <c r="I1638" i="21" s="1"/>
  <c r="F577" i="14"/>
  <c r="P1371" i="9"/>
  <c r="Q1371" i="9" s="1"/>
  <c r="G574" i="14"/>
  <c r="F149" i="6"/>
  <c r="F422" i="2"/>
  <c r="G1618" i="21"/>
  <c r="I1618" i="21" s="1"/>
  <c r="H1628" i="21"/>
  <c r="I1628" i="21" s="1"/>
  <c r="H1629" i="21"/>
  <c r="I1629" i="21" s="1"/>
  <c r="G1616" i="21"/>
  <c r="I1616" i="21" s="1"/>
  <c r="G1637" i="21"/>
  <c r="I1637" i="21" s="1"/>
  <c r="F146" i="6"/>
  <c r="G1617" i="21"/>
  <c r="I1617" i="21" s="1"/>
  <c r="G1615" i="21"/>
  <c r="I1615" i="21" s="1"/>
  <c r="H1627" i="21"/>
  <c r="I1627" i="21" s="1"/>
  <c r="F417" i="2"/>
  <c r="E149" i="6"/>
  <c r="E146" i="6"/>
  <c r="G30" i="20"/>
  <c r="G277" i="21"/>
  <c r="I277" i="21" s="1"/>
  <c r="G278" i="21"/>
  <c r="I278" i="21" s="1"/>
  <c r="G279" i="21"/>
  <c r="G280" i="21"/>
  <c r="I280" i="21" s="1"/>
  <c r="F544" i="14"/>
  <c r="G541" i="14"/>
  <c r="H474" i="21"/>
  <c r="I474" i="21" s="1"/>
  <c r="H475" i="21"/>
  <c r="I475" i="21" s="1"/>
  <c r="H476" i="21"/>
  <c r="M53" i="20" s="1"/>
  <c r="F421" i="2"/>
  <c r="F416" i="2"/>
  <c r="P1370" i="9"/>
  <c r="Q1370" i="9" s="1"/>
  <c r="H53" i="20"/>
  <c r="G275" i="21"/>
  <c r="P1369" i="9"/>
  <c r="Q1369" i="9" s="1"/>
  <c r="F511" i="14"/>
  <c r="F415" i="2"/>
  <c r="D146" i="6"/>
  <c r="F420" i="2"/>
  <c r="H473" i="21"/>
  <c r="M52" i="20" s="1"/>
  <c r="H472" i="21"/>
  <c r="I472" i="21" s="1"/>
  <c r="H471" i="21"/>
  <c r="I471" i="21" s="1"/>
  <c r="D149" i="6"/>
  <c r="G276" i="21"/>
  <c r="I276" i="21" s="1"/>
  <c r="G29" i="20"/>
  <c r="G274" i="21"/>
  <c r="I274" i="21" s="1"/>
  <c r="G508" i="14"/>
  <c r="G273" i="21"/>
  <c r="I273" i="21" s="1"/>
  <c r="H52" i="20"/>
  <c r="F648" i="14"/>
  <c r="F649" i="14"/>
  <c r="E465" i="26"/>
  <c r="F615" i="14"/>
  <c r="F616" i="14"/>
  <c r="E464" i="26"/>
  <c r="F582" i="14"/>
  <c r="F583" i="14"/>
  <c r="E463" i="26"/>
  <c r="F549" i="14"/>
  <c r="F550" i="14"/>
  <c r="E462" i="26"/>
  <c r="F516" i="14"/>
  <c r="F517" i="14"/>
  <c r="E461" i="26"/>
  <c r="H81" i="6"/>
  <c r="J34" i="9" s="1"/>
  <c r="E525" i="26"/>
  <c r="G1661" i="21"/>
  <c r="I1661" i="21" s="1"/>
  <c r="G1659" i="21"/>
  <c r="G649" i="14"/>
  <c r="H649" i="14" s="1"/>
  <c r="H34" i="9"/>
  <c r="F470" i="26"/>
  <c r="F505" i="26"/>
  <c r="H237" i="6"/>
  <c r="F429" i="2"/>
  <c r="F274" i="29"/>
  <c r="H63" i="6"/>
  <c r="F449" i="2"/>
  <c r="D180" i="24"/>
  <c r="F180" i="24" s="1"/>
  <c r="G1660" i="21"/>
  <c r="I1660" i="21" s="1"/>
  <c r="G661" i="14"/>
  <c r="H156" i="6"/>
  <c r="F660" i="14"/>
  <c r="F535" i="26"/>
  <c r="H170" i="6"/>
  <c r="G34" i="9"/>
  <c r="F448" i="2"/>
  <c r="J59" i="20"/>
  <c r="G81" i="6"/>
  <c r="I34" i="9" s="1"/>
  <c r="G59" i="20"/>
  <c r="F275" i="29"/>
  <c r="G496" i="21"/>
  <c r="G495" i="21"/>
  <c r="I495" i="21" s="1"/>
  <c r="D172" i="24"/>
  <c r="F172" i="24" s="1"/>
  <c r="F627" i="14"/>
  <c r="G628" i="14"/>
  <c r="F469" i="26"/>
  <c r="G616" i="14"/>
  <c r="H616" i="14" s="1"/>
  <c r="G170" i="6"/>
  <c r="G493" i="21"/>
  <c r="E524" i="26"/>
  <c r="G63" i="6"/>
  <c r="G657" i="14"/>
  <c r="G237" i="6"/>
  <c r="G156" i="6"/>
  <c r="F504" i="26"/>
  <c r="F272" i="29"/>
  <c r="F534" i="26"/>
  <c r="F428" i="2"/>
  <c r="G494" i="21"/>
  <c r="H238" i="6"/>
  <c r="F34" i="9"/>
  <c r="F237" i="6"/>
  <c r="G1657" i="21"/>
  <c r="I1657" i="21" s="1"/>
  <c r="G238" i="6"/>
  <c r="G1656" i="21"/>
  <c r="F273" i="29"/>
  <c r="F503" i="26"/>
  <c r="G583" i="14"/>
  <c r="H583" i="14" s="1"/>
  <c r="E523" i="26"/>
  <c r="F270" i="29"/>
  <c r="F533" i="26"/>
  <c r="G595" i="14"/>
  <c r="G624" i="14"/>
  <c r="G1658" i="21"/>
  <c r="I1658" i="21" s="1"/>
  <c r="F63" i="6"/>
  <c r="D164" i="24"/>
  <c r="F164" i="24" s="1"/>
  <c r="F81" i="6"/>
  <c r="F447" i="2"/>
  <c r="F594" i="14"/>
  <c r="F156" i="6"/>
  <c r="F427" i="2"/>
  <c r="F170" i="6"/>
  <c r="F468" i="26"/>
  <c r="E170" i="6"/>
  <c r="F532" i="26"/>
  <c r="F238" i="6"/>
  <c r="F467" i="26"/>
  <c r="G1653" i="21"/>
  <c r="G562" i="14"/>
  <c r="G550" i="14"/>
  <c r="H550" i="14" s="1"/>
  <c r="F561" i="14"/>
  <c r="E237" i="6"/>
  <c r="E156" i="6"/>
  <c r="G591" i="14"/>
  <c r="E522" i="26"/>
  <c r="F271" i="29"/>
  <c r="F446" i="2"/>
  <c r="F502" i="26"/>
  <c r="F426" i="2"/>
  <c r="E34" i="9"/>
  <c r="F268" i="29"/>
  <c r="G1655" i="21"/>
  <c r="I1655" i="21" s="1"/>
  <c r="E63" i="6"/>
  <c r="D156" i="24"/>
  <c r="F156" i="24" s="1"/>
  <c r="E81" i="6"/>
  <c r="G1654" i="21"/>
  <c r="I1654" i="21" s="1"/>
  <c r="F466" i="26"/>
  <c r="D170" i="6"/>
  <c r="E521" i="26"/>
  <c r="D156" i="6"/>
  <c r="D34" i="9"/>
  <c r="F266" i="29"/>
  <c r="D148" i="24"/>
  <c r="F148" i="24" s="1"/>
  <c r="D63" i="6"/>
  <c r="G1650" i="21"/>
  <c r="G558" i="14"/>
  <c r="G1651" i="21"/>
  <c r="I1651" i="21" s="1"/>
  <c r="G529" i="14"/>
  <c r="F501" i="26"/>
  <c r="F528" i="14"/>
  <c r="F445" i="2"/>
  <c r="G1652" i="21"/>
  <c r="I1652" i="21" s="1"/>
  <c r="D237" i="6"/>
  <c r="F531" i="26"/>
  <c r="G517" i="14"/>
  <c r="H517" i="14" s="1"/>
  <c r="F425" i="2"/>
  <c r="E238" i="6"/>
  <c r="F269" i="29"/>
  <c r="D81" i="6"/>
  <c r="D238" i="6"/>
  <c r="F267" i="29"/>
  <c r="D143" i="24"/>
  <c r="F143" i="24" s="1"/>
  <c r="C34" i="9"/>
  <c r="C63" i="6"/>
  <c r="G525" i="14"/>
  <c r="C81" i="6"/>
  <c r="F539" i="2"/>
  <c r="E420" i="26"/>
  <c r="E430" i="26"/>
  <c r="D181" i="24"/>
  <c r="F181" i="24" s="1"/>
  <c r="F636" i="14"/>
  <c r="F634" i="14"/>
  <c r="F633" i="14"/>
  <c r="H72" i="6"/>
  <c r="H141" i="6"/>
  <c r="E415" i="26"/>
  <c r="F603" i="14"/>
  <c r="E414" i="26"/>
  <c r="D173" i="24"/>
  <c r="F173" i="24" s="1"/>
  <c r="G72" i="6"/>
  <c r="E429" i="26"/>
  <c r="G141" i="6"/>
  <c r="F600" i="14"/>
  <c r="F601" i="14"/>
  <c r="E419" i="26"/>
  <c r="F538" i="2"/>
  <c r="E413" i="26"/>
  <c r="F570" i="14"/>
  <c r="F568" i="14"/>
  <c r="F537" i="2"/>
  <c r="F141" i="6"/>
  <c r="E428" i="26"/>
  <c r="E418" i="26"/>
  <c r="F72" i="6"/>
  <c r="F567" i="14"/>
  <c r="D165" i="24"/>
  <c r="F165" i="24" s="1"/>
  <c r="D157" i="24"/>
  <c r="F157" i="24" s="1"/>
  <c r="E412" i="26"/>
  <c r="E427" i="26"/>
  <c r="E72" i="6"/>
  <c r="F535" i="14"/>
  <c r="E141" i="6"/>
  <c r="F536" i="2"/>
  <c r="F534" i="14"/>
  <c r="E417" i="26"/>
  <c r="F537" i="14"/>
  <c r="E411" i="26"/>
  <c r="D141" i="6"/>
  <c r="D149" i="24"/>
  <c r="F149" i="24" s="1"/>
  <c r="E416" i="26"/>
  <c r="D72" i="6"/>
  <c r="F535" i="2"/>
  <c r="E426" i="26"/>
  <c r="F501" i="14"/>
  <c r="F504" i="14"/>
  <c r="F502" i="14"/>
  <c r="D144" i="24"/>
  <c r="F144" i="24" s="1"/>
  <c r="C72" i="6"/>
  <c r="H71" i="6"/>
  <c r="H79" i="6"/>
  <c r="J32" i="9" s="1"/>
  <c r="H80" i="6"/>
  <c r="J33" i="9" s="1"/>
  <c r="H155" i="6"/>
  <c r="H158" i="6"/>
  <c r="H193" i="6"/>
  <c r="H194" i="6"/>
  <c r="H195" i="6"/>
  <c r="H196" i="6"/>
  <c r="H197" i="6"/>
  <c r="H198" i="6"/>
  <c r="H199" i="6"/>
  <c r="H200" i="6"/>
  <c r="H201" i="6"/>
  <c r="H202" i="6"/>
  <c r="H203" i="6"/>
  <c r="H204" i="6"/>
  <c r="H205" i="6"/>
  <c r="H206" i="6"/>
  <c r="H207" i="6"/>
  <c r="H235" i="6"/>
  <c r="H33" i="9"/>
  <c r="G648" i="14"/>
  <c r="H648" i="14" s="1"/>
  <c r="G651" i="14"/>
  <c r="H32" i="9"/>
  <c r="D178" i="24"/>
  <c r="F178" i="24" s="1"/>
  <c r="D179" i="24"/>
  <c r="F179" i="24" s="1"/>
  <c r="F460" i="26"/>
  <c r="F465" i="26"/>
  <c r="F500" i="26"/>
  <c r="F515" i="26"/>
  <c r="F174" i="29"/>
  <c r="G174" i="29" s="1"/>
  <c r="I174" i="29" s="1"/>
  <c r="F406" i="29"/>
  <c r="F209" i="2"/>
  <c r="G71" i="6"/>
  <c r="G80" i="6"/>
  <c r="I33" i="9" s="1"/>
  <c r="H152" i="6"/>
  <c r="G155" i="6"/>
  <c r="G158" i="6"/>
  <c r="G193" i="6"/>
  <c r="G194" i="6"/>
  <c r="G195" i="6"/>
  <c r="G196" i="6"/>
  <c r="G197" i="6"/>
  <c r="G198" i="6"/>
  <c r="G199" i="6"/>
  <c r="G200" i="6"/>
  <c r="G201" i="6"/>
  <c r="G202" i="6"/>
  <c r="G203" i="6"/>
  <c r="G204" i="6"/>
  <c r="G205" i="6"/>
  <c r="G206" i="6"/>
  <c r="G207" i="6"/>
  <c r="G235" i="6"/>
  <c r="H236" i="6"/>
  <c r="G33" i="9"/>
  <c r="J37" i="9"/>
  <c r="G615" i="14"/>
  <c r="G618" i="14"/>
  <c r="G646" i="14"/>
  <c r="G656" i="14"/>
  <c r="G659" i="14"/>
  <c r="D170" i="24"/>
  <c r="F170" i="24" s="1"/>
  <c r="D171" i="24"/>
  <c r="F171" i="24" s="1"/>
  <c r="F459" i="26"/>
  <c r="F464" i="26"/>
  <c r="F499" i="26"/>
  <c r="F514" i="26"/>
  <c r="F172" i="29"/>
  <c r="G172" i="29" s="1"/>
  <c r="I172" i="29" s="1"/>
  <c r="F175" i="29"/>
  <c r="G175" i="29" s="1"/>
  <c r="I175" i="29" s="1"/>
  <c r="F404" i="29"/>
  <c r="F407" i="29"/>
  <c r="F208" i="2"/>
  <c r="F71" i="6"/>
  <c r="F80" i="6"/>
  <c r="G152" i="6"/>
  <c r="F155" i="6"/>
  <c r="F158" i="6"/>
  <c r="F193" i="6"/>
  <c r="F194" i="6"/>
  <c r="F195" i="6"/>
  <c r="F196" i="6"/>
  <c r="F197" i="6"/>
  <c r="F198" i="6"/>
  <c r="F199" i="6"/>
  <c r="F200" i="6"/>
  <c r="F201" i="6"/>
  <c r="F202" i="6"/>
  <c r="F203" i="6"/>
  <c r="F204" i="6"/>
  <c r="F205" i="6"/>
  <c r="F206" i="6"/>
  <c r="F207" i="6"/>
  <c r="F235" i="6"/>
  <c r="G236" i="6"/>
  <c r="I37" i="9"/>
  <c r="G582" i="14"/>
  <c r="G585" i="14"/>
  <c r="G613" i="14"/>
  <c r="G623" i="14"/>
  <c r="G626" i="14"/>
  <c r="F33" i="9"/>
  <c r="D162" i="24"/>
  <c r="F162" i="24" s="1"/>
  <c r="D163" i="24"/>
  <c r="F163" i="24" s="1"/>
  <c r="F458" i="26"/>
  <c r="F463" i="26"/>
  <c r="F498" i="26"/>
  <c r="F513" i="26"/>
  <c r="F170" i="29"/>
  <c r="G170" i="29" s="1"/>
  <c r="I170" i="29" s="1"/>
  <c r="F173" i="29"/>
  <c r="G173" i="29" s="1"/>
  <c r="I173" i="29" s="1"/>
  <c r="F402" i="29"/>
  <c r="F405" i="29"/>
  <c r="F207" i="2"/>
  <c r="E71" i="6"/>
  <c r="E80" i="6"/>
  <c r="F152" i="6"/>
  <c r="E155" i="6"/>
  <c r="E158" i="6"/>
  <c r="E193" i="6"/>
  <c r="E194" i="6"/>
  <c r="E195" i="6"/>
  <c r="E196" i="6"/>
  <c r="E197" i="6"/>
  <c r="E198" i="6"/>
  <c r="E199" i="6"/>
  <c r="E200" i="6"/>
  <c r="E201" i="6"/>
  <c r="E202" i="6"/>
  <c r="E203" i="6"/>
  <c r="E204" i="6"/>
  <c r="E205" i="6"/>
  <c r="E206" i="6"/>
  <c r="E207" i="6"/>
  <c r="E235" i="6"/>
  <c r="F236" i="6"/>
  <c r="E33" i="9"/>
  <c r="G549" i="14"/>
  <c r="G552" i="14"/>
  <c r="G580" i="14"/>
  <c r="G590" i="14"/>
  <c r="G593" i="14"/>
  <c r="D154" i="24"/>
  <c r="F154" i="24" s="1"/>
  <c r="D155" i="24"/>
  <c r="F155" i="24" s="1"/>
  <c r="F457" i="26"/>
  <c r="F462" i="26"/>
  <c r="F497" i="26"/>
  <c r="F512" i="26"/>
  <c r="F168" i="29"/>
  <c r="G168" i="29" s="1"/>
  <c r="I168" i="29" s="1"/>
  <c r="F171" i="29"/>
  <c r="G171" i="29" s="1"/>
  <c r="I171" i="29" s="1"/>
  <c r="F400" i="29"/>
  <c r="F403" i="29"/>
  <c r="F206" i="2"/>
  <c r="D71" i="6"/>
  <c r="D80" i="6"/>
  <c r="E152" i="6"/>
  <c r="D155" i="6"/>
  <c r="D158" i="6"/>
  <c r="D193" i="6"/>
  <c r="D194" i="6"/>
  <c r="D195" i="6"/>
  <c r="D196" i="6"/>
  <c r="D197" i="6"/>
  <c r="D198" i="6"/>
  <c r="D199" i="6"/>
  <c r="D200" i="6"/>
  <c r="D201" i="6"/>
  <c r="D202" i="6"/>
  <c r="D203" i="6"/>
  <c r="D204" i="6"/>
  <c r="D205" i="6"/>
  <c r="D206" i="6"/>
  <c r="D207" i="6"/>
  <c r="D235" i="6"/>
  <c r="E236" i="6"/>
  <c r="D33" i="9"/>
  <c r="G516" i="14"/>
  <c r="G519" i="14"/>
  <c r="G547" i="14"/>
  <c r="G557" i="14"/>
  <c r="G560" i="14"/>
  <c r="D146" i="24"/>
  <c r="F146" i="24" s="1"/>
  <c r="D147" i="24"/>
  <c r="F147" i="24" s="1"/>
  <c r="D34" i="16"/>
  <c r="F456" i="26"/>
  <c r="F461" i="26"/>
  <c r="F496" i="26"/>
  <c r="F511" i="26"/>
  <c r="F166" i="29"/>
  <c r="G166" i="29" s="1"/>
  <c r="I166" i="29" s="1"/>
  <c r="F169" i="29"/>
  <c r="G169" i="29" s="1"/>
  <c r="I169" i="29" s="1"/>
  <c r="F398" i="29"/>
  <c r="F401" i="29"/>
  <c r="F205" i="2"/>
  <c r="C71" i="6"/>
  <c r="C80" i="6"/>
  <c r="D152" i="6"/>
  <c r="C193" i="6"/>
  <c r="C194" i="6"/>
  <c r="C195" i="6"/>
  <c r="C196" i="6"/>
  <c r="C197" i="6"/>
  <c r="C198" i="6"/>
  <c r="C199" i="6"/>
  <c r="C200" i="6"/>
  <c r="C201" i="6"/>
  <c r="C202" i="6"/>
  <c r="C203" i="6"/>
  <c r="C204" i="6"/>
  <c r="C205" i="6"/>
  <c r="C206" i="6"/>
  <c r="C207" i="6"/>
  <c r="D236" i="6"/>
  <c r="C33" i="9"/>
  <c r="G514" i="14"/>
  <c r="G524" i="14"/>
  <c r="G527" i="14"/>
  <c r="C34" i="16"/>
  <c r="E34" i="16" s="1"/>
  <c r="D141" i="24"/>
  <c r="F141" i="24" s="1"/>
  <c r="D142" i="24"/>
  <c r="F142" i="24" s="1"/>
  <c r="F167" i="29"/>
  <c r="G167" i="29" s="1"/>
  <c r="I167" i="29" s="1"/>
  <c r="F399" i="29"/>
  <c r="G647" i="14"/>
  <c r="H153" i="6"/>
  <c r="G614" i="14"/>
  <c r="G153" i="6"/>
  <c r="F153" i="6"/>
  <c r="G581" i="14"/>
  <c r="G548" i="14"/>
  <c r="E153" i="6"/>
  <c r="G515" i="14"/>
  <c r="D153" i="6"/>
  <c r="M499" i="14"/>
  <c r="N499" i="14" s="1"/>
  <c r="Q20" i="11"/>
  <c r="Q19" i="11"/>
  <c r="M466" i="14"/>
  <c r="N466" i="14" s="1"/>
  <c r="Q18" i="11"/>
  <c r="M433" i="14"/>
  <c r="N433" i="14" s="1"/>
  <c r="Q17" i="11"/>
  <c r="M400" i="14"/>
  <c r="N400" i="14" s="1"/>
  <c r="Q16" i="11"/>
  <c r="M367" i="14"/>
  <c r="N367" i="14" s="1"/>
  <c r="M478" i="14"/>
  <c r="N478" i="14" s="1"/>
  <c r="G72" i="8"/>
  <c r="M445" i="14"/>
  <c r="N445" i="14" s="1"/>
  <c r="G71" i="8"/>
  <c r="M412" i="14"/>
  <c r="N412" i="14" s="1"/>
  <c r="G70" i="8"/>
  <c r="M379" i="14"/>
  <c r="N379" i="14" s="1"/>
  <c r="G69" i="8"/>
  <c r="M346" i="14"/>
  <c r="N346" i="14" s="1"/>
  <c r="G68" i="8"/>
  <c r="G66" i="8"/>
  <c r="M477" i="14"/>
  <c r="N477" i="14" s="1"/>
  <c r="M444" i="14"/>
  <c r="N444" i="14" s="1"/>
  <c r="G65" i="8"/>
  <c r="G64" i="8"/>
  <c r="M411" i="14"/>
  <c r="N411" i="14" s="1"/>
  <c r="M378" i="14"/>
  <c r="N378" i="14" s="1"/>
  <c r="G63" i="8"/>
  <c r="G62" i="8"/>
  <c r="M345" i="14"/>
  <c r="N345" i="14" s="1"/>
  <c r="G54" i="8"/>
  <c r="M475" i="14"/>
  <c r="N475" i="14" s="1"/>
  <c r="M442" i="14"/>
  <c r="N442" i="14" s="1"/>
  <c r="G53" i="8"/>
  <c r="G52" i="8"/>
  <c r="M409" i="14"/>
  <c r="N409" i="14" s="1"/>
  <c r="M376" i="14"/>
  <c r="N376" i="14" s="1"/>
  <c r="G51" i="8"/>
  <c r="M343" i="14"/>
  <c r="N343" i="14" s="1"/>
  <c r="G50" i="8"/>
  <c r="M474" i="14"/>
  <c r="N474" i="14" s="1"/>
  <c r="G48" i="8"/>
  <c r="M441" i="14"/>
  <c r="N441" i="14" s="1"/>
  <c r="G47" i="8"/>
  <c r="G46" i="8"/>
  <c r="M408" i="14"/>
  <c r="N408" i="14" s="1"/>
  <c r="G45" i="8"/>
  <c r="M375" i="14"/>
  <c r="N375" i="14" s="1"/>
  <c r="G44" i="8"/>
  <c r="M342" i="14"/>
  <c r="N342" i="14" s="1"/>
  <c r="G20" i="11"/>
  <c r="H133" i="5"/>
  <c r="G495" i="14"/>
  <c r="X20" i="30"/>
  <c r="Y20" i="30" s="1"/>
  <c r="F390" i="26"/>
  <c r="H169" i="5"/>
  <c r="G19" i="11"/>
  <c r="F389" i="26"/>
  <c r="G462" i="14"/>
  <c r="X19" i="30"/>
  <c r="Y19" i="30" s="1"/>
  <c r="G133" i="5"/>
  <c r="G169" i="5"/>
  <c r="G429" i="14"/>
  <c r="F133" i="5"/>
  <c r="X18" i="30"/>
  <c r="Y18" i="30" s="1"/>
  <c r="F388" i="26"/>
  <c r="F169" i="5"/>
  <c r="G18" i="11"/>
  <c r="E133" i="5"/>
  <c r="X17" i="30"/>
  <c r="Y17" i="30" s="1"/>
  <c r="F387" i="26"/>
  <c r="E169" i="5"/>
  <c r="G396" i="14"/>
  <c r="G17" i="11"/>
  <c r="X16" i="30"/>
  <c r="Y16" i="30" s="1"/>
  <c r="D133" i="5"/>
  <c r="F386" i="26"/>
  <c r="D169" i="5"/>
  <c r="G363" i="14"/>
  <c r="G16" i="11"/>
  <c r="G487" i="14"/>
  <c r="F345" i="26"/>
  <c r="G454" i="14"/>
  <c r="F344" i="26"/>
  <c r="G421" i="14"/>
  <c r="F343" i="26"/>
  <c r="G388" i="14"/>
  <c r="F342" i="26"/>
  <c r="F341" i="26"/>
  <c r="G355" i="14"/>
  <c r="H210" i="5"/>
  <c r="E350" i="26"/>
  <c r="F488" i="14"/>
  <c r="H91" i="5"/>
  <c r="H161" i="5"/>
  <c r="H225" i="5"/>
  <c r="H226" i="5"/>
  <c r="F455" i="14"/>
  <c r="E349" i="26"/>
  <c r="G210" i="5"/>
  <c r="G161" i="5"/>
  <c r="G91" i="5"/>
  <c r="G225" i="5"/>
  <c r="G226" i="5"/>
  <c r="F422" i="14"/>
  <c r="F161" i="5"/>
  <c r="F91" i="5"/>
  <c r="E348" i="26"/>
  <c r="F210" i="5"/>
  <c r="F225" i="5"/>
  <c r="E161" i="5"/>
  <c r="E210" i="5"/>
  <c r="E91" i="5"/>
  <c r="F389" i="14"/>
  <c r="E347" i="26"/>
  <c r="F226" i="5"/>
  <c r="E225" i="5"/>
  <c r="D161" i="5"/>
  <c r="D210" i="5"/>
  <c r="D91" i="5"/>
  <c r="F356" i="14"/>
  <c r="E226" i="5"/>
  <c r="D226" i="5"/>
  <c r="E346" i="26"/>
  <c r="E335" i="26"/>
  <c r="H70" i="5"/>
  <c r="H157" i="5"/>
  <c r="F340" i="26"/>
  <c r="H239" i="5"/>
  <c r="G485" i="14"/>
  <c r="F485" i="14"/>
  <c r="R20" i="30"/>
  <c r="E340" i="26"/>
  <c r="F379" i="2"/>
  <c r="F452" i="14"/>
  <c r="E334" i="26"/>
  <c r="G70" i="5"/>
  <c r="G157" i="5"/>
  <c r="G239" i="5"/>
  <c r="F378" i="2"/>
  <c r="R19" i="30"/>
  <c r="E339" i="26"/>
  <c r="F339" i="26"/>
  <c r="H240" i="5"/>
  <c r="G452" i="14"/>
  <c r="H452" i="14" s="1"/>
  <c r="F338" i="26"/>
  <c r="E333" i="26"/>
  <c r="F157" i="5"/>
  <c r="E338" i="26"/>
  <c r="F239" i="5"/>
  <c r="G419" i="14"/>
  <c r="F419" i="14"/>
  <c r="G240" i="5"/>
  <c r="R18" i="30"/>
  <c r="F377" i="2"/>
  <c r="F70" i="5"/>
  <c r="E70" i="5"/>
  <c r="E157" i="5"/>
  <c r="E239" i="5"/>
  <c r="E332" i="26"/>
  <c r="F376" i="2"/>
  <c r="F386" i="14"/>
  <c r="E337" i="26"/>
  <c r="F337" i="26"/>
  <c r="G386" i="14"/>
  <c r="H386" i="14" s="1"/>
  <c r="F240" i="5"/>
  <c r="R17" i="30"/>
  <c r="E240" i="5"/>
  <c r="D70" i="5"/>
  <c r="F375" i="2"/>
  <c r="E336" i="26"/>
  <c r="F336" i="26"/>
  <c r="D239" i="5"/>
  <c r="G353" i="14"/>
  <c r="F353" i="14"/>
  <c r="D28" i="16"/>
  <c r="R16" i="30"/>
  <c r="E331" i="26"/>
  <c r="D157" i="5"/>
  <c r="C70" i="5"/>
  <c r="C28" i="16"/>
  <c r="E28" i="16" s="1"/>
  <c r="D240" i="5"/>
  <c r="H202" i="21"/>
  <c r="I202" i="21" s="1"/>
  <c r="H230" i="21"/>
  <c r="H28" i="9"/>
  <c r="H242" i="21"/>
  <c r="H238" i="21"/>
  <c r="H226" i="21"/>
  <c r="H218" i="21"/>
  <c r="H222" i="21"/>
  <c r="H234" i="21"/>
  <c r="G461" i="21"/>
  <c r="I461" i="21" s="1"/>
  <c r="H214" i="21"/>
  <c r="I214" i="21" s="1"/>
  <c r="F374" i="2"/>
  <c r="E104" i="29"/>
  <c r="G104" i="29" s="1"/>
  <c r="I104" i="29" s="1"/>
  <c r="H206" i="21"/>
  <c r="I206" i="21" s="1"/>
  <c r="H210" i="21"/>
  <c r="I210" i="21" s="1"/>
  <c r="H241" i="5"/>
  <c r="H175" i="21"/>
  <c r="H163" i="21"/>
  <c r="I163" i="21" s="1"/>
  <c r="H144" i="5"/>
  <c r="G241" i="5"/>
  <c r="G28" i="9"/>
  <c r="H167" i="21"/>
  <c r="G473" i="14"/>
  <c r="F480" i="14"/>
  <c r="H147" i="5"/>
  <c r="E102" i="29"/>
  <c r="G102" i="29" s="1"/>
  <c r="I102" i="29" s="1"/>
  <c r="H191" i="21"/>
  <c r="H150" i="5"/>
  <c r="E105" i="29"/>
  <c r="G105" i="29" s="1"/>
  <c r="I105" i="29" s="1"/>
  <c r="H151" i="5"/>
  <c r="H242" i="5"/>
  <c r="F373" i="2"/>
  <c r="H171" i="21"/>
  <c r="H155" i="21"/>
  <c r="I155" i="21" s="1"/>
  <c r="F300" i="26"/>
  <c r="H187" i="21"/>
  <c r="G49" i="20"/>
  <c r="H159" i="21"/>
  <c r="I159" i="21" s="1"/>
  <c r="F476" i="14"/>
  <c r="F479" i="14"/>
  <c r="H183" i="21"/>
  <c r="H151" i="21"/>
  <c r="I151" i="21" s="1"/>
  <c r="E310" i="26"/>
  <c r="G460" i="21"/>
  <c r="I460" i="21" s="1"/>
  <c r="G458" i="21"/>
  <c r="I458" i="21" s="1"/>
  <c r="H179" i="21"/>
  <c r="G440" i="14"/>
  <c r="H1263" i="21"/>
  <c r="H1267" i="21"/>
  <c r="H1271" i="21"/>
  <c r="H1275" i="21"/>
  <c r="H1283" i="21"/>
  <c r="E100" i="29"/>
  <c r="G100" i="29" s="1"/>
  <c r="I100" i="29" s="1"/>
  <c r="E103" i="29"/>
  <c r="G103" i="29" s="1"/>
  <c r="I103" i="29" s="1"/>
  <c r="G457" i="21"/>
  <c r="I457" i="21" s="1"/>
  <c r="H1279" i="21"/>
  <c r="G48" i="20"/>
  <c r="G151" i="5"/>
  <c r="G150" i="5"/>
  <c r="G147" i="5"/>
  <c r="G144" i="5"/>
  <c r="F28" i="9"/>
  <c r="F447" i="14"/>
  <c r="F446" i="14"/>
  <c r="F372" i="2"/>
  <c r="F443" i="14"/>
  <c r="G242" i="5"/>
  <c r="F241" i="5"/>
  <c r="F299" i="26"/>
  <c r="E309" i="26"/>
  <c r="H1243" i="21"/>
  <c r="I1243" i="21" s="1"/>
  <c r="H1247" i="21"/>
  <c r="I1247" i="21" s="1"/>
  <c r="H1251" i="21"/>
  <c r="I1251" i="21" s="1"/>
  <c r="H1255" i="21"/>
  <c r="I1255" i="21" s="1"/>
  <c r="H1259" i="21"/>
  <c r="H132" i="21"/>
  <c r="F371" i="2"/>
  <c r="H124" i="21"/>
  <c r="H128" i="21"/>
  <c r="F242" i="5"/>
  <c r="E241" i="5"/>
  <c r="H120" i="21"/>
  <c r="F414" i="14"/>
  <c r="F413" i="14"/>
  <c r="F410" i="14"/>
  <c r="G407" i="14"/>
  <c r="F298" i="26"/>
  <c r="H136" i="21"/>
  <c r="E28" i="9"/>
  <c r="F147" i="5"/>
  <c r="F150" i="5"/>
  <c r="H140" i="21"/>
  <c r="F144" i="5"/>
  <c r="H116" i="21"/>
  <c r="E308" i="26"/>
  <c r="F151" i="5"/>
  <c r="G455" i="21"/>
  <c r="I455" i="21" s="1"/>
  <c r="H112" i="21"/>
  <c r="I112" i="21" s="1"/>
  <c r="H108" i="21"/>
  <c r="I108" i="21" s="1"/>
  <c r="E98" i="29"/>
  <c r="G98" i="29" s="1"/>
  <c r="I98" i="29" s="1"/>
  <c r="H104" i="21"/>
  <c r="I104" i="21" s="1"/>
  <c r="H100" i="21"/>
  <c r="I100" i="21" s="1"/>
  <c r="E101" i="29"/>
  <c r="G101" i="29" s="1"/>
  <c r="I101" i="29" s="1"/>
  <c r="G454" i="21"/>
  <c r="I454" i="21" s="1"/>
  <c r="H57" i="21"/>
  <c r="I57" i="21" s="1"/>
  <c r="H53" i="21"/>
  <c r="I53" i="21" s="1"/>
  <c r="H49" i="21"/>
  <c r="I49" i="21" s="1"/>
  <c r="F381" i="14"/>
  <c r="F297" i="26"/>
  <c r="G47" i="20"/>
  <c r="F370" i="2"/>
  <c r="E151" i="5"/>
  <c r="E144" i="5"/>
  <c r="E99" i="29"/>
  <c r="G99" i="29" s="1"/>
  <c r="I99" i="29" s="1"/>
  <c r="D28" i="9"/>
  <c r="E96" i="29"/>
  <c r="G96" i="29" s="1"/>
  <c r="I96" i="29" s="1"/>
  <c r="E150" i="5"/>
  <c r="H73" i="21"/>
  <c r="E147" i="5"/>
  <c r="D241" i="5"/>
  <c r="H89" i="21"/>
  <c r="H85" i="21"/>
  <c r="H81" i="21"/>
  <c r="H77" i="21"/>
  <c r="E307" i="26"/>
  <c r="E242" i="5"/>
  <c r="H69" i="21"/>
  <c r="D22" i="16"/>
  <c r="H65" i="21"/>
  <c r="G374" i="14"/>
  <c r="F377" i="14"/>
  <c r="F380" i="14"/>
  <c r="H61" i="21"/>
  <c r="I61" i="21" s="1"/>
  <c r="G452" i="21"/>
  <c r="I452" i="21" s="1"/>
  <c r="F344" i="14"/>
  <c r="D151" i="5"/>
  <c r="D144" i="5"/>
  <c r="C28" i="9"/>
  <c r="E306" i="26"/>
  <c r="D242" i="5"/>
  <c r="E97" i="29"/>
  <c r="G97" i="29" s="1"/>
  <c r="I97" i="29" s="1"/>
  <c r="G341" i="14"/>
  <c r="C22" i="16"/>
  <c r="E22" i="16" s="1"/>
  <c r="F348" i="14"/>
  <c r="G46" i="20"/>
  <c r="F347" i="14"/>
  <c r="D147" i="5"/>
  <c r="G451" i="21"/>
  <c r="I451" i="21" s="1"/>
  <c r="D150" i="5"/>
  <c r="F296" i="26"/>
  <c r="G470" i="14"/>
  <c r="H140" i="5"/>
  <c r="H73" i="5"/>
  <c r="F280" i="26"/>
  <c r="D137" i="24"/>
  <c r="F137" i="24" s="1"/>
  <c r="F285" i="26"/>
  <c r="H138" i="5"/>
  <c r="G468" i="14"/>
  <c r="F290" i="26"/>
  <c r="F369" i="2"/>
  <c r="H139" i="5"/>
  <c r="G469" i="14"/>
  <c r="G436" i="14"/>
  <c r="G435" i="14"/>
  <c r="G219" i="21"/>
  <c r="I219" i="21" s="1"/>
  <c r="G138" i="5"/>
  <c r="G73" i="5"/>
  <c r="D129" i="24"/>
  <c r="F129" i="24" s="1"/>
  <c r="F284" i="26"/>
  <c r="F279" i="26"/>
  <c r="F368" i="2"/>
  <c r="G140" i="5"/>
  <c r="G217" i="21"/>
  <c r="I217" i="21" s="1"/>
  <c r="F289" i="26"/>
  <c r="G216" i="21"/>
  <c r="I216" i="21" s="1"/>
  <c r="G218" i="21"/>
  <c r="I218" i="21" s="1"/>
  <c r="G139" i="5"/>
  <c r="G437" i="14"/>
  <c r="G165" i="21"/>
  <c r="I165" i="21" s="1"/>
  <c r="F73" i="5"/>
  <c r="G404" i="14"/>
  <c r="G403" i="14"/>
  <c r="G402" i="14"/>
  <c r="F278" i="26"/>
  <c r="F138" i="5"/>
  <c r="F288" i="26"/>
  <c r="F367" i="2"/>
  <c r="G167" i="21"/>
  <c r="I167" i="21" s="1"/>
  <c r="D121" i="24"/>
  <c r="F121" i="24" s="1"/>
  <c r="F139" i="5"/>
  <c r="F283" i="26"/>
  <c r="G166" i="21"/>
  <c r="I166" i="21" s="1"/>
  <c r="F140" i="5"/>
  <c r="G168" i="21"/>
  <c r="I168" i="21" s="1"/>
  <c r="E73" i="5"/>
  <c r="E140" i="5"/>
  <c r="F287" i="26"/>
  <c r="G369" i="14"/>
  <c r="G370" i="14"/>
  <c r="D113" i="24"/>
  <c r="F113" i="24" s="1"/>
  <c r="G371" i="14"/>
  <c r="G1260" i="21"/>
  <c r="I1260" i="21" s="1"/>
  <c r="G1259" i="21"/>
  <c r="I1259" i="21" s="1"/>
  <c r="F282" i="26"/>
  <c r="G1258" i="21"/>
  <c r="I1258" i="21" s="1"/>
  <c r="G1257" i="21"/>
  <c r="I1257" i="21" s="1"/>
  <c r="F277" i="26"/>
  <c r="E138" i="5"/>
  <c r="E139" i="5"/>
  <c r="F366" i="2"/>
  <c r="G116" i="21"/>
  <c r="I116" i="21" s="1"/>
  <c r="G115" i="21"/>
  <c r="I115" i="21" s="1"/>
  <c r="H449" i="21"/>
  <c r="I449" i="21" s="1"/>
  <c r="H450" i="21"/>
  <c r="I450" i="21" s="1"/>
  <c r="F365" i="2"/>
  <c r="G114" i="21"/>
  <c r="I114" i="21" s="1"/>
  <c r="D105" i="24"/>
  <c r="F105" i="24" s="1"/>
  <c r="H447" i="21"/>
  <c r="H45" i="20"/>
  <c r="G337" i="14"/>
  <c r="D73" i="5"/>
  <c r="F286" i="26"/>
  <c r="G20" i="32" s="1"/>
  <c r="D140" i="5"/>
  <c r="G117" i="21"/>
  <c r="I117" i="21" s="1"/>
  <c r="G336" i="14"/>
  <c r="D138" i="5"/>
  <c r="F276" i="26"/>
  <c r="F281" i="26"/>
  <c r="G338" i="14"/>
  <c r="H446" i="21"/>
  <c r="I446" i="21" s="1"/>
  <c r="D139" i="5"/>
  <c r="G66" i="21"/>
  <c r="I66" i="21" s="1"/>
  <c r="H448" i="21"/>
  <c r="I448" i="21" s="1"/>
  <c r="D100" i="24"/>
  <c r="F100" i="24" s="1"/>
  <c r="G65" i="21"/>
  <c r="C73" i="5"/>
  <c r="G63" i="21"/>
  <c r="I63" i="21" s="1"/>
  <c r="G64" i="21"/>
  <c r="I64" i="21" s="1"/>
  <c r="F483" i="14"/>
  <c r="F484" i="14"/>
  <c r="E330" i="26"/>
  <c r="F450" i="14"/>
  <c r="F451" i="14"/>
  <c r="E329" i="26"/>
  <c r="F417" i="14"/>
  <c r="F418" i="14"/>
  <c r="E328" i="26"/>
  <c r="F384" i="14"/>
  <c r="F385" i="14"/>
  <c r="E327" i="26"/>
  <c r="F351" i="14"/>
  <c r="F352" i="14"/>
  <c r="E326" i="26"/>
  <c r="G496" i="14"/>
  <c r="H63" i="5"/>
  <c r="H237" i="5"/>
  <c r="F370" i="26"/>
  <c r="H170" i="5"/>
  <c r="F384" i="2"/>
  <c r="F495" i="14"/>
  <c r="E390" i="26"/>
  <c r="H25" i="9"/>
  <c r="F335" i="26"/>
  <c r="F144" i="29"/>
  <c r="H81" i="5"/>
  <c r="J25" i="9" s="1"/>
  <c r="D135" i="24"/>
  <c r="F135" i="24" s="1"/>
  <c r="G484" i="14"/>
  <c r="H484" i="14" s="1"/>
  <c r="H156" i="5"/>
  <c r="F400" i="26"/>
  <c r="G451" i="14"/>
  <c r="H451" i="14" s="1"/>
  <c r="F334" i="26"/>
  <c r="G81" i="5"/>
  <c r="I25" i="9" s="1"/>
  <c r="F145" i="29"/>
  <c r="F383" i="2"/>
  <c r="D127" i="24"/>
  <c r="F127" i="24" s="1"/>
  <c r="F142" i="29"/>
  <c r="G25" i="9"/>
  <c r="G170" i="5"/>
  <c r="G237" i="5"/>
  <c r="H238" i="5"/>
  <c r="F399" i="26"/>
  <c r="E389" i="26"/>
  <c r="G492" i="14"/>
  <c r="G463" i="14"/>
  <c r="G63" i="5"/>
  <c r="F462" i="14"/>
  <c r="F369" i="26"/>
  <c r="G156" i="5"/>
  <c r="G238" i="5"/>
  <c r="F368" i="26"/>
  <c r="F63" i="5"/>
  <c r="E388" i="26"/>
  <c r="F25" i="9"/>
  <c r="F333" i="26"/>
  <c r="F398" i="26"/>
  <c r="F429" i="14"/>
  <c r="F156" i="5"/>
  <c r="G459" i="14"/>
  <c r="F143" i="29"/>
  <c r="G430" i="14"/>
  <c r="G418" i="14"/>
  <c r="H418" i="14" s="1"/>
  <c r="F237" i="5"/>
  <c r="F81" i="5"/>
  <c r="F382" i="2"/>
  <c r="D119" i="24"/>
  <c r="F119" i="24" s="1"/>
  <c r="F170" i="5"/>
  <c r="F140" i="29"/>
  <c r="E387" i="26"/>
  <c r="E156" i="5"/>
  <c r="E63" i="5"/>
  <c r="F397" i="26"/>
  <c r="G426" i="14"/>
  <c r="F238" i="5"/>
  <c r="E170" i="5"/>
  <c r="D111" i="24"/>
  <c r="F111" i="24" s="1"/>
  <c r="E25" i="9"/>
  <c r="F138" i="29"/>
  <c r="E237" i="5"/>
  <c r="F332" i="26"/>
  <c r="G385" i="14"/>
  <c r="H385" i="14" s="1"/>
  <c r="F396" i="14"/>
  <c r="G397" i="14"/>
  <c r="F381" i="2"/>
  <c r="E81" i="5"/>
  <c r="F141" i="29"/>
  <c r="F367" i="26"/>
  <c r="F366" i="26"/>
  <c r="F396" i="26"/>
  <c r="G364" i="14"/>
  <c r="D27" i="16"/>
  <c r="F136" i="29"/>
  <c r="D170" i="5"/>
  <c r="D25" i="9"/>
  <c r="F380" i="2"/>
  <c r="D103" i="24"/>
  <c r="F103" i="24" s="1"/>
  <c r="G352" i="14"/>
  <c r="H352" i="14" s="1"/>
  <c r="D81" i="5"/>
  <c r="F331" i="26"/>
  <c r="F363" i="14"/>
  <c r="E238" i="5"/>
  <c r="D156" i="5"/>
  <c r="D237" i="5"/>
  <c r="G393" i="14"/>
  <c r="D63" i="5"/>
  <c r="E386" i="26"/>
  <c r="F139" i="29"/>
  <c r="F137" i="29"/>
  <c r="C63" i="5"/>
  <c r="D98" i="24"/>
  <c r="F98" i="24" s="1"/>
  <c r="D238" i="5"/>
  <c r="C27" i="16"/>
  <c r="E27" i="16" s="1"/>
  <c r="C25" i="9"/>
  <c r="C81" i="5"/>
  <c r="G360" i="14"/>
  <c r="F471" i="14"/>
  <c r="F469" i="14"/>
  <c r="E295" i="26"/>
  <c r="E280" i="26"/>
  <c r="H72" i="5"/>
  <c r="F468" i="14"/>
  <c r="E285" i="26"/>
  <c r="H141" i="5"/>
  <c r="D136" i="24"/>
  <c r="F136" i="24" s="1"/>
  <c r="E279" i="26"/>
  <c r="E284" i="26"/>
  <c r="G72" i="5"/>
  <c r="E294" i="26"/>
  <c r="D128" i="24"/>
  <c r="F128" i="24" s="1"/>
  <c r="F435" i="14"/>
  <c r="F436" i="14"/>
  <c r="G141" i="5"/>
  <c r="F438" i="14"/>
  <c r="D120" i="24"/>
  <c r="F120" i="24" s="1"/>
  <c r="F402" i="14"/>
  <c r="F403" i="14"/>
  <c r="F405" i="14"/>
  <c r="F72" i="5"/>
  <c r="E283" i="26"/>
  <c r="F141" i="5"/>
  <c r="E278" i="26"/>
  <c r="E293" i="26"/>
  <c r="F372" i="14"/>
  <c r="F370" i="14"/>
  <c r="E292" i="26"/>
  <c r="F369" i="14"/>
  <c r="E277" i="26"/>
  <c r="E282" i="26"/>
  <c r="E141" i="5"/>
  <c r="E72" i="5"/>
  <c r="D112" i="24"/>
  <c r="F112" i="24" s="1"/>
  <c r="E291" i="26"/>
  <c r="D72" i="5"/>
  <c r="E276" i="26"/>
  <c r="E281" i="26"/>
  <c r="F336" i="14"/>
  <c r="D141" i="5"/>
  <c r="F339" i="14"/>
  <c r="F337" i="14"/>
  <c r="D104" i="24"/>
  <c r="F104" i="24" s="1"/>
  <c r="C72" i="5"/>
  <c r="D99" i="24"/>
  <c r="F99" i="24" s="1"/>
  <c r="H71" i="5"/>
  <c r="H79" i="5"/>
  <c r="J23" i="9" s="1"/>
  <c r="H80" i="5"/>
  <c r="J24" i="9" s="1"/>
  <c r="H155" i="5"/>
  <c r="H158" i="5"/>
  <c r="H193" i="5"/>
  <c r="H194" i="5"/>
  <c r="H195" i="5"/>
  <c r="H196" i="5"/>
  <c r="H197" i="5"/>
  <c r="H198" i="5"/>
  <c r="H199" i="5"/>
  <c r="H200" i="5"/>
  <c r="H201" i="5"/>
  <c r="H202" i="5"/>
  <c r="H203" i="5"/>
  <c r="H204" i="5"/>
  <c r="H205" i="5"/>
  <c r="H206" i="5"/>
  <c r="H207" i="5"/>
  <c r="H235" i="5"/>
  <c r="H23" i="9"/>
  <c r="H24" i="9"/>
  <c r="G483" i="14"/>
  <c r="H483" i="14" s="1"/>
  <c r="G486" i="14"/>
  <c r="D133" i="24"/>
  <c r="F133" i="24" s="1"/>
  <c r="D134" i="24"/>
  <c r="F134" i="24" s="1"/>
  <c r="F325" i="26"/>
  <c r="F330" i="26"/>
  <c r="F365" i="26"/>
  <c r="F380" i="26"/>
  <c r="F124" i="29"/>
  <c r="G124" i="29" s="1"/>
  <c r="I124" i="29" s="1"/>
  <c r="F386" i="29"/>
  <c r="G71" i="5"/>
  <c r="G79" i="5"/>
  <c r="I23" i="9" s="1"/>
  <c r="G80" i="5"/>
  <c r="I24" i="9" s="1"/>
  <c r="H152" i="5"/>
  <c r="G155" i="5"/>
  <c r="G158" i="5"/>
  <c r="G193" i="5"/>
  <c r="G194" i="5"/>
  <c r="G195" i="5"/>
  <c r="G196" i="5"/>
  <c r="G197" i="5"/>
  <c r="G198" i="5"/>
  <c r="G199" i="5"/>
  <c r="G200" i="5"/>
  <c r="G201" i="5"/>
  <c r="G202" i="5"/>
  <c r="G203" i="5"/>
  <c r="G204" i="5"/>
  <c r="G205" i="5"/>
  <c r="G206" i="5"/>
  <c r="G207" i="5"/>
  <c r="G235" i="5"/>
  <c r="H236" i="5"/>
  <c r="G23" i="9"/>
  <c r="G24" i="9"/>
  <c r="J28" i="9"/>
  <c r="G450" i="14"/>
  <c r="H450" i="14" s="1"/>
  <c r="G453" i="14"/>
  <c r="G481" i="14"/>
  <c r="G491" i="14"/>
  <c r="G494" i="14"/>
  <c r="D125" i="24"/>
  <c r="F125" i="24" s="1"/>
  <c r="D126" i="24"/>
  <c r="F126" i="24" s="1"/>
  <c r="F324" i="26"/>
  <c r="F329" i="26"/>
  <c r="F364" i="26"/>
  <c r="F379" i="26"/>
  <c r="F122" i="29"/>
  <c r="G122" i="29" s="1"/>
  <c r="I122" i="29" s="1"/>
  <c r="F125" i="29"/>
  <c r="G125" i="29" s="1"/>
  <c r="I125" i="29" s="1"/>
  <c r="F384" i="29"/>
  <c r="F387" i="29"/>
  <c r="F144" i="2"/>
  <c r="F71" i="5"/>
  <c r="F79" i="5"/>
  <c r="F80" i="5"/>
  <c r="G152" i="5"/>
  <c r="F155" i="5"/>
  <c r="F158" i="5"/>
  <c r="F193" i="5"/>
  <c r="F194" i="5"/>
  <c r="F195" i="5"/>
  <c r="F196" i="5"/>
  <c r="F197" i="5"/>
  <c r="F198" i="5"/>
  <c r="F199" i="5"/>
  <c r="F200" i="5"/>
  <c r="F201" i="5"/>
  <c r="F202" i="5"/>
  <c r="F203" i="5"/>
  <c r="F204" i="5"/>
  <c r="F205" i="5"/>
  <c r="F206" i="5"/>
  <c r="F207" i="5"/>
  <c r="F235" i="5"/>
  <c r="G236" i="5"/>
  <c r="F23" i="9"/>
  <c r="F24" i="9"/>
  <c r="I28" i="9"/>
  <c r="G417" i="14"/>
  <c r="H417" i="14" s="1"/>
  <c r="G420" i="14"/>
  <c r="G448" i="14"/>
  <c r="G458" i="14"/>
  <c r="G461" i="14"/>
  <c r="D117" i="24"/>
  <c r="F117" i="24" s="1"/>
  <c r="D118" i="24"/>
  <c r="F118" i="24" s="1"/>
  <c r="F323" i="26"/>
  <c r="F328" i="26"/>
  <c r="F363" i="26"/>
  <c r="F378" i="26"/>
  <c r="F120" i="29"/>
  <c r="G120" i="29" s="1"/>
  <c r="I120" i="29" s="1"/>
  <c r="F123" i="29"/>
  <c r="G123" i="29" s="1"/>
  <c r="I123" i="29" s="1"/>
  <c r="F382" i="29"/>
  <c r="F385" i="29"/>
  <c r="F143" i="2"/>
  <c r="E71" i="5"/>
  <c r="E79" i="5"/>
  <c r="E80" i="5"/>
  <c r="F152" i="5"/>
  <c r="E155" i="5"/>
  <c r="E158" i="5"/>
  <c r="E193" i="5"/>
  <c r="E194" i="5"/>
  <c r="E195" i="5"/>
  <c r="E196" i="5"/>
  <c r="E197" i="5"/>
  <c r="E198" i="5"/>
  <c r="E199" i="5"/>
  <c r="E200" i="5"/>
  <c r="E201" i="5"/>
  <c r="E202" i="5"/>
  <c r="E203" i="5"/>
  <c r="E204" i="5"/>
  <c r="E205" i="5"/>
  <c r="E206" i="5"/>
  <c r="E207" i="5"/>
  <c r="E235" i="5"/>
  <c r="F236" i="5"/>
  <c r="E23" i="9"/>
  <c r="E24" i="9"/>
  <c r="G384" i="14"/>
  <c r="H384" i="14" s="1"/>
  <c r="G387" i="14"/>
  <c r="G415" i="14"/>
  <c r="G425" i="14"/>
  <c r="G428" i="14"/>
  <c r="D109" i="24"/>
  <c r="F109" i="24" s="1"/>
  <c r="D110" i="24"/>
  <c r="F110" i="24" s="1"/>
  <c r="F322" i="26"/>
  <c r="F327" i="26"/>
  <c r="F362" i="26"/>
  <c r="F377" i="26"/>
  <c r="F118" i="29"/>
  <c r="G118" i="29" s="1"/>
  <c r="I118" i="29" s="1"/>
  <c r="F121" i="29"/>
  <c r="G121" i="29" s="1"/>
  <c r="I121" i="29" s="1"/>
  <c r="F380" i="29"/>
  <c r="F383" i="29"/>
  <c r="F142" i="2"/>
  <c r="D71" i="5"/>
  <c r="D79" i="5"/>
  <c r="D80" i="5"/>
  <c r="E152" i="5"/>
  <c r="D155" i="5"/>
  <c r="D158" i="5"/>
  <c r="D193" i="5"/>
  <c r="D194" i="5"/>
  <c r="D195" i="5"/>
  <c r="D196" i="5"/>
  <c r="D197" i="5"/>
  <c r="D198" i="5"/>
  <c r="D199" i="5"/>
  <c r="D200" i="5"/>
  <c r="D201" i="5"/>
  <c r="D202" i="5"/>
  <c r="D203" i="5"/>
  <c r="D204" i="5"/>
  <c r="D205" i="5"/>
  <c r="D206" i="5"/>
  <c r="D207" i="5"/>
  <c r="D235" i="5"/>
  <c r="E236" i="5"/>
  <c r="D23" i="9"/>
  <c r="D24" i="9"/>
  <c r="G351" i="14"/>
  <c r="H351" i="14" s="1"/>
  <c r="G354" i="14"/>
  <c r="G382" i="14"/>
  <c r="G392" i="14"/>
  <c r="G395" i="14"/>
  <c r="D101" i="24"/>
  <c r="F101" i="24" s="1"/>
  <c r="D102" i="24"/>
  <c r="F102" i="24" s="1"/>
  <c r="D26" i="16"/>
  <c r="F321" i="26"/>
  <c r="F326" i="26"/>
  <c r="F361" i="26"/>
  <c r="F376" i="26"/>
  <c r="F116" i="29"/>
  <c r="G116" i="29" s="1"/>
  <c r="I116" i="29" s="1"/>
  <c r="F119" i="29"/>
  <c r="G119" i="29" s="1"/>
  <c r="I119" i="29" s="1"/>
  <c r="F378" i="29"/>
  <c r="F381" i="29"/>
  <c r="F141" i="2"/>
  <c r="C71" i="5"/>
  <c r="C79" i="5"/>
  <c r="C80" i="5"/>
  <c r="D152" i="5"/>
  <c r="C193" i="5"/>
  <c r="C194" i="5"/>
  <c r="C195" i="5"/>
  <c r="C196" i="5"/>
  <c r="C197" i="5"/>
  <c r="C198" i="5"/>
  <c r="C199" i="5"/>
  <c r="C200" i="5"/>
  <c r="C201" i="5"/>
  <c r="C202" i="5"/>
  <c r="C203" i="5"/>
  <c r="C204" i="5"/>
  <c r="C205" i="5"/>
  <c r="C206" i="5"/>
  <c r="C207" i="5"/>
  <c r="D236" i="5"/>
  <c r="C23" i="9"/>
  <c r="C24" i="9"/>
  <c r="G349" i="14"/>
  <c r="G359" i="14"/>
  <c r="G362" i="14"/>
  <c r="C26" i="16"/>
  <c r="E26" i="16" s="1"/>
  <c r="D96" i="24"/>
  <c r="F96" i="24" s="1"/>
  <c r="D97" i="24"/>
  <c r="F97" i="24" s="1"/>
  <c r="F117" i="29"/>
  <c r="G117" i="29" s="1"/>
  <c r="I117" i="29" s="1"/>
  <c r="F379" i="29"/>
  <c r="F140" i="2"/>
  <c r="G482" i="14"/>
  <c r="H153" i="5"/>
  <c r="G449" i="14"/>
  <c r="G153" i="5"/>
  <c r="F153" i="5"/>
  <c r="G416" i="14"/>
  <c r="E153" i="5"/>
  <c r="D25" i="16"/>
  <c r="G383" i="14"/>
  <c r="C25" i="16"/>
  <c r="E25" i="16" s="1"/>
  <c r="D153" i="5"/>
  <c r="G350" i="14"/>
  <c r="M334" i="14"/>
  <c r="N334" i="14" s="1"/>
  <c r="Q15" i="11"/>
  <c r="F201" i="8"/>
  <c r="E359" i="2"/>
  <c r="M359" i="2" s="1"/>
  <c r="E358" i="2"/>
  <c r="M358" i="2" s="1"/>
  <c r="M301" i="14"/>
  <c r="N301" i="14" s="1"/>
  <c r="F200" i="8"/>
  <c r="Q14" i="11"/>
  <c r="M268" i="14"/>
  <c r="N268" i="14" s="1"/>
  <c r="Q13" i="11"/>
  <c r="E357" i="2"/>
  <c r="M357" i="2" s="1"/>
  <c r="F199" i="8"/>
  <c r="Q12" i="11"/>
  <c r="F198" i="8"/>
  <c r="E356" i="2"/>
  <c r="M356" i="2" s="1"/>
  <c r="M235" i="14"/>
  <c r="N235" i="14" s="1"/>
  <c r="E355" i="2"/>
  <c r="M355" i="2" s="1"/>
  <c r="F197" i="8"/>
  <c r="M202" i="14"/>
  <c r="N202" i="14" s="1"/>
  <c r="Q11" i="11"/>
  <c r="E349" i="2"/>
  <c r="M349" i="2" s="1"/>
  <c r="M330" i="14"/>
  <c r="F177" i="8"/>
  <c r="E348" i="2"/>
  <c r="M348" i="2" s="1"/>
  <c r="F176" i="8"/>
  <c r="M297" i="14"/>
  <c r="E347" i="2"/>
  <c r="M347" i="2" s="1"/>
  <c r="M264" i="14"/>
  <c r="F175" i="8"/>
  <c r="M231" i="14"/>
  <c r="E346" i="2"/>
  <c r="M346" i="2" s="1"/>
  <c r="F174" i="8"/>
  <c r="M198" i="14"/>
  <c r="E345" i="2"/>
  <c r="M345" i="2" s="1"/>
  <c r="F173" i="8"/>
  <c r="E334" i="2"/>
  <c r="M334" i="2" s="1"/>
  <c r="M323" i="14"/>
  <c r="N323" i="14" s="1"/>
  <c r="F134" i="8"/>
  <c r="M290" i="14"/>
  <c r="N290" i="14" s="1"/>
  <c r="E333" i="2"/>
  <c r="M333" i="2" s="1"/>
  <c r="F133" i="8"/>
  <c r="M257" i="14"/>
  <c r="N257" i="14" s="1"/>
  <c r="F132" i="8"/>
  <c r="E332" i="2"/>
  <c r="M332" i="2" s="1"/>
  <c r="F131" i="8"/>
  <c r="M224" i="14"/>
  <c r="N224" i="14" s="1"/>
  <c r="E331" i="2"/>
  <c r="M331" i="2" s="1"/>
  <c r="F130" i="8"/>
  <c r="M191" i="14"/>
  <c r="N191" i="14" s="1"/>
  <c r="E330" i="2"/>
  <c r="M330" i="2" s="1"/>
  <c r="F115" i="8"/>
  <c r="M320" i="14"/>
  <c r="N320" i="14" s="1"/>
  <c r="F114" i="8"/>
  <c r="M287" i="14"/>
  <c r="N287" i="14" s="1"/>
  <c r="M254" i="14"/>
  <c r="N254" i="14" s="1"/>
  <c r="F113" i="8"/>
  <c r="F112" i="8"/>
  <c r="M221" i="14"/>
  <c r="N221" i="14" s="1"/>
  <c r="F111" i="8"/>
  <c r="M188" i="14"/>
  <c r="N188" i="14" s="1"/>
  <c r="F84" i="8"/>
  <c r="E324" i="2"/>
  <c r="M324" i="2" s="1"/>
  <c r="M315" i="14"/>
  <c r="N315" i="14" s="1"/>
  <c r="M282" i="14"/>
  <c r="N282" i="14" s="1"/>
  <c r="E323" i="2"/>
  <c r="M323" i="2" s="1"/>
  <c r="F83" i="8"/>
  <c r="F82" i="8"/>
  <c r="E322" i="2"/>
  <c r="M322" i="2" s="1"/>
  <c r="M249" i="14"/>
  <c r="N249" i="14" s="1"/>
  <c r="M216" i="14"/>
  <c r="N216" i="14" s="1"/>
  <c r="F81" i="8"/>
  <c r="E321" i="2"/>
  <c r="M321" i="2" s="1"/>
  <c r="F80" i="8"/>
  <c r="E320" i="2"/>
  <c r="M320" i="2" s="1"/>
  <c r="M183" i="14"/>
  <c r="N183" i="14" s="1"/>
  <c r="F78" i="8"/>
  <c r="M314" i="14"/>
  <c r="N314" i="14" s="1"/>
  <c r="M281" i="14"/>
  <c r="N281" i="14" s="1"/>
  <c r="F77" i="8"/>
  <c r="M248" i="14"/>
  <c r="N248" i="14" s="1"/>
  <c r="F76" i="8"/>
  <c r="M215" i="14"/>
  <c r="N215" i="14" s="1"/>
  <c r="F75" i="8"/>
  <c r="F74" i="8"/>
  <c r="M182" i="14"/>
  <c r="N182" i="14" s="1"/>
  <c r="F72" i="8"/>
  <c r="M313" i="14"/>
  <c r="N313" i="14" s="1"/>
  <c r="M280" i="14"/>
  <c r="N280" i="14" s="1"/>
  <c r="F71" i="8"/>
  <c r="F70" i="8"/>
  <c r="M247" i="14"/>
  <c r="N247" i="14" s="1"/>
  <c r="F69" i="8"/>
  <c r="M214" i="14"/>
  <c r="N214" i="14" s="1"/>
  <c r="M181" i="14"/>
  <c r="N181" i="14" s="1"/>
  <c r="F68" i="8"/>
  <c r="F66" i="8"/>
  <c r="M312" i="14"/>
  <c r="N312" i="14" s="1"/>
  <c r="M279" i="14"/>
  <c r="N279" i="14" s="1"/>
  <c r="F65" i="8"/>
  <c r="M246" i="14"/>
  <c r="N246" i="14" s="1"/>
  <c r="F64" i="8"/>
  <c r="M213" i="14"/>
  <c r="N213" i="14" s="1"/>
  <c r="F63" i="8"/>
  <c r="F62" i="8"/>
  <c r="M180" i="14"/>
  <c r="N180" i="14" s="1"/>
  <c r="M311" i="14"/>
  <c r="N311" i="14" s="1"/>
  <c r="E319" i="2"/>
  <c r="M319" i="2" s="1"/>
  <c r="F60" i="8"/>
  <c r="M278" i="14"/>
  <c r="N278" i="14" s="1"/>
  <c r="F59" i="8"/>
  <c r="E318" i="2"/>
  <c r="M318" i="2" s="1"/>
  <c r="E317" i="2"/>
  <c r="M317" i="2" s="1"/>
  <c r="M245" i="14"/>
  <c r="N245" i="14" s="1"/>
  <c r="F58" i="8"/>
  <c r="E316" i="2"/>
  <c r="M316" i="2" s="1"/>
  <c r="F57" i="8"/>
  <c r="M212" i="14"/>
  <c r="N212" i="14" s="1"/>
  <c r="M179" i="14"/>
  <c r="N179" i="14" s="1"/>
  <c r="E315" i="2"/>
  <c r="M315" i="2" s="1"/>
  <c r="F56" i="8"/>
  <c r="F54" i="8"/>
  <c r="M310" i="14"/>
  <c r="N310" i="14" s="1"/>
  <c r="E314" i="2"/>
  <c r="M314" i="2" s="1"/>
  <c r="F53" i="8"/>
  <c r="E313" i="2"/>
  <c r="M313" i="2" s="1"/>
  <c r="M277" i="14"/>
  <c r="N277" i="14" s="1"/>
  <c r="F52" i="8"/>
  <c r="M244" i="14"/>
  <c r="N244" i="14" s="1"/>
  <c r="E312" i="2"/>
  <c r="M312" i="2" s="1"/>
  <c r="F51" i="8"/>
  <c r="M211" i="14"/>
  <c r="N211" i="14" s="1"/>
  <c r="E311" i="2"/>
  <c r="M311" i="2" s="1"/>
  <c r="E310" i="2"/>
  <c r="M310" i="2" s="1"/>
  <c r="M178" i="14"/>
  <c r="N178" i="14" s="1"/>
  <c r="F50" i="8"/>
  <c r="M309" i="14"/>
  <c r="N309" i="14" s="1"/>
  <c r="E309" i="2"/>
  <c r="M309" i="2" s="1"/>
  <c r="F48" i="8"/>
  <c r="M276" i="14"/>
  <c r="N276" i="14" s="1"/>
  <c r="E308" i="2"/>
  <c r="M308" i="2" s="1"/>
  <c r="F47" i="8"/>
  <c r="E307" i="2"/>
  <c r="M307" i="2" s="1"/>
  <c r="M243" i="14"/>
  <c r="N243" i="14" s="1"/>
  <c r="F46" i="8"/>
  <c r="F45" i="8"/>
  <c r="E306" i="2"/>
  <c r="M306" i="2" s="1"/>
  <c r="M210" i="14"/>
  <c r="N210" i="14" s="1"/>
  <c r="E305" i="2"/>
  <c r="M305" i="2" s="1"/>
  <c r="F44" i="8"/>
  <c r="M177" i="14"/>
  <c r="N177" i="14" s="1"/>
  <c r="F42" i="8"/>
  <c r="M308" i="14"/>
  <c r="N308" i="14" s="1"/>
  <c r="M275" i="14"/>
  <c r="N275" i="14" s="1"/>
  <c r="F41" i="8"/>
  <c r="M242" i="14"/>
  <c r="N242" i="14" s="1"/>
  <c r="F40" i="8"/>
  <c r="F39" i="8"/>
  <c r="M209" i="14"/>
  <c r="N209" i="14" s="1"/>
  <c r="F38" i="8"/>
  <c r="M176" i="14"/>
  <c r="N176" i="14" s="1"/>
  <c r="F29" i="8"/>
  <c r="M306" i="14"/>
  <c r="N306" i="14" s="1"/>
  <c r="F28" i="8"/>
  <c r="M273" i="14"/>
  <c r="N273" i="14" s="1"/>
  <c r="F27" i="8"/>
  <c r="M240" i="14"/>
  <c r="N240" i="14" s="1"/>
  <c r="F26" i="8"/>
  <c r="M207" i="14"/>
  <c r="N207" i="14" s="1"/>
  <c r="F25" i="8"/>
  <c r="M174" i="14"/>
  <c r="N174" i="14" s="1"/>
  <c r="F23" i="8"/>
  <c r="M305" i="14"/>
  <c r="N305" i="14" s="1"/>
  <c r="E304" i="2"/>
  <c r="M304" i="2" s="1"/>
  <c r="F22" i="8"/>
  <c r="M272" i="14"/>
  <c r="N272" i="14" s="1"/>
  <c r="E303" i="2"/>
  <c r="M303" i="2" s="1"/>
  <c r="F21" i="8"/>
  <c r="E302" i="2"/>
  <c r="M302" i="2" s="1"/>
  <c r="M239" i="14"/>
  <c r="N239" i="14" s="1"/>
  <c r="F20" i="8"/>
  <c r="M206" i="14"/>
  <c r="N206" i="14" s="1"/>
  <c r="E301" i="2"/>
  <c r="M301" i="2" s="1"/>
  <c r="F19" i="8"/>
  <c r="M173" i="14"/>
  <c r="N173" i="14" s="1"/>
  <c r="E300" i="2"/>
  <c r="M300" i="2" s="1"/>
  <c r="F17" i="8"/>
  <c r="M304" i="14"/>
  <c r="N304" i="14" s="1"/>
  <c r="E299" i="2"/>
  <c r="M299" i="2" s="1"/>
  <c r="H91" i="4"/>
  <c r="G91" i="4"/>
  <c r="F91" i="4"/>
  <c r="E91" i="4"/>
  <c r="D91" i="4"/>
  <c r="F240" i="26"/>
  <c r="F356" i="29"/>
  <c r="G328" i="14"/>
  <c r="F239" i="26"/>
  <c r="F354" i="29"/>
  <c r="F357" i="29"/>
  <c r="G295" i="14"/>
  <c r="F238" i="26"/>
  <c r="F352" i="29"/>
  <c r="F355" i="29"/>
  <c r="G262" i="14"/>
  <c r="F237" i="26"/>
  <c r="F350" i="29"/>
  <c r="F353" i="29"/>
  <c r="G229" i="14"/>
  <c r="F236" i="26"/>
  <c r="D21" i="16"/>
  <c r="F348" i="29"/>
  <c r="F351" i="29"/>
  <c r="G196" i="14"/>
  <c r="C21" i="16"/>
  <c r="E21" i="16" s="1"/>
  <c r="F349" i="29"/>
  <c r="H138" i="4"/>
  <c r="H73" i="4"/>
  <c r="G139" i="4"/>
  <c r="G138" i="4"/>
  <c r="G73" i="4"/>
  <c r="F139" i="4"/>
  <c r="F138" i="4"/>
  <c r="F73" i="4"/>
  <c r="E73" i="4"/>
  <c r="E139" i="4"/>
  <c r="E138" i="4"/>
  <c r="D139" i="4"/>
  <c r="D73" i="4"/>
  <c r="D138" i="4"/>
  <c r="H156" i="4"/>
  <c r="F318" i="14"/>
  <c r="F319" i="14"/>
  <c r="E195" i="26"/>
  <c r="F285" i="14"/>
  <c r="F286" i="14"/>
  <c r="G156" i="4"/>
  <c r="E194" i="26"/>
  <c r="F252" i="14"/>
  <c r="F156" i="4"/>
  <c r="F253" i="14"/>
  <c r="E193" i="26"/>
  <c r="F219" i="14"/>
  <c r="F220" i="14"/>
  <c r="E192" i="26"/>
  <c r="E156" i="4"/>
  <c r="F186" i="14"/>
  <c r="F187" i="14"/>
  <c r="D156" i="4"/>
  <c r="E191" i="26"/>
  <c r="H63" i="4"/>
  <c r="H81" i="4"/>
  <c r="J16" i="9" s="1"/>
  <c r="G63" i="4"/>
  <c r="G81" i="4"/>
  <c r="I16" i="9" s="1"/>
  <c r="F63" i="4"/>
  <c r="F81" i="4"/>
  <c r="E81" i="4"/>
  <c r="E63" i="4"/>
  <c r="D81" i="4"/>
  <c r="D63" i="4"/>
  <c r="C81" i="4"/>
  <c r="C63" i="4"/>
  <c r="F307" i="14"/>
  <c r="H142" i="4"/>
  <c r="F274" i="14"/>
  <c r="G142" i="4"/>
  <c r="F241" i="14"/>
  <c r="F142" i="4"/>
  <c r="E142" i="4"/>
  <c r="F208" i="14"/>
  <c r="F175" i="14"/>
  <c r="D142" i="4"/>
  <c r="H71" i="4"/>
  <c r="H79" i="4"/>
  <c r="J14" i="9" s="1"/>
  <c r="H80" i="4"/>
  <c r="J15" i="9" s="1"/>
  <c r="H193" i="4"/>
  <c r="H194" i="4"/>
  <c r="H196" i="4"/>
  <c r="H197" i="4"/>
  <c r="H198" i="4"/>
  <c r="H199" i="4"/>
  <c r="H200" i="4"/>
  <c r="H201" i="4"/>
  <c r="H202" i="4"/>
  <c r="H203" i="4"/>
  <c r="H204" i="4"/>
  <c r="H205" i="4"/>
  <c r="H206" i="4"/>
  <c r="H207" i="4"/>
  <c r="H235" i="4"/>
  <c r="H195" i="4"/>
  <c r="H14" i="9"/>
  <c r="H15" i="9"/>
  <c r="H19" i="9"/>
  <c r="F99" i="2"/>
  <c r="G321" i="14"/>
  <c r="H155" i="4"/>
  <c r="G318" i="14"/>
  <c r="H318" i="14" s="1"/>
  <c r="H158" i="4"/>
  <c r="D88" i="24"/>
  <c r="F88" i="24" s="1"/>
  <c r="D89" i="24"/>
  <c r="F89" i="24" s="1"/>
  <c r="F190" i="26"/>
  <c r="F195" i="26"/>
  <c r="F230" i="26"/>
  <c r="F245" i="26"/>
  <c r="F84" i="29"/>
  <c r="G84" i="29" s="1"/>
  <c r="I84" i="29" s="1"/>
  <c r="F366" i="29"/>
  <c r="G71" i="4"/>
  <c r="G79" i="4"/>
  <c r="I14" i="9" s="1"/>
  <c r="G80" i="4"/>
  <c r="I15" i="9" s="1"/>
  <c r="G158" i="4"/>
  <c r="G195" i="4"/>
  <c r="G196" i="4"/>
  <c r="G197" i="4"/>
  <c r="G198" i="4"/>
  <c r="G199" i="4"/>
  <c r="G200" i="4"/>
  <c r="G201" i="4"/>
  <c r="G202" i="4"/>
  <c r="G203" i="4"/>
  <c r="G204" i="4"/>
  <c r="G205" i="4"/>
  <c r="G206" i="4"/>
  <c r="G207" i="4"/>
  <c r="G235" i="4"/>
  <c r="H236" i="4"/>
  <c r="G193" i="4"/>
  <c r="G14" i="9"/>
  <c r="G15" i="9"/>
  <c r="G19" i="9"/>
  <c r="J19" i="9"/>
  <c r="G288" i="14"/>
  <c r="G316" i="14"/>
  <c r="G326" i="14"/>
  <c r="G329" i="14"/>
  <c r="G194" i="4"/>
  <c r="G285" i="14"/>
  <c r="H285" i="14" s="1"/>
  <c r="H152" i="4"/>
  <c r="G155" i="4"/>
  <c r="F98" i="2"/>
  <c r="D80" i="24"/>
  <c r="F80" i="24" s="1"/>
  <c r="D81" i="24"/>
  <c r="F81" i="24" s="1"/>
  <c r="F189" i="26"/>
  <c r="F194" i="26"/>
  <c r="F229" i="26"/>
  <c r="F244" i="26"/>
  <c r="F82" i="29"/>
  <c r="G82" i="29" s="1"/>
  <c r="I82" i="29" s="1"/>
  <c r="F85" i="29"/>
  <c r="G85" i="29" s="1"/>
  <c r="I85" i="29" s="1"/>
  <c r="F364" i="29"/>
  <c r="F367" i="29"/>
  <c r="F71" i="4"/>
  <c r="F79" i="4"/>
  <c r="F80" i="4"/>
  <c r="F196" i="4"/>
  <c r="F197" i="4"/>
  <c r="F198" i="4"/>
  <c r="F199" i="4"/>
  <c r="F200" i="4"/>
  <c r="F201" i="4"/>
  <c r="F202" i="4"/>
  <c r="F203" i="4"/>
  <c r="F204" i="4"/>
  <c r="F205" i="4"/>
  <c r="F206" i="4"/>
  <c r="F207" i="4"/>
  <c r="F235" i="4"/>
  <c r="G236" i="4"/>
  <c r="F194" i="4"/>
  <c r="F195" i="4"/>
  <c r="F193" i="4"/>
  <c r="F14" i="9"/>
  <c r="F15" i="9"/>
  <c r="F19" i="9"/>
  <c r="I19" i="9"/>
  <c r="G255" i="14"/>
  <c r="G252" i="14"/>
  <c r="H252" i="14" s="1"/>
  <c r="G283" i="14"/>
  <c r="G293" i="14"/>
  <c r="G296" i="14"/>
  <c r="G152" i="4"/>
  <c r="D72" i="24"/>
  <c r="F72" i="24" s="1"/>
  <c r="D73" i="24"/>
  <c r="F73" i="24" s="1"/>
  <c r="F97" i="2"/>
  <c r="F158" i="4"/>
  <c r="F188" i="26"/>
  <c r="F193" i="26"/>
  <c r="F228" i="26"/>
  <c r="F243" i="26"/>
  <c r="F155" i="4"/>
  <c r="F80" i="29"/>
  <c r="G80" i="29" s="1"/>
  <c r="I80" i="29" s="1"/>
  <c r="F83" i="29"/>
  <c r="G83" i="29" s="1"/>
  <c r="I83" i="29" s="1"/>
  <c r="F362" i="29"/>
  <c r="F365" i="29"/>
  <c r="E71" i="4"/>
  <c r="E79" i="4"/>
  <c r="E80" i="4"/>
  <c r="E196" i="4"/>
  <c r="E197" i="4"/>
  <c r="E198" i="4"/>
  <c r="E199" i="4"/>
  <c r="E200" i="4"/>
  <c r="E201" i="4"/>
  <c r="E202" i="4"/>
  <c r="E203" i="4"/>
  <c r="E204" i="4"/>
  <c r="E205" i="4"/>
  <c r="E206" i="4"/>
  <c r="E207" i="4"/>
  <c r="E235" i="4"/>
  <c r="F236" i="4"/>
  <c r="E14" i="9"/>
  <c r="E194" i="4"/>
  <c r="E15" i="9"/>
  <c r="E19" i="9"/>
  <c r="G219" i="14"/>
  <c r="H219" i="14" s="1"/>
  <c r="G250" i="14"/>
  <c r="G260" i="14"/>
  <c r="G263" i="14"/>
  <c r="E158" i="4"/>
  <c r="E193" i="4"/>
  <c r="E195" i="4"/>
  <c r="G222" i="14"/>
  <c r="E155" i="4"/>
  <c r="F96" i="2"/>
  <c r="D64" i="24"/>
  <c r="F64" i="24" s="1"/>
  <c r="D65" i="24"/>
  <c r="F65" i="24" s="1"/>
  <c r="F152" i="4"/>
  <c r="F187" i="26"/>
  <c r="F192" i="26"/>
  <c r="F227" i="26"/>
  <c r="F242" i="26"/>
  <c r="F78" i="29"/>
  <c r="G78" i="29" s="1"/>
  <c r="I78" i="29" s="1"/>
  <c r="F81" i="29"/>
  <c r="G81" i="29" s="1"/>
  <c r="I81" i="29" s="1"/>
  <c r="F360" i="29"/>
  <c r="F363" i="29"/>
  <c r="D71" i="4"/>
  <c r="D79" i="4"/>
  <c r="D80" i="4"/>
  <c r="D193" i="4"/>
  <c r="D194" i="4"/>
  <c r="D195" i="4"/>
  <c r="D196" i="4"/>
  <c r="D197" i="4"/>
  <c r="D198" i="4"/>
  <c r="D199" i="4"/>
  <c r="D200" i="4"/>
  <c r="D201" i="4"/>
  <c r="D202" i="4"/>
  <c r="D203" i="4"/>
  <c r="D204" i="4"/>
  <c r="D205" i="4"/>
  <c r="D206" i="4"/>
  <c r="D207" i="4"/>
  <c r="D235" i="4"/>
  <c r="E236" i="4"/>
  <c r="D158" i="4"/>
  <c r="D15" i="9"/>
  <c r="D14" i="9"/>
  <c r="D19" i="9"/>
  <c r="E152" i="4"/>
  <c r="D155" i="4"/>
  <c r="G186" i="14"/>
  <c r="H186" i="14" s="1"/>
  <c r="G189" i="14"/>
  <c r="G230" i="14"/>
  <c r="G217" i="14"/>
  <c r="G227" i="14"/>
  <c r="F95" i="2"/>
  <c r="D18" i="16"/>
  <c r="D56" i="24"/>
  <c r="F56" i="24" s="1"/>
  <c r="D57" i="24"/>
  <c r="F57" i="24" s="1"/>
  <c r="F186" i="26"/>
  <c r="F191" i="26"/>
  <c r="F226" i="26"/>
  <c r="F241" i="26"/>
  <c r="F76" i="29"/>
  <c r="G76" i="29" s="1"/>
  <c r="I76" i="29" s="1"/>
  <c r="F79" i="29"/>
  <c r="G79" i="29" s="1"/>
  <c r="I79" i="29" s="1"/>
  <c r="F358" i="29"/>
  <c r="F361" i="29"/>
  <c r="C71" i="4"/>
  <c r="C79" i="4"/>
  <c r="C80" i="4"/>
  <c r="C197" i="4"/>
  <c r="C198" i="4"/>
  <c r="C199" i="4"/>
  <c r="C200" i="4"/>
  <c r="C201" i="4"/>
  <c r="C202" i="4"/>
  <c r="C203" i="4"/>
  <c r="C204" i="4"/>
  <c r="C205" i="4"/>
  <c r="C206" i="4"/>
  <c r="C207" i="4"/>
  <c r="D236" i="4"/>
  <c r="C195" i="4"/>
  <c r="C14" i="9"/>
  <c r="C193" i="4"/>
  <c r="C15" i="9"/>
  <c r="C19" i="9"/>
  <c r="G194" i="14"/>
  <c r="G197" i="14"/>
  <c r="C194" i="4"/>
  <c r="C196" i="4"/>
  <c r="G184" i="14"/>
  <c r="D152" i="4"/>
  <c r="C18" i="16"/>
  <c r="E18" i="16" s="1"/>
  <c r="D51" i="24"/>
  <c r="F51" i="24" s="1"/>
  <c r="D52" i="24"/>
  <c r="F52" i="24" s="1"/>
  <c r="D242" i="24"/>
  <c r="F242" i="24" s="1"/>
  <c r="F77" i="29"/>
  <c r="G77" i="29" s="1"/>
  <c r="I77" i="29" s="1"/>
  <c r="F359" i="29"/>
  <c r="H169" i="3"/>
  <c r="F120" i="26"/>
  <c r="G10" i="11"/>
  <c r="X10" i="30"/>
  <c r="Y10" i="30" s="1"/>
  <c r="H133" i="3"/>
  <c r="G169" i="3"/>
  <c r="F119" i="26"/>
  <c r="G9" i="11"/>
  <c r="G133" i="3"/>
  <c r="X9" i="30"/>
  <c r="Y9" i="30" s="1"/>
  <c r="F169" i="3"/>
  <c r="F118" i="26"/>
  <c r="G8" i="11"/>
  <c r="X8" i="30"/>
  <c r="Y8" i="30" s="1"/>
  <c r="F133" i="3"/>
  <c r="E169" i="3"/>
  <c r="G7" i="11"/>
  <c r="F117" i="26"/>
  <c r="E133" i="3"/>
  <c r="X7" i="30"/>
  <c r="Y7" i="30" s="1"/>
  <c r="F116" i="26"/>
  <c r="X6" i="30"/>
  <c r="Y6" i="30" s="1"/>
  <c r="D133" i="3"/>
  <c r="G6" i="11"/>
  <c r="D169" i="3"/>
  <c r="F75" i="26"/>
  <c r="F74" i="26"/>
  <c r="F73" i="26"/>
  <c r="F72" i="26"/>
  <c r="F71" i="26"/>
  <c r="H161" i="3"/>
  <c r="H91" i="3"/>
  <c r="H210" i="3"/>
  <c r="E80" i="26"/>
  <c r="H225" i="3"/>
  <c r="G225" i="3"/>
  <c r="G210" i="3"/>
  <c r="E79" i="26"/>
  <c r="G161" i="3"/>
  <c r="H226" i="3"/>
  <c r="G91" i="3"/>
  <c r="G226" i="3"/>
  <c r="E78" i="26"/>
  <c r="F210" i="3"/>
  <c r="F225" i="3"/>
  <c r="F91" i="3"/>
  <c r="F161" i="3"/>
  <c r="E77" i="26"/>
  <c r="E225" i="3"/>
  <c r="E210" i="3"/>
  <c r="E91" i="3"/>
  <c r="F226" i="3"/>
  <c r="E161" i="3"/>
  <c r="D161" i="3"/>
  <c r="D210" i="3"/>
  <c r="D226" i="3"/>
  <c r="E76" i="26"/>
  <c r="D91" i="3"/>
  <c r="E226" i="3"/>
  <c r="H239" i="3"/>
  <c r="H70" i="3"/>
  <c r="H10" i="9" s="1"/>
  <c r="H157" i="3"/>
  <c r="R10" i="30"/>
  <c r="E65" i="26"/>
  <c r="E70" i="26"/>
  <c r="F70" i="26"/>
  <c r="G157" i="3"/>
  <c r="E64" i="26"/>
  <c r="F69" i="26"/>
  <c r="E69" i="26"/>
  <c r="G70" i="3"/>
  <c r="G10" i="9" s="1"/>
  <c r="H240" i="3"/>
  <c r="G239" i="3"/>
  <c r="R9" i="30"/>
  <c r="F68" i="26"/>
  <c r="G240" i="3"/>
  <c r="F157" i="3"/>
  <c r="F239" i="3"/>
  <c r="F70" i="3"/>
  <c r="F10" i="9" s="1"/>
  <c r="R8" i="30"/>
  <c r="E63" i="26"/>
  <c r="E68" i="26"/>
  <c r="E70" i="3"/>
  <c r="E10" i="9" s="1"/>
  <c r="E157" i="3"/>
  <c r="E239" i="3"/>
  <c r="E62" i="26"/>
  <c r="R7" i="30"/>
  <c r="F240" i="3"/>
  <c r="E67" i="26"/>
  <c r="F67" i="26"/>
  <c r="D157" i="3"/>
  <c r="E66" i="26"/>
  <c r="E240" i="3"/>
  <c r="F66" i="26"/>
  <c r="E61" i="26"/>
  <c r="R6" i="30"/>
  <c r="D239" i="3"/>
  <c r="D70" i="3"/>
  <c r="D10" i="9" s="1"/>
  <c r="D240" i="3"/>
  <c r="C70" i="3"/>
  <c r="C10" i="9" s="1"/>
  <c r="H151" i="3"/>
  <c r="F30" i="26"/>
  <c r="E40" i="26"/>
  <c r="H147" i="3"/>
  <c r="H150" i="3"/>
  <c r="H242" i="3"/>
  <c r="H144" i="3"/>
  <c r="G241" i="3"/>
  <c r="G242" i="3"/>
  <c r="E39" i="26"/>
  <c r="G147" i="3"/>
  <c r="G144" i="3"/>
  <c r="G150" i="3"/>
  <c r="F29" i="26"/>
  <c r="G151" i="3"/>
  <c r="F241" i="3"/>
  <c r="F28" i="26"/>
  <c r="F151" i="3"/>
  <c r="F144" i="3"/>
  <c r="F150" i="3"/>
  <c r="F242" i="3"/>
  <c r="E241" i="3"/>
  <c r="F147" i="3"/>
  <c r="E38" i="26"/>
  <c r="E37" i="26"/>
  <c r="E147" i="3"/>
  <c r="E150" i="3"/>
  <c r="E242" i="3"/>
  <c r="E151" i="3"/>
  <c r="D241" i="3"/>
  <c r="F27" i="26"/>
  <c r="E144" i="3"/>
  <c r="E36" i="26"/>
  <c r="D144" i="3"/>
  <c r="D150" i="3"/>
  <c r="D147" i="3"/>
  <c r="D151" i="3"/>
  <c r="D242" i="3"/>
  <c r="F26" i="26"/>
  <c r="H73" i="3"/>
  <c r="H140" i="3"/>
  <c r="F15" i="26"/>
  <c r="F20" i="26"/>
  <c r="F10" i="26"/>
  <c r="H138" i="3"/>
  <c r="H139" i="3"/>
  <c r="F19" i="26"/>
  <c r="G73" i="3"/>
  <c r="G138" i="3"/>
  <c r="G139" i="3"/>
  <c r="G140" i="3"/>
  <c r="F14" i="26"/>
  <c r="F9" i="26"/>
  <c r="F139" i="3"/>
  <c r="F18" i="26"/>
  <c r="F13" i="26"/>
  <c r="F138" i="3"/>
  <c r="F140" i="3"/>
  <c r="F73" i="3"/>
  <c r="F8" i="26"/>
  <c r="E139" i="3"/>
  <c r="F12" i="26"/>
  <c r="E140" i="3"/>
  <c r="E73" i="3"/>
  <c r="E138" i="3"/>
  <c r="F17" i="26"/>
  <c r="F7" i="26"/>
  <c r="D140" i="3"/>
  <c r="F11" i="26"/>
  <c r="D138" i="3"/>
  <c r="D139" i="3"/>
  <c r="G7" i="14"/>
  <c r="F16" i="26"/>
  <c r="G8" i="14"/>
  <c r="D73" i="3"/>
  <c r="F6" i="26"/>
  <c r="G6" i="14"/>
  <c r="F154" i="14"/>
  <c r="F153" i="14"/>
  <c r="E60" i="26"/>
  <c r="F120" i="14"/>
  <c r="F121" i="14"/>
  <c r="E59" i="26"/>
  <c r="F87" i="14"/>
  <c r="F88" i="14"/>
  <c r="E58" i="26"/>
  <c r="F55" i="14"/>
  <c r="F54" i="14"/>
  <c r="E57" i="26"/>
  <c r="F22" i="14"/>
  <c r="F21" i="14"/>
  <c r="E56" i="26"/>
  <c r="F65" i="26"/>
  <c r="H63" i="3"/>
  <c r="E120" i="26"/>
  <c r="H26" i="21"/>
  <c r="I26" i="21" s="1"/>
  <c r="H237" i="3"/>
  <c r="H81" i="3"/>
  <c r="J7" i="9" s="1"/>
  <c r="H156" i="3"/>
  <c r="F130" i="26"/>
  <c r="F100" i="26"/>
  <c r="H28" i="21"/>
  <c r="I28" i="21" s="1"/>
  <c r="H170" i="3"/>
  <c r="F99" i="26"/>
  <c r="F129" i="26"/>
  <c r="G170" i="3"/>
  <c r="H21" i="21"/>
  <c r="I21" i="21" s="1"/>
  <c r="H23" i="21"/>
  <c r="I23" i="21" s="1"/>
  <c r="H238" i="3"/>
  <c r="E119" i="26"/>
  <c r="G63" i="3"/>
  <c r="F64" i="26"/>
  <c r="G237" i="3"/>
  <c r="G156" i="3"/>
  <c r="G81" i="3"/>
  <c r="I7" i="9" s="1"/>
  <c r="F237" i="3"/>
  <c r="F98" i="26"/>
  <c r="F170" i="3"/>
  <c r="H16" i="21"/>
  <c r="I16" i="21" s="1"/>
  <c r="F81" i="3"/>
  <c r="H18" i="21"/>
  <c r="I18" i="21" s="1"/>
  <c r="G238" i="3"/>
  <c r="F63" i="3"/>
  <c r="F63" i="26"/>
  <c r="E118" i="26"/>
  <c r="F128" i="26"/>
  <c r="F156" i="3"/>
  <c r="H13" i="21"/>
  <c r="I13" i="21" s="1"/>
  <c r="H11" i="21"/>
  <c r="I11" i="21" s="1"/>
  <c r="F62" i="26"/>
  <c r="F97" i="26"/>
  <c r="E81" i="3"/>
  <c r="E63" i="3"/>
  <c r="E117" i="26"/>
  <c r="E170" i="3"/>
  <c r="E156" i="3"/>
  <c r="F238" i="3"/>
  <c r="E237" i="3"/>
  <c r="F127" i="26"/>
  <c r="D81" i="3"/>
  <c r="F61" i="26"/>
  <c r="F126" i="26"/>
  <c r="D156" i="3"/>
  <c r="H6" i="21"/>
  <c r="I6" i="21" s="1"/>
  <c r="H8" i="21"/>
  <c r="I8" i="21" s="1"/>
  <c r="D237" i="3"/>
  <c r="E238" i="3"/>
  <c r="F96" i="26"/>
  <c r="E116" i="26"/>
  <c r="D63" i="3"/>
  <c r="D170" i="3"/>
  <c r="C81" i="3"/>
  <c r="D238" i="3"/>
  <c r="C63" i="3"/>
  <c r="E15" i="26"/>
  <c r="E25" i="26"/>
  <c r="E10" i="26"/>
  <c r="H72" i="3"/>
  <c r="H141" i="3"/>
  <c r="E24" i="26"/>
  <c r="G72" i="3"/>
  <c r="G141" i="3"/>
  <c r="E14" i="26"/>
  <c r="E9" i="26"/>
  <c r="E8" i="26"/>
  <c r="E23" i="26"/>
  <c r="F141" i="3"/>
  <c r="E13" i="26"/>
  <c r="F72" i="3"/>
  <c r="E22" i="26"/>
  <c r="E141" i="3"/>
  <c r="E72" i="3"/>
  <c r="E12" i="26"/>
  <c r="E7" i="26"/>
  <c r="E21" i="26"/>
  <c r="E6" i="26"/>
  <c r="F7" i="14"/>
  <c r="F6" i="14"/>
  <c r="D72" i="3"/>
  <c r="D141" i="3"/>
  <c r="F9" i="14"/>
  <c r="E11" i="26"/>
  <c r="H71" i="3"/>
  <c r="H80" i="3"/>
  <c r="J6" i="9" s="1"/>
  <c r="H155" i="3"/>
  <c r="H158" i="3"/>
  <c r="H193" i="3"/>
  <c r="H194" i="3"/>
  <c r="H195" i="3"/>
  <c r="H196" i="3"/>
  <c r="H197" i="3"/>
  <c r="H198" i="3"/>
  <c r="H199" i="3"/>
  <c r="H200" i="3"/>
  <c r="H201" i="3"/>
  <c r="H202" i="3"/>
  <c r="H203" i="3"/>
  <c r="H204" i="3"/>
  <c r="H205" i="3"/>
  <c r="H206" i="3"/>
  <c r="H207" i="3"/>
  <c r="H235" i="3"/>
  <c r="H6" i="9"/>
  <c r="G153" i="14"/>
  <c r="G156" i="14"/>
  <c r="H29" i="21"/>
  <c r="H30" i="21"/>
  <c r="I30" i="21" s="1"/>
  <c r="D43" i="24"/>
  <c r="F43" i="24" s="1"/>
  <c r="D44" i="24"/>
  <c r="F44" i="24" s="1"/>
  <c r="F55" i="26"/>
  <c r="F60" i="26"/>
  <c r="F95" i="26"/>
  <c r="F110" i="26"/>
  <c r="F39" i="2"/>
  <c r="F34" i="29"/>
  <c r="G34" i="29" s="1"/>
  <c r="I34" i="29" s="1"/>
  <c r="F214" i="29"/>
  <c r="F346" i="29"/>
  <c r="P74" i="2"/>
  <c r="G71" i="3"/>
  <c r="G80" i="3"/>
  <c r="I6" i="9" s="1"/>
  <c r="H152" i="3"/>
  <c r="G155" i="3"/>
  <c r="G158" i="3"/>
  <c r="G193" i="3"/>
  <c r="G194" i="3"/>
  <c r="G195" i="3"/>
  <c r="G196" i="3"/>
  <c r="G197" i="3"/>
  <c r="G198" i="3"/>
  <c r="G199" i="3"/>
  <c r="G200" i="3"/>
  <c r="G201" i="3"/>
  <c r="G202" i="3"/>
  <c r="G203" i="3"/>
  <c r="G204" i="3"/>
  <c r="G205" i="3"/>
  <c r="G206" i="3"/>
  <c r="G207" i="3"/>
  <c r="G235" i="3"/>
  <c r="H236" i="3"/>
  <c r="G6" i="9"/>
  <c r="J10" i="9"/>
  <c r="P73" i="2"/>
  <c r="G120" i="14"/>
  <c r="G123" i="14"/>
  <c r="G151" i="14"/>
  <c r="G161" i="14"/>
  <c r="G164" i="14"/>
  <c r="H24" i="21"/>
  <c r="H25" i="21"/>
  <c r="I25" i="21" s="1"/>
  <c r="D35" i="24"/>
  <c r="F35" i="24" s="1"/>
  <c r="D36" i="24"/>
  <c r="F36" i="24" s="1"/>
  <c r="F54" i="26"/>
  <c r="F59" i="26"/>
  <c r="F94" i="26"/>
  <c r="F109" i="26"/>
  <c r="F38" i="2"/>
  <c r="F32" i="29"/>
  <c r="G32" i="29" s="1"/>
  <c r="I32" i="29" s="1"/>
  <c r="F35" i="29"/>
  <c r="G35" i="29" s="1"/>
  <c r="I35" i="29" s="1"/>
  <c r="F212" i="29"/>
  <c r="F215" i="29"/>
  <c r="F344" i="29"/>
  <c r="F347" i="29"/>
  <c r="F71" i="3"/>
  <c r="F80" i="3"/>
  <c r="G152" i="3"/>
  <c r="F155" i="3"/>
  <c r="F158" i="3"/>
  <c r="F193" i="3"/>
  <c r="F194" i="3"/>
  <c r="F195" i="3"/>
  <c r="F196" i="3"/>
  <c r="F197" i="3"/>
  <c r="F198" i="3"/>
  <c r="F199" i="3"/>
  <c r="F200" i="3"/>
  <c r="F201" i="3"/>
  <c r="F202" i="3"/>
  <c r="F203" i="3"/>
  <c r="F204" i="3"/>
  <c r="F205" i="3"/>
  <c r="F206" i="3"/>
  <c r="F207" i="3"/>
  <c r="F235" i="3"/>
  <c r="G236" i="3"/>
  <c r="I10" i="9"/>
  <c r="F6" i="9"/>
  <c r="P72" i="2"/>
  <c r="G87" i="14"/>
  <c r="G90" i="14"/>
  <c r="G118" i="14"/>
  <c r="G131" i="14"/>
  <c r="G128" i="14"/>
  <c r="H19" i="21"/>
  <c r="I19" i="21" s="1"/>
  <c r="H20" i="21"/>
  <c r="F37" i="2"/>
  <c r="D27" i="24"/>
  <c r="F27" i="24" s="1"/>
  <c r="D28" i="24"/>
  <c r="F28" i="24" s="1"/>
  <c r="F53" i="26"/>
  <c r="F58" i="26"/>
  <c r="F93" i="26"/>
  <c r="F108" i="26"/>
  <c r="F30" i="29"/>
  <c r="G30" i="29" s="1"/>
  <c r="I30" i="29" s="1"/>
  <c r="F33" i="29"/>
  <c r="G33" i="29" s="1"/>
  <c r="I33" i="29" s="1"/>
  <c r="F210" i="29"/>
  <c r="F213" i="29"/>
  <c r="F342" i="29"/>
  <c r="F345" i="29"/>
  <c r="E71" i="3"/>
  <c r="E80" i="3"/>
  <c r="F152" i="3"/>
  <c r="E155" i="3"/>
  <c r="E158" i="3"/>
  <c r="E193" i="3"/>
  <c r="E194" i="3"/>
  <c r="E195" i="3"/>
  <c r="E196" i="3"/>
  <c r="E197" i="3"/>
  <c r="E198" i="3"/>
  <c r="E199" i="3"/>
  <c r="E200" i="3"/>
  <c r="E201" i="3"/>
  <c r="E202" i="3"/>
  <c r="E203" i="3"/>
  <c r="E204" i="3"/>
  <c r="E205" i="3"/>
  <c r="E206" i="3"/>
  <c r="E207" i="3"/>
  <c r="E235" i="3"/>
  <c r="F236" i="3"/>
  <c r="E6" i="9"/>
  <c r="G54" i="14"/>
  <c r="G98" i="14"/>
  <c r="P71" i="2"/>
  <c r="G57" i="14"/>
  <c r="G85" i="14"/>
  <c r="G95" i="14"/>
  <c r="H14" i="21"/>
  <c r="I14" i="21" s="1"/>
  <c r="H15" i="21"/>
  <c r="F36" i="2"/>
  <c r="D19" i="24"/>
  <c r="F19" i="24" s="1"/>
  <c r="D20" i="24"/>
  <c r="F20" i="24" s="1"/>
  <c r="F52" i="26"/>
  <c r="F57" i="26"/>
  <c r="F92" i="26"/>
  <c r="F107" i="26"/>
  <c r="F28" i="29"/>
  <c r="G28" i="29" s="1"/>
  <c r="I28" i="29" s="1"/>
  <c r="F31" i="29"/>
  <c r="G31" i="29" s="1"/>
  <c r="I31" i="29" s="1"/>
  <c r="F208" i="29"/>
  <c r="F211" i="29"/>
  <c r="F340" i="29"/>
  <c r="F343" i="29"/>
  <c r="D71" i="3"/>
  <c r="D80" i="3"/>
  <c r="E152" i="3"/>
  <c r="D155" i="3"/>
  <c r="D158" i="3"/>
  <c r="D193" i="3"/>
  <c r="D194" i="3"/>
  <c r="D195" i="3"/>
  <c r="D196" i="3"/>
  <c r="D197" i="3"/>
  <c r="D198" i="3"/>
  <c r="D199" i="3"/>
  <c r="D200" i="3"/>
  <c r="D201" i="3"/>
  <c r="D202" i="3"/>
  <c r="D203" i="3"/>
  <c r="D204" i="3"/>
  <c r="D205" i="3"/>
  <c r="D206" i="3"/>
  <c r="D207" i="3"/>
  <c r="D235" i="3"/>
  <c r="E236" i="3"/>
  <c r="P70" i="2"/>
  <c r="D6" i="9"/>
  <c r="G52" i="14"/>
  <c r="G65" i="14"/>
  <c r="G21" i="14"/>
  <c r="G24" i="14"/>
  <c r="G62" i="14"/>
  <c r="D10" i="16"/>
  <c r="H9" i="21"/>
  <c r="I9" i="21" s="1"/>
  <c r="H10" i="21"/>
  <c r="F35" i="2"/>
  <c r="D11" i="24"/>
  <c r="F11" i="24" s="1"/>
  <c r="D12" i="24"/>
  <c r="F12" i="24" s="1"/>
  <c r="F51" i="26"/>
  <c r="F56" i="26"/>
  <c r="F91" i="26"/>
  <c r="F106" i="26"/>
  <c r="F26" i="29"/>
  <c r="G26" i="29" s="1"/>
  <c r="I26" i="29" s="1"/>
  <c r="F29" i="29"/>
  <c r="G29" i="29" s="1"/>
  <c r="I29" i="29" s="1"/>
  <c r="F206" i="29"/>
  <c r="F209" i="29"/>
  <c r="F338" i="29"/>
  <c r="F341" i="29"/>
  <c r="C71" i="3"/>
  <c r="C80" i="3"/>
  <c r="D152" i="3"/>
  <c r="C193" i="3"/>
  <c r="C194" i="3"/>
  <c r="C195" i="3"/>
  <c r="C196" i="3"/>
  <c r="C197" i="3"/>
  <c r="C198" i="3"/>
  <c r="C199" i="3"/>
  <c r="C200" i="3"/>
  <c r="C201" i="3"/>
  <c r="C202" i="3"/>
  <c r="C203" i="3"/>
  <c r="C204" i="3"/>
  <c r="C205" i="3"/>
  <c r="C206" i="3"/>
  <c r="C207" i="3"/>
  <c r="D236" i="3"/>
  <c r="C6" i="9"/>
  <c r="G29" i="14"/>
  <c r="G32" i="14"/>
  <c r="G19" i="14"/>
  <c r="D6" i="24"/>
  <c r="F6" i="24" s="1"/>
  <c r="D7" i="24"/>
  <c r="F7" i="24" s="1"/>
  <c r="C10" i="16"/>
  <c r="E10" i="16" s="1"/>
  <c r="F27" i="29"/>
  <c r="G27" i="29" s="1"/>
  <c r="I27" i="29" s="1"/>
  <c r="F207" i="29"/>
  <c r="F339" i="29"/>
  <c r="E96" i="8"/>
  <c r="M152" i="14"/>
  <c r="E44" i="2"/>
  <c r="M44" i="2" s="1"/>
  <c r="E95" i="8"/>
  <c r="M119" i="14"/>
  <c r="E43" i="2"/>
  <c r="M43" i="2" s="1"/>
  <c r="E94" i="8"/>
  <c r="M86" i="14"/>
  <c r="E42" i="2"/>
  <c r="M42" i="2" s="1"/>
  <c r="E93" i="8"/>
  <c r="E41" i="2"/>
  <c r="M41" i="2" s="1"/>
  <c r="M53" i="14"/>
  <c r="E92" i="8"/>
  <c r="M20" i="14"/>
  <c r="E40" i="2"/>
  <c r="M40" i="2" s="1"/>
  <c r="N543" i="2"/>
  <c r="H543" i="2"/>
  <c r="H542" i="2"/>
  <c r="N542" i="2"/>
  <c r="N541" i="2"/>
  <c r="H541" i="2"/>
  <c r="N540" i="2"/>
  <c r="H540" i="2"/>
  <c r="H534" i="2"/>
  <c r="N534" i="2"/>
  <c r="H533" i="2"/>
  <c r="N533" i="2"/>
  <c r="N532" i="2"/>
  <c r="H532" i="2"/>
  <c r="N531" i="2"/>
  <c r="H531" i="2"/>
  <c r="H530" i="2"/>
  <c r="N530" i="2"/>
  <c r="F435" i="28"/>
  <c r="G435" i="28" s="1"/>
  <c r="N519" i="2"/>
  <c r="H519" i="2"/>
  <c r="H518" i="2"/>
  <c r="N518" i="2"/>
  <c r="F434" i="28"/>
  <c r="G434" i="28" s="1"/>
  <c r="F433" i="28"/>
  <c r="G433" i="28" s="1"/>
  <c r="H517" i="2"/>
  <c r="N517" i="2"/>
  <c r="F432" i="28"/>
  <c r="G432" i="28" s="1"/>
  <c r="H516" i="2"/>
  <c r="N516" i="2"/>
  <c r="F431" i="28"/>
  <c r="G431" i="28" s="1"/>
  <c r="N515" i="2"/>
  <c r="H515" i="2"/>
  <c r="N514" i="2"/>
  <c r="H514" i="2"/>
  <c r="N513" i="2"/>
  <c r="H513" i="2"/>
  <c r="H512" i="2"/>
  <c r="N512" i="2"/>
  <c r="N511" i="2"/>
  <c r="H511" i="2"/>
  <c r="H510" i="2"/>
  <c r="N510" i="2"/>
  <c r="F426" i="28"/>
  <c r="G426" i="28" s="1"/>
  <c r="H504" i="2"/>
  <c r="N504" i="2"/>
  <c r="H503" i="2"/>
  <c r="N503" i="2"/>
  <c r="N502" i="2"/>
  <c r="H502" i="2"/>
  <c r="N501" i="2"/>
  <c r="H501" i="2"/>
  <c r="N500" i="2"/>
  <c r="H500" i="2"/>
  <c r="N499" i="2"/>
  <c r="H499" i="2"/>
  <c r="E67" i="20"/>
  <c r="F67" i="20" s="1"/>
  <c r="M499" i="2"/>
  <c r="N498" i="2"/>
  <c r="H498" i="2"/>
  <c r="E66" i="20"/>
  <c r="F66" i="20" s="1"/>
  <c r="M498" i="2"/>
  <c r="N497" i="2"/>
  <c r="H497" i="2"/>
  <c r="E65" i="20"/>
  <c r="F65" i="20" s="1"/>
  <c r="M497" i="2"/>
  <c r="N496" i="2"/>
  <c r="H496" i="2"/>
  <c r="E64" i="20"/>
  <c r="F64" i="20" s="1"/>
  <c r="M496" i="2"/>
  <c r="H495" i="2"/>
  <c r="N495" i="2"/>
  <c r="E63" i="20"/>
  <c r="F63" i="20" s="1"/>
  <c r="M495" i="2"/>
  <c r="N494" i="2"/>
  <c r="H494" i="2"/>
  <c r="M494" i="2"/>
  <c r="E62" i="20"/>
  <c r="F62" i="20" s="1"/>
  <c r="N493" i="2"/>
  <c r="H493" i="2"/>
  <c r="E61" i="20"/>
  <c r="F61" i="20" s="1"/>
  <c r="M493" i="2"/>
  <c r="H492" i="2"/>
  <c r="N492" i="2"/>
  <c r="M492" i="2"/>
  <c r="E60" i="20"/>
  <c r="F60" i="20" s="1"/>
  <c r="H491" i="2"/>
  <c r="N491" i="2"/>
  <c r="F417" i="28"/>
  <c r="G417" i="28" s="1"/>
  <c r="H490" i="2"/>
  <c r="N490" i="2"/>
  <c r="F416" i="28"/>
  <c r="G416" i="28" s="1"/>
  <c r="F415" i="28"/>
  <c r="G415" i="28" s="1"/>
  <c r="H489" i="2"/>
  <c r="N489" i="2"/>
  <c r="F414" i="28"/>
  <c r="G414" i="28" s="1"/>
  <c r="N488" i="2"/>
  <c r="H488" i="2"/>
  <c r="H487" i="2"/>
  <c r="N487" i="2"/>
  <c r="F413" i="28"/>
  <c r="G413" i="28" s="1"/>
  <c r="H486" i="2"/>
  <c r="N486" i="2"/>
  <c r="F412" i="28"/>
  <c r="G412" i="28" s="1"/>
  <c r="F411" i="28"/>
  <c r="G411" i="28" s="1"/>
  <c r="N485" i="2"/>
  <c r="H485" i="2"/>
  <c r="N484" i="2"/>
  <c r="H484" i="2"/>
  <c r="F410" i="28"/>
  <c r="G410" i="28" s="1"/>
  <c r="H483" i="2"/>
  <c r="N483" i="2"/>
  <c r="F409" i="28"/>
  <c r="G409" i="28" s="1"/>
  <c r="F408" i="28"/>
  <c r="G408" i="28" s="1"/>
  <c r="N482" i="2"/>
  <c r="H482" i="2"/>
  <c r="F407" i="28"/>
  <c r="G407" i="28" s="1"/>
  <c r="H481" i="2"/>
  <c r="N481" i="2"/>
  <c r="F406" i="28"/>
  <c r="G406" i="28" s="1"/>
  <c r="H480" i="2"/>
  <c r="N480" i="2"/>
  <c r="F405" i="28"/>
  <c r="G405" i="28" s="1"/>
  <c r="H479" i="2"/>
  <c r="N479" i="2"/>
  <c r="H478" i="2"/>
  <c r="N478" i="2"/>
  <c r="F404" i="28"/>
  <c r="G404" i="28" s="1"/>
  <c r="H477" i="2"/>
  <c r="N477" i="2"/>
  <c r="F403" i="28"/>
  <c r="G403" i="28" s="1"/>
  <c r="H476" i="2"/>
  <c r="N476" i="2"/>
  <c r="F402" i="28"/>
  <c r="G402" i="28" s="1"/>
  <c r="H475" i="2"/>
  <c r="F401" i="28"/>
  <c r="G401" i="28" s="1"/>
  <c r="N475" i="2"/>
  <c r="N474" i="2"/>
  <c r="H474" i="2"/>
  <c r="F400" i="28"/>
  <c r="G400" i="28" s="1"/>
  <c r="H473" i="2"/>
  <c r="N473" i="2"/>
  <c r="F399" i="28"/>
  <c r="G399" i="28" s="1"/>
  <c r="N472" i="2"/>
  <c r="F398" i="28"/>
  <c r="G398" i="28" s="1"/>
  <c r="H472" i="2"/>
  <c r="N471" i="2"/>
  <c r="F397" i="28"/>
  <c r="G397" i="28" s="1"/>
  <c r="H471" i="2"/>
  <c r="F396" i="28"/>
  <c r="G396" i="28" s="1"/>
  <c r="N470" i="2"/>
  <c r="H470" i="2"/>
  <c r="N464" i="2"/>
  <c r="H464" i="2"/>
  <c r="F395" i="28"/>
  <c r="G395" i="28" s="1"/>
  <c r="N463" i="2"/>
  <c r="F394" i="28"/>
  <c r="G394" i="28" s="1"/>
  <c r="H463" i="2"/>
  <c r="H462" i="2"/>
  <c r="N462" i="2"/>
  <c r="F393" i="28"/>
  <c r="G393" i="28" s="1"/>
  <c r="F392" i="28"/>
  <c r="G392" i="28" s="1"/>
  <c r="H461" i="2"/>
  <c r="N461" i="2"/>
  <c r="H460" i="2"/>
  <c r="N460" i="2"/>
  <c r="F391" i="28"/>
  <c r="G391" i="28" s="1"/>
  <c r="H454" i="2"/>
  <c r="N454" i="2"/>
  <c r="F385" i="28"/>
  <c r="G385" i="28" s="1"/>
  <c r="N453" i="2"/>
  <c r="H453" i="2"/>
  <c r="F384" i="28"/>
  <c r="G384" i="28" s="1"/>
  <c r="N452" i="2"/>
  <c r="F383" i="28"/>
  <c r="G383" i="28" s="1"/>
  <c r="H452" i="2"/>
  <c r="H451" i="2"/>
  <c r="N451" i="2"/>
  <c r="F382" i="28"/>
  <c r="G382" i="28" s="1"/>
  <c r="F381" i="28"/>
  <c r="G381" i="28" s="1"/>
  <c r="H450" i="2"/>
  <c r="N450" i="2"/>
  <c r="N414" i="2"/>
  <c r="F355" i="28"/>
  <c r="G355" i="28" s="1"/>
  <c r="H414" i="2"/>
  <c r="H413" i="2"/>
  <c r="F354" i="28"/>
  <c r="G354" i="28" s="1"/>
  <c r="N413" i="2"/>
  <c r="F353" i="28"/>
  <c r="G353" i="28" s="1"/>
  <c r="H412" i="2"/>
  <c r="N412" i="2"/>
  <c r="F352" i="28"/>
  <c r="G352" i="28" s="1"/>
  <c r="N411" i="2"/>
  <c r="H411" i="2"/>
  <c r="H410" i="2"/>
  <c r="F351" i="28"/>
  <c r="G351" i="28" s="1"/>
  <c r="N410" i="2"/>
  <c r="F350" i="28"/>
  <c r="G350" i="28" s="1"/>
  <c r="H409" i="2"/>
  <c r="N409" i="2"/>
  <c r="F349" i="28"/>
  <c r="G349" i="28" s="1"/>
  <c r="N408" i="2"/>
  <c r="H408" i="2"/>
  <c r="N407" i="2"/>
  <c r="F348" i="28"/>
  <c r="G348" i="28" s="1"/>
  <c r="H407" i="2"/>
  <c r="H406" i="2"/>
  <c r="N406" i="2"/>
  <c r="N405" i="2"/>
  <c r="H405" i="2"/>
  <c r="N389" i="2"/>
  <c r="F335" i="28"/>
  <c r="G335" i="28" s="1"/>
  <c r="H389" i="2"/>
  <c r="F334" i="28"/>
  <c r="G334" i="28" s="1"/>
  <c r="N388" i="2"/>
  <c r="H388" i="2"/>
  <c r="F333" i="28"/>
  <c r="G333" i="28" s="1"/>
  <c r="N387" i="2"/>
  <c r="H387" i="2"/>
  <c r="F332" i="28"/>
  <c r="G332" i="28" s="1"/>
  <c r="N386" i="2"/>
  <c r="H386" i="2"/>
  <c r="F331" i="28"/>
  <c r="G331" i="28" s="1"/>
  <c r="N385" i="2"/>
  <c r="H385" i="2"/>
  <c r="N364" i="2"/>
  <c r="H364" i="2"/>
  <c r="N363" i="2"/>
  <c r="H363" i="2"/>
  <c r="N362" i="2"/>
  <c r="H362" i="2"/>
  <c r="N361" i="2"/>
  <c r="H361" i="2"/>
  <c r="H360" i="2"/>
  <c r="N360" i="2"/>
  <c r="H359" i="2"/>
  <c r="N359" i="2"/>
  <c r="F315" i="28"/>
  <c r="G315" i="28" s="1"/>
  <c r="N358" i="2"/>
  <c r="F314" i="28"/>
  <c r="G314" i="28" s="1"/>
  <c r="H358" i="2"/>
  <c r="H357" i="2"/>
  <c r="N357" i="2"/>
  <c r="F313" i="28"/>
  <c r="G313" i="28" s="1"/>
  <c r="F312" i="28"/>
  <c r="G312" i="28" s="1"/>
  <c r="H356" i="2"/>
  <c r="N356" i="2"/>
  <c r="N355" i="2"/>
  <c r="F311" i="28"/>
  <c r="G311" i="28" s="1"/>
  <c r="H355" i="2"/>
  <c r="F310" i="28"/>
  <c r="G310" i="28" s="1"/>
  <c r="N354" i="2"/>
  <c r="H354" i="2"/>
  <c r="N353" i="2"/>
  <c r="H353" i="2"/>
  <c r="F309" i="28"/>
  <c r="G309" i="28" s="1"/>
  <c r="H352" i="2"/>
  <c r="N352" i="2"/>
  <c r="F308" i="28"/>
  <c r="G308" i="28" s="1"/>
  <c r="H351" i="2"/>
  <c r="F307" i="28"/>
  <c r="G307" i="28" s="1"/>
  <c r="N351" i="2"/>
  <c r="F306" i="28"/>
  <c r="G306" i="28" s="1"/>
  <c r="N350" i="2"/>
  <c r="H350" i="2"/>
  <c r="F305" i="28"/>
  <c r="G305" i="28" s="1"/>
  <c r="N349" i="2"/>
  <c r="H349" i="2"/>
  <c r="F304" i="28"/>
  <c r="G304" i="28" s="1"/>
  <c r="N348" i="2"/>
  <c r="H348" i="2"/>
  <c r="F303" i="28"/>
  <c r="G303" i="28" s="1"/>
  <c r="N347" i="2"/>
  <c r="H347" i="2"/>
  <c r="N346" i="2"/>
  <c r="H346" i="2"/>
  <c r="F302" i="28"/>
  <c r="G302" i="28" s="1"/>
  <c r="N345" i="2"/>
  <c r="H345" i="2"/>
  <c r="F301" i="28"/>
  <c r="G301" i="28" s="1"/>
  <c r="N334" i="2"/>
  <c r="H334" i="2"/>
  <c r="F290" i="28"/>
  <c r="G290" i="28" s="1"/>
  <c r="H333" i="2"/>
  <c r="N333" i="2"/>
  <c r="F289" i="28"/>
  <c r="G289" i="28" s="1"/>
  <c r="F288" i="28"/>
  <c r="G288" i="28" s="1"/>
  <c r="N332" i="2"/>
  <c r="H332" i="2"/>
  <c r="F287" i="28"/>
  <c r="G287" i="28" s="1"/>
  <c r="H331" i="2"/>
  <c r="N331" i="2"/>
  <c r="N330" i="2"/>
  <c r="F286" i="28"/>
  <c r="G286" i="28" s="1"/>
  <c r="H330" i="2"/>
  <c r="F285" i="28"/>
  <c r="G285" i="28" s="1"/>
  <c r="N329" i="2"/>
  <c r="H329" i="2"/>
  <c r="N328" i="2"/>
  <c r="H328" i="2"/>
  <c r="F284" i="28"/>
  <c r="G284" i="28" s="1"/>
  <c r="N327" i="2"/>
  <c r="H327" i="2"/>
  <c r="F283" i="28"/>
  <c r="G283" i="28" s="1"/>
  <c r="N326" i="2"/>
  <c r="H326" i="2"/>
  <c r="F282" i="28"/>
  <c r="G282" i="28" s="1"/>
  <c r="N325" i="2"/>
  <c r="H325" i="2"/>
  <c r="F281" i="28"/>
  <c r="G281" i="28" s="1"/>
  <c r="N324" i="2"/>
  <c r="H324" i="2"/>
  <c r="N323" i="2"/>
  <c r="H323" i="2"/>
  <c r="H322" i="2"/>
  <c r="N322" i="2"/>
  <c r="N321" i="2"/>
  <c r="H321" i="2"/>
  <c r="N320" i="2"/>
  <c r="H320" i="2"/>
  <c r="N319" i="2"/>
  <c r="H319" i="2"/>
  <c r="F280" i="28"/>
  <c r="G280" i="28" s="1"/>
  <c r="F279" i="28"/>
  <c r="G279" i="28" s="1"/>
  <c r="N318" i="2"/>
  <c r="H318" i="2"/>
  <c r="H317" i="2"/>
  <c r="N317" i="2"/>
  <c r="F278" i="28"/>
  <c r="G278" i="28" s="1"/>
  <c r="H316" i="2"/>
  <c r="N316" i="2"/>
  <c r="F277" i="28"/>
  <c r="G277" i="28" s="1"/>
  <c r="F276" i="28"/>
  <c r="G276" i="28" s="1"/>
  <c r="H315" i="2"/>
  <c r="N315" i="2"/>
  <c r="H314" i="2"/>
  <c r="N314" i="2"/>
  <c r="H313" i="2"/>
  <c r="N313" i="2"/>
  <c r="H312" i="2"/>
  <c r="N312" i="2"/>
  <c r="N311" i="2"/>
  <c r="H311" i="2"/>
  <c r="N310" i="2"/>
  <c r="H310" i="2"/>
  <c r="N309" i="2"/>
  <c r="H309" i="2"/>
  <c r="F275" i="28"/>
  <c r="G275" i="28" s="1"/>
  <c r="H308" i="2"/>
  <c r="F274" i="28"/>
  <c r="G274" i="28" s="1"/>
  <c r="N308" i="2"/>
  <c r="N307" i="2"/>
  <c r="F273" i="28"/>
  <c r="G273" i="28" s="1"/>
  <c r="H307" i="2"/>
  <c r="F272" i="28"/>
  <c r="G272" i="28" s="1"/>
  <c r="H306" i="2"/>
  <c r="N306" i="2"/>
  <c r="F271" i="28"/>
  <c r="G271" i="28" s="1"/>
  <c r="H305" i="2"/>
  <c r="N305" i="2"/>
  <c r="F270" i="28"/>
  <c r="G270" i="28" s="1"/>
  <c r="H304" i="2"/>
  <c r="N304" i="2"/>
  <c r="F269" i="28"/>
  <c r="G269" i="28" s="1"/>
  <c r="H303" i="2"/>
  <c r="N303" i="2"/>
  <c r="F268" i="28"/>
  <c r="G268" i="28" s="1"/>
  <c r="H302" i="2"/>
  <c r="N302" i="2"/>
  <c r="F267" i="28"/>
  <c r="G267" i="28" s="1"/>
  <c r="H301" i="2"/>
  <c r="N301" i="2"/>
  <c r="F266" i="28"/>
  <c r="G266" i="28" s="1"/>
  <c r="H300" i="2"/>
  <c r="N300" i="2"/>
  <c r="F265" i="28"/>
  <c r="G265" i="28" s="1"/>
  <c r="H299" i="2"/>
  <c r="N299" i="2"/>
  <c r="F264" i="28"/>
  <c r="G264" i="28" s="1"/>
  <c r="H298" i="2"/>
  <c r="N298" i="2"/>
  <c r="F263" i="28"/>
  <c r="G263" i="28" s="1"/>
  <c r="H297" i="2"/>
  <c r="N297" i="2"/>
  <c r="F262" i="28"/>
  <c r="G262" i="28" s="1"/>
  <c r="H296" i="2"/>
  <c r="N296" i="2"/>
  <c r="F261" i="28"/>
  <c r="G261" i="28" s="1"/>
  <c r="H295" i="2"/>
  <c r="N295" i="2"/>
  <c r="F260" i="28"/>
  <c r="G260" i="28" s="1"/>
  <c r="H294" i="2"/>
  <c r="N294" i="2"/>
  <c r="N293" i="2"/>
  <c r="H293" i="2"/>
  <c r="F259" i="28"/>
  <c r="G259" i="28" s="1"/>
  <c r="N292" i="2"/>
  <c r="H292" i="2"/>
  <c r="F258" i="28"/>
  <c r="G258" i="28" s="1"/>
  <c r="F257" i="28"/>
  <c r="G257" i="28" s="1"/>
  <c r="N291" i="2"/>
  <c r="H291" i="2"/>
  <c r="N290" i="2"/>
  <c r="H290" i="2"/>
  <c r="F256" i="28"/>
  <c r="G256" i="28" s="1"/>
  <c r="N284" i="2"/>
  <c r="F250" i="28"/>
  <c r="G250" i="28" s="1"/>
  <c r="H284" i="2"/>
  <c r="N283" i="2"/>
  <c r="H283" i="2"/>
  <c r="F249" i="28"/>
  <c r="G249" i="28" s="1"/>
  <c r="H282" i="2"/>
  <c r="F248" i="28"/>
  <c r="G248" i="28" s="1"/>
  <c r="N282" i="2"/>
  <c r="F247" i="28"/>
  <c r="G247" i="28" s="1"/>
  <c r="N281" i="2"/>
  <c r="H281" i="2"/>
  <c r="N280" i="2"/>
  <c r="F246" i="28"/>
  <c r="G246" i="28" s="1"/>
  <c r="H280" i="2"/>
  <c r="H274" i="2"/>
  <c r="N274" i="2"/>
  <c r="F240" i="28"/>
  <c r="G240" i="28" s="1"/>
  <c r="N273" i="2"/>
  <c r="F239" i="28"/>
  <c r="G239" i="28" s="1"/>
  <c r="H273" i="2"/>
  <c r="N272" i="2"/>
  <c r="H272" i="2"/>
  <c r="F238" i="28"/>
  <c r="G238" i="28" s="1"/>
  <c r="H271" i="2"/>
  <c r="N271" i="2"/>
  <c r="F237" i="28"/>
  <c r="G237" i="28" s="1"/>
  <c r="H270" i="2"/>
  <c r="N270" i="2"/>
  <c r="F236" i="28"/>
  <c r="G236" i="28" s="1"/>
  <c r="N269" i="2"/>
  <c r="H269" i="2"/>
  <c r="N268" i="2"/>
  <c r="H268" i="2"/>
  <c r="N267" i="2"/>
  <c r="H267" i="2"/>
  <c r="H266" i="2"/>
  <c r="N266" i="2"/>
  <c r="H265" i="2"/>
  <c r="N265" i="2"/>
  <c r="H264" i="2"/>
  <c r="F235" i="28"/>
  <c r="G235" i="28" s="1"/>
  <c r="N264" i="2"/>
  <c r="N263" i="2"/>
  <c r="H263" i="2"/>
  <c r="F234" i="28"/>
  <c r="G234" i="28" s="1"/>
  <c r="H262" i="2"/>
  <c r="N262" i="2"/>
  <c r="F233" i="28"/>
  <c r="G233" i="28" s="1"/>
  <c r="H261" i="2"/>
  <c r="F232" i="28"/>
  <c r="G232" i="28" s="1"/>
  <c r="N261" i="2"/>
  <c r="N260" i="2"/>
  <c r="H260" i="2"/>
  <c r="F231" i="28"/>
  <c r="G231" i="28" s="1"/>
  <c r="N259" i="2"/>
  <c r="H259" i="2"/>
  <c r="F230" i="28"/>
  <c r="G230" i="28" s="1"/>
  <c r="H258" i="2"/>
  <c r="N258" i="2"/>
  <c r="F229" i="28"/>
  <c r="G229" i="28" s="1"/>
  <c r="F228" i="28"/>
  <c r="G228" i="28" s="1"/>
  <c r="N257" i="2"/>
  <c r="H257" i="2"/>
  <c r="F227" i="28"/>
  <c r="G227" i="28" s="1"/>
  <c r="N256" i="2"/>
  <c r="H256" i="2"/>
  <c r="F226" i="28"/>
  <c r="G226" i="28" s="1"/>
  <c r="N255" i="2"/>
  <c r="H255" i="2"/>
  <c r="F225" i="28"/>
  <c r="G225" i="28" s="1"/>
  <c r="N249" i="2"/>
  <c r="H249" i="2"/>
  <c r="F224" i="28"/>
  <c r="G224" i="28" s="1"/>
  <c r="N248" i="2"/>
  <c r="H248" i="2"/>
  <c r="F223" i="28"/>
  <c r="G223" i="28" s="1"/>
  <c r="N247" i="2"/>
  <c r="H247" i="2"/>
  <c r="F222" i="28"/>
  <c r="G222" i="28" s="1"/>
  <c r="N246" i="2"/>
  <c r="H246" i="2"/>
  <c r="F221" i="28"/>
  <c r="G221" i="28" s="1"/>
  <c r="N245" i="2"/>
  <c r="H245" i="2"/>
  <c r="F210" i="28"/>
  <c r="G210" i="28" s="1"/>
  <c r="N234" i="2"/>
  <c r="H234" i="2"/>
  <c r="F209" i="28"/>
  <c r="G209" i="28" s="1"/>
  <c r="N233" i="2"/>
  <c r="H233" i="2"/>
  <c r="F208" i="28"/>
  <c r="G208" i="28" s="1"/>
  <c r="N232" i="2"/>
  <c r="H232" i="2"/>
  <c r="F207" i="28"/>
  <c r="G207" i="28" s="1"/>
  <c r="N231" i="2"/>
  <c r="H231" i="2"/>
  <c r="F206" i="28"/>
  <c r="G206" i="28" s="1"/>
  <c r="N230" i="2"/>
  <c r="H230" i="2"/>
  <c r="N214" i="2"/>
  <c r="H214" i="2"/>
  <c r="F190" i="28"/>
  <c r="G190" i="28" s="1"/>
  <c r="N213" i="2"/>
  <c r="H213" i="2"/>
  <c r="F189" i="28"/>
  <c r="G189" i="28" s="1"/>
  <c r="F188" i="28"/>
  <c r="G188" i="28" s="1"/>
  <c r="N212" i="2"/>
  <c r="H212" i="2"/>
  <c r="F187" i="28"/>
  <c r="G187" i="28" s="1"/>
  <c r="N211" i="2"/>
  <c r="H211" i="2"/>
  <c r="F186" i="28"/>
  <c r="G186" i="28" s="1"/>
  <c r="N210" i="2"/>
  <c r="H210" i="2"/>
  <c r="H204" i="2"/>
  <c r="N204" i="2"/>
  <c r="H203" i="2"/>
  <c r="N203" i="2"/>
  <c r="N202" i="2"/>
  <c r="H202" i="2"/>
  <c r="H201" i="2"/>
  <c r="N201" i="2"/>
  <c r="N200" i="2"/>
  <c r="H200" i="2"/>
  <c r="F180" i="28"/>
  <c r="G180" i="28" s="1"/>
  <c r="N199" i="2"/>
  <c r="H199" i="2"/>
  <c r="N198" i="2"/>
  <c r="H198" i="2"/>
  <c r="E28" i="20"/>
  <c r="F28" i="20" s="1"/>
  <c r="M198" i="2"/>
  <c r="F178" i="28"/>
  <c r="G178" i="28" s="1"/>
  <c r="N197" i="2"/>
  <c r="H197" i="2"/>
  <c r="F177" i="28"/>
  <c r="G177" i="28" s="1"/>
  <c r="N196" i="2"/>
  <c r="H196" i="2"/>
  <c r="F176" i="28"/>
  <c r="G176" i="28" s="1"/>
  <c r="N195" i="2"/>
  <c r="H195" i="2"/>
  <c r="F175" i="28"/>
  <c r="G175" i="28" s="1"/>
  <c r="H194" i="2"/>
  <c r="N194" i="2"/>
  <c r="N193" i="2"/>
  <c r="H193" i="2"/>
  <c r="F173" i="28"/>
  <c r="G173" i="28" s="1"/>
  <c r="H192" i="2"/>
  <c r="N192" i="2"/>
  <c r="H191" i="2"/>
  <c r="N191" i="2"/>
  <c r="H190" i="2"/>
  <c r="N190" i="2"/>
  <c r="N189" i="2"/>
  <c r="H189" i="2"/>
  <c r="F170" i="28"/>
  <c r="G170" i="28" s="1"/>
  <c r="N188" i="2"/>
  <c r="H188" i="2"/>
  <c r="F169" i="28"/>
  <c r="G169" i="28" s="1"/>
  <c r="N187" i="2"/>
  <c r="H187" i="2"/>
  <c r="F168" i="28"/>
  <c r="G168" i="28" s="1"/>
  <c r="N186" i="2"/>
  <c r="H186" i="2"/>
  <c r="F167" i="28"/>
  <c r="G167" i="28" s="1"/>
  <c r="H185" i="2"/>
  <c r="N185" i="2"/>
  <c r="F166" i="28"/>
  <c r="G166" i="28" s="1"/>
  <c r="N184" i="2"/>
  <c r="H184" i="2"/>
  <c r="F165" i="28"/>
  <c r="G165" i="28" s="1"/>
  <c r="F164" i="28"/>
  <c r="G164" i="28" s="1"/>
  <c r="N183" i="2"/>
  <c r="H183" i="2"/>
  <c r="F163" i="28"/>
  <c r="G163" i="28" s="1"/>
  <c r="N182" i="2"/>
  <c r="H182" i="2"/>
  <c r="N181" i="2"/>
  <c r="H181" i="2"/>
  <c r="F162" i="28"/>
  <c r="G162" i="28" s="1"/>
  <c r="F161" i="28"/>
  <c r="G161" i="28" s="1"/>
  <c r="N180" i="2"/>
  <c r="H180" i="2"/>
  <c r="F160" i="28"/>
  <c r="G160" i="28" s="1"/>
  <c r="H179" i="2"/>
  <c r="N179" i="2"/>
  <c r="H178" i="2"/>
  <c r="N178" i="2"/>
  <c r="F159" i="28"/>
  <c r="G159" i="28" s="1"/>
  <c r="N177" i="2"/>
  <c r="H177" i="2"/>
  <c r="F158" i="28"/>
  <c r="G158" i="28" s="1"/>
  <c r="H176" i="2"/>
  <c r="N176" i="2"/>
  <c r="F157" i="28"/>
  <c r="G157" i="28" s="1"/>
  <c r="N175" i="2"/>
  <c r="F156" i="28"/>
  <c r="G156" i="28" s="1"/>
  <c r="H175" i="2"/>
  <c r="N159" i="2"/>
  <c r="F140" i="28"/>
  <c r="G140" i="28" s="1"/>
  <c r="H159" i="2"/>
  <c r="F139" i="28"/>
  <c r="G139" i="28" s="1"/>
  <c r="N158" i="2"/>
  <c r="H158" i="2"/>
  <c r="F138" i="28"/>
  <c r="G138" i="28" s="1"/>
  <c r="N157" i="2"/>
  <c r="H157" i="2"/>
  <c r="N156" i="2"/>
  <c r="F137" i="28"/>
  <c r="G137" i="28" s="1"/>
  <c r="H156" i="2"/>
  <c r="F136" i="28"/>
  <c r="G136" i="28" s="1"/>
  <c r="H155" i="2"/>
  <c r="N155" i="2"/>
  <c r="F130" i="28"/>
  <c r="G130" i="28" s="1"/>
  <c r="N149" i="2"/>
  <c r="H149" i="2"/>
  <c r="F129" i="28"/>
  <c r="G129" i="28" s="1"/>
  <c r="N148" i="2"/>
  <c r="H148" i="2"/>
  <c r="F128" i="28"/>
  <c r="G128" i="28" s="1"/>
  <c r="N147" i="2"/>
  <c r="H147" i="2"/>
  <c r="F127" i="28"/>
  <c r="G127" i="28" s="1"/>
  <c r="N146" i="2"/>
  <c r="H146" i="2"/>
  <c r="F126" i="28"/>
  <c r="G126" i="28" s="1"/>
  <c r="N145" i="2"/>
  <c r="H145" i="2"/>
  <c r="N139" i="2"/>
  <c r="H139" i="2"/>
  <c r="E24" i="20"/>
  <c r="F24" i="20" s="1"/>
  <c r="M139" i="2"/>
  <c r="N138" i="2"/>
  <c r="H138" i="2"/>
  <c r="M138" i="2"/>
  <c r="E23" i="20"/>
  <c r="F23" i="20" s="1"/>
  <c r="N137" i="2"/>
  <c r="H137" i="2"/>
  <c r="H136" i="2"/>
  <c r="N136" i="2"/>
  <c r="E22" i="20"/>
  <c r="F22" i="20" s="1"/>
  <c r="M136" i="2"/>
  <c r="N135" i="2"/>
  <c r="H135" i="2"/>
  <c r="E21" i="20"/>
  <c r="F21" i="20" s="1"/>
  <c r="M135" i="2"/>
  <c r="N134" i="2"/>
  <c r="H134" i="2"/>
  <c r="F120" i="28"/>
  <c r="G120" i="28" s="1"/>
  <c r="N133" i="2"/>
  <c r="H133" i="2"/>
  <c r="F119" i="28"/>
  <c r="G119" i="28" s="1"/>
  <c r="H132" i="2"/>
  <c r="F118" i="28"/>
  <c r="G118" i="28" s="1"/>
  <c r="N132" i="2"/>
  <c r="F117" i="28"/>
  <c r="G117" i="28" s="1"/>
  <c r="N131" i="2"/>
  <c r="H131" i="2"/>
  <c r="H130" i="2"/>
  <c r="F116" i="28"/>
  <c r="G116" i="28" s="1"/>
  <c r="N130" i="2"/>
  <c r="F115" i="28"/>
  <c r="G115" i="28" s="1"/>
  <c r="H129" i="2"/>
  <c r="N129" i="2"/>
  <c r="F114" i="28"/>
  <c r="G114" i="28" s="1"/>
  <c r="N128" i="2"/>
  <c r="H128" i="2"/>
  <c r="N127" i="2"/>
  <c r="F113" i="28"/>
  <c r="G113" i="28" s="1"/>
  <c r="H127" i="2"/>
  <c r="F112" i="28"/>
  <c r="G112" i="28" s="1"/>
  <c r="N126" i="2"/>
  <c r="H126" i="2"/>
  <c r="H125" i="2"/>
  <c r="N125" i="2"/>
  <c r="F111" i="28"/>
  <c r="G111" i="28" s="1"/>
  <c r="F110" i="28"/>
  <c r="G110" i="28" s="1"/>
  <c r="H124" i="2"/>
  <c r="N124" i="2"/>
  <c r="N123" i="2"/>
  <c r="F109" i="28"/>
  <c r="G109" i="28" s="1"/>
  <c r="H123" i="2"/>
  <c r="F108" i="28"/>
  <c r="G108" i="28" s="1"/>
  <c r="N122" i="2"/>
  <c r="H122" i="2"/>
  <c r="F107" i="28"/>
  <c r="G107" i="28" s="1"/>
  <c r="H121" i="2"/>
  <c r="N121" i="2"/>
  <c r="H120" i="2"/>
  <c r="N120" i="2"/>
  <c r="F106" i="28"/>
  <c r="G106" i="28" s="1"/>
  <c r="H119" i="2"/>
  <c r="N119" i="2"/>
  <c r="F105" i="28"/>
  <c r="G105" i="28" s="1"/>
  <c r="F104" i="28"/>
  <c r="G104" i="28" s="1"/>
  <c r="N118" i="2"/>
  <c r="H118" i="2"/>
  <c r="F103" i="28"/>
  <c r="G103" i="28" s="1"/>
  <c r="H117" i="2"/>
  <c r="N117" i="2"/>
  <c r="N116" i="2"/>
  <c r="F102" i="28"/>
  <c r="G102" i="28" s="1"/>
  <c r="H116" i="2"/>
  <c r="H115" i="2"/>
  <c r="N115" i="2"/>
  <c r="F101" i="28"/>
  <c r="G101" i="28" s="1"/>
  <c r="H109" i="2"/>
  <c r="F95" i="28"/>
  <c r="G95" i="28" s="1"/>
  <c r="N109" i="2"/>
  <c r="F94" i="28"/>
  <c r="G94" i="28" s="1"/>
  <c r="H108" i="2"/>
  <c r="N108" i="2"/>
  <c r="F93" i="28"/>
  <c r="G93" i="28" s="1"/>
  <c r="N107" i="2"/>
  <c r="H107" i="2"/>
  <c r="H106" i="2"/>
  <c r="N106" i="2"/>
  <c r="F92" i="28"/>
  <c r="G92" i="28" s="1"/>
  <c r="N105" i="2"/>
  <c r="F91" i="28"/>
  <c r="G91" i="28" s="1"/>
  <c r="H105" i="2"/>
  <c r="F90" i="28"/>
  <c r="G90" i="28" s="1"/>
  <c r="N104" i="2"/>
  <c r="H104" i="2"/>
  <c r="H103" i="2"/>
  <c r="F89" i="28"/>
  <c r="G89" i="28" s="1"/>
  <c r="N103" i="2"/>
  <c r="N102" i="2"/>
  <c r="H102" i="2"/>
  <c r="F88" i="28"/>
  <c r="G88" i="28" s="1"/>
  <c r="H101" i="2"/>
  <c r="F87" i="28"/>
  <c r="G87" i="28" s="1"/>
  <c r="N101" i="2"/>
  <c r="F86" i="28"/>
  <c r="G86" i="28" s="1"/>
  <c r="H100" i="2"/>
  <c r="N100" i="2"/>
  <c r="N94" i="2"/>
  <c r="H94" i="2"/>
  <c r="N93" i="2"/>
  <c r="H93" i="2"/>
  <c r="N92" i="2"/>
  <c r="H92" i="2"/>
  <c r="H91" i="2"/>
  <c r="N91" i="2"/>
  <c r="H90" i="2"/>
  <c r="N90" i="2"/>
  <c r="H89" i="2"/>
  <c r="N89" i="2"/>
  <c r="E19" i="20"/>
  <c r="F19" i="20" s="1"/>
  <c r="M89" i="2"/>
  <c r="F79" i="28"/>
  <c r="G79" i="28" s="1"/>
  <c r="N88" i="2"/>
  <c r="H88" i="2"/>
  <c r="F78" i="28"/>
  <c r="G78" i="28" s="1"/>
  <c r="N87" i="2"/>
  <c r="H87" i="2"/>
  <c r="N86" i="2"/>
  <c r="F77" i="28"/>
  <c r="G77" i="28" s="1"/>
  <c r="H86" i="2"/>
  <c r="H85" i="2"/>
  <c r="F76" i="28"/>
  <c r="G76" i="28" s="1"/>
  <c r="N85" i="2"/>
  <c r="F75" i="28"/>
  <c r="G75" i="28" s="1"/>
  <c r="N84" i="2"/>
  <c r="H84" i="2"/>
  <c r="N83" i="2"/>
  <c r="H83" i="2"/>
  <c r="F74" i="28"/>
  <c r="G74" i="28" s="1"/>
  <c r="H82" i="2"/>
  <c r="F73" i="28"/>
  <c r="G73" i="28" s="1"/>
  <c r="N82" i="2"/>
  <c r="H81" i="2"/>
  <c r="N81" i="2"/>
  <c r="F72" i="28"/>
  <c r="G72" i="28" s="1"/>
  <c r="N80" i="2"/>
  <c r="H80" i="2"/>
  <c r="F71" i="28"/>
  <c r="G71" i="28" s="1"/>
  <c r="H79" i="2"/>
  <c r="F70" i="28"/>
  <c r="G70" i="28" s="1"/>
  <c r="N79" i="2"/>
  <c r="H78" i="2"/>
  <c r="N78" i="2"/>
  <c r="F69" i="28"/>
  <c r="G69" i="28" s="1"/>
  <c r="N77" i="2"/>
  <c r="F68" i="28"/>
  <c r="G68" i="28" s="1"/>
  <c r="H77" i="2"/>
  <c r="F67" i="28"/>
  <c r="G67" i="28" s="1"/>
  <c r="N76" i="2"/>
  <c r="H76" i="2"/>
  <c r="H75" i="2"/>
  <c r="F66" i="28"/>
  <c r="G66" i="28" s="1"/>
  <c r="N75" i="2"/>
  <c r="H74" i="2"/>
  <c r="N74" i="2"/>
  <c r="H73" i="2"/>
  <c r="N73" i="2"/>
  <c r="H72" i="2"/>
  <c r="N72" i="2"/>
  <c r="N71" i="2"/>
  <c r="H71" i="2"/>
  <c r="H70" i="2"/>
  <c r="N70" i="2"/>
  <c r="F45" i="28"/>
  <c r="G45" i="28" s="1"/>
  <c r="H54" i="2"/>
  <c r="N54" i="2"/>
  <c r="H53" i="2"/>
  <c r="F44" i="28"/>
  <c r="G44" i="28" s="1"/>
  <c r="N53" i="2"/>
  <c r="H52" i="2"/>
  <c r="N52" i="2"/>
  <c r="F43" i="28"/>
  <c r="G43" i="28" s="1"/>
  <c r="H51" i="2"/>
  <c r="N51" i="2"/>
  <c r="F42" i="28"/>
  <c r="G42" i="28" s="1"/>
  <c r="F41" i="28"/>
  <c r="G41" i="28" s="1"/>
  <c r="N50" i="2"/>
  <c r="H50" i="2"/>
  <c r="H44" i="2"/>
  <c r="F35" i="28"/>
  <c r="G35" i="28" s="1"/>
  <c r="N44" i="2"/>
  <c r="F34" i="28"/>
  <c r="G34" i="28" s="1"/>
  <c r="N43" i="2"/>
  <c r="H43" i="2"/>
  <c r="F33" i="28"/>
  <c r="G33" i="28" s="1"/>
  <c r="H42" i="2"/>
  <c r="N42" i="2"/>
  <c r="F32" i="28"/>
  <c r="G32" i="28" s="1"/>
  <c r="H41" i="2"/>
  <c r="N41" i="2"/>
  <c r="H40" i="2"/>
  <c r="F31" i="28"/>
  <c r="G31" i="28" s="1"/>
  <c r="N40" i="2"/>
  <c r="H34" i="2"/>
  <c r="N34" i="2"/>
  <c r="N33" i="2"/>
  <c r="H33" i="2"/>
  <c r="N32" i="2"/>
  <c r="H32" i="2"/>
  <c r="H31" i="2"/>
  <c r="N31" i="2"/>
  <c r="N30" i="2"/>
  <c r="H30" i="2"/>
  <c r="H29" i="2"/>
  <c r="N29" i="2"/>
  <c r="H28" i="2"/>
  <c r="N28" i="2"/>
  <c r="N27" i="2"/>
  <c r="H27" i="2"/>
  <c r="H26" i="2"/>
  <c r="N26" i="2"/>
  <c r="H25" i="2"/>
  <c r="N25" i="2"/>
  <c r="N24" i="2"/>
  <c r="F25" i="28"/>
  <c r="G25" i="28" s="1"/>
  <c r="H24" i="2"/>
  <c r="H23" i="2"/>
  <c r="N23" i="2"/>
  <c r="F24" i="28"/>
  <c r="G24" i="28" s="1"/>
  <c r="N22" i="2"/>
  <c r="H22" i="2"/>
  <c r="F23" i="28"/>
  <c r="G23" i="28" s="1"/>
  <c r="F22" i="28"/>
  <c r="G22" i="28" s="1"/>
  <c r="N21" i="2"/>
  <c r="H21" i="2"/>
  <c r="N20" i="2"/>
  <c r="H20" i="2"/>
  <c r="F21" i="28"/>
  <c r="G21" i="28" s="1"/>
  <c r="F20" i="28"/>
  <c r="G20" i="28" s="1"/>
  <c r="N19" i="2"/>
  <c r="H19" i="2"/>
  <c r="N18" i="2"/>
  <c r="F19" i="28"/>
  <c r="G19" i="28" s="1"/>
  <c r="H18" i="2"/>
  <c r="F18" i="28"/>
  <c r="G18" i="28" s="1"/>
  <c r="N17" i="2"/>
  <c r="H17" i="2"/>
  <c r="N16" i="2"/>
  <c r="H16" i="2"/>
  <c r="F17" i="28"/>
  <c r="G17" i="28" s="1"/>
  <c r="H15" i="2"/>
  <c r="F16" i="28"/>
  <c r="G16" i="28" s="1"/>
  <c r="N15" i="2"/>
  <c r="N14" i="2"/>
  <c r="F15" i="28"/>
  <c r="G15" i="28" s="1"/>
  <c r="H14" i="2"/>
  <c r="F14" i="28"/>
  <c r="G14" i="28" s="1"/>
  <c r="N13" i="2"/>
  <c r="H13" i="2"/>
  <c r="H12" i="2"/>
  <c r="N12" i="2"/>
  <c r="F13" i="28"/>
  <c r="G13" i="28" s="1"/>
  <c r="F12" i="28"/>
  <c r="G12" i="28" s="1"/>
  <c r="H11" i="2"/>
  <c r="N11" i="2"/>
  <c r="N10" i="2"/>
  <c r="F11" i="28"/>
  <c r="G11" i="28" s="1"/>
  <c r="H10" i="2"/>
  <c r="F10" i="28"/>
  <c r="G10" i="28" s="1"/>
  <c r="H9" i="2"/>
  <c r="N9" i="2"/>
  <c r="N8" i="2"/>
  <c r="F9" i="28"/>
  <c r="G9" i="28" s="1"/>
  <c r="H8" i="2"/>
  <c r="H7" i="2"/>
  <c r="F8" i="28"/>
  <c r="G8" i="28" s="1"/>
  <c r="N7" i="2"/>
  <c r="N6" i="2"/>
  <c r="F7" i="28"/>
  <c r="G7" i="28" s="1"/>
  <c r="H6" i="2"/>
  <c r="H5" i="2"/>
  <c r="F6" i="28"/>
  <c r="G6" i="28" s="1"/>
  <c r="N5" i="2"/>
  <c r="Z15" i="30"/>
  <c r="Z14" i="30"/>
  <c r="Z13" i="30"/>
  <c r="Z12" i="30"/>
  <c r="Z11" i="30"/>
  <c r="D52" i="9"/>
  <c r="H175" i="26" l="1"/>
  <c r="E280" i="28" s="1"/>
  <c r="G175" i="26"/>
  <c r="J175" i="26" s="1"/>
  <c r="H330" i="14"/>
  <c r="H297" i="14"/>
  <c r="H264" i="14"/>
  <c r="H231" i="14"/>
  <c r="H198" i="14"/>
  <c r="H320" i="14"/>
  <c r="H287" i="14"/>
  <c r="H254" i="14"/>
  <c r="H221" i="14"/>
  <c r="H303" i="14"/>
  <c r="H304" i="14"/>
  <c r="H270" i="14"/>
  <c r="H271" i="14"/>
  <c r="H237" i="14"/>
  <c r="H238" i="14"/>
  <c r="H204" i="14"/>
  <c r="H205" i="14"/>
  <c r="H171" i="14"/>
  <c r="H172" i="14"/>
  <c r="H132" i="14"/>
  <c r="H155" i="14"/>
  <c r="H122" i="14"/>
  <c r="H89" i="14"/>
  <c r="H56" i="14"/>
  <c r="H139" i="14"/>
  <c r="H138" i="14"/>
  <c r="H105" i="14"/>
  <c r="H106" i="14"/>
  <c r="H73" i="14"/>
  <c r="H72" i="14"/>
  <c r="H40" i="14"/>
  <c r="H39" i="14"/>
  <c r="E11" i="16"/>
  <c r="I771" i="21"/>
  <c r="I779" i="21"/>
  <c r="I723" i="21"/>
  <c r="I731" i="21"/>
  <c r="I775" i="21"/>
  <c r="I783" i="21"/>
  <c r="I727" i="21"/>
  <c r="I735" i="21"/>
  <c r="I763" i="21"/>
  <c r="I715" i="21"/>
  <c r="I767" i="21"/>
  <c r="I719" i="21"/>
  <c r="I595" i="21"/>
  <c r="I623" i="21"/>
  <c r="I571" i="21"/>
  <c r="I575" i="21"/>
  <c r="I435" i="21"/>
  <c r="I429" i="21"/>
  <c r="I423" i="21"/>
  <c r="I417" i="21"/>
  <c r="I411" i="21"/>
  <c r="P245" i="8"/>
  <c r="P244" i="8"/>
  <c r="P242" i="8"/>
  <c r="P239" i="8"/>
  <c r="P237" i="8"/>
  <c r="P233" i="8"/>
  <c r="P229" i="8"/>
  <c r="I759" i="21"/>
  <c r="H732" i="14"/>
  <c r="I711" i="21"/>
  <c r="H699" i="14"/>
  <c r="H700" i="14"/>
  <c r="H667" i="14"/>
  <c r="H666" i="14"/>
  <c r="H594" i="14"/>
  <c r="H561" i="14"/>
  <c r="H528" i="14"/>
  <c r="H634" i="14"/>
  <c r="H633" i="14"/>
  <c r="H601" i="14"/>
  <c r="H600" i="14"/>
  <c r="H568" i="14"/>
  <c r="H567" i="14"/>
  <c r="H615" i="14"/>
  <c r="H582" i="14"/>
  <c r="H549" i="14"/>
  <c r="H516" i="14"/>
  <c r="I65" i="21"/>
  <c r="N330" i="14"/>
  <c r="N297" i="14"/>
  <c r="N264" i="14"/>
  <c r="N231" i="14"/>
  <c r="N198" i="14"/>
  <c r="H153" i="14"/>
  <c r="N152" i="14"/>
  <c r="N119" i="14"/>
  <c r="N86" i="14"/>
  <c r="N53" i="14"/>
  <c r="N20" i="14"/>
  <c r="H165" i="26"/>
  <c r="E75" i="28" s="1"/>
  <c r="G165" i="26"/>
  <c r="J165" i="26" s="1"/>
  <c r="G174" i="26"/>
  <c r="J174" i="26" s="1"/>
  <c r="H174" i="26"/>
  <c r="E279" i="28" s="1"/>
  <c r="G164" i="26"/>
  <c r="J164" i="26" s="1"/>
  <c r="H164" i="26"/>
  <c r="E74" i="28" s="1"/>
  <c r="G163" i="26"/>
  <c r="J163" i="26" s="1"/>
  <c r="H163" i="26"/>
  <c r="E73" i="28" s="1"/>
  <c r="H173" i="26"/>
  <c r="E278" i="28" s="1"/>
  <c r="G173" i="26"/>
  <c r="J173" i="26" s="1"/>
  <c r="H172" i="26"/>
  <c r="E277" i="28" s="1"/>
  <c r="G172" i="26"/>
  <c r="J172" i="26" s="1"/>
  <c r="H162" i="26"/>
  <c r="E72" i="28" s="1"/>
  <c r="G162" i="26"/>
  <c r="J162" i="26" s="1"/>
  <c r="H161" i="26"/>
  <c r="E71" i="28" s="1"/>
  <c r="G161" i="26"/>
  <c r="J161" i="26" s="1"/>
  <c r="G171" i="26"/>
  <c r="J171" i="26" s="1"/>
  <c r="H171" i="26"/>
  <c r="E276" i="28" s="1"/>
  <c r="F183" i="8"/>
  <c r="M331" i="14"/>
  <c r="N331" i="14" s="1"/>
  <c r="E354" i="2"/>
  <c r="M354" i="2" s="1"/>
  <c r="P15" i="11"/>
  <c r="E353" i="2"/>
  <c r="M353" i="2" s="1"/>
  <c r="M298" i="14"/>
  <c r="N298" i="14" s="1"/>
  <c r="P14" i="11"/>
  <c r="F182" i="8"/>
  <c r="F181" i="8"/>
  <c r="E352" i="2"/>
  <c r="M352" i="2" s="1"/>
  <c r="M265" i="14"/>
  <c r="N265" i="14" s="1"/>
  <c r="P13" i="11"/>
  <c r="E351" i="2"/>
  <c r="M351" i="2" s="1"/>
  <c r="M232" i="14"/>
  <c r="N232" i="14" s="1"/>
  <c r="P12" i="11"/>
  <c r="F180" i="8"/>
  <c r="P11" i="11"/>
  <c r="M199" i="14"/>
  <c r="N199" i="14" s="1"/>
  <c r="E350" i="2"/>
  <c r="M350" i="2" s="1"/>
  <c r="F179" i="8"/>
  <c r="H145" i="26"/>
  <c r="E260" i="28" s="1"/>
  <c r="G145" i="26"/>
  <c r="J145" i="26" s="1"/>
  <c r="G160" i="26"/>
  <c r="J160" i="26" s="1"/>
  <c r="H160" i="26"/>
  <c r="G150" i="26"/>
  <c r="J150" i="26" s="1"/>
  <c r="H150" i="26"/>
  <c r="E265" i="28" s="1"/>
  <c r="G159" i="26"/>
  <c r="J159" i="26" s="1"/>
  <c r="H159" i="26"/>
  <c r="H144" i="26"/>
  <c r="E259" i="28" s="1"/>
  <c r="G144" i="26"/>
  <c r="J144" i="26" s="1"/>
  <c r="H149" i="26"/>
  <c r="E264" i="28" s="1"/>
  <c r="G149" i="26"/>
  <c r="J149" i="26" s="1"/>
  <c r="H158" i="26"/>
  <c r="G158" i="26"/>
  <c r="J158" i="26" s="1"/>
  <c r="H143" i="26"/>
  <c r="E258" i="28" s="1"/>
  <c r="G143" i="26"/>
  <c r="J143" i="26" s="1"/>
  <c r="H148" i="26"/>
  <c r="E263" i="28" s="1"/>
  <c r="G148" i="26"/>
  <c r="J148" i="26" s="1"/>
  <c r="H157" i="26"/>
  <c r="G157" i="26"/>
  <c r="J157" i="26" s="1"/>
  <c r="H147" i="26"/>
  <c r="E262" i="28" s="1"/>
  <c r="G147" i="26"/>
  <c r="J147" i="26" s="1"/>
  <c r="H142" i="26"/>
  <c r="E257" i="28" s="1"/>
  <c r="G142" i="26"/>
  <c r="J142" i="26" s="1"/>
  <c r="H141" i="26"/>
  <c r="E256" i="28" s="1"/>
  <c r="G141" i="26"/>
  <c r="J141" i="26" s="1"/>
  <c r="H156" i="26"/>
  <c r="G156" i="26"/>
  <c r="J156" i="26" s="1"/>
  <c r="H146" i="26"/>
  <c r="E261" i="28" s="1"/>
  <c r="G146" i="26"/>
  <c r="J146" i="26" s="1"/>
  <c r="E104" i="2"/>
  <c r="M104" i="2" s="1"/>
  <c r="F96" i="8"/>
  <c r="M317" i="14"/>
  <c r="N317" i="14" s="1"/>
  <c r="E103" i="2"/>
  <c r="M103" i="2" s="1"/>
  <c r="F95" i="8"/>
  <c r="M284" i="14"/>
  <c r="N284" i="14" s="1"/>
  <c r="E102" i="2"/>
  <c r="M102" i="2" s="1"/>
  <c r="F94" i="8"/>
  <c r="M251" i="14"/>
  <c r="N251" i="14" s="1"/>
  <c r="E101" i="2"/>
  <c r="M101" i="2" s="1"/>
  <c r="M218" i="14"/>
  <c r="N218" i="14" s="1"/>
  <c r="F93" i="8"/>
  <c r="E100" i="2"/>
  <c r="M100" i="2" s="1"/>
  <c r="M185" i="14"/>
  <c r="N185" i="14" s="1"/>
  <c r="F92" i="8"/>
  <c r="M26" i="20"/>
  <c r="I257" i="21"/>
  <c r="K256" i="21"/>
  <c r="N256" i="21"/>
  <c r="K252" i="21"/>
  <c r="N252" i="21"/>
  <c r="M25" i="20"/>
  <c r="I253" i="21"/>
  <c r="G79" i="6"/>
  <c r="I32" i="9" s="1"/>
  <c r="G32" i="9"/>
  <c r="F32" i="9"/>
  <c r="F79" i="6"/>
  <c r="E32" i="9"/>
  <c r="E79" i="6"/>
  <c r="D79" i="6"/>
  <c r="D32" i="9"/>
  <c r="C79" i="6"/>
  <c r="C32" i="9"/>
  <c r="G187" i="26"/>
  <c r="J187" i="26" s="1"/>
  <c r="H187" i="26"/>
  <c r="E82" i="28" s="1"/>
  <c r="H186" i="26"/>
  <c r="E81" i="28" s="1"/>
  <c r="G186" i="26"/>
  <c r="J186" i="26" s="1"/>
  <c r="H30" i="26"/>
  <c r="E20" i="28" s="1"/>
  <c r="G30" i="26"/>
  <c r="J30" i="26" s="1"/>
  <c r="G29" i="26"/>
  <c r="J29" i="26" s="1"/>
  <c r="H29" i="26"/>
  <c r="E19" i="28" s="1"/>
  <c r="G28" i="26"/>
  <c r="J28" i="26" s="1"/>
  <c r="H28" i="26"/>
  <c r="E18" i="28" s="1"/>
  <c r="G27" i="26"/>
  <c r="J27" i="26" s="1"/>
  <c r="H27" i="26"/>
  <c r="E17" i="28" s="1"/>
  <c r="G26" i="26"/>
  <c r="J26" i="26" s="1"/>
  <c r="H26" i="26"/>
  <c r="E16" i="28" s="1"/>
  <c r="H79" i="3"/>
  <c r="J5" i="9" s="1"/>
  <c r="H5" i="9"/>
  <c r="H130" i="26"/>
  <c r="G130" i="26"/>
  <c r="J130" i="26" s="1"/>
  <c r="H129" i="26"/>
  <c r="G129" i="26"/>
  <c r="J129" i="26" s="1"/>
  <c r="G128" i="26"/>
  <c r="J128" i="26" s="1"/>
  <c r="H128" i="26"/>
  <c r="G127" i="26"/>
  <c r="J127" i="26" s="1"/>
  <c r="H127" i="26"/>
  <c r="G126" i="26"/>
  <c r="J126" i="26" s="1"/>
  <c r="H126" i="26"/>
  <c r="H53" i="26"/>
  <c r="G53" i="26"/>
  <c r="J53" i="26" s="1"/>
  <c r="G52" i="26"/>
  <c r="J52" i="26" s="1"/>
  <c r="H52" i="26"/>
  <c r="G51" i="26"/>
  <c r="J51" i="26" s="1"/>
  <c r="H51" i="26"/>
  <c r="G560" i="26"/>
  <c r="J560" i="26" s="1"/>
  <c r="H560" i="26"/>
  <c r="E410" i="28" s="1"/>
  <c r="G559" i="26"/>
  <c r="J559" i="26" s="1"/>
  <c r="H559" i="26"/>
  <c r="E409" i="28" s="1"/>
  <c r="G558" i="26"/>
  <c r="J558" i="26" s="1"/>
  <c r="H558" i="26"/>
  <c r="E408" i="28" s="1"/>
  <c r="G557" i="26"/>
  <c r="J557" i="26" s="1"/>
  <c r="H557" i="26"/>
  <c r="E407" i="28" s="1"/>
  <c r="G556" i="26"/>
  <c r="J556" i="26" s="1"/>
  <c r="H556" i="26"/>
  <c r="E406" i="28" s="1"/>
  <c r="G425" i="26"/>
  <c r="J425" i="26" s="1"/>
  <c r="H425" i="26"/>
  <c r="E345" i="28" s="1"/>
  <c r="G424" i="26"/>
  <c r="J424" i="26" s="1"/>
  <c r="H424" i="26"/>
  <c r="E344" i="28" s="1"/>
  <c r="G423" i="26"/>
  <c r="J423" i="26" s="1"/>
  <c r="H423" i="26"/>
  <c r="E343" i="28" s="1"/>
  <c r="G422" i="26"/>
  <c r="J422" i="26" s="1"/>
  <c r="H422" i="26"/>
  <c r="E342" i="28" s="1"/>
  <c r="G421" i="26"/>
  <c r="J421" i="26" s="1"/>
  <c r="H421" i="26"/>
  <c r="E341" i="28" s="1"/>
  <c r="G290" i="26"/>
  <c r="J290" i="26" s="1"/>
  <c r="H290" i="26"/>
  <c r="E320" i="28" s="1"/>
  <c r="G289" i="26"/>
  <c r="J289" i="26" s="1"/>
  <c r="H289" i="26"/>
  <c r="E319" i="28" s="1"/>
  <c r="G288" i="26"/>
  <c r="J288" i="26" s="1"/>
  <c r="H288" i="26"/>
  <c r="E318" i="28" s="1"/>
  <c r="G287" i="26"/>
  <c r="J287" i="26" s="1"/>
  <c r="H287" i="26"/>
  <c r="E317" i="28" s="1"/>
  <c r="G286" i="26"/>
  <c r="H286" i="26"/>
  <c r="F20" i="32"/>
  <c r="G155" i="26"/>
  <c r="J155" i="26" s="1"/>
  <c r="H155" i="26"/>
  <c r="E270" i="28" s="1"/>
  <c r="G154" i="26"/>
  <c r="J154" i="26" s="1"/>
  <c r="H154" i="26"/>
  <c r="E269" i="28" s="1"/>
  <c r="G153" i="26"/>
  <c r="J153" i="26" s="1"/>
  <c r="H153" i="26"/>
  <c r="E268" i="28" s="1"/>
  <c r="G152" i="26"/>
  <c r="J152" i="26" s="1"/>
  <c r="H152" i="26"/>
  <c r="E267" i="28" s="1"/>
  <c r="G151" i="26"/>
  <c r="J151" i="26" s="1"/>
  <c r="H151" i="26"/>
  <c r="E266" i="28" s="1"/>
  <c r="G20" i="26"/>
  <c r="J20" i="26" s="1"/>
  <c r="H20" i="26"/>
  <c r="G19" i="26"/>
  <c r="J19" i="26" s="1"/>
  <c r="H19" i="26"/>
  <c r="G18" i="26"/>
  <c r="J18" i="26" s="1"/>
  <c r="H18" i="26"/>
  <c r="G17" i="26"/>
  <c r="J17" i="26" s="1"/>
  <c r="H17" i="26"/>
  <c r="G16" i="26"/>
  <c r="J16" i="26" s="1"/>
  <c r="H16" i="26"/>
  <c r="J590" i="26"/>
  <c r="H31" i="32"/>
  <c r="E430" i="28"/>
  <c r="E31" i="32"/>
  <c r="E429" i="28"/>
  <c r="E30" i="32"/>
  <c r="J589" i="26"/>
  <c r="H30" i="32"/>
  <c r="E428" i="28"/>
  <c r="E29" i="32"/>
  <c r="J588" i="26"/>
  <c r="H29" i="32"/>
  <c r="J587" i="26"/>
  <c r="H28" i="32"/>
  <c r="E427" i="28"/>
  <c r="E28" i="32"/>
  <c r="E420" i="28"/>
  <c r="E23" i="32"/>
  <c r="J585" i="26"/>
  <c r="H23" i="32"/>
  <c r="J584" i="26"/>
  <c r="H22" i="32"/>
  <c r="E419" i="28"/>
  <c r="E22" i="32"/>
  <c r="E418" i="28"/>
  <c r="E21" i="32"/>
  <c r="J583" i="26"/>
  <c r="H21" i="32"/>
  <c r="H31" i="27"/>
  <c r="M31" i="27"/>
  <c r="E459" i="28"/>
  <c r="G31" i="27"/>
  <c r="L31" i="27"/>
  <c r="F31" i="27"/>
  <c r="K31" i="27"/>
  <c r="E458" i="28"/>
  <c r="E31" i="27"/>
  <c r="J31" i="27"/>
  <c r="E457" i="28"/>
  <c r="D31" i="27"/>
  <c r="I31" i="27"/>
  <c r="E456" i="28"/>
  <c r="E65" i="28"/>
  <c r="E64" i="28"/>
  <c r="E63" i="28"/>
  <c r="E62" i="28"/>
  <c r="E61" i="28"/>
  <c r="E30" i="28"/>
  <c r="E29" i="28"/>
  <c r="E28" i="28"/>
  <c r="E27" i="28"/>
  <c r="E26" i="28"/>
  <c r="H14" i="27"/>
  <c r="M14" i="27"/>
  <c r="E35" i="28"/>
  <c r="G14" i="27"/>
  <c r="L14" i="27"/>
  <c r="E34" i="28"/>
  <c r="F14" i="27"/>
  <c r="K14" i="27"/>
  <c r="E33" i="28"/>
  <c r="E14" i="27"/>
  <c r="J14" i="27"/>
  <c r="E32" i="28"/>
  <c r="D14" i="27"/>
  <c r="I14" i="27"/>
  <c r="E31" i="28"/>
  <c r="H13" i="27"/>
  <c r="M13" i="27"/>
  <c r="E25" i="28"/>
  <c r="G13" i="27"/>
  <c r="L13" i="27"/>
  <c r="E24" i="28"/>
  <c r="F13" i="27"/>
  <c r="K13" i="27"/>
  <c r="E23" i="28"/>
  <c r="E13" i="27"/>
  <c r="J13" i="27"/>
  <c r="E22" i="28"/>
  <c r="D13" i="27"/>
  <c r="I13" i="27"/>
  <c r="E21" i="28"/>
  <c r="H11" i="27"/>
  <c r="M11" i="27"/>
  <c r="E235" i="28"/>
  <c r="G11" i="27"/>
  <c r="L11" i="27"/>
  <c r="E234" i="28"/>
  <c r="F11" i="27"/>
  <c r="K11" i="27"/>
  <c r="E233" i="28"/>
  <c r="E11" i="27"/>
  <c r="J11" i="27"/>
  <c r="E232" i="28"/>
  <c r="D11" i="27"/>
  <c r="I11" i="27"/>
  <c r="E231" i="28"/>
  <c r="K248" i="21"/>
  <c r="N248" i="21"/>
  <c r="K249" i="21"/>
  <c r="N249" i="21"/>
  <c r="K197" i="21"/>
  <c r="N197" i="21"/>
  <c r="K198" i="21"/>
  <c r="N198" i="21"/>
  <c r="K1289" i="21"/>
  <c r="N1289" i="21"/>
  <c r="K1290" i="21"/>
  <c r="N1290" i="21"/>
  <c r="N146" i="21"/>
  <c r="K146" i="21"/>
  <c r="K147" i="21"/>
  <c r="N147" i="21"/>
  <c r="K96" i="21"/>
  <c r="N96" i="21"/>
  <c r="K95" i="21"/>
  <c r="N95" i="21"/>
  <c r="K544" i="21"/>
  <c r="N544" i="21"/>
  <c r="O62" i="20" s="1"/>
  <c r="F420" i="28"/>
  <c r="G420" i="28" s="1"/>
  <c r="N62" i="20"/>
  <c r="I527" i="21"/>
  <c r="L61" i="20"/>
  <c r="K543" i="21"/>
  <c r="N543" i="21"/>
  <c r="I510" i="21"/>
  <c r="L60" i="20"/>
  <c r="K526" i="21"/>
  <c r="N526" i="21"/>
  <c r="K772" i="21"/>
  <c r="N772" i="21"/>
  <c r="K770" i="21"/>
  <c r="N770" i="21"/>
  <c r="K769" i="21"/>
  <c r="N769" i="21"/>
  <c r="K771" i="21"/>
  <c r="N771" i="21"/>
  <c r="K780" i="21"/>
  <c r="N780" i="21"/>
  <c r="K779" i="21"/>
  <c r="N779" i="21"/>
  <c r="K778" i="21"/>
  <c r="N778" i="21"/>
  <c r="K777" i="21"/>
  <c r="N777" i="21"/>
  <c r="K781" i="21"/>
  <c r="N781" i="21"/>
  <c r="K782" i="21"/>
  <c r="N782" i="21"/>
  <c r="K732" i="21"/>
  <c r="N732" i="21"/>
  <c r="K730" i="21"/>
  <c r="N730" i="21"/>
  <c r="K729" i="21"/>
  <c r="N729" i="21"/>
  <c r="K724" i="21"/>
  <c r="N724" i="21"/>
  <c r="K723" i="21"/>
  <c r="N723" i="21"/>
  <c r="K722" i="21"/>
  <c r="N722" i="21"/>
  <c r="K721" i="21"/>
  <c r="N721" i="21"/>
  <c r="K776" i="21"/>
  <c r="N776" i="21"/>
  <c r="K774" i="21"/>
  <c r="N774" i="21"/>
  <c r="K773" i="21"/>
  <c r="N773" i="21"/>
  <c r="K784" i="21"/>
  <c r="N784" i="21"/>
  <c r="K731" i="21"/>
  <c r="N731" i="21"/>
  <c r="K775" i="21"/>
  <c r="N775" i="21"/>
  <c r="K783" i="21"/>
  <c r="N783" i="21"/>
  <c r="K682" i="21"/>
  <c r="N682" i="21"/>
  <c r="K728" i="21"/>
  <c r="N728" i="21"/>
  <c r="K727" i="21"/>
  <c r="N727" i="21"/>
  <c r="K684" i="21"/>
  <c r="N684" i="21"/>
  <c r="K735" i="21"/>
  <c r="N735" i="21"/>
  <c r="K674" i="21"/>
  <c r="N674" i="21"/>
  <c r="K676" i="21"/>
  <c r="N676" i="21"/>
  <c r="K675" i="21"/>
  <c r="N675" i="21"/>
  <c r="K683" i="21"/>
  <c r="N683" i="21"/>
  <c r="K673" i="21"/>
  <c r="N673" i="21"/>
  <c r="K736" i="21"/>
  <c r="N736" i="21"/>
  <c r="K726" i="21"/>
  <c r="N726" i="21"/>
  <c r="K725" i="21"/>
  <c r="N725" i="21"/>
  <c r="K733" i="21"/>
  <c r="N733" i="21"/>
  <c r="K734" i="21"/>
  <c r="N734" i="21"/>
  <c r="K681" i="21"/>
  <c r="N681" i="21"/>
  <c r="K688" i="21"/>
  <c r="N688" i="21"/>
  <c r="K687" i="21"/>
  <c r="N687" i="21"/>
  <c r="K686" i="21"/>
  <c r="N686" i="21"/>
  <c r="K685" i="21"/>
  <c r="N685" i="21"/>
  <c r="K625" i="21"/>
  <c r="N625" i="21"/>
  <c r="K627" i="21"/>
  <c r="N627" i="21"/>
  <c r="K628" i="21"/>
  <c r="N628" i="21"/>
  <c r="K679" i="21"/>
  <c r="N679" i="21"/>
  <c r="K678" i="21"/>
  <c r="N678" i="21"/>
  <c r="K677" i="21"/>
  <c r="N677" i="21"/>
  <c r="K633" i="21"/>
  <c r="N633" i="21"/>
  <c r="K634" i="21"/>
  <c r="N634" i="21"/>
  <c r="K635" i="21"/>
  <c r="N635" i="21"/>
  <c r="K636" i="21"/>
  <c r="N636" i="21"/>
  <c r="K680" i="21"/>
  <c r="N680" i="21"/>
  <c r="K626" i="21"/>
  <c r="N626" i="21"/>
  <c r="K631" i="21"/>
  <c r="N631" i="21"/>
  <c r="K632" i="21"/>
  <c r="N632" i="21"/>
  <c r="K637" i="21"/>
  <c r="N637" i="21"/>
  <c r="K638" i="21"/>
  <c r="N638" i="21"/>
  <c r="K640" i="21"/>
  <c r="N640" i="21"/>
  <c r="K630" i="21"/>
  <c r="N630" i="21"/>
  <c r="K639" i="21"/>
  <c r="N639" i="21"/>
  <c r="K579" i="21"/>
  <c r="N579" i="21"/>
  <c r="K580" i="21"/>
  <c r="N580" i="21"/>
  <c r="K585" i="21"/>
  <c r="N585" i="21"/>
  <c r="K586" i="21"/>
  <c r="N586" i="21"/>
  <c r="K577" i="21"/>
  <c r="N577" i="21"/>
  <c r="K587" i="21"/>
  <c r="N587" i="21"/>
  <c r="K578" i="21"/>
  <c r="N578" i="21"/>
  <c r="K588" i="21"/>
  <c r="N588" i="21"/>
  <c r="K629" i="21"/>
  <c r="N629" i="21"/>
  <c r="K581" i="21"/>
  <c r="N581" i="21"/>
  <c r="K591" i="21"/>
  <c r="N591" i="21"/>
  <c r="K590" i="21"/>
  <c r="N590" i="21"/>
  <c r="K582" i="21"/>
  <c r="N582" i="21"/>
  <c r="K583" i="21"/>
  <c r="N583" i="21"/>
  <c r="K584" i="21"/>
  <c r="N584" i="21"/>
  <c r="K589" i="21"/>
  <c r="N589" i="21"/>
  <c r="K592" i="21"/>
  <c r="N592" i="21"/>
  <c r="K761" i="21"/>
  <c r="N761" i="21"/>
  <c r="K762" i="21"/>
  <c r="N762" i="21"/>
  <c r="K763" i="21"/>
  <c r="N763" i="21"/>
  <c r="K764" i="21"/>
  <c r="N764" i="21"/>
  <c r="K787" i="21"/>
  <c r="N787" i="21"/>
  <c r="K716" i="21"/>
  <c r="N716" i="21"/>
  <c r="K739" i="21"/>
  <c r="N739" i="21"/>
  <c r="K713" i="21"/>
  <c r="N713" i="21"/>
  <c r="K714" i="21"/>
  <c r="N714" i="21"/>
  <c r="K715" i="21"/>
  <c r="N715" i="21"/>
  <c r="K766" i="21"/>
  <c r="N766" i="21"/>
  <c r="K767" i="21"/>
  <c r="N767" i="21"/>
  <c r="K765" i="21"/>
  <c r="N765" i="21"/>
  <c r="K768" i="21"/>
  <c r="N768" i="21"/>
  <c r="K666" i="21"/>
  <c r="N666" i="21"/>
  <c r="K665" i="21"/>
  <c r="N665" i="21"/>
  <c r="K691" i="21"/>
  <c r="N691" i="21"/>
  <c r="K667" i="21"/>
  <c r="N667" i="21"/>
  <c r="K668" i="21"/>
  <c r="N668" i="21"/>
  <c r="K717" i="21"/>
  <c r="N717" i="21"/>
  <c r="K718" i="21"/>
  <c r="N718" i="21"/>
  <c r="K719" i="21"/>
  <c r="N719" i="21"/>
  <c r="K720" i="21"/>
  <c r="N720" i="21"/>
  <c r="K617" i="21"/>
  <c r="N617" i="21"/>
  <c r="K620" i="21"/>
  <c r="N620" i="21"/>
  <c r="K671" i="21"/>
  <c r="N671" i="21"/>
  <c r="K619" i="21"/>
  <c r="N619" i="21"/>
  <c r="K618" i="21"/>
  <c r="N618" i="21"/>
  <c r="K672" i="21"/>
  <c r="N672" i="21"/>
  <c r="K669" i="21"/>
  <c r="N669" i="21"/>
  <c r="K643" i="21"/>
  <c r="N643" i="21"/>
  <c r="K670" i="21"/>
  <c r="N670" i="21"/>
  <c r="K621" i="21"/>
  <c r="N621" i="21"/>
  <c r="K624" i="21"/>
  <c r="N624" i="21"/>
  <c r="K595" i="21"/>
  <c r="N595" i="21"/>
  <c r="K623" i="21"/>
  <c r="N623" i="21"/>
  <c r="K572" i="21"/>
  <c r="N572" i="21"/>
  <c r="K571" i="21"/>
  <c r="N571" i="21"/>
  <c r="K622" i="21"/>
  <c r="N622" i="21"/>
  <c r="K569" i="21"/>
  <c r="N569" i="21"/>
  <c r="K570" i="21"/>
  <c r="N570" i="21"/>
  <c r="K574" i="21"/>
  <c r="N574" i="21"/>
  <c r="K576" i="21"/>
  <c r="N576" i="21"/>
  <c r="K575" i="21"/>
  <c r="N575" i="21"/>
  <c r="K573" i="21"/>
  <c r="N573" i="21"/>
  <c r="K239" i="21"/>
  <c r="N239" i="21"/>
  <c r="K236" i="21"/>
  <c r="N236" i="21"/>
  <c r="K237" i="21"/>
  <c r="N237" i="21"/>
  <c r="K229" i="21"/>
  <c r="N229" i="21"/>
  <c r="K228" i="21"/>
  <c r="N228" i="21"/>
  <c r="K231" i="21"/>
  <c r="N231" i="21"/>
  <c r="K220" i="21"/>
  <c r="N220" i="21"/>
  <c r="K223" i="21"/>
  <c r="N223" i="21"/>
  <c r="K221" i="21"/>
  <c r="N221" i="21"/>
  <c r="K243" i="21"/>
  <c r="N243" i="21"/>
  <c r="K240" i="21"/>
  <c r="N240" i="21"/>
  <c r="K241" i="21"/>
  <c r="N241" i="21"/>
  <c r="K185" i="21"/>
  <c r="N185" i="21"/>
  <c r="K188" i="21"/>
  <c r="N188" i="21"/>
  <c r="K186" i="21"/>
  <c r="N186" i="21"/>
  <c r="K232" i="21"/>
  <c r="N232" i="21"/>
  <c r="K233" i="21"/>
  <c r="N233" i="21"/>
  <c r="K178" i="21"/>
  <c r="N178" i="21"/>
  <c r="K235" i="21"/>
  <c r="N235" i="21"/>
  <c r="K180" i="21"/>
  <c r="N180" i="21"/>
  <c r="N177" i="21"/>
  <c r="K177" i="21"/>
  <c r="K227" i="21"/>
  <c r="N227" i="21"/>
  <c r="K225" i="21"/>
  <c r="N225" i="21"/>
  <c r="K224" i="21"/>
  <c r="N224" i="21"/>
  <c r="K169" i="21"/>
  <c r="N169" i="21"/>
  <c r="K170" i="21"/>
  <c r="N170" i="21"/>
  <c r="N172" i="21"/>
  <c r="K172" i="21"/>
  <c r="K1280" i="21"/>
  <c r="N1280" i="21"/>
  <c r="N192" i="21"/>
  <c r="K192" i="21"/>
  <c r="K190" i="21"/>
  <c r="N190" i="21"/>
  <c r="K189" i="21"/>
  <c r="N189" i="21"/>
  <c r="K1278" i="21"/>
  <c r="N1278" i="21"/>
  <c r="K1277" i="21"/>
  <c r="N1277" i="21"/>
  <c r="N181" i="21"/>
  <c r="K181" i="21"/>
  <c r="N182" i="21"/>
  <c r="K182" i="21"/>
  <c r="K1270" i="21"/>
  <c r="N1270" i="21"/>
  <c r="N184" i="21"/>
  <c r="K184" i="21"/>
  <c r="K1272" i="21"/>
  <c r="N1272" i="21"/>
  <c r="K1269" i="21"/>
  <c r="N1269" i="21"/>
  <c r="K1261" i="21"/>
  <c r="N1261" i="21"/>
  <c r="K176" i="21"/>
  <c r="N176" i="21"/>
  <c r="K1262" i="21"/>
  <c r="N1262" i="21"/>
  <c r="K1264" i="21"/>
  <c r="N1264" i="21"/>
  <c r="N173" i="21"/>
  <c r="K173" i="21"/>
  <c r="N174" i="21"/>
  <c r="K174" i="21"/>
  <c r="N134" i="21"/>
  <c r="K134" i="21"/>
  <c r="K1282" i="21"/>
  <c r="N1282" i="21"/>
  <c r="N135" i="21"/>
  <c r="K135" i="21"/>
  <c r="K137" i="21"/>
  <c r="N137" i="21"/>
  <c r="K1281" i="21"/>
  <c r="N1281" i="21"/>
  <c r="K1284" i="21"/>
  <c r="N1284" i="21"/>
  <c r="N129" i="21"/>
  <c r="K129" i="21"/>
  <c r="K1276" i="21"/>
  <c r="N1276" i="21"/>
  <c r="K1274" i="21"/>
  <c r="N1274" i="21"/>
  <c r="N126" i="21"/>
  <c r="K126" i="21"/>
  <c r="K1273" i="21"/>
  <c r="N1273" i="21"/>
  <c r="N127" i="21"/>
  <c r="K127" i="21"/>
  <c r="N121" i="21"/>
  <c r="K121" i="21"/>
  <c r="K1266" i="21"/>
  <c r="N1266" i="21"/>
  <c r="K1265" i="21"/>
  <c r="N1265" i="21"/>
  <c r="K1268" i="21"/>
  <c r="N1268" i="21"/>
  <c r="N119" i="21"/>
  <c r="K119" i="21"/>
  <c r="N118" i="21"/>
  <c r="K118" i="21"/>
  <c r="K83" i="21"/>
  <c r="N83" i="21"/>
  <c r="K84" i="21"/>
  <c r="N84" i="21"/>
  <c r="K86" i="21"/>
  <c r="N86" i="21"/>
  <c r="K138" i="21"/>
  <c r="N138" i="21"/>
  <c r="N141" i="21"/>
  <c r="K141" i="21"/>
  <c r="K139" i="21"/>
  <c r="N139" i="21"/>
  <c r="N130" i="21"/>
  <c r="K130" i="21"/>
  <c r="K78" i="21"/>
  <c r="N78" i="21"/>
  <c r="N131" i="21"/>
  <c r="K131" i="21"/>
  <c r="K133" i="21"/>
  <c r="N133" i="21"/>
  <c r="K75" i="21"/>
  <c r="N75" i="21"/>
  <c r="K76" i="21"/>
  <c r="N76" i="21"/>
  <c r="K70" i="21"/>
  <c r="N70" i="21"/>
  <c r="K68" i="21"/>
  <c r="N68" i="21"/>
  <c r="N125" i="21"/>
  <c r="K125" i="21"/>
  <c r="N122" i="21"/>
  <c r="K122" i="21"/>
  <c r="N123" i="21"/>
  <c r="K123" i="21"/>
  <c r="K67" i="21"/>
  <c r="N67" i="21"/>
  <c r="K90" i="21"/>
  <c r="N90" i="21"/>
  <c r="K87" i="21"/>
  <c r="N87" i="21"/>
  <c r="K88" i="21"/>
  <c r="N88" i="21"/>
  <c r="K82" i="21"/>
  <c r="N82" i="21"/>
  <c r="K80" i="21"/>
  <c r="N80" i="21"/>
  <c r="K79" i="21"/>
  <c r="N79" i="21"/>
  <c r="K72" i="21"/>
  <c r="N72" i="21"/>
  <c r="K71" i="21"/>
  <c r="N71" i="21"/>
  <c r="K74" i="21"/>
  <c r="N74" i="21"/>
  <c r="K470" i="21"/>
  <c r="N470" i="21"/>
  <c r="I469" i="21"/>
  <c r="L51" i="20"/>
  <c r="K484" i="21"/>
  <c r="N484" i="21"/>
  <c r="I482" i="21"/>
  <c r="L55" i="20"/>
  <c r="K483" i="21"/>
  <c r="N483" i="21"/>
  <c r="I492" i="21"/>
  <c r="L58" i="20"/>
  <c r="I476" i="21"/>
  <c r="L53" i="20"/>
  <c r="I490" i="21"/>
  <c r="L57" i="20"/>
  <c r="K480" i="21"/>
  <c r="N480" i="21"/>
  <c r="K479" i="21"/>
  <c r="N479" i="21"/>
  <c r="I478" i="21"/>
  <c r="L54" i="20"/>
  <c r="I473" i="21"/>
  <c r="L52" i="20"/>
  <c r="K466" i="21"/>
  <c r="N466" i="21"/>
  <c r="I465" i="21"/>
  <c r="L50" i="20"/>
  <c r="I434" i="21"/>
  <c r="L42" i="20"/>
  <c r="I428" i="21"/>
  <c r="L41" i="20"/>
  <c r="I422" i="21"/>
  <c r="L40" i="20"/>
  <c r="I416" i="21"/>
  <c r="L39" i="20"/>
  <c r="I410" i="21"/>
  <c r="L38" i="20"/>
  <c r="K1187" i="21"/>
  <c r="N1187" i="21"/>
  <c r="O76" i="20" s="1"/>
  <c r="F430" i="28"/>
  <c r="G430" i="28" s="1"/>
  <c r="N76" i="20"/>
  <c r="K1131" i="21"/>
  <c r="N1131" i="21"/>
  <c r="O75" i="20" s="1"/>
  <c r="F429" i="28"/>
  <c r="G429" i="28" s="1"/>
  <c r="N75" i="20"/>
  <c r="K1075" i="21"/>
  <c r="N1075" i="21"/>
  <c r="O74" i="20" s="1"/>
  <c r="F428" i="28"/>
  <c r="G428" i="28" s="1"/>
  <c r="N74" i="20"/>
  <c r="K1019" i="21"/>
  <c r="N1019" i="21"/>
  <c r="O73" i="20" s="1"/>
  <c r="F427" i="28"/>
  <c r="G427" i="28" s="1"/>
  <c r="N73" i="20"/>
  <c r="K657" i="21"/>
  <c r="N657" i="21"/>
  <c r="O65" i="20" s="1"/>
  <c r="N65" i="20"/>
  <c r="K596" i="21"/>
  <c r="N596" i="21"/>
  <c r="O64" i="20" s="1"/>
  <c r="N64" i="20"/>
  <c r="K561" i="21"/>
  <c r="N561" i="21"/>
  <c r="O63" i="20" s="1"/>
  <c r="N63" i="20"/>
  <c r="K462" i="21"/>
  <c r="N462" i="21"/>
  <c r="O49" i="20" s="1"/>
  <c r="N49" i="20"/>
  <c r="K459" i="21"/>
  <c r="N459" i="21"/>
  <c r="O48" i="20" s="1"/>
  <c r="N48" i="20"/>
  <c r="K456" i="21"/>
  <c r="N456" i="21"/>
  <c r="O47" i="20" s="1"/>
  <c r="N47" i="20"/>
  <c r="K453" i="21"/>
  <c r="N453" i="21"/>
  <c r="O46" i="20" s="1"/>
  <c r="N46" i="20"/>
  <c r="K264" i="21"/>
  <c r="N264" i="21"/>
  <c r="O28" i="20" s="1"/>
  <c r="F179" i="28"/>
  <c r="G179" i="28" s="1"/>
  <c r="N28" i="20"/>
  <c r="K261" i="21"/>
  <c r="N261" i="21"/>
  <c r="O27" i="20" s="1"/>
  <c r="F174" i="28"/>
  <c r="G174" i="28" s="1"/>
  <c r="N27" i="20"/>
  <c r="K212" i="21"/>
  <c r="N212" i="21"/>
  <c r="O24" i="20" s="1"/>
  <c r="N24" i="20"/>
  <c r="K161" i="21"/>
  <c r="N161" i="21"/>
  <c r="O23" i="20" s="1"/>
  <c r="N23" i="20"/>
  <c r="I177" i="8"/>
  <c r="M825" i="14"/>
  <c r="N825" i="14" s="1"/>
  <c r="E234" i="2"/>
  <c r="M234" i="2" s="1"/>
  <c r="I176" i="8"/>
  <c r="M792" i="14"/>
  <c r="N792" i="14" s="1"/>
  <c r="E233" i="2"/>
  <c r="M233" i="2" s="1"/>
  <c r="I175" i="8"/>
  <c r="M759" i="14"/>
  <c r="N759" i="14" s="1"/>
  <c r="E232" i="2"/>
  <c r="M232" i="2" s="1"/>
  <c r="P1950" i="9"/>
  <c r="Q1950" i="9" s="1"/>
  <c r="F52" i="9" s="1"/>
  <c r="F28" i="11"/>
  <c r="G761" i="14"/>
  <c r="H63" i="18"/>
  <c r="F653" i="26"/>
  <c r="I174" i="8"/>
  <c r="M726" i="14"/>
  <c r="N726" i="14" s="1"/>
  <c r="E231" i="2"/>
  <c r="M231" i="2" s="1"/>
  <c r="I173" i="8"/>
  <c r="M693" i="14"/>
  <c r="N693" i="14" s="1"/>
  <c r="E230" i="2"/>
  <c r="M230" i="2" s="1"/>
  <c r="G620" i="26"/>
  <c r="J620" i="26" s="1"/>
  <c r="H620" i="26"/>
  <c r="E435" i="28" s="1"/>
  <c r="H818" i="14"/>
  <c r="I134" i="8"/>
  <c r="M818" i="14"/>
  <c r="N818" i="14" s="1"/>
  <c r="E519" i="2"/>
  <c r="M519" i="2" s="1"/>
  <c r="H96" i="7"/>
  <c r="H162" i="7"/>
  <c r="H214" i="7"/>
  <c r="H227" i="7"/>
  <c r="F819" i="14"/>
  <c r="G290" i="21"/>
  <c r="I290" i="21" s="1"/>
  <c r="G291" i="21"/>
  <c r="I291" i="21" s="1"/>
  <c r="G292" i="21"/>
  <c r="I292" i="21" s="1"/>
  <c r="G293" i="21"/>
  <c r="I293" i="21" s="1"/>
  <c r="G1005" i="21"/>
  <c r="I1005" i="21" s="1"/>
  <c r="G1006" i="21"/>
  <c r="I1006" i="21" s="1"/>
  <c r="G1007" i="21"/>
  <c r="I1007" i="21" s="1"/>
  <c r="G1008" i="21"/>
  <c r="I1008" i="21" s="1"/>
  <c r="G1009" i="21"/>
  <c r="I1009" i="21" s="1"/>
  <c r="G1010" i="21"/>
  <c r="I1010" i="21" s="1"/>
  <c r="G1011" i="21"/>
  <c r="I1011" i="21" s="1"/>
  <c r="G1012" i="21"/>
  <c r="I1012" i="21" s="1"/>
  <c r="G1013" i="21"/>
  <c r="I1013" i="21" s="1"/>
  <c r="G1014" i="21"/>
  <c r="I1014" i="21" s="1"/>
  <c r="G1015" i="21"/>
  <c r="I1015" i="21" s="1"/>
  <c r="G1229" i="21"/>
  <c r="I1229" i="21" s="1"/>
  <c r="G1230" i="21"/>
  <c r="I1230" i="21" s="1"/>
  <c r="G1231" i="21"/>
  <c r="I1231" i="21" s="1"/>
  <c r="G1232" i="21"/>
  <c r="I1232" i="21" s="1"/>
  <c r="G1233" i="21"/>
  <c r="I1233" i="21" s="1"/>
  <c r="G1234" i="21"/>
  <c r="I1234" i="21" s="1"/>
  <c r="G1235" i="21"/>
  <c r="I1235" i="21" s="1"/>
  <c r="G1236" i="21"/>
  <c r="I1236" i="21" s="1"/>
  <c r="G1237" i="21"/>
  <c r="I1237" i="21" s="1"/>
  <c r="G1238" i="21"/>
  <c r="I1238" i="21" s="1"/>
  <c r="G1239" i="21"/>
  <c r="I1239" i="21" s="1"/>
  <c r="G96" i="7"/>
  <c r="G162" i="7"/>
  <c r="G214" i="7"/>
  <c r="G227" i="7"/>
  <c r="H228" i="7"/>
  <c r="F786" i="14"/>
  <c r="G949" i="21"/>
  <c r="I949" i="21" s="1"/>
  <c r="G950" i="21"/>
  <c r="I950" i="21" s="1"/>
  <c r="G951" i="21"/>
  <c r="I951" i="21" s="1"/>
  <c r="G952" i="21"/>
  <c r="I952" i="21" s="1"/>
  <c r="G953" i="21"/>
  <c r="I953" i="21" s="1"/>
  <c r="G954" i="21"/>
  <c r="I954" i="21" s="1"/>
  <c r="G955" i="21"/>
  <c r="I955" i="21" s="1"/>
  <c r="G956" i="21"/>
  <c r="I956" i="21" s="1"/>
  <c r="G957" i="21"/>
  <c r="I957" i="21" s="1"/>
  <c r="G958" i="21"/>
  <c r="I958" i="21" s="1"/>
  <c r="G959" i="21"/>
  <c r="I959" i="21" s="1"/>
  <c r="G1173" i="21"/>
  <c r="I1173" i="21" s="1"/>
  <c r="G1174" i="21"/>
  <c r="I1174" i="21" s="1"/>
  <c r="G1175" i="21"/>
  <c r="I1175" i="21" s="1"/>
  <c r="G1176" i="21"/>
  <c r="I1176" i="21" s="1"/>
  <c r="G1177" i="21"/>
  <c r="I1177" i="21" s="1"/>
  <c r="G1178" i="21"/>
  <c r="I1178" i="21" s="1"/>
  <c r="G1179" i="21"/>
  <c r="I1179" i="21" s="1"/>
  <c r="G1180" i="21"/>
  <c r="I1180" i="21" s="1"/>
  <c r="G1181" i="21"/>
  <c r="I1181" i="21" s="1"/>
  <c r="G1182" i="21"/>
  <c r="I1182" i="21" s="1"/>
  <c r="G1183" i="21"/>
  <c r="I1183" i="21" s="1"/>
  <c r="G1393" i="21"/>
  <c r="I1393" i="21" s="1"/>
  <c r="G1394" i="21"/>
  <c r="I1394" i="21" s="1"/>
  <c r="G1395" i="21"/>
  <c r="I1395" i="21" s="1"/>
  <c r="G1396" i="21"/>
  <c r="I1396" i="21" s="1"/>
  <c r="H785" i="14"/>
  <c r="I133" i="8"/>
  <c r="M785" i="14"/>
  <c r="N785" i="14" s="1"/>
  <c r="E518" i="2"/>
  <c r="M518" i="2" s="1"/>
  <c r="G619" i="26"/>
  <c r="J619" i="26" s="1"/>
  <c r="H619" i="26"/>
  <c r="E434" i="28" s="1"/>
  <c r="F96" i="7"/>
  <c r="F162" i="7"/>
  <c r="F214" i="7"/>
  <c r="F227" i="7"/>
  <c r="G228" i="7"/>
  <c r="F753" i="14"/>
  <c r="G893" i="21"/>
  <c r="I893" i="21" s="1"/>
  <c r="G894" i="21"/>
  <c r="G895" i="21"/>
  <c r="I895" i="21" s="1"/>
  <c r="G896" i="21"/>
  <c r="I896" i="21" s="1"/>
  <c r="G897" i="21"/>
  <c r="I897" i="21" s="1"/>
  <c r="G898" i="21"/>
  <c r="I898" i="21" s="1"/>
  <c r="G899" i="21"/>
  <c r="I899" i="21" s="1"/>
  <c r="G900" i="21"/>
  <c r="I900" i="21" s="1"/>
  <c r="G901" i="21"/>
  <c r="I901" i="21" s="1"/>
  <c r="G902" i="21"/>
  <c r="I902" i="21" s="1"/>
  <c r="G903" i="21"/>
  <c r="I903" i="21" s="1"/>
  <c r="G1117" i="21"/>
  <c r="I1117" i="21" s="1"/>
  <c r="G1118" i="21"/>
  <c r="G1119" i="21"/>
  <c r="I1119" i="21" s="1"/>
  <c r="G1120" i="21"/>
  <c r="I1120" i="21" s="1"/>
  <c r="G1121" i="21"/>
  <c r="I1121" i="21" s="1"/>
  <c r="G1122" i="21"/>
  <c r="I1122" i="21" s="1"/>
  <c r="G1123" i="21"/>
  <c r="I1123" i="21" s="1"/>
  <c r="G1124" i="21"/>
  <c r="I1124" i="21" s="1"/>
  <c r="G1125" i="21"/>
  <c r="I1125" i="21" s="1"/>
  <c r="G1126" i="21"/>
  <c r="I1126" i="21" s="1"/>
  <c r="G1127" i="21"/>
  <c r="I1127" i="21" s="1"/>
  <c r="G1372" i="21"/>
  <c r="I1372" i="21" s="1"/>
  <c r="G1373" i="21"/>
  <c r="I1373" i="21" s="1"/>
  <c r="G1374" i="21"/>
  <c r="I1374" i="21" s="1"/>
  <c r="G1375" i="21"/>
  <c r="I1375" i="21" s="1"/>
  <c r="H752" i="14"/>
  <c r="I132" i="8"/>
  <c r="M752" i="14"/>
  <c r="N752" i="14" s="1"/>
  <c r="E517" i="2"/>
  <c r="M517" i="2" s="1"/>
  <c r="G618" i="26"/>
  <c r="J618" i="26" s="1"/>
  <c r="H618" i="26"/>
  <c r="E433" i="28" s="1"/>
  <c r="H719" i="14"/>
  <c r="E96" i="7"/>
  <c r="E162" i="7"/>
  <c r="E214" i="7"/>
  <c r="E227" i="7"/>
  <c r="F228" i="7"/>
  <c r="F720" i="14"/>
  <c r="G837" i="21"/>
  <c r="G838" i="21"/>
  <c r="G839" i="21"/>
  <c r="I839" i="21" s="1"/>
  <c r="G840" i="21"/>
  <c r="I840" i="21" s="1"/>
  <c r="G841" i="21"/>
  <c r="I841" i="21" s="1"/>
  <c r="G842" i="21"/>
  <c r="I842" i="21" s="1"/>
  <c r="G843" i="21"/>
  <c r="I843" i="21" s="1"/>
  <c r="G844" i="21"/>
  <c r="I844" i="21" s="1"/>
  <c r="G845" i="21"/>
  <c r="I845" i="21" s="1"/>
  <c r="G846" i="21"/>
  <c r="I846" i="21" s="1"/>
  <c r="G847" i="21"/>
  <c r="I847" i="21" s="1"/>
  <c r="G1061" i="21"/>
  <c r="G1062" i="21"/>
  <c r="G1063" i="21"/>
  <c r="I1063" i="21" s="1"/>
  <c r="G1064" i="21"/>
  <c r="I1064" i="21" s="1"/>
  <c r="G1065" i="21"/>
  <c r="I1065" i="21" s="1"/>
  <c r="G1066" i="21"/>
  <c r="I1066" i="21" s="1"/>
  <c r="G1067" i="21"/>
  <c r="I1067" i="21" s="1"/>
  <c r="G1068" i="21"/>
  <c r="I1068" i="21" s="1"/>
  <c r="G1069" i="21"/>
  <c r="I1069" i="21" s="1"/>
  <c r="G1070" i="21"/>
  <c r="I1070" i="21" s="1"/>
  <c r="G1071" i="21"/>
  <c r="I1071" i="21" s="1"/>
  <c r="G1351" i="21"/>
  <c r="I1351" i="21" s="1"/>
  <c r="G1352" i="21"/>
  <c r="I1352" i="21" s="1"/>
  <c r="G1353" i="21"/>
  <c r="I1353" i="21" s="1"/>
  <c r="G1354" i="21"/>
  <c r="I1354" i="21" s="1"/>
  <c r="I131" i="8"/>
  <c r="M719" i="14"/>
  <c r="N719" i="14" s="1"/>
  <c r="E516" i="2"/>
  <c r="M516" i="2" s="1"/>
  <c r="G617" i="26"/>
  <c r="J617" i="26" s="1"/>
  <c r="H617" i="26"/>
  <c r="E432" i="28" s="1"/>
  <c r="D96" i="7"/>
  <c r="D162" i="7"/>
  <c r="D214" i="7"/>
  <c r="D228" i="7"/>
  <c r="E228" i="7"/>
  <c r="F687" i="14"/>
  <c r="G1330" i="21"/>
  <c r="I1330" i="21" s="1"/>
  <c r="G1331" i="21"/>
  <c r="I1331" i="21" s="1"/>
  <c r="G1332" i="21"/>
  <c r="I1332" i="21" s="1"/>
  <c r="G1333" i="21"/>
  <c r="I1333" i="21" s="1"/>
  <c r="G1446" i="21"/>
  <c r="G1447" i="21"/>
  <c r="G1448" i="21"/>
  <c r="I1448" i="21" s="1"/>
  <c r="G1449" i="21"/>
  <c r="I1449" i="21" s="1"/>
  <c r="G1450" i="21"/>
  <c r="I1450" i="21" s="1"/>
  <c r="G1451" i="21"/>
  <c r="I1451" i="21" s="1"/>
  <c r="G1452" i="21"/>
  <c r="I1452" i="21" s="1"/>
  <c r="G1453" i="21"/>
  <c r="I1453" i="21" s="1"/>
  <c r="G1454" i="21"/>
  <c r="I1454" i="21" s="1"/>
  <c r="G1455" i="21"/>
  <c r="I1455" i="21" s="1"/>
  <c r="G1497" i="21"/>
  <c r="G1498" i="21"/>
  <c r="G1499" i="21"/>
  <c r="I1499" i="21" s="1"/>
  <c r="G1500" i="21"/>
  <c r="I1500" i="21" s="1"/>
  <c r="G1501" i="21"/>
  <c r="I1501" i="21" s="1"/>
  <c r="G1502" i="21"/>
  <c r="I1502" i="21" s="1"/>
  <c r="G1503" i="21"/>
  <c r="I1503" i="21" s="1"/>
  <c r="G1504" i="21"/>
  <c r="I1504" i="21" s="1"/>
  <c r="G1505" i="21"/>
  <c r="I1505" i="21" s="1"/>
  <c r="G1506" i="21"/>
  <c r="I1506" i="21" s="1"/>
  <c r="I130" i="8"/>
  <c r="M686" i="14"/>
  <c r="E515" i="2"/>
  <c r="M515" i="2" s="1"/>
  <c r="H686" i="14"/>
  <c r="N686" i="14"/>
  <c r="G616" i="26"/>
  <c r="J616" i="26" s="1"/>
  <c r="H616" i="26"/>
  <c r="E431" i="28" s="1"/>
  <c r="F645" i="26"/>
  <c r="F416" i="29"/>
  <c r="G605" i="26"/>
  <c r="J605" i="26" s="1"/>
  <c r="H605" i="26"/>
  <c r="E230" i="28" s="1"/>
  <c r="G610" i="26"/>
  <c r="J610" i="26" s="1"/>
  <c r="H610" i="26"/>
  <c r="I115" i="8"/>
  <c r="M815" i="14"/>
  <c r="G823" i="14"/>
  <c r="F644" i="26"/>
  <c r="F414" i="29"/>
  <c r="F417" i="29"/>
  <c r="G604" i="26"/>
  <c r="J604" i="26" s="1"/>
  <c r="H604" i="26"/>
  <c r="E229" i="28" s="1"/>
  <c r="G609" i="26"/>
  <c r="J609" i="26" s="1"/>
  <c r="H609" i="26"/>
  <c r="I114" i="8"/>
  <c r="M782" i="14"/>
  <c r="N782" i="14" s="1"/>
  <c r="G790" i="14"/>
  <c r="F643" i="26"/>
  <c r="F412" i="29"/>
  <c r="F415" i="29"/>
  <c r="I113" i="8"/>
  <c r="M749" i="14"/>
  <c r="N749" i="14" s="1"/>
  <c r="G603" i="26"/>
  <c r="J603" i="26" s="1"/>
  <c r="H603" i="26"/>
  <c r="E228" i="28" s="1"/>
  <c r="G608" i="26"/>
  <c r="J608" i="26" s="1"/>
  <c r="H608" i="26"/>
  <c r="G757" i="14"/>
  <c r="F642" i="26"/>
  <c r="F410" i="29"/>
  <c r="F413" i="29"/>
  <c r="I112" i="8"/>
  <c r="M716" i="14"/>
  <c r="N716" i="14" s="1"/>
  <c r="G602" i="26"/>
  <c r="J602" i="26" s="1"/>
  <c r="H602" i="26"/>
  <c r="E227" i="28" s="1"/>
  <c r="G607" i="26"/>
  <c r="J607" i="26" s="1"/>
  <c r="H607" i="26"/>
  <c r="G724" i="14"/>
  <c r="D45" i="16"/>
  <c r="F641" i="26"/>
  <c r="F408" i="29"/>
  <c r="F411" i="29"/>
  <c r="I111" i="8"/>
  <c r="M683" i="14"/>
  <c r="N683" i="14" s="1"/>
  <c r="G606" i="26"/>
  <c r="J606" i="26" s="1"/>
  <c r="H606" i="26"/>
  <c r="G601" i="26"/>
  <c r="J601" i="26" s="1"/>
  <c r="H601" i="26"/>
  <c r="E226" i="28" s="1"/>
  <c r="G691" i="14"/>
  <c r="C45" i="16"/>
  <c r="E45" i="16" s="1"/>
  <c r="F409" i="29"/>
  <c r="N747" i="21"/>
  <c r="K747" i="21"/>
  <c r="N743" i="21"/>
  <c r="K743" i="21"/>
  <c r="N751" i="21"/>
  <c r="K751" i="21"/>
  <c r="N755" i="21"/>
  <c r="K755" i="21"/>
  <c r="I60" i="8"/>
  <c r="M806" i="14"/>
  <c r="E489" i="2"/>
  <c r="M489" i="2" s="1"/>
  <c r="H803" i="14"/>
  <c r="H806" i="14"/>
  <c r="N806" i="14"/>
  <c r="N699" i="21"/>
  <c r="K699" i="21"/>
  <c r="I42" i="8"/>
  <c r="M803" i="14"/>
  <c r="N803" i="14" s="1"/>
  <c r="H810" i="14"/>
  <c r="G580" i="26"/>
  <c r="J580" i="26" s="1"/>
  <c r="H580" i="26"/>
  <c r="E415" i="28" s="1"/>
  <c r="N703" i="21"/>
  <c r="K703" i="21"/>
  <c r="N707" i="21"/>
  <c r="K707" i="21"/>
  <c r="I84" i="8"/>
  <c r="M810" i="14"/>
  <c r="N810" i="14" s="1"/>
  <c r="H809" i="14"/>
  <c r="I78" i="8"/>
  <c r="M809" i="14"/>
  <c r="N809" i="14" s="1"/>
  <c r="E504" i="2"/>
  <c r="M504" i="2" s="1"/>
  <c r="N695" i="21"/>
  <c r="K695" i="21"/>
  <c r="H770" i="14"/>
  <c r="I77" i="8"/>
  <c r="M776" i="14"/>
  <c r="E503" i="2"/>
  <c r="M503" i="2" s="1"/>
  <c r="I41" i="8"/>
  <c r="M770" i="14"/>
  <c r="N770" i="14" s="1"/>
  <c r="I59" i="8"/>
  <c r="M773" i="14"/>
  <c r="E488" i="2"/>
  <c r="M488" i="2" s="1"/>
  <c r="I83" i="8"/>
  <c r="M777" i="14"/>
  <c r="G579" i="26"/>
  <c r="J579" i="26" s="1"/>
  <c r="H579" i="26"/>
  <c r="E414" i="28" s="1"/>
  <c r="N659" i="21"/>
  <c r="K659" i="21"/>
  <c r="N655" i="21"/>
  <c r="K655" i="21"/>
  <c r="N651" i="21"/>
  <c r="K651" i="21"/>
  <c r="H777" i="14"/>
  <c r="N777" i="14"/>
  <c r="H776" i="14"/>
  <c r="N776" i="14"/>
  <c r="N647" i="21"/>
  <c r="K647" i="21"/>
  <c r="H773" i="14"/>
  <c r="N773" i="14"/>
  <c r="I82" i="8"/>
  <c r="M744" i="14"/>
  <c r="N607" i="21"/>
  <c r="K607" i="21"/>
  <c r="N603" i="21"/>
  <c r="K603" i="21"/>
  <c r="I58" i="8"/>
  <c r="M740" i="14"/>
  <c r="E487" i="2"/>
  <c r="M487" i="2" s="1"/>
  <c r="I40" i="8"/>
  <c r="M737" i="14"/>
  <c r="N737" i="14"/>
  <c r="H737" i="14"/>
  <c r="H740" i="14"/>
  <c r="N740" i="14"/>
  <c r="K788" i="21"/>
  <c r="N788" i="21"/>
  <c r="G578" i="26"/>
  <c r="J578" i="26" s="1"/>
  <c r="H578" i="26"/>
  <c r="E413" i="28" s="1"/>
  <c r="N599" i="21"/>
  <c r="K599" i="21"/>
  <c r="I76" i="8"/>
  <c r="M743" i="14"/>
  <c r="E502" i="2"/>
  <c r="H743" i="14"/>
  <c r="N743" i="14"/>
  <c r="K791" i="21"/>
  <c r="N791" i="21"/>
  <c r="H744" i="14"/>
  <c r="N744" i="14"/>
  <c r="N611" i="21"/>
  <c r="K611" i="21"/>
  <c r="H710" i="14"/>
  <c r="H711" i="14"/>
  <c r="I57" i="8"/>
  <c r="M707" i="14"/>
  <c r="E486" i="2"/>
  <c r="M486" i="2" s="1"/>
  <c r="N563" i="21"/>
  <c r="K563" i="21"/>
  <c r="I75" i="8"/>
  <c r="M710" i="14"/>
  <c r="N710" i="14" s="1"/>
  <c r="E501" i="2"/>
  <c r="M501" i="2" s="1"/>
  <c r="I81" i="8"/>
  <c r="M711" i="14"/>
  <c r="N711" i="14" s="1"/>
  <c r="H707" i="14"/>
  <c r="N707" i="14"/>
  <c r="N559" i="21"/>
  <c r="K559" i="21"/>
  <c r="I39" i="8"/>
  <c r="M704" i="14"/>
  <c r="G577" i="26"/>
  <c r="J577" i="26" s="1"/>
  <c r="H577" i="26"/>
  <c r="E412" i="28" s="1"/>
  <c r="N555" i="21"/>
  <c r="K555" i="21"/>
  <c r="N704" i="14"/>
  <c r="H704" i="14"/>
  <c r="N551" i="21"/>
  <c r="K551" i="21"/>
  <c r="G576" i="26"/>
  <c r="J576" i="26" s="1"/>
  <c r="H576" i="26"/>
  <c r="E411" i="28" s="1"/>
  <c r="H671" i="14"/>
  <c r="I56" i="8"/>
  <c r="M674" i="14"/>
  <c r="E485" i="2"/>
  <c r="M485" i="2" s="1"/>
  <c r="H677" i="14"/>
  <c r="I38" i="8"/>
  <c r="M671" i="14"/>
  <c r="N671" i="14" s="1"/>
  <c r="H678" i="14"/>
  <c r="H674" i="14"/>
  <c r="N674" i="14"/>
  <c r="I80" i="8"/>
  <c r="M678" i="14"/>
  <c r="N678" i="14" s="1"/>
  <c r="I74" i="8"/>
  <c r="M677" i="14"/>
  <c r="N677" i="14" s="1"/>
  <c r="E500" i="2"/>
  <c r="M500" i="2" s="1"/>
  <c r="I17" i="8"/>
  <c r="M799" i="14"/>
  <c r="N799" i="14" s="1"/>
  <c r="E479" i="2"/>
  <c r="M479" i="2" s="1"/>
  <c r="H800" i="14"/>
  <c r="I11" i="8"/>
  <c r="M798" i="14"/>
  <c r="N798" i="14" s="1"/>
  <c r="E474" i="2"/>
  <c r="M474" i="2" s="1"/>
  <c r="I23" i="8"/>
  <c r="M800" i="14"/>
  <c r="N800" i="14" s="1"/>
  <c r="E484" i="2"/>
  <c r="M484" i="2" s="1"/>
  <c r="K759" i="21"/>
  <c r="N759" i="21"/>
  <c r="K758" i="21"/>
  <c r="N758" i="21"/>
  <c r="I22" i="8"/>
  <c r="M767" i="14"/>
  <c r="E483" i="2"/>
  <c r="M483" i="2" s="1"/>
  <c r="I10" i="8"/>
  <c r="M765" i="14"/>
  <c r="N765" i="14" s="1"/>
  <c r="E473" i="2"/>
  <c r="M473" i="2" s="1"/>
  <c r="K760" i="21"/>
  <c r="N760" i="21"/>
  <c r="K757" i="21"/>
  <c r="N757" i="21"/>
  <c r="N767" i="14"/>
  <c r="H767" i="14"/>
  <c r="I16" i="8"/>
  <c r="M766" i="14"/>
  <c r="N766" i="14" s="1"/>
  <c r="E478" i="2"/>
  <c r="M478" i="2" s="1"/>
  <c r="H734" i="14"/>
  <c r="I9" i="8"/>
  <c r="M732" i="14"/>
  <c r="E472" i="2"/>
  <c r="M472" i="2" s="1"/>
  <c r="I15" i="8"/>
  <c r="M733" i="14"/>
  <c r="N733" i="14" s="1"/>
  <c r="E477" i="2"/>
  <c r="M477" i="2" s="1"/>
  <c r="I21" i="8"/>
  <c r="M734" i="14"/>
  <c r="N734" i="14" s="1"/>
  <c r="E482" i="2"/>
  <c r="M482" i="2" s="1"/>
  <c r="K712" i="21"/>
  <c r="N712" i="21"/>
  <c r="K711" i="21"/>
  <c r="N711" i="21"/>
  <c r="K710" i="21"/>
  <c r="N710" i="21"/>
  <c r="K709" i="21"/>
  <c r="N709" i="21"/>
  <c r="I8" i="8"/>
  <c r="M699" i="14"/>
  <c r="E471" i="2"/>
  <c r="M471" i="2" s="1"/>
  <c r="K664" i="21"/>
  <c r="N664" i="21"/>
  <c r="I20" i="8"/>
  <c r="M701" i="14"/>
  <c r="E481" i="2"/>
  <c r="M481" i="2" s="1"/>
  <c r="K663" i="21"/>
  <c r="N663" i="21"/>
  <c r="I14" i="8"/>
  <c r="M700" i="14"/>
  <c r="E476" i="2"/>
  <c r="M476" i="2" s="1"/>
  <c r="K662" i="21"/>
  <c r="N662" i="21"/>
  <c r="K661" i="21"/>
  <c r="N661" i="21"/>
  <c r="N701" i="14"/>
  <c r="H701" i="14"/>
  <c r="K614" i="21"/>
  <c r="N614" i="21"/>
  <c r="K615" i="21"/>
  <c r="N615" i="21"/>
  <c r="I13" i="8"/>
  <c r="M667" i="14"/>
  <c r="E475" i="2"/>
  <c r="M475" i="2" s="1"/>
  <c r="K616" i="21"/>
  <c r="N616" i="21"/>
  <c r="I19" i="8"/>
  <c r="M668" i="14"/>
  <c r="E480" i="2"/>
  <c r="M480" i="2" s="1"/>
  <c r="N668" i="14"/>
  <c r="H668" i="14"/>
  <c r="I7" i="8"/>
  <c r="M666" i="14"/>
  <c r="E470" i="2"/>
  <c r="M470" i="2" s="1"/>
  <c r="K613" i="21"/>
  <c r="N613" i="21"/>
  <c r="K565" i="21"/>
  <c r="N565" i="21"/>
  <c r="K566" i="21"/>
  <c r="N566" i="21"/>
  <c r="K567" i="21"/>
  <c r="N567" i="21"/>
  <c r="K568" i="21"/>
  <c r="N568" i="21"/>
  <c r="G598" i="26"/>
  <c r="J598" i="26" s="1"/>
  <c r="H598" i="26"/>
  <c r="G597" i="26"/>
  <c r="J597" i="26" s="1"/>
  <c r="H597" i="26"/>
  <c r="G596" i="26"/>
  <c r="J596" i="26" s="1"/>
  <c r="H596" i="26"/>
  <c r="H826" i="14"/>
  <c r="I183" i="8"/>
  <c r="P30" i="11"/>
  <c r="M826" i="14"/>
  <c r="N826" i="14" s="1"/>
  <c r="E534" i="2"/>
  <c r="M534" i="2" s="1"/>
  <c r="G660" i="26"/>
  <c r="J660" i="26" s="1"/>
  <c r="H660" i="26"/>
  <c r="E210" i="28" s="1"/>
  <c r="I109" i="8"/>
  <c r="M814" i="14"/>
  <c r="E259" i="2"/>
  <c r="M259" i="2" s="1"/>
  <c r="G659" i="26"/>
  <c r="J659" i="26" s="1"/>
  <c r="H659" i="26"/>
  <c r="E209" i="28" s="1"/>
  <c r="P29" i="11"/>
  <c r="I182" i="8"/>
  <c r="M793" i="14"/>
  <c r="E533" i="2"/>
  <c r="M533" i="2" s="1"/>
  <c r="I108" i="8"/>
  <c r="M781" i="14"/>
  <c r="E258" i="2"/>
  <c r="M258" i="2" s="1"/>
  <c r="N793" i="14"/>
  <c r="H793" i="14"/>
  <c r="H760" i="14"/>
  <c r="I107" i="8"/>
  <c r="M748" i="14"/>
  <c r="E257" i="2"/>
  <c r="M257" i="2" s="1"/>
  <c r="G658" i="26"/>
  <c r="J658" i="26" s="1"/>
  <c r="H658" i="26"/>
  <c r="E208" i="28" s="1"/>
  <c r="I181" i="8"/>
  <c r="P28" i="11"/>
  <c r="M760" i="14"/>
  <c r="N760" i="14" s="1"/>
  <c r="E532" i="2"/>
  <c r="M532" i="2" s="1"/>
  <c r="H727" i="14"/>
  <c r="I106" i="8"/>
  <c r="M715" i="14"/>
  <c r="E256" i="2"/>
  <c r="M256" i="2" s="1"/>
  <c r="P27" i="11"/>
  <c r="I180" i="8"/>
  <c r="M727" i="14"/>
  <c r="N727" i="14" s="1"/>
  <c r="E531" i="2"/>
  <c r="M531" i="2" s="1"/>
  <c r="G657" i="26"/>
  <c r="J657" i="26" s="1"/>
  <c r="H657" i="26"/>
  <c r="E207" i="28" s="1"/>
  <c r="I179" i="8"/>
  <c r="P26" i="11"/>
  <c r="M694" i="14"/>
  <c r="E530" i="2"/>
  <c r="M530" i="2" s="1"/>
  <c r="I105" i="8"/>
  <c r="M682" i="14"/>
  <c r="E255" i="2"/>
  <c r="M255" i="2" s="1"/>
  <c r="G656" i="26"/>
  <c r="J656" i="26" s="1"/>
  <c r="H656" i="26"/>
  <c r="E206" i="28" s="1"/>
  <c r="N694" i="14"/>
  <c r="H694" i="14"/>
  <c r="G550" i="26"/>
  <c r="J550" i="26" s="1"/>
  <c r="H550" i="26"/>
  <c r="E400" i="28" s="1"/>
  <c r="G555" i="26"/>
  <c r="J555" i="26" s="1"/>
  <c r="H555" i="26"/>
  <c r="E405" i="28" s="1"/>
  <c r="G565" i="26"/>
  <c r="J565" i="26" s="1"/>
  <c r="H565" i="26"/>
  <c r="H142" i="7"/>
  <c r="F802" i="14"/>
  <c r="I29" i="8"/>
  <c r="M801" i="14"/>
  <c r="H801" i="14"/>
  <c r="N801" i="14"/>
  <c r="H768" i="14"/>
  <c r="G142" i="7"/>
  <c r="F769" i="14"/>
  <c r="G549" i="26"/>
  <c r="J549" i="26" s="1"/>
  <c r="H549" i="26"/>
  <c r="E399" i="28" s="1"/>
  <c r="G554" i="26"/>
  <c r="J554" i="26" s="1"/>
  <c r="H554" i="26"/>
  <c r="E404" i="28" s="1"/>
  <c r="G564" i="26"/>
  <c r="J564" i="26" s="1"/>
  <c r="H564" i="26"/>
  <c r="I28" i="8"/>
  <c r="M768" i="14"/>
  <c r="N768" i="14" s="1"/>
  <c r="F142" i="7"/>
  <c r="F736" i="14"/>
  <c r="G548" i="26"/>
  <c r="J548" i="26" s="1"/>
  <c r="H548" i="26"/>
  <c r="E398" i="28" s="1"/>
  <c r="G563" i="26"/>
  <c r="J563" i="26" s="1"/>
  <c r="H563" i="26"/>
  <c r="I27" i="8"/>
  <c r="M735" i="14"/>
  <c r="G553" i="26"/>
  <c r="J553" i="26" s="1"/>
  <c r="H553" i="26"/>
  <c r="E403" i="28" s="1"/>
  <c r="H735" i="14"/>
  <c r="N735" i="14"/>
  <c r="G562" i="26"/>
  <c r="J562" i="26" s="1"/>
  <c r="H562" i="26"/>
  <c r="H702" i="14"/>
  <c r="G552" i="26"/>
  <c r="J552" i="26" s="1"/>
  <c r="H552" i="26"/>
  <c r="E402" i="28" s="1"/>
  <c r="E142" i="7"/>
  <c r="F703" i="14"/>
  <c r="I26" i="8"/>
  <c r="M702" i="14"/>
  <c r="N702" i="14" s="1"/>
  <c r="G547" i="26"/>
  <c r="J547" i="26" s="1"/>
  <c r="H547" i="26"/>
  <c r="E397" i="28" s="1"/>
  <c r="D142" i="7"/>
  <c r="F670" i="14"/>
  <c r="I25" i="8"/>
  <c r="M669" i="14"/>
  <c r="G551" i="26"/>
  <c r="J551" i="26" s="1"/>
  <c r="H551" i="26"/>
  <c r="E401" i="28" s="1"/>
  <c r="G561" i="26"/>
  <c r="J561" i="26" s="1"/>
  <c r="H561" i="26"/>
  <c r="G546" i="26"/>
  <c r="J546" i="26" s="1"/>
  <c r="H546" i="26"/>
  <c r="E396" i="28" s="1"/>
  <c r="H669" i="14"/>
  <c r="N669" i="14"/>
  <c r="H71" i="7"/>
  <c r="H79" i="7"/>
  <c r="J41" i="9" s="1"/>
  <c r="H80" i="7"/>
  <c r="J42" i="9" s="1"/>
  <c r="H155" i="7"/>
  <c r="H158" i="7"/>
  <c r="H193" i="7"/>
  <c r="H194" i="7"/>
  <c r="H195" i="7"/>
  <c r="H196" i="7"/>
  <c r="H197" i="7"/>
  <c r="H198" i="7"/>
  <c r="H199" i="7"/>
  <c r="H200" i="7"/>
  <c r="H201" i="7"/>
  <c r="H202" i="7"/>
  <c r="H203" i="7"/>
  <c r="H204" i="7"/>
  <c r="H205" i="7"/>
  <c r="H206" i="7"/>
  <c r="H207" i="7"/>
  <c r="H235" i="7"/>
  <c r="H41" i="9"/>
  <c r="H42" i="9"/>
  <c r="G813" i="14"/>
  <c r="G816" i="14"/>
  <c r="H961" i="21"/>
  <c r="H972" i="21"/>
  <c r="H983" i="21"/>
  <c r="H994" i="21"/>
  <c r="H1005" i="21"/>
  <c r="H1185" i="21"/>
  <c r="I1185" i="21" s="1"/>
  <c r="H1196" i="21"/>
  <c r="H1207" i="21"/>
  <c r="H1218" i="21"/>
  <c r="H1229" i="21"/>
  <c r="D223" i="24"/>
  <c r="F223" i="24" s="1"/>
  <c r="D224" i="24"/>
  <c r="F224" i="24" s="1"/>
  <c r="F595" i="26"/>
  <c r="F600" i="26"/>
  <c r="F635" i="26"/>
  <c r="F650" i="26"/>
  <c r="F304" i="29"/>
  <c r="G304" i="29" s="1"/>
  <c r="I304" i="29" s="1"/>
  <c r="F326" i="29"/>
  <c r="F426" i="29"/>
  <c r="F509" i="2"/>
  <c r="N967" i="21"/>
  <c r="K967" i="21"/>
  <c r="N1191" i="21"/>
  <c r="K1191" i="21"/>
  <c r="G71" i="7"/>
  <c r="G79" i="7"/>
  <c r="I41" i="9" s="1"/>
  <c r="G80" i="7"/>
  <c r="I42" i="9" s="1"/>
  <c r="H152" i="7"/>
  <c r="G155" i="7"/>
  <c r="G158" i="7"/>
  <c r="G193" i="7"/>
  <c r="G194" i="7"/>
  <c r="G195" i="7"/>
  <c r="G196" i="7"/>
  <c r="G197" i="7"/>
  <c r="G198" i="7"/>
  <c r="G199" i="7"/>
  <c r="G200" i="7"/>
  <c r="G201" i="7"/>
  <c r="G202" i="7"/>
  <c r="G203" i="7"/>
  <c r="G204" i="7"/>
  <c r="G205" i="7"/>
  <c r="G206" i="7"/>
  <c r="G207" i="7"/>
  <c r="G235" i="7"/>
  <c r="H236" i="7"/>
  <c r="G41" i="9"/>
  <c r="G42" i="9"/>
  <c r="J46" i="9"/>
  <c r="G780" i="14"/>
  <c r="G783" i="14"/>
  <c r="G811" i="14"/>
  <c r="G821" i="14"/>
  <c r="G824" i="14"/>
  <c r="H72" i="20"/>
  <c r="H905" i="21"/>
  <c r="H916" i="21"/>
  <c r="H927" i="21"/>
  <c r="H938" i="21"/>
  <c r="H949" i="21"/>
  <c r="H960" i="21"/>
  <c r="I960" i="21" s="1"/>
  <c r="H962" i="21"/>
  <c r="I962" i="21" s="1"/>
  <c r="H973" i="21"/>
  <c r="H984" i="21"/>
  <c r="H995" i="21"/>
  <c r="H1006" i="21"/>
  <c r="H1129" i="21"/>
  <c r="I1129" i="21" s="1"/>
  <c r="H1140" i="21"/>
  <c r="H1151" i="21"/>
  <c r="H1162" i="21"/>
  <c r="H1173" i="21"/>
  <c r="H1186" i="21"/>
  <c r="I1186" i="21" s="1"/>
  <c r="H1197" i="21"/>
  <c r="H1208" i="21"/>
  <c r="H1219" i="21"/>
  <c r="H1230" i="21"/>
  <c r="D215" i="24"/>
  <c r="F215" i="24" s="1"/>
  <c r="D216" i="24"/>
  <c r="F216" i="24" s="1"/>
  <c r="F594" i="26"/>
  <c r="F599" i="26"/>
  <c r="F634" i="26"/>
  <c r="F649" i="26"/>
  <c r="F302" i="29"/>
  <c r="G302" i="29" s="1"/>
  <c r="I302" i="29" s="1"/>
  <c r="F305" i="29"/>
  <c r="G305" i="29" s="1"/>
  <c r="I305" i="29" s="1"/>
  <c r="F327" i="29"/>
  <c r="F424" i="29"/>
  <c r="F427" i="29"/>
  <c r="F508" i="2"/>
  <c r="N968" i="21"/>
  <c r="K968" i="21"/>
  <c r="N911" i="21"/>
  <c r="K911" i="21"/>
  <c r="N1192" i="21"/>
  <c r="K1192" i="21"/>
  <c r="N1135" i="21"/>
  <c r="K1135" i="21"/>
  <c r="N1079" i="21"/>
  <c r="K1079" i="21"/>
  <c r="N912" i="21"/>
  <c r="K912" i="21"/>
  <c r="N855" i="21"/>
  <c r="K855" i="21"/>
  <c r="F71" i="7"/>
  <c r="F79" i="7"/>
  <c r="F80" i="7"/>
  <c r="G152" i="7"/>
  <c r="F155" i="7"/>
  <c r="F158" i="7"/>
  <c r="F193" i="7"/>
  <c r="F194" i="7"/>
  <c r="F195" i="7"/>
  <c r="F196" i="7"/>
  <c r="F197" i="7"/>
  <c r="F198" i="7"/>
  <c r="F199" i="7"/>
  <c r="F200" i="7"/>
  <c r="F201" i="7"/>
  <c r="F202" i="7"/>
  <c r="F203" i="7"/>
  <c r="F204" i="7"/>
  <c r="F205" i="7"/>
  <c r="F206" i="7"/>
  <c r="F207" i="7"/>
  <c r="F235" i="7"/>
  <c r="G236" i="7"/>
  <c r="F41" i="9"/>
  <c r="F42" i="9"/>
  <c r="I46" i="9"/>
  <c r="G747" i="14"/>
  <c r="G750" i="14"/>
  <c r="G778" i="14"/>
  <c r="G788" i="14"/>
  <c r="G791" i="14"/>
  <c r="H71" i="20"/>
  <c r="H849" i="21"/>
  <c r="H860" i="21"/>
  <c r="H871" i="21"/>
  <c r="H882" i="21"/>
  <c r="H893" i="21"/>
  <c r="H904" i="21"/>
  <c r="I904" i="21" s="1"/>
  <c r="H906" i="21"/>
  <c r="I906" i="21" s="1"/>
  <c r="H917" i="21"/>
  <c r="H928" i="21"/>
  <c r="H939" i="21"/>
  <c r="H950" i="21"/>
  <c r="H1073" i="21"/>
  <c r="I1073" i="21" s="1"/>
  <c r="H1084" i="21"/>
  <c r="H1095" i="21"/>
  <c r="H1106" i="21"/>
  <c r="H1117" i="21"/>
  <c r="H1130" i="21"/>
  <c r="I1130" i="21" s="1"/>
  <c r="H1141" i="21"/>
  <c r="H1152" i="21"/>
  <c r="H1163" i="21"/>
  <c r="H1174" i="21"/>
  <c r="D207" i="24"/>
  <c r="F207" i="24" s="1"/>
  <c r="D208" i="24"/>
  <c r="F208" i="24" s="1"/>
  <c r="F593" i="26"/>
  <c r="F598" i="26"/>
  <c r="F633" i="26"/>
  <c r="F648" i="26"/>
  <c r="F300" i="29"/>
  <c r="G300" i="29" s="1"/>
  <c r="I300" i="29" s="1"/>
  <c r="F303" i="29"/>
  <c r="G303" i="29" s="1"/>
  <c r="I303" i="29" s="1"/>
  <c r="F422" i="29"/>
  <c r="F425" i="29"/>
  <c r="F507" i="2"/>
  <c r="N1136" i="21"/>
  <c r="K1136" i="21"/>
  <c r="N856" i="21"/>
  <c r="K856" i="21"/>
  <c r="E71" i="7"/>
  <c r="E79" i="7"/>
  <c r="E80" i="7"/>
  <c r="F152" i="7"/>
  <c r="E155" i="7"/>
  <c r="E158" i="7"/>
  <c r="E193" i="7"/>
  <c r="E194" i="7"/>
  <c r="E195" i="7"/>
  <c r="E196" i="7"/>
  <c r="E197" i="7"/>
  <c r="E198" i="7"/>
  <c r="E199" i="7"/>
  <c r="E200" i="7"/>
  <c r="E201" i="7"/>
  <c r="E202" i="7"/>
  <c r="E203" i="7"/>
  <c r="E204" i="7"/>
  <c r="E205" i="7"/>
  <c r="E206" i="7"/>
  <c r="E207" i="7"/>
  <c r="E235" i="7"/>
  <c r="F236" i="7"/>
  <c r="E41" i="9"/>
  <c r="E42" i="9"/>
  <c r="G714" i="14"/>
  <c r="G717" i="14"/>
  <c r="G745" i="14"/>
  <c r="G755" i="14"/>
  <c r="G758" i="14"/>
  <c r="H70" i="20"/>
  <c r="H793" i="21"/>
  <c r="H804" i="21"/>
  <c r="H815" i="21"/>
  <c r="H826" i="21"/>
  <c r="H837" i="21"/>
  <c r="H848" i="21"/>
  <c r="I848" i="21" s="1"/>
  <c r="H850" i="21"/>
  <c r="I850" i="21" s="1"/>
  <c r="H861" i="21"/>
  <c r="H872" i="21"/>
  <c r="H883" i="21"/>
  <c r="H894" i="21"/>
  <c r="H1017" i="21"/>
  <c r="I1017" i="21" s="1"/>
  <c r="H1028" i="21"/>
  <c r="H1039" i="21"/>
  <c r="H1050" i="21"/>
  <c r="H1061" i="21"/>
  <c r="H1074" i="21"/>
  <c r="I1074" i="21" s="1"/>
  <c r="H1085" i="21"/>
  <c r="H1096" i="21"/>
  <c r="H1107" i="21"/>
  <c r="H1118" i="21"/>
  <c r="D199" i="24"/>
  <c r="F199" i="24" s="1"/>
  <c r="D200" i="24"/>
  <c r="F200" i="24" s="1"/>
  <c r="F592" i="26"/>
  <c r="F597" i="26"/>
  <c r="F632" i="26"/>
  <c r="F647" i="26"/>
  <c r="F298" i="29"/>
  <c r="G298" i="29" s="1"/>
  <c r="I298" i="29" s="1"/>
  <c r="F301" i="29"/>
  <c r="G301" i="29" s="1"/>
  <c r="I301" i="29" s="1"/>
  <c r="F420" i="29"/>
  <c r="F423" i="29"/>
  <c r="F506" i="2"/>
  <c r="N799" i="21"/>
  <c r="K799" i="21"/>
  <c r="N1080" i="21"/>
  <c r="K1080" i="21"/>
  <c r="N1023" i="21"/>
  <c r="K1023" i="21"/>
  <c r="N1024" i="21"/>
  <c r="K1024" i="21"/>
  <c r="N800" i="21"/>
  <c r="K800" i="21"/>
  <c r="N1412" i="21"/>
  <c r="K1412" i="21"/>
  <c r="D71" i="7"/>
  <c r="D79" i="7"/>
  <c r="D80" i="7"/>
  <c r="E152" i="7"/>
  <c r="D155" i="7"/>
  <c r="D158" i="7"/>
  <c r="D193" i="7"/>
  <c r="D194" i="7"/>
  <c r="D195" i="7"/>
  <c r="D196" i="7"/>
  <c r="D197" i="7"/>
  <c r="D198" i="7"/>
  <c r="D199" i="7"/>
  <c r="D200" i="7"/>
  <c r="D201" i="7"/>
  <c r="D202" i="7"/>
  <c r="D203" i="7"/>
  <c r="D204" i="7"/>
  <c r="D205" i="7"/>
  <c r="D206" i="7"/>
  <c r="D207" i="7"/>
  <c r="D235" i="7"/>
  <c r="E236" i="7"/>
  <c r="D41" i="9"/>
  <c r="D42" i="9"/>
  <c r="G681" i="14"/>
  <c r="G684" i="14"/>
  <c r="G712" i="14"/>
  <c r="G722" i="14"/>
  <c r="G725" i="14"/>
  <c r="H69" i="20"/>
  <c r="H792" i="21"/>
  <c r="I792" i="21" s="1"/>
  <c r="H794" i="21"/>
  <c r="I794" i="21" s="1"/>
  <c r="H805" i="21"/>
  <c r="H816" i="21"/>
  <c r="H827" i="21"/>
  <c r="H838" i="21"/>
  <c r="H1018" i="21"/>
  <c r="I1018" i="21" s="1"/>
  <c r="H1029" i="21"/>
  <c r="H1040" i="21"/>
  <c r="H1051" i="21"/>
  <c r="H1062" i="21"/>
  <c r="H1406" i="21"/>
  <c r="I1406" i="21" s="1"/>
  <c r="H1416" i="21"/>
  <c r="H1426" i="21"/>
  <c r="H1436" i="21"/>
  <c r="H1446" i="21"/>
  <c r="H1457" i="21"/>
  <c r="I1457" i="21" s="1"/>
  <c r="H1467" i="21"/>
  <c r="H1477" i="21"/>
  <c r="H1487" i="21"/>
  <c r="H1497" i="21"/>
  <c r="D191" i="24"/>
  <c r="F191" i="24" s="1"/>
  <c r="D192" i="24"/>
  <c r="F192" i="24" s="1"/>
  <c r="D42" i="16"/>
  <c r="F591" i="26"/>
  <c r="F596" i="26"/>
  <c r="F631" i="26"/>
  <c r="F646" i="26"/>
  <c r="F296" i="29"/>
  <c r="G296" i="29" s="1"/>
  <c r="I296" i="29" s="1"/>
  <c r="F299" i="29"/>
  <c r="G299" i="29" s="1"/>
  <c r="I299" i="29" s="1"/>
  <c r="F418" i="29"/>
  <c r="F421" i="29"/>
  <c r="F505" i="2"/>
  <c r="N1463" i="21"/>
  <c r="K1463" i="21"/>
  <c r="C71" i="7"/>
  <c r="C79" i="7"/>
  <c r="C80" i="7"/>
  <c r="D152" i="7"/>
  <c r="C193" i="7"/>
  <c r="C194" i="7"/>
  <c r="C195" i="7"/>
  <c r="C196" i="7"/>
  <c r="C197" i="7"/>
  <c r="C198" i="7"/>
  <c r="C199" i="7"/>
  <c r="C200" i="7"/>
  <c r="C201" i="7"/>
  <c r="C202" i="7"/>
  <c r="C203" i="7"/>
  <c r="C204" i="7"/>
  <c r="C205" i="7"/>
  <c r="C206" i="7"/>
  <c r="C207" i="7"/>
  <c r="D236" i="7"/>
  <c r="C41" i="9"/>
  <c r="C42" i="9"/>
  <c r="G679" i="14"/>
  <c r="G689" i="14"/>
  <c r="G692" i="14"/>
  <c r="H1405" i="21"/>
  <c r="I1405" i="21" s="1"/>
  <c r="H1407" i="21"/>
  <c r="I1407" i="21" s="1"/>
  <c r="H1417" i="21"/>
  <c r="H1427" i="21"/>
  <c r="H1437" i="21"/>
  <c r="H1447" i="21"/>
  <c r="H1458" i="21"/>
  <c r="I1458" i="21" s="1"/>
  <c r="H1468" i="21"/>
  <c r="H1478" i="21"/>
  <c r="H1488" i="21"/>
  <c r="H1498" i="21"/>
  <c r="D186" i="24"/>
  <c r="F186" i="24" s="1"/>
  <c r="D187" i="24"/>
  <c r="F187" i="24" s="1"/>
  <c r="C42" i="16"/>
  <c r="E42" i="16" s="1"/>
  <c r="F297" i="29"/>
  <c r="G297" i="29" s="1"/>
  <c r="I297" i="29" s="1"/>
  <c r="F419" i="29"/>
  <c r="N1413" i="21"/>
  <c r="K1413" i="21"/>
  <c r="N1464" i="21"/>
  <c r="K1464" i="21"/>
  <c r="N965" i="21"/>
  <c r="K965" i="21"/>
  <c r="N1189" i="21"/>
  <c r="K1189" i="21"/>
  <c r="N966" i="21"/>
  <c r="K966" i="21"/>
  <c r="N1184" i="21"/>
  <c r="K1184" i="21"/>
  <c r="N1190" i="21"/>
  <c r="K1190" i="21"/>
  <c r="I96" i="8"/>
  <c r="M812" i="14"/>
  <c r="E514" i="2"/>
  <c r="N812" i="14"/>
  <c r="H812" i="14"/>
  <c r="N1133" i="21"/>
  <c r="K1133" i="21"/>
  <c r="N909" i="21"/>
  <c r="K909" i="21"/>
  <c r="N910" i="21"/>
  <c r="K910" i="21"/>
  <c r="N1077" i="21"/>
  <c r="K1077" i="21"/>
  <c r="H779" i="14"/>
  <c r="N853" i="21"/>
  <c r="K853" i="21"/>
  <c r="N1128" i="21"/>
  <c r="K1128" i="21"/>
  <c r="N1134" i="21"/>
  <c r="K1134" i="21"/>
  <c r="I95" i="8"/>
  <c r="M779" i="14"/>
  <c r="N779" i="14" s="1"/>
  <c r="E513" i="2"/>
  <c r="H746" i="14"/>
  <c r="N1078" i="21"/>
  <c r="K1078" i="21"/>
  <c r="N854" i="21"/>
  <c r="K854" i="21"/>
  <c r="N1021" i="21"/>
  <c r="K1021" i="21"/>
  <c r="N797" i="21"/>
  <c r="K797" i="21"/>
  <c r="I94" i="8"/>
  <c r="M746" i="14"/>
  <c r="N746" i="14" s="1"/>
  <c r="E512" i="2"/>
  <c r="N1072" i="21"/>
  <c r="K1072" i="21"/>
  <c r="N1461" i="21"/>
  <c r="K1461" i="21"/>
  <c r="N1410" i="21"/>
  <c r="K1410" i="21"/>
  <c r="H713" i="14"/>
  <c r="N798" i="21"/>
  <c r="K798" i="21"/>
  <c r="N1016" i="21"/>
  <c r="K1016" i="21"/>
  <c r="I93" i="8"/>
  <c r="M713" i="14"/>
  <c r="N713" i="14" s="1"/>
  <c r="E511" i="2"/>
  <c r="N1022" i="21"/>
  <c r="K1022" i="21"/>
  <c r="H680" i="14"/>
  <c r="N1456" i="21"/>
  <c r="K1456" i="21"/>
  <c r="N1462" i="21"/>
  <c r="K1462" i="21"/>
  <c r="I92" i="8"/>
  <c r="M680" i="14"/>
  <c r="N680" i="14" s="1"/>
  <c r="E510" i="2"/>
  <c r="M510" i="2" s="1"/>
  <c r="N1411" i="21"/>
  <c r="K1411" i="21"/>
  <c r="M660" i="14"/>
  <c r="N660" i="14" s="1"/>
  <c r="H177" i="8"/>
  <c r="E449" i="2"/>
  <c r="M449" i="2" s="1"/>
  <c r="H176" i="8"/>
  <c r="M627" i="14"/>
  <c r="N627" i="14" s="1"/>
  <c r="E448" i="2"/>
  <c r="H175" i="8"/>
  <c r="M594" i="14"/>
  <c r="N594" i="14" s="1"/>
  <c r="E447" i="2"/>
  <c r="M447" i="2" s="1"/>
  <c r="H174" i="8"/>
  <c r="M561" i="14"/>
  <c r="N561" i="14" s="1"/>
  <c r="E446" i="2"/>
  <c r="M446" i="2" s="1"/>
  <c r="H173" i="8"/>
  <c r="M528" i="14"/>
  <c r="N528" i="14" s="1"/>
  <c r="E445" i="2"/>
  <c r="M445" i="2" s="1"/>
  <c r="H134" i="8"/>
  <c r="M653" i="14"/>
  <c r="E434" i="2"/>
  <c r="M434" i="2" s="1"/>
  <c r="N1648" i="21"/>
  <c r="K1648" i="21"/>
  <c r="H96" i="6"/>
  <c r="H162" i="6"/>
  <c r="H214" i="6"/>
  <c r="H227" i="6"/>
  <c r="F654" i="14"/>
  <c r="G485" i="26"/>
  <c r="J485" i="26" s="1"/>
  <c r="H485" i="26"/>
  <c r="E365" i="28" s="1"/>
  <c r="H653" i="14"/>
  <c r="N653" i="14"/>
  <c r="H434" i="2"/>
  <c r="N434" i="2"/>
  <c r="F365" i="28"/>
  <c r="G365" i="28" s="1"/>
  <c r="G484" i="26"/>
  <c r="J484" i="26" s="1"/>
  <c r="H484" i="26"/>
  <c r="E364" i="28" s="1"/>
  <c r="G96" i="6"/>
  <c r="G162" i="6"/>
  <c r="G214" i="6"/>
  <c r="G227" i="6"/>
  <c r="H228" i="6"/>
  <c r="F621" i="14"/>
  <c r="H620" i="14"/>
  <c r="H133" i="8"/>
  <c r="M620" i="14"/>
  <c r="N620" i="14" s="1"/>
  <c r="E433" i="2"/>
  <c r="M433" i="2" s="1"/>
  <c r="N1646" i="21"/>
  <c r="K1646" i="21"/>
  <c r="H433" i="2"/>
  <c r="N433" i="2"/>
  <c r="F364" i="28"/>
  <c r="G364" i="28" s="1"/>
  <c r="K1644" i="21"/>
  <c r="N1644" i="21"/>
  <c r="G483" i="26"/>
  <c r="J483" i="26" s="1"/>
  <c r="H483" i="26"/>
  <c r="E363" i="28" s="1"/>
  <c r="H132" i="8"/>
  <c r="M587" i="14"/>
  <c r="E432" i="2"/>
  <c r="M432" i="2" s="1"/>
  <c r="F96" i="6"/>
  <c r="F162" i="6"/>
  <c r="F214" i="6"/>
  <c r="F227" i="6"/>
  <c r="G228" i="6"/>
  <c r="F588" i="14"/>
  <c r="H587" i="14"/>
  <c r="N587" i="14"/>
  <c r="H432" i="2"/>
  <c r="N432" i="2"/>
  <c r="F363" i="28"/>
  <c r="G363" i="28" s="1"/>
  <c r="H554" i="14"/>
  <c r="G482" i="26"/>
  <c r="J482" i="26" s="1"/>
  <c r="H482" i="26"/>
  <c r="E362" i="28" s="1"/>
  <c r="K491" i="21"/>
  <c r="N491" i="21"/>
  <c r="E96" i="6"/>
  <c r="E162" i="6"/>
  <c r="E214" i="6"/>
  <c r="E227" i="6"/>
  <c r="F228" i="6"/>
  <c r="F555" i="14"/>
  <c r="H131" i="8"/>
  <c r="M554" i="14"/>
  <c r="N554" i="14" s="1"/>
  <c r="E431" i="2"/>
  <c r="H431" i="2"/>
  <c r="N431" i="2"/>
  <c r="H430" i="2"/>
  <c r="N430" i="2"/>
  <c r="H130" i="8"/>
  <c r="M521" i="14"/>
  <c r="E430" i="2"/>
  <c r="D96" i="6"/>
  <c r="D162" i="6"/>
  <c r="D214" i="6"/>
  <c r="D228" i="6"/>
  <c r="E228" i="6"/>
  <c r="F522" i="14"/>
  <c r="G481" i="26"/>
  <c r="J481" i="26" s="1"/>
  <c r="H481" i="26"/>
  <c r="E361" i="28" s="1"/>
  <c r="K489" i="21"/>
  <c r="N489" i="21"/>
  <c r="H521" i="14"/>
  <c r="N521" i="14"/>
  <c r="F510" i="26"/>
  <c r="F396" i="29"/>
  <c r="G470" i="26"/>
  <c r="J470" i="26" s="1"/>
  <c r="H470" i="26"/>
  <c r="E360" i="28" s="1"/>
  <c r="H115" i="8"/>
  <c r="M650" i="14"/>
  <c r="N650" i="14" s="1"/>
  <c r="G475" i="26"/>
  <c r="J475" i="26" s="1"/>
  <c r="H475" i="26"/>
  <c r="G469" i="26"/>
  <c r="J469" i="26" s="1"/>
  <c r="H469" i="26"/>
  <c r="E359" i="28" s="1"/>
  <c r="H114" i="8"/>
  <c r="M617" i="14"/>
  <c r="N617" i="14" s="1"/>
  <c r="G658" i="14"/>
  <c r="F509" i="26"/>
  <c r="F394" i="29"/>
  <c r="F397" i="29"/>
  <c r="G474" i="26"/>
  <c r="J474" i="26" s="1"/>
  <c r="H474" i="26"/>
  <c r="G625" i="14"/>
  <c r="F508" i="26"/>
  <c r="F392" i="29"/>
  <c r="F395" i="29"/>
  <c r="H113" i="8"/>
  <c r="M584" i="14"/>
  <c r="G473" i="26"/>
  <c r="J473" i="26" s="1"/>
  <c r="H473" i="26"/>
  <c r="G468" i="26"/>
  <c r="J468" i="26" s="1"/>
  <c r="H468" i="26"/>
  <c r="E358" i="28" s="1"/>
  <c r="G592" i="14"/>
  <c r="F507" i="26"/>
  <c r="F390" i="29"/>
  <c r="F393" i="29"/>
  <c r="G467" i="26"/>
  <c r="J467" i="26" s="1"/>
  <c r="H467" i="26"/>
  <c r="E357" i="28" s="1"/>
  <c r="H112" i="8"/>
  <c r="M551" i="14"/>
  <c r="G472" i="26"/>
  <c r="J472" i="26" s="1"/>
  <c r="H472" i="26"/>
  <c r="G559" i="14"/>
  <c r="D37" i="16"/>
  <c r="F506" i="26"/>
  <c r="F388" i="29"/>
  <c r="F391" i="29"/>
  <c r="G466" i="26"/>
  <c r="J466" i="26" s="1"/>
  <c r="H466" i="26"/>
  <c r="E356" i="28" s="1"/>
  <c r="H111" i="8"/>
  <c r="M518" i="14"/>
  <c r="G471" i="26"/>
  <c r="J471" i="26" s="1"/>
  <c r="H471" i="26"/>
  <c r="G526" i="14"/>
  <c r="C37" i="16"/>
  <c r="E37" i="16" s="1"/>
  <c r="F389" i="29"/>
  <c r="H78" i="8"/>
  <c r="M644" i="14"/>
  <c r="H60" i="8"/>
  <c r="M641" i="14"/>
  <c r="E194" i="2"/>
  <c r="M194" i="2" s="1"/>
  <c r="G445" i="26"/>
  <c r="J445" i="26" s="1"/>
  <c r="H445" i="26"/>
  <c r="E175" i="28" s="1"/>
  <c r="H644" i="14"/>
  <c r="N644" i="14"/>
  <c r="H641" i="14"/>
  <c r="N641" i="14"/>
  <c r="H645" i="14"/>
  <c r="N1640" i="21"/>
  <c r="K1640" i="21"/>
  <c r="H84" i="8"/>
  <c r="M645" i="14"/>
  <c r="N645" i="14" s="1"/>
  <c r="E424" i="2"/>
  <c r="M424" i="2" s="1"/>
  <c r="H638" i="14"/>
  <c r="H42" i="8"/>
  <c r="M638" i="14"/>
  <c r="N638" i="14" s="1"/>
  <c r="E409" i="2"/>
  <c r="M409" i="2" s="1"/>
  <c r="K1567" i="21"/>
  <c r="N1567" i="21"/>
  <c r="G444" i="26"/>
  <c r="J444" i="26" s="1"/>
  <c r="H444" i="26"/>
  <c r="E174" i="28" s="1"/>
  <c r="K485" i="21"/>
  <c r="N485" i="21"/>
  <c r="H83" i="8"/>
  <c r="M612" i="14"/>
  <c r="E423" i="2"/>
  <c r="H77" i="8"/>
  <c r="M611" i="14"/>
  <c r="H59" i="8"/>
  <c r="M608" i="14"/>
  <c r="E193" i="2"/>
  <c r="H41" i="8"/>
  <c r="M605" i="14"/>
  <c r="E408" i="2"/>
  <c r="M408" i="2" s="1"/>
  <c r="K258" i="21"/>
  <c r="N258" i="21"/>
  <c r="N605" i="14"/>
  <c r="H605" i="14"/>
  <c r="H608" i="14"/>
  <c r="N608" i="14"/>
  <c r="H611" i="14"/>
  <c r="N611" i="14"/>
  <c r="H612" i="14"/>
  <c r="N612" i="14"/>
  <c r="H58" i="8"/>
  <c r="M575" i="14"/>
  <c r="E192" i="2"/>
  <c r="M192" i="2" s="1"/>
  <c r="N1636" i="21"/>
  <c r="K1636" i="21"/>
  <c r="G443" i="26"/>
  <c r="J443" i="26" s="1"/>
  <c r="H443" i="26"/>
  <c r="E173" i="28" s="1"/>
  <c r="H579" i="14"/>
  <c r="H578" i="14"/>
  <c r="H575" i="14"/>
  <c r="N575" i="14"/>
  <c r="H40" i="8"/>
  <c r="M572" i="14"/>
  <c r="E407" i="2"/>
  <c r="M407" i="2" s="1"/>
  <c r="H82" i="8"/>
  <c r="M579" i="14"/>
  <c r="N579" i="14" s="1"/>
  <c r="E422" i="2"/>
  <c r="M422" i="2" s="1"/>
  <c r="H76" i="8"/>
  <c r="M578" i="14"/>
  <c r="N578" i="14" s="1"/>
  <c r="K1563" i="21"/>
  <c r="N1563" i="21"/>
  <c r="N572" i="14"/>
  <c r="H572" i="14"/>
  <c r="H57" i="8"/>
  <c r="M542" i="14"/>
  <c r="E191" i="2"/>
  <c r="H542" i="14"/>
  <c r="N542" i="14"/>
  <c r="K481" i="21"/>
  <c r="N481" i="21"/>
  <c r="H546" i="14"/>
  <c r="H75" i="8"/>
  <c r="M545" i="14"/>
  <c r="H81" i="8"/>
  <c r="M546" i="14"/>
  <c r="N546" i="14" s="1"/>
  <c r="E421" i="2"/>
  <c r="H539" i="14"/>
  <c r="N467" i="21"/>
  <c r="K467" i="21"/>
  <c r="K254" i="21"/>
  <c r="N254" i="21"/>
  <c r="H545" i="14"/>
  <c r="N545" i="14"/>
  <c r="H39" i="8"/>
  <c r="M539" i="14"/>
  <c r="N539" i="14" s="1"/>
  <c r="E406" i="2"/>
  <c r="G442" i="26"/>
  <c r="J442" i="26" s="1"/>
  <c r="H442" i="26"/>
  <c r="E172" i="28" s="1"/>
  <c r="H512" i="14"/>
  <c r="N463" i="21"/>
  <c r="K463" i="21"/>
  <c r="H56" i="8"/>
  <c r="M509" i="14"/>
  <c r="E190" i="2"/>
  <c r="H506" i="14"/>
  <c r="H74" i="8"/>
  <c r="M512" i="14"/>
  <c r="N512" i="14" s="1"/>
  <c r="H80" i="8"/>
  <c r="M513" i="14"/>
  <c r="E420" i="2"/>
  <c r="H509" i="14"/>
  <c r="N509" i="14"/>
  <c r="H38" i="8"/>
  <c r="M506" i="14"/>
  <c r="N506" i="14" s="1"/>
  <c r="E405" i="2"/>
  <c r="K250" i="21"/>
  <c r="N250" i="21"/>
  <c r="G441" i="26"/>
  <c r="J441" i="26" s="1"/>
  <c r="H441" i="26"/>
  <c r="E171" i="28" s="1"/>
  <c r="H513" i="14"/>
  <c r="N513" i="14"/>
  <c r="K477" i="21"/>
  <c r="N477" i="21"/>
  <c r="H23" i="8"/>
  <c r="M635" i="14"/>
  <c r="E404" i="2"/>
  <c r="M404" i="2" s="1"/>
  <c r="H404" i="2"/>
  <c r="N404" i="2"/>
  <c r="F345" i="28"/>
  <c r="G345" i="28" s="1"/>
  <c r="N635" i="14"/>
  <c r="H635" i="14"/>
  <c r="H11" i="8"/>
  <c r="M633" i="14"/>
  <c r="N633" i="14" s="1"/>
  <c r="E184" i="2"/>
  <c r="M184" i="2" s="1"/>
  <c r="H17" i="8"/>
  <c r="M634" i="14"/>
  <c r="N634" i="14" s="1"/>
  <c r="E189" i="2"/>
  <c r="M189" i="2" s="1"/>
  <c r="H403" i="2"/>
  <c r="N403" i="2"/>
  <c r="F344" i="28"/>
  <c r="G344" i="28" s="1"/>
  <c r="H22" i="8"/>
  <c r="M602" i="14"/>
  <c r="E403" i="2"/>
  <c r="M403" i="2" s="1"/>
  <c r="H16" i="8"/>
  <c r="M601" i="14"/>
  <c r="N601" i="14" s="1"/>
  <c r="E188" i="2"/>
  <c r="M188" i="2" s="1"/>
  <c r="H10" i="8"/>
  <c r="M600" i="14"/>
  <c r="N600" i="14" s="1"/>
  <c r="E183" i="2"/>
  <c r="M183" i="2" s="1"/>
  <c r="N602" i="14"/>
  <c r="H602" i="14"/>
  <c r="H402" i="2"/>
  <c r="N402" i="2"/>
  <c r="F343" i="28"/>
  <c r="G343" i="28" s="1"/>
  <c r="H21" i="8"/>
  <c r="M569" i="14"/>
  <c r="E402" i="2"/>
  <c r="M402" i="2" s="1"/>
  <c r="H15" i="8"/>
  <c r="M568" i="14"/>
  <c r="N568" i="14" s="1"/>
  <c r="E187" i="2"/>
  <c r="M187" i="2" s="1"/>
  <c r="H9" i="8"/>
  <c r="M567" i="14"/>
  <c r="N567" i="14" s="1"/>
  <c r="E182" i="2"/>
  <c r="M182" i="2" s="1"/>
  <c r="N569" i="14"/>
  <c r="H569" i="14"/>
  <c r="H20" i="8"/>
  <c r="M536" i="14"/>
  <c r="E401" i="2"/>
  <c r="M401" i="2" s="1"/>
  <c r="H401" i="2"/>
  <c r="N401" i="2"/>
  <c r="F342" i="28"/>
  <c r="G342" i="28" s="1"/>
  <c r="H14" i="8"/>
  <c r="M535" i="14"/>
  <c r="N535" i="14" s="1"/>
  <c r="E186" i="2"/>
  <c r="M186" i="2" s="1"/>
  <c r="N536" i="14"/>
  <c r="H536" i="14"/>
  <c r="H8" i="8"/>
  <c r="M534" i="14"/>
  <c r="N534" i="14" s="1"/>
  <c r="E181" i="2"/>
  <c r="M181" i="2" s="1"/>
  <c r="H19" i="8"/>
  <c r="M503" i="14"/>
  <c r="E400" i="2"/>
  <c r="M400" i="2" s="1"/>
  <c r="N503" i="14"/>
  <c r="H503" i="14"/>
  <c r="H7" i="8"/>
  <c r="M501" i="14"/>
  <c r="N501" i="14" s="1"/>
  <c r="E180" i="2"/>
  <c r="M180" i="2" s="1"/>
  <c r="H400" i="2"/>
  <c r="N400" i="2"/>
  <c r="F341" i="28"/>
  <c r="G341" i="28" s="1"/>
  <c r="H13" i="8"/>
  <c r="M502" i="14"/>
  <c r="N502" i="14" s="1"/>
  <c r="E185" i="2"/>
  <c r="M185" i="2" s="1"/>
  <c r="N1634" i="21"/>
  <c r="K1634" i="21"/>
  <c r="N1642" i="21"/>
  <c r="K1642" i="21"/>
  <c r="H640" i="14"/>
  <c r="K1641" i="21"/>
  <c r="N1641" i="21"/>
  <c r="K1635" i="21"/>
  <c r="N1635" i="21"/>
  <c r="H54" i="8"/>
  <c r="M54" i="8" s="1"/>
  <c r="M640" i="14"/>
  <c r="N640" i="14" s="1"/>
  <c r="E419" i="2"/>
  <c r="M419" i="2" s="1"/>
  <c r="K1626" i="21"/>
  <c r="N1626" i="21"/>
  <c r="H424" i="2"/>
  <c r="N424" i="2"/>
  <c r="K1633" i="21"/>
  <c r="N1633" i="21"/>
  <c r="H419" i="2"/>
  <c r="N419" i="2"/>
  <c r="H643" i="14"/>
  <c r="N1624" i="21"/>
  <c r="K1624" i="21"/>
  <c r="N1625" i="21"/>
  <c r="K1625" i="21"/>
  <c r="N1623" i="21"/>
  <c r="K1623" i="21"/>
  <c r="H72" i="8"/>
  <c r="M643" i="14"/>
  <c r="N643" i="14" s="1"/>
  <c r="E204" i="2"/>
  <c r="M204" i="2" s="1"/>
  <c r="N1643" i="21"/>
  <c r="K1643" i="21"/>
  <c r="K1622" i="21"/>
  <c r="N1622" i="21"/>
  <c r="H418" i="2"/>
  <c r="N418" i="2"/>
  <c r="K487" i="21"/>
  <c r="N487" i="21"/>
  <c r="I486" i="21"/>
  <c r="L56" i="20"/>
  <c r="H610" i="14"/>
  <c r="K1619" i="21"/>
  <c r="N1619" i="21"/>
  <c r="N1630" i="21"/>
  <c r="K1630" i="21"/>
  <c r="K1621" i="21"/>
  <c r="N1621" i="21"/>
  <c r="H71" i="8"/>
  <c r="M610" i="14"/>
  <c r="N610" i="14" s="1"/>
  <c r="E203" i="2"/>
  <c r="M203" i="2" s="1"/>
  <c r="N1620" i="21"/>
  <c r="K1620" i="21"/>
  <c r="N1632" i="21"/>
  <c r="K1632" i="21"/>
  <c r="H423" i="2"/>
  <c r="N423" i="2"/>
  <c r="K488" i="21"/>
  <c r="N488" i="21"/>
  <c r="H53" i="8"/>
  <c r="M53" i="8" s="1"/>
  <c r="M607" i="14"/>
  <c r="E418" i="2"/>
  <c r="M418" i="2" s="1"/>
  <c r="N1631" i="21"/>
  <c r="K1631" i="21"/>
  <c r="N607" i="14"/>
  <c r="H607" i="14"/>
  <c r="N1639" i="21"/>
  <c r="K1639" i="21"/>
  <c r="K1638" i="21"/>
  <c r="N1638" i="21"/>
  <c r="H577" i="14"/>
  <c r="H574" i="14"/>
  <c r="H70" i="8"/>
  <c r="M577" i="14"/>
  <c r="N577" i="14" s="1"/>
  <c r="E202" i="2"/>
  <c r="M202" i="2" s="1"/>
  <c r="H422" i="2"/>
  <c r="N422" i="2"/>
  <c r="K1618" i="21"/>
  <c r="N1618" i="21"/>
  <c r="K1628" i="21"/>
  <c r="N1628" i="21"/>
  <c r="K1629" i="21"/>
  <c r="N1629" i="21"/>
  <c r="N1616" i="21"/>
  <c r="K1616" i="21"/>
  <c r="N1637" i="21"/>
  <c r="K1637" i="21"/>
  <c r="H52" i="8"/>
  <c r="M52" i="8" s="1"/>
  <c r="M574" i="14"/>
  <c r="N574" i="14" s="1"/>
  <c r="E417" i="2"/>
  <c r="M417" i="2" s="1"/>
  <c r="N1617" i="21"/>
  <c r="K1617" i="21"/>
  <c r="N1615" i="21"/>
  <c r="K1615" i="21"/>
  <c r="K1627" i="21"/>
  <c r="N1627" i="21"/>
  <c r="H417" i="2"/>
  <c r="N417" i="2"/>
  <c r="H69" i="8"/>
  <c r="M544" i="14"/>
  <c r="E201" i="2"/>
  <c r="H51" i="8"/>
  <c r="M51" i="8" s="1"/>
  <c r="M541" i="14"/>
  <c r="E416" i="2"/>
  <c r="K277" i="21"/>
  <c r="N277" i="21"/>
  <c r="K278" i="21"/>
  <c r="N278" i="21"/>
  <c r="I279" i="21"/>
  <c r="L30" i="20"/>
  <c r="K280" i="21"/>
  <c r="N280" i="21"/>
  <c r="H544" i="14"/>
  <c r="N544" i="14"/>
  <c r="N541" i="14"/>
  <c r="H541" i="14"/>
  <c r="N474" i="21"/>
  <c r="K474" i="21"/>
  <c r="N475" i="21"/>
  <c r="K475" i="21"/>
  <c r="H421" i="2"/>
  <c r="N421" i="2"/>
  <c r="H416" i="2"/>
  <c r="N416" i="2"/>
  <c r="I275" i="21"/>
  <c r="L29" i="20"/>
  <c r="H511" i="14"/>
  <c r="H415" i="2"/>
  <c r="N415" i="2"/>
  <c r="H50" i="8"/>
  <c r="M50" i="8" s="1"/>
  <c r="M508" i="14"/>
  <c r="N508" i="14" s="1"/>
  <c r="E415" i="2"/>
  <c r="H420" i="2"/>
  <c r="N420" i="2"/>
  <c r="N472" i="21"/>
  <c r="K472" i="21"/>
  <c r="N471" i="21"/>
  <c r="K471" i="21"/>
  <c r="H68" i="8"/>
  <c r="M511" i="14"/>
  <c r="N511" i="14" s="1"/>
  <c r="E200" i="2"/>
  <c r="K276" i="21"/>
  <c r="N276" i="21"/>
  <c r="K274" i="21"/>
  <c r="N274" i="21"/>
  <c r="H508" i="14"/>
  <c r="K273" i="21"/>
  <c r="N273" i="21"/>
  <c r="G465" i="26"/>
  <c r="J465" i="26" s="1"/>
  <c r="H465" i="26"/>
  <c r="G464" i="26"/>
  <c r="J464" i="26" s="1"/>
  <c r="H464" i="26"/>
  <c r="G463" i="26"/>
  <c r="J463" i="26" s="1"/>
  <c r="H463" i="26"/>
  <c r="G462" i="26"/>
  <c r="J462" i="26" s="1"/>
  <c r="H462" i="26"/>
  <c r="G461" i="26"/>
  <c r="J461" i="26" s="1"/>
  <c r="H461" i="26"/>
  <c r="G525" i="26"/>
  <c r="J525" i="26" s="1"/>
  <c r="H525" i="26"/>
  <c r="E380" i="28" s="1"/>
  <c r="N1661" i="21"/>
  <c r="K1661" i="21"/>
  <c r="H429" i="2"/>
  <c r="N429" i="2"/>
  <c r="F360" i="28"/>
  <c r="G360" i="28" s="1"/>
  <c r="H449" i="2"/>
  <c r="N449" i="2"/>
  <c r="F380" i="28"/>
  <c r="G380" i="28" s="1"/>
  <c r="K1660" i="21"/>
  <c r="N1660" i="21"/>
  <c r="H661" i="14"/>
  <c r="H109" i="8"/>
  <c r="M649" i="14"/>
  <c r="N649" i="14" s="1"/>
  <c r="E429" i="2"/>
  <c r="M429" i="2" s="1"/>
  <c r="P25" i="11"/>
  <c r="H183" i="8"/>
  <c r="M661" i="14"/>
  <c r="N661" i="14" s="1"/>
  <c r="E454" i="2"/>
  <c r="M454" i="2" s="1"/>
  <c r="H448" i="2"/>
  <c r="N448" i="2"/>
  <c r="K495" i="21"/>
  <c r="N495" i="21"/>
  <c r="H628" i="14"/>
  <c r="H182" i="8"/>
  <c r="P24" i="11"/>
  <c r="M628" i="14"/>
  <c r="N628" i="14" s="1"/>
  <c r="E453" i="2"/>
  <c r="M453" i="2" s="1"/>
  <c r="G524" i="26"/>
  <c r="J524" i="26" s="1"/>
  <c r="H524" i="26"/>
  <c r="E379" i="28" s="1"/>
  <c r="H108" i="8"/>
  <c r="M616" i="14"/>
  <c r="N616" i="14" s="1"/>
  <c r="E428" i="2"/>
  <c r="M428" i="2" s="1"/>
  <c r="H428" i="2"/>
  <c r="N428" i="2"/>
  <c r="F359" i="28"/>
  <c r="G359" i="28" s="1"/>
  <c r="I494" i="21"/>
  <c r="L59" i="20"/>
  <c r="N1657" i="21"/>
  <c r="K1657" i="21"/>
  <c r="G523" i="26"/>
  <c r="J523" i="26" s="1"/>
  <c r="H523" i="26"/>
  <c r="E378" i="28" s="1"/>
  <c r="H595" i="14"/>
  <c r="K1658" i="21"/>
  <c r="N1658" i="21"/>
  <c r="H447" i="2"/>
  <c r="N447" i="2"/>
  <c r="F378" i="28"/>
  <c r="G378" i="28" s="1"/>
  <c r="H107" i="8"/>
  <c r="M583" i="14"/>
  <c r="N583" i="14" s="1"/>
  <c r="E427" i="2"/>
  <c r="M427" i="2" s="1"/>
  <c r="H427" i="2"/>
  <c r="N427" i="2"/>
  <c r="F358" i="28"/>
  <c r="G358" i="28" s="1"/>
  <c r="P23" i="11"/>
  <c r="M595" i="14"/>
  <c r="N595" i="14" s="1"/>
  <c r="H181" i="8"/>
  <c r="E452" i="2"/>
  <c r="M452" i="2" s="1"/>
  <c r="P22" i="11"/>
  <c r="M562" i="14"/>
  <c r="H180" i="8"/>
  <c r="E451" i="2"/>
  <c r="M451" i="2" s="1"/>
  <c r="N562" i="14"/>
  <c r="H562" i="14"/>
  <c r="H106" i="8"/>
  <c r="M550" i="14"/>
  <c r="N550" i="14" s="1"/>
  <c r="E426" i="2"/>
  <c r="M426" i="2" s="1"/>
  <c r="G522" i="26"/>
  <c r="J522" i="26" s="1"/>
  <c r="H522" i="26"/>
  <c r="E377" i="28" s="1"/>
  <c r="H446" i="2"/>
  <c r="N446" i="2"/>
  <c r="F377" i="28"/>
  <c r="G377" i="28" s="1"/>
  <c r="H426" i="2"/>
  <c r="N426" i="2"/>
  <c r="F357" i="28"/>
  <c r="G357" i="28" s="1"/>
  <c r="K1655" i="21"/>
  <c r="N1655" i="21"/>
  <c r="K1654" i="21"/>
  <c r="N1654" i="21"/>
  <c r="P21" i="11"/>
  <c r="M529" i="14"/>
  <c r="H179" i="8"/>
  <c r="E450" i="2"/>
  <c r="M450" i="2" s="1"/>
  <c r="G521" i="26"/>
  <c r="J521" i="26" s="1"/>
  <c r="H521" i="26"/>
  <c r="E376" i="28" s="1"/>
  <c r="H105" i="8"/>
  <c r="M517" i="14"/>
  <c r="N517" i="14" s="1"/>
  <c r="E425" i="2"/>
  <c r="M425" i="2" s="1"/>
  <c r="K1651" i="21"/>
  <c r="N1651" i="21"/>
  <c r="N529" i="14"/>
  <c r="H529" i="14"/>
  <c r="H445" i="2"/>
  <c r="N445" i="2"/>
  <c r="F376" i="28"/>
  <c r="G376" i="28" s="1"/>
  <c r="N1652" i="21"/>
  <c r="K1652" i="21"/>
  <c r="H425" i="2"/>
  <c r="N425" i="2"/>
  <c r="F356" i="28"/>
  <c r="G356" i="28" s="1"/>
  <c r="H539" i="2"/>
  <c r="N539" i="2"/>
  <c r="F455" i="28"/>
  <c r="G455" i="28" s="1"/>
  <c r="G420" i="26"/>
  <c r="J420" i="26" s="1"/>
  <c r="H420" i="26"/>
  <c r="E170" i="28" s="1"/>
  <c r="G430" i="26"/>
  <c r="J430" i="26" s="1"/>
  <c r="H430" i="26"/>
  <c r="E455" i="28" s="1"/>
  <c r="H636" i="14"/>
  <c r="H142" i="6"/>
  <c r="F637" i="14"/>
  <c r="H29" i="8"/>
  <c r="M636" i="14"/>
  <c r="N636" i="14" s="1"/>
  <c r="E539" i="2"/>
  <c r="M539" i="2" s="1"/>
  <c r="G415" i="26"/>
  <c r="J415" i="26" s="1"/>
  <c r="H415" i="26"/>
  <c r="E165" i="28" s="1"/>
  <c r="H603" i="14"/>
  <c r="G414" i="26"/>
  <c r="J414" i="26" s="1"/>
  <c r="H414" i="26"/>
  <c r="E164" i="28" s="1"/>
  <c r="G142" i="6"/>
  <c r="F604" i="14"/>
  <c r="G429" i="26"/>
  <c r="J429" i="26" s="1"/>
  <c r="H429" i="26"/>
  <c r="E454" i="28" s="1"/>
  <c r="H28" i="8"/>
  <c r="M603" i="14"/>
  <c r="N603" i="14" s="1"/>
  <c r="E538" i="2"/>
  <c r="M538" i="2" s="1"/>
  <c r="G419" i="26"/>
  <c r="J419" i="26" s="1"/>
  <c r="H419" i="26"/>
  <c r="E169" i="28" s="1"/>
  <c r="H538" i="2"/>
  <c r="N538" i="2"/>
  <c r="F454" i="28"/>
  <c r="G454" i="28" s="1"/>
  <c r="G413" i="26"/>
  <c r="J413" i="26" s="1"/>
  <c r="H413" i="26"/>
  <c r="E163" i="28" s="1"/>
  <c r="H570" i="14"/>
  <c r="H537" i="2"/>
  <c r="N537" i="2"/>
  <c r="F453" i="28"/>
  <c r="G453" i="28" s="1"/>
  <c r="H27" i="8"/>
  <c r="M570" i="14"/>
  <c r="N570" i="14" s="1"/>
  <c r="E537" i="2"/>
  <c r="M537" i="2" s="1"/>
  <c r="G428" i="26"/>
  <c r="J428" i="26" s="1"/>
  <c r="H428" i="26"/>
  <c r="E453" i="28" s="1"/>
  <c r="G418" i="26"/>
  <c r="J418" i="26" s="1"/>
  <c r="H418" i="26"/>
  <c r="E168" i="28" s="1"/>
  <c r="F142" i="6"/>
  <c r="F571" i="14"/>
  <c r="G412" i="26"/>
  <c r="J412" i="26" s="1"/>
  <c r="H412" i="26"/>
  <c r="E162" i="28" s="1"/>
  <c r="G427" i="26"/>
  <c r="J427" i="26" s="1"/>
  <c r="H427" i="26"/>
  <c r="E452" i="28" s="1"/>
  <c r="E142" i="6"/>
  <c r="F538" i="14"/>
  <c r="H26" i="8"/>
  <c r="M537" i="14"/>
  <c r="E536" i="2"/>
  <c r="M536" i="2" s="1"/>
  <c r="H536" i="2"/>
  <c r="N536" i="2"/>
  <c r="F452" i="28"/>
  <c r="G452" i="28" s="1"/>
  <c r="G417" i="26"/>
  <c r="J417" i="26" s="1"/>
  <c r="H417" i="26"/>
  <c r="E167" i="28" s="1"/>
  <c r="H537" i="14"/>
  <c r="N537" i="14"/>
  <c r="G411" i="26"/>
  <c r="J411" i="26" s="1"/>
  <c r="H411" i="26"/>
  <c r="E161" i="28" s="1"/>
  <c r="H25" i="8"/>
  <c r="M504" i="14"/>
  <c r="E535" i="2"/>
  <c r="M535" i="2" s="1"/>
  <c r="G416" i="26"/>
  <c r="J416" i="26" s="1"/>
  <c r="H416" i="26"/>
  <c r="E166" i="28" s="1"/>
  <c r="D142" i="6"/>
  <c r="F505" i="14"/>
  <c r="H535" i="2"/>
  <c r="N535" i="2"/>
  <c r="F451" i="28"/>
  <c r="G451" i="28" s="1"/>
  <c r="G426" i="26"/>
  <c r="J426" i="26" s="1"/>
  <c r="H426" i="26"/>
  <c r="E451" i="28" s="1"/>
  <c r="H504" i="14"/>
  <c r="N504" i="14"/>
  <c r="H103" i="8"/>
  <c r="M648" i="14"/>
  <c r="N648" i="14" s="1"/>
  <c r="H121" i="8"/>
  <c r="M651" i="14"/>
  <c r="N651" i="14"/>
  <c r="H651" i="14"/>
  <c r="H209" i="2"/>
  <c r="N209" i="2"/>
  <c r="F185" i="28"/>
  <c r="G185" i="28" s="1"/>
  <c r="H90" i="8"/>
  <c r="M646" i="14"/>
  <c r="E209" i="2"/>
  <c r="M209" i="2" s="1"/>
  <c r="H102" i="8"/>
  <c r="M615" i="14"/>
  <c r="N615" i="14" s="1"/>
  <c r="H120" i="8"/>
  <c r="M618" i="14"/>
  <c r="N618" i="14"/>
  <c r="H618" i="14"/>
  <c r="N646" i="14"/>
  <c r="H646" i="14"/>
  <c r="H208" i="2"/>
  <c r="N208" i="2"/>
  <c r="F184" i="28"/>
  <c r="G184" i="28" s="1"/>
  <c r="H89" i="8"/>
  <c r="M613" i="14"/>
  <c r="E208" i="2"/>
  <c r="M208" i="2" s="1"/>
  <c r="H101" i="8"/>
  <c r="M582" i="14"/>
  <c r="N582" i="14" s="1"/>
  <c r="H119" i="8"/>
  <c r="M585" i="14"/>
  <c r="N585" i="14"/>
  <c r="H585" i="14"/>
  <c r="N613" i="14"/>
  <c r="H613" i="14"/>
  <c r="H207" i="2"/>
  <c r="N207" i="2"/>
  <c r="F183" i="28"/>
  <c r="G183" i="28" s="1"/>
  <c r="H88" i="8"/>
  <c r="M580" i="14"/>
  <c r="E207" i="2"/>
  <c r="M207" i="2" s="1"/>
  <c r="H100" i="8"/>
  <c r="M549" i="14"/>
  <c r="N549" i="14" s="1"/>
  <c r="H118" i="8"/>
  <c r="M552" i="14"/>
  <c r="N552" i="14"/>
  <c r="H552" i="14"/>
  <c r="N580" i="14"/>
  <c r="H580" i="14"/>
  <c r="H206" i="2"/>
  <c r="N206" i="2"/>
  <c r="F182" i="28"/>
  <c r="G182" i="28" s="1"/>
  <c r="H87" i="8"/>
  <c r="M547" i="14"/>
  <c r="E206" i="2"/>
  <c r="M206" i="2" s="1"/>
  <c r="H99" i="8"/>
  <c r="M516" i="14"/>
  <c r="N516" i="14" s="1"/>
  <c r="H117" i="8"/>
  <c r="M519" i="14"/>
  <c r="N519" i="14"/>
  <c r="H519" i="14"/>
  <c r="N547" i="14"/>
  <c r="H547" i="14"/>
  <c r="H205" i="2"/>
  <c r="N205" i="2"/>
  <c r="F181" i="28"/>
  <c r="G181" i="28" s="1"/>
  <c r="H86" i="8"/>
  <c r="M514" i="14"/>
  <c r="E205" i="2"/>
  <c r="M205" i="2" s="1"/>
  <c r="N514" i="14"/>
  <c r="H514" i="14"/>
  <c r="H647" i="14"/>
  <c r="H96" i="8"/>
  <c r="M647" i="14"/>
  <c r="N647" i="14" s="1"/>
  <c r="E214" i="2"/>
  <c r="M214" i="2" s="1"/>
  <c r="H614" i="14"/>
  <c r="H95" i="8"/>
  <c r="M614" i="14"/>
  <c r="N614" i="14" s="1"/>
  <c r="E213" i="2"/>
  <c r="M213" i="2" s="1"/>
  <c r="H94" i="8"/>
  <c r="M581" i="14"/>
  <c r="E212" i="2"/>
  <c r="M212" i="2" s="1"/>
  <c r="N581" i="14"/>
  <c r="H581" i="14"/>
  <c r="H548" i="14"/>
  <c r="H93" i="8"/>
  <c r="M548" i="14"/>
  <c r="N548" i="14" s="1"/>
  <c r="E211" i="2"/>
  <c r="M211" i="2" s="1"/>
  <c r="H515" i="14"/>
  <c r="H92" i="8"/>
  <c r="M515" i="14"/>
  <c r="N515" i="14" s="1"/>
  <c r="E210" i="2"/>
  <c r="M210" i="2" s="1"/>
  <c r="G177" i="8"/>
  <c r="M495" i="14"/>
  <c r="N495" i="14" s="1"/>
  <c r="E384" i="2"/>
  <c r="M384" i="2" s="1"/>
  <c r="G176" i="8"/>
  <c r="M462" i="14"/>
  <c r="N462" i="14" s="1"/>
  <c r="E383" i="2"/>
  <c r="M383" i="2" s="1"/>
  <c r="G175" i="8"/>
  <c r="M429" i="14"/>
  <c r="N429" i="14" s="1"/>
  <c r="E382" i="2"/>
  <c r="M382" i="2" s="1"/>
  <c r="G174" i="8"/>
  <c r="M396" i="14"/>
  <c r="N396" i="14" s="1"/>
  <c r="E381" i="2"/>
  <c r="M381" i="2" s="1"/>
  <c r="M363" i="14"/>
  <c r="N363" i="14" s="1"/>
  <c r="G173" i="8"/>
  <c r="E380" i="2"/>
  <c r="M380" i="2" s="1"/>
  <c r="G350" i="26"/>
  <c r="J350" i="26" s="1"/>
  <c r="H350" i="26"/>
  <c r="E140" i="28" s="1"/>
  <c r="H488" i="14"/>
  <c r="H96" i="5"/>
  <c r="H162" i="5"/>
  <c r="H214" i="5"/>
  <c r="H227" i="5"/>
  <c r="F489" i="14"/>
  <c r="G134" i="8"/>
  <c r="M488" i="14"/>
  <c r="N488" i="14" s="1"/>
  <c r="E159" i="2"/>
  <c r="M159" i="2" s="1"/>
  <c r="H455" i="14"/>
  <c r="G349" i="26"/>
  <c r="J349" i="26" s="1"/>
  <c r="H349" i="26"/>
  <c r="E139" i="28" s="1"/>
  <c r="G133" i="8"/>
  <c r="M133" i="8" s="1"/>
  <c r="M455" i="14"/>
  <c r="N455" i="14" s="1"/>
  <c r="E158" i="2"/>
  <c r="M158" i="2" s="1"/>
  <c r="G96" i="5"/>
  <c r="G162" i="5"/>
  <c r="G214" i="5"/>
  <c r="G227" i="5"/>
  <c r="H228" i="5"/>
  <c r="F456" i="14"/>
  <c r="H422" i="14"/>
  <c r="G132" i="8"/>
  <c r="M132" i="8" s="1"/>
  <c r="M422" i="14"/>
  <c r="N422" i="14" s="1"/>
  <c r="E157" i="2"/>
  <c r="M157" i="2" s="1"/>
  <c r="F96" i="5"/>
  <c r="F162" i="5"/>
  <c r="F214" i="5"/>
  <c r="F227" i="5"/>
  <c r="G228" i="5"/>
  <c r="F423" i="14"/>
  <c r="G348" i="26"/>
  <c r="J348" i="26" s="1"/>
  <c r="H348" i="26"/>
  <c r="E138" i="28" s="1"/>
  <c r="G131" i="8"/>
  <c r="M131" i="8" s="1"/>
  <c r="M389" i="14"/>
  <c r="E156" i="2"/>
  <c r="M156" i="2" s="1"/>
  <c r="E96" i="5"/>
  <c r="E162" i="5"/>
  <c r="E214" i="5"/>
  <c r="E227" i="5"/>
  <c r="F228" i="5"/>
  <c r="F390" i="14"/>
  <c r="H389" i="14"/>
  <c r="N389" i="14"/>
  <c r="G347" i="26"/>
  <c r="J347" i="26" s="1"/>
  <c r="H347" i="26"/>
  <c r="E137" i="28" s="1"/>
  <c r="G130" i="8"/>
  <c r="M130" i="8" s="1"/>
  <c r="M356" i="14"/>
  <c r="E155" i="2"/>
  <c r="M155" i="2" s="1"/>
  <c r="D96" i="5"/>
  <c r="D162" i="5"/>
  <c r="D214" i="5"/>
  <c r="D228" i="5"/>
  <c r="E228" i="5"/>
  <c r="F357" i="14"/>
  <c r="H356" i="14"/>
  <c r="N356" i="14"/>
  <c r="G346" i="26"/>
  <c r="J346" i="26" s="1"/>
  <c r="H346" i="26"/>
  <c r="E136" i="28" s="1"/>
  <c r="G335" i="26"/>
  <c r="J335" i="26" s="1"/>
  <c r="H335" i="26"/>
  <c r="E325" i="28" s="1"/>
  <c r="F375" i="26"/>
  <c r="F376" i="29"/>
  <c r="G115" i="8"/>
  <c r="M115" i="8" s="1"/>
  <c r="M485" i="14"/>
  <c r="N485" i="14" s="1"/>
  <c r="G340" i="26"/>
  <c r="J340" i="26" s="1"/>
  <c r="H340" i="26"/>
  <c r="H379" i="2"/>
  <c r="N379" i="2"/>
  <c r="F325" i="28"/>
  <c r="G325" i="28" s="1"/>
  <c r="G334" i="26"/>
  <c r="J334" i="26" s="1"/>
  <c r="H334" i="26"/>
  <c r="E324" i="28" s="1"/>
  <c r="G493" i="14"/>
  <c r="F374" i="26"/>
  <c r="F374" i="29"/>
  <c r="F377" i="29"/>
  <c r="G114" i="8"/>
  <c r="M114" i="8" s="1"/>
  <c r="M452" i="14"/>
  <c r="N452" i="14" s="1"/>
  <c r="H378" i="2"/>
  <c r="N378" i="2"/>
  <c r="F324" i="28"/>
  <c r="G324" i="28" s="1"/>
  <c r="G339" i="26"/>
  <c r="J339" i="26" s="1"/>
  <c r="H339" i="26"/>
  <c r="G333" i="26"/>
  <c r="J333" i="26" s="1"/>
  <c r="H333" i="26"/>
  <c r="E323" i="28" s="1"/>
  <c r="G113" i="8"/>
  <c r="M113" i="8" s="1"/>
  <c r="M419" i="14"/>
  <c r="N419" i="14" s="1"/>
  <c r="G338" i="26"/>
  <c r="J338" i="26" s="1"/>
  <c r="H338" i="26"/>
  <c r="H377" i="2"/>
  <c r="N377" i="2"/>
  <c r="F323" i="28"/>
  <c r="G323" i="28" s="1"/>
  <c r="G460" i="14"/>
  <c r="F373" i="26"/>
  <c r="F372" i="29"/>
  <c r="F375" i="29"/>
  <c r="G427" i="14"/>
  <c r="F372" i="26"/>
  <c r="F370" i="29"/>
  <c r="F373" i="29"/>
  <c r="G112" i="8"/>
  <c r="M112" i="8" s="1"/>
  <c r="M386" i="14"/>
  <c r="N386" i="14" s="1"/>
  <c r="G332" i="26"/>
  <c r="J332" i="26" s="1"/>
  <c r="H332" i="26"/>
  <c r="E322" i="28" s="1"/>
  <c r="H376" i="2"/>
  <c r="N376" i="2"/>
  <c r="F322" i="28"/>
  <c r="G322" i="28" s="1"/>
  <c r="G337" i="26"/>
  <c r="J337" i="26" s="1"/>
  <c r="H337" i="26"/>
  <c r="G394" i="14"/>
  <c r="F371" i="26"/>
  <c r="D29" i="16"/>
  <c r="F368" i="29"/>
  <c r="F371" i="29"/>
  <c r="H375" i="2"/>
  <c r="N375" i="2"/>
  <c r="F321" i="28"/>
  <c r="G321" i="28" s="1"/>
  <c r="G336" i="26"/>
  <c r="J336" i="26" s="1"/>
  <c r="H336" i="26"/>
  <c r="G331" i="26"/>
  <c r="J331" i="26" s="1"/>
  <c r="H331" i="26"/>
  <c r="E321" i="28" s="1"/>
  <c r="G111" i="8"/>
  <c r="M111" i="8" s="1"/>
  <c r="M353" i="14"/>
  <c r="N353" i="14" s="1"/>
  <c r="G361" i="14"/>
  <c r="C29" i="16"/>
  <c r="E29" i="16" s="1"/>
  <c r="F369" i="29"/>
  <c r="N202" i="21"/>
  <c r="K202" i="21"/>
  <c r="K461" i="21"/>
  <c r="N461" i="21"/>
  <c r="N214" i="21"/>
  <c r="K214" i="21"/>
  <c r="H374" i="2"/>
  <c r="N374" i="2"/>
  <c r="K206" i="21"/>
  <c r="N206" i="21"/>
  <c r="N210" i="21"/>
  <c r="K210" i="21"/>
  <c r="N163" i="21"/>
  <c r="K163" i="21"/>
  <c r="G42" i="8"/>
  <c r="M42" i="8" s="1"/>
  <c r="M473" i="14"/>
  <c r="N473" i="14"/>
  <c r="H473" i="14"/>
  <c r="H480" i="14"/>
  <c r="G60" i="8"/>
  <c r="M60" i="8" s="1"/>
  <c r="M476" i="14"/>
  <c r="E129" i="2"/>
  <c r="M129" i="2" s="1"/>
  <c r="G78" i="8"/>
  <c r="M78" i="8" s="1"/>
  <c r="M479" i="14"/>
  <c r="G84" i="8"/>
  <c r="M84" i="8" s="1"/>
  <c r="M480" i="14"/>
  <c r="N480" i="14" s="1"/>
  <c r="E374" i="2"/>
  <c r="H373" i="2"/>
  <c r="N373" i="2"/>
  <c r="K155" i="21"/>
  <c r="N155" i="21"/>
  <c r="N159" i="21"/>
  <c r="K159" i="21"/>
  <c r="H476" i="14"/>
  <c r="N476" i="14"/>
  <c r="H479" i="14"/>
  <c r="N479" i="14"/>
  <c r="N151" i="21"/>
  <c r="K151" i="21"/>
  <c r="G310" i="26"/>
  <c r="J310" i="26" s="1"/>
  <c r="H310" i="26"/>
  <c r="E115" i="28" s="1"/>
  <c r="K460" i="21"/>
  <c r="N460" i="21"/>
  <c r="K458" i="21"/>
  <c r="N458" i="21"/>
  <c r="H440" i="14"/>
  <c r="K457" i="21"/>
  <c r="N457" i="21"/>
  <c r="G83" i="8"/>
  <c r="M83" i="8" s="1"/>
  <c r="M447" i="14"/>
  <c r="E373" i="2"/>
  <c r="G77" i="8"/>
  <c r="M77" i="8" s="1"/>
  <c r="M446" i="14"/>
  <c r="G59" i="8"/>
  <c r="M59" i="8" s="1"/>
  <c r="M443" i="14"/>
  <c r="E128" i="2"/>
  <c r="M128" i="2" s="1"/>
  <c r="G41" i="8"/>
  <c r="M41" i="8" s="1"/>
  <c r="M440" i="14"/>
  <c r="N440" i="14" s="1"/>
  <c r="H447" i="14"/>
  <c r="N447" i="14"/>
  <c r="H446" i="14"/>
  <c r="N446" i="14"/>
  <c r="H372" i="2"/>
  <c r="N372" i="2"/>
  <c r="H443" i="14"/>
  <c r="N443" i="14"/>
  <c r="G309" i="26"/>
  <c r="J309" i="26" s="1"/>
  <c r="H309" i="26"/>
  <c r="E114" i="28" s="1"/>
  <c r="N1243" i="21"/>
  <c r="K1243" i="21"/>
  <c r="N1247" i="21"/>
  <c r="K1247" i="21"/>
  <c r="N1251" i="21"/>
  <c r="K1251" i="21"/>
  <c r="N1255" i="21"/>
  <c r="K1255" i="21"/>
  <c r="H371" i="2"/>
  <c r="N371" i="2"/>
  <c r="H414" i="14"/>
  <c r="H413" i="14"/>
  <c r="H410" i="14"/>
  <c r="H407" i="14"/>
  <c r="G58" i="8"/>
  <c r="M58" i="8" s="1"/>
  <c r="E127" i="2"/>
  <c r="M127" i="2" s="1"/>
  <c r="M410" i="14"/>
  <c r="N410" i="14" s="1"/>
  <c r="G76" i="8"/>
  <c r="M76" i="8" s="1"/>
  <c r="M413" i="14"/>
  <c r="N413" i="14" s="1"/>
  <c r="G40" i="8"/>
  <c r="M40" i="8" s="1"/>
  <c r="M407" i="14"/>
  <c r="N407" i="14" s="1"/>
  <c r="G308" i="26"/>
  <c r="J308" i="26" s="1"/>
  <c r="H308" i="26"/>
  <c r="E113" i="28" s="1"/>
  <c r="G82" i="8"/>
  <c r="M82" i="8" s="1"/>
  <c r="M414" i="14"/>
  <c r="N414" i="14" s="1"/>
  <c r="E372" i="2"/>
  <c r="M372" i="2" s="1"/>
  <c r="K455" i="21"/>
  <c r="N455" i="21"/>
  <c r="N112" i="21"/>
  <c r="K112" i="21"/>
  <c r="N108" i="21"/>
  <c r="K108" i="21"/>
  <c r="N104" i="21"/>
  <c r="K104" i="21"/>
  <c r="N100" i="21"/>
  <c r="K100" i="21"/>
  <c r="K454" i="21"/>
  <c r="N454" i="21"/>
  <c r="N57" i="21"/>
  <c r="K57" i="21"/>
  <c r="N53" i="21"/>
  <c r="K53" i="21"/>
  <c r="N49" i="21"/>
  <c r="K49" i="21"/>
  <c r="H381" i="14"/>
  <c r="H370" i="2"/>
  <c r="N370" i="2"/>
  <c r="G81" i="8"/>
  <c r="M81" i="8" s="1"/>
  <c r="M381" i="14"/>
  <c r="N381" i="14" s="1"/>
  <c r="E371" i="2"/>
  <c r="G39" i="8"/>
  <c r="M39" i="8" s="1"/>
  <c r="M374" i="14"/>
  <c r="G75" i="8"/>
  <c r="M75" i="8" s="1"/>
  <c r="M380" i="14"/>
  <c r="G57" i="8"/>
  <c r="M57" i="8" s="1"/>
  <c r="M377" i="14"/>
  <c r="E126" i="2"/>
  <c r="M126" i="2" s="1"/>
  <c r="G307" i="26"/>
  <c r="J307" i="26" s="1"/>
  <c r="H307" i="26"/>
  <c r="E112" i="28" s="1"/>
  <c r="N374" i="14"/>
  <c r="H374" i="14"/>
  <c r="H377" i="14"/>
  <c r="N377" i="14"/>
  <c r="H380" i="14"/>
  <c r="N380" i="14"/>
  <c r="N61" i="21"/>
  <c r="K61" i="21"/>
  <c r="K452" i="21"/>
  <c r="N452" i="21"/>
  <c r="H344" i="14"/>
  <c r="G80" i="8"/>
  <c r="M80" i="8" s="1"/>
  <c r="M348" i="14"/>
  <c r="N348" i="14" s="1"/>
  <c r="E370" i="2"/>
  <c r="G38" i="8"/>
  <c r="M38" i="8" s="1"/>
  <c r="M341" i="14"/>
  <c r="G306" i="26"/>
  <c r="J306" i="26" s="1"/>
  <c r="H306" i="26"/>
  <c r="E111" i="28" s="1"/>
  <c r="N341" i="14"/>
  <c r="H341" i="14"/>
  <c r="H348" i="14"/>
  <c r="H347" i="14"/>
  <c r="G56" i="8"/>
  <c r="M344" i="14"/>
  <c r="N344" i="14" s="1"/>
  <c r="E125" i="2"/>
  <c r="M125" i="2" s="1"/>
  <c r="K451" i="21"/>
  <c r="N451" i="21"/>
  <c r="G74" i="8"/>
  <c r="M347" i="14"/>
  <c r="N347" i="14" s="1"/>
  <c r="H470" i="14"/>
  <c r="G23" i="8"/>
  <c r="M470" i="14"/>
  <c r="N470" i="14" s="1"/>
  <c r="E369" i="2"/>
  <c r="M369" i="2" s="1"/>
  <c r="G11" i="8"/>
  <c r="E119" i="2"/>
  <c r="M119" i="2" s="1"/>
  <c r="M468" i="14"/>
  <c r="N468" i="14" s="1"/>
  <c r="H369" i="2"/>
  <c r="N369" i="2"/>
  <c r="F320" i="28"/>
  <c r="G320" i="28" s="1"/>
  <c r="G17" i="8"/>
  <c r="E124" i="2"/>
  <c r="M124" i="2" s="1"/>
  <c r="M469" i="14"/>
  <c r="N469" i="14" s="1"/>
  <c r="K219" i="21"/>
  <c r="N219" i="21"/>
  <c r="G10" i="8"/>
  <c r="E118" i="2"/>
  <c r="M118" i="2" s="1"/>
  <c r="M435" i="14"/>
  <c r="N435" i="14" s="1"/>
  <c r="H368" i="2"/>
  <c r="N368" i="2"/>
  <c r="F319" i="28"/>
  <c r="G319" i="28" s="1"/>
  <c r="G22" i="8"/>
  <c r="M437" i="14"/>
  <c r="E368" i="2"/>
  <c r="M368" i="2" s="1"/>
  <c r="N217" i="21"/>
  <c r="K217" i="21"/>
  <c r="N216" i="21"/>
  <c r="K216" i="21"/>
  <c r="N218" i="21"/>
  <c r="K218" i="21"/>
  <c r="G16" i="8"/>
  <c r="M436" i="14"/>
  <c r="N436" i="14" s="1"/>
  <c r="E123" i="2"/>
  <c r="M123" i="2" s="1"/>
  <c r="N437" i="14"/>
  <c r="H437" i="14"/>
  <c r="N165" i="21"/>
  <c r="K165" i="21"/>
  <c r="H404" i="14"/>
  <c r="G9" i="8"/>
  <c r="M402" i="14"/>
  <c r="N402" i="14" s="1"/>
  <c r="E117" i="2"/>
  <c r="M117" i="2" s="1"/>
  <c r="H367" i="2"/>
  <c r="N367" i="2"/>
  <c r="F318" i="28"/>
  <c r="G318" i="28" s="1"/>
  <c r="K167" i="21"/>
  <c r="N167" i="21"/>
  <c r="G15" i="8"/>
  <c r="M403" i="14"/>
  <c r="N403" i="14" s="1"/>
  <c r="E122" i="2"/>
  <c r="M122" i="2" s="1"/>
  <c r="N166" i="21"/>
  <c r="K166" i="21"/>
  <c r="G21" i="8"/>
  <c r="M404" i="14"/>
  <c r="N404" i="14" s="1"/>
  <c r="E367" i="2"/>
  <c r="M367" i="2" s="1"/>
  <c r="K168" i="21"/>
  <c r="N168" i="21"/>
  <c r="G20" i="8"/>
  <c r="M371" i="14"/>
  <c r="E366" i="2"/>
  <c r="M366" i="2" s="1"/>
  <c r="N371" i="14"/>
  <c r="H371" i="14"/>
  <c r="K1260" i="21"/>
  <c r="N1260" i="21"/>
  <c r="K1259" i="21"/>
  <c r="N1259" i="21"/>
  <c r="K1258" i="21"/>
  <c r="N1258" i="21"/>
  <c r="K1257" i="21"/>
  <c r="N1257" i="21"/>
  <c r="G8" i="8"/>
  <c r="E116" i="2"/>
  <c r="M116" i="2" s="1"/>
  <c r="M369" i="14"/>
  <c r="N369" i="14" s="1"/>
  <c r="G14" i="8"/>
  <c r="M370" i="14"/>
  <c r="N370" i="14" s="1"/>
  <c r="E121" i="2"/>
  <c r="M121" i="2" s="1"/>
  <c r="H366" i="2"/>
  <c r="N366" i="2"/>
  <c r="F317" i="28"/>
  <c r="G317" i="28" s="1"/>
  <c r="K116" i="21"/>
  <c r="N116" i="21"/>
  <c r="K115" i="21"/>
  <c r="N115" i="21"/>
  <c r="N449" i="21"/>
  <c r="K449" i="21"/>
  <c r="N450" i="21"/>
  <c r="K450" i="21"/>
  <c r="H365" i="2"/>
  <c r="N365" i="2"/>
  <c r="K114" i="21"/>
  <c r="N114" i="21"/>
  <c r="G19" i="8"/>
  <c r="M338" i="14"/>
  <c r="E365" i="2"/>
  <c r="N117" i="21"/>
  <c r="K117" i="21"/>
  <c r="G7" i="8"/>
  <c r="E115" i="2"/>
  <c r="M115" i="2" s="1"/>
  <c r="M336" i="14"/>
  <c r="N336" i="14" s="1"/>
  <c r="N338" i="14"/>
  <c r="H338" i="14"/>
  <c r="N446" i="21"/>
  <c r="K446" i="21"/>
  <c r="G13" i="8"/>
  <c r="E120" i="2"/>
  <c r="M120" i="2" s="1"/>
  <c r="M337" i="14"/>
  <c r="N337" i="14" s="1"/>
  <c r="K66" i="21"/>
  <c r="N66" i="21"/>
  <c r="N448" i="21"/>
  <c r="K448" i="21"/>
  <c r="K65" i="21"/>
  <c r="N65" i="21"/>
  <c r="K63" i="21"/>
  <c r="N63" i="21"/>
  <c r="K64" i="21"/>
  <c r="N64" i="21"/>
  <c r="G330" i="26"/>
  <c r="J330" i="26" s="1"/>
  <c r="H330" i="26"/>
  <c r="G329" i="26"/>
  <c r="J329" i="26" s="1"/>
  <c r="H329" i="26"/>
  <c r="G328" i="26"/>
  <c r="J328" i="26" s="1"/>
  <c r="H328" i="26"/>
  <c r="G327" i="26"/>
  <c r="J327" i="26" s="1"/>
  <c r="H327" i="26"/>
  <c r="G326" i="26"/>
  <c r="J326" i="26" s="1"/>
  <c r="H326" i="26"/>
  <c r="H496" i="14"/>
  <c r="G183" i="8"/>
  <c r="P20" i="11"/>
  <c r="M496" i="14"/>
  <c r="N496" i="14" s="1"/>
  <c r="E389" i="2"/>
  <c r="M389" i="2" s="1"/>
  <c r="H384" i="2"/>
  <c r="N384" i="2"/>
  <c r="F330" i="28"/>
  <c r="G330" i="28" s="1"/>
  <c r="G390" i="26"/>
  <c r="J390" i="26" s="1"/>
  <c r="H390" i="26"/>
  <c r="E330" i="28" s="1"/>
  <c r="G109" i="8"/>
  <c r="M484" i="14"/>
  <c r="N484" i="14" s="1"/>
  <c r="E379" i="2"/>
  <c r="M379" i="2" s="1"/>
  <c r="H383" i="2"/>
  <c r="N383" i="2"/>
  <c r="F329" i="28"/>
  <c r="G329" i="28" s="1"/>
  <c r="P19" i="11"/>
  <c r="M463" i="14"/>
  <c r="G182" i="8"/>
  <c r="E388" i="2"/>
  <c r="M388" i="2" s="1"/>
  <c r="G389" i="26"/>
  <c r="J389" i="26" s="1"/>
  <c r="H389" i="26"/>
  <c r="E329" i="28" s="1"/>
  <c r="N463" i="14"/>
  <c r="H463" i="14"/>
  <c r="G108" i="8"/>
  <c r="M451" i="14"/>
  <c r="N451" i="14" s="1"/>
  <c r="E378" i="2"/>
  <c r="M378" i="2" s="1"/>
  <c r="G388" i="26"/>
  <c r="J388" i="26" s="1"/>
  <c r="H388" i="26"/>
  <c r="E328" i="28" s="1"/>
  <c r="G107" i="8"/>
  <c r="M418" i="14"/>
  <c r="N418" i="14" s="1"/>
  <c r="E377" i="2"/>
  <c r="M377" i="2" s="1"/>
  <c r="H430" i="14"/>
  <c r="H382" i="2"/>
  <c r="N382" i="2"/>
  <c r="F328" i="28"/>
  <c r="G328" i="28" s="1"/>
  <c r="P18" i="11"/>
  <c r="G181" i="8"/>
  <c r="M430" i="14"/>
  <c r="N430" i="14" s="1"/>
  <c r="E387" i="2"/>
  <c r="M387" i="2" s="1"/>
  <c r="G387" i="26"/>
  <c r="J387" i="26" s="1"/>
  <c r="H387" i="26"/>
  <c r="E327" i="28" s="1"/>
  <c r="G106" i="8"/>
  <c r="M385" i="14"/>
  <c r="N385" i="14" s="1"/>
  <c r="E376" i="2"/>
  <c r="M376" i="2" s="1"/>
  <c r="G180" i="8"/>
  <c r="P17" i="11"/>
  <c r="M397" i="14"/>
  <c r="E386" i="2"/>
  <c r="M386" i="2" s="1"/>
  <c r="N397" i="14"/>
  <c r="H397" i="14"/>
  <c r="H381" i="2"/>
  <c r="N381" i="2"/>
  <c r="F327" i="28"/>
  <c r="G327" i="28" s="1"/>
  <c r="H364" i="14"/>
  <c r="G179" i="8"/>
  <c r="P16" i="11"/>
  <c r="M364" i="14"/>
  <c r="N364" i="14" s="1"/>
  <c r="E385" i="2"/>
  <c r="M385" i="2" s="1"/>
  <c r="H380" i="2"/>
  <c r="N380" i="2"/>
  <c r="F326" i="28"/>
  <c r="G326" i="28" s="1"/>
  <c r="G105" i="8"/>
  <c r="M352" i="14"/>
  <c r="N352" i="14" s="1"/>
  <c r="E375" i="2"/>
  <c r="M375" i="2" s="1"/>
  <c r="G386" i="26"/>
  <c r="J386" i="26" s="1"/>
  <c r="H386" i="26"/>
  <c r="E326" i="28" s="1"/>
  <c r="H471" i="14"/>
  <c r="G295" i="26"/>
  <c r="J295" i="26" s="1"/>
  <c r="H295" i="26"/>
  <c r="G280" i="26"/>
  <c r="J280" i="26" s="1"/>
  <c r="H280" i="26"/>
  <c r="E105" i="28" s="1"/>
  <c r="H142" i="5"/>
  <c r="F472" i="14"/>
  <c r="G285" i="26"/>
  <c r="J285" i="26" s="1"/>
  <c r="H285" i="26"/>
  <c r="E110" i="28" s="1"/>
  <c r="G29" i="8"/>
  <c r="M471" i="14"/>
  <c r="N471" i="14" s="1"/>
  <c r="G279" i="26"/>
  <c r="J279" i="26" s="1"/>
  <c r="H279" i="26"/>
  <c r="E104" i="28" s="1"/>
  <c r="G284" i="26"/>
  <c r="J284" i="26" s="1"/>
  <c r="H284" i="26"/>
  <c r="E109" i="28" s="1"/>
  <c r="G142" i="5"/>
  <c r="F439" i="14"/>
  <c r="G294" i="26"/>
  <c r="J294" i="26" s="1"/>
  <c r="H294" i="26"/>
  <c r="G28" i="8"/>
  <c r="M438" i="14"/>
  <c r="H438" i="14"/>
  <c r="N438" i="14"/>
  <c r="H405" i="14"/>
  <c r="F142" i="5"/>
  <c r="F406" i="14"/>
  <c r="G283" i="26"/>
  <c r="J283" i="26" s="1"/>
  <c r="H283" i="26"/>
  <c r="E108" i="28" s="1"/>
  <c r="G27" i="8"/>
  <c r="M405" i="14"/>
  <c r="N405" i="14" s="1"/>
  <c r="G278" i="26"/>
  <c r="J278" i="26" s="1"/>
  <c r="H278" i="26"/>
  <c r="E103" i="28" s="1"/>
  <c r="G293" i="26"/>
  <c r="J293" i="26" s="1"/>
  <c r="H293" i="26"/>
  <c r="H372" i="14"/>
  <c r="G292" i="26"/>
  <c r="J292" i="26" s="1"/>
  <c r="H292" i="26"/>
  <c r="G277" i="26"/>
  <c r="J277" i="26" s="1"/>
  <c r="H277" i="26"/>
  <c r="E102" i="28" s="1"/>
  <c r="G282" i="26"/>
  <c r="J282" i="26" s="1"/>
  <c r="H282" i="26"/>
  <c r="E107" i="28" s="1"/>
  <c r="G26" i="8"/>
  <c r="M372" i="14"/>
  <c r="N372" i="14" s="1"/>
  <c r="E142" i="5"/>
  <c r="F373" i="14"/>
  <c r="G291" i="26"/>
  <c r="J291" i="26" s="1"/>
  <c r="H291" i="26"/>
  <c r="D142" i="5"/>
  <c r="F340" i="14"/>
  <c r="G276" i="26"/>
  <c r="J276" i="26" s="1"/>
  <c r="H276" i="26"/>
  <c r="E101" i="28" s="1"/>
  <c r="G281" i="26"/>
  <c r="J281" i="26" s="1"/>
  <c r="H281" i="26"/>
  <c r="E106" i="28" s="1"/>
  <c r="G25" i="8"/>
  <c r="M339" i="14"/>
  <c r="H339" i="14"/>
  <c r="N339" i="14"/>
  <c r="G103" i="8"/>
  <c r="M483" i="14"/>
  <c r="N483" i="14" s="1"/>
  <c r="G121" i="8"/>
  <c r="M486" i="14"/>
  <c r="N486" i="14"/>
  <c r="H486" i="14"/>
  <c r="G90" i="8"/>
  <c r="M481" i="14"/>
  <c r="E144" i="2"/>
  <c r="M144" i="2" s="1"/>
  <c r="G102" i="8"/>
  <c r="M450" i="14"/>
  <c r="N450" i="14" s="1"/>
  <c r="G120" i="8"/>
  <c r="M453" i="14"/>
  <c r="N453" i="14"/>
  <c r="H453" i="14"/>
  <c r="N481" i="14"/>
  <c r="H481" i="14"/>
  <c r="H144" i="2"/>
  <c r="N144" i="2"/>
  <c r="F125" i="28"/>
  <c r="G125" i="28" s="1"/>
  <c r="G89" i="8"/>
  <c r="M448" i="14"/>
  <c r="E143" i="2"/>
  <c r="M143" i="2" s="1"/>
  <c r="G101" i="8"/>
  <c r="M417" i="14"/>
  <c r="N417" i="14" s="1"/>
  <c r="G119" i="8"/>
  <c r="M420" i="14"/>
  <c r="N420" i="14"/>
  <c r="H420" i="14"/>
  <c r="N448" i="14"/>
  <c r="H448" i="14"/>
  <c r="H143" i="2"/>
  <c r="N143" i="2"/>
  <c r="F124" i="28"/>
  <c r="G124" i="28" s="1"/>
  <c r="G88" i="8"/>
  <c r="M415" i="14"/>
  <c r="E142" i="2"/>
  <c r="M142" i="2" s="1"/>
  <c r="G100" i="8"/>
  <c r="M384" i="14"/>
  <c r="N384" i="14" s="1"/>
  <c r="G118" i="8"/>
  <c r="M387" i="14"/>
  <c r="N387" i="14"/>
  <c r="H387" i="14"/>
  <c r="N415" i="14"/>
  <c r="H415" i="14"/>
  <c r="H142" i="2"/>
  <c r="N142" i="2"/>
  <c r="F123" i="28"/>
  <c r="G123" i="28" s="1"/>
  <c r="G87" i="8"/>
  <c r="M382" i="14"/>
  <c r="E141" i="2"/>
  <c r="M141" i="2" s="1"/>
  <c r="G99" i="8"/>
  <c r="M351" i="14"/>
  <c r="N351" i="14" s="1"/>
  <c r="G117" i="8"/>
  <c r="M354" i="14"/>
  <c r="N354" i="14"/>
  <c r="H354" i="14"/>
  <c r="N382" i="14"/>
  <c r="H382" i="14"/>
  <c r="H141" i="2"/>
  <c r="N141" i="2"/>
  <c r="F122" i="28"/>
  <c r="G122" i="28" s="1"/>
  <c r="G86" i="8"/>
  <c r="M349" i="14"/>
  <c r="E140" i="2"/>
  <c r="M140" i="2" s="1"/>
  <c r="N349" i="14"/>
  <c r="H349" i="14"/>
  <c r="H140" i="2"/>
  <c r="N140" i="2"/>
  <c r="F121" i="28"/>
  <c r="G121" i="28" s="1"/>
  <c r="H482" i="14"/>
  <c r="G96" i="8"/>
  <c r="M482" i="14"/>
  <c r="N482" i="14" s="1"/>
  <c r="E149" i="2"/>
  <c r="M149" i="2" s="1"/>
  <c r="H449" i="14"/>
  <c r="G95" i="8"/>
  <c r="M449" i="14"/>
  <c r="N449" i="14" s="1"/>
  <c r="E148" i="2"/>
  <c r="M148" i="2" s="1"/>
  <c r="G94" i="8"/>
  <c r="M416" i="14"/>
  <c r="E147" i="2"/>
  <c r="M147" i="2" s="1"/>
  <c r="N416" i="14"/>
  <c r="H416" i="14"/>
  <c r="G93" i="8"/>
  <c r="M383" i="14"/>
  <c r="E146" i="2"/>
  <c r="M146" i="2" s="1"/>
  <c r="N383" i="14"/>
  <c r="H383" i="14"/>
  <c r="G92" i="8"/>
  <c r="M350" i="14"/>
  <c r="E145" i="2"/>
  <c r="M145" i="2" s="1"/>
  <c r="N350" i="14"/>
  <c r="H350" i="14"/>
  <c r="H96" i="4"/>
  <c r="H214" i="4"/>
  <c r="H227" i="4"/>
  <c r="H162" i="4"/>
  <c r="F324" i="14"/>
  <c r="G96" i="4"/>
  <c r="G162" i="4"/>
  <c r="G214" i="4"/>
  <c r="G227" i="4"/>
  <c r="H228" i="4"/>
  <c r="F291" i="14"/>
  <c r="F96" i="4"/>
  <c r="F214" i="4"/>
  <c r="F227" i="4"/>
  <c r="G228" i="4"/>
  <c r="F162" i="4"/>
  <c r="F258" i="14"/>
  <c r="E96" i="4"/>
  <c r="E214" i="4"/>
  <c r="E227" i="4"/>
  <c r="F228" i="4"/>
  <c r="F225" i="14"/>
  <c r="E162" i="4"/>
  <c r="D96" i="4"/>
  <c r="D214" i="4"/>
  <c r="D228" i="4"/>
  <c r="E228" i="4"/>
  <c r="F192" i="14"/>
  <c r="D162" i="4"/>
  <c r="F11" i="8"/>
  <c r="M303" i="14"/>
  <c r="N303" i="14" s="1"/>
  <c r="E294" i="2"/>
  <c r="M294" i="2" s="1"/>
  <c r="F16" i="8"/>
  <c r="M271" i="14"/>
  <c r="N271" i="14" s="1"/>
  <c r="E298" i="2"/>
  <c r="M298" i="2" s="1"/>
  <c r="F10" i="8"/>
  <c r="M270" i="14"/>
  <c r="N270" i="14" s="1"/>
  <c r="E293" i="2"/>
  <c r="M293" i="2" s="1"/>
  <c r="F15" i="8"/>
  <c r="M238" i="14"/>
  <c r="N238" i="14" s="1"/>
  <c r="E297" i="2"/>
  <c r="M297" i="2" s="1"/>
  <c r="F9" i="8"/>
  <c r="M237" i="14"/>
  <c r="N237" i="14" s="1"/>
  <c r="E292" i="2"/>
  <c r="M292" i="2" s="1"/>
  <c r="F14" i="8"/>
  <c r="M205" i="14"/>
  <c r="N205" i="14" s="1"/>
  <c r="E296" i="2"/>
  <c r="M296" i="2" s="1"/>
  <c r="F8" i="8"/>
  <c r="M204" i="14"/>
  <c r="N204" i="14" s="1"/>
  <c r="E291" i="2"/>
  <c r="M291" i="2" s="1"/>
  <c r="F13" i="8"/>
  <c r="M172" i="14"/>
  <c r="N172" i="14" s="1"/>
  <c r="E295" i="2"/>
  <c r="M295" i="2" s="1"/>
  <c r="F7" i="8"/>
  <c r="M171" i="14"/>
  <c r="N171" i="14" s="1"/>
  <c r="E290" i="2"/>
  <c r="M290" i="2" s="1"/>
  <c r="M319" i="14"/>
  <c r="E329" i="2"/>
  <c r="M329" i="2" s="1"/>
  <c r="F109" i="8"/>
  <c r="H319" i="14"/>
  <c r="N319" i="14"/>
  <c r="G195" i="26"/>
  <c r="J195" i="26" s="1"/>
  <c r="H195" i="26"/>
  <c r="H286" i="14"/>
  <c r="E328" i="2"/>
  <c r="M328" i="2" s="1"/>
  <c r="F108" i="8"/>
  <c r="M286" i="14"/>
  <c r="N286" i="14" s="1"/>
  <c r="G194" i="26"/>
  <c r="J194" i="26" s="1"/>
  <c r="H194" i="26"/>
  <c r="M253" i="14"/>
  <c r="E327" i="2"/>
  <c r="M327" i="2" s="1"/>
  <c r="F107" i="8"/>
  <c r="H253" i="14"/>
  <c r="N253" i="14"/>
  <c r="G193" i="26"/>
  <c r="J193" i="26" s="1"/>
  <c r="H193" i="26"/>
  <c r="H220" i="14"/>
  <c r="G192" i="26"/>
  <c r="J192" i="26" s="1"/>
  <c r="H192" i="26"/>
  <c r="E326" i="2"/>
  <c r="M326" i="2" s="1"/>
  <c r="F106" i="8"/>
  <c r="M220" i="14"/>
  <c r="N220" i="14" s="1"/>
  <c r="H187" i="14"/>
  <c r="E325" i="2"/>
  <c r="M325" i="2" s="1"/>
  <c r="F105" i="8"/>
  <c r="M187" i="14"/>
  <c r="N187" i="14" s="1"/>
  <c r="G191" i="26"/>
  <c r="J191" i="26" s="1"/>
  <c r="H191" i="26"/>
  <c r="H307" i="14"/>
  <c r="F35" i="8"/>
  <c r="M307" i="14"/>
  <c r="N307" i="14" s="1"/>
  <c r="H274" i="14"/>
  <c r="F34" i="8"/>
  <c r="M274" i="14"/>
  <c r="N274" i="14" s="1"/>
  <c r="H241" i="14"/>
  <c r="F33" i="8"/>
  <c r="M241" i="14"/>
  <c r="N241" i="14" s="1"/>
  <c r="F32" i="8"/>
  <c r="M208" i="14"/>
  <c r="N208" i="14"/>
  <c r="H208" i="14"/>
  <c r="H175" i="14"/>
  <c r="F31" i="8"/>
  <c r="M175" i="14"/>
  <c r="N175" i="14" s="1"/>
  <c r="H99" i="2"/>
  <c r="F85" i="28"/>
  <c r="G85" i="28" s="1"/>
  <c r="N99" i="2"/>
  <c r="H321" i="14"/>
  <c r="F103" i="8"/>
  <c r="M318" i="14"/>
  <c r="N318" i="14" s="1"/>
  <c r="F121" i="8"/>
  <c r="M321" i="14"/>
  <c r="N321" i="14" s="1"/>
  <c r="F120" i="8"/>
  <c r="M288" i="14"/>
  <c r="N288" i="14"/>
  <c r="H288" i="14"/>
  <c r="H316" i="14"/>
  <c r="E99" i="2"/>
  <c r="M99" i="2" s="1"/>
  <c r="F90" i="8"/>
  <c r="M316" i="14"/>
  <c r="N316" i="14" s="1"/>
  <c r="F102" i="8"/>
  <c r="M285" i="14"/>
  <c r="N285" i="14" s="1"/>
  <c r="F84" i="28"/>
  <c r="G84" i="28" s="1"/>
  <c r="N98" i="2"/>
  <c r="H98" i="2"/>
  <c r="H255" i="14"/>
  <c r="H283" i="14"/>
  <c r="E98" i="2"/>
  <c r="M98" i="2" s="1"/>
  <c r="F89" i="8"/>
  <c r="M283" i="14"/>
  <c r="N283" i="14" s="1"/>
  <c r="F83" i="28"/>
  <c r="G83" i="28" s="1"/>
  <c r="N97" i="2"/>
  <c r="H97" i="2"/>
  <c r="F119" i="8"/>
  <c r="M255" i="14"/>
  <c r="N255" i="14" s="1"/>
  <c r="F101" i="8"/>
  <c r="M252" i="14"/>
  <c r="N252" i="14" s="1"/>
  <c r="H250" i="14"/>
  <c r="M222" i="14"/>
  <c r="F118" i="8"/>
  <c r="N222" i="14"/>
  <c r="H222" i="14"/>
  <c r="F100" i="8"/>
  <c r="M219" i="14"/>
  <c r="N219" i="14" s="1"/>
  <c r="F82" i="28"/>
  <c r="G82" i="28" s="1"/>
  <c r="H96" i="2"/>
  <c r="N96" i="2"/>
  <c r="F88" i="8"/>
  <c r="M250" i="14"/>
  <c r="N250" i="14" s="1"/>
  <c r="E97" i="2"/>
  <c r="M97" i="2" s="1"/>
  <c r="M189" i="14"/>
  <c r="F117" i="8"/>
  <c r="M217" i="14"/>
  <c r="E96" i="2"/>
  <c r="M96" i="2" s="1"/>
  <c r="F87" i="8"/>
  <c r="M186" i="14"/>
  <c r="N186" i="14" s="1"/>
  <c r="F99" i="8"/>
  <c r="N189" i="14"/>
  <c r="H189" i="14"/>
  <c r="N217" i="14"/>
  <c r="H217" i="14"/>
  <c r="F81" i="28"/>
  <c r="G81" i="28" s="1"/>
  <c r="N95" i="2"/>
  <c r="H95" i="2"/>
  <c r="H184" i="14"/>
  <c r="F86" i="8"/>
  <c r="E95" i="2"/>
  <c r="M95" i="2" s="1"/>
  <c r="M184" i="14"/>
  <c r="N184" i="14" s="1"/>
  <c r="E177" i="8"/>
  <c r="M165" i="14"/>
  <c r="N165" i="14" s="1"/>
  <c r="E284" i="2"/>
  <c r="M284" i="2" s="1"/>
  <c r="E176" i="8"/>
  <c r="M132" i="14"/>
  <c r="N132" i="14" s="1"/>
  <c r="E283" i="2"/>
  <c r="M283" i="2" s="1"/>
  <c r="E175" i="8"/>
  <c r="M99" i="14"/>
  <c r="N99" i="14" s="1"/>
  <c r="E282" i="2"/>
  <c r="M282" i="2" s="1"/>
  <c r="M66" i="14"/>
  <c r="N66" i="14" s="1"/>
  <c r="E174" i="8"/>
  <c r="E281" i="2"/>
  <c r="M281" i="2" s="1"/>
  <c r="E173" i="8"/>
  <c r="M33" i="14"/>
  <c r="N33" i="14" s="1"/>
  <c r="E280" i="2"/>
  <c r="M280" i="2" s="1"/>
  <c r="E134" i="8"/>
  <c r="M158" i="14"/>
  <c r="N158" i="14" s="1"/>
  <c r="E54" i="2"/>
  <c r="M54" i="2" s="1"/>
  <c r="H96" i="3"/>
  <c r="H162" i="3"/>
  <c r="H214" i="3"/>
  <c r="H227" i="3"/>
  <c r="F159" i="14"/>
  <c r="G80" i="26"/>
  <c r="J80" i="26" s="1"/>
  <c r="H80" i="26"/>
  <c r="G79" i="26"/>
  <c r="J79" i="26" s="1"/>
  <c r="H79" i="26"/>
  <c r="E133" i="8"/>
  <c r="E53" i="2"/>
  <c r="M53" i="2" s="1"/>
  <c r="M125" i="14"/>
  <c r="N125" i="14" s="1"/>
  <c r="G96" i="3"/>
  <c r="G162" i="3"/>
  <c r="G214" i="3"/>
  <c r="G227" i="3"/>
  <c r="H228" i="3"/>
  <c r="F126" i="14"/>
  <c r="G78" i="26"/>
  <c r="J78" i="26" s="1"/>
  <c r="H78" i="26"/>
  <c r="F96" i="3"/>
  <c r="F162" i="3"/>
  <c r="F214" i="3"/>
  <c r="F227" i="3"/>
  <c r="G228" i="3"/>
  <c r="F93" i="14"/>
  <c r="E132" i="8"/>
  <c r="E52" i="2"/>
  <c r="M52" i="2" s="1"/>
  <c r="M92" i="14"/>
  <c r="N92" i="14" s="1"/>
  <c r="G77" i="26"/>
  <c r="J77" i="26" s="1"/>
  <c r="H77" i="26"/>
  <c r="E96" i="3"/>
  <c r="E162" i="3"/>
  <c r="E214" i="3"/>
  <c r="E227" i="3"/>
  <c r="F228" i="3"/>
  <c r="F60" i="14"/>
  <c r="E131" i="8"/>
  <c r="M59" i="14"/>
  <c r="N59" i="14" s="1"/>
  <c r="E51" i="2"/>
  <c r="M51" i="2" s="1"/>
  <c r="E130" i="8"/>
  <c r="E50" i="2"/>
  <c r="M50" i="2" s="1"/>
  <c r="M26" i="14"/>
  <c r="N26" i="14" s="1"/>
  <c r="G76" i="26"/>
  <c r="J76" i="26" s="1"/>
  <c r="H76" i="26"/>
  <c r="D96" i="3"/>
  <c r="D162" i="3"/>
  <c r="D214" i="3"/>
  <c r="D228" i="3"/>
  <c r="E228" i="3"/>
  <c r="F27" i="14"/>
  <c r="F105" i="26"/>
  <c r="F336" i="29"/>
  <c r="E115" i="8"/>
  <c r="E79" i="2"/>
  <c r="M79" i="2" s="1"/>
  <c r="M155" i="14"/>
  <c r="N155" i="14" s="1"/>
  <c r="G65" i="26"/>
  <c r="J65" i="26" s="1"/>
  <c r="H65" i="26"/>
  <c r="G70" i="26"/>
  <c r="J70" i="26" s="1"/>
  <c r="H70" i="26"/>
  <c r="E114" i="8"/>
  <c r="E78" i="2"/>
  <c r="M78" i="2" s="1"/>
  <c r="M122" i="14"/>
  <c r="N122" i="14" s="1"/>
  <c r="G64" i="26"/>
  <c r="J64" i="26" s="1"/>
  <c r="H64" i="26"/>
  <c r="G69" i="26"/>
  <c r="J69" i="26" s="1"/>
  <c r="H69" i="26"/>
  <c r="G163" i="14"/>
  <c r="F104" i="26"/>
  <c r="F334" i="29"/>
  <c r="F337" i="29"/>
  <c r="E113" i="8"/>
  <c r="M89" i="14"/>
  <c r="N89" i="14" s="1"/>
  <c r="E77" i="2"/>
  <c r="M77" i="2" s="1"/>
  <c r="G130" i="14"/>
  <c r="F103" i="26"/>
  <c r="F332" i="29"/>
  <c r="F335" i="29"/>
  <c r="G63" i="26"/>
  <c r="J63" i="26" s="1"/>
  <c r="H63" i="26"/>
  <c r="G68" i="26"/>
  <c r="J68" i="26" s="1"/>
  <c r="H68" i="26"/>
  <c r="G97" i="14"/>
  <c r="F102" i="26"/>
  <c r="F330" i="29"/>
  <c r="F333" i="29"/>
  <c r="E112" i="8"/>
  <c r="E76" i="2"/>
  <c r="M76" i="2" s="1"/>
  <c r="M56" i="14"/>
  <c r="N56" i="14" s="1"/>
  <c r="G62" i="26"/>
  <c r="J62" i="26" s="1"/>
  <c r="H62" i="26"/>
  <c r="G67" i="26"/>
  <c r="J67" i="26" s="1"/>
  <c r="H67" i="26"/>
  <c r="E111" i="8"/>
  <c r="M23" i="14"/>
  <c r="N23" i="14" s="1"/>
  <c r="E75" i="2"/>
  <c r="M75" i="2" s="1"/>
  <c r="G66" i="26"/>
  <c r="J66" i="26" s="1"/>
  <c r="H66" i="26"/>
  <c r="G61" i="26"/>
  <c r="J61" i="26" s="1"/>
  <c r="H61" i="26"/>
  <c r="G64" i="14"/>
  <c r="D13" i="16"/>
  <c r="F101" i="26"/>
  <c r="F328" i="29"/>
  <c r="F331" i="29"/>
  <c r="G31" i="14"/>
  <c r="C13" i="16"/>
  <c r="E13" i="16" s="1"/>
  <c r="F329" i="29"/>
  <c r="E84" i="8"/>
  <c r="M150" i="14"/>
  <c r="N150" i="14" s="1"/>
  <c r="E34" i="2"/>
  <c r="M34" i="2" s="1"/>
  <c r="G40" i="26"/>
  <c r="J40" i="26" s="1"/>
  <c r="H40" i="26"/>
  <c r="E60" i="8"/>
  <c r="M146" i="14"/>
  <c r="N146" i="14" s="1"/>
  <c r="E274" i="2"/>
  <c r="M274" i="2" s="1"/>
  <c r="E78" i="8"/>
  <c r="M149" i="14"/>
  <c r="N149" i="14" s="1"/>
  <c r="E42" i="8"/>
  <c r="M143" i="14"/>
  <c r="N143" i="14" s="1"/>
  <c r="E19" i="2"/>
  <c r="M19" i="2" s="1"/>
  <c r="G39" i="26"/>
  <c r="J39" i="26" s="1"/>
  <c r="H39" i="26"/>
  <c r="E59" i="8"/>
  <c r="M113" i="14"/>
  <c r="N113" i="14" s="1"/>
  <c r="E273" i="2"/>
  <c r="M273" i="2" s="1"/>
  <c r="E41" i="8"/>
  <c r="E18" i="2"/>
  <c r="M18" i="2" s="1"/>
  <c r="M110" i="14"/>
  <c r="N110" i="14" s="1"/>
  <c r="E77" i="8"/>
  <c r="M116" i="14"/>
  <c r="N116" i="14" s="1"/>
  <c r="E83" i="8"/>
  <c r="M117" i="14"/>
  <c r="N117" i="14" s="1"/>
  <c r="E33" i="2"/>
  <c r="M33" i="2" s="1"/>
  <c r="E32" i="2"/>
  <c r="M32" i="2" s="1"/>
  <c r="E82" i="8"/>
  <c r="M84" i="14"/>
  <c r="N84" i="14" s="1"/>
  <c r="E40" i="8"/>
  <c r="M77" i="14"/>
  <c r="N77" i="14" s="1"/>
  <c r="E17" i="2"/>
  <c r="M17" i="2" s="1"/>
  <c r="E76" i="8"/>
  <c r="M83" i="14"/>
  <c r="N83" i="14" s="1"/>
  <c r="E58" i="8"/>
  <c r="M80" i="14"/>
  <c r="N80" i="14" s="1"/>
  <c r="E272" i="2"/>
  <c r="M272" i="2" s="1"/>
  <c r="G38" i="26"/>
  <c r="J38" i="26" s="1"/>
  <c r="H38" i="26"/>
  <c r="G37" i="26"/>
  <c r="J37" i="26" s="1"/>
  <c r="H37" i="26"/>
  <c r="E57" i="8"/>
  <c r="M47" i="14"/>
  <c r="N47" i="14" s="1"/>
  <c r="E271" i="2"/>
  <c r="M271" i="2" s="1"/>
  <c r="E75" i="8"/>
  <c r="M50" i="14"/>
  <c r="N50" i="14" s="1"/>
  <c r="E81" i="8"/>
  <c r="M51" i="14"/>
  <c r="N51" i="14" s="1"/>
  <c r="E31" i="2"/>
  <c r="M31" i="2" s="1"/>
  <c r="E39" i="8"/>
  <c r="M44" i="14"/>
  <c r="N44" i="14" s="1"/>
  <c r="E16" i="2"/>
  <c r="M16" i="2" s="1"/>
  <c r="G36" i="26"/>
  <c r="J36" i="26" s="1"/>
  <c r="H36" i="26"/>
  <c r="E15" i="2"/>
  <c r="M15" i="2" s="1"/>
  <c r="E38" i="8"/>
  <c r="M11" i="14"/>
  <c r="N11" i="14" s="1"/>
  <c r="E74" i="8"/>
  <c r="M17" i="14"/>
  <c r="N17" i="14" s="1"/>
  <c r="E56" i="8"/>
  <c r="M14" i="14"/>
  <c r="N14" i="14" s="1"/>
  <c r="E270" i="2"/>
  <c r="M270" i="2" s="1"/>
  <c r="E30" i="2"/>
  <c r="M30" i="2" s="1"/>
  <c r="E80" i="8"/>
  <c r="M18" i="14"/>
  <c r="N18" i="14" s="1"/>
  <c r="E23" i="8"/>
  <c r="M140" i="14"/>
  <c r="N140" i="14" s="1"/>
  <c r="E11" i="8"/>
  <c r="M138" i="14"/>
  <c r="N138" i="14" s="1"/>
  <c r="E9" i="2"/>
  <c r="M9" i="2" s="1"/>
  <c r="E14" i="2"/>
  <c r="M14" i="2" s="1"/>
  <c r="E17" i="8"/>
  <c r="M139" i="14"/>
  <c r="N139" i="14" s="1"/>
  <c r="E10" i="8"/>
  <c r="E8" i="2"/>
  <c r="M8" i="2" s="1"/>
  <c r="M105" i="14"/>
  <c r="N105" i="14" s="1"/>
  <c r="E16" i="8"/>
  <c r="E13" i="2"/>
  <c r="M13" i="2" s="1"/>
  <c r="M106" i="14"/>
  <c r="N106" i="14" s="1"/>
  <c r="E22" i="8"/>
  <c r="M107" i="14"/>
  <c r="N107" i="14" s="1"/>
  <c r="E15" i="8"/>
  <c r="M73" i="14"/>
  <c r="N73" i="14" s="1"/>
  <c r="E12" i="2"/>
  <c r="M12" i="2" s="1"/>
  <c r="E9" i="8"/>
  <c r="M72" i="14"/>
  <c r="N72" i="14" s="1"/>
  <c r="E7" i="2"/>
  <c r="M7" i="2" s="1"/>
  <c r="E21" i="8"/>
  <c r="M74" i="14"/>
  <c r="N74" i="14" s="1"/>
  <c r="E14" i="8"/>
  <c r="M40" i="14"/>
  <c r="N40" i="14" s="1"/>
  <c r="E11" i="2"/>
  <c r="M11" i="2" s="1"/>
  <c r="E20" i="8"/>
  <c r="M41" i="14"/>
  <c r="N41" i="14" s="1"/>
  <c r="E8" i="8"/>
  <c r="E6" i="2"/>
  <c r="M6" i="2" s="1"/>
  <c r="M39" i="14"/>
  <c r="N39" i="14" s="1"/>
  <c r="E19" i="8"/>
  <c r="M8" i="14"/>
  <c r="N8" i="14" s="1"/>
  <c r="E7" i="8"/>
  <c r="E5" i="2"/>
  <c r="M5" i="2" s="1"/>
  <c r="M6" i="14"/>
  <c r="N6" i="14" s="1"/>
  <c r="E13" i="8"/>
  <c r="M7" i="14"/>
  <c r="N7" i="14" s="1"/>
  <c r="E10" i="2"/>
  <c r="M10" i="2" s="1"/>
  <c r="H8" i="14"/>
  <c r="H154" i="14"/>
  <c r="G60" i="26"/>
  <c r="J60" i="26" s="1"/>
  <c r="H60" i="26"/>
  <c r="H121" i="14"/>
  <c r="G59" i="26"/>
  <c r="J59" i="26" s="1"/>
  <c r="H59" i="26"/>
  <c r="H88" i="14"/>
  <c r="G58" i="26"/>
  <c r="J58" i="26" s="1"/>
  <c r="H58" i="26"/>
  <c r="H55" i="14"/>
  <c r="G57" i="26"/>
  <c r="J57" i="26" s="1"/>
  <c r="H57" i="26"/>
  <c r="H22" i="14"/>
  <c r="G56" i="26"/>
  <c r="J56" i="26" s="1"/>
  <c r="H56" i="26"/>
  <c r="G120" i="26"/>
  <c r="J120" i="26" s="1"/>
  <c r="H120" i="26"/>
  <c r="N26" i="21"/>
  <c r="K26" i="21"/>
  <c r="E109" i="8"/>
  <c r="M154" i="14"/>
  <c r="N154" i="14" s="1"/>
  <c r="N28" i="21"/>
  <c r="K28" i="21"/>
  <c r="E74" i="2"/>
  <c r="E183" i="8"/>
  <c r="P10" i="11"/>
  <c r="M166" i="14"/>
  <c r="N166" i="14" s="1"/>
  <c r="P9" i="11"/>
  <c r="E182" i="8"/>
  <c r="M133" i="14"/>
  <c r="N133" i="14" s="1"/>
  <c r="E73" i="2"/>
  <c r="N21" i="21"/>
  <c r="K21" i="21"/>
  <c r="N23" i="21"/>
  <c r="K23" i="21"/>
  <c r="G119" i="26"/>
  <c r="J119" i="26" s="1"/>
  <c r="H119" i="26"/>
  <c r="E108" i="8"/>
  <c r="M121" i="14"/>
  <c r="N121" i="14" s="1"/>
  <c r="E72" i="2"/>
  <c r="P8" i="11"/>
  <c r="E181" i="8"/>
  <c r="M100" i="14"/>
  <c r="N100" i="14" s="1"/>
  <c r="N16" i="21"/>
  <c r="K16" i="21"/>
  <c r="N18" i="21"/>
  <c r="K18" i="21"/>
  <c r="G118" i="26"/>
  <c r="J118" i="26" s="1"/>
  <c r="H118" i="26"/>
  <c r="E107" i="8"/>
  <c r="M88" i="14"/>
  <c r="N88" i="14" s="1"/>
  <c r="N13" i="21"/>
  <c r="K13" i="21"/>
  <c r="N11" i="21"/>
  <c r="K11" i="21"/>
  <c r="G117" i="26"/>
  <c r="J117" i="26" s="1"/>
  <c r="H117" i="26"/>
  <c r="E180" i="8"/>
  <c r="P7" i="11"/>
  <c r="M67" i="14"/>
  <c r="N67" i="14" s="1"/>
  <c r="E71" i="2"/>
  <c r="E106" i="8"/>
  <c r="M55" i="14"/>
  <c r="N55" i="14" s="1"/>
  <c r="E105" i="8"/>
  <c r="M22" i="14"/>
  <c r="N22" i="14" s="1"/>
  <c r="N6" i="21"/>
  <c r="K6" i="21"/>
  <c r="N8" i="21"/>
  <c r="K8" i="21"/>
  <c r="G116" i="26"/>
  <c r="J116" i="26" s="1"/>
  <c r="H116" i="26"/>
  <c r="E179" i="8"/>
  <c r="P6" i="11"/>
  <c r="M34" i="14"/>
  <c r="N34" i="14" s="1"/>
  <c r="E70" i="2"/>
  <c r="G15" i="26"/>
  <c r="J15" i="26" s="1"/>
  <c r="H15" i="26"/>
  <c r="G25" i="26"/>
  <c r="J25" i="26" s="1"/>
  <c r="H25" i="26"/>
  <c r="G10" i="26"/>
  <c r="J10" i="26" s="1"/>
  <c r="H10" i="26"/>
  <c r="H142" i="3"/>
  <c r="F142" i="14"/>
  <c r="E29" i="8"/>
  <c r="M141" i="14"/>
  <c r="N141" i="14" s="1"/>
  <c r="G24" i="26"/>
  <c r="J24" i="26" s="1"/>
  <c r="H24" i="26"/>
  <c r="G142" i="3"/>
  <c r="F109" i="14"/>
  <c r="E28" i="8"/>
  <c r="M108" i="14"/>
  <c r="N108" i="14" s="1"/>
  <c r="G14" i="26"/>
  <c r="J14" i="26" s="1"/>
  <c r="H14" i="26"/>
  <c r="G9" i="26"/>
  <c r="J9" i="26" s="1"/>
  <c r="H9" i="26"/>
  <c r="G8" i="26"/>
  <c r="J8" i="26" s="1"/>
  <c r="H8" i="26"/>
  <c r="G23" i="26"/>
  <c r="J23" i="26" s="1"/>
  <c r="H23" i="26"/>
  <c r="E27" i="8"/>
  <c r="M75" i="14"/>
  <c r="N75" i="14" s="1"/>
  <c r="G13" i="26"/>
  <c r="J13" i="26" s="1"/>
  <c r="H13" i="26"/>
  <c r="F142" i="3"/>
  <c r="F76" i="14"/>
  <c r="G22" i="26"/>
  <c r="J22" i="26" s="1"/>
  <c r="H22" i="26"/>
  <c r="E26" i="8"/>
  <c r="M42" i="14"/>
  <c r="N42" i="14" s="1"/>
  <c r="E142" i="3"/>
  <c r="F43" i="14"/>
  <c r="G12" i="26"/>
  <c r="J12" i="26" s="1"/>
  <c r="H12" i="26"/>
  <c r="G7" i="26"/>
  <c r="J7" i="26" s="1"/>
  <c r="H7" i="26"/>
  <c r="G21" i="26"/>
  <c r="J21" i="26" s="1"/>
  <c r="H21" i="26"/>
  <c r="G6" i="26"/>
  <c r="J6" i="26" s="1"/>
  <c r="H6" i="26"/>
  <c r="D142" i="3"/>
  <c r="F10" i="14"/>
  <c r="E25" i="8"/>
  <c r="M9" i="14"/>
  <c r="H9" i="14"/>
  <c r="N9" i="14"/>
  <c r="G11" i="26"/>
  <c r="J11" i="26" s="1"/>
  <c r="H11" i="26"/>
  <c r="E103" i="8"/>
  <c r="M153" i="14"/>
  <c r="N153" i="14" s="1"/>
  <c r="E121" i="8"/>
  <c r="M156" i="14"/>
  <c r="N156" i="14"/>
  <c r="H156" i="14"/>
  <c r="I29" i="21"/>
  <c r="M18" i="20"/>
  <c r="N30" i="21"/>
  <c r="K30" i="21"/>
  <c r="F30" i="28"/>
  <c r="G30" i="28" s="1"/>
  <c r="H39" i="2"/>
  <c r="N39" i="2"/>
  <c r="E90" i="8"/>
  <c r="E39" i="2"/>
  <c r="M39" i="2" s="1"/>
  <c r="M151" i="14"/>
  <c r="E102" i="8"/>
  <c r="M120" i="14"/>
  <c r="N120" i="14" s="1"/>
  <c r="E120" i="8"/>
  <c r="M123" i="14"/>
  <c r="N123" i="14"/>
  <c r="H123" i="14"/>
  <c r="N151" i="14"/>
  <c r="H151" i="14"/>
  <c r="I24" i="21"/>
  <c r="M17" i="20"/>
  <c r="N25" i="21"/>
  <c r="K25" i="21"/>
  <c r="N38" i="2"/>
  <c r="H38" i="2"/>
  <c r="F29" i="28"/>
  <c r="G29" i="28" s="1"/>
  <c r="E89" i="8"/>
  <c r="M118" i="14"/>
  <c r="E38" i="2"/>
  <c r="M38" i="2" s="1"/>
  <c r="E101" i="8"/>
  <c r="M87" i="14"/>
  <c r="N87" i="14" s="1"/>
  <c r="E119" i="8"/>
  <c r="M90" i="14"/>
  <c r="N90" i="14"/>
  <c r="H90" i="14"/>
  <c r="N118" i="14"/>
  <c r="H118" i="14"/>
  <c r="N19" i="21"/>
  <c r="K19" i="21"/>
  <c r="I20" i="21"/>
  <c r="M16" i="20"/>
  <c r="F28" i="28"/>
  <c r="G28" i="28" s="1"/>
  <c r="H37" i="2"/>
  <c r="N37" i="2"/>
  <c r="E88" i="8"/>
  <c r="M85" i="14"/>
  <c r="E37" i="2"/>
  <c r="M37" i="2" s="1"/>
  <c r="E100" i="8"/>
  <c r="M54" i="14"/>
  <c r="N54" i="14" s="1"/>
  <c r="E118" i="8"/>
  <c r="M57" i="14"/>
  <c r="N57" i="14"/>
  <c r="H57" i="14"/>
  <c r="N85" i="14"/>
  <c r="H85" i="14"/>
  <c r="N14" i="21"/>
  <c r="K14" i="21"/>
  <c r="I15" i="21"/>
  <c r="M15" i="20"/>
  <c r="F27" i="28"/>
  <c r="G27" i="28" s="1"/>
  <c r="H36" i="2"/>
  <c r="N36" i="2"/>
  <c r="E87" i="8"/>
  <c r="M52" i="14"/>
  <c r="E36" i="2"/>
  <c r="M36" i="2" s="1"/>
  <c r="E99" i="8"/>
  <c r="M21" i="14"/>
  <c r="N21" i="14" s="1"/>
  <c r="E117" i="8"/>
  <c r="M24" i="14"/>
  <c r="N52" i="14"/>
  <c r="H52" i="14"/>
  <c r="N24" i="14"/>
  <c r="H24" i="14"/>
  <c r="N9" i="21"/>
  <c r="K9" i="21"/>
  <c r="I10" i="21"/>
  <c r="M14" i="20"/>
  <c r="F26" i="28"/>
  <c r="G26" i="28" s="1"/>
  <c r="N35" i="2"/>
  <c r="H35" i="2"/>
  <c r="E86" i="8"/>
  <c r="M19" i="14"/>
  <c r="E35" i="2"/>
  <c r="M35" i="2" s="1"/>
  <c r="N19" i="14"/>
  <c r="H19" i="14"/>
  <c r="E275" i="26"/>
  <c r="E274" i="26"/>
  <c r="E273" i="26"/>
  <c r="E272" i="26"/>
  <c r="E271" i="26"/>
  <c r="I247" i="21"/>
  <c r="I195" i="21"/>
  <c r="I1287" i="21"/>
  <c r="I196" i="21"/>
  <c r="I144" i="21"/>
  <c r="I1288" i="21"/>
  <c r="I93" i="21"/>
  <c r="I145" i="21"/>
  <c r="I238" i="21"/>
  <c r="I230" i="21"/>
  <c r="I222" i="21"/>
  <c r="I242" i="21"/>
  <c r="I187" i="21"/>
  <c r="I179" i="21"/>
  <c r="I234" i="21"/>
  <c r="I226" i="21"/>
  <c r="I171" i="21"/>
  <c r="I1279" i="21"/>
  <c r="I191" i="21"/>
  <c r="I183" i="21"/>
  <c r="I1271" i="21"/>
  <c r="I175" i="21"/>
  <c r="I1263" i="21"/>
  <c r="I1283" i="21"/>
  <c r="I136" i="21"/>
  <c r="I1275" i="21"/>
  <c r="I128" i="21"/>
  <c r="I1267" i="21"/>
  <c r="I120" i="21"/>
  <c r="I140" i="21"/>
  <c r="I85" i="21"/>
  <c r="I77" i="21"/>
  <c r="I132" i="21"/>
  <c r="I69" i="21"/>
  <c r="I124" i="21"/>
  <c r="I89" i="21"/>
  <c r="I81" i="21"/>
  <c r="I73" i="21"/>
  <c r="R241" i="8"/>
  <c r="R238" i="8"/>
  <c r="R236" i="8"/>
  <c r="R243" i="8"/>
  <c r="R235" i="8"/>
  <c r="R232" i="8"/>
  <c r="R231" i="8"/>
  <c r="H825" i="14"/>
  <c r="Z30" i="30"/>
  <c r="Z29" i="30"/>
  <c r="H792" i="14"/>
  <c r="Z28" i="30"/>
  <c r="H759" i="14"/>
  <c r="Z27" i="30"/>
  <c r="H726" i="14"/>
  <c r="Z26" i="30"/>
  <c r="H693" i="14"/>
  <c r="N815" i="14"/>
  <c r="H782" i="14"/>
  <c r="H749" i="14"/>
  <c r="H716" i="14"/>
  <c r="H683" i="14"/>
  <c r="H798" i="14"/>
  <c r="H799" i="14"/>
  <c r="H765" i="14"/>
  <c r="H766" i="14"/>
  <c r="H733" i="14"/>
  <c r="N814" i="14"/>
  <c r="N781" i="14"/>
  <c r="N748" i="14"/>
  <c r="N715" i="14"/>
  <c r="N682" i="14"/>
  <c r="N732" i="14"/>
  <c r="N700" i="14"/>
  <c r="N699" i="14"/>
  <c r="N666" i="14"/>
  <c r="N667" i="14"/>
  <c r="Z25" i="30"/>
  <c r="Z24" i="30"/>
  <c r="Z23" i="30"/>
  <c r="Z22" i="30"/>
  <c r="Z21" i="30"/>
  <c r="H650" i="14"/>
  <c r="H617" i="14"/>
  <c r="N584" i="14"/>
  <c r="N551" i="14"/>
  <c r="N518" i="14"/>
  <c r="H535" i="14"/>
  <c r="H534" i="14"/>
  <c r="H502" i="14"/>
  <c r="H501" i="14"/>
  <c r="I1659" i="21"/>
  <c r="I496" i="21"/>
  <c r="I493" i="21"/>
  <c r="I1656" i="21"/>
  <c r="I1653" i="21"/>
  <c r="I1650" i="21"/>
  <c r="H495" i="14"/>
  <c r="Z20" i="30"/>
  <c r="H462" i="14"/>
  <c r="Z19" i="30"/>
  <c r="H429" i="14"/>
  <c r="Z18" i="30"/>
  <c r="Z17" i="30"/>
  <c r="H396" i="14"/>
  <c r="Z16" i="30"/>
  <c r="H363" i="14"/>
  <c r="H485" i="14"/>
  <c r="H419" i="14"/>
  <c r="H353" i="14"/>
  <c r="H468" i="14"/>
  <c r="H469" i="14"/>
  <c r="H436" i="14"/>
  <c r="H435" i="14"/>
  <c r="H403" i="14"/>
  <c r="H402" i="14"/>
  <c r="H369" i="14"/>
  <c r="H370" i="14"/>
  <c r="H337" i="14"/>
  <c r="H336" i="14"/>
  <c r="Z10" i="30"/>
  <c r="Z9" i="30"/>
  <c r="Z8" i="30"/>
  <c r="Z7" i="30"/>
  <c r="Z6" i="30"/>
  <c r="H7" i="14"/>
  <c r="H6" i="14"/>
  <c r="H120" i="14"/>
  <c r="H87" i="14"/>
  <c r="H54" i="14"/>
  <c r="H21" i="14"/>
  <c r="K786" i="21"/>
  <c r="N786" i="21"/>
  <c r="N785" i="21"/>
  <c r="K785" i="21"/>
  <c r="N547" i="21"/>
  <c r="K547" i="21"/>
  <c r="N545" i="21"/>
  <c r="K545" i="21"/>
  <c r="K546" i="21"/>
  <c r="N546" i="21"/>
  <c r="N738" i="21"/>
  <c r="K738" i="21"/>
  <c r="N737" i="21"/>
  <c r="K737" i="21"/>
  <c r="K528" i="21"/>
  <c r="N528" i="21"/>
  <c r="K530" i="21"/>
  <c r="N530" i="21"/>
  <c r="N529" i="21"/>
  <c r="K529" i="21"/>
  <c r="N689" i="21"/>
  <c r="K689" i="21"/>
  <c r="K690" i="21"/>
  <c r="N690" i="21"/>
  <c r="N513" i="21"/>
  <c r="K513" i="21"/>
  <c r="N512" i="21"/>
  <c r="K512" i="21"/>
  <c r="N511" i="21"/>
  <c r="K511" i="21"/>
  <c r="K642" i="21"/>
  <c r="N642" i="21"/>
  <c r="K641" i="21"/>
  <c r="N641" i="21"/>
  <c r="N1318" i="21"/>
  <c r="K1318" i="21"/>
  <c r="N1319" i="21"/>
  <c r="K1319" i="21"/>
  <c r="N1320" i="21"/>
  <c r="K1320" i="21"/>
  <c r="N593" i="21"/>
  <c r="K593" i="21"/>
  <c r="N594" i="21"/>
  <c r="K594" i="21"/>
  <c r="N1303" i="21"/>
  <c r="K1303" i="21"/>
  <c r="N1304" i="21"/>
  <c r="K1304" i="21"/>
  <c r="N1305" i="21"/>
  <c r="K1305" i="21"/>
  <c r="K969" i="21"/>
  <c r="N969" i="21"/>
  <c r="N1194" i="21"/>
  <c r="K1194" i="21"/>
  <c r="N1193" i="21"/>
  <c r="K1193" i="21"/>
  <c r="K970" i="21"/>
  <c r="N970" i="21"/>
  <c r="N1138" i="21"/>
  <c r="K1138" i="21"/>
  <c r="K913" i="21"/>
  <c r="N913" i="21"/>
  <c r="N971" i="21"/>
  <c r="K971" i="21"/>
  <c r="N914" i="21"/>
  <c r="K914" i="21"/>
  <c r="N1137" i="21"/>
  <c r="K1137" i="21"/>
  <c r="K1195" i="21"/>
  <c r="N1195" i="21"/>
  <c r="N1082" i="21"/>
  <c r="K1082" i="21"/>
  <c r="N857" i="21"/>
  <c r="K857" i="21"/>
  <c r="N1139" i="21"/>
  <c r="K1139" i="21"/>
  <c r="N858" i="21"/>
  <c r="K858" i="21"/>
  <c r="K1081" i="21"/>
  <c r="N1081" i="21"/>
  <c r="K915" i="21"/>
  <c r="N915" i="21"/>
  <c r="N802" i="21"/>
  <c r="K802" i="21"/>
  <c r="N801" i="21"/>
  <c r="K801" i="21"/>
  <c r="K1026" i="21"/>
  <c r="N1026" i="21"/>
  <c r="N859" i="21"/>
  <c r="K859" i="21"/>
  <c r="N1083" i="21"/>
  <c r="K1083" i="21"/>
  <c r="K1025" i="21"/>
  <c r="N1025" i="21"/>
  <c r="K803" i="21"/>
  <c r="N803" i="21"/>
  <c r="N1415" i="21"/>
  <c r="K1415" i="21"/>
  <c r="N1414" i="21"/>
  <c r="K1414" i="21"/>
  <c r="N1465" i="21"/>
  <c r="K1465" i="21"/>
  <c r="N1466" i="21"/>
  <c r="K1466" i="21"/>
  <c r="N1027" i="21"/>
  <c r="K1027" i="21"/>
  <c r="N244" i="21"/>
  <c r="K244" i="21"/>
  <c r="N245" i="21"/>
  <c r="K245" i="21"/>
  <c r="N193" i="21"/>
  <c r="K193" i="21"/>
  <c r="N194" i="21"/>
  <c r="K194" i="21"/>
  <c r="N1285" i="21"/>
  <c r="K1285" i="21"/>
  <c r="N1286" i="21"/>
  <c r="K1286" i="21"/>
  <c r="N143" i="21"/>
  <c r="K143" i="21"/>
  <c r="N142" i="21"/>
  <c r="K142" i="21"/>
  <c r="N92" i="21"/>
  <c r="K92" i="21"/>
  <c r="K91" i="21"/>
  <c r="N91" i="21"/>
  <c r="K246" i="21"/>
  <c r="N246" i="21"/>
  <c r="K94" i="21"/>
  <c r="N94" i="21"/>
  <c r="G570" i="26"/>
  <c r="J570" i="26" s="1"/>
  <c r="H570" i="26"/>
  <c r="G569" i="26"/>
  <c r="J569" i="26" s="1"/>
  <c r="H569" i="26"/>
  <c r="H568" i="26"/>
  <c r="G568" i="26"/>
  <c r="J568" i="26" s="1"/>
  <c r="G567" i="26"/>
  <c r="J567" i="26" s="1"/>
  <c r="H567" i="26"/>
  <c r="G566" i="26"/>
  <c r="J566" i="26" s="1"/>
  <c r="H566" i="26"/>
  <c r="G670" i="26"/>
  <c r="J670" i="26" s="1"/>
  <c r="H670" i="26"/>
  <c r="E450" i="28" s="1"/>
  <c r="H669" i="26"/>
  <c r="E449" i="28" s="1"/>
  <c r="G669" i="26"/>
  <c r="J669" i="26" s="1"/>
  <c r="G668" i="26"/>
  <c r="J668" i="26" s="1"/>
  <c r="H668" i="26"/>
  <c r="E448" i="28" s="1"/>
  <c r="H667" i="26"/>
  <c r="E447" i="28" s="1"/>
  <c r="G667" i="26"/>
  <c r="J667" i="26" s="1"/>
  <c r="H666" i="26"/>
  <c r="E446" i="28" s="1"/>
  <c r="G666" i="26"/>
  <c r="J666" i="26" s="1"/>
  <c r="H435" i="26"/>
  <c r="G435" i="26"/>
  <c r="J435" i="26" s="1"/>
  <c r="H434" i="26"/>
  <c r="G434" i="26"/>
  <c r="J434" i="26" s="1"/>
  <c r="H433" i="26"/>
  <c r="G433" i="26"/>
  <c r="J433" i="26" s="1"/>
  <c r="G432" i="26"/>
  <c r="J432" i="26" s="1"/>
  <c r="H432" i="26"/>
  <c r="E347" i="28" s="1"/>
  <c r="G431" i="26"/>
  <c r="J431" i="26" s="1"/>
  <c r="H431" i="26"/>
  <c r="E346" i="28" s="1"/>
  <c r="H535" i="26"/>
  <c r="E385" i="28" s="1"/>
  <c r="G535" i="26"/>
  <c r="J535" i="26" s="1"/>
  <c r="G534" i="26"/>
  <c r="J534" i="26" s="1"/>
  <c r="H534" i="26"/>
  <c r="E384" i="28" s="1"/>
  <c r="G533" i="26"/>
  <c r="J533" i="26" s="1"/>
  <c r="H533" i="26"/>
  <c r="E383" i="28" s="1"/>
  <c r="H532" i="26"/>
  <c r="E382" i="28" s="1"/>
  <c r="G532" i="26"/>
  <c r="J532" i="26" s="1"/>
  <c r="H531" i="26"/>
  <c r="E381" i="28" s="1"/>
  <c r="G531" i="26"/>
  <c r="J531" i="26" s="1"/>
  <c r="G460" i="26"/>
  <c r="J460" i="26" s="1"/>
  <c r="H460" i="26"/>
  <c r="E185" i="28" s="1"/>
  <c r="H459" i="26"/>
  <c r="E184" i="28" s="1"/>
  <c r="G459" i="26"/>
  <c r="J459" i="26" s="1"/>
  <c r="G458" i="26"/>
  <c r="J458" i="26" s="1"/>
  <c r="H458" i="26"/>
  <c r="E183" i="28" s="1"/>
  <c r="G457" i="26"/>
  <c r="J457" i="26" s="1"/>
  <c r="H457" i="26"/>
  <c r="E182" i="28" s="1"/>
  <c r="G456" i="26"/>
  <c r="J456" i="26" s="1"/>
  <c r="H456" i="26"/>
  <c r="E181" i="28" s="1"/>
  <c r="H297" i="26"/>
  <c r="G297" i="26"/>
  <c r="J297" i="26" s="1"/>
  <c r="G296" i="26"/>
  <c r="J296" i="26" s="1"/>
  <c r="H296" i="26"/>
  <c r="M45" i="20"/>
  <c r="I447" i="21"/>
  <c r="G400" i="26"/>
  <c r="J400" i="26" s="1"/>
  <c r="H400" i="26"/>
  <c r="G399" i="26"/>
  <c r="J399" i="26" s="1"/>
  <c r="H399" i="26"/>
  <c r="G398" i="26"/>
  <c r="J398" i="26" s="1"/>
  <c r="H398" i="26"/>
  <c r="G397" i="26"/>
  <c r="J397" i="26" s="1"/>
  <c r="H397" i="26"/>
  <c r="G396" i="26"/>
  <c r="J396" i="26" s="1"/>
  <c r="H396" i="26"/>
  <c r="G325" i="26"/>
  <c r="J325" i="26" s="1"/>
  <c r="H325" i="26"/>
  <c r="G324" i="26"/>
  <c r="J324" i="26" s="1"/>
  <c r="H324" i="26"/>
  <c r="G323" i="26"/>
  <c r="J323" i="26" s="1"/>
  <c r="H323" i="26"/>
  <c r="G322" i="26"/>
  <c r="J322" i="26" s="1"/>
  <c r="H322" i="26"/>
  <c r="H321" i="26"/>
  <c r="G321" i="26"/>
  <c r="J321" i="26" s="1"/>
  <c r="M201" i="8"/>
  <c r="N201" i="8"/>
  <c r="K201" i="8"/>
  <c r="J201" i="8"/>
  <c r="L201" i="8" s="1"/>
  <c r="P201" i="8" s="1"/>
  <c r="M200" i="8"/>
  <c r="N200" i="8"/>
  <c r="J200" i="8"/>
  <c r="L200" i="8" s="1"/>
  <c r="K200" i="8"/>
  <c r="R200" i="8" s="1"/>
  <c r="M199" i="8"/>
  <c r="J199" i="8"/>
  <c r="L199" i="8" s="1"/>
  <c r="N199" i="8"/>
  <c r="K199" i="8"/>
  <c r="R199" i="8" s="1"/>
  <c r="M198" i="8"/>
  <c r="J198" i="8"/>
  <c r="L198" i="8" s="1"/>
  <c r="N198" i="8"/>
  <c r="K198" i="8"/>
  <c r="R198" i="8" s="1"/>
  <c r="M197" i="8"/>
  <c r="J197" i="8"/>
  <c r="L197" i="8" s="1"/>
  <c r="N197" i="8"/>
  <c r="K197" i="8"/>
  <c r="R197" i="8" s="1"/>
  <c r="F37" i="18"/>
  <c r="G37" i="18"/>
  <c r="M66" i="8"/>
  <c r="N66" i="8"/>
  <c r="K66" i="8"/>
  <c r="J66" i="8"/>
  <c r="L66" i="8" s="1"/>
  <c r="P66" i="8" s="1"/>
  <c r="M65" i="8"/>
  <c r="K65" i="8"/>
  <c r="J65" i="8"/>
  <c r="L65" i="8" s="1"/>
  <c r="P65" i="8" s="1"/>
  <c r="N65" i="8"/>
  <c r="M64" i="8"/>
  <c r="J64" i="8"/>
  <c r="L64" i="8" s="1"/>
  <c r="K64" i="8"/>
  <c r="R64" i="8" s="1"/>
  <c r="N64" i="8"/>
  <c r="M63" i="8"/>
  <c r="N63" i="8"/>
  <c r="K63" i="8"/>
  <c r="J63" i="8"/>
  <c r="L63" i="8" s="1"/>
  <c r="P63" i="8" s="1"/>
  <c r="M62" i="8"/>
  <c r="N62" i="8"/>
  <c r="K62" i="8"/>
  <c r="J62" i="8"/>
  <c r="L62" i="8" s="1"/>
  <c r="P62" i="8" s="1"/>
  <c r="F15" i="18"/>
  <c r="G15" i="18"/>
  <c r="K54" i="8"/>
  <c r="N54" i="8"/>
  <c r="J54" i="8"/>
  <c r="L54" i="8" s="1"/>
  <c r="P54" i="8" s="1"/>
  <c r="K53" i="8"/>
  <c r="J53" i="8"/>
  <c r="L53" i="8" s="1"/>
  <c r="P53" i="8" s="1"/>
  <c r="N53" i="8"/>
  <c r="K52" i="8"/>
  <c r="N52" i="8"/>
  <c r="J52" i="8"/>
  <c r="L52" i="8" s="1"/>
  <c r="P52" i="8" s="1"/>
  <c r="J51" i="8"/>
  <c r="L51" i="8" s="1"/>
  <c r="N51" i="8"/>
  <c r="K51" i="8"/>
  <c r="R51" i="8" s="1"/>
  <c r="N50" i="8"/>
  <c r="J50" i="8"/>
  <c r="L50" i="8" s="1"/>
  <c r="K50" i="8"/>
  <c r="R50" i="8" s="1"/>
  <c r="M48" i="8"/>
  <c r="N48" i="8"/>
  <c r="J48" i="8"/>
  <c r="L48" i="8" s="1"/>
  <c r="K48" i="8"/>
  <c r="R48" i="8" s="1"/>
  <c r="M47" i="8"/>
  <c r="K47" i="8"/>
  <c r="N47" i="8"/>
  <c r="J47" i="8"/>
  <c r="L47" i="8" s="1"/>
  <c r="P47" i="8" s="1"/>
  <c r="M46" i="8"/>
  <c r="K46" i="8"/>
  <c r="N46" i="8"/>
  <c r="J46" i="8"/>
  <c r="L46" i="8" s="1"/>
  <c r="P46" i="8" s="1"/>
  <c r="M45" i="8"/>
  <c r="J45" i="8"/>
  <c r="L45" i="8" s="1"/>
  <c r="K45" i="8"/>
  <c r="R45" i="8" s="1"/>
  <c r="N45" i="8"/>
  <c r="M44" i="8"/>
  <c r="K44" i="8"/>
  <c r="J44" i="8"/>
  <c r="L44" i="8" s="1"/>
  <c r="P44" i="8" s="1"/>
  <c r="N44" i="8"/>
  <c r="G12" i="18"/>
  <c r="F12" i="18"/>
  <c r="G79" i="3"/>
  <c r="I5" i="9" s="1"/>
  <c r="G5" i="9"/>
  <c r="F79" i="3"/>
  <c r="F5" i="9"/>
  <c r="E5" i="9"/>
  <c r="E79" i="3"/>
  <c r="D5" i="9"/>
  <c r="D79" i="3"/>
  <c r="C79" i="3"/>
  <c r="C5" i="9"/>
  <c r="M56" i="8" l="1"/>
  <c r="M74" i="8"/>
  <c r="M23" i="8"/>
  <c r="M17" i="8"/>
  <c r="M22" i="8"/>
  <c r="M21" i="8"/>
  <c r="M20" i="8"/>
  <c r="M19" i="8"/>
  <c r="M109" i="8"/>
  <c r="M108" i="8"/>
  <c r="M107" i="8"/>
  <c r="M106" i="8"/>
  <c r="M105" i="8"/>
  <c r="P64" i="8"/>
  <c r="P200" i="8"/>
  <c r="P198" i="8"/>
  <c r="P197" i="8"/>
  <c r="P51" i="8"/>
  <c r="P50" i="8"/>
  <c r="P48" i="8"/>
  <c r="P45" i="8"/>
  <c r="K435" i="21"/>
  <c r="N435" i="21"/>
  <c r="K429" i="21"/>
  <c r="N429" i="21"/>
  <c r="N423" i="21"/>
  <c r="K423" i="21"/>
  <c r="K417" i="21"/>
  <c r="N417" i="21"/>
  <c r="K411" i="21"/>
  <c r="N411" i="21"/>
  <c r="K257" i="21"/>
  <c r="N257" i="21"/>
  <c r="O26" i="20" s="1"/>
  <c r="F172" i="28"/>
  <c r="G172" i="28" s="1"/>
  <c r="N26" i="20"/>
  <c r="N253" i="21"/>
  <c r="O25" i="20" s="1"/>
  <c r="K253" i="21"/>
  <c r="F171" i="28"/>
  <c r="G171" i="28" s="1"/>
  <c r="N25" i="20"/>
  <c r="M72" i="8"/>
  <c r="K72" i="8"/>
  <c r="N72" i="8"/>
  <c r="J72" i="8"/>
  <c r="L72" i="8" s="1"/>
  <c r="P72" i="8" s="1"/>
  <c r="M71" i="8"/>
  <c r="K71" i="8"/>
  <c r="N71" i="8"/>
  <c r="J71" i="8"/>
  <c r="L71" i="8" s="1"/>
  <c r="P71" i="8" s="1"/>
  <c r="M70" i="8"/>
  <c r="K70" i="8"/>
  <c r="N70" i="8"/>
  <c r="J70" i="8"/>
  <c r="L70" i="8" s="1"/>
  <c r="P70" i="8" s="1"/>
  <c r="M69" i="8"/>
  <c r="K69" i="8"/>
  <c r="N69" i="8"/>
  <c r="J69" i="8"/>
  <c r="L69" i="8" s="1"/>
  <c r="P69" i="8" s="1"/>
  <c r="M68" i="8"/>
  <c r="N68" i="8"/>
  <c r="J68" i="8"/>
  <c r="L68" i="8" s="1"/>
  <c r="K68" i="8"/>
  <c r="J96" i="8"/>
  <c r="L96" i="8" s="1"/>
  <c r="K96" i="8"/>
  <c r="R96" i="8" s="1"/>
  <c r="N96" i="8"/>
  <c r="J95" i="8"/>
  <c r="L95" i="8" s="1"/>
  <c r="N95" i="8"/>
  <c r="K95" i="8"/>
  <c r="N94" i="8"/>
  <c r="K94" i="8"/>
  <c r="J94" i="8"/>
  <c r="L94" i="8" s="1"/>
  <c r="P94" i="8" s="1"/>
  <c r="N93" i="8"/>
  <c r="K93" i="8"/>
  <c r="J93" i="8"/>
  <c r="L93" i="8" s="1"/>
  <c r="P93" i="8" s="1"/>
  <c r="J92" i="8"/>
  <c r="L92" i="8" s="1"/>
  <c r="N92" i="8"/>
  <c r="K92" i="8"/>
  <c r="R92" i="8" s="1"/>
  <c r="J286" i="26"/>
  <c r="H20" i="32"/>
  <c r="E316" i="28"/>
  <c r="E20" i="32"/>
  <c r="H8" i="27"/>
  <c r="M8" i="27"/>
  <c r="G8" i="27"/>
  <c r="L8" i="27"/>
  <c r="F8" i="27"/>
  <c r="K8" i="27"/>
  <c r="E8" i="27"/>
  <c r="J8" i="27"/>
  <c r="D8" i="27"/>
  <c r="I8" i="27"/>
  <c r="K527" i="21"/>
  <c r="N527" i="21"/>
  <c r="O61" i="20" s="1"/>
  <c r="F419" i="28"/>
  <c r="G419" i="28" s="1"/>
  <c r="N61" i="20"/>
  <c r="K510" i="21"/>
  <c r="N510" i="21"/>
  <c r="O60" i="20" s="1"/>
  <c r="F418" i="28"/>
  <c r="G418" i="28" s="1"/>
  <c r="N60" i="20"/>
  <c r="K469" i="21"/>
  <c r="N469" i="21"/>
  <c r="O51" i="20" s="1"/>
  <c r="F347" i="28"/>
  <c r="G347" i="28" s="1"/>
  <c r="N51" i="20"/>
  <c r="K482" i="21"/>
  <c r="N482" i="21"/>
  <c r="O55" i="20" s="1"/>
  <c r="N55" i="20"/>
  <c r="K492" i="21"/>
  <c r="N492" i="21"/>
  <c r="O58" i="20" s="1"/>
  <c r="F362" i="28"/>
  <c r="G362" i="28" s="1"/>
  <c r="N58" i="20"/>
  <c r="K476" i="21"/>
  <c r="N476" i="21"/>
  <c r="O53" i="20" s="1"/>
  <c r="N53" i="20"/>
  <c r="K490" i="21"/>
  <c r="N490" i="21"/>
  <c r="O57" i="20" s="1"/>
  <c r="F361" i="28"/>
  <c r="G361" i="28" s="1"/>
  <c r="N57" i="20"/>
  <c r="K478" i="21"/>
  <c r="N478" i="21"/>
  <c r="O54" i="20" s="1"/>
  <c r="N54" i="20"/>
  <c r="K473" i="21"/>
  <c r="N473" i="21"/>
  <c r="O52" i="20" s="1"/>
  <c r="N52" i="20"/>
  <c r="K465" i="21"/>
  <c r="N465" i="21"/>
  <c r="O50" i="20" s="1"/>
  <c r="F346" i="28"/>
  <c r="G346" i="28" s="1"/>
  <c r="N50" i="20"/>
  <c r="K434" i="21"/>
  <c r="N434" i="21"/>
  <c r="O42" i="20" s="1"/>
  <c r="F300" i="28"/>
  <c r="G300" i="28" s="1"/>
  <c r="N42" i="20"/>
  <c r="K428" i="21"/>
  <c r="N428" i="21"/>
  <c r="O41" i="20" s="1"/>
  <c r="F299" i="28"/>
  <c r="G299" i="28" s="1"/>
  <c r="N41" i="20"/>
  <c r="K422" i="21"/>
  <c r="N422" i="21"/>
  <c r="O40" i="20" s="1"/>
  <c r="F298" i="28"/>
  <c r="G298" i="28" s="1"/>
  <c r="N40" i="20"/>
  <c r="K416" i="21"/>
  <c r="N416" i="21"/>
  <c r="O39" i="20" s="1"/>
  <c r="F297" i="28"/>
  <c r="G297" i="28" s="1"/>
  <c r="N39" i="20"/>
  <c r="K410" i="21"/>
  <c r="N410" i="21"/>
  <c r="O38" i="20" s="1"/>
  <c r="F296" i="28"/>
  <c r="G296" i="28" s="1"/>
  <c r="N38" i="20"/>
  <c r="H99" i="7"/>
  <c r="H108" i="7"/>
  <c r="H111" i="7"/>
  <c r="H112" i="7" s="1"/>
  <c r="H113" i="7" s="1"/>
  <c r="H217" i="7"/>
  <c r="G298" i="21"/>
  <c r="I298" i="21" s="1"/>
  <c r="G299" i="21"/>
  <c r="I299" i="21" s="1"/>
  <c r="G300" i="21"/>
  <c r="I300" i="21" s="1"/>
  <c r="G301" i="21"/>
  <c r="I301" i="21" s="1"/>
  <c r="H386" i="21"/>
  <c r="I386" i="21" s="1"/>
  <c r="G983" i="21"/>
  <c r="I983" i="21" s="1"/>
  <c r="G984" i="21"/>
  <c r="I984" i="21" s="1"/>
  <c r="G985" i="21"/>
  <c r="I985" i="21" s="1"/>
  <c r="G986" i="21"/>
  <c r="I986" i="21" s="1"/>
  <c r="G987" i="21"/>
  <c r="I987" i="21" s="1"/>
  <c r="G988" i="21"/>
  <c r="I988" i="21" s="1"/>
  <c r="G989" i="21"/>
  <c r="I989" i="21" s="1"/>
  <c r="G990" i="21"/>
  <c r="I990" i="21" s="1"/>
  <c r="G991" i="21"/>
  <c r="I991" i="21" s="1"/>
  <c r="G992" i="21"/>
  <c r="I992" i="21" s="1"/>
  <c r="G993" i="21"/>
  <c r="I993" i="21" s="1"/>
  <c r="G1207" i="21"/>
  <c r="I1207" i="21" s="1"/>
  <c r="G1208" i="21"/>
  <c r="I1208" i="21" s="1"/>
  <c r="G1209" i="21"/>
  <c r="I1209" i="21" s="1"/>
  <c r="G1210" i="21"/>
  <c r="I1210" i="21" s="1"/>
  <c r="G1211" i="21"/>
  <c r="I1211" i="21" s="1"/>
  <c r="G1212" i="21"/>
  <c r="I1212" i="21" s="1"/>
  <c r="G1213" i="21"/>
  <c r="I1213" i="21" s="1"/>
  <c r="G1214" i="21"/>
  <c r="I1214" i="21" s="1"/>
  <c r="G1215" i="21"/>
  <c r="I1215" i="21" s="1"/>
  <c r="G1216" i="21"/>
  <c r="I1216" i="21" s="1"/>
  <c r="G1217" i="21"/>
  <c r="I1217" i="21" s="1"/>
  <c r="D229" i="24"/>
  <c r="F229" i="24" s="1"/>
  <c r="D230" i="24"/>
  <c r="F230" i="24" s="1"/>
  <c r="E615" i="26"/>
  <c r="E625" i="26"/>
  <c r="E645" i="26"/>
  <c r="E650" i="26"/>
  <c r="E416" i="29"/>
  <c r="G416" i="29" s="1"/>
  <c r="E417" i="29"/>
  <c r="G417" i="29" s="1"/>
  <c r="E426" i="29"/>
  <c r="G426" i="29" s="1"/>
  <c r="E427" i="29"/>
  <c r="G427" i="29" s="1"/>
  <c r="AA30" i="30"/>
  <c r="AB30" i="30" s="1"/>
  <c r="I140" i="8"/>
  <c r="M819" i="14"/>
  <c r="N819" i="14" s="1"/>
  <c r="H819" i="14"/>
  <c r="K290" i="21"/>
  <c r="N290" i="21"/>
  <c r="K291" i="21"/>
  <c r="N291" i="21"/>
  <c r="K292" i="21"/>
  <c r="N292" i="21"/>
  <c r="K293" i="21"/>
  <c r="N293" i="21"/>
  <c r="K1005" i="21"/>
  <c r="N1005" i="21"/>
  <c r="K1006" i="21"/>
  <c r="N1006" i="21"/>
  <c r="K1007" i="21"/>
  <c r="N1007" i="21"/>
  <c r="K1008" i="21"/>
  <c r="N1008" i="21"/>
  <c r="K1009" i="21"/>
  <c r="N1009" i="21"/>
  <c r="K1010" i="21"/>
  <c r="N1010" i="21"/>
  <c r="K1011" i="21"/>
  <c r="N1011" i="21"/>
  <c r="K1012" i="21"/>
  <c r="N1012" i="21"/>
  <c r="K1013" i="21"/>
  <c r="N1013" i="21"/>
  <c r="K1014" i="21"/>
  <c r="N1014" i="21"/>
  <c r="K1015" i="21"/>
  <c r="N1015" i="21"/>
  <c r="K1229" i="21"/>
  <c r="N1229" i="21"/>
  <c r="K1230" i="21"/>
  <c r="N1230" i="21"/>
  <c r="K1231" i="21"/>
  <c r="N1231" i="21"/>
  <c r="K1232" i="21"/>
  <c r="N1232" i="21"/>
  <c r="K1233" i="21"/>
  <c r="N1233" i="21"/>
  <c r="K1234" i="21"/>
  <c r="N1234" i="21"/>
  <c r="K1235" i="21"/>
  <c r="N1235" i="21"/>
  <c r="K1236" i="21"/>
  <c r="N1236" i="21"/>
  <c r="K1237" i="21"/>
  <c r="N1237" i="21"/>
  <c r="K1238" i="21"/>
  <c r="N1238" i="21"/>
  <c r="K1239" i="21"/>
  <c r="N1239" i="21"/>
  <c r="G99" i="7"/>
  <c r="G108" i="7"/>
  <c r="G111" i="7"/>
  <c r="G112" i="7" s="1"/>
  <c r="G113" i="7" s="1"/>
  <c r="G217" i="7"/>
  <c r="H366" i="21"/>
  <c r="I366" i="21" s="1"/>
  <c r="G927" i="21"/>
  <c r="I927" i="21" s="1"/>
  <c r="G928" i="21"/>
  <c r="I928" i="21" s="1"/>
  <c r="G929" i="21"/>
  <c r="I929" i="21" s="1"/>
  <c r="G930" i="21"/>
  <c r="I930" i="21" s="1"/>
  <c r="G931" i="21"/>
  <c r="I931" i="21" s="1"/>
  <c r="G932" i="21"/>
  <c r="I932" i="21" s="1"/>
  <c r="G933" i="21"/>
  <c r="I933" i="21" s="1"/>
  <c r="G934" i="21"/>
  <c r="I934" i="21" s="1"/>
  <c r="G935" i="21"/>
  <c r="I935" i="21" s="1"/>
  <c r="G936" i="21"/>
  <c r="I936" i="21" s="1"/>
  <c r="G937" i="21"/>
  <c r="I937" i="21" s="1"/>
  <c r="G1151" i="21"/>
  <c r="I1151" i="21" s="1"/>
  <c r="G1152" i="21"/>
  <c r="I1152" i="21" s="1"/>
  <c r="G1153" i="21"/>
  <c r="I1153" i="21" s="1"/>
  <c r="G1154" i="21"/>
  <c r="I1154" i="21" s="1"/>
  <c r="G1155" i="21"/>
  <c r="I1155" i="21" s="1"/>
  <c r="G1156" i="21"/>
  <c r="I1156" i="21" s="1"/>
  <c r="G1157" i="21"/>
  <c r="I1157" i="21" s="1"/>
  <c r="G1158" i="21"/>
  <c r="I1158" i="21" s="1"/>
  <c r="G1159" i="21"/>
  <c r="I1159" i="21" s="1"/>
  <c r="G1160" i="21"/>
  <c r="I1160" i="21" s="1"/>
  <c r="G1161" i="21"/>
  <c r="I1161" i="21" s="1"/>
  <c r="G1401" i="21"/>
  <c r="I1401" i="21" s="1"/>
  <c r="G1402" i="21"/>
  <c r="I1402" i="21" s="1"/>
  <c r="G1403" i="21"/>
  <c r="I1403" i="21" s="1"/>
  <c r="G1404" i="21"/>
  <c r="I1404" i="21" s="1"/>
  <c r="D221" i="24"/>
  <c r="F221" i="24" s="1"/>
  <c r="D222" i="24"/>
  <c r="F222" i="24" s="1"/>
  <c r="E614" i="26"/>
  <c r="E624" i="26"/>
  <c r="E644" i="26"/>
  <c r="E649" i="26"/>
  <c r="E414" i="29"/>
  <c r="G414" i="29" s="1"/>
  <c r="E415" i="29"/>
  <c r="G415" i="29" s="1"/>
  <c r="E424" i="29"/>
  <c r="G424" i="29" s="1"/>
  <c r="E425" i="29"/>
  <c r="G425" i="29" s="1"/>
  <c r="AA29" i="30"/>
  <c r="AB29" i="30" s="1"/>
  <c r="I139" i="8"/>
  <c r="M786" i="14"/>
  <c r="H786" i="14"/>
  <c r="N786" i="14"/>
  <c r="K949" i="21"/>
  <c r="N949" i="21"/>
  <c r="K950" i="21"/>
  <c r="N950" i="21"/>
  <c r="K951" i="21"/>
  <c r="N951" i="21"/>
  <c r="K952" i="21"/>
  <c r="N952" i="21"/>
  <c r="K953" i="21"/>
  <c r="N953" i="21"/>
  <c r="K954" i="21"/>
  <c r="N954" i="21"/>
  <c r="K955" i="21"/>
  <c r="N955" i="21"/>
  <c r="K956" i="21"/>
  <c r="N956" i="21"/>
  <c r="K957" i="21"/>
  <c r="N957" i="21"/>
  <c r="K958" i="21"/>
  <c r="N958" i="21"/>
  <c r="K959" i="21"/>
  <c r="N959" i="21"/>
  <c r="K1173" i="21"/>
  <c r="N1173" i="21"/>
  <c r="K1174" i="21"/>
  <c r="N1174" i="21"/>
  <c r="K1175" i="21"/>
  <c r="N1175" i="21"/>
  <c r="K1176" i="21"/>
  <c r="N1176" i="21"/>
  <c r="K1177" i="21"/>
  <c r="N1177" i="21"/>
  <c r="K1178" i="21"/>
  <c r="N1178" i="21"/>
  <c r="K1179" i="21"/>
  <c r="N1179" i="21"/>
  <c r="K1180" i="21"/>
  <c r="N1180" i="21"/>
  <c r="K1181" i="21"/>
  <c r="N1181" i="21"/>
  <c r="K1182" i="21"/>
  <c r="N1182" i="21"/>
  <c r="K1183" i="21"/>
  <c r="N1183" i="21"/>
  <c r="K1393" i="21"/>
  <c r="N1393" i="21"/>
  <c r="K1394" i="21"/>
  <c r="N1394" i="21"/>
  <c r="K1395" i="21"/>
  <c r="N1395" i="21"/>
  <c r="K1396" i="21"/>
  <c r="N1396" i="21"/>
  <c r="F99" i="7"/>
  <c r="F108" i="7"/>
  <c r="F111" i="7"/>
  <c r="F112" i="7" s="1"/>
  <c r="F113" i="7" s="1"/>
  <c r="F217" i="7"/>
  <c r="H346" i="21"/>
  <c r="I346" i="21" s="1"/>
  <c r="G871" i="21"/>
  <c r="I871" i="21" s="1"/>
  <c r="G872" i="21"/>
  <c r="I872" i="21" s="1"/>
  <c r="G873" i="21"/>
  <c r="I873" i="21" s="1"/>
  <c r="G874" i="21"/>
  <c r="I874" i="21" s="1"/>
  <c r="G875" i="21"/>
  <c r="I875" i="21" s="1"/>
  <c r="G876" i="21"/>
  <c r="I876" i="21" s="1"/>
  <c r="G877" i="21"/>
  <c r="I877" i="21" s="1"/>
  <c r="G878" i="21"/>
  <c r="I878" i="21" s="1"/>
  <c r="G879" i="21"/>
  <c r="I879" i="21" s="1"/>
  <c r="G880" i="21"/>
  <c r="I880" i="21" s="1"/>
  <c r="G881" i="21"/>
  <c r="I881" i="21" s="1"/>
  <c r="G1095" i="21"/>
  <c r="I1095" i="21" s="1"/>
  <c r="G1096" i="21"/>
  <c r="I1096" i="21" s="1"/>
  <c r="G1097" i="21"/>
  <c r="I1097" i="21" s="1"/>
  <c r="G1098" i="21"/>
  <c r="I1098" i="21" s="1"/>
  <c r="G1099" i="21"/>
  <c r="I1099" i="21" s="1"/>
  <c r="G1100" i="21"/>
  <c r="I1100" i="21" s="1"/>
  <c r="G1101" i="21"/>
  <c r="I1101" i="21" s="1"/>
  <c r="G1102" i="21"/>
  <c r="I1102" i="21" s="1"/>
  <c r="G1103" i="21"/>
  <c r="I1103" i="21" s="1"/>
  <c r="G1104" i="21"/>
  <c r="I1104" i="21" s="1"/>
  <c r="G1105" i="21"/>
  <c r="I1105" i="21" s="1"/>
  <c r="G1380" i="21"/>
  <c r="I1380" i="21" s="1"/>
  <c r="G1381" i="21"/>
  <c r="I1381" i="21" s="1"/>
  <c r="G1382" i="21"/>
  <c r="I1382" i="21" s="1"/>
  <c r="G1383" i="21"/>
  <c r="I1383" i="21" s="1"/>
  <c r="D213" i="24"/>
  <c r="F213" i="24" s="1"/>
  <c r="D214" i="24"/>
  <c r="F214" i="24" s="1"/>
  <c r="E613" i="26"/>
  <c r="E623" i="26"/>
  <c r="E643" i="26"/>
  <c r="E648" i="26"/>
  <c r="E412" i="29"/>
  <c r="G412" i="29" s="1"/>
  <c r="E413" i="29"/>
  <c r="G413" i="29" s="1"/>
  <c r="E422" i="29"/>
  <c r="G422" i="29" s="1"/>
  <c r="E423" i="29"/>
  <c r="G423" i="29" s="1"/>
  <c r="AA28" i="30"/>
  <c r="AB28" i="30" s="1"/>
  <c r="I138" i="8"/>
  <c r="M753" i="14"/>
  <c r="H753" i="14"/>
  <c r="N753" i="14"/>
  <c r="K893" i="21"/>
  <c r="N893" i="21"/>
  <c r="K895" i="21"/>
  <c r="N895" i="21"/>
  <c r="K896" i="21"/>
  <c r="N896" i="21"/>
  <c r="K897" i="21"/>
  <c r="N897" i="21"/>
  <c r="K898" i="21"/>
  <c r="N898" i="21"/>
  <c r="K899" i="21"/>
  <c r="N899" i="21"/>
  <c r="K900" i="21"/>
  <c r="N900" i="21"/>
  <c r="K901" i="21"/>
  <c r="N901" i="21"/>
  <c r="K902" i="21"/>
  <c r="N902" i="21"/>
  <c r="K903" i="21"/>
  <c r="N903" i="21"/>
  <c r="K1117" i="21"/>
  <c r="N1117" i="21"/>
  <c r="K1119" i="21"/>
  <c r="N1119" i="21"/>
  <c r="K1120" i="21"/>
  <c r="N1120" i="21"/>
  <c r="K1121" i="21"/>
  <c r="N1121" i="21"/>
  <c r="K1122" i="21"/>
  <c r="N1122" i="21"/>
  <c r="K1123" i="21"/>
  <c r="N1123" i="21"/>
  <c r="K1124" i="21"/>
  <c r="N1124" i="21"/>
  <c r="K1125" i="21"/>
  <c r="N1125" i="21"/>
  <c r="K1126" i="21"/>
  <c r="N1126" i="21"/>
  <c r="K1127" i="21"/>
  <c r="N1127" i="21"/>
  <c r="K1372" i="21"/>
  <c r="N1372" i="21"/>
  <c r="K1373" i="21"/>
  <c r="N1373" i="21"/>
  <c r="K1374" i="21"/>
  <c r="N1374" i="21"/>
  <c r="K1375" i="21"/>
  <c r="N1375" i="21"/>
  <c r="E99" i="7"/>
  <c r="E108" i="7"/>
  <c r="E111" i="7"/>
  <c r="E112" i="7" s="1"/>
  <c r="E113" i="7" s="1"/>
  <c r="E217" i="7"/>
  <c r="H326" i="21"/>
  <c r="I326" i="21" s="1"/>
  <c r="G815" i="21"/>
  <c r="I815" i="21" s="1"/>
  <c r="G816" i="21"/>
  <c r="I816" i="21" s="1"/>
  <c r="G817" i="21"/>
  <c r="I817" i="21" s="1"/>
  <c r="G818" i="21"/>
  <c r="I818" i="21" s="1"/>
  <c r="G819" i="21"/>
  <c r="I819" i="21" s="1"/>
  <c r="G820" i="21"/>
  <c r="I820" i="21" s="1"/>
  <c r="G821" i="21"/>
  <c r="I821" i="21" s="1"/>
  <c r="G822" i="21"/>
  <c r="I822" i="21" s="1"/>
  <c r="G823" i="21"/>
  <c r="I823" i="21" s="1"/>
  <c r="G824" i="21"/>
  <c r="I824" i="21" s="1"/>
  <c r="G825" i="21"/>
  <c r="I825" i="21" s="1"/>
  <c r="G1039" i="21"/>
  <c r="I1039" i="21" s="1"/>
  <c r="G1040" i="21"/>
  <c r="I1040" i="21" s="1"/>
  <c r="G1041" i="21"/>
  <c r="I1041" i="21" s="1"/>
  <c r="G1042" i="21"/>
  <c r="I1042" i="21" s="1"/>
  <c r="G1043" i="21"/>
  <c r="I1043" i="21" s="1"/>
  <c r="G1044" i="21"/>
  <c r="I1044" i="21" s="1"/>
  <c r="G1045" i="21"/>
  <c r="I1045" i="21" s="1"/>
  <c r="G1046" i="21"/>
  <c r="I1046" i="21" s="1"/>
  <c r="G1047" i="21"/>
  <c r="I1047" i="21" s="1"/>
  <c r="G1048" i="21"/>
  <c r="I1048" i="21" s="1"/>
  <c r="G1049" i="21"/>
  <c r="I1049" i="21" s="1"/>
  <c r="G1359" i="21"/>
  <c r="I1359" i="21" s="1"/>
  <c r="G1360" i="21"/>
  <c r="I1360" i="21" s="1"/>
  <c r="G1361" i="21"/>
  <c r="I1361" i="21" s="1"/>
  <c r="G1362" i="21"/>
  <c r="I1362" i="21" s="1"/>
  <c r="D205" i="24"/>
  <c r="F205" i="24" s="1"/>
  <c r="D206" i="24"/>
  <c r="F206" i="24" s="1"/>
  <c r="E612" i="26"/>
  <c r="E622" i="26"/>
  <c r="E642" i="26"/>
  <c r="E647" i="26"/>
  <c r="E410" i="29"/>
  <c r="G410" i="29" s="1"/>
  <c r="E411" i="29"/>
  <c r="G411" i="29" s="1"/>
  <c r="E420" i="29"/>
  <c r="G420" i="29" s="1"/>
  <c r="E421" i="29"/>
  <c r="G421" i="29" s="1"/>
  <c r="AA27" i="30"/>
  <c r="AB27" i="30" s="1"/>
  <c r="I137" i="8"/>
  <c r="M720" i="14"/>
  <c r="H720" i="14"/>
  <c r="N720" i="14"/>
  <c r="K839" i="21"/>
  <c r="N839" i="21"/>
  <c r="K840" i="21"/>
  <c r="N840" i="21"/>
  <c r="K841" i="21"/>
  <c r="N841" i="21"/>
  <c r="K842" i="21"/>
  <c r="N842" i="21"/>
  <c r="K843" i="21"/>
  <c r="N843" i="21"/>
  <c r="K844" i="21"/>
  <c r="N844" i="21"/>
  <c r="K845" i="21"/>
  <c r="N845" i="21"/>
  <c r="K846" i="21"/>
  <c r="N846" i="21"/>
  <c r="K847" i="21"/>
  <c r="N847" i="21"/>
  <c r="K1063" i="21"/>
  <c r="N1063" i="21"/>
  <c r="K1064" i="21"/>
  <c r="N1064" i="21"/>
  <c r="K1065" i="21"/>
  <c r="N1065" i="21"/>
  <c r="K1066" i="21"/>
  <c r="N1066" i="21"/>
  <c r="K1067" i="21"/>
  <c r="N1067" i="21"/>
  <c r="K1068" i="21"/>
  <c r="N1068" i="21"/>
  <c r="K1069" i="21"/>
  <c r="N1069" i="21"/>
  <c r="K1070" i="21"/>
  <c r="N1070" i="21"/>
  <c r="K1071" i="21"/>
  <c r="N1071" i="21"/>
  <c r="K1351" i="21"/>
  <c r="N1351" i="21"/>
  <c r="K1352" i="21"/>
  <c r="N1352" i="21"/>
  <c r="K1353" i="21"/>
  <c r="N1353" i="21"/>
  <c r="K1354" i="21"/>
  <c r="N1354" i="21"/>
  <c r="D99" i="7"/>
  <c r="D108" i="7"/>
  <c r="D111" i="7"/>
  <c r="D112" i="7" s="1"/>
  <c r="D113" i="7" s="1"/>
  <c r="D217" i="7"/>
  <c r="H306" i="21"/>
  <c r="I306" i="21" s="1"/>
  <c r="G1338" i="21"/>
  <c r="I1338" i="21" s="1"/>
  <c r="G1339" i="21"/>
  <c r="I1339" i="21" s="1"/>
  <c r="G1340" i="21"/>
  <c r="I1340" i="21" s="1"/>
  <c r="G1341" i="21"/>
  <c r="I1341" i="21" s="1"/>
  <c r="G1426" i="21"/>
  <c r="I1426" i="21" s="1"/>
  <c r="G1427" i="21"/>
  <c r="I1427" i="21" s="1"/>
  <c r="G1428" i="21"/>
  <c r="I1428" i="21" s="1"/>
  <c r="G1429" i="21"/>
  <c r="I1429" i="21" s="1"/>
  <c r="G1430" i="21"/>
  <c r="I1430" i="21" s="1"/>
  <c r="G1431" i="21"/>
  <c r="I1431" i="21" s="1"/>
  <c r="G1432" i="21"/>
  <c r="I1432" i="21" s="1"/>
  <c r="G1433" i="21"/>
  <c r="I1433" i="21" s="1"/>
  <c r="G1434" i="21"/>
  <c r="I1434" i="21" s="1"/>
  <c r="G1435" i="21"/>
  <c r="I1435" i="21" s="1"/>
  <c r="G1477" i="21"/>
  <c r="I1477" i="21" s="1"/>
  <c r="G1478" i="21"/>
  <c r="I1478" i="21" s="1"/>
  <c r="G1479" i="21"/>
  <c r="I1479" i="21" s="1"/>
  <c r="G1480" i="21"/>
  <c r="I1480" i="21" s="1"/>
  <c r="G1481" i="21"/>
  <c r="I1481" i="21" s="1"/>
  <c r="G1482" i="21"/>
  <c r="I1482" i="21" s="1"/>
  <c r="G1483" i="21"/>
  <c r="I1483" i="21" s="1"/>
  <c r="G1484" i="21"/>
  <c r="I1484" i="21" s="1"/>
  <c r="G1485" i="21"/>
  <c r="I1485" i="21" s="1"/>
  <c r="G1486" i="21"/>
  <c r="I1486" i="21" s="1"/>
  <c r="D197" i="24"/>
  <c r="F197" i="24" s="1"/>
  <c r="D198" i="24"/>
  <c r="F198" i="24" s="1"/>
  <c r="E611" i="26"/>
  <c r="E621" i="26"/>
  <c r="E641" i="26"/>
  <c r="E646" i="26"/>
  <c r="E408" i="29"/>
  <c r="G408" i="29" s="1"/>
  <c r="E409" i="29"/>
  <c r="G409" i="29" s="1"/>
  <c r="E418" i="29"/>
  <c r="G418" i="29" s="1"/>
  <c r="E419" i="29"/>
  <c r="G419" i="29" s="1"/>
  <c r="AA26" i="30"/>
  <c r="AB26" i="30" s="1"/>
  <c r="I136" i="8"/>
  <c r="M687" i="14"/>
  <c r="H687" i="14"/>
  <c r="N687" i="14"/>
  <c r="K1330" i="21"/>
  <c r="N1330" i="21"/>
  <c r="K1331" i="21"/>
  <c r="N1331" i="21"/>
  <c r="K1332" i="21"/>
  <c r="N1332" i="21"/>
  <c r="K1333" i="21"/>
  <c r="N1333" i="21"/>
  <c r="K1448" i="21"/>
  <c r="N1448" i="21"/>
  <c r="K1449" i="21"/>
  <c r="N1449" i="21"/>
  <c r="K1450" i="21"/>
  <c r="N1450" i="21"/>
  <c r="K1451" i="21"/>
  <c r="N1451" i="21"/>
  <c r="K1452" i="21"/>
  <c r="N1452" i="21"/>
  <c r="K1453" i="21"/>
  <c r="N1453" i="21"/>
  <c r="K1454" i="21"/>
  <c r="N1454" i="21"/>
  <c r="K1455" i="21"/>
  <c r="N1455" i="21"/>
  <c r="K1499" i="21"/>
  <c r="N1499" i="21"/>
  <c r="K1500" i="21"/>
  <c r="N1500" i="21"/>
  <c r="K1501" i="21"/>
  <c r="N1501" i="21"/>
  <c r="K1502" i="21"/>
  <c r="N1502" i="21"/>
  <c r="K1503" i="21"/>
  <c r="N1503" i="21"/>
  <c r="K1504" i="21"/>
  <c r="N1504" i="21"/>
  <c r="K1505" i="21"/>
  <c r="N1505" i="21"/>
  <c r="K1506" i="21"/>
  <c r="N1506" i="21"/>
  <c r="M502" i="2"/>
  <c r="E68" i="20"/>
  <c r="F68" i="20" s="1"/>
  <c r="I35" i="8"/>
  <c r="M802" i="14"/>
  <c r="H802" i="14"/>
  <c r="N802" i="14"/>
  <c r="I34" i="8"/>
  <c r="M769" i="14"/>
  <c r="H769" i="14"/>
  <c r="N769" i="14"/>
  <c r="I33" i="8"/>
  <c r="M736" i="14"/>
  <c r="H736" i="14"/>
  <c r="N736" i="14"/>
  <c r="I32" i="8"/>
  <c r="M703" i="14"/>
  <c r="H703" i="14"/>
  <c r="N703" i="14"/>
  <c r="I31" i="8"/>
  <c r="M670" i="14"/>
  <c r="H670" i="14"/>
  <c r="N670" i="14"/>
  <c r="I103" i="8"/>
  <c r="M813" i="14"/>
  <c r="I121" i="8"/>
  <c r="M816" i="14"/>
  <c r="N813" i="14"/>
  <c r="H813" i="14"/>
  <c r="N816" i="14"/>
  <c r="H816" i="14"/>
  <c r="I961" i="21"/>
  <c r="M72" i="20"/>
  <c r="N1185" i="21"/>
  <c r="K1185" i="21"/>
  <c r="G595" i="26"/>
  <c r="H595" i="26"/>
  <c r="G27" i="32"/>
  <c r="H509" i="2"/>
  <c r="N509" i="2"/>
  <c r="I90" i="8"/>
  <c r="M811" i="14"/>
  <c r="E509" i="2"/>
  <c r="I102" i="8"/>
  <c r="M780" i="14"/>
  <c r="I120" i="8"/>
  <c r="M783" i="14"/>
  <c r="N780" i="14"/>
  <c r="H780" i="14"/>
  <c r="N783" i="14"/>
  <c r="H783" i="14"/>
  <c r="N811" i="14"/>
  <c r="H811" i="14"/>
  <c r="I905" i="21"/>
  <c r="M71" i="20"/>
  <c r="N960" i="21"/>
  <c r="K960" i="21"/>
  <c r="N962" i="21"/>
  <c r="K962" i="21"/>
  <c r="N1129" i="21"/>
  <c r="K1129" i="21"/>
  <c r="N1186" i="21"/>
  <c r="K1186" i="21"/>
  <c r="H594" i="26"/>
  <c r="G594" i="26"/>
  <c r="G26" i="32"/>
  <c r="H508" i="2"/>
  <c r="N508" i="2"/>
  <c r="I89" i="8"/>
  <c r="M778" i="14"/>
  <c r="E508" i="2"/>
  <c r="I101" i="8"/>
  <c r="M747" i="14"/>
  <c r="I119" i="8"/>
  <c r="M750" i="14"/>
  <c r="N747" i="14"/>
  <c r="H747" i="14"/>
  <c r="N750" i="14"/>
  <c r="H750" i="14"/>
  <c r="N778" i="14"/>
  <c r="H778" i="14"/>
  <c r="I849" i="21"/>
  <c r="M70" i="20"/>
  <c r="N904" i="21"/>
  <c r="K904" i="21"/>
  <c r="N906" i="21"/>
  <c r="K906" i="21"/>
  <c r="N1073" i="21"/>
  <c r="K1073" i="21"/>
  <c r="N1130" i="21"/>
  <c r="K1130" i="21"/>
  <c r="G593" i="26"/>
  <c r="H593" i="26"/>
  <c r="G25" i="32"/>
  <c r="H507" i="2"/>
  <c r="N507" i="2"/>
  <c r="I88" i="8"/>
  <c r="M745" i="14"/>
  <c r="E507" i="2"/>
  <c r="I100" i="8"/>
  <c r="M714" i="14"/>
  <c r="I118" i="8"/>
  <c r="M717" i="14"/>
  <c r="N714" i="14"/>
  <c r="H714" i="14"/>
  <c r="N717" i="14"/>
  <c r="H717" i="14"/>
  <c r="N745" i="14"/>
  <c r="H745" i="14"/>
  <c r="I793" i="21"/>
  <c r="M69" i="20"/>
  <c r="N848" i="21"/>
  <c r="K848" i="21"/>
  <c r="N850" i="21"/>
  <c r="K850" i="21"/>
  <c r="N1017" i="21"/>
  <c r="K1017" i="21"/>
  <c r="N1074" i="21"/>
  <c r="K1074" i="21"/>
  <c r="G592" i="26"/>
  <c r="H592" i="26"/>
  <c r="G24" i="32"/>
  <c r="H506" i="2"/>
  <c r="N506" i="2"/>
  <c r="I87" i="8"/>
  <c r="M712" i="14"/>
  <c r="E506" i="2"/>
  <c r="I99" i="8"/>
  <c r="M681" i="14"/>
  <c r="I117" i="8"/>
  <c r="M684" i="14"/>
  <c r="N681" i="14"/>
  <c r="H681" i="14"/>
  <c r="N684" i="14"/>
  <c r="H684" i="14"/>
  <c r="N712" i="14"/>
  <c r="H712" i="14"/>
  <c r="N792" i="21"/>
  <c r="K792" i="21"/>
  <c r="N794" i="21"/>
  <c r="K794" i="21"/>
  <c r="N1018" i="21"/>
  <c r="K1018" i="21"/>
  <c r="N1406" i="21"/>
  <c r="K1406" i="21"/>
  <c r="N1457" i="21"/>
  <c r="K1457" i="21"/>
  <c r="G591" i="26"/>
  <c r="J591" i="26" s="1"/>
  <c r="H591" i="26"/>
  <c r="E421" i="28" s="1"/>
  <c r="H505" i="2"/>
  <c r="N505" i="2"/>
  <c r="F421" i="28"/>
  <c r="G421" i="28" s="1"/>
  <c r="I86" i="8"/>
  <c r="M679" i="14"/>
  <c r="E505" i="2"/>
  <c r="M505" i="2" s="1"/>
  <c r="N679" i="14"/>
  <c r="H679" i="14"/>
  <c r="N1405" i="21"/>
  <c r="K1405" i="21"/>
  <c r="N1407" i="21"/>
  <c r="K1407" i="21"/>
  <c r="N1458" i="21"/>
  <c r="K1458" i="21"/>
  <c r="M514" i="2"/>
  <c r="E76" i="20"/>
  <c r="F76" i="20" s="1"/>
  <c r="M513" i="2"/>
  <c r="E75" i="20"/>
  <c r="F75" i="20" s="1"/>
  <c r="M512" i="2"/>
  <c r="E74" i="20"/>
  <c r="F74" i="20" s="1"/>
  <c r="M511" i="2"/>
  <c r="E73" i="20"/>
  <c r="F73" i="20" s="1"/>
  <c r="M448" i="2"/>
  <c r="E59" i="20"/>
  <c r="F59" i="20" s="1"/>
  <c r="H99" i="6"/>
  <c r="H108" i="6"/>
  <c r="H111" i="6"/>
  <c r="H112" i="6" s="1"/>
  <c r="H113" i="6" s="1"/>
  <c r="H217" i="6"/>
  <c r="D184" i="24"/>
  <c r="F184" i="24" s="1"/>
  <c r="D185" i="24"/>
  <c r="F185" i="24" s="1"/>
  <c r="E480" i="26"/>
  <c r="E490" i="26"/>
  <c r="E510" i="26"/>
  <c r="E515" i="26"/>
  <c r="E396" i="29"/>
  <c r="G396" i="29" s="1"/>
  <c r="E397" i="29"/>
  <c r="G397" i="29" s="1"/>
  <c r="E406" i="29"/>
  <c r="G406" i="29" s="1"/>
  <c r="E407" i="29"/>
  <c r="G407" i="29" s="1"/>
  <c r="AA25" i="30"/>
  <c r="AB25" i="30" s="1"/>
  <c r="H140" i="8"/>
  <c r="M654" i="14"/>
  <c r="H654" i="14"/>
  <c r="N654" i="14"/>
  <c r="G99" i="6"/>
  <c r="G108" i="6"/>
  <c r="G111" i="6"/>
  <c r="G112" i="6" s="1"/>
  <c r="G113" i="6" s="1"/>
  <c r="G217" i="6"/>
  <c r="D176" i="24"/>
  <c r="F176" i="24" s="1"/>
  <c r="D177" i="24"/>
  <c r="F177" i="24" s="1"/>
  <c r="E479" i="26"/>
  <c r="E489" i="26"/>
  <c r="E509" i="26"/>
  <c r="E514" i="26"/>
  <c r="E394" i="29"/>
  <c r="G394" i="29" s="1"/>
  <c r="E395" i="29"/>
  <c r="G395" i="29" s="1"/>
  <c r="E404" i="29"/>
  <c r="G404" i="29" s="1"/>
  <c r="E405" i="29"/>
  <c r="G405" i="29" s="1"/>
  <c r="AA24" i="30"/>
  <c r="AB24" i="30" s="1"/>
  <c r="H139" i="8"/>
  <c r="M621" i="14"/>
  <c r="H621" i="14"/>
  <c r="N621" i="14"/>
  <c r="F99" i="6"/>
  <c r="F108" i="6"/>
  <c r="F111" i="6"/>
  <c r="F112" i="6" s="1"/>
  <c r="F113" i="6" s="1"/>
  <c r="F217" i="6"/>
  <c r="D168" i="24"/>
  <c r="F168" i="24" s="1"/>
  <c r="D169" i="24"/>
  <c r="F169" i="24" s="1"/>
  <c r="E478" i="26"/>
  <c r="E488" i="26"/>
  <c r="E508" i="26"/>
  <c r="E513" i="26"/>
  <c r="E392" i="29"/>
  <c r="G392" i="29" s="1"/>
  <c r="E393" i="29"/>
  <c r="G393" i="29" s="1"/>
  <c r="E402" i="29"/>
  <c r="G402" i="29" s="1"/>
  <c r="E403" i="29"/>
  <c r="G403" i="29" s="1"/>
  <c r="AA23" i="30"/>
  <c r="AB23" i="30" s="1"/>
  <c r="H138" i="8"/>
  <c r="M588" i="14"/>
  <c r="H588" i="14"/>
  <c r="N588" i="14"/>
  <c r="E99" i="6"/>
  <c r="E108" i="6"/>
  <c r="E111" i="6"/>
  <c r="E112" i="6" s="1"/>
  <c r="E113" i="6" s="1"/>
  <c r="E217" i="6"/>
  <c r="D160" i="24"/>
  <c r="F160" i="24" s="1"/>
  <c r="D161" i="24"/>
  <c r="F161" i="24" s="1"/>
  <c r="E477" i="26"/>
  <c r="E487" i="26"/>
  <c r="E507" i="26"/>
  <c r="E512" i="26"/>
  <c r="E390" i="29"/>
  <c r="G390" i="29" s="1"/>
  <c r="E391" i="29"/>
  <c r="G391" i="29" s="1"/>
  <c r="E400" i="29"/>
  <c r="G400" i="29" s="1"/>
  <c r="E401" i="29"/>
  <c r="G401" i="29" s="1"/>
  <c r="AA22" i="30"/>
  <c r="AB22" i="30" s="1"/>
  <c r="H137" i="8"/>
  <c r="M555" i="14"/>
  <c r="H555" i="14"/>
  <c r="N555" i="14"/>
  <c r="M431" i="2"/>
  <c r="E58" i="20"/>
  <c r="F58" i="20" s="1"/>
  <c r="M430" i="2"/>
  <c r="E57" i="20"/>
  <c r="F57" i="20" s="1"/>
  <c r="D99" i="6"/>
  <c r="D108" i="6"/>
  <c r="D111" i="6"/>
  <c r="D112" i="6" s="1"/>
  <c r="D113" i="6" s="1"/>
  <c r="D217" i="6"/>
  <c r="D152" i="24"/>
  <c r="F152" i="24" s="1"/>
  <c r="D153" i="24"/>
  <c r="F153" i="24" s="1"/>
  <c r="E476" i="26"/>
  <c r="E486" i="26"/>
  <c r="E506" i="26"/>
  <c r="E511" i="26"/>
  <c r="E388" i="29"/>
  <c r="G388" i="29" s="1"/>
  <c r="E389" i="29"/>
  <c r="G389" i="29" s="1"/>
  <c r="E398" i="29"/>
  <c r="G398" i="29" s="1"/>
  <c r="E399" i="29"/>
  <c r="G399" i="29" s="1"/>
  <c r="AA21" i="30"/>
  <c r="AB21" i="30" s="1"/>
  <c r="H136" i="8"/>
  <c r="M522" i="14"/>
  <c r="H522" i="14"/>
  <c r="N522" i="14"/>
  <c r="M423" i="2"/>
  <c r="E56" i="20"/>
  <c r="F56" i="20" s="1"/>
  <c r="M193" i="2"/>
  <c r="E27" i="20"/>
  <c r="F27" i="20" s="1"/>
  <c r="M191" i="2"/>
  <c r="E26" i="20"/>
  <c r="F26" i="20" s="1"/>
  <c r="M421" i="2"/>
  <c r="E55" i="20"/>
  <c r="F55" i="20" s="1"/>
  <c r="M406" i="2"/>
  <c r="E51" i="20"/>
  <c r="F51" i="20" s="1"/>
  <c r="M190" i="2"/>
  <c r="E25" i="20"/>
  <c r="F25" i="20" s="1"/>
  <c r="M420" i="2"/>
  <c r="E54" i="20"/>
  <c r="F54" i="20" s="1"/>
  <c r="M405" i="2"/>
  <c r="E50" i="20"/>
  <c r="F50" i="20" s="1"/>
  <c r="K486" i="21"/>
  <c r="N486" i="21"/>
  <c r="O56" i="20" s="1"/>
  <c r="N56" i="20"/>
  <c r="M201" i="2"/>
  <c r="E30" i="20"/>
  <c r="F30" i="20" s="1"/>
  <c r="M416" i="2"/>
  <c r="E53" i="20"/>
  <c r="F53" i="20" s="1"/>
  <c r="K279" i="21"/>
  <c r="N279" i="21"/>
  <c r="O30" i="20" s="1"/>
  <c r="N30" i="20"/>
  <c r="K275" i="21"/>
  <c r="N275" i="21"/>
  <c r="O29" i="20" s="1"/>
  <c r="N29" i="20"/>
  <c r="M415" i="2"/>
  <c r="E52" i="20"/>
  <c r="F52" i="20" s="1"/>
  <c r="M200" i="2"/>
  <c r="E29" i="20"/>
  <c r="F29" i="20" s="1"/>
  <c r="K494" i="21"/>
  <c r="N494" i="21"/>
  <c r="O59" i="20" s="1"/>
  <c r="F379" i="28"/>
  <c r="G379" i="28" s="1"/>
  <c r="N59" i="20"/>
  <c r="H35" i="8"/>
  <c r="M637" i="14"/>
  <c r="H637" i="14"/>
  <c r="N637" i="14"/>
  <c r="H34" i="8"/>
  <c r="M604" i="14"/>
  <c r="H604" i="14"/>
  <c r="N604" i="14"/>
  <c r="H33" i="8"/>
  <c r="M571" i="14"/>
  <c r="H571" i="14"/>
  <c r="N571" i="14"/>
  <c r="H32" i="8"/>
  <c r="M538" i="14"/>
  <c r="H538" i="14"/>
  <c r="N538" i="14"/>
  <c r="H31" i="8"/>
  <c r="M505" i="14"/>
  <c r="H505" i="14"/>
  <c r="N505" i="14"/>
  <c r="H99" i="5"/>
  <c r="H108" i="5"/>
  <c r="H111" i="5"/>
  <c r="H112" i="5" s="1"/>
  <c r="H113" i="5" s="1"/>
  <c r="H217" i="5"/>
  <c r="D139" i="24"/>
  <c r="F139" i="24" s="1"/>
  <c r="D140" i="24"/>
  <c r="F140" i="24" s="1"/>
  <c r="E345" i="26"/>
  <c r="E355" i="26"/>
  <c r="E375" i="26"/>
  <c r="E380" i="26"/>
  <c r="E376" i="29"/>
  <c r="G376" i="29" s="1"/>
  <c r="E377" i="29"/>
  <c r="G377" i="29" s="1"/>
  <c r="E386" i="29"/>
  <c r="G386" i="29" s="1"/>
  <c r="E387" i="29"/>
  <c r="G387" i="29" s="1"/>
  <c r="AA20" i="30"/>
  <c r="AB20" i="30" s="1"/>
  <c r="M489" i="14"/>
  <c r="G140" i="8"/>
  <c r="H489" i="14"/>
  <c r="N489" i="14"/>
  <c r="G99" i="5"/>
  <c r="G108" i="5"/>
  <c r="G111" i="5"/>
  <c r="G112" i="5" s="1"/>
  <c r="G113" i="5" s="1"/>
  <c r="G217" i="5"/>
  <c r="D131" i="24"/>
  <c r="F131" i="24" s="1"/>
  <c r="D132" i="24"/>
  <c r="F132" i="24" s="1"/>
  <c r="E344" i="26"/>
  <c r="E354" i="26"/>
  <c r="E374" i="26"/>
  <c r="E379" i="26"/>
  <c r="E374" i="29"/>
  <c r="G374" i="29" s="1"/>
  <c r="E375" i="29"/>
  <c r="G375" i="29" s="1"/>
  <c r="E384" i="29"/>
  <c r="G384" i="29" s="1"/>
  <c r="E385" i="29"/>
  <c r="G385" i="29" s="1"/>
  <c r="AA19" i="30"/>
  <c r="AB19" i="30" s="1"/>
  <c r="G139" i="8"/>
  <c r="M456" i="14"/>
  <c r="H456" i="14"/>
  <c r="N456" i="14"/>
  <c r="F99" i="5"/>
  <c r="F108" i="5"/>
  <c r="F111" i="5"/>
  <c r="F112" i="5" s="1"/>
  <c r="F113" i="5" s="1"/>
  <c r="F217" i="5"/>
  <c r="D123" i="24"/>
  <c r="F123" i="24" s="1"/>
  <c r="D124" i="24"/>
  <c r="F124" i="24" s="1"/>
  <c r="E343" i="26"/>
  <c r="E353" i="26"/>
  <c r="E373" i="26"/>
  <c r="E378" i="26"/>
  <c r="E372" i="29"/>
  <c r="G372" i="29" s="1"/>
  <c r="E373" i="29"/>
  <c r="G373" i="29" s="1"/>
  <c r="E382" i="29"/>
  <c r="G382" i="29" s="1"/>
  <c r="E383" i="29"/>
  <c r="G383" i="29" s="1"/>
  <c r="AA18" i="30"/>
  <c r="AB18" i="30" s="1"/>
  <c r="G138" i="8"/>
  <c r="M423" i="14"/>
  <c r="H423" i="14"/>
  <c r="N423" i="14"/>
  <c r="E99" i="5"/>
  <c r="E108" i="5"/>
  <c r="E111" i="5"/>
  <c r="E112" i="5" s="1"/>
  <c r="E113" i="5" s="1"/>
  <c r="E217" i="5"/>
  <c r="D115" i="24"/>
  <c r="F115" i="24" s="1"/>
  <c r="D116" i="24"/>
  <c r="F116" i="24" s="1"/>
  <c r="E342" i="26"/>
  <c r="E352" i="26"/>
  <c r="E372" i="26"/>
  <c r="E377" i="26"/>
  <c r="E370" i="29"/>
  <c r="G370" i="29" s="1"/>
  <c r="E371" i="29"/>
  <c r="G371" i="29" s="1"/>
  <c r="E380" i="29"/>
  <c r="G380" i="29" s="1"/>
  <c r="E381" i="29"/>
  <c r="G381" i="29" s="1"/>
  <c r="AA17" i="30"/>
  <c r="AB17" i="30" s="1"/>
  <c r="G137" i="8"/>
  <c r="M390" i="14"/>
  <c r="H390" i="14"/>
  <c r="N390" i="14"/>
  <c r="D99" i="5"/>
  <c r="D108" i="5"/>
  <c r="D111" i="5"/>
  <c r="D112" i="5" s="1"/>
  <c r="D113" i="5" s="1"/>
  <c r="D217" i="5"/>
  <c r="D107" i="24"/>
  <c r="F107" i="24" s="1"/>
  <c r="D108" i="24"/>
  <c r="F108" i="24" s="1"/>
  <c r="E341" i="26"/>
  <c r="E351" i="26"/>
  <c r="E371" i="26"/>
  <c r="E376" i="26"/>
  <c r="E368" i="29"/>
  <c r="G368" i="29" s="1"/>
  <c r="E369" i="29"/>
  <c r="G369" i="29" s="1"/>
  <c r="E378" i="29"/>
  <c r="G378" i="29" s="1"/>
  <c r="E379" i="29"/>
  <c r="G379" i="29" s="1"/>
  <c r="AA16" i="30"/>
  <c r="AB16" i="30" s="1"/>
  <c r="G136" i="8"/>
  <c r="M357" i="14"/>
  <c r="H357" i="14"/>
  <c r="N357" i="14"/>
  <c r="M374" i="2"/>
  <c r="E49" i="20"/>
  <c r="F49" i="20" s="1"/>
  <c r="M373" i="2"/>
  <c r="E48" i="20"/>
  <c r="F48" i="20" s="1"/>
  <c r="M371" i="2"/>
  <c r="E47" i="20"/>
  <c r="F47" i="20" s="1"/>
  <c r="M370" i="2"/>
  <c r="E46" i="20"/>
  <c r="F46" i="20" s="1"/>
  <c r="M365" i="2"/>
  <c r="E45" i="20"/>
  <c r="F45" i="20" s="1"/>
  <c r="G35" i="8"/>
  <c r="M472" i="14"/>
  <c r="H472" i="14"/>
  <c r="N472" i="14"/>
  <c r="G34" i="8"/>
  <c r="M34" i="8" s="1"/>
  <c r="M439" i="14"/>
  <c r="H439" i="14"/>
  <c r="N439" i="14"/>
  <c r="G33" i="8"/>
  <c r="M33" i="8" s="1"/>
  <c r="M406" i="14"/>
  <c r="H406" i="14"/>
  <c r="N406" i="14"/>
  <c r="G32" i="8"/>
  <c r="M32" i="8" s="1"/>
  <c r="M373" i="14"/>
  <c r="H373" i="14"/>
  <c r="N373" i="14"/>
  <c r="G31" i="8"/>
  <c r="M31" i="8" s="1"/>
  <c r="M340" i="14"/>
  <c r="H340" i="14"/>
  <c r="N340" i="14"/>
  <c r="H99" i="4"/>
  <c r="H103" i="4" s="1"/>
  <c r="J17" i="9" s="1"/>
  <c r="H108" i="4"/>
  <c r="H111" i="4"/>
  <c r="H112" i="4" s="1"/>
  <c r="H113" i="4" s="1"/>
  <c r="H217" i="4"/>
  <c r="H17" i="9"/>
  <c r="D94" i="24"/>
  <c r="F94" i="24" s="1"/>
  <c r="D95" i="24"/>
  <c r="F95" i="24" s="1"/>
  <c r="E210" i="26"/>
  <c r="E220" i="26"/>
  <c r="E240" i="26"/>
  <c r="E245" i="26"/>
  <c r="E356" i="29"/>
  <c r="G356" i="29" s="1"/>
  <c r="E357" i="29"/>
  <c r="G357" i="29" s="1"/>
  <c r="E366" i="29"/>
  <c r="G366" i="29" s="1"/>
  <c r="E367" i="29"/>
  <c r="G367" i="29" s="1"/>
  <c r="AA15" i="30"/>
  <c r="AB15" i="30" s="1"/>
  <c r="F140" i="8"/>
  <c r="M324" i="14"/>
  <c r="H324" i="14"/>
  <c r="N324" i="14"/>
  <c r="G99" i="4"/>
  <c r="G103" i="4" s="1"/>
  <c r="I17" i="9" s="1"/>
  <c r="G108" i="4"/>
  <c r="G111" i="4"/>
  <c r="G112" i="4" s="1"/>
  <c r="G113" i="4" s="1"/>
  <c r="G217" i="4"/>
  <c r="G17" i="9"/>
  <c r="D86" i="24"/>
  <c r="F86" i="24" s="1"/>
  <c r="D87" i="24"/>
  <c r="F87" i="24" s="1"/>
  <c r="E209" i="26"/>
  <c r="E219" i="26"/>
  <c r="E239" i="26"/>
  <c r="E244" i="26"/>
  <c r="E354" i="29"/>
  <c r="G354" i="29" s="1"/>
  <c r="E355" i="29"/>
  <c r="G355" i="29" s="1"/>
  <c r="E364" i="29"/>
  <c r="G364" i="29" s="1"/>
  <c r="E365" i="29"/>
  <c r="G365" i="29" s="1"/>
  <c r="AA14" i="30"/>
  <c r="AB14" i="30" s="1"/>
  <c r="F139" i="8"/>
  <c r="M291" i="14"/>
  <c r="H291" i="14"/>
  <c r="N291" i="14"/>
  <c r="F99" i="4"/>
  <c r="F103" i="4" s="1"/>
  <c r="F108" i="4"/>
  <c r="F111" i="4"/>
  <c r="F112" i="4" s="1"/>
  <c r="F113" i="4" s="1"/>
  <c r="F217" i="4"/>
  <c r="F17" i="9"/>
  <c r="D78" i="24"/>
  <c r="F78" i="24" s="1"/>
  <c r="D79" i="24"/>
  <c r="F79" i="24" s="1"/>
  <c r="E208" i="26"/>
  <c r="E218" i="26"/>
  <c r="E238" i="26"/>
  <c r="E243" i="26"/>
  <c r="E352" i="29"/>
  <c r="G352" i="29" s="1"/>
  <c r="E353" i="29"/>
  <c r="G353" i="29" s="1"/>
  <c r="E362" i="29"/>
  <c r="G362" i="29" s="1"/>
  <c r="E363" i="29"/>
  <c r="G363" i="29" s="1"/>
  <c r="AA13" i="30"/>
  <c r="AB13" i="30" s="1"/>
  <c r="M258" i="14"/>
  <c r="F138" i="8"/>
  <c r="H258" i="14"/>
  <c r="N258" i="14"/>
  <c r="E99" i="4"/>
  <c r="E103" i="4" s="1"/>
  <c r="E108" i="4"/>
  <c r="E111" i="4"/>
  <c r="E112" i="4" s="1"/>
  <c r="E113" i="4" s="1"/>
  <c r="E217" i="4"/>
  <c r="E17" i="9"/>
  <c r="D70" i="24"/>
  <c r="F70" i="24" s="1"/>
  <c r="D71" i="24"/>
  <c r="F71" i="24" s="1"/>
  <c r="E207" i="26"/>
  <c r="E217" i="26"/>
  <c r="E237" i="26"/>
  <c r="E242" i="26"/>
  <c r="E350" i="29"/>
  <c r="G350" i="29" s="1"/>
  <c r="E351" i="29"/>
  <c r="G351" i="29" s="1"/>
  <c r="E360" i="29"/>
  <c r="G360" i="29" s="1"/>
  <c r="E361" i="29"/>
  <c r="G361" i="29" s="1"/>
  <c r="AA12" i="30"/>
  <c r="AB12" i="30" s="1"/>
  <c r="H225" i="14"/>
  <c r="F137" i="8"/>
  <c r="M225" i="14"/>
  <c r="N225" i="14" s="1"/>
  <c r="D99" i="4"/>
  <c r="D103" i="4" s="1"/>
  <c r="D108" i="4"/>
  <c r="D111" i="4"/>
  <c r="D112" i="4" s="1"/>
  <c r="D113" i="4" s="1"/>
  <c r="D217" i="4"/>
  <c r="D17" i="9"/>
  <c r="D62" i="24"/>
  <c r="F62" i="24" s="1"/>
  <c r="D63" i="24"/>
  <c r="F63" i="24" s="1"/>
  <c r="E206" i="26"/>
  <c r="E216" i="26"/>
  <c r="E236" i="26"/>
  <c r="E241" i="26"/>
  <c r="E348" i="29"/>
  <c r="G348" i="29" s="1"/>
  <c r="E349" i="29"/>
  <c r="G349" i="29" s="1"/>
  <c r="E358" i="29"/>
  <c r="G358" i="29" s="1"/>
  <c r="E359" i="29"/>
  <c r="G359" i="29" s="1"/>
  <c r="AA11" i="30"/>
  <c r="AB11" i="30" s="1"/>
  <c r="H192" i="14"/>
  <c r="F136" i="8"/>
  <c r="M136" i="8" s="1"/>
  <c r="M192" i="14"/>
  <c r="N192" i="14" s="1"/>
  <c r="K177" i="8"/>
  <c r="J177" i="8"/>
  <c r="N177" i="8"/>
  <c r="L177" i="8"/>
  <c r="P177" i="8" s="1"/>
  <c r="J176" i="8"/>
  <c r="L176" i="8" s="1"/>
  <c r="P176" i="8" s="1"/>
  <c r="N176" i="8"/>
  <c r="K176" i="8"/>
  <c r="R176" i="8" s="1"/>
  <c r="K175" i="8"/>
  <c r="J175" i="8"/>
  <c r="L175" i="8" s="1"/>
  <c r="P175" i="8" s="1"/>
  <c r="N175" i="8"/>
  <c r="J174" i="8"/>
  <c r="L174" i="8" s="1"/>
  <c r="P174" i="8" s="1"/>
  <c r="N174" i="8"/>
  <c r="K174" i="8"/>
  <c r="R174" i="8" s="1"/>
  <c r="K173" i="8"/>
  <c r="N173" i="8"/>
  <c r="J173" i="8"/>
  <c r="L173" i="8" s="1"/>
  <c r="P173" i="8" s="1"/>
  <c r="G33" i="18"/>
  <c r="F33" i="18"/>
  <c r="J134" i="8"/>
  <c r="L134" i="8" s="1"/>
  <c r="P134" i="8" s="1"/>
  <c r="K134" i="8"/>
  <c r="N134" i="8"/>
  <c r="H99" i="3"/>
  <c r="H103" i="3" s="1"/>
  <c r="J8" i="9" s="1"/>
  <c r="H108" i="3"/>
  <c r="H111" i="3"/>
  <c r="H112" i="3" s="1"/>
  <c r="H113" i="3" s="1"/>
  <c r="H217" i="3"/>
  <c r="H8" i="9"/>
  <c r="D49" i="24"/>
  <c r="F49" i="24" s="1"/>
  <c r="D50" i="24"/>
  <c r="F50" i="24" s="1"/>
  <c r="E75" i="26"/>
  <c r="E85" i="26"/>
  <c r="E105" i="26"/>
  <c r="E110" i="26"/>
  <c r="E336" i="29"/>
  <c r="G336" i="29" s="1"/>
  <c r="E337" i="29"/>
  <c r="G337" i="29" s="1"/>
  <c r="E346" i="29"/>
  <c r="G346" i="29" s="1"/>
  <c r="E347" i="29"/>
  <c r="G347" i="29" s="1"/>
  <c r="AA10" i="30"/>
  <c r="AB10" i="30" s="1"/>
  <c r="E140" i="8"/>
  <c r="M159" i="14"/>
  <c r="H159" i="14"/>
  <c r="N159" i="14"/>
  <c r="H20" i="27"/>
  <c r="M20" i="27"/>
  <c r="E45" i="28"/>
  <c r="G20" i="27"/>
  <c r="L20" i="27"/>
  <c r="E44" i="28"/>
  <c r="J133" i="8"/>
  <c r="K133" i="8"/>
  <c r="R133" i="8" s="1"/>
  <c r="L133" i="8"/>
  <c r="P133" i="8" s="1"/>
  <c r="N133" i="8"/>
  <c r="G99" i="3"/>
  <c r="G103" i="3" s="1"/>
  <c r="I8" i="9" s="1"/>
  <c r="G108" i="3"/>
  <c r="G111" i="3"/>
  <c r="G112" i="3" s="1"/>
  <c r="G113" i="3" s="1"/>
  <c r="G217" i="3"/>
  <c r="G8" i="9"/>
  <c r="D41" i="24"/>
  <c r="F41" i="24" s="1"/>
  <c r="D42" i="24"/>
  <c r="F42" i="24" s="1"/>
  <c r="E74" i="26"/>
  <c r="E84" i="26"/>
  <c r="E104" i="26"/>
  <c r="E109" i="26"/>
  <c r="E334" i="29"/>
  <c r="G334" i="29" s="1"/>
  <c r="E335" i="29"/>
  <c r="G335" i="29" s="1"/>
  <c r="E344" i="29"/>
  <c r="G344" i="29" s="1"/>
  <c r="E345" i="29"/>
  <c r="G345" i="29" s="1"/>
  <c r="AA9" i="30"/>
  <c r="AB9" i="30" s="1"/>
  <c r="E139" i="8"/>
  <c r="M126" i="14"/>
  <c r="H126" i="14"/>
  <c r="N126" i="14"/>
  <c r="F20" i="27"/>
  <c r="K20" i="27"/>
  <c r="E43" i="28"/>
  <c r="F99" i="3"/>
  <c r="F103" i="3" s="1"/>
  <c r="F108" i="3"/>
  <c r="F111" i="3"/>
  <c r="F112" i="3" s="1"/>
  <c r="F113" i="3" s="1"/>
  <c r="F217" i="3"/>
  <c r="F8" i="9"/>
  <c r="D33" i="24"/>
  <c r="F33" i="24" s="1"/>
  <c r="D34" i="24"/>
  <c r="F34" i="24" s="1"/>
  <c r="E73" i="26"/>
  <c r="E83" i="26"/>
  <c r="E103" i="26"/>
  <c r="E108" i="26"/>
  <c r="E332" i="29"/>
  <c r="G332" i="29" s="1"/>
  <c r="E333" i="29"/>
  <c r="G333" i="29" s="1"/>
  <c r="E342" i="29"/>
  <c r="G342" i="29" s="1"/>
  <c r="E343" i="29"/>
  <c r="G343" i="29" s="1"/>
  <c r="AA8" i="30"/>
  <c r="AB8" i="30" s="1"/>
  <c r="E138" i="8"/>
  <c r="M93" i="14"/>
  <c r="H93" i="14"/>
  <c r="N93" i="14"/>
  <c r="J132" i="8"/>
  <c r="K132" i="8"/>
  <c r="R132" i="8" s="1"/>
  <c r="L132" i="8"/>
  <c r="P132" i="8" s="1"/>
  <c r="N132" i="8"/>
  <c r="E20" i="27"/>
  <c r="J20" i="27"/>
  <c r="E42" i="28"/>
  <c r="E99" i="3"/>
  <c r="E103" i="3" s="1"/>
  <c r="E108" i="3"/>
  <c r="E111" i="3"/>
  <c r="E112" i="3" s="1"/>
  <c r="E113" i="3" s="1"/>
  <c r="E217" i="3"/>
  <c r="E8" i="9"/>
  <c r="D25" i="24"/>
  <c r="F25" i="24" s="1"/>
  <c r="D26" i="24"/>
  <c r="F26" i="24" s="1"/>
  <c r="E72" i="26"/>
  <c r="E82" i="26"/>
  <c r="E102" i="26"/>
  <c r="E107" i="26"/>
  <c r="E330" i="29"/>
  <c r="G330" i="29" s="1"/>
  <c r="E331" i="29"/>
  <c r="G331" i="29" s="1"/>
  <c r="E340" i="29"/>
  <c r="G340" i="29" s="1"/>
  <c r="E341" i="29"/>
  <c r="G341" i="29" s="1"/>
  <c r="AA7" i="30"/>
  <c r="AB7" i="30" s="1"/>
  <c r="E137" i="8"/>
  <c r="M60" i="14"/>
  <c r="H60" i="14"/>
  <c r="N60" i="14"/>
  <c r="J131" i="8"/>
  <c r="K131" i="8"/>
  <c r="L131" i="8"/>
  <c r="P131" i="8" s="1"/>
  <c r="N131" i="8"/>
  <c r="J130" i="8"/>
  <c r="K130" i="8"/>
  <c r="R130" i="8" s="1"/>
  <c r="L130" i="8"/>
  <c r="P130" i="8" s="1"/>
  <c r="N130" i="8"/>
  <c r="G26" i="18"/>
  <c r="F26" i="18"/>
  <c r="D20" i="27"/>
  <c r="I20" i="27"/>
  <c r="E41" i="28"/>
  <c r="D99" i="3"/>
  <c r="D103" i="3" s="1"/>
  <c r="D108" i="3"/>
  <c r="D111" i="3"/>
  <c r="D112" i="3" s="1"/>
  <c r="D113" i="3" s="1"/>
  <c r="D217" i="3"/>
  <c r="D8" i="9"/>
  <c r="D17" i="24"/>
  <c r="F17" i="24" s="1"/>
  <c r="D18" i="24"/>
  <c r="F18" i="24" s="1"/>
  <c r="E71" i="26"/>
  <c r="E81" i="26"/>
  <c r="E101" i="26"/>
  <c r="E106" i="26"/>
  <c r="E328" i="29"/>
  <c r="G328" i="29" s="1"/>
  <c r="E329" i="29"/>
  <c r="G329" i="29" s="1"/>
  <c r="E338" i="29"/>
  <c r="G338" i="29" s="1"/>
  <c r="E339" i="29"/>
  <c r="G339" i="29" s="1"/>
  <c r="AA6" i="30"/>
  <c r="AB6" i="30" s="1"/>
  <c r="E136" i="8"/>
  <c r="M27" i="14"/>
  <c r="H27" i="14"/>
  <c r="N27" i="14"/>
  <c r="J115" i="8"/>
  <c r="K115" i="8"/>
  <c r="R115" i="8" s="1"/>
  <c r="L115" i="8"/>
  <c r="P115" i="8" s="1"/>
  <c r="N115" i="8"/>
  <c r="H17" i="27"/>
  <c r="M17" i="27"/>
  <c r="H18" i="27"/>
  <c r="M18" i="27"/>
  <c r="E70" i="28"/>
  <c r="J114" i="8"/>
  <c r="K114" i="8"/>
  <c r="R114" i="8" s="1"/>
  <c r="L114" i="8"/>
  <c r="P114" i="8" s="1"/>
  <c r="N114" i="8"/>
  <c r="G17" i="27"/>
  <c r="L17" i="27"/>
  <c r="G18" i="27"/>
  <c r="L18" i="27"/>
  <c r="E69" i="28"/>
  <c r="J113" i="8"/>
  <c r="L113" i="8" s="1"/>
  <c r="K113" i="8"/>
  <c r="N113" i="8"/>
  <c r="F17" i="27"/>
  <c r="K17" i="27"/>
  <c r="F18" i="27"/>
  <c r="K18" i="27"/>
  <c r="E68" i="28"/>
  <c r="J112" i="8"/>
  <c r="K112" i="8"/>
  <c r="R112" i="8" s="1"/>
  <c r="L112" i="8"/>
  <c r="P112" i="8" s="1"/>
  <c r="N112" i="8"/>
  <c r="E17" i="27"/>
  <c r="J17" i="27"/>
  <c r="E18" i="27"/>
  <c r="J18" i="27"/>
  <c r="E67" i="28"/>
  <c r="J111" i="8"/>
  <c r="K111" i="8"/>
  <c r="R111" i="8" s="1"/>
  <c r="L111" i="8"/>
  <c r="P111" i="8" s="1"/>
  <c r="N111" i="8"/>
  <c r="F23" i="18"/>
  <c r="G23" i="18"/>
  <c r="D18" i="27"/>
  <c r="I18" i="27"/>
  <c r="E66" i="28"/>
  <c r="D17" i="27"/>
  <c r="I17" i="27"/>
  <c r="J84" i="8"/>
  <c r="K84" i="8"/>
  <c r="L84" i="8"/>
  <c r="P84" i="8" s="1"/>
  <c r="N84" i="8"/>
  <c r="H12" i="27"/>
  <c r="M12" i="27"/>
  <c r="E240" i="28"/>
  <c r="J60" i="8"/>
  <c r="K60" i="8"/>
  <c r="R60" i="8" s="1"/>
  <c r="L60" i="8"/>
  <c r="P60" i="8" s="1"/>
  <c r="N60" i="8"/>
  <c r="J78" i="8"/>
  <c r="K78" i="8"/>
  <c r="L78" i="8"/>
  <c r="P78" i="8" s="1"/>
  <c r="N78" i="8"/>
  <c r="J42" i="8"/>
  <c r="K42" i="8"/>
  <c r="L42" i="8"/>
  <c r="P42" i="8" s="1"/>
  <c r="N42" i="8"/>
  <c r="G12" i="27"/>
  <c r="L12" i="27"/>
  <c r="E239" i="28"/>
  <c r="J59" i="8"/>
  <c r="K59" i="8"/>
  <c r="R59" i="8" s="1"/>
  <c r="L59" i="8"/>
  <c r="P59" i="8" s="1"/>
  <c r="N59" i="8"/>
  <c r="J41" i="8"/>
  <c r="K41" i="8"/>
  <c r="R41" i="8" s="1"/>
  <c r="L41" i="8"/>
  <c r="P41" i="8" s="1"/>
  <c r="N41" i="8"/>
  <c r="J77" i="8"/>
  <c r="K77" i="8"/>
  <c r="R77" i="8" s="1"/>
  <c r="L77" i="8"/>
  <c r="P77" i="8" s="1"/>
  <c r="N77" i="8"/>
  <c r="J83" i="8"/>
  <c r="K83" i="8"/>
  <c r="R83" i="8" s="1"/>
  <c r="L83" i="8"/>
  <c r="P83" i="8" s="1"/>
  <c r="N83" i="8"/>
  <c r="J82" i="8"/>
  <c r="L82" i="8" s="1"/>
  <c r="P82" i="8" s="1"/>
  <c r="K82" i="8"/>
  <c r="N82" i="8"/>
  <c r="J40" i="8"/>
  <c r="L40" i="8" s="1"/>
  <c r="P40" i="8" s="1"/>
  <c r="K40" i="8"/>
  <c r="R40" i="8" s="1"/>
  <c r="N40" i="8"/>
  <c r="J76" i="8"/>
  <c r="L76" i="8" s="1"/>
  <c r="P76" i="8" s="1"/>
  <c r="K76" i="8"/>
  <c r="R76" i="8" s="1"/>
  <c r="N76" i="8"/>
  <c r="J58" i="8"/>
  <c r="L58" i="8" s="1"/>
  <c r="P58" i="8" s="1"/>
  <c r="K58" i="8"/>
  <c r="R58" i="8" s="1"/>
  <c r="N58" i="8"/>
  <c r="F12" i="27"/>
  <c r="K12" i="27"/>
  <c r="E238" i="28"/>
  <c r="E12" i="27"/>
  <c r="J12" i="27"/>
  <c r="E237" i="28"/>
  <c r="J57" i="8"/>
  <c r="L57" i="8" s="1"/>
  <c r="P57" i="8" s="1"/>
  <c r="K57" i="8"/>
  <c r="N57" i="8"/>
  <c r="J75" i="8"/>
  <c r="K75" i="8"/>
  <c r="L75" i="8"/>
  <c r="P75" i="8" s="1"/>
  <c r="N75" i="8"/>
  <c r="J81" i="8"/>
  <c r="L81" i="8" s="1"/>
  <c r="P81" i="8" s="1"/>
  <c r="K81" i="8"/>
  <c r="R81" i="8" s="1"/>
  <c r="N81" i="8"/>
  <c r="J39" i="8"/>
  <c r="K39" i="8"/>
  <c r="R39" i="8" s="1"/>
  <c r="L39" i="8"/>
  <c r="P39" i="8" s="1"/>
  <c r="N39" i="8"/>
  <c r="D12" i="27"/>
  <c r="I12" i="27"/>
  <c r="E236" i="28"/>
  <c r="J38" i="8"/>
  <c r="L38" i="8" s="1"/>
  <c r="P38" i="8" s="1"/>
  <c r="K38" i="8"/>
  <c r="R38" i="8" s="1"/>
  <c r="N38" i="8"/>
  <c r="G11" i="18"/>
  <c r="F11" i="18"/>
  <c r="J74" i="8"/>
  <c r="L74" i="8" s="1"/>
  <c r="P74" i="8" s="1"/>
  <c r="K74" i="8"/>
  <c r="N74" i="8"/>
  <c r="G17" i="18"/>
  <c r="F17" i="18"/>
  <c r="J56" i="8"/>
  <c r="L56" i="8" s="1"/>
  <c r="P56" i="8" s="1"/>
  <c r="K56" i="8"/>
  <c r="R56" i="8" s="1"/>
  <c r="N56" i="8"/>
  <c r="F14" i="18"/>
  <c r="G14" i="18"/>
  <c r="J80" i="8"/>
  <c r="K80" i="8"/>
  <c r="R80" i="8" s="1"/>
  <c r="L80" i="8"/>
  <c r="P80" i="8" s="1"/>
  <c r="N80" i="8"/>
  <c r="G18" i="18"/>
  <c r="F18" i="18"/>
  <c r="J23" i="8"/>
  <c r="K23" i="8"/>
  <c r="R23" i="8" s="1"/>
  <c r="L23" i="8"/>
  <c r="P23" i="8" s="1"/>
  <c r="N23" i="8"/>
  <c r="J11" i="8"/>
  <c r="K11" i="8"/>
  <c r="R11" i="8" s="1"/>
  <c r="L11" i="8"/>
  <c r="P11" i="8" s="1"/>
  <c r="N11" i="8"/>
  <c r="J17" i="8"/>
  <c r="K17" i="8"/>
  <c r="R17" i="8" s="1"/>
  <c r="L17" i="8"/>
  <c r="P17" i="8" s="1"/>
  <c r="N17" i="8"/>
  <c r="J10" i="8"/>
  <c r="L10" i="8" s="1"/>
  <c r="P10" i="8" s="1"/>
  <c r="K10" i="8"/>
  <c r="R10" i="8" s="1"/>
  <c r="N10" i="8"/>
  <c r="J16" i="8"/>
  <c r="K16" i="8"/>
  <c r="R16" i="8" s="1"/>
  <c r="L16" i="8"/>
  <c r="P16" i="8" s="1"/>
  <c r="N16" i="8"/>
  <c r="J22" i="8"/>
  <c r="K22" i="8"/>
  <c r="R22" i="8" s="1"/>
  <c r="L22" i="8"/>
  <c r="P22" i="8" s="1"/>
  <c r="N22" i="8"/>
  <c r="J15" i="8"/>
  <c r="K15" i="8"/>
  <c r="R15" i="8" s="1"/>
  <c r="L15" i="8"/>
  <c r="P15" i="8" s="1"/>
  <c r="N15" i="8"/>
  <c r="J9" i="8"/>
  <c r="K9" i="8"/>
  <c r="R9" i="8" s="1"/>
  <c r="L9" i="8"/>
  <c r="P9" i="8" s="1"/>
  <c r="N9" i="8"/>
  <c r="J21" i="8"/>
  <c r="K21" i="8"/>
  <c r="R21" i="8" s="1"/>
  <c r="L21" i="8"/>
  <c r="P21" i="8" s="1"/>
  <c r="N21" i="8"/>
  <c r="J14" i="8"/>
  <c r="K14" i="8"/>
  <c r="R14" i="8" s="1"/>
  <c r="L14" i="8"/>
  <c r="P14" i="8" s="1"/>
  <c r="N14" i="8"/>
  <c r="J20" i="8"/>
  <c r="K20" i="8"/>
  <c r="R20" i="8" s="1"/>
  <c r="L20" i="8"/>
  <c r="P20" i="8" s="1"/>
  <c r="N20" i="8"/>
  <c r="J8" i="8"/>
  <c r="K8" i="8"/>
  <c r="R8" i="8" s="1"/>
  <c r="L8" i="8"/>
  <c r="P8" i="8" s="1"/>
  <c r="N8" i="8"/>
  <c r="J19" i="8"/>
  <c r="K19" i="8"/>
  <c r="R19" i="8" s="1"/>
  <c r="L19" i="8"/>
  <c r="P19" i="8" s="1"/>
  <c r="N19" i="8"/>
  <c r="J7" i="8"/>
  <c r="K7" i="8"/>
  <c r="R7" i="8" s="1"/>
  <c r="L7" i="8"/>
  <c r="P7" i="8" s="1"/>
  <c r="N7" i="8"/>
  <c r="J13" i="8"/>
  <c r="K13" i="8"/>
  <c r="R13" i="8" s="1"/>
  <c r="L13" i="8"/>
  <c r="P13" i="8" s="1"/>
  <c r="N13" i="8"/>
  <c r="G8" i="18"/>
  <c r="F8" i="18"/>
  <c r="F16" i="27"/>
  <c r="K16" i="27"/>
  <c r="E16" i="27"/>
  <c r="J16" i="27"/>
  <c r="G22" i="18"/>
  <c r="F22" i="18"/>
  <c r="D16" i="27"/>
  <c r="I16" i="27"/>
  <c r="H28" i="27"/>
  <c r="M28" i="27"/>
  <c r="E250" i="28"/>
  <c r="J109" i="8"/>
  <c r="K109" i="8"/>
  <c r="R109" i="8" s="1"/>
  <c r="L109" i="8"/>
  <c r="P109" i="8" s="1"/>
  <c r="N109" i="8"/>
  <c r="M74" i="2"/>
  <c r="E18" i="20"/>
  <c r="F18" i="20" s="1"/>
  <c r="K183" i="8"/>
  <c r="J183" i="8"/>
  <c r="L183" i="8" s="1"/>
  <c r="P183" i="8" s="1"/>
  <c r="N183" i="8"/>
  <c r="K182" i="8"/>
  <c r="J182" i="8"/>
  <c r="L182" i="8" s="1"/>
  <c r="P182" i="8" s="1"/>
  <c r="N182" i="8"/>
  <c r="M73" i="2"/>
  <c r="E17" i="20"/>
  <c r="F17" i="20" s="1"/>
  <c r="G28" i="27"/>
  <c r="L28" i="27"/>
  <c r="E249" i="28"/>
  <c r="J108" i="8"/>
  <c r="K108" i="8"/>
  <c r="L108" i="8"/>
  <c r="P108" i="8" s="1"/>
  <c r="N108" i="8"/>
  <c r="E16" i="20"/>
  <c r="F16" i="20" s="1"/>
  <c r="M72" i="2"/>
  <c r="K181" i="8"/>
  <c r="J181" i="8"/>
  <c r="L181" i="8" s="1"/>
  <c r="P181" i="8" s="1"/>
  <c r="N181" i="8"/>
  <c r="F28" i="27"/>
  <c r="K28" i="27"/>
  <c r="E248" i="28"/>
  <c r="J107" i="8"/>
  <c r="K107" i="8"/>
  <c r="R107" i="8" s="1"/>
  <c r="L107" i="8"/>
  <c r="P107" i="8" s="1"/>
  <c r="N107" i="8"/>
  <c r="E28" i="27"/>
  <c r="J28" i="27"/>
  <c r="E247" i="28"/>
  <c r="J180" i="8"/>
  <c r="L180" i="8" s="1"/>
  <c r="N180" i="8"/>
  <c r="K180" i="8"/>
  <c r="R180" i="8" s="1"/>
  <c r="M71" i="2"/>
  <c r="E15" i="20"/>
  <c r="F15" i="20" s="1"/>
  <c r="J106" i="8"/>
  <c r="L106" i="8" s="1"/>
  <c r="P106" i="8" s="1"/>
  <c r="K106" i="8"/>
  <c r="N106" i="8"/>
  <c r="J105" i="8"/>
  <c r="L105" i="8" s="1"/>
  <c r="P105" i="8" s="1"/>
  <c r="K105" i="8"/>
  <c r="N105" i="8"/>
  <c r="D28" i="27"/>
  <c r="I28" i="27"/>
  <c r="E246" i="28"/>
  <c r="J179" i="8"/>
  <c r="N179" i="8"/>
  <c r="K179" i="8"/>
  <c r="R179" i="8" s="1"/>
  <c r="L179" i="8"/>
  <c r="P179" i="8" s="1"/>
  <c r="G34" i="18"/>
  <c r="F34" i="18"/>
  <c r="M70" i="2"/>
  <c r="E14" i="20"/>
  <c r="F14" i="20" s="1"/>
  <c r="H7" i="27"/>
  <c r="M7" i="27"/>
  <c r="E15" i="28"/>
  <c r="H9" i="27"/>
  <c r="M9" i="27"/>
  <c r="H6" i="27"/>
  <c r="M6" i="27"/>
  <c r="E10" i="28"/>
  <c r="E35" i="8"/>
  <c r="M142" i="14"/>
  <c r="H142" i="14"/>
  <c r="N142" i="14"/>
  <c r="J29" i="8"/>
  <c r="K29" i="8"/>
  <c r="R29" i="8" s="1"/>
  <c r="L29" i="8"/>
  <c r="P29" i="8" s="1"/>
  <c r="N29" i="8"/>
  <c r="G9" i="27"/>
  <c r="L9" i="27"/>
  <c r="E34" i="8"/>
  <c r="M109" i="14"/>
  <c r="H109" i="14"/>
  <c r="N109" i="14"/>
  <c r="J28" i="8"/>
  <c r="L28" i="8" s="1"/>
  <c r="K28" i="8"/>
  <c r="N28" i="8"/>
  <c r="G7" i="27"/>
  <c r="L7" i="27"/>
  <c r="E14" i="28"/>
  <c r="G6" i="27"/>
  <c r="L6" i="27"/>
  <c r="E9" i="28"/>
  <c r="F6" i="27"/>
  <c r="K6" i="27"/>
  <c r="E8" i="28"/>
  <c r="F9" i="27"/>
  <c r="K9" i="27"/>
  <c r="J27" i="8"/>
  <c r="L27" i="8" s="1"/>
  <c r="K27" i="8"/>
  <c r="R27" i="8" s="1"/>
  <c r="N27" i="8"/>
  <c r="F7" i="27"/>
  <c r="K7" i="27"/>
  <c r="E13" i="28"/>
  <c r="E33" i="8"/>
  <c r="M76" i="14"/>
  <c r="H76" i="14"/>
  <c r="N76" i="14"/>
  <c r="E9" i="27"/>
  <c r="J9" i="27"/>
  <c r="J26" i="8"/>
  <c r="K26" i="8"/>
  <c r="R26" i="8" s="1"/>
  <c r="L26" i="8"/>
  <c r="P26" i="8" s="1"/>
  <c r="N26" i="8"/>
  <c r="E32" i="8"/>
  <c r="M43" i="14"/>
  <c r="H43" i="14"/>
  <c r="N43" i="14"/>
  <c r="E7" i="27"/>
  <c r="J7" i="27"/>
  <c r="E12" i="28"/>
  <c r="E6" i="27"/>
  <c r="J6" i="27"/>
  <c r="E7" i="28"/>
  <c r="D9" i="27"/>
  <c r="I9" i="27"/>
  <c r="D6" i="27"/>
  <c r="I6" i="27"/>
  <c r="E6" i="28"/>
  <c r="E31" i="8"/>
  <c r="M10" i="14"/>
  <c r="H10" i="14"/>
  <c r="N10" i="14"/>
  <c r="J25" i="8"/>
  <c r="K25" i="8"/>
  <c r="R25" i="8" s="1"/>
  <c r="L25" i="8"/>
  <c r="P25" i="8" s="1"/>
  <c r="N25" i="8"/>
  <c r="F9" i="18"/>
  <c r="G9" i="18"/>
  <c r="D7" i="27"/>
  <c r="I7" i="27"/>
  <c r="E11" i="28"/>
  <c r="J103" i="8"/>
  <c r="K103" i="8"/>
  <c r="R103" i="8" s="1"/>
  <c r="L103" i="8"/>
  <c r="P103" i="8" s="1"/>
  <c r="N103" i="8"/>
  <c r="J121" i="8"/>
  <c r="K121" i="8"/>
  <c r="R121" i="8" s="1"/>
  <c r="L121" i="8"/>
  <c r="P121" i="8" s="1"/>
  <c r="N121" i="8"/>
  <c r="N18" i="20"/>
  <c r="F65" i="28"/>
  <c r="G65" i="28" s="1"/>
  <c r="N29" i="21"/>
  <c r="O18" i="20" s="1"/>
  <c r="K29" i="21"/>
  <c r="J90" i="8"/>
  <c r="K90" i="8"/>
  <c r="R90" i="8" s="1"/>
  <c r="L90" i="8"/>
  <c r="P90" i="8" s="1"/>
  <c r="N90" i="8"/>
  <c r="J102" i="8"/>
  <c r="K102" i="8"/>
  <c r="R102" i="8" s="1"/>
  <c r="L102" i="8"/>
  <c r="P102" i="8" s="1"/>
  <c r="N102" i="8"/>
  <c r="J120" i="8"/>
  <c r="K120" i="8"/>
  <c r="R120" i="8" s="1"/>
  <c r="L120" i="8"/>
  <c r="P120" i="8" s="1"/>
  <c r="N120" i="8"/>
  <c r="N17" i="20"/>
  <c r="F64" i="28"/>
  <c r="G64" i="28" s="1"/>
  <c r="N24" i="21"/>
  <c r="O17" i="20" s="1"/>
  <c r="K24" i="21"/>
  <c r="J89" i="8"/>
  <c r="K89" i="8"/>
  <c r="R89" i="8" s="1"/>
  <c r="L89" i="8"/>
  <c r="P89" i="8" s="1"/>
  <c r="N89" i="8"/>
  <c r="J101" i="8"/>
  <c r="K101" i="8"/>
  <c r="R101" i="8" s="1"/>
  <c r="L101" i="8"/>
  <c r="P101" i="8" s="1"/>
  <c r="N101" i="8"/>
  <c r="J119" i="8"/>
  <c r="K119" i="8"/>
  <c r="R119" i="8" s="1"/>
  <c r="L119" i="8"/>
  <c r="P119" i="8" s="1"/>
  <c r="N119" i="8"/>
  <c r="N16" i="20"/>
  <c r="F63" i="28"/>
  <c r="G63" i="28" s="1"/>
  <c r="N20" i="21"/>
  <c r="O16" i="20" s="1"/>
  <c r="K20" i="21"/>
  <c r="J88" i="8"/>
  <c r="L88" i="8" s="1"/>
  <c r="P88" i="8" s="1"/>
  <c r="K88" i="8"/>
  <c r="N88" i="8"/>
  <c r="J100" i="8"/>
  <c r="K100" i="8"/>
  <c r="R100" i="8" s="1"/>
  <c r="L100" i="8"/>
  <c r="P100" i="8" s="1"/>
  <c r="N100" i="8"/>
  <c r="J118" i="8"/>
  <c r="K118" i="8"/>
  <c r="R118" i="8" s="1"/>
  <c r="L118" i="8"/>
  <c r="P118" i="8" s="1"/>
  <c r="N118" i="8"/>
  <c r="N15" i="20"/>
  <c r="F62" i="28"/>
  <c r="G62" i="28" s="1"/>
  <c r="N15" i="21"/>
  <c r="O15" i="20" s="1"/>
  <c r="K15" i="21"/>
  <c r="J87" i="8"/>
  <c r="K87" i="8"/>
  <c r="R87" i="8" s="1"/>
  <c r="L87" i="8"/>
  <c r="P87" i="8" s="1"/>
  <c r="N87" i="8"/>
  <c r="J99" i="8"/>
  <c r="K99" i="8"/>
  <c r="R99" i="8" s="1"/>
  <c r="L99" i="8"/>
  <c r="P99" i="8" s="1"/>
  <c r="N99" i="8"/>
  <c r="G21" i="18"/>
  <c r="F21" i="18"/>
  <c r="J117" i="8"/>
  <c r="K117" i="8"/>
  <c r="L117" i="8"/>
  <c r="P117" i="8" s="1"/>
  <c r="N117" i="8"/>
  <c r="G24" i="18"/>
  <c r="F24" i="18"/>
  <c r="N14" i="20"/>
  <c r="F61" i="28"/>
  <c r="G61" i="28" s="1"/>
  <c r="N10" i="21"/>
  <c r="O14" i="20" s="1"/>
  <c r="K10" i="21"/>
  <c r="J86" i="8"/>
  <c r="L86" i="8" s="1"/>
  <c r="P86" i="8" s="1"/>
  <c r="K86" i="8"/>
  <c r="R86" i="8" s="1"/>
  <c r="N86" i="8"/>
  <c r="G19" i="18"/>
  <c r="F19" i="18"/>
  <c r="N247" i="21"/>
  <c r="K247" i="21"/>
  <c r="N195" i="21"/>
  <c r="K195" i="21"/>
  <c r="N1287" i="21"/>
  <c r="K1287" i="21"/>
  <c r="N196" i="21"/>
  <c r="K196" i="21"/>
  <c r="N144" i="21"/>
  <c r="K144" i="21"/>
  <c r="N1288" i="21"/>
  <c r="K1288" i="21"/>
  <c r="N93" i="21"/>
  <c r="K93" i="21"/>
  <c r="K145" i="21"/>
  <c r="N145" i="21"/>
  <c r="N238" i="21"/>
  <c r="K238" i="21"/>
  <c r="N230" i="21"/>
  <c r="K230" i="21"/>
  <c r="N222" i="21"/>
  <c r="K222" i="21"/>
  <c r="N242" i="21"/>
  <c r="K242" i="21"/>
  <c r="K187" i="21"/>
  <c r="N187" i="21"/>
  <c r="N179" i="21"/>
  <c r="K179" i="21"/>
  <c r="N234" i="21"/>
  <c r="K234" i="21"/>
  <c r="N226" i="21"/>
  <c r="K226" i="21"/>
  <c r="K171" i="21"/>
  <c r="N171" i="21"/>
  <c r="N1279" i="21"/>
  <c r="K1279" i="21"/>
  <c r="K191" i="21"/>
  <c r="N191" i="21"/>
  <c r="N183" i="21"/>
  <c r="K183" i="21"/>
  <c r="N1271" i="21"/>
  <c r="K1271" i="21"/>
  <c r="K175" i="21"/>
  <c r="N175" i="21"/>
  <c r="N1263" i="21"/>
  <c r="K1263" i="21"/>
  <c r="N1283" i="21"/>
  <c r="K1283" i="21"/>
  <c r="N136" i="21"/>
  <c r="K136" i="21"/>
  <c r="N1275" i="21"/>
  <c r="K1275" i="21"/>
  <c r="K128" i="21"/>
  <c r="N128" i="21"/>
  <c r="N1267" i="21"/>
  <c r="K1267" i="21"/>
  <c r="K120" i="21"/>
  <c r="N120" i="21"/>
  <c r="N140" i="21"/>
  <c r="K140" i="21"/>
  <c r="N85" i="21"/>
  <c r="K85" i="21"/>
  <c r="N77" i="21"/>
  <c r="K77" i="21"/>
  <c r="K132" i="21"/>
  <c r="N132" i="21"/>
  <c r="N69" i="21"/>
  <c r="K69" i="21"/>
  <c r="K124" i="21"/>
  <c r="N124" i="21"/>
  <c r="N89" i="21"/>
  <c r="K89" i="21"/>
  <c r="N81" i="21"/>
  <c r="K81" i="21"/>
  <c r="N73" i="21"/>
  <c r="K73" i="21"/>
  <c r="E680" i="26"/>
  <c r="E679" i="26"/>
  <c r="E678" i="26"/>
  <c r="E677" i="26"/>
  <c r="E676" i="26"/>
  <c r="E545" i="26"/>
  <c r="E544" i="26"/>
  <c r="E543" i="26"/>
  <c r="E542" i="26"/>
  <c r="E541" i="26"/>
  <c r="N1659" i="21"/>
  <c r="K1659" i="21"/>
  <c r="N496" i="21"/>
  <c r="K496" i="21"/>
  <c r="N493" i="21"/>
  <c r="K493" i="21"/>
  <c r="N1656" i="21"/>
  <c r="K1656" i="21"/>
  <c r="K1653" i="21"/>
  <c r="N1653" i="21"/>
  <c r="N1650" i="21"/>
  <c r="K1650" i="21"/>
  <c r="E410" i="26"/>
  <c r="E409" i="26"/>
  <c r="E408" i="26"/>
  <c r="E407" i="26"/>
  <c r="E406" i="26"/>
  <c r="E140" i="26"/>
  <c r="E139" i="26"/>
  <c r="E138" i="26"/>
  <c r="E137" i="26"/>
  <c r="E136" i="26"/>
  <c r="N45" i="20"/>
  <c r="F316" i="28"/>
  <c r="G316" i="28" s="1"/>
  <c r="N447" i="21"/>
  <c r="O45" i="20" s="1"/>
  <c r="K447" i="21"/>
  <c r="I894" i="21"/>
  <c r="I1118" i="21"/>
  <c r="I837" i="21"/>
  <c r="I838" i="21"/>
  <c r="I1061" i="21"/>
  <c r="I1062" i="21"/>
  <c r="I1446" i="21"/>
  <c r="I1447" i="21"/>
  <c r="I1497" i="21"/>
  <c r="I1498" i="21"/>
  <c r="R66" i="8"/>
  <c r="R54" i="8"/>
  <c r="R53" i="8"/>
  <c r="R44" i="8"/>
  <c r="R46" i="8"/>
  <c r="R52" i="8"/>
  <c r="M177" i="8"/>
  <c r="M176" i="8"/>
  <c r="M175" i="8"/>
  <c r="M174" i="8"/>
  <c r="M173" i="8"/>
  <c r="M134" i="8"/>
  <c r="R68" i="8"/>
  <c r="R47" i="8"/>
  <c r="M183" i="8"/>
  <c r="M182" i="8"/>
  <c r="M181" i="8"/>
  <c r="M180" i="8"/>
  <c r="M179" i="8"/>
  <c r="M29" i="8"/>
  <c r="M28" i="8"/>
  <c r="M27" i="8"/>
  <c r="M26" i="8"/>
  <c r="M25" i="8"/>
  <c r="M96" i="8"/>
  <c r="M95" i="8"/>
  <c r="M94" i="8"/>
  <c r="M93" i="8"/>
  <c r="M92" i="8"/>
  <c r="M11" i="8"/>
  <c r="M16" i="8"/>
  <c r="M10" i="8"/>
  <c r="M15" i="8"/>
  <c r="M9" i="8"/>
  <c r="M14" i="8"/>
  <c r="M8" i="8"/>
  <c r="M13" i="8"/>
  <c r="M7" i="8"/>
  <c r="M103" i="8"/>
  <c r="M121" i="8"/>
  <c r="M120" i="8"/>
  <c r="M90" i="8"/>
  <c r="M102" i="8"/>
  <c r="M89" i="8"/>
  <c r="M119" i="8"/>
  <c r="M101" i="8"/>
  <c r="M118" i="8"/>
  <c r="M100" i="8"/>
  <c r="M88" i="8"/>
  <c r="M117" i="8"/>
  <c r="M87" i="8"/>
  <c r="M99" i="8"/>
  <c r="M86" i="8"/>
  <c r="R95" i="8"/>
  <c r="R93" i="8"/>
  <c r="R201" i="8"/>
  <c r="P199" i="8"/>
  <c r="R72" i="8"/>
  <c r="R71" i="8"/>
  <c r="R70" i="8"/>
  <c r="R69" i="8"/>
  <c r="R65" i="8"/>
  <c r="R63" i="8"/>
  <c r="R62" i="8"/>
  <c r="G600" i="26"/>
  <c r="J600" i="26" s="1"/>
  <c r="H600" i="26"/>
  <c r="G599" i="26"/>
  <c r="J599" i="26" s="1"/>
  <c r="H599" i="26"/>
  <c r="G13" i="18"/>
  <c r="F13" i="18"/>
  <c r="G16" i="18"/>
  <c r="F16" i="18"/>
  <c r="G20" i="18"/>
  <c r="F20" i="18"/>
  <c r="F6" i="18"/>
  <c r="G6" i="18"/>
  <c r="G7" i="18"/>
  <c r="F7" i="18"/>
  <c r="E350" i="28"/>
  <c r="M10" i="27"/>
  <c r="H10" i="27"/>
  <c r="E349" i="28"/>
  <c r="L10" i="27"/>
  <c r="G10" i="27"/>
  <c r="E348" i="28"/>
  <c r="K10" i="27"/>
  <c r="F10" i="27"/>
  <c r="J10" i="27"/>
  <c r="E10" i="27"/>
  <c r="I10" i="27"/>
  <c r="D10" i="27"/>
  <c r="E335" i="28"/>
  <c r="H30" i="27"/>
  <c r="M30" i="27"/>
  <c r="E334" i="28"/>
  <c r="L30" i="27"/>
  <c r="G30" i="27"/>
  <c r="E333" i="28"/>
  <c r="K30" i="27"/>
  <c r="F30" i="27"/>
  <c r="E332" i="28"/>
  <c r="J30" i="27"/>
  <c r="E30" i="27"/>
  <c r="E331" i="28"/>
  <c r="I30" i="27"/>
  <c r="D30" i="27"/>
  <c r="E125" i="28"/>
  <c r="M15" i="27"/>
  <c r="H15" i="27"/>
  <c r="E124" i="28"/>
  <c r="L15" i="27"/>
  <c r="G15" i="27"/>
  <c r="E123" i="28"/>
  <c r="K15" i="27"/>
  <c r="F15" i="27"/>
  <c r="E122" i="28"/>
  <c r="J15" i="27"/>
  <c r="E15" i="27"/>
  <c r="E121" i="28"/>
  <c r="I15" i="27"/>
  <c r="D15" i="27"/>
  <c r="P68" i="8" l="1"/>
  <c r="P96" i="8"/>
  <c r="P95" i="8"/>
  <c r="R94" i="8"/>
  <c r="P92" i="8"/>
  <c r="R78" i="8"/>
  <c r="R42" i="8"/>
  <c r="R177" i="8"/>
  <c r="R108" i="8"/>
  <c r="R117" i="8"/>
  <c r="R106" i="8"/>
  <c r="R131" i="8"/>
  <c r="R84" i="8"/>
  <c r="R82" i="8"/>
  <c r="R88" i="8"/>
  <c r="P113" i="8"/>
  <c r="R57" i="8"/>
  <c r="R75" i="8"/>
  <c r="R105" i="8"/>
  <c r="P28" i="8"/>
  <c r="P27" i="8"/>
  <c r="G103" i="7"/>
  <c r="I44" i="9" s="1"/>
  <c r="G44" i="9"/>
  <c r="F103" i="7"/>
  <c r="F44" i="9"/>
  <c r="D103" i="7"/>
  <c r="D44" i="9"/>
  <c r="J36" i="20"/>
  <c r="H163" i="7"/>
  <c r="H164" i="7"/>
  <c r="H165" i="7"/>
  <c r="H171" i="7"/>
  <c r="H172" i="7"/>
  <c r="H174" i="7"/>
  <c r="H219" i="7"/>
  <c r="H231" i="7"/>
  <c r="H45" i="9"/>
  <c r="L30" i="11"/>
  <c r="N30" i="11" s="1"/>
  <c r="F820" i="14"/>
  <c r="F821" i="14"/>
  <c r="F822" i="14"/>
  <c r="F827" i="14"/>
  <c r="G828" i="14"/>
  <c r="G830" i="14"/>
  <c r="B3" i="19"/>
  <c r="B4" i="19" s="1"/>
  <c r="H36" i="20"/>
  <c r="H382" i="21"/>
  <c r="I382" i="21" s="1"/>
  <c r="H384" i="21"/>
  <c r="H385" i="21"/>
  <c r="I385" i="21" s="1"/>
  <c r="H387" i="21"/>
  <c r="I387" i="21" s="1"/>
  <c r="H388" i="21"/>
  <c r="I388" i="21" s="1"/>
  <c r="H389" i="21"/>
  <c r="I389" i="21" s="1"/>
  <c r="H390" i="21"/>
  <c r="I390" i="21" s="1"/>
  <c r="H391" i="21"/>
  <c r="I391" i="21" s="1"/>
  <c r="H392" i="21"/>
  <c r="I392" i="21" s="1"/>
  <c r="H393" i="21"/>
  <c r="I393" i="21" s="1"/>
  <c r="H394" i="21"/>
  <c r="I394" i="21" s="1"/>
  <c r="H395" i="21"/>
  <c r="I395" i="21" s="1"/>
  <c r="H396" i="21"/>
  <c r="I396" i="21" s="1"/>
  <c r="H397" i="21"/>
  <c r="I397" i="21" s="1"/>
  <c r="H398" i="21"/>
  <c r="I398" i="21" s="1"/>
  <c r="H399" i="21"/>
  <c r="I399" i="21" s="1"/>
  <c r="H400" i="21"/>
  <c r="I400" i="21" s="1"/>
  <c r="H401" i="21"/>
  <c r="I401" i="21" s="1"/>
  <c r="G972" i="21"/>
  <c r="I972" i="21" s="1"/>
  <c r="G973" i="21"/>
  <c r="I973" i="21" s="1"/>
  <c r="G974" i="21"/>
  <c r="I974" i="21" s="1"/>
  <c r="G975" i="21"/>
  <c r="I975" i="21" s="1"/>
  <c r="G976" i="21"/>
  <c r="I976" i="21" s="1"/>
  <c r="G977" i="21"/>
  <c r="I977" i="21" s="1"/>
  <c r="G978" i="21"/>
  <c r="I978" i="21" s="1"/>
  <c r="G979" i="21"/>
  <c r="I979" i="21" s="1"/>
  <c r="G980" i="21"/>
  <c r="I980" i="21" s="1"/>
  <c r="G981" i="21"/>
  <c r="I981" i="21" s="1"/>
  <c r="G982" i="21"/>
  <c r="I982" i="21" s="1"/>
  <c r="G1196" i="21"/>
  <c r="I1196" i="21" s="1"/>
  <c r="G1197" i="21"/>
  <c r="I1197" i="21" s="1"/>
  <c r="G1198" i="21"/>
  <c r="I1198" i="21" s="1"/>
  <c r="G1199" i="21"/>
  <c r="I1199" i="21" s="1"/>
  <c r="G1200" i="21"/>
  <c r="I1200" i="21" s="1"/>
  <c r="G1201" i="21"/>
  <c r="I1201" i="21" s="1"/>
  <c r="G1202" i="21"/>
  <c r="I1202" i="21" s="1"/>
  <c r="G1203" i="21"/>
  <c r="I1203" i="21" s="1"/>
  <c r="G1204" i="21"/>
  <c r="I1204" i="21" s="1"/>
  <c r="G1205" i="21"/>
  <c r="I1205" i="21" s="1"/>
  <c r="G1206" i="21"/>
  <c r="I1206" i="21" s="1"/>
  <c r="E630" i="26"/>
  <c r="E635" i="26"/>
  <c r="E640" i="26"/>
  <c r="E655" i="26"/>
  <c r="F665" i="26"/>
  <c r="E324" i="29"/>
  <c r="G324" i="29" s="1"/>
  <c r="I324" i="29" s="1"/>
  <c r="E325" i="29"/>
  <c r="G325" i="29" s="1"/>
  <c r="I325" i="29" s="1"/>
  <c r="E326" i="29"/>
  <c r="G326" i="29" s="1"/>
  <c r="I326" i="29" s="1"/>
  <c r="E327" i="29"/>
  <c r="G327" i="29" s="1"/>
  <c r="I327" i="29" s="1"/>
  <c r="F239" i="2"/>
  <c r="F244" i="2"/>
  <c r="F254" i="2"/>
  <c r="F524" i="2"/>
  <c r="F529" i="2"/>
  <c r="F548" i="2"/>
  <c r="H159" i="7"/>
  <c r="H109" i="7"/>
  <c r="H167" i="7"/>
  <c r="F817" i="14"/>
  <c r="F824" i="14"/>
  <c r="G31" i="20"/>
  <c r="J31" i="20"/>
  <c r="G281" i="21"/>
  <c r="I281" i="21" s="1"/>
  <c r="G282" i="21"/>
  <c r="G283" i="21"/>
  <c r="I283" i="21" s="1"/>
  <c r="G284" i="21"/>
  <c r="I284" i="21" s="1"/>
  <c r="G285" i="21"/>
  <c r="I285" i="21" s="1"/>
  <c r="G286" i="21"/>
  <c r="I286" i="21" s="1"/>
  <c r="G287" i="21"/>
  <c r="I287" i="21" s="1"/>
  <c r="G288" i="21"/>
  <c r="I288" i="21" s="1"/>
  <c r="G289" i="21"/>
  <c r="I289" i="21" s="1"/>
  <c r="G294" i="21"/>
  <c r="I294" i="21" s="1"/>
  <c r="G295" i="21"/>
  <c r="I295" i="21" s="1"/>
  <c r="G296" i="21"/>
  <c r="I296" i="21" s="1"/>
  <c r="G297" i="21"/>
  <c r="I297" i="21" s="1"/>
  <c r="G994" i="21"/>
  <c r="I994" i="21" s="1"/>
  <c r="G995" i="21"/>
  <c r="I995" i="21" s="1"/>
  <c r="G996" i="21"/>
  <c r="I996" i="21" s="1"/>
  <c r="G997" i="21"/>
  <c r="I997" i="21" s="1"/>
  <c r="G998" i="21"/>
  <c r="I998" i="21" s="1"/>
  <c r="G999" i="21"/>
  <c r="I999" i="21" s="1"/>
  <c r="G1000" i="21"/>
  <c r="I1000" i="21" s="1"/>
  <c r="G1001" i="21"/>
  <c r="I1001" i="21" s="1"/>
  <c r="G1002" i="21"/>
  <c r="I1002" i="21" s="1"/>
  <c r="G1003" i="21"/>
  <c r="I1003" i="21" s="1"/>
  <c r="G1004" i="21"/>
  <c r="I1004" i="21" s="1"/>
  <c r="G1218" i="21"/>
  <c r="I1218" i="21" s="1"/>
  <c r="G1219" i="21"/>
  <c r="I1219" i="21" s="1"/>
  <c r="G1220" i="21"/>
  <c r="I1220" i="21" s="1"/>
  <c r="G1221" i="21"/>
  <c r="I1221" i="21" s="1"/>
  <c r="G1222" i="21"/>
  <c r="I1222" i="21" s="1"/>
  <c r="G1223" i="21"/>
  <c r="I1223" i="21" s="1"/>
  <c r="G1224" i="21"/>
  <c r="I1224" i="21" s="1"/>
  <c r="G1225" i="21"/>
  <c r="I1225" i="21" s="1"/>
  <c r="G1226" i="21"/>
  <c r="I1226" i="21" s="1"/>
  <c r="G1227" i="21"/>
  <c r="I1227" i="21" s="1"/>
  <c r="G1228" i="21"/>
  <c r="I1228" i="21" s="1"/>
  <c r="F229" i="2"/>
  <c r="H166" i="7"/>
  <c r="F823" i="14"/>
  <c r="K298" i="21"/>
  <c r="N298" i="21"/>
  <c r="K299" i="21"/>
  <c r="N299" i="21"/>
  <c r="K300" i="21"/>
  <c r="N300" i="21"/>
  <c r="K301" i="21"/>
  <c r="N301" i="21"/>
  <c r="N386" i="21"/>
  <c r="K386" i="21"/>
  <c r="K983" i="21"/>
  <c r="N983" i="21"/>
  <c r="K984" i="21"/>
  <c r="N984" i="21"/>
  <c r="K985" i="21"/>
  <c r="N985" i="21"/>
  <c r="K986" i="21"/>
  <c r="N986" i="21"/>
  <c r="K987" i="21"/>
  <c r="N987" i="21"/>
  <c r="K988" i="21"/>
  <c r="N988" i="21"/>
  <c r="K989" i="21"/>
  <c r="N989" i="21"/>
  <c r="K990" i="21"/>
  <c r="N990" i="21"/>
  <c r="K991" i="21"/>
  <c r="N991" i="21"/>
  <c r="K992" i="21"/>
  <c r="N992" i="21"/>
  <c r="K993" i="21"/>
  <c r="N993" i="21"/>
  <c r="K1207" i="21"/>
  <c r="N1207" i="21"/>
  <c r="K1208" i="21"/>
  <c r="N1208" i="21"/>
  <c r="K1209" i="21"/>
  <c r="N1209" i="21"/>
  <c r="K1210" i="21"/>
  <c r="N1210" i="21"/>
  <c r="K1211" i="21"/>
  <c r="N1211" i="21"/>
  <c r="K1212" i="21"/>
  <c r="N1212" i="21"/>
  <c r="K1213" i="21"/>
  <c r="N1213" i="21"/>
  <c r="K1214" i="21"/>
  <c r="N1214" i="21"/>
  <c r="K1215" i="21"/>
  <c r="N1215" i="21"/>
  <c r="K1216" i="21"/>
  <c r="N1216" i="21"/>
  <c r="K1217" i="21"/>
  <c r="N1217" i="21"/>
  <c r="G615" i="26"/>
  <c r="H615" i="26"/>
  <c r="F14" i="32"/>
  <c r="G625" i="26"/>
  <c r="J625" i="26" s="1"/>
  <c r="H625" i="26"/>
  <c r="G645" i="26"/>
  <c r="J645" i="26" s="1"/>
  <c r="H645" i="26"/>
  <c r="G650" i="26"/>
  <c r="J650" i="26" s="1"/>
  <c r="H650" i="26"/>
  <c r="J35" i="20"/>
  <c r="G163" i="7"/>
  <c r="G164" i="7"/>
  <c r="G165" i="7"/>
  <c r="G171" i="7"/>
  <c r="G172" i="7"/>
  <c r="G174" i="7"/>
  <c r="G219" i="7"/>
  <c r="G231" i="7"/>
  <c r="H232" i="7"/>
  <c r="G45" i="9"/>
  <c r="L29" i="11"/>
  <c r="N29" i="11" s="1"/>
  <c r="F787" i="14"/>
  <c r="F788" i="14"/>
  <c r="F789" i="14"/>
  <c r="F794" i="14"/>
  <c r="G795" i="14"/>
  <c r="G797" i="14"/>
  <c r="H35" i="20"/>
  <c r="H362" i="21"/>
  <c r="I362" i="21" s="1"/>
  <c r="H364" i="21"/>
  <c r="H365" i="21"/>
  <c r="I365" i="21" s="1"/>
  <c r="H367" i="21"/>
  <c r="I367" i="21" s="1"/>
  <c r="H368" i="21"/>
  <c r="I368" i="21" s="1"/>
  <c r="H369" i="21"/>
  <c r="I369" i="21" s="1"/>
  <c r="H370" i="21"/>
  <c r="I370" i="21" s="1"/>
  <c r="H371" i="21"/>
  <c r="I371" i="21" s="1"/>
  <c r="H372" i="21"/>
  <c r="I372" i="21" s="1"/>
  <c r="H373" i="21"/>
  <c r="I373" i="21" s="1"/>
  <c r="H374" i="21"/>
  <c r="I374" i="21" s="1"/>
  <c r="H375" i="21"/>
  <c r="I375" i="21" s="1"/>
  <c r="H376" i="21"/>
  <c r="I376" i="21" s="1"/>
  <c r="H377" i="21"/>
  <c r="I377" i="21" s="1"/>
  <c r="H378" i="21"/>
  <c r="I378" i="21" s="1"/>
  <c r="H379" i="21"/>
  <c r="I379" i="21" s="1"/>
  <c r="H380" i="21"/>
  <c r="I380" i="21" s="1"/>
  <c r="H381" i="21"/>
  <c r="I381" i="21" s="1"/>
  <c r="G916" i="21"/>
  <c r="I916" i="21" s="1"/>
  <c r="G917" i="21"/>
  <c r="I917" i="21" s="1"/>
  <c r="G918" i="21"/>
  <c r="I918" i="21" s="1"/>
  <c r="G919" i="21"/>
  <c r="I919" i="21" s="1"/>
  <c r="G920" i="21"/>
  <c r="I920" i="21" s="1"/>
  <c r="G921" i="21"/>
  <c r="I921" i="21" s="1"/>
  <c r="G922" i="21"/>
  <c r="I922" i="21" s="1"/>
  <c r="G923" i="21"/>
  <c r="I923" i="21" s="1"/>
  <c r="G924" i="21"/>
  <c r="I924" i="21" s="1"/>
  <c r="G925" i="21"/>
  <c r="I925" i="21" s="1"/>
  <c r="G926" i="21"/>
  <c r="I926" i="21" s="1"/>
  <c r="G1140" i="21"/>
  <c r="I1140" i="21" s="1"/>
  <c r="G1141" i="21"/>
  <c r="I1141" i="21" s="1"/>
  <c r="G1142" i="21"/>
  <c r="I1142" i="21" s="1"/>
  <c r="G1143" i="21"/>
  <c r="I1143" i="21" s="1"/>
  <c r="G1144" i="21"/>
  <c r="I1144" i="21" s="1"/>
  <c r="G1145" i="21"/>
  <c r="I1145" i="21" s="1"/>
  <c r="G1146" i="21"/>
  <c r="I1146" i="21" s="1"/>
  <c r="G1147" i="21"/>
  <c r="I1147" i="21" s="1"/>
  <c r="G1148" i="21"/>
  <c r="I1148" i="21" s="1"/>
  <c r="G1149" i="21"/>
  <c r="I1149" i="21" s="1"/>
  <c r="G1150" i="21"/>
  <c r="I1150" i="21" s="1"/>
  <c r="E629" i="26"/>
  <c r="E634" i="26"/>
  <c r="E639" i="26"/>
  <c r="E654" i="26"/>
  <c r="F664" i="26"/>
  <c r="E322" i="29"/>
  <c r="G322" i="29" s="1"/>
  <c r="I322" i="29" s="1"/>
  <c r="E323" i="29"/>
  <c r="G323" i="29" s="1"/>
  <c r="I323" i="29" s="1"/>
  <c r="F238" i="2"/>
  <c r="F243" i="2"/>
  <c r="F253" i="2"/>
  <c r="F523" i="2"/>
  <c r="F528" i="2"/>
  <c r="G159" i="7"/>
  <c r="G109" i="7"/>
  <c r="G167" i="7"/>
  <c r="F784" i="14"/>
  <c r="F791" i="14"/>
  <c r="G938" i="21"/>
  <c r="I938" i="21" s="1"/>
  <c r="G939" i="21"/>
  <c r="I939" i="21" s="1"/>
  <c r="G940" i="21"/>
  <c r="I940" i="21" s="1"/>
  <c r="G941" i="21"/>
  <c r="I941" i="21" s="1"/>
  <c r="G942" i="21"/>
  <c r="I942" i="21" s="1"/>
  <c r="G943" i="21"/>
  <c r="I943" i="21" s="1"/>
  <c r="G944" i="21"/>
  <c r="I944" i="21" s="1"/>
  <c r="G945" i="21"/>
  <c r="I945" i="21" s="1"/>
  <c r="G946" i="21"/>
  <c r="I946" i="21" s="1"/>
  <c r="G947" i="21"/>
  <c r="I947" i="21" s="1"/>
  <c r="G948" i="21"/>
  <c r="I948" i="21" s="1"/>
  <c r="G1162" i="21"/>
  <c r="I1162" i="21" s="1"/>
  <c r="G1163" i="21"/>
  <c r="I1163" i="21" s="1"/>
  <c r="G1164" i="21"/>
  <c r="I1164" i="21" s="1"/>
  <c r="G1165" i="21"/>
  <c r="I1165" i="21" s="1"/>
  <c r="G1166" i="21"/>
  <c r="I1166" i="21" s="1"/>
  <c r="G1167" i="21"/>
  <c r="I1167" i="21" s="1"/>
  <c r="G1168" i="21"/>
  <c r="I1168" i="21" s="1"/>
  <c r="G1169" i="21"/>
  <c r="I1169" i="21" s="1"/>
  <c r="G1170" i="21"/>
  <c r="I1170" i="21" s="1"/>
  <c r="G1171" i="21"/>
  <c r="I1171" i="21" s="1"/>
  <c r="G1172" i="21"/>
  <c r="I1172" i="21" s="1"/>
  <c r="G1384" i="21"/>
  <c r="I1384" i="21" s="1"/>
  <c r="G1385" i="21"/>
  <c r="I1385" i="21" s="1"/>
  <c r="G1386" i="21"/>
  <c r="I1386" i="21" s="1"/>
  <c r="G1387" i="21"/>
  <c r="I1387" i="21" s="1"/>
  <c r="G1388" i="21"/>
  <c r="I1388" i="21" s="1"/>
  <c r="G1389" i="21"/>
  <c r="I1389" i="21" s="1"/>
  <c r="G1390" i="21"/>
  <c r="I1390" i="21" s="1"/>
  <c r="G1391" i="21"/>
  <c r="I1391" i="21" s="1"/>
  <c r="G1392" i="21"/>
  <c r="I1392" i="21" s="1"/>
  <c r="G1397" i="21"/>
  <c r="I1397" i="21" s="1"/>
  <c r="G1398" i="21"/>
  <c r="I1398" i="21" s="1"/>
  <c r="G1399" i="21"/>
  <c r="I1399" i="21" s="1"/>
  <c r="G1400" i="21"/>
  <c r="I1400" i="21" s="1"/>
  <c r="F228" i="2"/>
  <c r="G166" i="7"/>
  <c r="F790" i="14"/>
  <c r="N366" i="21"/>
  <c r="K366" i="21"/>
  <c r="K927" i="21"/>
  <c r="N927" i="21"/>
  <c r="K928" i="21"/>
  <c r="N928" i="21"/>
  <c r="K929" i="21"/>
  <c r="N929" i="21"/>
  <c r="K930" i="21"/>
  <c r="N930" i="21"/>
  <c r="K931" i="21"/>
  <c r="N931" i="21"/>
  <c r="K932" i="21"/>
  <c r="N932" i="21"/>
  <c r="K933" i="21"/>
  <c r="N933" i="21"/>
  <c r="K934" i="21"/>
  <c r="N934" i="21"/>
  <c r="K935" i="21"/>
  <c r="N935" i="21"/>
  <c r="K936" i="21"/>
  <c r="N936" i="21"/>
  <c r="K937" i="21"/>
  <c r="N937" i="21"/>
  <c r="K1151" i="21"/>
  <c r="N1151" i="21"/>
  <c r="K1152" i="21"/>
  <c r="N1152" i="21"/>
  <c r="K1153" i="21"/>
  <c r="N1153" i="21"/>
  <c r="K1154" i="21"/>
  <c r="N1154" i="21"/>
  <c r="K1155" i="21"/>
  <c r="N1155" i="21"/>
  <c r="K1156" i="21"/>
  <c r="N1156" i="21"/>
  <c r="K1157" i="21"/>
  <c r="N1157" i="21"/>
  <c r="K1158" i="21"/>
  <c r="N1158" i="21"/>
  <c r="K1159" i="21"/>
  <c r="N1159" i="21"/>
  <c r="K1160" i="21"/>
  <c r="N1160" i="21"/>
  <c r="K1161" i="21"/>
  <c r="N1161" i="21"/>
  <c r="K1401" i="21"/>
  <c r="N1401" i="21"/>
  <c r="K1402" i="21"/>
  <c r="N1402" i="21"/>
  <c r="K1403" i="21"/>
  <c r="N1403" i="21"/>
  <c r="K1404" i="21"/>
  <c r="N1404" i="21"/>
  <c r="G614" i="26"/>
  <c r="J614" i="26" s="1"/>
  <c r="H614" i="26"/>
  <c r="E204" i="28" s="1"/>
  <c r="G624" i="26"/>
  <c r="J624" i="26" s="1"/>
  <c r="H624" i="26"/>
  <c r="G644" i="26"/>
  <c r="J644" i="26" s="1"/>
  <c r="H644" i="26"/>
  <c r="G649" i="26"/>
  <c r="J649" i="26" s="1"/>
  <c r="H649" i="26"/>
  <c r="F171" i="7"/>
  <c r="J34" i="20"/>
  <c r="F163" i="7"/>
  <c r="F164" i="7"/>
  <c r="F165" i="7"/>
  <c r="F172" i="7"/>
  <c r="F174" i="7"/>
  <c r="F219" i="7"/>
  <c r="F231" i="7"/>
  <c r="G232" i="7"/>
  <c r="F45" i="9"/>
  <c r="L28" i="11"/>
  <c r="N28" i="11" s="1"/>
  <c r="F754" i="14"/>
  <c r="F755" i="14"/>
  <c r="F756" i="14"/>
  <c r="F761" i="14"/>
  <c r="G762" i="14"/>
  <c r="G764" i="14"/>
  <c r="H34" i="20"/>
  <c r="H342" i="21"/>
  <c r="I342" i="21" s="1"/>
  <c r="H344" i="21"/>
  <c r="H345" i="21"/>
  <c r="I345" i="21" s="1"/>
  <c r="H347" i="21"/>
  <c r="I347" i="21" s="1"/>
  <c r="H348" i="21"/>
  <c r="I348" i="21" s="1"/>
  <c r="H349" i="21"/>
  <c r="I349" i="21" s="1"/>
  <c r="H350" i="21"/>
  <c r="I350" i="21" s="1"/>
  <c r="H351" i="21"/>
  <c r="I351" i="21" s="1"/>
  <c r="H352" i="21"/>
  <c r="I352" i="21" s="1"/>
  <c r="H353" i="21"/>
  <c r="I353" i="21" s="1"/>
  <c r="H354" i="21"/>
  <c r="I354" i="21" s="1"/>
  <c r="H355" i="21"/>
  <c r="I355" i="21" s="1"/>
  <c r="H356" i="21"/>
  <c r="I356" i="21" s="1"/>
  <c r="H357" i="21"/>
  <c r="I357" i="21" s="1"/>
  <c r="H358" i="21"/>
  <c r="I358" i="21" s="1"/>
  <c r="H359" i="21"/>
  <c r="I359" i="21" s="1"/>
  <c r="H360" i="21"/>
  <c r="I360" i="21" s="1"/>
  <c r="H361" i="21"/>
  <c r="I361" i="21" s="1"/>
  <c r="G860" i="21"/>
  <c r="I860" i="21" s="1"/>
  <c r="G861" i="21"/>
  <c r="I861" i="21" s="1"/>
  <c r="G862" i="21"/>
  <c r="I862" i="21" s="1"/>
  <c r="G863" i="21"/>
  <c r="I863" i="21" s="1"/>
  <c r="G864" i="21"/>
  <c r="I864" i="21" s="1"/>
  <c r="G865" i="21"/>
  <c r="I865" i="21" s="1"/>
  <c r="G866" i="21"/>
  <c r="I866" i="21" s="1"/>
  <c r="G867" i="21"/>
  <c r="I867" i="21" s="1"/>
  <c r="G868" i="21"/>
  <c r="I868" i="21" s="1"/>
  <c r="G869" i="21"/>
  <c r="I869" i="21" s="1"/>
  <c r="G870" i="21"/>
  <c r="I870" i="21" s="1"/>
  <c r="G1084" i="21"/>
  <c r="I1084" i="21" s="1"/>
  <c r="G1085" i="21"/>
  <c r="I1085" i="21" s="1"/>
  <c r="G1086" i="21"/>
  <c r="I1086" i="21" s="1"/>
  <c r="G1087" i="21"/>
  <c r="I1087" i="21" s="1"/>
  <c r="G1088" i="21"/>
  <c r="I1088" i="21" s="1"/>
  <c r="G1089" i="21"/>
  <c r="I1089" i="21" s="1"/>
  <c r="G1090" i="21"/>
  <c r="I1090" i="21" s="1"/>
  <c r="G1091" i="21"/>
  <c r="I1091" i="21" s="1"/>
  <c r="G1092" i="21"/>
  <c r="I1092" i="21" s="1"/>
  <c r="G1093" i="21"/>
  <c r="I1093" i="21" s="1"/>
  <c r="G1094" i="21"/>
  <c r="I1094" i="21" s="1"/>
  <c r="E628" i="26"/>
  <c r="E633" i="26"/>
  <c r="E638" i="26"/>
  <c r="E653" i="26"/>
  <c r="F663" i="26"/>
  <c r="E320" i="29"/>
  <c r="G320" i="29" s="1"/>
  <c r="I320" i="29" s="1"/>
  <c r="E321" i="29"/>
  <c r="G321" i="29" s="1"/>
  <c r="I321" i="29" s="1"/>
  <c r="F237" i="2"/>
  <c r="F242" i="2"/>
  <c r="F252" i="2"/>
  <c r="F522" i="2"/>
  <c r="F527" i="2"/>
  <c r="F159" i="7"/>
  <c r="F109" i="7"/>
  <c r="F167" i="7"/>
  <c r="F751" i="14"/>
  <c r="F758" i="14"/>
  <c r="G882" i="21"/>
  <c r="I882" i="21" s="1"/>
  <c r="G883" i="21"/>
  <c r="I883" i="21" s="1"/>
  <c r="G884" i="21"/>
  <c r="I884" i="21" s="1"/>
  <c r="G885" i="21"/>
  <c r="I885" i="21" s="1"/>
  <c r="G886" i="21"/>
  <c r="I886" i="21" s="1"/>
  <c r="G887" i="21"/>
  <c r="I887" i="21" s="1"/>
  <c r="G888" i="21"/>
  <c r="I888" i="21" s="1"/>
  <c r="G889" i="21"/>
  <c r="I889" i="21" s="1"/>
  <c r="G890" i="21"/>
  <c r="I890" i="21" s="1"/>
  <c r="G891" i="21"/>
  <c r="I891" i="21" s="1"/>
  <c r="G892" i="21"/>
  <c r="I892" i="21" s="1"/>
  <c r="G1106" i="21"/>
  <c r="I1106" i="21" s="1"/>
  <c r="G1107" i="21"/>
  <c r="I1107" i="21" s="1"/>
  <c r="G1108" i="21"/>
  <c r="I1108" i="21" s="1"/>
  <c r="G1109" i="21"/>
  <c r="I1109" i="21" s="1"/>
  <c r="G1110" i="21"/>
  <c r="I1110" i="21" s="1"/>
  <c r="G1111" i="21"/>
  <c r="I1111" i="21" s="1"/>
  <c r="G1112" i="21"/>
  <c r="I1112" i="21" s="1"/>
  <c r="G1113" i="21"/>
  <c r="I1113" i="21" s="1"/>
  <c r="G1114" i="21"/>
  <c r="I1114" i="21" s="1"/>
  <c r="G1115" i="21"/>
  <c r="I1115" i="21" s="1"/>
  <c r="G1116" i="21"/>
  <c r="I1116" i="21" s="1"/>
  <c r="G1363" i="21"/>
  <c r="I1363" i="21" s="1"/>
  <c r="G1364" i="21"/>
  <c r="I1364" i="21" s="1"/>
  <c r="G1365" i="21"/>
  <c r="I1365" i="21" s="1"/>
  <c r="G1366" i="21"/>
  <c r="I1366" i="21" s="1"/>
  <c r="G1367" i="21"/>
  <c r="I1367" i="21" s="1"/>
  <c r="G1368" i="21"/>
  <c r="I1368" i="21" s="1"/>
  <c r="G1369" i="21"/>
  <c r="I1369" i="21" s="1"/>
  <c r="G1370" i="21"/>
  <c r="I1370" i="21" s="1"/>
  <c r="G1371" i="21"/>
  <c r="I1371" i="21" s="1"/>
  <c r="G1376" i="21"/>
  <c r="I1376" i="21" s="1"/>
  <c r="G1377" i="21"/>
  <c r="I1377" i="21" s="1"/>
  <c r="G1378" i="21"/>
  <c r="I1378" i="21" s="1"/>
  <c r="G1379" i="21"/>
  <c r="I1379" i="21" s="1"/>
  <c r="F227" i="2"/>
  <c r="F166" i="7"/>
  <c r="F757" i="14"/>
  <c r="N346" i="21"/>
  <c r="K346" i="21"/>
  <c r="K871" i="21"/>
  <c r="N871" i="21"/>
  <c r="K872" i="21"/>
  <c r="N872" i="21"/>
  <c r="K873" i="21"/>
  <c r="N873" i="21"/>
  <c r="K874" i="21"/>
  <c r="N874" i="21"/>
  <c r="K875" i="21"/>
  <c r="N875" i="21"/>
  <c r="K876" i="21"/>
  <c r="N876" i="21"/>
  <c r="K877" i="21"/>
  <c r="N877" i="21"/>
  <c r="K878" i="21"/>
  <c r="N878" i="21"/>
  <c r="K879" i="21"/>
  <c r="N879" i="21"/>
  <c r="K880" i="21"/>
  <c r="N880" i="21"/>
  <c r="K881" i="21"/>
  <c r="N881" i="21"/>
  <c r="K1095" i="21"/>
  <c r="N1095" i="21"/>
  <c r="K1096" i="21"/>
  <c r="N1096" i="21"/>
  <c r="K1097" i="21"/>
  <c r="N1097" i="21"/>
  <c r="K1098" i="21"/>
  <c r="N1098" i="21"/>
  <c r="K1099" i="21"/>
  <c r="N1099" i="21"/>
  <c r="K1100" i="21"/>
  <c r="N1100" i="21"/>
  <c r="K1101" i="21"/>
  <c r="N1101" i="21"/>
  <c r="K1102" i="21"/>
  <c r="N1102" i="21"/>
  <c r="K1103" i="21"/>
  <c r="N1103" i="21"/>
  <c r="K1104" i="21"/>
  <c r="N1104" i="21"/>
  <c r="K1105" i="21"/>
  <c r="N1105" i="21"/>
  <c r="K1380" i="21"/>
  <c r="N1380" i="21"/>
  <c r="K1381" i="21"/>
  <c r="N1381" i="21"/>
  <c r="K1382" i="21"/>
  <c r="N1382" i="21"/>
  <c r="K1383" i="21"/>
  <c r="N1383" i="21"/>
  <c r="G613" i="26"/>
  <c r="J613" i="26" s="1"/>
  <c r="H613" i="26"/>
  <c r="E203" i="28" s="1"/>
  <c r="G623" i="26"/>
  <c r="J623" i="26" s="1"/>
  <c r="H623" i="26"/>
  <c r="G643" i="26"/>
  <c r="J643" i="26" s="1"/>
  <c r="H643" i="26"/>
  <c r="G648" i="26"/>
  <c r="J648" i="26" s="1"/>
  <c r="H648" i="26"/>
  <c r="J33" i="20"/>
  <c r="E163" i="7"/>
  <c r="E164" i="7"/>
  <c r="E165" i="7"/>
  <c r="E171" i="7"/>
  <c r="E172" i="7"/>
  <c r="E174" i="7"/>
  <c r="E219" i="7"/>
  <c r="E231" i="7"/>
  <c r="F232" i="7"/>
  <c r="E45" i="9"/>
  <c r="L27" i="11"/>
  <c r="N27" i="11" s="1"/>
  <c r="F721" i="14"/>
  <c r="F722" i="14"/>
  <c r="F723" i="14"/>
  <c r="F728" i="14"/>
  <c r="G729" i="14"/>
  <c r="G731" i="14"/>
  <c r="H33" i="20"/>
  <c r="H322" i="21"/>
  <c r="I322" i="21" s="1"/>
  <c r="H324" i="21"/>
  <c r="H325" i="21"/>
  <c r="I325" i="21" s="1"/>
  <c r="H327" i="21"/>
  <c r="I327" i="21" s="1"/>
  <c r="H328" i="21"/>
  <c r="I328" i="21" s="1"/>
  <c r="H329" i="21"/>
  <c r="I329" i="21" s="1"/>
  <c r="H330" i="21"/>
  <c r="I330" i="21" s="1"/>
  <c r="H331" i="21"/>
  <c r="I331" i="21" s="1"/>
  <c r="H332" i="21"/>
  <c r="I332" i="21" s="1"/>
  <c r="H333" i="21"/>
  <c r="I333" i="21" s="1"/>
  <c r="H334" i="21"/>
  <c r="I334" i="21" s="1"/>
  <c r="H335" i="21"/>
  <c r="I335" i="21" s="1"/>
  <c r="H336" i="21"/>
  <c r="I336" i="21" s="1"/>
  <c r="H337" i="21"/>
  <c r="I337" i="21" s="1"/>
  <c r="H338" i="21"/>
  <c r="I338" i="21" s="1"/>
  <c r="H339" i="21"/>
  <c r="I339" i="21" s="1"/>
  <c r="H340" i="21"/>
  <c r="I340" i="21" s="1"/>
  <c r="H341" i="21"/>
  <c r="I341" i="21" s="1"/>
  <c r="G804" i="21"/>
  <c r="I804" i="21" s="1"/>
  <c r="G805" i="21"/>
  <c r="I805" i="21" s="1"/>
  <c r="G806" i="21"/>
  <c r="I806" i="21" s="1"/>
  <c r="G807" i="21"/>
  <c r="I807" i="21" s="1"/>
  <c r="G808" i="21"/>
  <c r="I808" i="21" s="1"/>
  <c r="G809" i="21"/>
  <c r="I809" i="21" s="1"/>
  <c r="G810" i="21"/>
  <c r="I810" i="21" s="1"/>
  <c r="G811" i="21"/>
  <c r="I811" i="21" s="1"/>
  <c r="G812" i="21"/>
  <c r="I812" i="21" s="1"/>
  <c r="G813" i="21"/>
  <c r="I813" i="21" s="1"/>
  <c r="G814" i="21"/>
  <c r="I814" i="21" s="1"/>
  <c r="G1028" i="21"/>
  <c r="I1028" i="21" s="1"/>
  <c r="G1029" i="21"/>
  <c r="I1029" i="21" s="1"/>
  <c r="G1030" i="21"/>
  <c r="I1030" i="21" s="1"/>
  <c r="G1031" i="21"/>
  <c r="I1031" i="21" s="1"/>
  <c r="G1032" i="21"/>
  <c r="I1032" i="21" s="1"/>
  <c r="G1033" i="21"/>
  <c r="I1033" i="21" s="1"/>
  <c r="G1034" i="21"/>
  <c r="I1034" i="21" s="1"/>
  <c r="G1035" i="21"/>
  <c r="I1035" i="21" s="1"/>
  <c r="G1036" i="21"/>
  <c r="I1036" i="21" s="1"/>
  <c r="G1037" i="21"/>
  <c r="I1037" i="21" s="1"/>
  <c r="G1038" i="21"/>
  <c r="I1038" i="21" s="1"/>
  <c r="E627" i="26"/>
  <c r="E632" i="26"/>
  <c r="E637" i="26"/>
  <c r="E652" i="26"/>
  <c r="F662" i="26"/>
  <c r="E318" i="29"/>
  <c r="G318" i="29" s="1"/>
  <c r="I318" i="29" s="1"/>
  <c r="E319" i="29"/>
  <c r="G319" i="29" s="1"/>
  <c r="I319" i="29" s="1"/>
  <c r="F236" i="2"/>
  <c r="F241" i="2"/>
  <c r="F251" i="2"/>
  <c r="F521" i="2"/>
  <c r="F526" i="2"/>
  <c r="E159" i="7"/>
  <c r="E109" i="7"/>
  <c r="E167" i="7"/>
  <c r="F718" i="14"/>
  <c r="F725" i="14"/>
  <c r="G826" i="21"/>
  <c r="I826" i="21" s="1"/>
  <c r="G827" i="21"/>
  <c r="I827" i="21" s="1"/>
  <c r="G828" i="21"/>
  <c r="I828" i="21" s="1"/>
  <c r="G829" i="21"/>
  <c r="I829" i="21" s="1"/>
  <c r="G830" i="21"/>
  <c r="I830" i="21" s="1"/>
  <c r="G831" i="21"/>
  <c r="I831" i="21" s="1"/>
  <c r="G832" i="21"/>
  <c r="I832" i="21" s="1"/>
  <c r="G833" i="21"/>
  <c r="I833" i="21" s="1"/>
  <c r="G834" i="21"/>
  <c r="I834" i="21" s="1"/>
  <c r="G835" i="21"/>
  <c r="I835" i="21" s="1"/>
  <c r="G836" i="21"/>
  <c r="I836" i="21" s="1"/>
  <c r="G1050" i="21"/>
  <c r="I1050" i="21" s="1"/>
  <c r="G1051" i="21"/>
  <c r="I1051" i="21" s="1"/>
  <c r="G1052" i="21"/>
  <c r="I1052" i="21" s="1"/>
  <c r="G1053" i="21"/>
  <c r="I1053" i="21" s="1"/>
  <c r="G1054" i="21"/>
  <c r="I1054" i="21" s="1"/>
  <c r="G1055" i="21"/>
  <c r="I1055" i="21" s="1"/>
  <c r="G1056" i="21"/>
  <c r="I1056" i="21" s="1"/>
  <c r="G1057" i="21"/>
  <c r="I1057" i="21" s="1"/>
  <c r="G1058" i="21"/>
  <c r="I1058" i="21" s="1"/>
  <c r="G1059" i="21"/>
  <c r="I1059" i="21" s="1"/>
  <c r="G1060" i="21"/>
  <c r="I1060" i="21" s="1"/>
  <c r="G1342" i="21"/>
  <c r="I1342" i="21" s="1"/>
  <c r="G1343" i="21"/>
  <c r="I1343" i="21" s="1"/>
  <c r="G1344" i="21"/>
  <c r="I1344" i="21" s="1"/>
  <c r="G1345" i="21"/>
  <c r="I1345" i="21" s="1"/>
  <c r="G1346" i="21"/>
  <c r="I1346" i="21" s="1"/>
  <c r="G1347" i="21"/>
  <c r="I1347" i="21" s="1"/>
  <c r="G1348" i="21"/>
  <c r="I1348" i="21" s="1"/>
  <c r="G1349" i="21"/>
  <c r="I1349" i="21" s="1"/>
  <c r="G1350" i="21"/>
  <c r="I1350" i="21" s="1"/>
  <c r="G1355" i="21"/>
  <c r="I1355" i="21" s="1"/>
  <c r="G1356" i="21"/>
  <c r="I1356" i="21" s="1"/>
  <c r="G1357" i="21"/>
  <c r="I1357" i="21" s="1"/>
  <c r="G1358" i="21"/>
  <c r="I1358" i="21" s="1"/>
  <c r="F226" i="2"/>
  <c r="E166" i="7"/>
  <c r="F724" i="14"/>
  <c r="N326" i="21"/>
  <c r="K326" i="21"/>
  <c r="K815" i="21"/>
  <c r="N815" i="21"/>
  <c r="K816" i="21"/>
  <c r="N816" i="21"/>
  <c r="K817" i="21"/>
  <c r="N817" i="21"/>
  <c r="K818" i="21"/>
  <c r="N818" i="21"/>
  <c r="K819" i="21"/>
  <c r="N819" i="21"/>
  <c r="K820" i="21"/>
  <c r="N820" i="21"/>
  <c r="K821" i="21"/>
  <c r="N821" i="21"/>
  <c r="K822" i="21"/>
  <c r="N822" i="21"/>
  <c r="K823" i="21"/>
  <c r="N823" i="21"/>
  <c r="K824" i="21"/>
  <c r="N824" i="21"/>
  <c r="K825" i="21"/>
  <c r="N825" i="21"/>
  <c r="K1039" i="21"/>
  <c r="N1039" i="21"/>
  <c r="K1040" i="21"/>
  <c r="N1040" i="21"/>
  <c r="K1041" i="21"/>
  <c r="N1041" i="21"/>
  <c r="K1042" i="21"/>
  <c r="N1042" i="21"/>
  <c r="K1043" i="21"/>
  <c r="N1043" i="21"/>
  <c r="K1044" i="21"/>
  <c r="N1044" i="21"/>
  <c r="K1045" i="21"/>
  <c r="N1045" i="21"/>
  <c r="K1046" i="21"/>
  <c r="N1046" i="21"/>
  <c r="K1047" i="21"/>
  <c r="N1047" i="21"/>
  <c r="K1048" i="21"/>
  <c r="N1048" i="21"/>
  <c r="K1049" i="21"/>
  <c r="N1049" i="21"/>
  <c r="K1359" i="21"/>
  <c r="N1359" i="21"/>
  <c r="K1360" i="21"/>
  <c r="N1360" i="21"/>
  <c r="K1361" i="21"/>
  <c r="N1361" i="21"/>
  <c r="K1362" i="21"/>
  <c r="N1362" i="21"/>
  <c r="G612" i="26"/>
  <c r="J612" i="26" s="1"/>
  <c r="H612" i="26"/>
  <c r="E202" i="28" s="1"/>
  <c r="G622" i="26"/>
  <c r="J622" i="26" s="1"/>
  <c r="H622" i="26"/>
  <c r="G642" i="26"/>
  <c r="J642" i="26" s="1"/>
  <c r="H642" i="26"/>
  <c r="G647" i="26"/>
  <c r="J647" i="26" s="1"/>
  <c r="H647" i="26"/>
  <c r="J32" i="20"/>
  <c r="D163" i="7"/>
  <c r="D164" i="7"/>
  <c r="D165" i="7"/>
  <c r="D171" i="7"/>
  <c r="D172" i="7"/>
  <c r="D174" i="7"/>
  <c r="D219" i="7"/>
  <c r="D232" i="7"/>
  <c r="E232" i="7"/>
  <c r="D45" i="9"/>
  <c r="L26" i="11"/>
  <c r="N26" i="11" s="1"/>
  <c r="F688" i="14"/>
  <c r="F689" i="14"/>
  <c r="F690" i="14"/>
  <c r="F695" i="14"/>
  <c r="G696" i="14"/>
  <c r="G698" i="14"/>
  <c r="H32" i="20"/>
  <c r="H302" i="21"/>
  <c r="I302" i="21" s="1"/>
  <c r="H304" i="21"/>
  <c r="H305" i="21"/>
  <c r="I305" i="21" s="1"/>
  <c r="H307" i="21"/>
  <c r="I307" i="21" s="1"/>
  <c r="H308" i="21"/>
  <c r="I308" i="21" s="1"/>
  <c r="H309" i="21"/>
  <c r="I309" i="21" s="1"/>
  <c r="H310" i="21"/>
  <c r="I310" i="21" s="1"/>
  <c r="H311" i="21"/>
  <c r="I311" i="21" s="1"/>
  <c r="H312" i="21"/>
  <c r="I312" i="21" s="1"/>
  <c r="H313" i="21"/>
  <c r="I313" i="21" s="1"/>
  <c r="H314" i="21"/>
  <c r="I314" i="21" s="1"/>
  <c r="H315" i="21"/>
  <c r="I315" i="21" s="1"/>
  <c r="H316" i="21"/>
  <c r="I316" i="21" s="1"/>
  <c r="H317" i="21"/>
  <c r="I317" i="21" s="1"/>
  <c r="H318" i="21"/>
  <c r="I318" i="21" s="1"/>
  <c r="H319" i="21"/>
  <c r="I319" i="21" s="1"/>
  <c r="H320" i="21"/>
  <c r="I320" i="21" s="1"/>
  <c r="H321" i="21"/>
  <c r="I321" i="21" s="1"/>
  <c r="G1416" i="21"/>
  <c r="I1416" i="21" s="1"/>
  <c r="G1417" i="21"/>
  <c r="I1417" i="21" s="1"/>
  <c r="G1418" i="21"/>
  <c r="I1418" i="21" s="1"/>
  <c r="G1419" i="21"/>
  <c r="I1419" i="21" s="1"/>
  <c r="G1420" i="21"/>
  <c r="I1420" i="21" s="1"/>
  <c r="G1421" i="21"/>
  <c r="I1421" i="21" s="1"/>
  <c r="G1422" i="21"/>
  <c r="I1422" i="21" s="1"/>
  <c r="G1423" i="21"/>
  <c r="I1423" i="21" s="1"/>
  <c r="G1424" i="21"/>
  <c r="I1424" i="21" s="1"/>
  <c r="G1425" i="21"/>
  <c r="I1425" i="21" s="1"/>
  <c r="G1467" i="21"/>
  <c r="I1467" i="21" s="1"/>
  <c r="G1468" i="21"/>
  <c r="I1468" i="21" s="1"/>
  <c r="G1469" i="21"/>
  <c r="I1469" i="21" s="1"/>
  <c r="G1470" i="21"/>
  <c r="I1470" i="21" s="1"/>
  <c r="G1471" i="21"/>
  <c r="I1471" i="21" s="1"/>
  <c r="G1472" i="21"/>
  <c r="I1472" i="21" s="1"/>
  <c r="G1473" i="21"/>
  <c r="I1473" i="21" s="1"/>
  <c r="G1474" i="21"/>
  <c r="I1474" i="21" s="1"/>
  <c r="G1475" i="21"/>
  <c r="I1475" i="21" s="1"/>
  <c r="G1476" i="21"/>
  <c r="I1476" i="21" s="1"/>
  <c r="E626" i="26"/>
  <c r="E631" i="26"/>
  <c r="E636" i="26"/>
  <c r="E651" i="26"/>
  <c r="F661" i="26"/>
  <c r="E316" i="29"/>
  <c r="G316" i="29" s="1"/>
  <c r="I316" i="29" s="1"/>
  <c r="E317" i="29"/>
  <c r="G317" i="29" s="1"/>
  <c r="I317" i="29" s="1"/>
  <c r="F235" i="2"/>
  <c r="F240" i="2"/>
  <c r="F250" i="2"/>
  <c r="F520" i="2"/>
  <c r="F525" i="2"/>
  <c r="D159" i="7"/>
  <c r="D109" i="7"/>
  <c r="D167" i="7"/>
  <c r="F685" i="14"/>
  <c r="F692" i="14"/>
  <c r="G1321" i="21"/>
  <c r="I1321" i="21" s="1"/>
  <c r="G1322" i="21"/>
  <c r="I1322" i="21" s="1"/>
  <c r="G1323" i="21"/>
  <c r="I1323" i="21" s="1"/>
  <c r="G1324" i="21"/>
  <c r="I1324" i="21" s="1"/>
  <c r="G1325" i="21"/>
  <c r="I1325" i="21" s="1"/>
  <c r="G1326" i="21"/>
  <c r="I1326" i="21" s="1"/>
  <c r="G1327" i="21"/>
  <c r="I1327" i="21" s="1"/>
  <c r="G1328" i="21"/>
  <c r="I1328" i="21" s="1"/>
  <c r="G1329" i="21"/>
  <c r="I1329" i="21" s="1"/>
  <c r="G1334" i="21"/>
  <c r="I1334" i="21" s="1"/>
  <c r="G1335" i="21"/>
  <c r="I1335" i="21" s="1"/>
  <c r="G1336" i="21"/>
  <c r="I1336" i="21" s="1"/>
  <c r="G1337" i="21"/>
  <c r="I1337" i="21" s="1"/>
  <c r="G1436" i="21"/>
  <c r="I1436" i="21" s="1"/>
  <c r="G1437" i="21"/>
  <c r="I1437" i="21" s="1"/>
  <c r="G1438" i="21"/>
  <c r="I1438" i="21" s="1"/>
  <c r="G1439" i="21"/>
  <c r="I1439" i="21" s="1"/>
  <c r="G1440" i="21"/>
  <c r="I1440" i="21" s="1"/>
  <c r="G1441" i="21"/>
  <c r="I1441" i="21" s="1"/>
  <c r="G1442" i="21"/>
  <c r="I1442" i="21" s="1"/>
  <c r="G1443" i="21"/>
  <c r="I1443" i="21" s="1"/>
  <c r="G1444" i="21"/>
  <c r="I1444" i="21" s="1"/>
  <c r="G1445" i="21"/>
  <c r="I1445" i="21" s="1"/>
  <c r="G1487" i="21"/>
  <c r="I1487" i="21" s="1"/>
  <c r="G1488" i="21"/>
  <c r="I1488" i="21" s="1"/>
  <c r="G1489" i="21"/>
  <c r="I1489" i="21" s="1"/>
  <c r="G1490" i="21"/>
  <c r="I1490" i="21" s="1"/>
  <c r="G1491" i="21"/>
  <c r="I1491" i="21" s="1"/>
  <c r="G1492" i="21"/>
  <c r="I1492" i="21" s="1"/>
  <c r="G1493" i="21"/>
  <c r="I1493" i="21" s="1"/>
  <c r="G1494" i="21"/>
  <c r="I1494" i="21" s="1"/>
  <c r="G1495" i="21"/>
  <c r="I1495" i="21" s="1"/>
  <c r="G1496" i="21"/>
  <c r="I1496" i="21" s="1"/>
  <c r="F225" i="2"/>
  <c r="D166" i="7"/>
  <c r="F691" i="14"/>
  <c r="N306" i="21"/>
  <c r="K306" i="21"/>
  <c r="K1338" i="21"/>
  <c r="N1338" i="21"/>
  <c r="K1339" i="21"/>
  <c r="N1339" i="21"/>
  <c r="K1340" i="21"/>
  <c r="N1340" i="21"/>
  <c r="K1341" i="21"/>
  <c r="N1341" i="21"/>
  <c r="K1426" i="21"/>
  <c r="N1426" i="21"/>
  <c r="K1427" i="21"/>
  <c r="N1427" i="21"/>
  <c r="K1428" i="21"/>
  <c r="N1428" i="21"/>
  <c r="K1429" i="21"/>
  <c r="N1429" i="21"/>
  <c r="K1430" i="21"/>
  <c r="N1430" i="21"/>
  <c r="K1431" i="21"/>
  <c r="N1431" i="21"/>
  <c r="K1432" i="21"/>
  <c r="N1432" i="21"/>
  <c r="K1433" i="21"/>
  <c r="N1433" i="21"/>
  <c r="K1434" i="21"/>
  <c r="N1434" i="21"/>
  <c r="K1435" i="21"/>
  <c r="N1435" i="21"/>
  <c r="K1477" i="21"/>
  <c r="N1477" i="21"/>
  <c r="K1478" i="21"/>
  <c r="N1478" i="21"/>
  <c r="K1479" i="21"/>
  <c r="N1479" i="21"/>
  <c r="K1480" i="21"/>
  <c r="N1480" i="21"/>
  <c r="K1481" i="21"/>
  <c r="N1481" i="21"/>
  <c r="K1482" i="21"/>
  <c r="N1482" i="21"/>
  <c r="K1483" i="21"/>
  <c r="N1483" i="21"/>
  <c r="K1484" i="21"/>
  <c r="N1484" i="21"/>
  <c r="K1485" i="21"/>
  <c r="N1485" i="21"/>
  <c r="K1486" i="21"/>
  <c r="N1486" i="21"/>
  <c r="G611" i="26"/>
  <c r="J611" i="26" s="1"/>
  <c r="H611" i="26"/>
  <c r="E201" i="28" s="1"/>
  <c r="G621" i="26"/>
  <c r="J621" i="26" s="1"/>
  <c r="H621" i="26"/>
  <c r="G641" i="26"/>
  <c r="J641" i="26" s="1"/>
  <c r="H641" i="26"/>
  <c r="G646" i="26"/>
  <c r="J646" i="26" s="1"/>
  <c r="H646" i="26"/>
  <c r="N72" i="20"/>
  <c r="F425" i="28"/>
  <c r="G425" i="28" s="1"/>
  <c r="N961" i="21"/>
  <c r="O72" i="20" s="1"/>
  <c r="K961" i="21"/>
  <c r="H27" i="32"/>
  <c r="J595" i="26"/>
  <c r="E27" i="32"/>
  <c r="E425" i="28"/>
  <c r="M509" i="2"/>
  <c r="E72" i="20"/>
  <c r="F72" i="20" s="1"/>
  <c r="N71" i="20"/>
  <c r="F424" i="28"/>
  <c r="G424" i="28" s="1"/>
  <c r="N905" i="21"/>
  <c r="O71" i="20" s="1"/>
  <c r="K905" i="21"/>
  <c r="E26" i="32"/>
  <c r="E424" i="28"/>
  <c r="H26" i="32"/>
  <c r="J594" i="26"/>
  <c r="M508" i="2"/>
  <c r="E71" i="20"/>
  <c r="F71" i="20" s="1"/>
  <c r="N70" i="20"/>
  <c r="F423" i="28"/>
  <c r="G423" i="28" s="1"/>
  <c r="N849" i="21"/>
  <c r="O70" i="20" s="1"/>
  <c r="K849" i="21"/>
  <c r="H25" i="32"/>
  <c r="J593" i="26"/>
  <c r="E25" i="32"/>
  <c r="E423" i="28"/>
  <c r="M507" i="2"/>
  <c r="E70" i="20"/>
  <c r="F70" i="20" s="1"/>
  <c r="N69" i="20"/>
  <c r="F422" i="28"/>
  <c r="G422" i="28" s="1"/>
  <c r="N793" i="21"/>
  <c r="O69" i="20" s="1"/>
  <c r="K793" i="21"/>
  <c r="H24" i="32"/>
  <c r="J592" i="26"/>
  <c r="E24" i="32"/>
  <c r="E422" i="28"/>
  <c r="M506" i="2"/>
  <c r="E69" i="20"/>
  <c r="F69" i="20" s="1"/>
  <c r="H163" i="6"/>
  <c r="H164" i="6"/>
  <c r="H165" i="6"/>
  <c r="H171" i="6"/>
  <c r="H172" i="6"/>
  <c r="H174" i="6"/>
  <c r="H219" i="6"/>
  <c r="H231" i="6"/>
  <c r="H36" i="9"/>
  <c r="L25" i="11"/>
  <c r="N25" i="11" s="1"/>
  <c r="F655" i="14"/>
  <c r="F656" i="14"/>
  <c r="F657" i="14"/>
  <c r="F662" i="14"/>
  <c r="G663" i="14"/>
  <c r="G665" i="14"/>
  <c r="E495" i="26"/>
  <c r="E500" i="26"/>
  <c r="E505" i="26"/>
  <c r="E520" i="26"/>
  <c r="F530" i="26"/>
  <c r="E274" i="29"/>
  <c r="G274" i="29" s="1"/>
  <c r="I274" i="29" s="1"/>
  <c r="E275" i="29"/>
  <c r="G275" i="29" s="1"/>
  <c r="I275" i="29" s="1"/>
  <c r="F224" i="2"/>
  <c r="F439" i="2"/>
  <c r="F444" i="2"/>
  <c r="F459" i="2"/>
  <c r="F469" i="2"/>
  <c r="H159" i="6"/>
  <c r="H109" i="6"/>
  <c r="H167" i="6"/>
  <c r="F652" i="14"/>
  <c r="F659" i="14"/>
  <c r="F219" i="2"/>
  <c r="H166" i="6"/>
  <c r="F658" i="14"/>
  <c r="G480" i="26"/>
  <c r="J480" i="26" s="1"/>
  <c r="H480" i="26"/>
  <c r="E195" i="28" s="1"/>
  <c r="G490" i="26"/>
  <c r="J490" i="26" s="1"/>
  <c r="H490" i="26"/>
  <c r="G510" i="26"/>
  <c r="J510" i="26" s="1"/>
  <c r="H510" i="26"/>
  <c r="G515" i="26"/>
  <c r="J515" i="26" s="1"/>
  <c r="H515" i="26"/>
  <c r="G163" i="6"/>
  <c r="G164" i="6"/>
  <c r="G165" i="6"/>
  <c r="G171" i="6"/>
  <c r="G172" i="6"/>
  <c r="G174" i="6"/>
  <c r="G219" i="6"/>
  <c r="G231" i="6"/>
  <c r="H232" i="6"/>
  <c r="L24" i="11"/>
  <c r="N24" i="11" s="1"/>
  <c r="G36" i="9"/>
  <c r="F622" i="14"/>
  <c r="F623" i="14"/>
  <c r="F624" i="14"/>
  <c r="F629" i="14"/>
  <c r="G630" i="14"/>
  <c r="G632" i="14"/>
  <c r="E494" i="26"/>
  <c r="E499" i="26"/>
  <c r="E504" i="26"/>
  <c r="E519" i="26"/>
  <c r="F529" i="26"/>
  <c r="E272" i="29"/>
  <c r="G272" i="29" s="1"/>
  <c r="I272" i="29" s="1"/>
  <c r="E273" i="29"/>
  <c r="G273" i="29" s="1"/>
  <c r="I273" i="29" s="1"/>
  <c r="F223" i="2"/>
  <c r="F438" i="2"/>
  <c r="F443" i="2"/>
  <c r="F458" i="2"/>
  <c r="F468" i="2"/>
  <c r="G159" i="6"/>
  <c r="G109" i="6"/>
  <c r="G167" i="6"/>
  <c r="F619" i="14"/>
  <c r="F626" i="14"/>
  <c r="F218" i="2"/>
  <c r="G166" i="6"/>
  <c r="F625" i="14"/>
  <c r="G479" i="26"/>
  <c r="J479" i="26" s="1"/>
  <c r="H479" i="26"/>
  <c r="E194" i="28" s="1"/>
  <c r="G489" i="26"/>
  <c r="J489" i="26" s="1"/>
  <c r="H489" i="26"/>
  <c r="G509" i="26"/>
  <c r="J509" i="26" s="1"/>
  <c r="H509" i="26"/>
  <c r="G514" i="26"/>
  <c r="J514" i="26" s="1"/>
  <c r="H514" i="26"/>
  <c r="F163" i="6"/>
  <c r="F164" i="6"/>
  <c r="F165" i="6"/>
  <c r="F171" i="6"/>
  <c r="F172" i="6"/>
  <c r="F174" i="6"/>
  <c r="F219" i="6"/>
  <c r="F231" i="6"/>
  <c r="G232" i="6"/>
  <c r="L23" i="11"/>
  <c r="N23" i="11" s="1"/>
  <c r="F36" i="9"/>
  <c r="F589" i="14"/>
  <c r="F590" i="14"/>
  <c r="F591" i="14"/>
  <c r="F596" i="14"/>
  <c r="G597" i="14"/>
  <c r="G599" i="14"/>
  <c r="E493" i="26"/>
  <c r="E498" i="26"/>
  <c r="E503" i="26"/>
  <c r="E518" i="26"/>
  <c r="F528" i="26"/>
  <c r="E270" i="29"/>
  <c r="G270" i="29" s="1"/>
  <c r="I270" i="29" s="1"/>
  <c r="E271" i="29"/>
  <c r="G271" i="29" s="1"/>
  <c r="I271" i="29" s="1"/>
  <c r="F222" i="2"/>
  <c r="F437" i="2"/>
  <c r="F442" i="2"/>
  <c r="F457" i="2"/>
  <c r="F467" i="2"/>
  <c r="F159" i="6"/>
  <c r="F109" i="6"/>
  <c r="F167" i="6"/>
  <c r="F586" i="14"/>
  <c r="F593" i="14"/>
  <c r="F217" i="2"/>
  <c r="F166" i="6"/>
  <c r="F592" i="14"/>
  <c r="G478" i="26"/>
  <c r="J478" i="26" s="1"/>
  <c r="H478" i="26"/>
  <c r="E193" i="28" s="1"/>
  <c r="G488" i="26"/>
  <c r="J488" i="26" s="1"/>
  <c r="H488" i="26"/>
  <c r="G508" i="26"/>
  <c r="J508" i="26" s="1"/>
  <c r="H508" i="26"/>
  <c r="G513" i="26"/>
  <c r="J513" i="26" s="1"/>
  <c r="H513" i="26"/>
  <c r="E163" i="6"/>
  <c r="E164" i="6"/>
  <c r="E165" i="6"/>
  <c r="E171" i="6"/>
  <c r="E172" i="6"/>
  <c r="E174" i="6"/>
  <c r="E219" i="6"/>
  <c r="E231" i="6"/>
  <c r="F232" i="6"/>
  <c r="E36" i="9"/>
  <c r="L22" i="11"/>
  <c r="N22" i="11" s="1"/>
  <c r="F556" i="14"/>
  <c r="F557" i="14"/>
  <c r="F558" i="14"/>
  <c r="F563" i="14"/>
  <c r="G564" i="14"/>
  <c r="G566" i="14"/>
  <c r="E492" i="26"/>
  <c r="E497" i="26"/>
  <c r="E502" i="26"/>
  <c r="E517" i="26"/>
  <c r="F527" i="26"/>
  <c r="E268" i="29"/>
  <c r="G268" i="29" s="1"/>
  <c r="I268" i="29" s="1"/>
  <c r="E269" i="29"/>
  <c r="G269" i="29" s="1"/>
  <c r="I269" i="29" s="1"/>
  <c r="F221" i="2"/>
  <c r="F436" i="2"/>
  <c r="F441" i="2"/>
  <c r="F456" i="2"/>
  <c r="F466" i="2"/>
  <c r="E159" i="6"/>
  <c r="E109" i="6"/>
  <c r="E167" i="6"/>
  <c r="F553" i="14"/>
  <c r="F560" i="14"/>
  <c r="F216" i="2"/>
  <c r="E166" i="6"/>
  <c r="F559" i="14"/>
  <c r="G477" i="26"/>
  <c r="J477" i="26" s="1"/>
  <c r="H477" i="26"/>
  <c r="E192" i="28" s="1"/>
  <c r="G487" i="26"/>
  <c r="J487" i="26" s="1"/>
  <c r="H487" i="26"/>
  <c r="G507" i="26"/>
  <c r="J507" i="26" s="1"/>
  <c r="H507" i="26"/>
  <c r="G512" i="26"/>
  <c r="J512" i="26" s="1"/>
  <c r="H512" i="26"/>
  <c r="D163" i="6"/>
  <c r="D164" i="6"/>
  <c r="D165" i="6"/>
  <c r="D171" i="6"/>
  <c r="D172" i="6"/>
  <c r="D174" i="6"/>
  <c r="D219" i="6"/>
  <c r="D232" i="6"/>
  <c r="E232" i="6"/>
  <c r="L21" i="11"/>
  <c r="N21" i="11" s="1"/>
  <c r="D36" i="9"/>
  <c r="F523" i="14"/>
  <c r="F524" i="14"/>
  <c r="F525" i="14"/>
  <c r="F530" i="14"/>
  <c r="G531" i="14"/>
  <c r="G533" i="14"/>
  <c r="E491" i="26"/>
  <c r="E496" i="26"/>
  <c r="E501" i="26"/>
  <c r="E516" i="26"/>
  <c r="F526" i="26"/>
  <c r="E266" i="29"/>
  <c r="G266" i="29" s="1"/>
  <c r="I266" i="29" s="1"/>
  <c r="E267" i="29"/>
  <c r="G267" i="29" s="1"/>
  <c r="I267" i="29" s="1"/>
  <c r="F220" i="2"/>
  <c r="F435" i="2"/>
  <c r="F440" i="2"/>
  <c r="F455" i="2"/>
  <c r="F465" i="2"/>
  <c r="D159" i="6"/>
  <c r="D109" i="6"/>
  <c r="D167" i="6"/>
  <c r="F520" i="14"/>
  <c r="F527" i="14"/>
  <c r="F215" i="2"/>
  <c r="D166" i="6"/>
  <c r="F526" i="14"/>
  <c r="G476" i="26"/>
  <c r="J476" i="26" s="1"/>
  <c r="H476" i="26"/>
  <c r="E191" i="28" s="1"/>
  <c r="G486" i="26"/>
  <c r="J486" i="26" s="1"/>
  <c r="H486" i="26"/>
  <c r="G506" i="26"/>
  <c r="J506" i="26" s="1"/>
  <c r="H506" i="26"/>
  <c r="G511" i="26"/>
  <c r="J511" i="26" s="1"/>
  <c r="H511" i="26"/>
  <c r="H163" i="5"/>
  <c r="H164" i="5"/>
  <c r="H165" i="5"/>
  <c r="H171" i="5"/>
  <c r="H172" i="5"/>
  <c r="H174" i="5"/>
  <c r="H219" i="5"/>
  <c r="H231" i="5"/>
  <c r="L20" i="11"/>
  <c r="N20" i="11" s="1"/>
  <c r="H27" i="9"/>
  <c r="F490" i="14"/>
  <c r="F491" i="14"/>
  <c r="F492" i="14"/>
  <c r="F497" i="14"/>
  <c r="G498" i="14"/>
  <c r="G500" i="14"/>
  <c r="E360" i="26"/>
  <c r="E365" i="26"/>
  <c r="E370" i="26"/>
  <c r="E385" i="26"/>
  <c r="F395" i="26"/>
  <c r="E144" i="29"/>
  <c r="G144" i="29" s="1"/>
  <c r="I144" i="29" s="1"/>
  <c r="E145" i="29"/>
  <c r="G145" i="29" s="1"/>
  <c r="I145" i="29" s="1"/>
  <c r="F164" i="2"/>
  <c r="F169" i="2"/>
  <c r="F174" i="2"/>
  <c r="F394" i="2"/>
  <c r="F399" i="2"/>
  <c r="H159" i="5"/>
  <c r="H109" i="5"/>
  <c r="F154" i="2" s="1"/>
  <c r="H167" i="5"/>
  <c r="F487" i="14"/>
  <c r="F494" i="14"/>
  <c r="H166" i="5"/>
  <c r="F493" i="14"/>
  <c r="G345" i="26"/>
  <c r="J345" i="26" s="1"/>
  <c r="H345" i="26"/>
  <c r="E135" i="28" s="1"/>
  <c r="G355" i="26"/>
  <c r="J355" i="26" s="1"/>
  <c r="H355" i="26"/>
  <c r="G375" i="26"/>
  <c r="J375" i="26" s="1"/>
  <c r="H375" i="26"/>
  <c r="G380" i="26"/>
  <c r="J380" i="26" s="1"/>
  <c r="H380" i="26"/>
  <c r="G163" i="5"/>
  <c r="G164" i="5"/>
  <c r="G165" i="5"/>
  <c r="G171" i="5"/>
  <c r="G172" i="5"/>
  <c r="G174" i="5"/>
  <c r="G219" i="5"/>
  <c r="G231" i="5"/>
  <c r="H232" i="5"/>
  <c r="L19" i="11"/>
  <c r="N19" i="11" s="1"/>
  <c r="G27" i="9"/>
  <c r="F457" i="14"/>
  <c r="F458" i="14"/>
  <c r="F459" i="14"/>
  <c r="F464" i="14"/>
  <c r="G465" i="14"/>
  <c r="G467" i="14"/>
  <c r="E359" i="26"/>
  <c r="E364" i="26"/>
  <c r="E369" i="26"/>
  <c r="E384" i="26"/>
  <c r="F394" i="26"/>
  <c r="E142" i="29"/>
  <c r="G142" i="29" s="1"/>
  <c r="I142" i="29" s="1"/>
  <c r="E143" i="29"/>
  <c r="G143" i="29" s="1"/>
  <c r="I143" i="29" s="1"/>
  <c r="F163" i="2"/>
  <c r="F168" i="2"/>
  <c r="F173" i="2"/>
  <c r="F393" i="2"/>
  <c r="F398" i="2"/>
  <c r="G159" i="5"/>
  <c r="G109" i="5"/>
  <c r="F153" i="2" s="1"/>
  <c r="G167" i="5"/>
  <c r="F454" i="14"/>
  <c r="F461" i="14"/>
  <c r="G166" i="5"/>
  <c r="F460" i="14"/>
  <c r="G344" i="26"/>
  <c r="J344" i="26" s="1"/>
  <c r="H344" i="26"/>
  <c r="E134" i="28" s="1"/>
  <c r="G354" i="26"/>
  <c r="J354" i="26" s="1"/>
  <c r="H354" i="26"/>
  <c r="G374" i="26"/>
  <c r="J374" i="26" s="1"/>
  <c r="H374" i="26"/>
  <c r="G379" i="26"/>
  <c r="J379" i="26" s="1"/>
  <c r="H379" i="26"/>
  <c r="F163" i="5"/>
  <c r="F164" i="5"/>
  <c r="F165" i="5"/>
  <c r="F171" i="5"/>
  <c r="F172" i="5"/>
  <c r="F174" i="5"/>
  <c r="F219" i="5"/>
  <c r="F231" i="5"/>
  <c r="G232" i="5"/>
  <c r="L18" i="11"/>
  <c r="N18" i="11" s="1"/>
  <c r="F27" i="9"/>
  <c r="F424" i="14"/>
  <c r="F425" i="14"/>
  <c r="F426" i="14"/>
  <c r="F431" i="14"/>
  <c r="G432" i="14"/>
  <c r="G434" i="14"/>
  <c r="E358" i="26"/>
  <c r="E363" i="26"/>
  <c r="E368" i="26"/>
  <c r="E383" i="26"/>
  <c r="F393" i="26"/>
  <c r="E140" i="29"/>
  <c r="G140" i="29" s="1"/>
  <c r="I140" i="29" s="1"/>
  <c r="E141" i="29"/>
  <c r="G141" i="29" s="1"/>
  <c r="I141" i="29" s="1"/>
  <c r="F162" i="2"/>
  <c r="F167" i="2"/>
  <c r="F172" i="2"/>
  <c r="F392" i="2"/>
  <c r="F397" i="2"/>
  <c r="F159" i="5"/>
  <c r="F109" i="5"/>
  <c r="F152" i="2" s="1"/>
  <c r="F167" i="5"/>
  <c r="F421" i="14"/>
  <c r="F428" i="14"/>
  <c r="F166" i="5"/>
  <c r="F427" i="14"/>
  <c r="G343" i="26"/>
  <c r="J343" i="26" s="1"/>
  <c r="H343" i="26"/>
  <c r="E133" i="28" s="1"/>
  <c r="G353" i="26"/>
  <c r="J353" i="26" s="1"/>
  <c r="H353" i="26"/>
  <c r="G373" i="26"/>
  <c r="J373" i="26" s="1"/>
  <c r="H373" i="26"/>
  <c r="G378" i="26"/>
  <c r="J378" i="26" s="1"/>
  <c r="H378" i="26"/>
  <c r="E163" i="5"/>
  <c r="E164" i="5"/>
  <c r="E165" i="5"/>
  <c r="E171" i="5"/>
  <c r="E172" i="5"/>
  <c r="E174" i="5"/>
  <c r="E219" i="5"/>
  <c r="E231" i="5"/>
  <c r="F232" i="5"/>
  <c r="L17" i="11"/>
  <c r="N17" i="11" s="1"/>
  <c r="E27" i="9"/>
  <c r="F391" i="14"/>
  <c r="F392" i="14"/>
  <c r="F393" i="14"/>
  <c r="F398" i="14"/>
  <c r="G399" i="14"/>
  <c r="G401" i="14"/>
  <c r="E357" i="26"/>
  <c r="E362" i="26"/>
  <c r="E367" i="26"/>
  <c r="E382" i="26"/>
  <c r="F392" i="26"/>
  <c r="E138" i="29"/>
  <c r="G138" i="29" s="1"/>
  <c r="I138" i="29" s="1"/>
  <c r="E139" i="29"/>
  <c r="G139" i="29" s="1"/>
  <c r="I139" i="29" s="1"/>
  <c r="F161" i="2"/>
  <c r="F166" i="2"/>
  <c r="F171" i="2"/>
  <c r="F391" i="2"/>
  <c r="F396" i="2"/>
  <c r="E159" i="5"/>
  <c r="E109" i="5"/>
  <c r="F151" i="2" s="1"/>
  <c r="E167" i="5"/>
  <c r="F388" i="14"/>
  <c r="F395" i="14"/>
  <c r="E166" i="5"/>
  <c r="F394" i="14"/>
  <c r="G342" i="26"/>
  <c r="J342" i="26" s="1"/>
  <c r="H342" i="26"/>
  <c r="E132" i="28" s="1"/>
  <c r="G352" i="26"/>
  <c r="J352" i="26" s="1"/>
  <c r="H352" i="26"/>
  <c r="G372" i="26"/>
  <c r="J372" i="26" s="1"/>
  <c r="H372" i="26"/>
  <c r="G377" i="26"/>
  <c r="J377" i="26" s="1"/>
  <c r="H377" i="26"/>
  <c r="D163" i="5"/>
  <c r="D164" i="5"/>
  <c r="D165" i="5"/>
  <c r="D171" i="5"/>
  <c r="D172" i="5"/>
  <c r="D174" i="5"/>
  <c r="D219" i="5"/>
  <c r="D232" i="5"/>
  <c r="E232" i="5"/>
  <c r="L16" i="11"/>
  <c r="N16" i="11" s="1"/>
  <c r="D27" i="9"/>
  <c r="F358" i="14"/>
  <c r="F359" i="14"/>
  <c r="F360" i="14"/>
  <c r="F365" i="14"/>
  <c r="G366" i="14"/>
  <c r="G368" i="14"/>
  <c r="E356" i="26"/>
  <c r="E361" i="26"/>
  <c r="E366" i="26"/>
  <c r="E381" i="26"/>
  <c r="F391" i="26"/>
  <c r="E136" i="29"/>
  <c r="G136" i="29" s="1"/>
  <c r="I136" i="29" s="1"/>
  <c r="E137" i="29"/>
  <c r="G137" i="29" s="1"/>
  <c r="I137" i="29" s="1"/>
  <c r="F160" i="2"/>
  <c r="F165" i="2"/>
  <c r="F170" i="2"/>
  <c r="F390" i="2"/>
  <c r="F395" i="2"/>
  <c r="D159" i="5"/>
  <c r="D109" i="5"/>
  <c r="F150" i="2" s="1"/>
  <c r="D167" i="5"/>
  <c r="F355" i="14"/>
  <c r="F362" i="14"/>
  <c r="D166" i="5"/>
  <c r="F361" i="14"/>
  <c r="G341" i="26"/>
  <c r="J341" i="26" s="1"/>
  <c r="H341" i="26"/>
  <c r="E131" i="28" s="1"/>
  <c r="G351" i="26"/>
  <c r="J351" i="26" s="1"/>
  <c r="H351" i="26"/>
  <c r="G371" i="26"/>
  <c r="J371" i="26" s="1"/>
  <c r="H371" i="26"/>
  <c r="G376" i="26"/>
  <c r="J376" i="26" s="1"/>
  <c r="H376" i="26"/>
  <c r="H171" i="4"/>
  <c r="H219" i="4"/>
  <c r="H231" i="4"/>
  <c r="H172" i="4"/>
  <c r="H164" i="4"/>
  <c r="H18" i="9"/>
  <c r="L15" i="11"/>
  <c r="N15" i="11" s="1"/>
  <c r="F327" i="14"/>
  <c r="G333" i="14"/>
  <c r="H165" i="4"/>
  <c r="H174" i="4"/>
  <c r="F325" i="14"/>
  <c r="F326" i="14"/>
  <c r="F332" i="14"/>
  <c r="G335" i="14"/>
  <c r="G42" i="20"/>
  <c r="F114" i="2"/>
  <c r="G431" i="21"/>
  <c r="I431" i="21" s="1"/>
  <c r="G432" i="21"/>
  <c r="I432" i="21" s="1"/>
  <c r="G433" i="21"/>
  <c r="I433" i="21" s="1"/>
  <c r="G436" i="21"/>
  <c r="I436" i="21" s="1"/>
  <c r="H163" i="4"/>
  <c r="G1674" i="21"/>
  <c r="I1674" i="21" s="1"/>
  <c r="G1676" i="21"/>
  <c r="I1676" i="21" s="1"/>
  <c r="G1677" i="21"/>
  <c r="I1677" i="21" s="1"/>
  <c r="H1684" i="21"/>
  <c r="I1684" i="21" s="1"/>
  <c r="E225" i="26"/>
  <c r="E230" i="26"/>
  <c r="E235" i="26"/>
  <c r="E250" i="26"/>
  <c r="F260" i="26"/>
  <c r="G1675" i="21"/>
  <c r="I1675" i="21" s="1"/>
  <c r="H1685" i="21"/>
  <c r="I1685" i="21" s="1"/>
  <c r="H1686" i="21"/>
  <c r="I1686" i="21" s="1"/>
  <c r="E244" i="29"/>
  <c r="G244" i="29" s="1"/>
  <c r="I244" i="29" s="1"/>
  <c r="E245" i="29"/>
  <c r="G245" i="29" s="1"/>
  <c r="I245" i="29" s="1"/>
  <c r="F339" i="2"/>
  <c r="F344" i="2"/>
  <c r="H109" i="4"/>
  <c r="H167" i="4"/>
  <c r="H159" i="4"/>
  <c r="F322" i="14"/>
  <c r="F329" i="14"/>
  <c r="F328" i="14"/>
  <c r="H166" i="4"/>
  <c r="G210" i="26"/>
  <c r="J210" i="26" s="1"/>
  <c r="H210" i="26"/>
  <c r="E95" i="28" s="1"/>
  <c r="G220" i="26"/>
  <c r="J220" i="26" s="1"/>
  <c r="H220" i="26"/>
  <c r="G240" i="26"/>
  <c r="J240" i="26" s="1"/>
  <c r="H240" i="26"/>
  <c r="G245" i="26"/>
  <c r="J245" i="26" s="1"/>
  <c r="H245" i="26"/>
  <c r="AC15" i="30"/>
  <c r="F275" i="26"/>
  <c r="G219" i="4"/>
  <c r="G231" i="4"/>
  <c r="H232" i="4"/>
  <c r="G171" i="4"/>
  <c r="G172" i="4"/>
  <c r="G174" i="4"/>
  <c r="G18" i="9"/>
  <c r="L14" i="11"/>
  <c r="N14" i="11" s="1"/>
  <c r="G164" i="4"/>
  <c r="F293" i="14"/>
  <c r="F294" i="14"/>
  <c r="F299" i="14"/>
  <c r="G302" i="14"/>
  <c r="F292" i="14"/>
  <c r="G300" i="14"/>
  <c r="G163" i="4"/>
  <c r="G41" i="20"/>
  <c r="H44" i="20"/>
  <c r="F113" i="2"/>
  <c r="G425" i="21"/>
  <c r="I425" i="21" s="1"/>
  <c r="G426" i="21"/>
  <c r="I426" i="21" s="1"/>
  <c r="G427" i="21"/>
  <c r="I427" i="21" s="1"/>
  <c r="G430" i="21"/>
  <c r="I430" i="21" s="1"/>
  <c r="H443" i="21"/>
  <c r="H444" i="21"/>
  <c r="I444" i="21" s="1"/>
  <c r="H445" i="21"/>
  <c r="I445" i="21" s="1"/>
  <c r="G1672" i="21"/>
  <c r="I1672" i="21" s="1"/>
  <c r="G1673" i="21"/>
  <c r="I1673" i="21" s="1"/>
  <c r="G165" i="4"/>
  <c r="E224" i="26"/>
  <c r="E229" i="26"/>
  <c r="E234" i="26"/>
  <c r="E249" i="26"/>
  <c r="F259" i="26"/>
  <c r="G1670" i="21"/>
  <c r="I1670" i="21" s="1"/>
  <c r="G1671" i="21"/>
  <c r="I1671" i="21" s="1"/>
  <c r="E242" i="29"/>
  <c r="G242" i="29" s="1"/>
  <c r="I242" i="29" s="1"/>
  <c r="E243" i="29"/>
  <c r="G243" i="29" s="1"/>
  <c r="I243" i="29" s="1"/>
  <c r="F338" i="2"/>
  <c r="F343" i="2"/>
  <c r="G109" i="4"/>
  <c r="G167" i="4"/>
  <c r="F289" i="14"/>
  <c r="F296" i="14"/>
  <c r="G159" i="4"/>
  <c r="G166" i="4"/>
  <c r="F295" i="14"/>
  <c r="G209" i="26"/>
  <c r="J209" i="26" s="1"/>
  <c r="H209" i="26"/>
  <c r="E94" i="28" s="1"/>
  <c r="G219" i="26"/>
  <c r="J219" i="26" s="1"/>
  <c r="H219" i="26"/>
  <c r="G239" i="26"/>
  <c r="J239" i="26" s="1"/>
  <c r="H239" i="26"/>
  <c r="G244" i="26"/>
  <c r="J244" i="26" s="1"/>
  <c r="H244" i="26"/>
  <c r="AC14" i="30"/>
  <c r="F274" i="26"/>
  <c r="F165" i="4"/>
  <c r="F171" i="4"/>
  <c r="F172" i="4"/>
  <c r="F174" i="4"/>
  <c r="F219" i="4"/>
  <c r="F231" i="4"/>
  <c r="G232" i="4"/>
  <c r="F18" i="9"/>
  <c r="L13" i="11"/>
  <c r="N13" i="11" s="1"/>
  <c r="F259" i="14"/>
  <c r="F261" i="14"/>
  <c r="F266" i="14"/>
  <c r="F112" i="2"/>
  <c r="F163" i="4"/>
  <c r="F260" i="14"/>
  <c r="G267" i="14"/>
  <c r="G269" i="14"/>
  <c r="G20" i="20"/>
  <c r="J20" i="20"/>
  <c r="G40" i="20"/>
  <c r="H43" i="20"/>
  <c r="G42" i="21"/>
  <c r="I42" i="21" s="1"/>
  <c r="G43" i="21"/>
  <c r="I43" i="21" s="1"/>
  <c r="G44" i="21"/>
  <c r="I44" i="21" s="1"/>
  <c r="G45" i="21"/>
  <c r="F164" i="4"/>
  <c r="G419" i="21"/>
  <c r="I419" i="21" s="1"/>
  <c r="G420" i="21"/>
  <c r="I420" i="21" s="1"/>
  <c r="G421" i="21"/>
  <c r="I421" i="21" s="1"/>
  <c r="G424" i="21"/>
  <c r="I424" i="21" s="1"/>
  <c r="H437" i="21"/>
  <c r="I437" i="21" s="1"/>
  <c r="H438" i="21"/>
  <c r="I438" i="21" s="1"/>
  <c r="H439" i="21"/>
  <c r="I439" i="21" s="1"/>
  <c r="H440" i="21"/>
  <c r="G442" i="21"/>
  <c r="I442" i="21" s="1"/>
  <c r="E223" i="26"/>
  <c r="E228" i="26"/>
  <c r="E233" i="26"/>
  <c r="E248" i="26"/>
  <c r="F258" i="26"/>
  <c r="E240" i="29"/>
  <c r="G240" i="29" s="1"/>
  <c r="I240" i="29" s="1"/>
  <c r="E241" i="29"/>
  <c r="G241" i="29" s="1"/>
  <c r="I241" i="29" s="1"/>
  <c r="F337" i="2"/>
  <c r="F342" i="2"/>
  <c r="F109" i="4"/>
  <c r="F159" i="4"/>
  <c r="F167" i="4"/>
  <c r="F256" i="14"/>
  <c r="F263" i="14"/>
  <c r="F262" i="14"/>
  <c r="F166" i="4"/>
  <c r="G208" i="26"/>
  <c r="J208" i="26" s="1"/>
  <c r="H208" i="26"/>
  <c r="E93" i="28" s="1"/>
  <c r="G218" i="26"/>
  <c r="J218" i="26" s="1"/>
  <c r="H218" i="26"/>
  <c r="G238" i="26"/>
  <c r="J238" i="26" s="1"/>
  <c r="H238" i="26"/>
  <c r="G243" i="26"/>
  <c r="J243" i="26" s="1"/>
  <c r="H243" i="26"/>
  <c r="AC13" i="30"/>
  <c r="F273" i="26"/>
  <c r="E219" i="4"/>
  <c r="E231" i="4"/>
  <c r="F232" i="4"/>
  <c r="E163" i="4"/>
  <c r="E165" i="4"/>
  <c r="E172" i="4"/>
  <c r="E164" i="4"/>
  <c r="E174" i="4"/>
  <c r="E18" i="9"/>
  <c r="L12" i="11"/>
  <c r="N12" i="11" s="1"/>
  <c r="F227" i="14"/>
  <c r="F233" i="14"/>
  <c r="G236" i="14"/>
  <c r="E171" i="4"/>
  <c r="F226" i="14"/>
  <c r="F228" i="14"/>
  <c r="G234" i="14"/>
  <c r="G39" i="20"/>
  <c r="G413" i="21"/>
  <c r="I413" i="21" s="1"/>
  <c r="G414" i="21"/>
  <c r="I414" i="21" s="1"/>
  <c r="G415" i="21"/>
  <c r="I415" i="21" s="1"/>
  <c r="G418" i="21"/>
  <c r="I418" i="21" s="1"/>
  <c r="F111" i="2"/>
  <c r="H1681" i="21"/>
  <c r="I1681" i="21" s="1"/>
  <c r="H1683" i="21"/>
  <c r="I1683" i="21" s="1"/>
  <c r="G1667" i="21"/>
  <c r="I1667" i="21" s="1"/>
  <c r="H1682" i="21"/>
  <c r="I1682" i="21" s="1"/>
  <c r="E222" i="26"/>
  <c r="E227" i="26"/>
  <c r="E232" i="26"/>
  <c r="E247" i="26"/>
  <c r="F257" i="26"/>
  <c r="G1666" i="21"/>
  <c r="I1666" i="21" s="1"/>
  <c r="G1668" i="21"/>
  <c r="I1668" i="21" s="1"/>
  <c r="G1669" i="21"/>
  <c r="I1669" i="21" s="1"/>
  <c r="E238" i="29"/>
  <c r="G238" i="29" s="1"/>
  <c r="I238" i="29" s="1"/>
  <c r="E239" i="29"/>
  <c r="G239" i="29" s="1"/>
  <c r="I239" i="29" s="1"/>
  <c r="F336" i="2"/>
  <c r="F341" i="2"/>
  <c r="E109" i="4"/>
  <c r="E167" i="4"/>
  <c r="F223" i="14"/>
  <c r="F230" i="14"/>
  <c r="E159" i="4"/>
  <c r="E166" i="4"/>
  <c r="F229" i="14"/>
  <c r="G207" i="26"/>
  <c r="J207" i="26" s="1"/>
  <c r="H207" i="26"/>
  <c r="E92" i="28" s="1"/>
  <c r="G217" i="26"/>
  <c r="J217" i="26" s="1"/>
  <c r="H217" i="26"/>
  <c r="G237" i="26"/>
  <c r="J237" i="26" s="1"/>
  <c r="H237" i="26"/>
  <c r="G242" i="26"/>
  <c r="J242" i="26" s="1"/>
  <c r="H242" i="26"/>
  <c r="AC12" i="30"/>
  <c r="F272" i="26"/>
  <c r="D219" i="4"/>
  <c r="D232" i="4"/>
  <c r="E232" i="4"/>
  <c r="D171" i="4"/>
  <c r="D18" i="9"/>
  <c r="L11" i="11"/>
  <c r="N11" i="11" s="1"/>
  <c r="D163" i="4"/>
  <c r="F193" i="14"/>
  <c r="D165" i="4"/>
  <c r="D172" i="4"/>
  <c r="D174" i="4"/>
  <c r="F194" i="14"/>
  <c r="F195" i="14"/>
  <c r="F200" i="14"/>
  <c r="G201" i="14"/>
  <c r="G203" i="14"/>
  <c r="F110" i="2"/>
  <c r="G38" i="20"/>
  <c r="G407" i="21"/>
  <c r="I407" i="21" s="1"/>
  <c r="G408" i="21"/>
  <c r="I408" i="21" s="1"/>
  <c r="G409" i="21"/>
  <c r="I409" i="21" s="1"/>
  <c r="G412" i="21"/>
  <c r="I412" i="21" s="1"/>
  <c r="H1680" i="21"/>
  <c r="I1680" i="21" s="1"/>
  <c r="G1664" i="21"/>
  <c r="I1664" i="21" s="1"/>
  <c r="G1665" i="21"/>
  <c r="I1665" i="21" s="1"/>
  <c r="H1678" i="21"/>
  <c r="I1678" i="21" s="1"/>
  <c r="E221" i="26"/>
  <c r="E226" i="26"/>
  <c r="E231" i="26"/>
  <c r="E246" i="26"/>
  <c r="F256" i="26"/>
  <c r="D164" i="4"/>
  <c r="G1662" i="21"/>
  <c r="I1662" i="21" s="1"/>
  <c r="G1663" i="21"/>
  <c r="I1663" i="21" s="1"/>
  <c r="H1679" i="21"/>
  <c r="I1679" i="21" s="1"/>
  <c r="E236" i="29"/>
  <c r="G236" i="29" s="1"/>
  <c r="I236" i="29" s="1"/>
  <c r="E237" i="29"/>
  <c r="G237" i="29" s="1"/>
  <c r="I237" i="29" s="1"/>
  <c r="F335" i="2"/>
  <c r="F340" i="2"/>
  <c r="D109" i="4"/>
  <c r="D167" i="4"/>
  <c r="F190" i="14"/>
  <c r="F197" i="14"/>
  <c r="D159" i="4"/>
  <c r="D166" i="4"/>
  <c r="F196" i="14"/>
  <c r="G206" i="26"/>
  <c r="J206" i="26" s="1"/>
  <c r="H206" i="26"/>
  <c r="E91" i="28" s="1"/>
  <c r="G216" i="26"/>
  <c r="J216" i="26" s="1"/>
  <c r="H216" i="26"/>
  <c r="G236" i="26"/>
  <c r="J236" i="26" s="1"/>
  <c r="H236" i="26"/>
  <c r="G241" i="26"/>
  <c r="J241" i="26" s="1"/>
  <c r="H241" i="26"/>
  <c r="AC11" i="30"/>
  <c r="F271" i="26"/>
  <c r="H163" i="3"/>
  <c r="H164" i="3"/>
  <c r="H165" i="3"/>
  <c r="H171" i="3"/>
  <c r="H172" i="3"/>
  <c r="H174" i="3"/>
  <c r="H219" i="3"/>
  <c r="H231" i="3"/>
  <c r="F59" i="2"/>
  <c r="H9" i="9"/>
  <c r="L10" i="11"/>
  <c r="N10" i="11" s="1"/>
  <c r="F161" i="14"/>
  <c r="G168" i="14"/>
  <c r="G170" i="14"/>
  <c r="F160" i="14"/>
  <c r="F162" i="14"/>
  <c r="F167" i="14"/>
  <c r="F69" i="2"/>
  <c r="E90" i="26"/>
  <c r="E95" i="26"/>
  <c r="E100" i="26"/>
  <c r="E115" i="26"/>
  <c r="F125" i="26"/>
  <c r="F64" i="2"/>
  <c r="E54" i="29"/>
  <c r="G54" i="29" s="1"/>
  <c r="I54" i="29" s="1"/>
  <c r="E55" i="29"/>
  <c r="G55" i="29" s="1"/>
  <c r="I55" i="29" s="1"/>
  <c r="E214" i="29"/>
  <c r="G214" i="29" s="1"/>
  <c r="I214" i="29" s="1"/>
  <c r="E215" i="29"/>
  <c r="G215" i="29" s="1"/>
  <c r="I215" i="29" s="1"/>
  <c r="F289" i="2"/>
  <c r="H159" i="3"/>
  <c r="H109" i="3"/>
  <c r="H167" i="3"/>
  <c r="F157" i="14"/>
  <c r="F164" i="14"/>
  <c r="F49" i="2"/>
  <c r="F279" i="2"/>
  <c r="H166" i="3"/>
  <c r="F163" i="14"/>
  <c r="G75" i="26"/>
  <c r="J75" i="26" s="1"/>
  <c r="H75" i="26"/>
  <c r="G85" i="26"/>
  <c r="J85" i="26" s="1"/>
  <c r="H85" i="26"/>
  <c r="G105" i="26"/>
  <c r="J105" i="26" s="1"/>
  <c r="H105" i="26"/>
  <c r="G110" i="26"/>
  <c r="J110" i="26" s="1"/>
  <c r="H110" i="26"/>
  <c r="K140" i="8"/>
  <c r="J140" i="8"/>
  <c r="L140" i="8" s="1"/>
  <c r="P140" i="8" s="1"/>
  <c r="N140" i="8"/>
  <c r="G163" i="3"/>
  <c r="G164" i="3"/>
  <c r="G165" i="3"/>
  <c r="G171" i="3"/>
  <c r="G172" i="3"/>
  <c r="G174" i="3"/>
  <c r="G219" i="3"/>
  <c r="G231" i="3"/>
  <c r="H232" i="3"/>
  <c r="L9" i="11"/>
  <c r="N9" i="11" s="1"/>
  <c r="F127" i="14"/>
  <c r="F128" i="14"/>
  <c r="F129" i="14"/>
  <c r="F134" i="14"/>
  <c r="G9" i="9"/>
  <c r="G135" i="14"/>
  <c r="G137" i="14"/>
  <c r="G37" i="20"/>
  <c r="J37" i="20"/>
  <c r="F63" i="2"/>
  <c r="G402" i="21"/>
  <c r="I402" i="21" s="1"/>
  <c r="G403" i="21"/>
  <c r="I403" i="21" s="1"/>
  <c r="G404" i="21"/>
  <c r="I404" i="21" s="1"/>
  <c r="G405" i="21"/>
  <c r="G406" i="21"/>
  <c r="I406" i="21" s="1"/>
  <c r="E89" i="26"/>
  <c r="E94" i="26"/>
  <c r="E99" i="26"/>
  <c r="E114" i="26"/>
  <c r="F124" i="26"/>
  <c r="F68" i="2"/>
  <c r="E52" i="29"/>
  <c r="G52" i="29" s="1"/>
  <c r="I52" i="29" s="1"/>
  <c r="E53" i="29"/>
  <c r="G53" i="29" s="1"/>
  <c r="I53" i="29" s="1"/>
  <c r="E212" i="29"/>
  <c r="G212" i="29" s="1"/>
  <c r="I212" i="29" s="1"/>
  <c r="E213" i="29"/>
  <c r="G213" i="29" s="1"/>
  <c r="I213" i="29" s="1"/>
  <c r="F58" i="2"/>
  <c r="F288" i="2"/>
  <c r="F547" i="2"/>
  <c r="G159" i="3"/>
  <c r="G109" i="3"/>
  <c r="G167" i="3"/>
  <c r="F124" i="14"/>
  <c r="F131" i="14"/>
  <c r="F48" i="2"/>
  <c r="F278" i="2"/>
  <c r="G166" i="3"/>
  <c r="F130" i="14"/>
  <c r="G74" i="26"/>
  <c r="J74" i="26" s="1"/>
  <c r="H74" i="26"/>
  <c r="G84" i="26"/>
  <c r="J84" i="26" s="1"/>
  <c r="H84" i="26"/>
  <c r="G104" i="26"/>
  <c r="J104" i="26" s="1"/>
  <c r="H104" i="26"/>
  <c r="G109" i="26"/>
  <c r="J109" i="26" s="1"/>
  <c r="H109" i="26"/>
  <c r="J139" i="8"/>
  <c r="K139" i="8"/>
  <c r="R139" i="8" s="1"/>
  <c r="N139" i="8"/>
  <c r="L139" i="8"/>
  <c r="P139" i="8" s="1"/>
  <c r="F163" i="3"/>
  <c r="F164" i="3"/>
  <c r="F165" i="3"/>
  <c r="F171" i="3"/>
  <c r="F172" i="3"/>
  <c r="F174" i="3"/>
  <c r="F219" i="3"/>
  <c r="F231" i="3"/>
  <c r="G232" i="3"/>
  <c r="F67" i="2"/>
  <c r="F9" i="9"/>
  <c r="L8" i="11"/>
  <c r="N8" i="11" s="1"/>
  <c r="F94" i="14"/>
  <c r="F95" i="14"/>
  <c r="F96" i="14"/>
  <c r="F101" i="14"/>
  <c r="G104" i="14"/>
  <c r="G102" i="14"/>
  <c r="F57" i="2"/>
  <c r="F62" i="2"/>
  <c r="E88" i="26"/>
  <c r="E93" i="26"/>
  <c r="E98" i="26"/>
  <c r="E113" i="26"/>
  <c r="F123" i="26"/>
  <c r="E50" i="29"/>
  <c r="G50" i="29" s="1"/>
  <c r="I50" i="29" s="1"/>
  <c r="E51" i="29"/>
  <c r="G51" i="29" s="1"/>
  <c r="I51" i="29" s="1"/>
  <c r="E210" i="29"/>
  <c r="G210" i="29" s="1"/>
  <c r="I210" i="29" s="1"/>
  <c r="E211" i="29"/>
  <c r="G211" i="29" s="1"/>
  <c r="I211" i="29" s="1"/>
  <c r="F287" i="2"/>
  <c r="F546" i="2"/>
  <c r="F159" i="3"/>
  <c r="F109" i="3"/>
  <c r="F167" i="3"/>
  <c r="F91" i="14"/>
  <c r="F98" i="14"/>
  <c r="F47" i="2"/>
  <c r="F277" i="2"/>
  <c r="F166" i="3"/>
  <c r="F97" i="14"/>
  <c r="G73" i="26"/>
  <c r="J73" i="26" s="1"/>
  <c r="H73" i="26"/>
  <c r="G83" i="26"/>
  <c r="J83" i="26" s="1"/>
  <c r="H83" i="26"/>
  <c r="G103" i="26"/>
  <c r="J103" i="26" s="1"/>
  <c r="H103" i="26"/>
  <c r="G108" i="26"/>
  <c r="J108" i="26" s="1"/>
  <c r="H108" i="26"/>
  <c r="J138" i="8"/>
  <c r="K138" i="8"/>
  <c r="R138" i="8" s="1"/>
  <c r="L138" i="8"/>
  <c r="P138" i="8" s="1"/>
  <c r="N138" i="8"/>
  <c r="E163" i="3"/>
  <c r="E164" i="3"/>
  <c r="E165" i="3"/>
  <c r="E171" i="3"/>
  <c r="E172" i="3"/>
  <c r="E174" i="3"/>
  <c r="E219" i="3"/>
  <c r="E231" i="3"/>
  <c r="F232" i="3"/>
  <c r="E9" i="9"/>
  <c r="L7" i="11"/>
  <c r="N7" i="11" s="1"/>
  <c r="F62" i="14"/>
  <c r="F68" i="14"/>
  <c r="G69" i="14"/>
  <c r="G71" i="14"/>
  <c r="F61" i="14"/>
  <c r="F63" i="14"/>
  <c r="F66" i="2"/>
  <c r="E87" i="26"/>
  <c r="E92" i="26"/>
  <c r="E97" i="26"/>
  <c r="E112" i="26"/>
  <c r="F122" i="26"/>
  <c r="F56" i="2"/>
  <c r="F61" i="2"/>
  <c r="E48" i="29"/>
  <c r="G48" i="29" s="1"/>
  <c r="I48" i="29" s="1"/>
  <c r="E49" i="29"/>
  <c r="G49" i="29" s="1"/>
  <c r="I49" i="29" s="1"/>
  <c r="E208" i="29"/>
  <c r="G208" i="29" s="1"/>
  <c r="I208" i="29" s="1"/>
  <c r="E209" i="29"/>
  <c r="G209" i="29" s="1"/>
  <c r="I209" i="29" s="1"/>
  <c r="F286" i="2"/>
  <c r="F545" i="2"/>
  <c r="E159" i="3"/>
  <c r="E109" i="3"/>
  <c r="E167" i="3"/>
  <c r="F58" i="14"/>
  <c r="F65" i="14"/>
  <c r="F46" i="2"/>
  <c r="F276" i="2"/>
  <c r="E166" i="3"/>
  <c r="F64" i="14"/>
  <c r="G72" i="26"/>
  <c r="J72" i="26" s="1"/>
  <c r="H72" i="26"/>
  <c r="G82" i="26"/>
  <c r="J82" i="26" s="1"/>
  <c r="H82" i="26"/>
  <c r="G102" i="26"/>
  <c r="J102" i="26" s="1"/>
  <c r="H102" i="26"/>
  <c r="G107" i="26"/>
  <c r="J107" i="26" s="1"/>
  <c r="H107" i="26"/>
  <c r="J137" i="8"/>
  <c r="K137" i="8"/>
  <c r="R137" i="8" s="1"/>
  <c r="L137" i="8"/>
  <c r="P137" i="8" s="1"/>
  <c r="N137" i="8"/>
  <c r="D163" i="3"/>
  <c r="D164" i="3"/>
  <c r="D165" i="3"/>
  <c r="D171" i="3"/>
  <c r="D172" i="3"/>
  <c r="D174" i="3"/>
  <c r="D219" i="3"/>
  <c r="D232" i="3"/>
  <c r="E232" i="3"/>
  <c r="D9" i="9"/>
  <c r="L6" i="11"/>
  <c r="N6" i="11" s="1"/>
  <c r="F28" i="14"/>
  <c r="F30" i="14"/>
  <c r="G36" i="14"/>
  <c r="F55" i="2"/>
  <c r="F29" i="14"/>
  <c r="F35" i="14"/>
  <c r="G38" i="14"/>
  <c r="F65" i="2"/>
  <c r="E86" i="26"/>
  <c r="E91" i="26"/>
  <c r="E96" i="26"/>
  <c r="E111" i="26"/>
  <c r="F121" i="26"/>
  <c r="F60" i="2"/>
  <c r="E46" i="29"/>
  <c r="G46" i="29" s="1"/>
  <c r="I46" i="29" s="1"/>
  <c r="E47" i="29"/>
  <c r="G47" i="29" s="1"/>
  <c r="I47" i="29" s="1"/>
  <c r="E206" i="29"/>
  <c r="G206" i="29" s="1"/>
  <c r="I206" i="29" s="1"/>
  <c r="E207" i="29"/>
  <c r="G207" i="29" s="1"/>
  <c r="I207" i="29" s="1"/>
  <c r="F285" i="2"/>
  <c r="F544" i="2"/>
  <c r="D159" i="3"/>
  <c r="D109" i="3"/>
  <c r="D167" i="3"/>
  <c r="F25" i="14"/>
  <c r="F45" i="2"/>
  <c r="F32" i="14"/>
  <c r="F275" i="2"/>
  <c r="D166" i="3"/>
  <c r="F31" i="14"/>
  <c r="G71" i="26"/>
  <c r="J71" i="26" s="1"/>
  <c r="H71" i="26"/>
  <c r="G81" i="26"/>
  <c r="J81" i="26" s="1"/>
  <c r="H81" i="26"/>
  <c r="G101" i="26"/>
  <c r="J101" i="26" s="1"/>
  <c r="H101" i="26"/>
  <c r="G106" i="26"/>
  <c r="J106" i="26" s="1"/>
  <c r="H106" i="26"/>
  <c r="J136" i="8"/>
  <c r="K136" i="8"/>
  <c r="R136" i="8" s="1"/>
  <c r="L136" i="8"/>
  <c r="P136" i="8" s="1"/>
  <c r="N136" i="8"/>
  <c r="F27" i="18"/>
  <c r="G27" i="18"/>
  <c r="J35" i="8"/>
  <c r="K35" i="8"/>
  <c r="R35" i="8" s="1"/>
  <c r="L35" i="8"/>
  <c r="P35" i="8" s="1"/>
  <c r="N35" i="8"/>
  <c r="J34" i="8"/>
  <c r="K34" i="8"/>
  <c r="R34" i="8" s="1"/>
  <c r="L34" i="8"/>
  <c r="P34" i="8" s="1"/>
  <c r="N34" i="8"/>
  <c r="J33" i="8"/>
  <c r="K33" i="8"/>
  <c r="R33" i="8" s="1"/>
  <c r="L33" i="8"/>
  <c r="P33" i="8" s="1"/>
  <c r="N33" i="8"/>
  <c r="J32" i="8"/>
  <c r="K32" i="8"/>
  <c r="R32" i="8" s="1"/>
  <c r="L32" i="8"/>
  <c r="P32" i="8" s="1"/>
  <c r="N32" i="8"/>
  <c r="J31" i="8"/>
  <c r="K31" i="8"/>
  <c r="R31" i="8" s="1"/>
  <c r="L31" i="8"/>
  <c r="P31" i="8" s="1"/>
  <c r="N31" i="8"/>
  <c r="G10" i="18"/>
  <c r="F10" i="18"/>
  <c r="N894" i="21"/>
  <c r="K894" i="21"/>
  <c r="N1118" i="21"/>
  <c r="K1118" i="21"/>
  <c r="N837" i="21"/>
  <c r="K837" i="21"/>
  <c r="N838" i="21"/>
  <c r="K838" i="21"/>
  <c r="N1061" i="21"/>
  <c r="K1061" i="21"/>
  <c r="N1062" i="21"/>
  <c r="K1062" i="21"/>
  <c r="N1446" i="21"/>
  <c r="K1446" i="21"/>
  <c r="N1447" i="21"/>
  <c r="K1447" i="21"/>
  <c r="N1497" i="21"/>
  <c r="K1497" i="21"/>
  <c r="N1498" i="21"/>
  <c r="K1498" i="21"/>
  <c r="R134" i="8"/>
  <c r="R175" i="8"/>
  <c r="M139" i="8"/>
  <c r="M137" i="8"/>
  <c r="R173" i="8"/>
  <c r="R74" i="8"/>
  <c r="M35" i="8"/>
  <c r="M140" i="8"/>
  <c r="M138" i="8"/>
  <c r="R28" i="8"/>
  <c r="R113" i="8"/>
  <c r="R183" i="8"/>
  <c r="R182" i="8"/>
  <c r="R181" i="8"/>
  <c r="P180" i="8"/>
  <c r="H103" i="7"/>
  <c r="J44" i="9" s="1"/>
  <c r="H44" i="9"/>
  <c r="F680" i="26"/>
  <c r="AC30" i="30"/>
  <c r="F679" i="26"/>
  <c r="AC29" i="30"/>
  <c r="F678" i="26"/>
  <c r="AC28" i="30"/>
  <c r="E44" i="9"/>
  <c r="E103" i="7"/>
  <c r="F677" i="26"/>
  <c r="AC27" i="30"/>
  <c r="F676" i="26"/>
  <c r="AC26" i="30"/>
  <c r="H35" i="9"/>
  <c r="H103" i="6"/>
  <c r="J35" i="9" s="1"/>
  <c r="F545" i="26"/>
  <c r="AC25" i="30"/>
  <c r="G103" i="6"/>
  <c r="I35" i="9" s="1"/>
  <c r="G35" i="9"/>
  <c r="F544" i="26"/>
  <c r="AC24" i="30"/>
  <c r="F103" i="6"/>
  <c r="F35" i="9"/>
  <c r="F543" i="26"/>
  <c r="AC23" i="30"/>
  <c r="E103" i="6"/>
  <c r="E35" i="9"/>
  <c r="F542" i="26"/>
  <c r="AC22" i="30"/>
  <c r="D35" i="9"/>
  <c r="D103" i="6"/>
  <c r="F541" i="26"/>
  <c r="AC21" i="30"/>
  <c r="H103" i="5"/>
  <c r="J26" i="9" s="1"/>
  <c r="H26" i="9"/>
  <c r="F410" i="26"/>
  <c r="AC20" i="30"/>
  <c r="G26" i="9"/>
  <c r="G103" i="5"/>
  <c r="I26" i="9" s="1"/>
  <c r="F409" i="26"/>
  <c r="AC19" i="30"/>
  <c r="F103" i="5"/>
  <c r="F26" i="9"/>
  <c r="F408" i="26"/>
  <c r="AC18" i="30"/>
  <c r="E103" i="5"/>
  <c r="E26" i="9"/>
  <c r="F407" i="26"/>
  <c r="AC17" i="30"/>
  <c r="D103" i="5"/>
  <c r="D26" i="9"/>
  <c r="F406" i="26"/>
  <c r="AC16" i="30"/>
  <c r="F140" i="26"/>
  <c r="AC10" i="30"/>
  <c r="F139" i="26"/>
  <c r="AC9" i="30"/>
  <c r="F138" i="26"/>
  <c r="AC8" i="30"/>
  <c r="F137" i="26"/>
  <c r="AC7" i="30"/>
  <c r="F136" i="26"/>
  <c r="AC6" i="30"/>
  <c r="H16" i="27"/>
  <c r="M16" i="27"/>
  <c r="L16" i="27"/>
  <c r="G16" i="27"/>
  <c r="H680" i="26" l="1"/>
  <c r="G680" i="26"/>
  <c r="J680" i="26" s="1"/>
  <c r="G679" i="26"/>
  <c r="J679" i="26" s="1"/>
  <c r="H679" i="26"/>
  <c r="H678" i="26"/>
  <c r="G678" i="26"/>
  <c r="J678" i="26" s="1"/>
  <c r="H677" i="26"/>
  <c r="G677" i="26"/>
  <c r="J677" i="26" s="1"/>
  <c r="H676" i="26"/>
  <c r="G676" i="26"/>
  <c r="J676" i="26" s="1"/>
  <c r="H545" i="26"/>
  <c r="G545" i="26"/>
  <c r="J545" i="26" s="1"/>
  <c r="H544" i="26"/>
  <c r="G544" i="26"/>
  <c r="J544" i="26" s="1"/>
  <c r="H543" i="26"/>
  <c r="G543" i="26"/>
  <c r="J543" i="26" s="1"/>
  <c r="G542" i="26"/>
  <c r="J542" i="26" s="1"/>
  <c r="H542" i="26"/>
  <c r="H541" i="26"/>
  <c r="G541" i="26"/>
  <c r="J541" i="26" s="1"/>
  <c r="G410" i="26"/>
  <c r="J410" i="26" s="1"/>
  <c r="H410" i="26"/>
  <c r="G409" i="26"/>
  <c r="J409" i="26" s="1"/>
  <c r="H409" i="26"/>
  <c r="H408" i="26"/>
  <c r="G408" i="26"/>
  <c r="J408" i="26" s="1"/>
  <c r="H407" i="26"/>
  <c r="G407" i="26"/>
  <c r="J407" i="26" s="1"/>
  <c r="H406" i="26"/>
  <c r="G406" i="26"/>
  <c r="J406" i="26" s="1"/>
  <c r="H140" i="26"/>
  <c r="G140" i="26"/>
  <c r="J140" i="26" s="1"/>
  <c r="H139" i="26"/>
  <c r="G139" i="26"/>
  <c r="J139" i="26" s="1"/>
  <c r="H138" i="26"/>
  <c r="G138" i="26"/>
  <c r="J138" i="26" s="1"/>
  <c r="G137" i="26"/>
  <c r="J137" i="26" s="1"/>
  <c r="H137" i="26"/>
  <c r="G136" i="26"/>
  <c r="J136" i="26" s="1"/>
  <c r="H136" i="26"/>
  <c r="I146" i="8"/>
  <c r="M820" i="14"/>
  <c r="E524" i="2"/>
  <c r="M524" i="2" s="1"/>
  <c r="I152" i="8"/>
  <c r="M821" i="14"/>
  <c r="E548" i="2"/>
  <c r="M548" i="2" s="1"/>
  <c r="I158" i="8"/>
  <c r="M822" i="14"/>
  <c r="E529" i="2"/>
  <c r="M529" i="2" s="1"/>
  <c r="J45" i="9"/>
  <c r="I189" i="8"/>
  <c r="M827" i="14"/>
  <c r="E239" i="2"/>
  <c r="M239" i="2" s="1"/>
  <c r="I195" i="8"/>
  <c r="O30" i="11"/>
  <c r="M828" i="14"/>
  <c r="E244" i="2"/>
  <c r="I207" i="8"/>
  <c r="M830" i="14"/>
  <c r="E254" i="2"/>
  <c r="M254" i="2" s="1"/>
  <c r="H820" i="14"/>
  <c r="N820" i="14"/>
  <c r="H821" i="14"/>
  <c r="N821" i="14"/>
  <c r="H822" i="14"/>
  <c r="N822" i="14"/>
  <c r="H827" i="14"/>
  <c r="N827" i="14"/>
  <c r="N828" i="14"/>
  <c r="H828" i="14"/>
  <c r="N830" i="14"/>
  <c r="H830" i="14"/>
  <c r="N382" i="21"/>
  <c r="K382" i="21"/>
  <c r="I384" i="21"/>
  <c r="M36" i="20"/>
  <c r="N385" i="21"/>
  <c r="K385" i="21"/>
  <c r="N387" i="21"/>
  <c r="K387" i="21"/>
  <c r="N388" i="21"/>
  <c r="K388" i="21"/>
  <c r="N389" i="21"/>
  <c r="K389" i="21"/>
  <c r="N390" i="21"/>
  <c r="K390" i="21"/>
  <c r="N391" i="21"/>
  <c r="K391" i="21"/>
  <c r="N392" i="21"/>
  <c r="K392" i="21"/>
  <c r="N393" i="21"/>
  <c r="K393" i="21"/>
  <c r="N394" i="21"/>
  <c r="K394" i="21"/>
  <c r="N395" i="21"/>
  <c r="K395" i="21"/>
  <c r="N396" i="21"/>
  <c r="K396" i="21"/>
  <c r="N397" i="21"/>
  <c r="K397" i="21"/>
  <c r="N398" i="21"/>
  <c r="K398" i="21"/>
  <c r="N399" i="21"/>
  <c r="K399" i="21"/>
  <c r="N400" i="21"/>
  <c r="K400" i="21"/>
  <c r="N401" i="21"/>
  <c r="K401" i="21"/>
  <c r="K972" i="21"/>
  <c r="N972" i="21"/>
  <c r="K973" i="21"/>
  <c r="N973" i="21"/>
  <c r="K974" i="21"/>
  <c r="N974" i="21"/>
  <c r="K975" i="21"/>
  <c r="N975" i="21"/>
  <c r="K976" i="21"/>
  <c r="N976" i="21"/>
  <c r="K977" i="21"/>
  <c r="N977" i="21"/>
  <c r="K978" i="21"/>
  <c r="N978" i="21"/>
  <c r="K979" i="21"/>
  <c r="N979" i="21"/>
  <c r="K980" i="21"/>
  <c r="N980" i="21"/>
  <c r="K981" i="21"/>
  <c r="N981" i="21"/>
  <c r="K982" i="21"/>
  <c r="N982" i="21"/>
  <c r="K1196" i="21"/>
  <c r="N1196" i="21"/>
  <c r="K1197" i="21"/>
  <c r="N1197" i="21"/>
  <c r="K1198" i="21"/>
  <c r="N1198" i="21"/>
  <c r="K1199" i="21"/>
  <c r="N1199" i="21"/>
  <c r="K1200" i="21"/>
  <c r="N1200" i="21"/>
  <c r="K1201" i="21"/>
  <c r="N1201" i="21"/>
  <c r="K1202" i="21"/>
  <c r="N1202" i="21"/>
  <c r="K1203" i="21"/>
  <c r="N1203" i="21"/>
  <c r="K1204" i="21"/>
  <c r="N1204" i="21"/>
  <c r="K1205" i="21"/>
  <c r="N1205" i="21"/>
  <c r="K1206" i="21"/>
  <c r="N1206" i="21"/>
  <c r="G630" i="26"/>
  <c r="J630" i="26" s="1"/>
  <c r="H630" i="26"/>
  <c r="E440" i="28" s="1"/>
  <c r="G635" i="26"/>
  <c r="J635" i="26" s="1"/>
  <c r="H635" i="26"/>
  <c r="E460" i="28" s="1"/>
  <c r="G640" i="26"/>
  <c r="J640" i="26" s="1"/>
  <c r="H640" i="26"/>
  <c r="E445" i="28" s="1"/>
  <c r="G655" i="26"/>
  <c r="J655" i="26" s="1"/>
  <c r="H655" i="26"/>
  <c r="E215" i="28" s="1"/>
  <c r="H665" i="26"/>
  <c r="G665" i="26"/>
  <c r="G19" i="32"/>
  <c r="H239" i="2"/>
  <c r="N239" i="2"/>
  <c r="F215" i="28"/>
  <c r="G215" i="28" s="1"/>
  <c r="H244" i="2"/>
  <c r="N244" i="2"/>
  <c r="H254" i="2"/>
  <c r="N254" i="2"/>
  <c r="H524" i="2"/>
  <c r="N524" i="2"/>
  <c r="F440" i="28"/>
  <c r="G440" i="28" s="1"/>
  <c r="H529" i="2"/>
  <c r="N529" i="2"/>
  <c r="F445" i="28"/>
  <c r="G445" i="28" s="1"/>
  <c r="H548" i="2"/>
  <c r="N548" i="2"/>
  <c r="F460" i="28"/>
  <c r="G460" i="28" s="1"/>
  <c r="J48" i="9"/>
  <c r="H48" i="9"/>
  <c r="J47" i="9"/>
  <c r="E229" i="2"/>
  <c r="M817" i="14"/>
  <c r="I127" i="8"/>
  <c r="I170" i="8"/>
  <c r="M824" i="14"/>
  <c r="H817" i="14"/>
  <c r="N817" i="14"/>
  <c r="H824" i="14"/>
  <c r="N824" i="14"/>
  <c r="K281" i="21"/>
  <c r="N281" i="21"/>
  <c r="I282" i="21"/>
  <c r="L31" i="20"/>
  <c r="K283" i="21"/>
  <c r="N283" i="21"/>
  <c r="K284" i="21"/>
  <c r="N284" i="21"/>
  <c r="K285" i="21"/>
  <c r="N285" i="21"/>
  <c r="K286" i="21"/>
  <c r="N286" i="21"/>
  <c r="K287" i="21"/>
  <c r="N287" i="21"/>
  <c r="K288" i="21"/>
  <c r="N288" i="21"/>
  <c r="K289" i="21"/>
  <c r="N289" i="21"/>
  <c r="K294" i="21"/>
  <c r="N294" i="21"/>
  <c r="K295" i="21"/>
  <c r="N295" i="21"/>
  <c r="K296" i="21"/>
  <c r="N296" i="21"/>
  <c r="K297" i="21"/>
  <c r="N297" i="21"/>
  <c r="K994" i="21"/>
  <c r="N994" i="21"/>
  <c r="K995" i="21"/>
  <c r="N995" i="21"/>
  <c r="K996" i="21"/>
  <c r="N996" i="21"/>
  <c r="K997" i="21"/>
  <c r="N997" i="21"/>
  <c r="K998" i="21"/>
  <c r="N998" i="21"/>
  <c r="K999" i="21"/>
  <c r="N999" i="21"/>
  <c r="K1000" i="21"/>
  <c r="N1000" i="21"/>
  <c r="K1001" i="21"/>
  <c r="N1001" i="21"/>
  <c r="K1002" i="21"/>
  <c r="N1002" i="21"/>
  <c r="K1003" i="21"/>
  <c r="N1003" i="21"/>
  <c r="K1004" i="21"/>
  <c r="N1004" i="21"/>
  <c r="K1218" i="21"/>
  <c r="N1218" i="21"/>
  <c r="K1219" i="21"/>
  <c r="N1219" i="21"/>
  <c r="K1220" i="21"/>
  <c r="N1220" i="21"/>
  <c r="K1221" i="21"/>
  <c r="N1221" i="21"/>
  <c r="K1222" i="21"/>
  <c r="N1222" i="21"/>
  <c r="K1223" i="21"/>
  <c r="N1223" i="21"/>
  <c r="K1224" i="21"/>
  <c r="N1224" i="21"/>
  <c r="K1225" i="21"/>
  <c r="N1225" i="21"/>
  <c r="K1226" i="21"/>
  <c r="N1226" i="21"/>
  <c r="K1227" i="21"/>
  <c r="N1227" i="21"/>
  <c r="K1228" i="21"/>
  <c r="N1228" i="21"/>
  <c r="H229" i="2"/>
  <c r="N229" i="2"/>
  <c r="I164" i="8"/>
  <c r="M823" i="14"/>
  <c r="H823" i="14"/>
  <c r="N823" i="14"/>
  <c r="J615" i="26"/>
  <c r="H14" i="32"/>
  <c r="E205" i="28"/>
  <c r="E14" i="32"/>
  <c r="I145" i="8"/>
  <c r="M787" i="14"/>
  <c r="N787" i="14" s="1"/>
  <c r="E523" i="2"/>
  <c r="M523" i="2" s="1"/>
  <c r="I151" i="8"/>
  <c r="M788" i="14"/>
  <c r="N788" i="14" s="1"/>
  <c r="I157" i="8"/>
  <c r="M789" i="14"/>
  <c r="N789" i="14" s="1"/>
  <c r="E528" i="2"/>
  <c r="M528" i="2" s="1"/>
  <c r="I45" i="9"/>
  <c r="I188" i="8"/>
  <c r="M794" i="14"/>
  <c r="N794" i="14" s="1"/>
  <c r="E238" i="2"/>
  <c r="M238" i="2" s="1"/>
  <c r="I194" i="8"/>
  <c r="O29" i="11"/>
  <c r="M795" i="14"/>
  <c r="N795" i="14" s="1"/>
  <c r="E243" i="2"/>
  <c r="I206" i="8"/>
  <c r="M797" i="14"/>
  <c r="E253" i="2"/>
  <c r="M253" i="2" s="1"/>
  <c r="H787" i="14"/>
  <c r="H788" i="14"/>
  <c r="H789" i="14"/>
  <c r="H794" i="14"/>
  <c r="H795" i="14"/>
  <c r="N797" i="14"/>
  <c r="H797" i="14"/>
  <c r="N362" i="21"/>
  <c r="K362" i="21"/>
  <c r="I364" i="21"/>
  <c r="M35" i="20"/>
  <c r="N365" i="21"/>
  <c r="K365" i="21"/>
  <c r="N367" i="21"/>
  <c r="K367" i="21"/>
  <c r="N368" i="21"/>
  <c r="K368" i="21"/>
  <c r="N369" i="21"/>
  <c r="K369" i="21"/>
  <c r="N370" i="21"/>
  <c r="K370" i="21"/>
  <c r="N371" i="21"/>
  <c r="K371" i="21"/>
  <c r="N372" i="21"/>
  <c r="K372" i="21"/>
  <c r="N373" i="21"/>
  <c r="K373" i="21"/>
  <c r="N374" i="21"/>
  <c r="K374" i="21"/>
  <c r="N375" i="21"/>
  <c r="K375" i="21"/>
  <c r="N376" i="21"/>
  <c r="K376" i="21"/>
  <c r="N377" i="21"/>
  <c r="K377" i="21"/>
  <c r="N378" i="21"/>
  <c r="K378" i="21"/>
  <c r="N379" i="21"/>
  <c r="K379" i="21"/>
  <c r="N380" i="21"/>
  <c r="K380" i="21"/>
  <c r="N381" i="21"/>
  <c r="K381" i="21"/>
  <c r="K916" i="21"/>
  <c r="N916" i="21"/>
  <c r="K917" i="21"/>
  <c r="N917" i="21"/>
  <c r="K918" i="21"/>
  <c r="N918" i="21"/>
  <c r="K919" i="21"/>
  <c r="N919" i="21"/>
  <c r="K920" i="21"/>
  <c r="N920" i="21"/>
  <c r="K921" i="21"/>
  <c r="N921" i="21"/>
  <c r="K922" i="21"/>
  <c r="N922" i="21"/>
  <c r="K923" i="21"/>
  <c r="N923" i="21"/>
  <c r="K924" i="21"/>
  <c r="N924" i="21"/>
  <c r="K925" i="21"/>
  <c r="N925" i="21"/>
  <c r="K926" i="21"/>
  <c r="N926" i="21"/>
  <c r="K1140" i="21"/>
  <c r="N1140" i="21"/>
  <c r="K1141" i="21"/>
  <c r="N1141" i="21"/>
  <c r="K1142" i="21"/>
  <c r="N1142" i="21"/>
  <c r="K1143" i="21"/>
  <c r="N1143" i="21"/>
  <c r="K1144" i="21"/>
  <c r="N1144" i="21"/>
  <c r="K1145" i="21"/>
  <c r="N1145" i="21"/>
  <c r="K1146" i="21"/>
  <c r="N1146" i="21"/>
  <c r="K1147" i="21"/>
  <c r="N1147" i="21"/>
  <c r="K1148" i="21"/>
  <c r="N1148" i="21"/>
  <c r="K1149" i="21"/>
  <c r="N1149" i="21"/>
  <c r="K1150" i="21"/>
  <c r="N1150" i="21"/>
  <c r="G629" i="26"/>
  <c r="J629" i="26" s="1"/>
  <c r="H629" i="26"/>
  <c r="E439" i="28" s="1"/>
  <c r="G634" i="26"/>
  <c r="J634" i="26" s="1"/>
  <c r="H634" i="26"/>
  <c r="G639" i="26"/>
  <c r="J639" i="26" s="1"/>
  <c r="H639" i="26"/>
  <c r="E444" i="28" s="1"/>
  <c r="G654" i="26"/>
  <c r="J654" i="26" s="1"/>
  <c r="H654" i="26"/>
  <c r="E214" i="28" s="1"/>
  <c r="G664" i="26"/>
  <c r="H664" i="26"/>
  <c r="G18" i="32"/>
  <c r="H238" i="2"/>
  <c r="N238" i="2"/>
  <c r="F214" i="28"/>
  <c r="G214" i="28" s="1"/>
  <c r="H243" i="2"/>
  <c r="N243" i="2"/>
  <c r="H253" i="2"/>
  <c r="N253" i="2"/>
  <c r="H523" i="2"/>
  <c r="N523" i="2"/>
  <c r="F439" i="28"/>
  <c r="G439" i="28" s="1"/>
  <c r="H528" i="2"/>
  <c r="N528" i="2"/>
  <c r="F444" i="28"/>
  <c r="G444" i="28" s="1"/>
  <c r="I48" i="9"/>
  <c r="I47" i="9"/>
  <c r="G48" i="9"/>
  <c r="E228" i="2"/>
  <c r="M228" i="2" s="1"/>
  <c r="M784" i="14"/>
  <c r="I126" i="8"/>
  <c r="I169" i="8"/>
  <c r="M791" i="14"/>
  <c r="H784" i="14"/>
  <c r="N784" i="14"/>
  <c r="H791" i="14"/>
  <c r="N791" i="14"/>
  <c r="K938" i="21"/>
  <c r="N938" i="21"/>
  <c r="K939" i="21"/>
  <c r="N939" i="21"/>
  <c r="K940" i="21"/>
  <c r="N940" i="21"/>
  <c r="K941" i="21"/>
  <c r="N941" i="21"/>
  <c r="K942" i="21"/>
  <c r="N942" i="21"/>
  <c r="K943" i="21"/>
  <c r="N943" i="21"/>
  <c r="K944" i="21"/>
  <c r="N944" i="21"/>
  <c r="K945" i="21"/>
  <c r="N945" i="21"/>
  <c r="K946" i="21"/>
  <c r="N946" i="21"/>
  <c r="K947" i="21"/>
  <c r="N947" i="21"/>
  <c r="K948" i="21"/>
  <c r="N948" i="21"/>
  <c r="K1162" i="21"/>
  <c r="N1162" i="21"/>
  <c r="K1163" i="21"/>
  <c r="N1163" i="21"/>
  <c r="K1164" i="21"/>
  <c r="N1164" i="21"/>
  <c r="K1165" i="21"/>
  <c r="N1165" i="21"/>
  <c r="K1166" i="21"/>
  <c r="N1166" i="21"/>
  <c r="K1167" i="21"/>
  <c r="N1167" i="21"/>
  <c r="K1168" i="21"/>
  <c r="N1168" i="21"/>
  <c r="K1169" i="21"/>
  <c r="N1169" i="21"/>
  <c r="K1170" i="21"/>
  <c r="N1170" i="21"/>
  <c r="K1171" i="21"/>
  <c r="N1171" i="21"/>
  <c r="K1172" i="21"/>
  <c r="N1172" i="21"/>
  <c r="K1384" i="21"/>
  <c r="N1384" i="21"/>
  <c r="K1385" i="21"/>
  <c r="N1385" i="21"/>
  <c r="K1386" i="21"/>
  <c r="N1386" i="21"/>
  <c r="K1387" i="21"/>
  <c r="N1387" i="21"/>
  <c r="K1388" i="21"/>
  <c r="N1388" i="21"/>
  <c r="K1389" i="21"/>
  <c r="N1389" i="21"/>
  <c r="K1390" i="21"/>
  <c r="N1390" i="21"/>
  <c r="K1391" i="21"/>
  <c r="N1391" i="21"/>
  <c r="K1392" i="21"/>
  <c r="N1392" i="21"/>
  <c r="K1397" i="21"/>
  <c r="N1397" i="21"/>
  <c r="K1398" i="21"/>
  <c r="N1398" i="21"/>
  <c r="K1399" i="21"/>
  <c r="N1399" i="21"/>
  <c r="K1400" i="21"/>
  <c r="N1400" i="21"/>
  <c r="H228" i="2"/>
  <c r="N228" i="2"/>
  <c r="F204" i="28"/>
  <c r="G204" i="28" s="1"/>
  <c r="I163" i="8"/>
  <c r="M790" i="14"/>
  <c r="H790" i="14"/>
  <c r="N790" i="14"/>
  <c r="E237" i="2"/>
  <c r="M237" i="2" s="1"/>
  <c r="M761" i="14"/>
  <c r="I187" i="8"/>
  <c r="I144" i="8"/>
  <c r="M754" i="14"/>
  <c r="E522" i="2"/>
  <c r="M522" i="2" s="1"/>
  <c r="I150" i="8"/>
  <c r="M755" i="14"/>
  <c r="I156" i="8"/>
  <c r="M756" i="14"/>
  <c r="E527" i="2"/>
  <c r="M527" i="2" s="1"/>
  <c r="O28" i="11"/>
  <c r="I193" i="8"/>
  <c r="M762" i="14"/>
  <c r="E242" i="2"/>
  <c r="I205" i="8"/>
  <c r="M764" i="14"/>
  <c r="E252" i="2"/>
  <c r="M252" i="2" s="1"/>
  <c r="H754" i="14"/>
  <c r="N754" i="14"/>
  <c r="H755" i="14"/>
  <c r="N755" i="14"/>
  <c r="H756" i="14"/>
  <c r="N756" i="14"/>
  <c r="H761" i="14"/>
  <c r="N761" i="14"/>
  <c r="N762" i="14"/>
  <c r="H762" i="14"/>
  <c r="N764" i="14"/>
  <c r="H764" i="14"/>
  <c r="N342" i="21"/>
  <c r="K342" i="21"/>
  <c r="I344" i="21"/>
  <c r="M34" i="20"/>
  <c r="N345" i="21"/>
  <c r="K345" i="21"/>
  <c r="N347" i="21"/>
  <c r="K347" i="21"/>
  <c r="N348" i="21"/>
  <c r="K348" i="21"/>
  <c r="N349" i="21"/>
  <c r="K349" i="21"/>
  <c r="N350" i="21"/>
  <c r="K350" i="21"/>
  <c r="N351" i="21"/>
  <c r="K351" i="21"/>
  <c r="N352" i="21"/>
  <c r="K352" i="21"/>
  <c r="N353" i="21"/>
  <c r="K353" i="21"/>
  <c r="N354" i="21"/>
  <c r="K354" i="21"/>
  <c r="N355" i="21"/>
  <c r="K355" i="21"/>
  <c r="N356" i="21"/>
  <c r="K356" i="21"/>
  <c r="N357" i="21"/>
  <c r="K357" i="21"/>
  <c r="N358" i="21"/>
  <c r="K358" i="21"/>
  <c r="N359" i="21"/>
  <c r="K359" i="21"/>
  <c r="N360" i="21"/>
  <c r="K360" i="21"/>
  <c r="N361" i="21"/>
  <c r="K361" i="21"/>
  <c r="K860" i="21"/>
  <c r="N860" i="21"/>
  <c r="K861" i="21"/>
  <c r="N861" i="21"/>
  <c r="K862" i="21"/>
  <c r="N862" i="21"/>
  <c r="K863" i="21"/>
  <c r="N863" i="21"/>
  <c r="K864" i="21"/>
  <c r="N864" i="21"/>
  <c r="K865" i="21"/>
  <c r="N865" i="21"/>
  <c r="K866" i="21"/>
  <c r="N866" i="21"/>
  <c r="K867" i="21"/>
  <c r="N867" i="21"/>
  <c r="K868" i="21"/>
  <c r="N868" i="21"/>
  <c r="K869" i="21"/>
  <c r="N869" i="21"/>
  <c r="K870" i="21"/>
  <c r="N870" i="21"/>
  <c r="K1084" i="21"/>
  <c r="N1084" i="21"/>
  <c r="K1085" i="21"/>
  <c r="N1085" i="21"/>
  <c r="K1086" i="21"/>
  <c r="N1086" i="21"/>
  <c r="K1087" i="21"/>
  <c r="N1087" i="21"/>
  <c r="K1088" i="21"/>
  <c r="N1088" i="21"/>
  <c r="K1089" i="21"/>
  <c r="N1089" i="21"/>
  <c r="K1090" i="21"/>
  <c r="N1090" i="21"/>
  <c r="K1091" i="21"/>
  <c r="N1091" i="21"/>
  <c r="K1092" i="21"/>
  <c r="N1092" i="21"/>
  <c r="K1093" i="21"/>
  <c r="N1093" i="21"/>
  <c r="K1094" i="21"/>
  <c r="N1094" i="21"/>
  <c r="G628" i="26"/>
  <c r="J628" i="26" s="1"/>
  <c r="H628" i="26"/>
  <c r="E438" i="28" s="1"/>
  <c r="G633" i="26"/>
  <c r="J633" i="26" s="1"/>
  <c r="H633" i="26"/>
  <c r="G638" i="26"/>
  <c r="J638" i="26" s="1"/>
  <c r="H638" i="26"/>
  <c r="E443" i="28" s="1"/>
  <c r="G653" i="26"/>
  <c r="J653" i="26" s="1"/>
  <c r="H653" i="26"/>
  <c r="E213" i="28" s="1"/>
  <c r="G663" i="26"/>
  <c r="H663" i="26"/>
  <c r="G17" i="32"/>
  <c r="H237" i="2"/>
  <c r="N237" i="2"/>
  <c r="F213" i="28"/>
  <c r="G213" i="28" s="1"/>
  <c r="H242" i="2"/>
  <c r="N242" i="2"/>
  <c r="H252" i="2"/>
  <c r="N252" i="2"/>
  <c r="H522" i="2"/>
  <c r="N522" i="2"/>
  <c r="F438" i="28"/>
  <c r="G438" i="28" s="1"/>
  <c r="H527" i="2"/>
  <c r="N527" i="2"/>
  <c r="F443" i="28"/>
  <c r="G443" i="28" s="1"/>
  <c r="F48" i="9"/>
  <c r="E227" i="2"/>
  <c r="M227" i="2" s="1"/>
  <c r="M751" i="14"/>
  <c r="I125" i="8"/>
  <c r="I168" i="8"/>
  <c r="M758" i="14"/>
  <c r="H751" i="14"/>
  <c r="N751" i="14"/>
  <c r="H758" i="14"/>
  <c r="N758" i="14"/>
  <c r="K882" i="21"/>
  <c r="N882" i="21"/>
  <c r="K883" i="21"/>
  <c r="N883" i="21"/>
  <c r="K884" i="21"/>
  <c r="N884" i="21"/>
  <c r="K885" i="21"/>
  <c r="N885" i="21"/>
  <c r="K886" i="21"/>
  <c r="N886" i="21"/>
  <c r="K887" i="21"/>
  <c r="N887" i="21"/>
  <c r="K888" i="21"/>
  <c r="N888" i="21"/>
  <c r="K889" i="21"/>
  <c r="N889" i="21"/>
  <c r="K890" i="21"/>
  <c r="N890" i="21"/>
  <c r="K891" i="21"/>
  <c r="N891" i="21"/>
  <c r="K892" i="21"/>
  <c r="N892" i="21"/>
  <c r="K1106" i="21"/>
  <c r="N1106" i="21"/>
  <c r="K1107" i="21"/>
  <c r="N1107" i="21"/>
  <c r="K1108" i="21"/>
  <c r="N1108" i="21"/>
  <c r="K1109" i="21"/>
  <c r="N1109" i="21"/>
  <c r="K1110" i="21"/>
  <c r="N1110" i="21"/>
  <c r="K1111" i="21"/>
  <c r="N1111" i="21"/>
  <c r="K1112" i="21"/>
  <c r="N1112" i="21"/>
  <c r="K1113" i="21"/>
  <c r="N1113" i="21"/>
  <c r="K1114" i="21"/>
  <c r="N1114" i="21"/>
  <c r="K1115" i="21"/>
  <c r="N1115" i="21"/>
  <c r="K1116" i="21"/>
  <c r="N1116" i="21"/>
  <c r="K1363" i="21"/>
  <c r="N1363" i="21"/>
  <c r="K1364" i="21"/>
  <c r="N1364" i="21"/>
  <c r="K1365" i="21"/>
  <c r="N1365" i="21"/>
  <c r="K1366" i="21"/>
  <c r="N1366" i="21"/>
  <c r="K1367" i="21"/>
  <c r="N1367" i="21"/>
  <c r="K1368" i="21"/>
  <c r="N1368" i="21"/>
  <c r="K1369" i="21"/>
  <c r="N1369" i="21"/>
  <c r="K1370" i="21"/>
  <c r="N1370" i="21"/>
  <c r="K1371" i="21"/>
  <c r="N1371" i="21"/>
  <c r="K1376" i="21"/>
  <c r="N1376" i="21"/>
  <c r="K1377" i="21"/>
  <c r="N1377" i="21"/>
  <c r="K1378" i="21"/>
  <c r="N1378" i="21"/>
  <c r="K1379" i="21"/>
  <c r="N1379" i="21"/>
  <c r="H227" i="2"/>
  <c r="N227" i="2"/>
  <c r="F203" i="28"/>
  <c r="G203" i="28" s="1"/>
  <c r="I162" i="8"/>
  <c r="M757" i="14"/>
  <c r="H757" i="14"/>
  <c r="N757" i="14"/>
  <c r="I143" i="8"/>
  <c r="M721" i="14"/>
  <c r="N721" i="14" s="1"/>
  <c r="E521" i="2"/>
  <c r="M521" i="2" s="1"/>
  <c r="I149" i="8"/>
  <c r="M722" i="14"/>
  <c r="N722" i="14" s="1"/>
  <c r="I155" i="8"/>
  <c r="M723" i="14"/>
  <c r="N723" i="14" s="1"/>
  <c r="E526" i="2"/>
  <c r="M526" i="2" s="1"/>
  <c r="I186" i="8"/>
  <c r="M728" i="14"/>
  <c r="N728" i="14" s="1"/>
  <c r="E236" i="2"/>
  <c r="M236" i="2" s="1"/>
  <c r="O27" i="11"/>
  <c r="I192" i="8"/>
  <c r="M729" i="14"/>
  <c r="N729" i="14" s="1"/>
  <c r="E241" i="2"/>
  <c r="I204" i="8"/>
  <c r="M731" i="14"/>
  <c r="N731" i="14" s="1"/>
  <c r="E251" i="2"/>
  <c r="M251" i="2" s="1"/>
  <c r="H721" i="14"/>
  <c r="H722" i="14"/>
  <c r="H723" i="14"/>
  <c r="H728" i="14"/>
  <c r="H729" i="14"/>
  <c r="H731" i="14"/>
  <c r="N322" i="21"/>
  <c r="K322" i="21"/>
  <c r="I324" i="21"/>
  <c r="M33" i="20"/>
  <c r="N325" i="21"/>
  <c r="K325" i="21"/>
  <c r="N327" i="21"/>
  <c r="K327" i="21"/>
  <c r="N328" i="21"/>
  <c r="K328" i="21"/>
  <c r="N329" i="21"/>
  <c r="K329" i="21"/>
  <c r="N330" i="21"/>
  <c r="K330" i="21"/>
  <c r="N331" i="21"/>
  <c r="K331" i="21"/>
  <c r="N332" i="21"/>
  <c r="K332" i="21"/>
  <c r="N333" i="21"/>
  <c r="K333" i="21"/>
  <c r="N334" i="21"/>
  <c r="K334" i="21"/>
  <c r="N335" i="21"/>
  <c r="K335" i="21"/>
  <c r="N336" i="21"/>
  <c r="K336" i="21"/>
  <c r="N337" i="21"/>
  <c r="K337" i="21"/>
  <c r="N338" i="21"/>
  <c r="K338" i="21"/>
  <c r="N339" i="21"/>
  <c r="K339" i="21"/>
  <c r="N340" i="21"/>
  <c r="K340" i="21"/>
  <c r="N341" i="21"/>
  <c r="K341" i="21"/>
  <c r="K804" i="21"/>
  <c r="N804" i="21"/>
  <c r="K805" i="21"/>
  <c r="N805" i="21"/>
  <c r="K806" i="21"/>
  <c r="N806" i="21"/>
  <c r="K807" i="21"/>
  <c r="N807" i="21"/>
  <c r="K808" i="21"/>
  <c r="N808" i="21"/>
  <c r="K809" i="21"/>
  <c r="N809" i="21"/>
  <c r="K810" i="21"/>
  <c r="N810" i="21"/>
  <c r="K811" i="21"/>
  <c r="N811" i="21"/>
  <c r="K812" i="21"/>
  <c r="N812" i="21"/>
  <c r="K813" i="21"/>
  <c r="N813" i="21"/>
  <c r="K814" i="21"/>
  <c r="N814" i="21"/>
  <c r="K1028" i="21"/>
  <c r="N1028" i="21"/>
  <c r="K1029" i="21"/>
  <c r="N1029" i="21"/>
  <c r="K1030" i="21"/>
  <c r="N1030" i="21"/>
  <c r="K1031" i="21"/>
  <c r="N1031" i="21"/>
  <c r="K1032" i="21"/>
  <c r="N1032" i="21"/>
  <c r="K1033" i="21"/>
  <c r="N1033" i="21"/>
  <c r="K1034" i="21"/>
  <c r="N1034" i="21"/>
  <c r="K1035" i="21"/>
  <c r="N1035" i="21"/>
  <c r="K1036" i="21"/>
  <c r="N1036" i="21"/>
  <c r="K1037" i="21"/>
  <c r="N1037" i="21"/>
  <c r="K1038" i="21"/>
  <c r="N1038" i="21"/>
  <c r="G627" i="26"/>
  <c r="J627" i="26" s="1"/>
  <c r="H627" i="26"/>
  <c r="E437" i="28" s="1"/>
  <c r="G632" i="26"/>
  <c r="J632" i="26" s="1"/>
  <c r="H632" i="26"/>
  <c r="G637" i="26"/>
  <c r="J637" i="26" s="1"/>
  <c r="H637" i="26"/>
  <c r="E442" i="28" s="1"/>
  <c r="G652" i="26"/>
  <c r="J652" i="26" s="1"/>
  <c r="H652" i="26"/>
  <c r="E212" i="28" s="1"/>
  <c r="H662" i="26"/>
  <c r="G662" i="26"/>
  <c r="G16" i="32"/>
  <c r="H236" i="2"/>
  <c r="N236" i="2"/>
  <c r="F212" i="28"/>
  <c r="G212" i="28" s="1"/>
  <c r="H241" i="2"/>
  <c r="N241" i="2"/>
  <c r="H251" i="2"/>
  <c r="N251" i="2"/>
  <c r="H521" i="2"/>
  <c r="N521" i="2"/>
  <c r="F437" i="28"/>
  <c r="G437" i="28" s="1"/>
  <c r="H526" i="2"/>
  <c r="N526" i="2"/>
  <c r="F442" i="28"/>
  <c r="G442" i="28" s="1"/>
  <c r="E48" i="9"/>
  <c r="E226" i="2"/>
  <c r="M226" i="2" s="1"/>
  <c r="M718" i="14"/>
  <c r="I124" i="8"/>
  <c r="I167" i="8"/>
  <c r="M725" i="14"/>
  <c r="H718" i="14"/>
  <c r="N718" i="14"/>
  <c r="H725" i="14"/>
  <c r="N725" i="14"/>
  <c r="K826" i="21"/>
  <c r="N826" i="21"/>
  <c r="K827" i="21"/>
  <c r="N827" i="21"/>
  <c r="K828" i="21"/>
  <c r="N828" i="21"/>
  <c r="K829" i="21"/>
  <c r="N829" i="21"/>
  <c r="K830" i="21"/>
  <c r="N830" i="21"/>
  <c r="K831" i="21"/>
  <c r="N831" i="21"/>
  <c r="K832" i="21"/>
  <c r="N832" i="21"/>
  <c r="K833" i="21"/>
  <c r="N833" i="21"/>
  <c r="K834" i="21"/>
  <c r="N834" i="21"/>
  <c r="K835" i="21"/>
  <c r="N835" i="21"/>
  <c r="K836" i="21"/>
  <c r="N836" i="21"/>
  <c r="K1050" i="21"/>
  <c r="N1050" i="21"/>
  <c r="K1051" i="21"/>
  <c r="N1051" i="21"/>
  <c r="K1052" i="21"/>
  <c r="N1052" i="21"/>
  <c r="K1053" i="21"/>
  <c r="N1053" i="21"/>
  <c r="K1054" i="21"/>
  <c r="N1054" i="21"/>
  <c r="K1055" i="21"/>
  <c r="N1055" i="21"/>
  <c r="K1056" i="21"/>
  <c r="N1056" i="21"/>
  <c r="K1057" i="21"/>
  <c r="N1057" i="21"/>
  <c r="K1058" i="21"/>
  <c r="N1058" i="21"/>
  <c r="K1059" i="21"/>
  <c r="N1059" i="21"/>
  <c r="K1060" i="21"/>
  <c r="N1060" i="21"/>
  <c r="K1342" i="21"/>
  <c r="N1342" i="21"/>
  <c r="K1343" i="21"/>
  <c r="N1343" i="21"/>
  <c r="K1344" i="21"/>
  <c r="N1344" i="21"/>
  <c r="K1345" i="21"/>
  <c r="N1345" i="21"/>
  <c r="K1346" i="21"/>
  <c r="N1346" i="21"/>
  <c r="K1347" i="21"/>
  <c r="N1347" i="21"/>
  <c r="K1348" i="21"/>
  <c r="N1348" i="21"/>
  <c r="K1349" i="21"/>
  <c r="N1349" i="21"/>
  <c r="K1350" i="21"/>
  <c r="N1350" i="21"/>
  <c r="K1355" i="21"/>
  <c r="N1355" i="21"/>
  <c r="K1356" i="21"/>
  <c r="N1356" i="21"/>
  <c r="K1357" i="21"/>
  <c r="N1357" i="21"/>
  <c r="K1358" i="21"/>
  <c r="N1358" i="21"/>
  <c r="H226" i="2"/>
  <c r="N226" i="2"/>
  <c r="F202" i="28"/>
  <c r="G202" i="28" s="1"/>
  <c r="I161" i="8"/>
  <c r="M724" i="14"/>
  <c r="H724" i="14"/>
  <c r="N724" i="14"/>
  <c r="M688" i="14"/>
  <c r="I142" i="8"/>
  <c r="E520" i="2"/>
  <c r="M520" i="2" s="1"/>
  <c r="I148" i="8"/>
  <c r="M689" i="14"/>
  <c r="I154" i="8"/>
  <c r="M690" i="14"/>
  <c r="E525" i="2"/>
  <c r="M525" i="2" s="1"/>
  <c r="M695" i="14"/>
  <c r="I185" i="8"/>
  <c r="E235" i="2"/>
  <c r="M235" i="2" s="1"/>
  <c r="O26" i="11"/>
  <c r="M696" i="14"/>
  <c r="I191" i="8"/>
  <c r="E240" i="2"/>
  <c r="M698" i="14"/>
  <c r="I203" i="8"/>
  <c r="E250" i="2"/>
  <c r="M250" i="2" s="1"/>
  <c r="H688" i="14"/>
  <c r="N688" i="14"/>
  <c r="H689" i="14"/>
  <c r="N689" i="14"/>
  <c r="H690" i="14"/>
  <c r="N690" i="14"/>
  <c r="H695" i="14"/>
  <c r="N695" i="14"/>
  <c r="N696" i="14"/>
  <c r="H696" i="14"/>
  <c r="N698" i="14"/>
  <c r="H698" i="14"/>
  <c r="N302" i="21"/>
  <c r="K302" i="21"/>
  <c r="I304" i="21"/>
  <c r="M32" i="20"/>
  <c r="N305" i="21"/>
  <c r="K305" i="21"/>
  <c r="N307" i="21"/>
  <c r="K307" i="21"/>
  <c r="N308" i="21"/>
  <c r="K308" i="21"/>
  <c r="N309" i="21"/>
  <c r="K309" i="21"/>
  <c r="N310" i="21"/>
  <c r="K310" i="21"/>
  <c r="N311" i="21"/>
  <c r="K311" i="21"/>
  <c r="N312" i="21"/>
  <c r="K312" i="21"/>
  <c r="N313" i="21"/>
  <c r="K313" i="21"/>
  <c r="N314" i="21"/>
  <c r="K314" i="21"/>
  <c r="N315" i="21"/>
  <c r="K315" i="21"/>
  <c r="N316" i="21"/>
  <c r="K316" i="21"/>
  <c r="N317" i="21"/>
  <c r="K317" i="21"/>
  <c r="N318" i="21"/>
  <c r="K318" i="21"/>
  <c r="N319" i="21"/>
  <c r="K319" i="21"/>
  <c r="N320" i="21"/>
  <c r="K320" i="21"/>
  <c r="N321" i="21"/>
  <c r="K321" i="21"/>
  <c r="K1416" i="21"/>
  <c r="N1416" i="21"/>
  <c r="K1417" i="21"/>
  <c r="N1417" i="21"/>
  <c r="K1418" i="21"/>
  <c r="N1418" i="21"/>
  <c r="K1419" i="21"/>
  <c r="N1419" i="21"/>
  <c r="K1420" i="21"/>
  <c r="N1420" i="21"/>
  <c r="K1421" i="21"/>
  <c r="N1421" i="21"/>
  <c r="K1422" i="21"/>
  <c r="N1422" i="21"/>
  <c r="K1423" i="21"/>
  <c r="N1423" i="21"/>
  <c r="K1424" i="21"/>
  <c r="N1424" i="21"/>
  <c r="K1425" i="21"/>
  <c r="N1425" i="21"/>
  <c r="K1467" i="21"/>
  <c r="N1467" i="21"/>
  <c r="K1468" i="21"/>
  <c r="N1468" i="21"/>
  <c r="K1469" i="21"/>
  <c r="N1469" i="21"/>
  <c r="K1470" i="21"/>
  <c r="N1470" i="21"/>
  <c r="K1471" i="21"/>
  <c r="N1471" i="21"/>
  <c r="K1472" i="21"/>
  <c r="N1472" i="21"/>
  <c r="K1473" i="21"/>
  <c r="N1473" i="21"/>
  <c r="K1474" i="21"/>
  <c r="N1474" i="21"/>
  <c r="K1475" i="21"/>
  <c r="N1475" i="21"/>
  <c r="K1476" i="21"/>
  <c r="N1476" i="21"/>
  <c r="G626" i="26"/>
  <c r="J626" i="26" s="1"/>
  <c r="H626" i="26"/>
  <c r="E436" i="28" s="1"/>
  <c r="G631" i="26"/>
  <c r="J631" i="26" s="1"/>
  <c r="H631" i="26"/>
  <c r="G636" i="26"/>
  <c r="J636" i="26" s="1"/>
  <c r="H636" i="26"/>
  <c r="E441" i="28" s="1"/>
  <c r="G651" i="26"/>
  <c r="J651" i="26" s="1"/>
  <c r="H651" i="26"/>
  <c r="E211" i="28" s="1"/>
  <c r="G661" i="26"/>
  <c r="H661" i="26"/>
  <c r="G15" i="32"/>
  <c r="H235" i="2"/>
  <c r="N235" i="2"/>
  <c r="F211" i="28"/>
  <c r="G211" i="28" s="1"/>
  <c r="H240" i="2"/>
  <c r="N240" i="2"/>
  <c r="H250" i="2"/>
  <c r="N250" i="2"/>
  <c r="H520" i="2"/>
  <c r="N520" i="2"/>
  <c r="F436" i="28"/>
  <c r="G436" i="28" s="1"/>
  <c r="H525" i="2"/>
  <c r="N525" i="2"/>
  <c r="F441" i="28"/>
  <c r="G441" i="28" s="1"/>
  <c r="D48" i="9"/>
  <c r="E225" i="2"/>
  <c r="M225" i="2" s="1"/>
  <c r="M685" i="14"/>
  <c r="I123" i="8"/>
  <c r="I166" i="8"/>
  <c r="M692" i="14"/>
  <c r="H685" i="14"/>
  <c r="N685" i="14"/>
  <c r="H692" i="14"/>
  <c r="N692" i="14"/>
  <c r="K1321" i="21"/>
  <c r="N1321" i="21"/>
  <c r="K1322" i="21"/>
  <c r="N1322" i="21"/>
  <c r="K1323" i="21"/>
  <c r="N1323" i="21"/>
  <c r="K1324" i="21"/>
  <c r="N1324" i="21"/>
  <c r="K1325" i="21"/>
  <c r="N1325" i="21"/>
  <c r="K1326" i="21"/>
  <c r="N1326" i="21"/>
  <c r="K1327" i="21"/>
  <c r="N1327" i="21"/>
  <c r="K1328" i="21"/>
  <c r="N1328" i="21"/>
  <c r="K1329" i="21"/>
  <c r="N1329" i="21"/>
  <c r="K1334" i="21"/>
  <c r="N1334" i="21"/>
  <c r="K1335" i="21"/>
  <c r="N1335" i="21"/>
  <c r="K1336" i="21"/>
  <c r="N1336" i="21"/>
  <c r="K1337" i="21"/>
  <c r="N1337" i="21"/>
  <c r="K1436" i="21"/>
  <c r="N1436" i="21"/>
  <c r="K1437" i="21"/>
  <c r="N1437" i="21"/>
  <c r="K1438" i="21"/>
  <c r="N1438" i="21"/>
  <c r="K1439" i="21"/>
  <c r="N1439" i="21"/>
  <c r="K1440" i="21"/>
  <c r="N1440" i="21"/>
  <c r="K1441" i="21"/>
  <c r="N1441" i="21"/>
  <c r="K1442" i="21"/>
  <c r="N1442" i="21"/>
  <c r="K1443" i="21"/>
  <c r="N1443" i="21"/>
  <c r="K1444" i="21"/>
  <c r="N1444" i="21"/>
  <c r="K1445" i="21"/>
  <c r="N1445" i="21"/>
  <c r="K1487" i="21"/>
  <c r="N1487" i="21"/>
  <c r="K1488" i="21"/>
  <c r="N1488" i="21"/>
  <c r="K1489" i="21"/>
  <c r="N1489" i="21"/>
  <c r="K1490" i="21"/>
  <c r="N1490" i="21"/>
  <c r="K1491" i="21"/>
  <c r="N1491" i="21"/>
  <c r="K1492" i="21"/>
  <c r="N1492" i="21"/>
  <c r="K1493" i="21"/>
  <c r="N1493" i="21"/>
  <c r="K1494" i="21"/>
  <c r="N1494" i="21"/>
  <c r="K1495" i="21"/>
  <c r="N1495" i="21"/>
  <c r="K1496" i="21"/>
  <c r="N1496" i="21"/>
  <c r="H225" i="2"/>
  <c r="N225" i="2"/>
  <c r="F201" i="28"/>
  <c r="G201" i="28" s="1"/>
  <c r="I160" i="8"/>
  <c r="M691" i="14"/>
  <c r="H691" i="14"/>
  <c r="N691" i="14"/>
  <c r="H146" i="8"/>
  <c r="M655" i="14"/>
  <c r="E439" i="2"/>
  <c r="M439" i="2" s="1"/>
  <c r="M656" i="14"/>
  <c r="H152" i="8"/>
  <c r="H158" i="8"/>
  <c r="M657" i="14"/>
  <c r="E444" i="2"/>
  <c r="M444" i="2" s="1"/>
  <c r="J36" i="9"/>
  <c r="H189" i="8"/>
  <c r="M662" i="14"/>
  <c r="E459" i="2"/>
  <c r="M459" i="2" s="1"/>
  <c r="O25" i="11"/>
  <c r="M663" i="14"/>
  <c r="H195" i="8"/>
  <c r="E224" i="2"/>
  <c r="M224" i="2" s="1"/>
  <c r="H207" i="8"/>
  <c r="M665" i="14"/>
  <c r="E469" i="2"/>
  <c r="M469" i="2" s="1"/>
  <c r="H655" i="14"/>
  <c r="N655" i="14"/>
  <c r="H656" i="14"/>
  <c r="N656" i="14"/>
  <c r="H657" i="14"/>
  <c r="N657" i="14"/>
  <c r="H662" i="14"/>
  <c r="N662" i="14"/>
  <c r="N663" i="14"/>
  <c r="H663" i="14"/>
  <c r="N665" i="14"/>
  <c r="H665" i="14"/>
  <c r="G495" i="26"/>
  <c r="J495" i="26" s="1"/>
  <c r="H495" i="26"/>
  <c r="E370" i="28" s="1"/>
  <c r="G500" i="26"/>
  <c r="J500" i="26" s="1"/>
  <c r="H500" i="26"/>
  <c r="G505" i="26"/>
  <c r="J505" i="26" s="1"/>
  <c r="H505" i="26"/>
  <c r="E375" i="28" s="1"/>
  <c r="G520" i="26"/>
  <c r="J520" i="26" s="1"/>
  <c r="H520" i="26"/>
  <c r="E390" i="28" s="1"/>
  <c r="H530" i="26"/>
  <c r="E200" i="28" s="1"/>
  <c r="G530" i="26"/>
  <c r="J530" i="26" s="1"/>
  <c r="H224" i="2"/>
  <c r="N224" i="2"/>
  <c r="F200" i="28"/>
  <c r="G200" i="28" s="1"/>
  <c r="H439" i="2"/>
  <c r="N439" i="2"/>
  <c r="F370" i="28"/>
  <c r="G370" i="28" s="1"/>
  <c r="H444" i="2"/>
  <c r="N444" i="2"/>
  <c r="F375" i="28"/>
  <c r="G375" i="28" s="1"/>
  <c r="H459" i="2"/>
  <c r="N459" i="2"/>
  <c r="F390" i="28"/>
  <c r="G390" i="28" s="1"/>
  <c r="H469" i="2"/>
  <c r="N469" i="2"/>
  <c r="H39" i="9"/>
  <c r="J38" i="9"/>
  <c r="J39" i="9"/>
  <c r="E219" i="2"/>
  <c r="M219" i="2" s="1"/>
  <c r="M652" i="14"/>
  <c r="H127" i="8"/>
  <c r="H170" i="8"/>
  <c r="M659" i="14"/>
  <c r="H652" i="14"/>
  <c r="N652" i="14"/>
  <c r="H38" i="9" s="1"/>
  <c r="H659" i="14"/>
  <c r="N659" i="14"/>
  <c r="H219" i="2"/>
  <c r="N219" i="2"/>
  <c r="F195" i="28"/>
  <c r="G195" i="28" s="1"/>
  <c r="M658" i="14"/>
  <c r="H164" i="8"/>
  <c r="H658" i="14"/>
  <c r="N658" i="14"/>
  <c r="H145" i="8"/>
  <c r="M622" i="14"/>
  <c r="E438" i="2"/>
  <c r="M438" i="2" s="1"/>
  <c r="H151" i="8"/>
  <c r="M623" i="14"/>
  <c r="M624" i="14"/>
  <c r="H157" i="8"/>
  <c r="E443" i="2"/>
  <c r="M443" i="2" s="1"/>
  <c r="H188" i="8"/>
  <c r="I36" i="9"/>
  <c r="M629" i="14"/>
  <c r="E458" i="2"/>
  <c r="M458" i="2" s="1"/>
  <c r="O24" i="11"/>
  <c r="M630" i="14"/>
  <c r="H194" i="8"/>
  <c r="E223" i="2"/>
  <c r="M223" i="2" s="1"/>
  <c r="H206" i="8"/>
  <c r="M632" i="14"/>
  <c r="E468" i="2"/>
  <c r="M468" i="2" s="1"/>
  <c r="H622" i="14"/>
  <c r="N622" i="14"/>
  <c r="H623" i="14"/>
  <c r="N623" i="14"/>
  <c r="H624" i="14"/>
  <c r="N624" i="14"/>
  <c r="H629" i="14"/>
  <c r="N629" i="14"/>
  <c r="N630" i="14"/>
  <c r="H630" i="14"/>
  <c r="N632" i="14"/>
  <c r="H632" i="14"/>
  <c r="G494" i="26"/>
  <c r="J494" i="26" s="1"/>
  <c r="H494" i="26"/>
  <c r="E369" i="28" s="1"/>
  <c r="G499" i="26"/>
  <c r="J499" i="26" s="1"/>
  <c r="H499" i="26"/>
  <c r="G504" i="26"/>
  <c r="J504" i="26" s="1"/>
  <c r="H504" i="26"/>
  <c r="E374" i="28" s="1"/>
  <c r="G519" i="26"/>
  <c r="J519" i="26" s="1"/>
  <c r="H519" i="26"/>
  <c r="E389" i="28" s="1"/>
  <c r="H529" i="26"/>
  <c r="E199" i="28" s="1"/>
  <c r="G529" i="26"/>
  <c r="J529" i="26" s="1"/>
  <c r="H223" i="2"/>
  <c r="N223" i="2"/>
  <c r="F199" i="28"/>
  <c r="G199" i="28" s="1"/>
  <c r="H438" i="2"/>
  <c r="N438" i="2"/>
  <c r="F369" i="28"/>
  <c r="G369" i="28" s="1"/>
  <c r="H443" i="2"/>
  <c r="N443" i="2"/>
  <c r="F374" i="28"/>
  <c r="G374" i="28" s="1"/>
  <c r="H458" i="2"/>
  <c r="N458" i="2"/>
  <c r="F389" i="28"/>
  <c r="G389" i="28" s="1"/>
  <c r="H468" i="2"/>
  <c r="N468" i="2"/>
  <c r="I39" i="9"/>
  <c r="G39" i="9"/>
  <c r="I38" i="9"/>
  <c r="E218" i="2"/>
  <c r="M218" i="2" s="1"/>
  <c r="M619" i="14"/>
  <c r="H126" i="8"/>
  <c r="H169" i="8"/>
  <c r="M626" i="14"/>
  <c r="H619" i="14"/>
  <c r="N619" i="14"/>
  <c r="H626" i="14"/>
  <c r="N626" i="14"/>
  <c r="H218" i="2"/>
  <c r="N218" i="2"/>
  <c r="F194" i="28"/>
  <c r="G194" i="28" s="1"/>
  <c r="H163" i="8"/>
  <c r="M625" i="14"/>
  <c r="H625" i="14"/>
  <c r="N625" i="14"/>
  <c r="H144" i="8"/>
  <c r="M589" i="14"/>
  <c r="E437" i="2"/>
  <c r="M437" i="2" s="1"/>
  <c r="H150" i="8"/>
  <c r="M590" i="14"/>
  <c r="H156" i="8"/>
  <c r="M591" i="14"/>
  <c r="E442" i="2"/>
  <c r="M442" i="2" s="1"/>
  <c r="H187" i="8"/>
  <c r="M596" i="14"/>
  <c r="E457" i="2"/>
  <c r="M457" i="2" s="1"/>
  <c r="H193" i="8"/>
  <c r="O23" i="11"/>
  <c r="M597" i="14"/>
  <c r="E222" i="2"/>
  <c r="M222" i="2" s="1"/>
  <c r="M599" i="14"/>
  <c r="H205" i="8"/>
  <c r="E467" i="2"/>
  <c r="M467" i="2" s="1"/>
  <c r="H589" i="14"/>
  <c r="N589" i="14"/>
  <c r="H590" i="14"/>
  <c r="N590" i="14"/>
  <c r="H591" i="14"/>
  <c r="N591" i="14"/>
  <c r="H596" i="14"/>
  <c r="N596" i="14"/>
  <c r="N597" i="14"/>
  <c r="H597" i="14"/>
  <c r="N599" i="14"/>
  <c r="H599" i="14"/>
  <c r="G493" i="26"/>
  <c r="J493" i="26" s="1"/>
  <c r="H493" i="26"/>
  <c r="E368" i="28" s="1"/>
  <c r="G498" i="26"/>
  <c r="J498" i="26" s="1"/>
  <c r="H498" i="26"/>
  <c r="G503" i="26"/>
  <c r="J503" i="26" s="1"/>
  <c r="H503" i="26"/>
  <c r="E373" i="28" s="1"/>
  <c r="G518" i="26"/>
  <c r="J518" i="26" s="1"/>
  <c r="H518" i="26"/>
  <c r="E388" i="28" s="1"/>
  <c r="H528" i="26"/>
  <c r="E198" i="28" s="1"/>
  <c r="G528" i="26"/>
  <c r="J528" i="26" s="1"/>
  <c r="H222" i="2"/>
  <c r="N222" i="2"/>
  <c r="F198" i="28"/>
  <c r="G198" i="28" s="1"/>
  <c r="H437" i="2"/>
  <c r="N437" i="2"/>
  <c r="F368" i="28"/>
  <c r="G368" i="28" s="1"/>
  <c r="H442" i="2"/>
  <c r="N442" i="2"/>
  <c r="F373" i="28"/>
  <c r="G373" i="28" s="1"/>
  <c r="H457" i="2"/>
  <c r="N457" i="2"/>
  <c r="F388" i="28"/>
  <c r="G388" i="28" s="1"/>
  <c r="H467" i="2"/>
  <c r="N467" i="2"/>
  <c r="F39" i="9"/>
  <c r="E217" i="2"/>
  <c r="M217" i="2" s="1"/>
  <c r="M586" i="14"/>
  <c r="H125" i="8"/>
  <c r="H168" i="8"/>
  <c r="M593" i="14"/>
  <c r="H586" i="14"/>
  <c r="N586" i="14"/>
  <c r="H593" i="14"/>
  <c r="N593" i="14"/>
  <c r="H217" i="2"/>
  <c r="N217" i="2"/>
  <c r="F193" i="28"/>
  <c r="G193" i="28" s="1"/>
  <c r="H162" i="8"/>
  <c r="M592" i="14"/>
  <c r="H592" i="14"/>
  <c r="N592" i="14"/>
  <c r="H143" i="8"/>
  <c r="M556" i="14"/>
  <c r="E436" i="2"/>
  <c r="M436" i="2" s="1"/>
  <c r="M557" i="14"/>
  <c r="H149" i="8"/>
  <c r="H155" i="8"/>
  <c r="M558" i="14"/>
  <c r="E441" i="2"/>
  <c r="M441" i="2" s="1"/>
  <c r="H186" i="8"/>
  <c r="M563" i="14"/>
  <c r="E456" i="2"/>
  <c r="M456" i="2" s="1"/>
  <c r="H192" i="8"/>
  <c r="O22" i="11"/>
  <c r="M564" i="14"/>
  <c r="E221" i="2"/>
  <c r="M221" i="2" s="1"/>
  <c r="M566" i="14"/>
  <c r="H204" i="8"/>
  <c r="E466" i="2"/>
  <c r="M466" i="2" s="1"/>
  <c r="H556" i="14"/>
  <c r="N556" i="14"/>
  <c r="H557" i="14"/>
  <c r="N557" i="14"/>
  <c r="H558" i="14"/>
  <c r="N558" i="14"/>
  <c r="H563" i="14"/>
  <c r="N563" i="14"/>
  <c r="N564" i="14"/>
  <c r="H564" i="14"/>
  <c r="N566" i="14"/>
  <c r="H566" i="14"/>
  <c r="G492" i="26"/>
  <c r="J492" i="26" s="1"/>
  <c r="H492" i="26"/>
  <c r="E367" i="28" s="1"/>
  <c r="G497" i="26"/>
  <c r="J497" i="26" s="1"/>
  <c r="H497" i="26"/>
  <c r="G502" i="26"/>
  <c r="J502" i="26" s="1"/>
  <c r="H502" i="26"/>
  <c r="E372" i="28" s="1"/>
  <c r="G517" i="26"/>
  <c r="J517" i="26" s="1"/>
  <c r="H517" i="26"/>
  <c r="E387" i="28" s="1"/>
  <c r="H527" i="26"/>
  <c r="E197" i="28" s="1"/>
  <c r="G527" i="26"/>
  <c r="J527" i="26" s="1"/>
  <c r="H221" i="2"/>
  <c r="N221" i="2"/>
  <c r="F197" i="28"/>
  <c r="G197" i="28" s="1"/>
  <c r="H436" i="2"/>
  <c r="N436" i="2"/>
  <c r="F367" i="28"/>
  <c r="G367" i="28" s="1"/>
  <c r="H441" i="2"/>
  <c r="N441" i="2"/>
  <c r="F372" i="28"/>
  <c r="G372" i="28" s="1"/>
  <c r="H456" i="2"/>
  <c r="N456" i="2"/>
  <c r="F387" i="28"/>
  <c r="G387" i="28" s="1"/>
  <c r="H466" i="2"/>
  <c r="N466" i="2"/>
  <c r="E39" i="9"/>
  <c r="E216" i="2"/>
  <c r="M216" i="2" s="1"/>
  <c r="M553" i="14"/>
  <c r="H124" i="8"/>
  <c r="M560" i="14"/>
  <c r="H167" i="8"/>
  <c r="H553" i="14"/>
  <c r="N553" i="14"/>
  <c r="E38" i="9" s="1"/>
  <c r="H560" i="14"/>
  <c r="N560" i="14"/>
  <c r="H216" i="2"/>
  <c r="N216" i="2"/>
  <c r="F192" i="28"/>
  <c r="G192" i="28" s="1"/>
  <c r="M559" i="14"/>
  <c r="H161" i="8"/>
  <c r="H559" i="14"/>
  <c r="N559" i="14"/>
  <c r="H142" i="8"/>
  <c r="M523" i="14"/>
  <c r="E435" i="2"/>
  <c r="M435" i="2" s="1"/>
  <c r="H148" i="8"/>
  <c r="M524" i="14"/>
  <c r="H154" i="8"/>
  <c r="M525" i="14"/>
  <c r="E440" i="2"/>
  <c r="M440" i="2" s="1"/>
  <c r="H185" i="8"/>
  <c r="M530" i="14"/>
  <c r="E455" i="2"/>
  <c r="M455" i="2" s="1"/>
  <c r="H191" i="8"/>
  <c r="O21" i="11"/>
  <c r="M531" i="14"/>
  <c r="E220" i="2"/>
  <c r="M220" i="2" s="1"/>
  <c r="H203" i="8"/>
  <c r="M533" i="14"/>
  <c r="E465" i="2"/>
  <c r="M465" i="2" s="1"/>
  <c r="H523" i="14"/>
  <c r="N523" i="14"/>
  <c r="H524" i="14"/>
  <c r="N524" i="14"/>
  <c r="H525" i="14"/>
  <c r="N525" i="14"/>
  <c r="H530" i="14"/>
  <c r="N530" i="14"/>
  <c r="N531" i="14"/>
  <c r="H531" i="14"/>
  <c r="N533" i="14"/>
  <c r="H533" i="14"/>
  <c r="G491" i="26"/>
  <c r="J491" i="26" s="1"/>
  <c r="H491" i="26"/>
  <c r="E366" i="28" s="1"/>
  <c r="G496" i="26"/>
  <c r="J496" i="26" s="1"/>
  <c r="H496" i="26"/>
  <c r="G501" i="26"/>
  <c r="J501" i="26" s="1"/>
  <c r="H501" i="26"/>
  <c r="E371" i="28" s="1"/>
  <c r="G516" i="26"/>
  <c r="J516" i="26" s="1"/>
  <c r="H516" i="26"/>
  <c r="E386" i="28" s="1"/>
  <c r="H526" i="26"/>
  <c r="E196" i="28" s="1"/>
  <c r="G526" i="26"/>
  <c r="J526" i="26" s="1"/>
  <c r="H220" i="2"/>
  <c r="N220" i="2"/>
  <c r="F196" i="28"/>
  <c r="G196" i="28" s="1"/>
  <c r="H435" i="2"/>
  <c r="N435" i="2"/>
  <c r="F366" i="28"/>
  <c r="G366" i="28" s="1"/>
  <c r="H440" i="2"/>
  <c r="N440" i="2"/>
  <c r="F371" i="28"/>
  <c r="G371" i="28" s="1"/>
  <c r="H455" i="2"/>
  <c r="N455" i="2"/>
  <c r="F386" i="28"/>
  <c r="G386" i="28" s="1"/>
  <c r="H465" i="2"/>
  <c r="N465" i="2"/>
  <c r="D39" i="9"/>
  <c r="E215" i="2"/>
  <c r="M215" i="2" s="1"/>
  <c r="M520" i="14"/>
  <c r="H123" i="8"/>
  <c r="H166" i="8"/>
  <c r="M527" i="14"/>
  <c r="H520" i="14"/>
  <c r="N520" i="14"/>
  <c r="H527" i="14"/>
  <c r="N527" i="14"/>
  <c r="H215" i="2"/>
  <c r="N215" i="2"/>
  <c r="F191" i="28"/>
  <c r="G191" i="28" s="1"/>
  <c r="H160" i="8"/>
  <c r="M526" i="14"/>
  <c r="H526" i="14"/>
  <c r="N526" i="14"/>
  <c r="G146" i="8"/>
  <c r="M490" i="14"/>
  <c r="E164" i="2"/>
  <c r="M164" i="2" s="1"/>
  <c r="G152" i="8"/>
  <c r="M491" i="14"/>
  <c r="M492" i="14"/>
  <c r="G158" i="8"/>
  <c r="E169" i="2"/>
  <c r="M169" i="2" s="1"/>
  <c r="G189" i="8"/>
  <c r="J27" i="9"/>
  <c r="M497" i="14"/>
  <c r="E394" i="2"/>
  <c r="M394" i="2" s="1"/>
  <c r="G195" i="8"/>
  <c r="O20" i="11"/>
  <c r="M498" i="14"/>
  <c r="E174" i="2"/>
  <c r="M174" i="2" s="1"/>
  <c r="M500" i="14"/>
  <c r="G207" i="8"/>
  <c r="E399" i="2"/>
  <c r="M399" i="2" s="1"/>
  <c r="H490" i="14"/>
  <c r="N490" i="14"/>
  <c r="H491" i="14"/>
  <c r="N491" i="14"/>
  <c r="H492" i="14"/>
  <c r="N492" i="14"/>
  <c r="H497" i="14"/>
  <c r="N497" i="14"/>
  <c r="N498" i="14"/>
  <c r="H498" i="14"/>
  <c r="N500" i="14"/>
  <c r="H500" i="14"/>
  <c r="G360" i="26"/>
  <c r="J360" i="26" s="1"/>
  <c r="H360" i="26"/>
  <c r="E145" i="28" s="1"/>
  <c r="G365" i="26"/>
  <c r="J365" i="26" s="1"/>
  <c r="H365" i="26"/>
  <c r="G370" i="26"/>
  <c r="J370" i="26" s="1"/>
  <c r="H370" i="26"/>
  <c r="E150" i="28" s="1"/>
  <c r="G385" i="26"/>
  <c r="J385" i="26" s="1"/>
  <c r="H385" i="26"/>
  <c r="E340" i="28" s="1"/>
  <c r="H395" i="26"/>
  <c r="E155" i="28" s="1"/>
  <c r="G395" i="26"/>
  <c r="J395" i="26" s="1"/>
  <c r="H164" i="2"/>
  <c r="N164" i="2"/>
  <c r="F145" i="28"/>
  <c r="G145" i="28" s="1"/>
  <c r="H169" i="2"/>
  <c r="N169" i="2"/>
  <c r="F150" i="28"/>
  <c r="G150" i="28" s="1"/>
  <c r="H174" i="2"/>
  <c r="N174" i="2"/>
  <c r="F155" i="28"/>
  <c r="G155" i="28" s="1"/>
  <c r="H394" i="2"/>
  <c r="N394" i="2"/>
  <c r="F340" i="28"/>
  <c r="G340" i="28" s="1"/>
  <c r="H399" i="2"/>
  <c r="N399" i="2"/>
  <c r="J30" i="9"/>
  <c r="J29" i="9"/>
  <c r="H30" i="9"/>
  <c r="E154" i="2"/>
  <c r="M154" i="2" s="1"/>
  <c r="M487" i="14"/>
  <c r="G127" i="8"/>
  <c r="H154" i="2"/>
  <c r="N154" i="2"/>
  <c r="F135" i="28"/>
  <c r="G135" i="28" s="1"/>
  <c r="G170" i="8"/>
  <c r="M494" i="14"/>
  <c r="H487" i="14"/>
  <c r="N487" i="14"/>
  <c r="H494" i="14"/>
  <c r="N494" i="14"/>
  <c r="G164" i="8"/>
  <c r="M493" i="14"/>
  <c r="H493" i="14"/>
  <c r="N493" i="14"/>
  <c r="M457" i="14"/>
  <c r="G145" i="8"/>
  <c r="E163" i="2"/>
  <c r="M163" i="2" s="1"/>
  <c r="M458" i="14"/>
  <c r="G151" i="8"/>
  <c r="G157" i="8"/>
  <c r="M459" i="14"/>
  <c r="E168" i="2"/>
  <c r="M168" i="2" s="1"/>
  <c r="G188" i="8"/>
  <c r="I27" i="9"/>
  <c r="M464" i="14"/>
  <c r="E393" i="2"/>
  <c r="M393" i="2" s="1"/>
  <c r="G194" i="8"/>
  <c r="O19" i="11"/>
  <c r="M465" i="14"/>
  <c r="E173" i="2"/>
  <c r="M173" i="2" s="1"/>
  <c r="M467" i="14"/>
  <c r="G206" i="8"/>
  <c r="E398" i="2"/>
  <c r="M398" i="2" s="1"/>
  <c r="H457" i="14"/>
  <c r="N457" i="14"/>
  <c r="H458" i="14"/>
  <c r="N458" i="14"/>
  <c r="H459" i="14"/>
  <c r="N459" i="14"/>
  <c r="H464" i="14"/>
  <c r="N464" i="14"/>
  <c r="N465" i="14"/>
  <c r="H465" i="14"/>
  <c r="N467" i="14"/>
  <c r="H467" i="14"/>
  <c r="G359" i="26"/>
  <c r="J359" i="26" s="1"/>
  <c r="H359" i="26"/>
  <c r="E144" i="28" s="1"/>
  <c r="G364" i="26"/>
  <c r="J364" i="26" s="1"/>
  <c r="H364" i="26"/>
  <c r="G369" i="26"/>
  <c r="J369" i="26" s="1"/>
  <c r="H369" i="26"/>
  <c r="E149" i="28" s="1"/>
  <c r="G384" i="26"/>
  <c r="J384" i="26" s="1"/>
  <c r="H384" i="26"/>
  <c r="E339" i="28" s="1"/>
  <c r="G394" i="26"/>
  <c r="J394" i="26" s="1"/>
  <c r="H394" i="26"/>
  <c r="E154" i="28" s="1"/>
  <c r="H163" i="2"/>
  <c r="N163" i="2"/>
  <c r="F144" i="28"/>
  <c r="G144" i="28" s="1"/>
  <c r="H168" i="2"/>
  <c r="N168" i="2"/>
  <c r="F149" i="28"/>
  <c r="G149" i="28" s="1"/>
  <c r="H173" i="2"/>
  <c r="N173" i="2"/>
  <c r="F154" i="28"/>
  <c r="G154" i="28" s="1"/>
  <c r="H393" i="2"/>
  <c r="N393" i="2"/>
  <c r="F339" i="28"/>
  <c r="G339" i="28" s="1"/>
  <c r="H398" i="2"/>
  <c r="N398" i="2"/>
  <c r="G30" i="9"/>
  <c r="I29" i="9"/>
  <c r="I30" i="9"/>
  <c r="E153" i="2"/>
  <c r="M153" i="2" s="1"/>
  <c r="M454" i="14"/>
  <c r="G126" i="8"/>
  <c r="H153" i="2"/>
  <c r="N153" i="2"/>
  <c r="F134" i="28"/>
  <c r="G134" i="28" s="1"/>
  <c r="M461" i="14"/>
  <c r="G169" i="8"/>
  <c r="H454" i="14"/>
  <c r="N454" i="14"/>
  <c r="G29" i="9" s="1"/>
  <c r="H461" i="14"/>
  <c r="N461" i="14"/>
  <c r="M460" i="14"/>
  <c r="G163" i="8"/>
  <c r="H460" i="14"/>
  <c r="N460" i="14"/>
  <c r="G144" i="8"/>
  <c r="M424" i="14"/>
  <c r="E162" i="2"/>
  <c r="M162" i="2" s="1"/>
  <c r="M425" i="14"/>
  <c r="G150" i="8"/>
  <c r="M426" i="14"/>
  <c r="N426" i="14" s="1"/>
  <c r="G156" i="8"/>
  <c r="E167" i="2"/>
  <c r="M167" i="2" s="1"/>
  <c r="G187" i="8"/>
  <c r="M431" i="14"/>
  <c r="N431" i="14" s="1"/>
  <c r="E392" i="2"/>
  <c r="M392" i="2" s="1"/>
  <c r="O18" i="11"/>
  <c r="M432" i="14"/>
  <c r="N432" i="14" s="1"/>
  <c r="G193" i="8"/>
  <c r="E172" i="2"/>
  <c r="M172" i="2" s="1"/>
  <c r="G205" i="8"/>
  <c r="M434" i="14"/>
  <c r="N434" i="14" s="1"/>
  <c r="E397" i="2"/>
  <c r="M397" i="2" s="1"/>
  <c r="H424" i="14"/>
  <c r="N424" i="14"/>
  <c r="H425" i="14"/>
  <c r="N425" i="14"/>
  <c r="H426" i="14"/>
  <c r="H431" i="14"/>
  <c r="H432" i="14"/>
  <c r="H434" i="14"/>
  <c r="G358" i="26"/>
  <c r="J358" i="26" s="1"/>
  <c r="H358" i="26"/>
  <c r="E143" i="28" s="1"/>
  <c r="G363" i="26"/>
  <c r="J363" i="26" s="1"/>
  <c r="H363" i="26"/>
  <c r="G368" i="26"/>
  <c r="J368" i="26" s="1"/>
  <c r="H368" i="26"/>
  <c r="E148" i="28" s="1"/>
  <c r="G383" i="26"/>
  <c r="J383" i="26" s="1"/>
  <c r="H383" i="26"/>
  <c r="E338" i="28" s="1"/>
  <c r="G393" i="26"/>
  <c r="J393" i="26" s="1"/>
  <c r="H393" i="26"/>
  <c r="E153" i="28" s="1"/>
  <c r="H162" i="2"/>
  <c r="N162" i="2"/>
  <c r="F143" i="28"/>
  <c r="G143" i="28" s="1"/>
  <c r="H167" i="2"/>
  <c r="N167" i="2"/>
  <c r="F148" i="28"/>
  <c r="G148" i="28" s="1"/>
  <c r="H172" i="2"/>
  <c r="N172" i="2"/>
  <c r="F153" i="28"/>
  <c r="G153" i="28" s="1"/>
  <c r="H392" i="2"/>
  <c r="N392" i="2"/>
  <c r="F338" i="28"/>
  <c r="G338" i="28" s="1"/>
  <c r="H397" i="2"/>
  <c r="N397" i="2"/>
  <c r="F30" i="9"/>
  <c r="E152" i="2"/>
  <c r="M152" i="2" s="1"/>
  <c r="M421" i="14"/>
  <c r="G125" i="8"/>
  <c r="H152" i="2"/>
  <c r="N152" i="2"/>
  <c r="F133" i="28"/>
  <c r="G133" i="28" s="1"/>
  <c r="M428" i="14"/>
  <c r="G168" i="8"/>
  <c r="H421" i="14"/>
  <c r="N421" i="14"/>
  <c r="H428" i="14"/>
  <c r="N428" i="14"/>
  <c r="G162" i="8"/>
  <c r="M427" i="14"/>
  <c r="H427" i="14"/>
  <c r="N427" i="14"/>
  <c r="G143" i="8"/>
  <c r="M391" i="14"/>
  <c r="E161" i="2"/>
  <c r="M161" i="2" s="1"/>
  <c r="G149" i="8"/>
  <c r="M392" i="14"/>
  <c r="G155" i="8"/>
  <c r="M393" i="14"/>
  <c r="E166" i="2"/>
  <c r="M166" i="2" s="1"/>
  <c r="M398" i="14"/>
  <c r="G186" i="8"/>
  <c r="E391" i="2"/>
  <c r="M391" i="2" s="1"/>
  <c r="O17" i="11"/>
  <c r="M399" i="14"/>
  <c r="G192" i="8"/>
  <c r="E171" i="2"/>
  <c r="M171" i="2" s="1"/>
  <c r="G204" i="8"/>
  <c r="M401" i="14"/>
  <c r="E396" i="2"/>
  <c r="M396" i="2" s="1"/>
  <c r="H391" i="14"/>
  <c r="N391" i="14"/>
  <c r="H392" i="14"/>
  <c r="N392" i="14"/>
  <c r="H393" i="14"/>
  <c r="N393" i="14"/>
  <c r="H398" i="14"/>
  <c r="N398" i="14"/>
  <c r="N399" i="14"/>
  <c r="H399" i="14"/>
  <c r="N401" i="14"/>
  <c r="H401" i="14"/>
  <c r="G357" i="26"/>
  <c r="J357" i="26" s="1"/>
  <c r="H357" i="26"/>
  <c r="E142" i="28" s="1"/>
  <c r="G362" i="26"/>
  <c r="J362" i="26" s="1"/>
  <c r="H362" i="26"/>
  <c r="G367" i="26"/>
  <c r="J367" i="26" s="1"/>
  <c r="H367" i="26"/>
  <c r="E147" i="28" s="1"/>
  <c r="G382" i="26"/>
  <c r="J382" i="26" s="1"/>
  <c r="H382" i="26"/>
  <c r="E337" i="28" s="1"/>
  <c r="G392" i="26"/>
  <c r="J392" i="26" s="1"/>
  <c r="H392" i="26"/>
  <c r="E152" i="28" s="1"/>
  <c r="H161" i="2"/>
  <c r="N161" i="2"/>
  <c r="F142" i="28"/>
  <c r="G142" i="28" s="1"/>
  <c r="H166" i="2"/>
  <c r="N166" i="2"/>
  <c r="F147" i="28"/>
  <c r="G147" i="28" s="1"/>
  <c r="H171" i="2"/>
  <c r="N171" i="2"/>
  <c r="F152" i="28"/>
  <c r="G152" i="28" s="1"/>
  <c r="H391" i="2"/>
  <c r="N391" i="2"/>
  <c r="F337" i="28"/>
  <c r="G337" i="28" s="1"/>
  <c r="H396" i="2"/>
  <c r="N396" i="2"/>
  <c r="E30" i="9"/>
  <c r="E151" i="2"/>
  <c r="M151" i="2" s="1"/>
  <c r="M388" i="14"/>
  <c r="G124" i="8"/>
  <c r="H151" i="2"/>
  <c r="N151" i="2"/>
  <c r="F132" i="28"/>
  <c r="G132" i="28" s="1"/>
  <c r="G167" i="8"/>
  <c r="M395" i="14"/>
  <c r="H388" i="14"/>
  <c r="N388" i="14"/>
  <c r="H395" i="14"/>
  <c r="N395" i="14"/>
  <c r="G161" i="8"/>
  <c r="M394" i="14"/>
  <c r="H394" i="14"/>
  <c r="N394" i="14"/>
  <c r="G142" i="8"/>
  <c r="M358" i="14"/>
  <c r="E160" i="2"/>
  <c r="M160" i="2" s="1"/>
  <c r="M359" i="14"/>
  <c r="G148" i="8"/>
  <c r="M360" i="14"/>
  <c r="G154" i="8"/>
  <c r="E165" i="2"/>
  <c r="M165" i="2" s="1"/>
  <c r="G185" i="8"/>
  <c r="M365" i="14"/>
  <c r="E390" i="2"/>
  <c r="M390" i="2" s="1"/>
  <c r="G191" i="8"/>
  <c r="O16" i="11"/>
  <c r="M366" i="14"/>
  <c r="E170" i="2"/>
  <c r="M170" i="2" s="1"/>
  <c r="G203" i="8"/>
  <c r="M368" i="14"/>
  <c r="E395" i="2"/>
  <c r="M395" i="2" s="1"/>
  <c r="H358" i="14"/>
  <c r="N358" i="14"/>
  <c r="H359" i="14"/>
  <c r="N359" i="14"/>
  <c r="H360" i="14"/>
  <c r="N360" i="14"/>
  <c r="H365" i="14"/>
  <c r="N365" i="14"/>
  <c r="N366" i="14"/>
  <c r="H366" i="14"/>
  <c r="N368" i="14"/>
  <c r="H368" i="14"/>
  <c r="G356" i="26"/>
  <c r="J356" i="26" s="1"/>
  <c r="H356" i="26"/>
  <c r="E141" i="28" s="1"/>
  <c r="G361" i="26"/>
  <c r="J361" i="26" s="1"/>
  <c r="H361" i="26"/>
  <c r="G366" i="26"/>
  <c r="J366" i="26" s="1"/>
  <c r="H366" i="26"/>
  <c r="E146" i="28" s="1"/>
  <c r="G381" i="26"/>
  <c r="J381" i="26" s="1"/>
  <c r="H381" i="26"/>
  <c r="E336" i="28" s="1"/>
  <c r="H391" i="26"/>
  <c r="E151" i="28" s="1"/>
  <c r="G391" i="26"/>
  <c r="J391" i="26" s="1"/>
  <c r="H160" i="2"/>
  <c r="N160" i="2"/>
  <c r="F141" i="28"/>
  <c r="G141" i="28" s="1"/>
  <c r="H165" i="2"/>
  <c r="N165" i="2"/>
  <c r="F146" i="28"/>
  <c r="G146" i="28" s="1"/>
  <c r="H170" i="2"/>
  <c r="N170" i="2"/>
  <c r="F151" i="28"/>
  <c r="G151" i="28" s="1"/>
  <c r="H390" i="2"/>
  <c r="N390" i="2"/>
  <c r="F336" i="28"/>
  <c r="G336" i="28" s="1"/>
  <c r="H395" i="2"/>
  <c r="N395" i="2"/>
  <c r="D30" i="9"/>
  <c r="E150" i="2"/>
  <c r="M150" i="2" s="1"/>
  <c r="M355" i="14"/>
  <c r="G123" i="8"/>
  <c r="H150" i="2"/>
  <c r="N150" i="2"/>
  <c r="F131" i="28"/>
  <c r="G131" i="28" s="1"/>
  <c r="M362" i="14"/>
  <c r="G166" i="8"/>
  <c r="H355" i="14"/>
  <c r="N355" i="14"/>
  <c r="H362" i="14"/>
  <c r="N362" i="14"/>
  <c r="M361" i="14"/>
  <c r="G160" i="8"/>
  <c r="H361" i="14"/>
  <c r="N361" i="14"/>
  <c r="J18" i="9"/>
  <c r="F189" i="8"/>
  <c r="M332" i="14"/>
  <c r="N332" i="14" s="1"/>
  <c r="E114" i="2"/>
  <c r="M114" i="2" s="1"/>
  <c r="F195" i="8"/>
  <c r="O15" i="11"/>
  <c r="M333" i="14"/>
  <c r="M326" i="14"/>
  <c r="N326" i="14" s="1"/>
  <c r="F152" i="8"/>
  <c r="H327" i="14"/>
  <c r="N333" i="14"/>
  <c r="H333" i="14"/>
  <c r="E344" i="2"/>
  <c r="F158" i="8"/>
  <c r="M327" i="14"/>
  <c r="N327" i="14" s="1"/>
  <c r="E364" i="2"/>
  <c r="M364" i="2" s="1"/>
  <c r="F207" i="8"/>
  <c r="M335" i="14"/>
  <c r="H325" i="14"/>
  <c r="H326" i="14"/>
  <c r="H332" i="14"/>
  <c r="N335" i="14"/>
  <c r="H335" i="14"/>
  <c r="F100" i="28"/>
  <c r="G100" i="28" s="1"/>
  <c r="N114" i="2"/>
  <c r="H114" i="2"/>
  <c r="K431" i="21"/>
  <c r="N431" i="21"/>
  <c r="K432" i="21"/>
  <c r="N432" i="21"/>
  <c r="K433" i="21"/>
  <c r="N433" i="21"/>
  <c r="K436" i="21"/>
  <c r="N436" i="21"/>
  <c r="E339" i="2"/>
  <c r="M339" i="2" s="1"/>
  <c r="F146" i="8"/>
  <c r="M325" i="14"/>
  <c r="N325" i="14" s="1"/>
  <c r="K1674" i="21"/>
  <c r="N1674" i="21"/>
  <c r="K1676" i="21"/>
  <c r="N1676" i="21"/>
  <c r="K1677" i="21"/>
  <c r="N1677" i="21"/>
  <c r="K1684" i="21"/>
  <c r="N1684" i="21"/>
  <c r="G225" i="26"/>
  <c r="J225" i="26" s="1"/>
  <c r="H225" i="26"/>
  <c r="E295" i="28" s="1"/>
  <c r="G230" i="26"/>
  <c r="J230" i="26" s="1"/>
  <c r="H230" i="26"/>
  <c r="G235" i="26"/>
  <c r="J235" i="26" s="1"/>
  <c r="H235" i="26"/>
  <c r="E300" i="28" s="1"/>
  <c r="G250" i="26"/>
  <c r="J250" i="26" s="1"/>
  <c r="H250" i="26"/>
  <c r="E100" i="28" s="1"/>
  <c r="G260" i="26"/>
  <c r="J260" i="26" s="1"/>
  <c r="H260" i="26"/>
  <c r="N1675" i="21"/>
  <c r="K1675" i="21"/>
  <c r="K1685" i="21"/>
  <c r="N1685" i="21"/>
  <c r="K1686" i="21"/>
  <c r="N1686" i="21"/>
  <c r="H339" i="2"/>
  <c r="N339" i="2"/>
  <c r="F295" i="28"/>
  <c r="G295" i="28" s="1"/>
  <c r="H344" i="2"/>
  <c r="N344" i="2"/>
  <c r="F170" i="8"/>
  <c r="M329" i="14"/>
  <c r="J21" i="9"/>
  <c r="H21" i="9"/>
  <c r="J20" i="9"/>
  <c r="F127" i="8"/>
  <c r="E109" i="2"/>
  <c r="M109" i="2" s="1"/>
  <c r="M322" i="14"/>
  <c r="H322" i="14"/>
  <c r="N322" i="14"/>
  <c r="H329" i="14"/>
  <c r="N329" i="14"/>
  <c r="H328" i="14"/>
  <c r="F164" i="8"/>
  <c r="M328" i="14"/>
  <c r="N328" i="14" s="1"/>
  <c r="G275" i="26"/>
  <c r="J275" i="26" s="1"/>
  <c r="H275" i="26"/>
  <c r="I18" i="9"/>
  <c r="M299" i="14"/>
  <c r="F188" i="8"/>
  <c r="E113" i="2"/>
  <c r="M113" i="2" s="1"/>
  <c r="O14" i="11"/>
  <c r="F194" i="8"/>
  <c r="M300" i="14"/>
  <c r="F206" i="8"/>
  <c r="M302" i="14"/>
  <c r="E363" i="2"/>
  <c r="M293" i="14"/>
  <c r="F151" i="8"/>
  <c r="H293" i="14"/>
  <c r="N293" i="14"/>
  <c r="H294" i="14"/>
  <c r="H299" i="14"/>
  <c r="N299" i="14"/>
  <c r="N302" i="14"/>
  <c r="H302" i="14"/>
  <c r="H292" i="14"/>
  <c r="N300" i="14"/>
  <c r="H300" i="14"/>
  <c r="E338" i="2"/>
  <c r="M338" i="2" s="1"/>
  <c r="F145" i="8"/>
  <c r="M292" i="14"/>
  <c r="N292" i="14" s="1"/>
  <c r="F99" i="28"/>
  <c r="G99" i="28" s="1"/>
  <c r="N113" i="2"/>
  <c r="H113" i="2"/>
  <c r="K425" i="21"/>
  <c r="N425" i="21"/>
  <c r="K426" i="21"/>
  <c r="N426" i="21"/>
  <c r="K427" i="21"/>
  <c r="N427" i="21"/>
  <c r="K430" i="21"/>
  <c r="N430" i="21"/>
  <c r="I443" i="21"/>
  <c r="M44" i="20"/>
  <c r="N444" i="21"/>
  <c r="K444" i="21"/>
  <c r="N445" i="21"/>
  <c r="K445" i="21"/>
  <c r="K1672" i="21"/>
  <c r="N1672" i="21"/>
  <c r="K1673" i="21"/>
  <c r="N1673" i="21"/>
  <c r="E343" i="2"/>
  <c r="F157" i="8"/>
  <c r="M294" i="14"/>
  <c r="N294" i="14" s="1"/>
  <c r="G224" i="26"/>
  <c r="J224" i="26" s="1"/>
  <c r="H224" i="26"/>
  <c r="E294" i="28" s="1"/>
  <c r="G229" i="26"/>
  <c r="J229" i="26" s="1"/>
  <c r="H229" i="26"/>
  <c r="G234" i="26"/>
  <c r="J234" i="26" s="1"/>
  <c r="H234" i="26"/>
  <c r="E299" i="28" s="1"/>
  <c r="G249" i="26"/>
  <c r="J249" i="26" s="1"/>
  <c r="H249" i="26"/>
  <c r="E99" i="28" s="1"/>
  <c r="H259" i="26"/>
  <c r="G259" i="26"/>
  <c r="J259" i="26" s="1"/>
  <c r="K1670" i="21"/>
  <c r="N1670" i="21"/>
  <c r="N1671" i="21"/>
  <c r="K1671" i="21"/>
  <c r="H338" i="2"/>
  <c r="N338" i="2"/>
  <c r="F294" i="28"/>
  <c r="G294" i="28" s="1"/>
  <c r="H343" i="2"/>
  <c r="N343" i="2"/>
  <c r="F169" i="8"/>
  <c r="M296" i="14"/>
  <c r="H289" i="14"/>
  <c r="H296" i="14"/>
  <c r="N296" i="14"/>
  <c r="I21" i="9"/>
  <c r="G21" i="9"/>
  <c r="I20" i="9"/>
  <c r="F126" i="8"/>
  <c r="M126" i="8" s="1"/>
  <c r="M289" i="14"/>
  <c r="N289" i="14" s="1"/>
  <c r="E108" i="2"/>
  <c r="M108" i="2" s="1"/>
  <c r="F163" i="8"/>
  <c r="M163" i="8" s="1"/>
  <c r="M295" i="14"/>
  <c r="H295" i="14"/>
  <c r="N295" i="14"/>
  <c r="H274" i="26"/>
  <c r="G274" i="26"/>
  <c r="J274" i="26" s="1"/>
  <c r="F156" i="8"/>
  <c r="M156" i="8" s="1"/>
  <c r="M261" i="14"/>
  <c r="E342" i="2"/>
  <c r="F187" i="8"/>
  <c r="M187" i="8" s="1"/>
  <c r="M266" i="14"/>
  <c r="E112" i="2"/>
  <c r="F193" i="8"/>
  <c r="M193" i="8" s="1"/>
  <c r="O13" i="11"/>
  <c r="M267" i="14"/>
  <c r="F205" i="8"/>
  <c r="M205" i="8" s="1"/>
  <c r="M269" i="14"/>
  <c r="N269" i="14" s="1"/>
  <c r="E362" i="2"/>
  <c r="H259" i="14"/>
  <c r="H261" i="14"/>
  <c r="N261" i="14"/>
  <c r="H266" i="14"/>
  <c r="N266" i="14"/>
  <c r="H112" i="2"/>
  <c r="N112" i="2"/>
  <c r="F144" i="8"/>
  <c r="M144" i="8" s="1"/>
  <c r="E337" i="2"/>
  <c r="M337" i="2" s="1"/>
  <c r="M259" i="14"/>
  <c r="N259" i="14" s="1"/>
  <c r="H260" i="14"/>
  <c r="N267" i="14"/>
  <c r="H267" i="14"/>
  <c r="H269" i="14"/>
  <c r="K42" i="21"/>
  <c r="N42" i="21"/>
  <c r="K43" i="21"/>
  <c r="N43" i="21"/>
  <c r="K44" i="21"/>
  <c r="N44" i="21"/>
  <c r="I45" i="21"/>
  <c r="L20" i="20"/>
  <c r="F150" i="8"/>
  <c r="M260" i="14"/>
  <c r="N260" i="14" s="1"/>
  <c r="K419" i="21"/>
  <c r="N419" i="21"/>
  <c r="K420" i="21"/>
  <c r="N420" i="21"/>
  <c r="K421" i="21"/>
  <c r="N421" i="21"/>
  <c r="K424" i="21"/>
  <c r="N424" i="21"/>
  <c r="N437" i="21"/>
  <c r="K437" i="21"/>
  <c r="N438" i="21"/>
  <c r="K438" i="21"/>
  <c r="N439" i="21"/>
  <c r="K439" i="21"/>
  <c r="I440" i="21"/>
  <c r="M43" i="20"/>
  <c r="K442" i="21"/>
  <c r="N442" i="21"/>
  <c r="G223" i="26"/>
  <c r="J223" i="26" s="1"/>
  <c r="H223" i="26"/>
  <c r="E293" i="28" s="1"/>
  <c r="G228" i="26"/>
  <c r="J228" i="26" s="1"/>
  <c r="H228" i="26"/>
  <c r="G233" i="26"/>
  <c r="J233" i="26" s="1"/>
  <c r="H233" i="26"/>
  <c r="E298" i="28" s="1"/>
  <c r="G248" i="26"/>
  <c r="J248" i="26" s="1"/>
  <c r="H248" i="26"/>
  <c r="E98" i="28" s="1"/>
  <c r="H258" i="26"/>
  <c r="G258" i="26"/>
  <c r="J258" i="26" s="1"/>
  <c r="H337" i="2"/>
  <c r="N337" i="2"/>
  <c r="F293" i="28"/>
  <c r="G293" i="28" s="1"/>
  <c r="H342" i="2"/>
  <c r="N342" i="2"/>
  <c r="F21" i="9"/>
  <c r="F125" i="8"/>
  <c r="E107" i="2"/>
  <c r="M107" i="2" s="1"/>
  <c r="M256" i="14"/>
  <c r="M263" i="14"/>
  <c r="F168" i="8"/>
  <c r="H256" i="14"/>
  <c r="N256" i="14"/>
  <c r="H263" i="14"/>
  <c r="N263" i="14"/>
  <c r="H262" i="14"/>
  <c r="F162" i="8"/>
  <c r="M262" i="14"/>
  <c r="N262" i="14" s="1"/>
  <c r="G273" i="26"/>
  <c r="J273" i="26" s="1"/>
  <c r="H273" i="26"/>
  <c r="F143" i="8"/>
  <c r="M226" i="14"/>
  <c r="E336" i="2"/>
  <c r="M336" i="2" s="1"/>
  <c r="M228" i="14"/>
  <c r="F155" i="8"/>
  <c r="E341" i="2"/>
  <c r="F192" i="8"/>
  <c r="O12" i="11"/>
  <c r="M234" i="14"/>
  <c r="M227" i="14"/>
  <c r="F149" i="8"/>
  <c r="M236" i="14"/>
  <c r="E361" i="2"/>
  <c r="M361" i="2" s="1"/>
  <c r="F204" i="8"/>
  <c r="H227" i="14"/>
  <c r="N227" i="14"/>
  <c r="H233" i="14"/>
  <c r="N236" i="14"/>
  <c r="H236" i="14"/>
  <c r="E111" i="2"/>
  <c r="M111" i="2" s="1"/>
  <c r="F186" i="8"/>
  <c r="M233" i="14"/>
  <c r="N233" i="14" s="1"/>
  <c r="H226" i="14"/>
  <c r="N226" i="14"/>
  <c r="H228" i="14"/>
  <c r="N228" i="14"/>
  <c r="N234" i="14"/>
  <c r="H234" i="14"/>
  <c r="K413" i="21"/>
  <c r="N413" i="21"/>
  <c r="K414" i="21"/>
  <c r="N414" i="21"/>
  <c r="K415" i="21"/>
  <c r="N415" i="21"/>
  <c r="K418" i="21"/>
  <c r="N418" i="21"/>
  <c r="F97" i="28"/>
  <c r="G97" i="28" s="1"/>
  <c r="N111" i="2"/>
  <c r="H111" i="2"/>
  <c r="N1681" i="21"/>
  <c r="K1681" i="21"/>
  <c r="K1683" i="21"/>
  <c r="N1683" i="21"/>
  <c r="K1667" i="21"/>
  <c r="N1667" i="21"/>
  <c r="K1682" i="21"/>
  <c r="N1682" i="21"/>
  <c r="G222" i="26"/>
  <c r="J222" i="26" s="1"/>
  <c r="H222" i="26"/>
  <c r="E292" i="28" s="1"/>
  <c r="G227" i="26"/>
  <c r="J227" i="26" s="1"/>
  <c r="H227" i="26"/>
  <c r="G232" i="26"/>
  <c r="J232" i="26" s="1"/>
  <c r="H232" i="26"/>
  <c r="E297" i="28" s="1"/>
  <c r="G247" i="26"/>
  <c r="J247" i="26" s="1"/>
  <c r="H247" i="26"/>
  <c r="E97" i="28" s="1"/>
  <c r="H257" i="26"/>
  <c r="G257" i="26"/>
  <c r="J257" i="26" s="1"/>
  <c r="K1666" i="21"/>
  <c r="N1666" i="21"/>
  <c r="N1668" i="21"/>
  <c r="K1668" i="21"/>
  <c r="K1669" i="21"/>
  <c r="N1669" i="21"/>
  <c r="H336" i="2"/>
  <c r="N336" i="2"/>
  <c r="F292" i="28"/>
  <c r="G292" i="28" s="1"/>
  <c r="H341" i="2"/>
  <c r="N341" i="2"/>
  <c r="M230" i="14"/>
  <c r="F167" i="8"/>
  <c r="H223" i="14"/>
  <c r="H230" i="14"/>
  <c r="N230" i="14"/>
  <c r="E21" i="9"/>
  <c r="F124" i="8"/>
  <c r="E106" i="2"/>
  <c r="M106" i="2" s="1"/>
  <c r="M223" i="14"/>
  <c r="N223" i="14" s="1"/>
  <c r="F161" i="8"/>
  <c r="M229" i="14"/>
  <c r="H229" i="14"/>
  <c r="N229" i="14"/>
  <c r="H272" i="26"/>
  <c r="G272" i="26"/>
  <c r="J272" i="26" s="1"/>
  <c r="M200" i="14"/>
  <c r="F185" i="8"/>
  <c r="E110" i="2"/>
  <c r="M110" i="2" s="1"/>
  <c r="M193" i="14"/>
  <c r="E335" i="2"/>
  <c r="M335" i="2" s="1"/>
  <c r="F142" i="8"/>
  <c r="H193" i="14"/>
  <c r="N193" i="14"/>
  <c r="E340" i="2"/>
  <c r="F154" i="8"/>
  <c r="M195" i="14"/>
  <c r="F191" i="8"/>
  <c r="O11" i="11"/>
  <c r="M201" i="14"/>
  <c r="F203" i="8"/>
  <c r="M203" i="14"/>
  <c r="E360" i="2"/>
  <c r="M360" i="2" s="1"/>
  <c r="H194" i="14"/>
  <c r="H195" i="14"/>
  <c r="N195" i="14"/>
  <c r="H200" i="14"/>
  <c r="N200" i="14"/>
  <c r="N201" i="14"/>
  <c r="H201" i="14"/>
  <c r="N203" i="14"/>
  <c r="H203" i="14"/>
  <c r="H110" i="2"/>
  <c r="F96" i="28"/>
  <c r="G96" i="28" s="1"/>
  <c r="N110" i="2"/>
  <c r="K407" i="21"/>
  <c r="N407" i="21"/>
  <c r="K408" i="21"/>
  <c r="N408" i="21"/>
  <c r="K409" i="21"/>
  <c r="N409" i="21"/>
  <c r="K412" i="21"/>
  <c r="N412" i="21"/>
  <c r="K1680" i="21"/>
  <c r="N1680" i="21"/>
  <c r="N1664" i="21"/>
  <c r="K1664" i="21"/>
  <c r="N1665" i="21"/>
  <c r="K1665" i="21"/>
  <c r="K1678" i="21"/>
  <c r="N1678" i="21"/>
  <c r="G221" i="26"/>
  <c r="J221" i="26" s="1"/>
  <c r="H221" i="26"/>
  <c r="E291" i="28" s="1"/>
  <c r="G226" i="26"/>
  <c r="J226" i="26" s="1"/>
  <c r="H226" i="26"/>
  <c r="G231" i="26"/>
  <c r="J231" i="26" s="1"/>
  <c r="H231" i="26"/>
  <c r="E296" i="28" s="1"/>
  <c r="G246" i="26"/>
  <c r="J246" i="26" s="1"/>
  <c r="H246" i="26"/>
  <c r="E96" i="28" s="1"/>
  <c r="H256" i="26"/>
  <c r="G256" i="26"/>
  <c r="J256" i="26" s="1"/>
  <c r="F148" i="8"/>
  <c r="M194" i="14"/>
  <c r="N194" i="14" s="1"/>
  <c r="N1662" i="21"/>
  <c r="K1662" i="21"/>
  <c r="K1663" i="21"/>
  <c r="N1663" i="21"/>
  <c r="K1679" i="21"/>
  <c r="N1679" i="21"/>
  <c r="H335" i="2"/>
  <c r="N335" i="2"/>
  <c r="F291" i="28"/>
  <c r="G291" i="28" s="1"/>
  <c r="H340" i="2"/>
  <c r="N340" i="2"/>
  <c r="F166" i="8"/>
  <c r="M197" i="14"/>
  <c r="H190" i="14"/>
  <c r="H197" i="14"/>
  <c r="N197" i="14"/>
  <c r="D21" i="9"/>
  <c r="E105" i="2"/>
  <c r="M105" i="2" s="1"/>
  <c r="F123" i="8"/>
  <c r="M190" i="14"/>
  <c r="N190" i="14" s="1"/>
  <c r="D20" i="9" s="1"/>
  <c r="F160" i="8"/>
  <c r="M196" i="14"/>
  <c r="H196" i="14"/>
  <c r="N196" i="14"/>
  <c r="G271" i="26"/>
  <c r="J271" i="26" s="1"/>
  <c r="H271" i="26"/>
  <c r="E59" i="2"/>
  <c r="M59" i="2" s="1"/>
  <c r="E146" i="8"/>
  <c r="M160" i="14"/>
  <c r="E152" i="8"/>
  <c r="M161" i="14"/>
  <c r="E279" i="2"/>
  <c r="M279" i="2" s="1"/>
  <c r="E158" i="8"/>
  <c r="M162" i="14"/>
  <c r="E64" i="2"/>
  <c r="M64" i="2" s="1"/>
  <c r="E189" i="8"/>
  <c r="J9" i="9"/>
  <c r="M167" i="14"/>
  <c r="E289" i="2"/>
  <c r="M289" i="2" s="1"/>
  <c r="O10" i="11"/>
  <c r="E69" i="2"/>
  <c r="M69" i="2" s="1"/>
  <c r="E195" i="8"/>
  <c r="M168" i="14"/>
  <c r="E207" i="8"/>
  <c r="M170" i="14"/>
  <c r="H59" i="2"/>
  <c r="F50" i="28"/>
  <c r="G50" i="28" s="1"/>
  <c r="N59" i="2"/>
  <c r="H161" i="14"/>
  <c r="N161" i="14"/>
  <c r="N168" i="14"/>
  <c r="H168" i="14"/>
  <c r="N170" i="14"/>
  <c r="H170" i="14"/>
  <c r="H160" i="14"/>
  <c r="N160" i="14"/>
  <c r="H162" i="14"/>
  <c r="N162" i="14"/>
  <c r="H167" i="14"/>
  <c r="N167" i="14"/>
  <c r="N69" i="2"/>
  <c r="H69" i="2"/>
  <c r="F60" i="28"/>
  <c r="G60" i="28" s="1"/>
  <c r="G90" i="26"/>
  <c r="J90" i="26" s="1"/>
  <c r="H90" i="26"/>
  <c r="G95" i="26"/>
  <c r="J95" i="26" s="1"/>
  <c r="H95" i="26"/>
  <c r="G100" i="26"/>
  <c r="J100" i="26" s="1"/>
  <c r="H100" i="26"/>
  <c r="G115" i="26"/>
  <c r="J115" i="26" s="1"/>
  <c r="H115" i="26"/>
  <c r="G125" i="26"/>
  <c r="J125" i="26" s="1"/>
  <c r="H125" i="26"/>
  <c r="F55" i="28"/>
  <c r="G55" i="28" s="1"/>
  <c r="H64" i="2"/>
  <c r="N64" i="2"/>
  <c r="H289" i="2"/>
  <c r="N289" i="2"/>
  <c r="F255" i="28"/>
  <c r="G255" i="28" s="1"/>
  <c r="J12" i="9"/>
  <c r="H12" i="9"/>
  <c r="J11" i="9"/>
  <c r="E49" i="2"/>
  <c r="M49" i="2" s="1"/>
  <c r="M157" i="14"/>
  <c r="E127" i="8"/>
  <c r="E170" i="8"/>
  <c r="M164" i="14"/>
  <c r="H157" i="14"/>
  <c r="N157" i="14"/>
  <c r="H164" i="14"/>
  <c r="N164" i="14"/>
  <c r="F40" i="28"/>
  <c r="G40" i="28" s="1"/>
  <c r="H49" i="2"/>
  <c r="N49" i="2"/>
  <c r="H279" i="2"/>
  <c r="N279" i="2"/>
  <c r="F245" i="28"/>
  <c r="G245" i="28" s="1"/>
  <c r="M163" i="14"/>
  <c r="E164" i="8"/>
  <c r="H163" i="14"/>
  <c r="N163" i="14"/>
  <c r="H19" i="27"/>
  <c r="M19" i="27"/>
  <c r="E40" i="28"/>
  <c r="H21" i="27"/>
  <c r="M21" i="27"/>
  <c r="H25" i="27"/>
  <c r="M25" i="27"/>
  <c r="H26" i="27"/>
  <c r="M26" i="27"/>
  <c r="E145" i="8"/>
  <c r="M127" i="14"/>
  <c r="E58" i="2"/>
  <c r="M58" i="2" s="1"/>
  <c r="E151" i="8"/>
  <c r="M128" i="14"/>
  <c r="E278" i="2"/>
  <c r="M278" i="2" s="1"/>
  <c r="M129" i="14"/>
  <c r="E157" i="8"/>
  <c r="E63" i="2"/>
  <c r="M63" i="2" s="1"/>
  <c r="E188" i="8"/>
  <c r="I9" i="9"/>
  <c r="M134" i="14"/>
  <c r="E288" i="2"/>
  <c r="E194" i="8"/>
  <c r="O9" i="11"/>
  <c r="M135" i="14"/>
  <c r="E68" i="2"/>
  <c r="M68" i="2" s="1"/>
  <c r="E206" i="8"/>
  <c r="M137" i="14"/>
  <c r="E547" i="2"/>
  <c r="M547" i="2" s="1"/>
  <c r="H127" i="14"/>
  <c r="N127" i="14"/>
  <c r="H128" i="14"/>
  <c r="N128" i="14"/>
  <c r="H129" i="14"/>
  <c r="N129" i="14"/>
  <c r="H134" i="14"/>
  <c r="N134" i="14"/>
  <c r="N135" i="14"/>
  <c r="H135" i="14"/>
  <c r="N137" i="14"/>
  <c r="H137" i="14"/>
  <c r="H63" i="2"/>
  <c r="F54" i="28"/>
  <c r="G54" i="28" s="1"/>
  <c r="N63" i="2"/>
  <c r="K402" i="21"/>
  <c r="N402" i="21"/>
  <c r="K403" i="21"/>
  <c r="N403" i="21"/>
  <c r="K404" i="21"/>
  <c r="N404" i="21"/>
  <c r="I405" i="21"/>
  <c r="L37" i="20"/>
  <c r="K406" i="21"/>
  <c r="N406" i="21"/>
  <c r="G89" i="26"/>
  <c r="J89" i="26" s="1"/>
  <c r="H89" i="26"/>
  <c r="G94" i="26"/>
  <c r="J94" i="26" s="1"/>
  <c r="H94" i="26"/>
  <c r="G99" i="26"/>
  <c r="J99" i="26" s="1"/>
  <c r="H99" i="26"/>
  <c r="G114" i="26"/>
  <c r="J114" i="26" s="1"/>
  <c r="H114" i="26"/>
  <c r="G124" i="26"/>
  <c r="J124" i="26" s="1"/>
  <c r="H124" i="26"/>
  <c r="F59" i="28"/>
  <c r="G59" i="28" s="1"/>
  <c r="N68" i="2"/>
  <c r="H68" i="2"/>
  <c r="N58" i="2"/>
  <c r="H58" i="2"/>
  <c r="F49" i="28"/>
  <c r="G49" i="28" s="1"/>
  <c r="H288" i="2"/>
  <c r="N288" i="2"/>
  <c r="H547" i="2"/>
  <c r="N547" i="2"/>
  <c r="I11" i="9"/>
  <c r="I12" i="9"/>
  <c r="G12" i="9"/>
  <c r="M124" i="14"/>
  <c r="E48" i="2"/>
  <c r="M48" i="2" s="1"/>
  <c r="E126" i="8"/>
  <c r="E169" i="8"/>
  <c r="M131" i="14"/>
  <c r="H124" i="14"/>
  <c r="N124" i="14"/>
  <c r="H131" i="14"/>
  <c r="N131" i="14"/>
  <c r="F39" i="28"/>
  <c r="G39" i="28" s="1"/>
  <c r="H48" i="2"/>
  <c r="N48" i="2"/>
  <c r="H278" i="2"/>
  <c r="N278" i="2"/>
  <c r="F244" i="28"/>
  <c r="G244" i="28" s="1"/>
  <c r="E163" i="8"/>
  <c r="M130" i="14"/>
  <c r="H130" i="14"/>
  <c r="N130" i="14"/>
  <c r="G19" i="27"/>
  <c r="L19" i="27"/>
  <c r="E39" i="28"/>
  <c r="G21" i="27"/>
  <c r="L21" i="27"/>
  <c r="G25" i="27"/>
  <c r="L25" i="27"/>
  <c r="G26" i="27"/>
  <c r="L26" i="27"/>
  <c r="E57" i="2"/>
  <c r="M57" i="2" s="1"/>
  <c r="E144" i="8"/>
  <c r="M94" i="14"/>
  <c r="E150" i="8"/>
  <c r="M95" i="14"/>
  <c r="E277" i="2"/>
  <c r="M277" i="2" s="1"/>
  <c r="E156" i="8"/>
  <c r="M96" i="14"/>
  <c r="E62" i="2"/>
  <c r="M62" i="2" s="1"/>
  <c r="M101" i="14"/>
  <c r="E187" i="8"/>
  <c r="E287" i="2"/>
  <c r="M287" i="2" s="1"/>
  <c r="E193" i="8"/>
  <c r="O8" i="11"/>
  <c r="E67" i="2"/>
  <c r="M67" i="2" s="1"/>
  <c r="M102" i="14"/>
  <c r="E205" i="8"/>
  <c r="M104" i="14"/>
  <c r="E546" i="2"/>
  <c r="M546" i="2" s="1"/>
  <c r="H67" i="2"/>
  <c r="N67" i="2"/>
  <c r="F58" i="28"/>
  <c r="G58" i="28" s="1"/>
  <c r="H94" i="14"/>
  <c r="N94" i="14"/>
  <c r="H95" i="14"/>
  <c r="N95" i="14"/>
  <c r="H96" i="14"/>
  <c r="N96" i="14"/>
  <c r="H101" i="14"/>
  <c r="N101" i="14"/>
  <c r="N104" i="14"/>
  <c r="H104" i="14"/>
  <c r="N102" i="14"/>
  <c r="H102" i="14"/>
  <c r="F48" i="28"/>
  <c r="G48" i="28" s="1"/>
  <c r="H57" i="2"/>
  <c r="N57" i="2"/>
  <c r="F53" i="28"/>
  <c r="G53" i="28" s="1"/>
  <c r="N62" i="2"/>
  <c r="H62" i="2"/>
  <c r="G88" i="26"/>
  <c r="J88" i="26" s="1"/>
  <c r="H88" i="26"/>
  <c r="G93" i="26"/>
  <c r="J93" i="26" s="1"/>
  <c r="H93" i="26"/>
  <c r="G98" i="26"/>
  <c r="J98" i="26" s="1"/>
  <c r="H98" i="26"/>
  <c r="G113" i="26"/>
  <c r="J113" i="26" s="1"/>
  <c r="H113" i="26"/>
  <c r="H123" i="26"/>
  <c r="G123" i="26"/>
  <c r="J123" i="26" s="1"/>
  <c r="H287" i="2"/>
  <c r="N287" i="2"/>
  <c r="F253" i="28"/>
  <c r="G253" i="28" s="1"/>
  <c r="H546" i="2"/>
  <c r="N546" i="2"/>
  <c r="F12" i="9"/>
  <c r="E47" i="2"/>
  <c r="M47" i="2" s="1"/>
  <c r="M91" i="14"/>
  <c r="E125" i="8"/>
  <c r="E168" i="8"/>
  <c r="M98" i="14"/>
  <c r="H91" i="14"/>
  <c r="N91" i="14"/>
  <c r="H98" i="14"/>
  <c r="N98" i="14"/>
  <c r="N47" i="2"/>
  <c r="H47" i="2"/>
  <c r="F38" i="28"/>
  <c r="G38" i="28" s="1"/>
  <c r="H277" i="2"/>
  <c r="N277" i="2"/>
  <c r="F243" i="28"/>
  <c r="G243" i="28" s="1"/>
  <c r="E162" i="8"/>
  <c r="M97" i="14"/>
  <c r="H97" i="14"/>
  <c r="N97" i="14"/>
  <c r="F19" i="27"/>
  <c r="K19" i="27"/>
  <c r="E38" i="28"/>
  <c r="F21" i="27"/>
  <c r="K21" i="27"/>
  <c r="F25" i="27"/>
  <c r="K25" i="27"/>
  <c r="F26" i="27"/>
  <c r="K26" i="27"/>
  <c r="E143" i="8"/>
  <c r="M61" i="14"/>
  <c r="E56" i="2"/>
  <c r="M56" i="2" s="1"/>
  <c r="E149" i="8"/>
  <c r="M62" i="14"/>
  <c r="E276" i="2"/>
  <c r="M276" i="2" s="1"/>
  <c r="E155" i="8"/>
  <c r="M63" i="14"/>
  <c r="E61" i="2"/>
  <c r="M61" i="2" s="1"/>
  <c r="E186" i="8"/>
  <c r="M68" i="14"/>
  <c r="E286" i="2"/>
  <c r="M286" i="2" s="1"/>
  <c r="E192" i="8"/>
  <c r="O7" i="11"/>
  <c r="M69" i="14"/>
  <c r="E66" i="2"/>
  <c r="M66" i="2" s="1"/>
  <c r="M71" i="14"/>
  <c r="E204" i="8"/>
  <c r="E545" i="2"/>
  <c r="M545" i="2" s="1"/>
  <c r="H62" i="14"/>
  <c r="N62" i="14"/>
  <c r="H68" i="14"/>
  <c r="N68" i="14"/>
  <c r="N69" i="14"/>
  <c r="H69" i="14"/>
  <c r="N71" i="14"/>
  <c r="H71" i="14"/>
  <c r="H61" i="14"/>
  <c r="N61" i="14"/>
  <c r="H63" i="14"/>
  <c r="N63" i="14"/>
  <c r="F57" i="28"/>
  <c r="G57" i="28" s="1"/>
  <c r="N66" i="2"/>
  <c r="H66" i="2"/>
  <c r="G87" i="26"/>
  <c r="J87" i="26" s="1"/>
  <c r="H87" i="26"/>
  <c r="G92" i="26"/>
  <c r="J92" i="26" s="1"/>
  <c r="H92" i="26"/>
  <c r="G97" i="26"/>
  <c r="J97" i="26" s="1"/>
  <c r="H97" i="26"/>
  <c r="G112" i="26"/>
  <c r="J112" i="26" s="1"/>
  <c r="H112" i="26"/>
  <c r="H122" i="26"/>
  <c r="G122" i="26"/>
  <c r="J122" i="26" s="1"/>
  <c r="F47" i="28"/>
  <c r="G47" i="28" s="1"/>
  <c r="H56" i="2"/>
  <c r="N56" i="2"/>
  <c r="H61" i="2"/>
  <c r="N61" i="2"/>
  <c r="F52" i="28"/>
  <c r="G52" i="28" s="1"/>
  <c r="H286" i="2"/>
  <c r="N286" i="2"/>
  <c r="F252" i="28"/>
  <c r="G252" i="28" s="1"/>
  <c r="H545" i="2"/>
  <c r="N545" i="2"/>
  <c r="E12" i="9"/>
  <c r="M58" i="14"/>
  <c r="E46" i="2"/>
  <c r="M46" i="2" s="1"/>
  <c r="E124" i="8"/>
  <c r="E167" i="8"/>
  <c r="M65" i="14"/>
  <c r="H58" i="14"/>
  <c r="N58" i="14"/>
  <c r="H65" i="14"/>
  <c r="N65" i="14"/>
  <c r="N46" i="2"/>
  <c r="F37" i="28"/>
  <c r="G37" i="28" s="1"/>
  <c r="H46" i="2"/>
  <c r="H276" i="2"/>
  <c r="N276" i="2"/>
  <c r="F242" i="28"/>
  <c r="G242" i="28" s="1"/>
  <c r="E161" i="8"/>
  <c r="M64" i="14"/>
  <c r="H64" i="14"/>
  <c r="N64" i="14"/>
  <c r="E19" i="27"/>
  <c r="J19" i="27"/>
  <c r="E37" i="28"/>
  <c r="E21" i="27"/>
  <c r="J21" i="27"/>
  <c r="E25" i="27"/>
  <c r="J25" i="27"/>
  <c r="E26" i="27"/>
  <c r="J26" i="27"/>
  <c r="E142" i="8"/>
  <c r="M28" i="14"/>
  <c r="E55" i="2"/>
  <c r="M55" i="2" s="1"/>
  <c r="E148" i="8"/>
  <c r="M29" i="14"/>
  <c r="E275" i="2"/>
  <c r="M275" i="2" s="1"/>
  <c r="E154" i="8"/>
  <c r="E60" i="2"/>
  <c r="M60" i="2" s="1"/>
  <c r="M30" i="14"/>
  <c r="E185" i="8"/>
  <c r="M35" i="14"/>
  <c r="E285" i="2"/>
  <c r="M285" i="2" s="1"/>
  <c r="E191" i="8"/>
  <c r="O6" i="11"/>
  <c r="M36" i="14"/>
  <c r="E65" i="2"/>
  <c r="M65" i="2" s="1"/>
  <c r="E203" i="8"/>
  <c r="M38" i="14"/>
  <c r="E544" i="2"/>
  <c r="M544" i="2" s="1"/>
  <c r="H28" i="14"/>
  <c r="N28" i="14"/>
  <c r="H30" i="14"/>
  <c r="N30" i="14"/>
  <c r="N36" i="14"/>
  <c r="H36" i="14"/>
  <c r="H55" i="2"/>
  <c r="F46" i="28"/>
  <c r="G46" i="28" s="1"/>
  <c r="N55" i="2"/>
  <c r="H29" i="14"/>
  <c r="N29" i="14"/>
  <c r="H35" i="14"/>
  <c r="N35" i="14"/>
  <c r="N38" i="14"/>
  <c r="H38" i="14"/>
  <c r="N65" i="2"/>
  <c r="F56" i="28"/>
  <c r="G56" i="28" s="1"/>
  <c r="H65" i="2"/>
  <c r="G86" i="26"/>
  <c r="J86" i="26" s="1"/>
  <c r="H86" i="26"/>
  <c r="G91" i="26"/>
  <c r="J91" i="26" s="1"/>
  <c r="H91" i="26"/>
  <c r="G96" i="26"/>
  <c r="J96" i="26" s="1"/>
  <c r="H96" i="26"/>
  <c r="G111" i="26"/>
  <c r="J111" i="26" s="1"/>
  <c r="H111" i="26"/>
  <c r="H121" i="26"/>
  <c r="G121" i="26"/>
  <c r="J121" i="26" s="1"/>
  <c r="F51" i="28"/>
  <c r="G51" i="28" s="1"/>
  <c r="N60" i="2"/>
  <c r="H60" i="2"/>
  <c r="H285" i="2"/>
  <c r="N285" i="2"/>
  <c r="F251" i="28"/>
  <c r="G251" i="28" s="1"/>
  <c r="H544" i="2"/>
  <c r="N544" i="2"/>
  <c r="D12" i="9"/>
  <c r="E45" i="2"/>
  <c r="M45" i="2" s="1"/>
  <c r="M25" i="14"/>
  <c r="E123" i="8"/>
  <c r="E166" i="8"/>
  <c r="M32" i="14"/>
  <c r="H25" i="14"/>
  <c r="N25" i="14"/>
  <c r="N45" i="2"/>
  <c r="F36" i="28"/>
  <c r="G36" i="28" s="1"/>
  <c r="H45" i="2"/>
  <c r="H32" i="14"/>
  <c r="N32" i="14"/>
  <c r="H275" i="2"/>
  <c r="N275" i="2"/>
  <c r="F241" i="28"/>
  <c r="G241" i="28" s="1"/>
  <c r="E160" i="8"/>
  <c r="M31" i="14"/>
  <c r="H31" i="14"/>
  <c r="N31" i="14"/>
  <c r="D19" i="27"/>
  <c r="I19" i="27"/>
  <c r="E36" i="28"/>
  <c r="D21" i="27"/>
  <c r="I21" i="27"/>
  <c r="D25" i="27"/>
  <c r="I25" i="27"/>
  <c r="D26" i="27"/>
  <c r="I26" i="27"/>
  <c r="H32" i="27"/>
  <c r="M32" i="27"/>
  <c r="F32" i="27"/>
  <c r="K32" i="27"/>
  <c r="E32" i="27"/>
  <c r="J32" i="27"/>
  <c r="D32" i="27"/>
  <c r="I32" i="27"/>
  <c r="R140" i="8"/>
  <c r="H29" i="9" l="1"/>
  <c r="D29" i="9"/>
  <c r="M189" i="8"/>
  <c r="M195" i="8"/>
  <c r="M152" i="8"/>
  <c r="M158" i="8"/>
  <c r="H20" i="9"/>
  <c r="G20" i="9"/>
  <c r="F20" i="9"/>
  <c r="M150" i="8"/>
  <c r="E20" i="9"/>
  <c r="H11" i="9"/>
  <c r="G11" i="9"/>
  <c r="H51" i="18"/>
  <c r="G32" i="27"/>
  <c r="L32" i="27"/>
  <c r="M244" i="2"/>
  <c r="E36" i="20"/>
  <c r="F36" i="20" s="1"/>
  <c r="F47" i="9"/>
  <c r="E47" i="9"/>
  <c r="N36" i="20"/>
  <c r="F220" i="28"/>
  <c r="G220" i="28" s="1"/>
  <c r="N384" i="21"/>
  <c r="O36" i="20" s="1"/>
  <c r="K384" i="21"/>
  <c r="E19" i="32"/>
  <c r="E220" i="28"/>
  <c r="H19" i="32"/>
  <c r="J665" i="26"/>
  <c r="M229" i="2"/>
  <c r="E31" i="20"/>
  <c r="F31" i="20" s="1"/>
  <c r="K282" i="21"/>
  <c r="N282" i="21"/>
  <c r="O31" i="20" s="1"/>
  <c r="F205" i="28"/>
  <c r="G205" i="28" s="1"/>
  <c r="N31" i="20"/>
  <c r="M243" i="2"/>
  <c r="E35" i="20"/>
  <c r="F35" i="20" s="1"/>
  <c r="N35" i="20"/>
  <c r="F219" i="28"/>
  <c r="G219" i="28" s="1"/>
  <c r="N364" i="21"/>
  <c r="O35" i="20" s="1"/>
  <c r="K364" i="21"/>
  <c r="H18" i="32"/>
  <c r="J664" i="26"/>
  <c r="E18" i="32"/>
  <c r="E219" i="28"/>
  <c r="M242" i="2"/>
  <c r="E34" i="20"/>
  <c r="F34" i="20" s="1"/>
  <c r="N34" i="20"/>
  <c r="F218" i="28"/>
  <c r="G218" i="28" s="1"/>
  <c r="N344" i="21"/>
  <c r="O34" i="20" s="1"/>
  <c r="K344" i="21"/>
  <c r="H17" i="32"/>
  <c r="J663" i="26"/>
  <c r="E17" i="32"/>
  <c r="E218" i="28"/>
  <c r="M241" i="2"/>
  <c r="E33" i="20"/>
  <c r="F33" i="20" s="1"/>
  <c r="N33" i="20"/>
  <c r="F217" i="28"/>
  <c r="G217" i="28" s="1"/>
  <c r="N324" i="21"/>
  <c r="O33" i="20" s="1"/>
  <c r="K324" i="21"/>
  <c r="E16" i="32"/>
  <c r="E217" i="28"/>
  <c r="H16" i="32"/>
  <c r="J662" i="26"/>
  <c r="M240" i="2"/>
  <c r="E32" i="20"/>
  <c r="F32" i="20" s="1"/>
  <c r="N32" i="20"/>
  <c r="F216" i="28"/>
  <c r="G216" i="28" s="1"/>
  <c r="N304" i="21"/>
  <c r="O32" i="20" s="1"/>
  <c r="K304" i="21"/>
  <c r="H15" i="32"/>
  <c r="J661" i="26"/>
  <c r="E15" i="32"/>
  <c r="E216" i="28"/>
  <c r="M344" i="2"/>
  <c r="E42" i="20"/>
  <c r="F42" i="20" s="1"/>
  <c r="M363" i="2"/>
  <c r="E44" i="20"/>
  <c r="F44" i="20" s="1"/>
  <c r="N44" i="20"/>
  <c r="N443" i="21"/>
  <c r="O44" i="20" s="1"/>
  <c r="K443" i="21"/>
  <c r="M343" i="2"/>
  <c r="E41" i="20"/>
  <c r="F41" i="20" s="1"/>
  <c r="M342" i="2"/>
  <c r="E40" i="20"/>
  <c r="F40" i="20" s="1"/>
  <c r="E20" i="20"/>
  <c r="F20" i="20" s="1"/>
  <c r="M112" i="2"/>
  <c r="M362" i="2"/>
  <c r="E43" i="20"/>
  <c r="F43" i="20" s="1"/>
  <c r="K45" i="21"/>
  <c r="N45" i="21"/>
  <c r="O20" i="20" s="1"/>
  <c r="F98" i="28"/>
  <c r="G98" i="28" s="1"/>
  <c r="N20" i="20"/>
  <c r="N43" i="20"/>
  <c r="N440" i="21"/>
  <c r="O43" i="20" s="1"/>
  <c r="K440" i="21"/>
  <c r="M341" i="2"/>
  <c r="E39" i="20"/>
  <c r="F39" i="20" s="1"/>
  <c r="M340" i="2"/>
  <c r="E38" i="20"/>
  <c r="F38" i="20" s="1"/>
  <c r="J146" i="8"/>
  <c r="K146" i="8"/>
  <c r="R146" i="8" s="1"/>
  <c r="L146" i="8"/>
  <c r="P146" i="8" s="1"/>
  <c r="N146" i="8"/>
  <c r="J152" i="8"/>
  <c r="L152" i="8"/>
  <c r="K152" i="8"/>
  <c r="R152" i="8" s="1"/>
  <c r="N152" i="8"/>
  <c r="K158" i="8"/>
  <c r="N158" i="8"/>
  <c r="J158" i="8"/>
  <c r="L158" i="8"/>
  <c r="P158" i="8" s="1"/>
  <c r="K189" i="8"/>
  <c r="J189" i="8"/>
  <c r="L189" i="8"/>
  <c r="P189" i="8" s="1"/>
  <c r="N189" i="8"/>
  <c r="K195" i="8"/>
  <c r="J195" i="8"/>
  <c r="L195" i="8" s="1"/>
  <c r="P195" i="8" s="1"/>
  <c r="N195" i="8"/>
  <c r="K207" i="8"/>
  <c r="J207" i="8"/>
  <c r="L207" i="8" s="1"/>
  <c r="P207" i="8" s="1"/>
  <c r="N207" i="8"/>
  <c r="H22" i="27"/>
  <c r="M22" i="27"/>
  <c r="E50" i="28"/>
  <c r="H23" i="27"/>
  <c r="M23" i="27"/>
  <c r="E245" i="28"/>
  <c r="H24" i="27"/>
  <c r="M24" i="27"/>
  <c r="E55" i="28"/>
  <c r="H27" i="27"/>
  <c r="M27" i="27"/>
  <c r="E255" i="28"/>
  <c r="E60" i="28"/>
  <c r="M29" i="27"/>
  <c r="H29" i="27"/>
  <c r="J127" i="8"/>
  <c r="L127" i="8" s="1"/>
  <c r="K127" i="8"/>
  <c r="N127" i="8"/>
  <c r="K170" i="8"/>
  <c r="J170" i="8"/>
  <c r="L170" i="8"/>
  <c r="P170" i="8" s="1"/>
  <c r="N170" i="8"/>
  <c r="K164" i="8"/>
  <c r="J164" i="8"/>
  <c r="L164" i="8"/>
  <c r="P164" i="8" s="1"/>
  <c r="N164" i="8"/>
  <c r="J145" i="8"/>
  <c r="N145" i="8"/>
  <c r="K145" i="8"/>
  <c r="R145" i="8" s="1"/>
  <c r="L145" i="8"/>
  <c r="P145" i="8" s="1"/>
  <c r="J151" i="8"/>
  <c r="L151" i="8"/>
  <c r="K151" i="8"/>
  <c r="R151" i="8" s="1"/>
  <c r="N151" i="8"/>
  <c r="K157" i="8"/>
  <c r="J157" i="8"/>
  <c r="L157" i="8" s="1"/>
  <c r="P157" i="8" s="1"/>
  <c r="N157" i="8"/>
  <c r="N188" i="8"/>
  <c r="K188" i="8"/>
  <c r="J188" i="8"/>
  <c r="L188" i="8" s="1"/>
  <c r="P188" i="8" s="1"/>
  <c r="M288" i="2"/>
  <c r="E37" i="20"/>
  <c r="F37" i="20" s="1"/>
  <c r="J194" i="8"/>
  <c r="L194" i="8" s="1"/>
  <c r="K194" i="8"/>
  <c r="R194" i="8" s="1"/>
  <c r="N194" i="8"/>
  <c r="K206" i="8"/>
  <c r="J206" i="8"/>
  <c r="L206" i="8" s="1"/>
  <c r="P206" i="8" s="1"/>
  <c r="N206" i="8"/>
  <c r="K405" i="21"/>
  <c r="N405" i="21"/>
  <c r="O37" i="20" s="1"/>
  <c r="F254" i="28"/>
  <c r="G254" i="28" s="1"/>
  <c r="N37" i="20"/>
  <c r="G22" i="27"/>
  <c r="L22" i="27"/>
  <c r="E49" i="28"/>
  <c r="G23" i="27"/>
  <c r="L23" i="27"/>
  <c r="E244" i="28"/>
  <c r="G24" i="27"/>
  <c r="L24" i="27"/>
  <c r="E54" i="28"/>
  <c r="G27" i="27"/>
  <c r="L27" i="27"/>
  <c r="E254" i="28"/>
  <c r="E59" i="28"/>
  <c r="L29" i="27"/>
  <c r="G29" i="27"/>
  <c r="J126" i="8"/>
  <c r="K126" i="8"/>
  <c r="R126" i="8" s="1"/>
  <c r="L126" i="8"/>
  <c r="P126" i="8" s="1"/>
  <c r="N126" i="8"/>
  <c r="K169" i="8"/>
  <c r="J169" i="8"/>
  <c r="L169" i="8" s="1"/>
  <c r="P169" i="8" s="1"/>
  <c r="N169" i="8"/>
  <c r="K163" i="8"/>
  <c r="J163" i="8"/>
  <c r="L163" i="8" s="1"/>
  <c r="P163" i="8" s="1"/>
  <c r="N163" i="8"/>
  <c r="K144" i="8"/>
  <c r="N144" i="8"/>
  <c r="J144" i="8"/>
  <c r="L144" i="8"/>
  <c r="P144" i="8" s="1"/>
  <c r="J150" i="8"/>
  <c r="L150" i="8"/>
  <c r="K150" i="8"/>
  <c r="R150" i="8" s="1"/>
  <c r="N150" i="8"/>
  <c r="K156" i="8"/>
  <c r="J156" i="8"/>
  <c r="L156" i="8" s="1"/>
  <c r="P156" i="8" s="1"/>
  <c r="N156" i="8"/>
  <c r="N187" i="8"/>
  <c r="K187" i="8"/>
  <c r="J187" i="8"/>
  <c r="L187" i="8" s="1"/>
  <c r="P187" i="8" s="1"/>
  <c r="J193" i="8"/>
  <c r="L193" i="8" s="1"/>
  <c r="K193" i="8"/>
  <c r="R193" i="8" s="1"/>
  <c r="N193" i="8"/>
  <c r="K205" i="8"/>
  <c r="N205" i="8"/>
  <c r="J205" i="8"/>
  <c r="L205" i="8" s="1"/>
  <c r="P205" i="8" s="1"/>
  <c r="F22" i="27"/>
  <c r="K22" i="27"/>
  <c r="E48" i="28"/>
  <c r="F23" i="27"/>
  <c r="K23" i="27"/>
  <c r="E243" i="28"/>
  <c r="F24" i="27"/>
  <c r="K24" i="27"/>
  <c r="E53" i="28"/>
  <c r="F27" i="27"/>
  <c r="K27" i="27"/>
  <c r="E253" i="28"/>
  <c r="E58" i="28"/>
  <c r="K29" i="27"/>
  <c r="F29" i="27"/>
  <c r="J125" i="8"/>
  <c r="K125" i="8"/>
  <c r="R125" i="8" s="1"/>
  <c r="L125" i="8"/>
  <c r="P125" i="8" s="1"/>
  <c r="N125" i="8"/>
  <c r="J168" i="8"/>
  <c r="L168" i="8" s="1"/>
  <c r="K168" i="8"/>
  <c r="R168" i="8" s="1"/>
  <c r="N168" i="8"/>
  <c r="N162" i="8"/>
  <c r="K162" i="8"/>
  <c r="J162" i="8"/>
  <c r="L162" i="8" s="1"/>
  <c r="P162" i="8" s="1"/>
  <c r="K143" i="8"/>
  <c r="N143" i="8"/>
  <c r="J143" i="8"/>
  <c r="L143" i="8" s="1"/>
  <c r="P143" i="8" s="1"/>
  <c r="J149" i="8"/>
  <c r="L149" i="8" s="1"/>
  <c r="K149" i="8"/>
  <c r="R149" i="8" s="1"/>
  <c r="N149" i="8"/>
  <c r="K155" i="8"/>
  <c r="N155" i="8"/>
  <c r="J155" i="8"/>
  <c r="L155" i="8" s="1"/>
  <c r="P155" i="8" s="1"/>
  <c r="N186" i="8"/>
  <c r="K186" i="8"/>
  <c r="J186" i="8"/>
  <c r="L186" i="8" s="1"/>
  <c r="P186" i="8" s="1"/>
  <c r="K192" i="8"/>
  <c r="N192" i="8"/>
  <c r="J192" i="8"/>
  <c r="L192" i="8" s="1"/>
  <c r="K204" i="8"/>
  <c r="J204" i="8"/>
  <c r="L204" i="8" s="1"/>
  <c r="P204" i="8" s="1"/>
  <c r="N204" i="8"/>
  <c r="E22" i="27"/>
  <c r="J22" i="27"/>
  <c r="E47" i="28"/>
  <c r="E23" i="27"/>
  <c r="J23" i="27"/>
  <c r="E242" i="28"/>
  <c r="E24" i="27"/>
  <c r="J24" i="27"/>
  <c r="E52" i="28"/>
  <c r="E27" i="27"/>
  <c r="J27" i="27"/>
  <c r="E252" i="28"/>
  <c r="E57" i="28"/>
  <c r="J29" i="27"/>
  <c r="E29" i="27"/>
  <c r="J124" i="8"/>
  <c r="L124" i="8" s="1"/>
  <c r="P124" i="8" s="1"/>
  <c r="K124" i="8"/>
  <c r="R124" i="8" s="1"/>
  <c r="N124" i="8"/>
  <c r="J167" i="8"/>
  <c r="L167" i="8" s="1"/>
  <c r="P167" i="8" s="1"/>
  <c r="N167" i="8"/>
  <c r="K167" i="8"/>
  <c r="K161" i="8"/>
  <c r="J161" i="8"/>
  <c r="L161" i="8" s="1"/>
  <c r="P161" i="8" s="1"/>
  <c r="N161" i="8"/>
  <c r="K142" i="8"/>
  <c r="N142" i="8"/>
  <c r="J142" i="8"/>
  <c r="L142" i="8"/>
  <c r="P142" i="8" s="1"/>
  <c r="K148" i="8"/>
  <c r="N148" i="8"/>
  <c r="J148" i="8"/>
  <c r="L148" i="8" s="1"/>
  <c r="P148" i="8" s="1"/>
  <c r="K154" i="8"/>
  <c r="N154" i="8"/>
  <c r="J154" i="8"/>
  <c r="L154" i="8"/>
  <c r="P154" i="8" s="1"/>
  <c r="K185" i="8"/>
  <c r="J185" i="8"/>
  <c r="L185" i="8"/>
  <c r="P185" i="8" s="1"/>
  <c r="N185" i="8"/>
  <c r="K191" i="8"/>
  <c r="J191" i="8"/>
  <c r="L191" i="8" s="1"/>
  <c r="P191" i="8" s="1"/>
  <c r="N191" i="8"/>
  <c r="K203" i="8"/>
  <c r="N203" i="8"/>
  <c r="J203" i="8"/>
  <c r="L203" i="8" s="1"/>
  <c r="P203" i="8" s="1"/>
  <c r="G28" i="18"/>
  <c r="F28" i="18"/>
  <c r="F30" i="18"/>
  <c r="G30" i="18"/>
  <c r="G36" i="18"/>
  <c r="F36" i="18"/>
  <c r="G29" i="18"/>
  <c r="F29" i="18"/>
  <c r="F35" i="18"/>
  <c r="G35" i="18"/>
  <c r="G38" i="18"/>
  <c r="F38" i="18"/>
  <c r="D22" i="27"/>
  <c r="I22" i="27"/>
  <c r="E46" i="28"/>
  <c r="D23" i="27"/>
  <c r="I23" i="27"/>
  <c r="E241" i="28"/>
  <c r="D24" i="27"/>
  <c r="I24" i="27"/>
  <c r="E51" i="28"/>
  <c r="D27" i="27"/>
  <c r="I27" i="27"/>
  <c r="E251" i="28"/>
  <c r="E56" i="28"/>
  <c r="I29" i="27"/>
  <c r="D29" i="27"/>
  <c r="F50" i="9"/>
  <c r="J123" i="8"/>
  <c r="K123" i="8"/>
  <c r="R123" i="8" s="1"/>
  <c r="L123" i="8"/>
  <c r="P123" i="8" s="1"/>
  <c r="N123" i="8"/>
  <c r="K166" i="8"/>
  <c r="N166" i="8"/>
  <c r="J166" i="8"/>
  <c r="L166" i="8" s="1"/>
  <c r="P166" i="8" s="1"/>
  <c r="D11" i="9"/>
  <c r="H42" i="18"/>
  <c r="D51" i="9"/>
  <c r="G25" i="18"/>
  <c r="F25" i="18"/>
  <c r="F32" i="18"/>
  <c r="G32" i="18"/>
  <c r="K160" i="8"/>
  <c r="J160" i="8"/>
  <c r="L160" i="8" s="1"/>
  <c r="P160" i="8" s="1"/>
  <c r="N160" i="8"/>
  <c r="F31" i="18"/>
  <c r="G31" i="18"/>
  <c r="H47" i="9"/>
  <c r="G47" i="9"/>
  <c r="D47" i="9"/>
  <c r="G38" i="9"/>
  <c r="F38" i="9"/>
  <c r="D38" i="9"/>
  <c r="F29" i="9"/>
  <c r="E29" i="9"/>
  <c r="M207" i="8"/>
  <c r="M146" i="8"/>
  <c r="M170" i="8"/>
  <c r="M127" i="8"/>
  <c r="M164" i="8"/>
  <c r="M188" i="8"/>
  <c r="M194" i="8"/>
  <c r="M206" i="8"/>
  <c r="M151" i="8"/>
  <c r="M145" i="8"/>
  <c r="M157" i="8"/>
  <c r="M169" i="8"/>
  <c r="M125" i="8"/>
  <c r="M168" i="8"/>
  <c r="M162" i="8"/>
  <c r="M143" i="8"/>
  <c r="M155" i="8"/>
  <c r="M192" i="8"/>
  <c r="M149" i="8"/>
  <c r="M204" i="8"/>
  <c r="M186" i="8"/>
  <c r="M167" i="8"/>
  <c r="M124" i="8"/>
  <c r="M161" i="8"/>
  <c r="M185" i="8"/>
  <c r="M142" i="8"/>
  <c r="M154" i="8"/>
  <c r="M191" i="8"/>
  <c r="M203" i="8"/>
  <c r="M148" i="8"/>
  <c r="M166" i="8"/>
  <c r="M123" i="8"/>
  <c r="M160" i="8"/>
  <c r="F11" i="9"/>
  <c r="E11" i="9"/>
  <c r="R167" i="8" l="1"/>
  <c r="P127" i="8"/>
  <c r="P151" i="8"/>
  <c r="P194" i="8"/>
  <c r="R192" i="8"/>
  <c r="D50" i="9"/>
  <c r="P152" i="8"/>
  <c r="R158" i="8"/>
  <c r="R189" i="8"/>
  <c r="R195" i="8"/>
  <c r="R207" i="8"/>
  <c r="R127" i="8"/>
  <c r="F51" i="9" s="1"/>
  <c r="R170" i="8"/>
  <c r="R164" i="8"/>
  <c r="R157" i="8"/>
  <c r="R188" i="8"/>
  <c r="R206" i="8"/>
  <c r="R169" i="8"/>
  <c r="R163" i="8"/>
  <c r="R144" i="8"/>
  <c r="P150" i="8"/>
  <c r="R156" i="8"/>
  <c r="R187" i="8"/>
  <c r="P193" i="8"/>
  <c r="R205" i="8"/>
  <c r="P168" i="8"/>
  <c r="R162" i="8"/>
  <c r="R143" i="8"/>
  <c r="P149" i="8"/>
  <c r="R155" i="8"/>
  <c r="R186" i="8"/>
  <c r="P192" i="8"/>
  <c r="R204" i="8"/>
  <c r="R161" i="8"/>
  <c r="R160" i="8"/>
  <c r="R142" i="8"/>
  <c r="R148" i="8"/>
  <c r="R154" i="8"/>
  <c r="R185" i="8"/>
  <c r="R191" i="8"/>
  <c r="R203" i="8"/>
  <c r="R166" i="8"/>
</calcChain>
</file>

<file path=xl/sharedStrings.xml><?xml version="1.0" encoding="utf-8"?>
<sst xmlns="http://schemas.openxmlformats.org/spreadsheetml/2006/main" count="81139" uniqueCount="9421">
  <si>
    <t>544 official-source observations; baseline 44 financial failures and 10 market failures retained in column K. Numeric reproduction and officially disclosed formulas remain distinct.</t>
  </si>
  <si>
    <t>Company</t>
  </si>
  <si>
    <t>Published measure</t>
  </si>
  <si>
    <t>FY</t>
  </si>
  <si>
    <t>Published</t>
  </si>
  <si>
    <t>Standardized</t>
  </si>
  <si>
    <t>Reconstruction</t>
  </si>
  <si>
    <t>Convention tested</t>
  </si>
  <si>
    <t>Numeric comparison</t>
  </si>
  <si>
    <t>Investigation finding</t>
  </si>
  <si>
    <t>Official report / page</t>
  </si>
  <si>
    <t>Prior status</t>
  </si>
  <si>
    <t>Finding category</t>
  </si>
  <si>
    <t>Std minus published</t>
  </si>
  <si>
    <t>Reconstruction minus published</t>
  </si>
  <si>
    <t>Precision</t>
  </si>
  <si>
    <t>Official-glossary diagnostic</t>
  </si>
  <si>
    <t>Diagnostic finding (not a standardized formula)</t>
  </si>
  <si>
    <t>KOHC</t>
  </si>
  <si>
    <t>Current ratio</t>
  </si>
  <si>
    <t>FY2021</t>
  </si>
  <si>
    <t>Standard definition</t>
  </si>
  <si>
    <t>Tested the source-based convention shown in G against official published precision. Unmatched values remain unresolved; neither the standardized method nor the financial inputs were altered to force agreement.</t>
  </si>
  <si>
    <t>FY2025 AR p53 "Key financial data for the last six years" (per-share items split-adjusted 5:1)</t>
  </si>
  <si>
    <t>Agrees (same convention)</t>
  </si>
  <si>
    <t>Source comparison</t>
  </si>
  <si>
    <t>FY2022</t>
  </si>
  <si>
    <t>FY2023</t>
  </si>
  <si>
    <t>FY2024</t>
  </si>
  <si>
    <t>FY2025</t>
  </si>
  <si>
    <t>Quick ratio</t>
  </si>
  <si>
    <t>Inventory turnover</t>
  </si>
  <si>
    <t>Sales / closing stores + stock</t>
  </si>
  <si>
    <t>All five values reproduce using sales / closing total inventory. The class formula remains COGS / average total inventory. This is a mathematical reconstruction using audited inputs; the report does not explicitly state the inventory-turnover formula.</t>
  </si>
  <si>
    <t>Not reproduced</t>
  </si>
  <si>
    <t>Published methodology difference (reconstructed)</t>
  </si>
  <si>
    <t>Days in receivables</t>
  </si>
  <si>
    <t>365 x closing trade debts / sales</t>
  </si>
  <si>
    <t>Reconciled (company convention)</t>
  </si>
  <si>
    <t>Days in payables</t>
  </si>
  <si>
    <t>COGS / closing (trade creditors + contractors bills)</t>
  </si>
  <si>
    <t>Official note 9 lists local creditors, import bills and contractors bills separately. Published series reproduces by including contractors bills and using the closing balance. Standardized supplier-payable measure excludes unallocated contractor/capital balances and uses average opening/closing balances.</t>
  </si>
  <si>
    <t>Cash conversion cycle</t>
  </si>
  <si>
    <t>Company component conventions; independent raw reconstruction</t>
  </si>
  <si>
    <t>See components</t>
  </si>
  <si>
    <t>Total assets turnover</t>
  </si>
  <si>
    <t>Sales / closing assets</t>
  </si>
  <si>
    <t>Fixed assets turnover</t>
  </si>
  <si>
    <t>Sales / closing operating PPE</t>
  </si>
  <si>
    <t>Interest coverage</t>
  </si>
  <si>
    <t>EBIT / all finance cost</t>
  </si>
  <si>
    <t>Gross profit ratio</t>
  </si>
  <si>
    <t>Net profit to sales</t>
  </si>
  <si>
    <t>Return on equity</t>
  </si>
  <si>
    <t>PAT / closing equity</t>
  </si>
  <si>
    <t>Price earning ratio</t>
  </si>
  <si>
    <t>Report price / unrounded report-basis EPS</t>
  </si>
  <si>
    <t>Market recheck</t>
  </si>
  <si>
    <t>Price to book ratio</t>
  </si>
  <si>
    <t>Report price / reported BVPS</t>
  </si>
  <si>
    <t>Official glossary supports investigating tangible ASSETS rather than net book EQUITY. ColumnP tests one consistent diagnostic using the report share basis; it matches FY2024-25 and is five times FY2021-23 printed ratios. Mixed historical split treatment remains inconsistent with the report footnote. No historical PSX price or standardized ratio is adjusted.</t>
  </si>
  <si>
    <t>Published value unresolved</t>
  </si>
  <si>
    <t>Unresolved official market-series inconsistency</t>
  </si>
  <si>
    <t>The official glossary (FY2025 PDF p54) refers to assets less intangibles, rather than equity. This uniform report-price x report-weighted-shares / tangible-assets diagnostic gives about1.15/0.60/0.70/0.82/1.10. FY2021-23 printed ratios are a further division by5; FY2024-25 match this alternative denominator. The glossary omits a per-share conversion and does not specify weighted shares. This is a strong official-source lead, not confirmation of a coherent P/B definition or split basis. Main MTB uses equity and the actual PSX close.</t>
  </si>
  <si>
    <t>Debt : equity (debt share of debt + equity)</t>
  </si>
  <si>
    <t>Interest-bearing debt / (IBD + equity)</t>
  </si>
  <si>
    <t>Company prints debt : equity as whole-percentage shares of debt plus equity (e.g. 21:79); reconstruction is compared at that whole-percentage precision, not at two decimal percentage points.</t>
  </si>
  <si>
    <t>Agrees (company shows whole-number ratio, e.g. 21:79)</t>
  </si>
  <si>
    <t>LUCK</t>
  </si>
  <si>
    <t>COGS / average stores + stock</t>
  </si>
  <si>
    <t>FY2025 AR p166 "Horizontal / key ratio analysis" (per-share split-adjusted to Rs 2 basis)</t>
  </si>
  <si>
    <t>No. of days in receivables</t>
  </si>
  <si>
    <t>365 x average trade debts / sales</t>
  </si>
  <si>
    <t>Agrees within 0.01 (rounding of inputs)</t>
  </si>
  <si>
    <t>No. of days in payables</t>
  </si>
  <si>
    <t>COGS / average total trade AND other payables; rounded turnover before days</t>
  </si>
  <si>
    <t>Report p166 prints both creditor turnover and days. COGS / average TOTAL trade-and-other-payables rounds to the printed turnover; 365 / that rounded turnover reproduces all five days. The published denominator includes accruals and statutory payables that the uniform supplier balance excludes.</t>
  </si>
  <si>
    <t>Sales / closing fixed-assets caption (PPE + intangible assets)</t>
  </si>
  <si>
    <t>Official asset statement groups PPE and intangible assets under Fixed assets. Using that closing subtotal reproduces all five published values, including the former0.01 FY2022/24 gaps. Standardized FAT remains sales / average operating PPE excluding CWIP.</t>
  </si>
  <si>
    <t>Published fixed-asset scope and closing-balance difference</t>
  </si>
  <si>
    <t>(GP - selling - administration) / all finance cost</t>
  </si>
  <si>
    <t>All five published values reproduce using GP less selling and administration divided by all finance cost. The audited income statement separates other expenses/income. Standard TIE remains EBIT (PBT + finance cost) / interest-only expense. Exact reproduction does not establish an expressly disclosed company formula.</t>
  </si>
  <si>
    <t>EPS (FY2025 share basis)</t>
  </si>
  <si>
    <t>PAT / reported-basis weighted shares</t>
  </si>
  <si>
    <t>Report per-share series is split-adjusted. Standard result uses the share basis in force at each year-end. See Share Basis for source conflicts in KOHC FY2024 weighted shares, LUCK FY2023 EPS and FCCL bonus treatment.</t>
  </si>
  <si>
    <t>Explained difference</t>
  </si>
  <si>
    <t>DGKC</t>
  </si>
  <si>
    <t>FY2025 AR p108 "Six years at a glance"</t>
  </si>
  <si>
    <t>Quick / acid test ratio</t>
  </si>
  <si>
    <t>(CA - stores - stock - ADP/other receivables) / all CL</t>
  </si>
  <si>
    <t>All five published quick ratios reproduce after excluding the separately disclosed asset-statement group: loans, advances, deposits, prepayments and other receivables. Official amounts488,566;1,430,613;926,047;160,289;1,345,673 thousand are traced on Input Review. Income-tax receivables and separately presented related-party loans are retained. The standardized formula remains (CA - inventories) / CL for every company.</t>
  </si>
  <si>
    <t>No. of days in inventory (incl. stores and spares)</t>
  </si>
  <si>
    <t>365 x closing total inventory / COGS</t>
  </si>
  <si>
    <t>Average trade AND other payables / COGS x 365 diagnostic (unresolved years)</t>
  </si>
  <si>
    <t>Audited note 12 separates creditors, accruals, contract liabilities, taxes and cess. Average total trade-and-other-payables / COGS matches FY2023 at whole-day precision; other years do not reproduce. Purchases versus COGS and broader creditors were investigated without an officially supported common reconciliation.</t>
  </si>
  <si>
    <t>Unresolved published definition</t>
  </si>
  <si>
    <t>Total assets turnover (based on average total assets)</t>
  </si>
  <si>
    <t>Sales / average assets</t>
  </si>
  <si>
    <t>Sales / average total PPE</t>
  </si>
  <si>
    <t>Interest cover</t>
  </si>
  <si>
    <t>EBITDA / all finance cost</t>
  </si>
  <si>
    <t>Return on equity (average)</t>
  </si>
  <si>
    <t>PAT / average equity</t>
  </si>
  <si>
    <t>Price earnings ratio</t>
  </si>
  <si>
    <t>Dividend yield</t>
  </si>
  <si>
    <t>Report DPS / report price</t>
  </si>
  <si>
    <t>MLCF</t>
  </si>
  <si>
    <t>FY2025 AR p175 "Six years' financial summary / key ratios"</t>
  </si>
  <si>
    <t>No. of days in inventory (stock-in-trade)</t>
  </si>
  <si>
    <t>365 x average stock-in-trade / COGS</t>
  </si>
  <si>
    <t>Official historical-series conflict / definition difference</t>
  </si>
  <si>
    <t>No. of days in creditors</t>
  </si>
  <si>
    <t>365 x average trade creditors + import bills / COGS; excludes separately reported related supplier (company diagnostic)</t>
  </si>
  <si>
    <t>Sales / closing total PPE</t>
  </si>
  <si>
    <t>FCCL</t>
  </si>
  <si>
    <t>Interest cover ratio</t>
  </si>
  <si>
    <t>FY2021/22 reproduce EBIT / total finance cost at printed whole-number precision. FY2023/24 reproduce EBIT / bank interest, excluding lease/WPPF interest. FY2025 gives 4.8346 versus published 4.84, a remaining 0.01 rounding inconsistency; no denominator adjustment invented.</t>
  </si>
  <si>
    <t>FY2025 AR p216 "Six years at a glance"</t>
  </si>
  <si>
    <t>Published methodology difference; FY2025 rounding unresolved</t>
  </si>
  <si>
    <t>EBIT / bank interest only, excludes WPPF and leases</t>
  </si>
  <si>
    <t>Break-up value per share</t>
  </si>
  <si>
    <t>Equity / issued shares, converted to report split basis</t>
  </si>
  <si>
    <t>Earnings per share</t>
  </si>
  <si>
    <t>All five fail printed year-end price divided by audited EPS, including unrounded EPS. FY2021–25 implied prices (published P/E x printed EPS) are about 20.06,18.12,12.39,17.62,36.33, versus PSX 23.00,14.17,11.76,22.91,44.67. No disclosed price date or averaging rule supports substitution. Official PSX prices retained.</t>
  </si>
  <si>
    <t>Dividend payout ratio</t>
  </si>
  <si>
    <t>Report DPS / unrounded report-basis EPS</t>
  </si>
  <si>
    <t>Debt to equity ratio - as per books</t>
  </si>
  <si>
    <t>Gross bank long-term loans before deferred-grant discount / equity</t>
  </si>
  <si>
    <t>Standardized D/E uses TOTAL LIABILITIES / EQUITY for every company. Published financing-only or debt-share series is reconstructed separately. Deferred-grant gross-up is confined to FCCL published-convention reconstruction.</t>
  </si>
  <si>
    <t>Receivables turnover</t>
  </si>
  <si>
    <t>Sales / closing trade debts</t>
  </si>
  <si>
    <t>FY2025 AR PDF p53</t>
  </si>
  <si>
    <t>Added source comparison</t>
  </si>
  <si>
    <t>Payables turnover</t>
  </si>
  <si>
    <t>Days inventory outstanding</t>
  </si>
  <si>
    <t>365 x closing inventory / sales</t>
  </si>
  <si>
    <t>Return on assets</t>
  </si>
  <si>
    <t>EBIT / closing total assets (KOHC report glossary)</t>
  </si>
  <si>
    <t>Published ROA uses EBIT rather than PAT and closing assets; uniform course ROA remains PAT / average assets.</t>
  </si>
  <si>
    <t>Book value per share (Rs)</t>
  </si>
  <si>
    <t>Equity / report-basis weighted-average shares</t>
  </si>
  <si>
    <t>All five published BVPS values reconstruct using the report-basis weighted share denominator also disclosed with EPS. The company does not expressly disclose this BVPS denominator convention. Uniform BVPS uses net year-end outstanding shares, preserving compatible PSX price bases; no main denominator changed.</t>
  </si>
  <si>
    <t>Published weighted-share convention (numerically reconstructed)</t>
  </si>
  <si>
    <t>Earnings per share (Rs)</t>
  </si>
  <si>
    <t>FY2025 AR PDF p166</t>
  </si>
  <si>
    <t>Cash ratio</t>
  </si>
  <si>
    <t>Cash and cash equivalents per audited cash-flow note / CL</t>
  </si>
  <si>
    <t>Cash-flow notes include qualifying investments and reflect restricted balances/running finance. All five reproduce. Main cash ratio consistently uses the expressly stated cash-and-bank-only definition, with investments excluded.</t>
  </si>
  <si>
    <t>Sales / average trade debts</t>
  </si>
  <si>
    <t>365 / rounded inventory turnover</t>
  </si>
  <si>
    <t>Cash conversion cycle (days)</t>
  </si>
  <si>
    <t>Debt-to-equity</t>
  </si>
  <si>
    <t>Gross long-term financing before deferred grant / closing equity</t>
  </si>
  <si>
    <t>Official long-term-financing note separates carrying loan balance and deferred government grant. Gross long-term borrowing / equity reproduces the financing-only series. Uniform D/E remains total liabilities / equity.</t>
  </si>
  <si>
    <t>Gross profit margin</t>
  </si>
  <si>
    <t>Net profit margin</t>
  </si>
  <si>
    <t>PAT / closing equity diagnostic</t>
  </si>
  <si>
    <t>The same p166 table reports a separate return on shareholder funds (12.43%,11.90%,9.99%,19.02%,18.81%), which reproduces PAT / closing equity more closely than its ROE series (12.38%,11.93%,10.18%,18.93%,18.50%). Average-equity and consolidated/standalone hypotheses checked; no disclosed common ROE denominator identified.</t>
  </si>
  <si>
    <t>Unresolved published ROE definition</t>
  </si>
  <si>
    <t>Equity / issued shares including treasury held for cancellation; report split basis</t>
  </si>
  <si>
    <t>FY2024 note19 PDF p260 distinguishes cancelled shares from1,536,361 FY2023 treasury shares held for cancellation. Adding this issued treasury block to net outstanding shares reproduces FY2023 published BVPS87.67; all five years agree. Main BVPS continues to exclude treasury shares.</t>
  </si>
  <si>
    <t>Published issued-share rather than treasury-net basis</t>
  </si>
  <si>
    <t>Market-to-book ratio</t>
  </si>
  <si>
    <t>Published report price or DPS / printed summary EPS</t>
  </si>
  <si>
    <t>Company summary uses its printed EPS. FY2023 summary EPS8.49 conflicts with own-year audited EPS43.06/5=8.612. Reconstruction of the summary does not resolve that EPS source conflict; standardized financial and share basis retained.</t>
  </si>
  <si>
    <t>Cash and bank / CL</t>
  </si>
  <si>
    <t>FY2022–25 published values reproduce using cash/bank only. FY2021 changes from 0.02 in its own report to 0.33 in later six-year summaries, while source cash/bank stays unchanged. Inclusion of liquid investments is a hypothesis; no official consistent revised numerator disclosed.</t>
  </si>
  <si>
    <t>FY2025 AR PDF p108</t>
  </si>
  <si>
    <t>Official historical-series conflict (FY2021)</t>
  </si>
  <si>
    <t>Company financing-only definition; differs from total liabilities / equity</t>
  </si>
  <si>
    <t>Printed payout is a whole percentage (12%, 15%, 10%); reconstruction is tested at that precision.</t>
  </si>
  <si>
    <t>FY2025 AR PDF p175</t>
  </si>
  <si>
    <t>COGS / average stock-in-trade</t>
  </si>
  <si>
    <t>COGS / average trade creditors + import bills, excludes separately reported related supplier (company diagnostic)</t>
  </si>
  <si>
    <t>Gross long-term bank/subsidiary financing and leases / (same debt + equity)</t>
  </si>
  <si>
    <t>Official financing/lease/grant notes support gross long-term financing and lease balances. Published ratio is a whole-percentage debt share of capital, not total liabilities / equity. Standardized D/E unchanged.</t>
  </si>
  <si>
    <t>FY2021/22 own-year audited gross margins are 20.83%/25.30%; latest six-year table shows 22.36%/26.74%. Later audited FY2023 cost-to-distribution reclassification is supported, but no revised FY2021/22 audited cost-of-sales statement was provided. Main inputs retain the audited statements; historical summary revision unresolved.</t>
  </si>
  <si>
    <t>Official historical gross-margin conflict</t>
  </si>
  <si>
    <t>Uniform BVPS uses net year-end outstanding shares. Report summary may use issued rather than treasury-net shares, or weighted shares: KOHC FY2024/25 and MLCF FY2024 values are closer to weighted denominators; LUCK FY2023 is closer to issued shares before1.536361m treasury exclusion (FY2024 note19 PDF p260). These numerical explanations are supported by official share counts but not by an expressly disclosed BVPS denominator. No company-specific denominator substituted in main model.</t>
  </si>
  <si>
    <t>Per-share denominator convention / official conflict</t>
  </si>
  <si>
    <t>Current or quick assets / (CL excluding parent loan)</t>
  </si>
  <si>
    <t>Official parent-loan note makes loan payable on demand subject to lenders consent. Published liquidity excludes the separately disclosed parent loan, whereas the uniform method uses ALL audited current liabilities, including on-demand parent financing.</t>
  </si>
  <si>
    <t>FY2025 AR PDF p214</t>
  </si>
  <si>
    <t>Cash plus short-term investments / CL (diagnostic)</t>
  </si>
  <si>
    <t>Average stock-in-trade / own-year audited COGS x365</t>
  </si>
  <si>
    <t>Using original FY2022 audited COGS39,843.851m (preserved in the restatement register E132), rather than later restated38,779.542m, reproduces22 whole days. Official reclassification shifted1,064.309m from COGS to distribution. The company inventory-days series appears unrevised; standardized calculations retain the latest audited COGS consistently.</t>
  </si>
  <si>
    <t>Published own-year versus restated cost basis (reconstructed)</t>
  </si>
  <si>
    <t>Days sales outstanding</t>
  </si>
  <si>
    <t>Tested closing versus average audited balances, narrow trade creditors versus total trade-and-other-payables, and sales/COGS bases. Company does not disclose a common component formula that reproduces the whole series. Audited net receivables and operating supplier balances remain in uniform calculations; no hardcoded adjustment.</t>
  </si>
  <si>
    <t>Unresolved published component definition</t>
  </si>
  <si>
    <t>Days payables outstanding</t>
  </si>
  <si>
    <t>365 x average trade AND other payables / COGS diagnostic</t>
  </si>
  <si>
    <t>Operating cycle (days)</t>
  </si>
  <si>
    <t>Sum of published DIO + DSO + DPO; source-component identity only</t>
  </si>
  <si>
    <t>Four of five published cycles equal displayed DIO + DSO + DPO (adding, not subtracting, payables). FY2023 displayed components sum89 days versus reported90; rounding of hidden components is possible but unverified. Underlying company components remain separately investigated. Standard operating cycle is DIO + DSO.</t>
  </si>
  <si>
    <t>Published cycle definition differs (adds payables)</t>
  </si>
  <si>
    <t>Total asset turnover</t>
  </si>
  <si>
    <t>Published FY2022–25 turnovers are inconsistent with annual net revenue divided by audited closing or average total/PPE assets. No official monthly/quarterly scaling convention is disclosed. Standard annual-flow / average-asset calculation retained. Same-report DuPont analysis at PDF p212 explicitly prints turnover of 48%,49%,54%,55% for FY2022–25, consistent with sales / closing assets, contradicting p214/p215 totals of 0.08/0.07/0.07/0.08. This confirms an official within-report series inconsistency.</t>
  </si>
  <si>
    <t>Confirmed official within-report inconsistency</t>
  </si>
  <si>
    <t>Fixed asset turnover</t>
  </si>
  <si>
    <t>FY2025 AR PDF p216</t>
  </si>
  <si>
    <t>Net working capital (PKR m)</t>
  </si>
  <si>
    <t>Audited current assets minus all current liabilities</t>
  </si>
  <si>
    <t>Official capital-employed reconciliation (PKR thousands) converted to PKR million. Reproduces standardized NWC.</t>
  </si>
  <si>
    <t>FY2025 AR PDF p179 capital-employed reconciliation</t>
  </si>
  <si>
    <t>Same definition; official accounting totals</t>
  </si>
  <si>
    <t>DPS / price or signed EPS</t>
  </si>
  <si>
    <t>No dividends in official six-year table. Genuine numeric zero, rather than missing data. FY2025 table no longer prints these two ratios; its zero DPS still supports model zero.</t>
  </si>
  <si>
    <t>FY2024 AR PDF p43 Key financial data</t>
  </si>
  <si>
    <t>Zero dividends confirmed from official table</t>
  </si>
  <si>
    <t>Return on assets (DuPont graphic)</t>
  </si>
  <si>
    <t>Product of rounded15% net margin and55% closing-asset turnover</t>
  </si>
  <si>
    <t>Visual inspection of official DuPont graphic PDF p213 confirms8.25%=15% x55%. The two factors are rounded to whole percentages; direct unrounded PAT/closing assets would be8.28%. Standardized ROA uses average assets without intermediate rounding.</t>
  </si>
  <si>
    <t>FY2025 AR PDF p213 DuPont graphic</t>
  </si>
  <si>
    <t>Published intermediate-rounding convention (official graphic)</t>
  </si>
  <si>
    <t>Kohat Cement Company Limited (KOHC) - five-year financial analysis, FY2021-FY2025</t>
  </si>
  <si>
    <t>Main company | PSX: KOHC | Standalone (single-entity financial statements; no consolidated statements published) | All amounts PKR million unless stated</t>
  </si>
  <si>
    <t>A. COMPANY AND DATA INFORMATION</t>
  </si>
  <si>
    <t>Kohat Cement Company Limited</t>
  </si>
  <si>
    <t>PSX symbol</t>
  </si>
  <si>
    <t>Role in project</t>
  </si>
  <si>
    <t>Main company</t>
  </si>
  <si>
    <t>Financial year-end</t>
  </si>
  <si>
    <t>30 June (FY2021 = year ended 30 June 2021, etc.)</t>
  </si>
  <si>
    <t>Reporting basis</t>
  </si>
  <si>
    <t>Standalone (single-entity financial statements; no consolidated statements published)</t>
  </si>
  <si>
    <t>Original audited units</t>
  </si>
  <si>
    <t>Rupees - normalised here to PKR million (full precision retained)</t>
  </si>
  <si>
    <t>Annual reports used</t>
  </si>
  <si>
    <t>FY2021: KOHC_AR_2021.pdf; FY2022: Kohat_Cement_AR_2022.pdf; FY2023: Financial_Statements-30-06-2023.pdf; FY2024: Kohat_Cement_Annual_Report-2024.pdf; FY2025: Kohat_Cement_Annual_Report_2025.pdf</t>
  </si>
  <si>
    <t>Year selection rule</t>
  </si>
  <si>
    <t>Each year taken from the most recent audited presentation: FY2025 from FY2025 AR; FY2020-FY2024 from the comparative column of the following year's AR (captures restatements). FY2020 = opening balances only.</t>
  </si>
  <si>
    <t>Per-share basis</t>
  </si>
  <si>
    <t>Actual PSX FY-end close paired with the share basis in force on that date. EPS notes, splits, treasury shares and bonus treatment are documented on Share Basis.</t>
  </si>
  <si>
    <t>Source register</t>
  </si>
  <si>
    <t>Every blue input is listed with report, statement, PDF page, printed page and remarks on the Sources &amp; Validation sheet.</t>
  </si>
  <si>
    <t>Item</t>
  </si>
  <si>
    <t>Definition / formula / source note</t>
  </si>
  <si>
    <t>FY2020*</t>
  </si>
  <si>
    <t>Units</t>
  </si>
  <si>
    <t>Comments</t>
  </si>
  <si>
    <t>B. STATEMENT OF FINANCIAL POSITION (PKR million; FY2020 = opening balances only)</t>
  </si>
  <si>
    <t>Non-current assets</t>
  </si>
  <si>
    <t>Property, plant and equipment (as presented)</t>
  </si>
  <si>
    <t>Input - see register KOHC|ppe</t>
  </si>
  <si>
    <t>PKR m</t>
  </si>
  <si>
    <t xml:space="preserve">   of which: capital work-in-progress (note)</t>
  </si>
  <si>
    <t>Input - see register KOHC|cwip</t>
  </si>
  <si>
    <t xml:space="preserve">   Operating fixed assets = PPE less CWIP</t>
  </si>
  <si>
    <t>PPE - CWIP</t>
  </si>
  <si>
    <t>Right-of-use assets (presented separately)</t>
  </si>
  <si>
    <t>Input - see register KOHC|rou</t>
  </si>
  <si>
    <t>Intangible assets</t>
  </si>
  <si>
    <t>Input - see register KOHC|intang</t>
  </si>
  <si>
    <t>Investment property</t>
  </si>
  <si>
    <t>Input - see register KOHC|inv_prop</t>
  </si>
  <si>
    <t>Long-term investments</t>
  </si>
  <si>
    <t>Input - see register KOHC|lt_inv</t>
  </si>
  <si>
    <t>Other non-current assets</t>
  </si>
  <si>
    <t>Input - see register KOHC|nca_other</t>
  </si>
  <si>
    <t>Total non-current assets</t>
  </si>
  <si>
    <t>Sum of above (excl. memo)</t>
  </si>
  <si>
    <t>Current assets</t>
  </si>
  <si>
    <t>Stores, spares and loose tools</t>
  </si>
  <si>
    <t>Input - see register KOHC|stores</t>
  </si>
  <si>
    <t>Stock-in-trade</t>
  </si>
  <si>
    <t>Input - see register KOHC|sit</t>
  </si>
  <si>
    <t>Trade debts</t>
  </si>
  <si>
    <t>Input - see register KOHC|debts</t>
  </si>
  <si>
    <t>Short-term investments</t>
  </si>
  <si>
    <t>Input - see register KOHC|st_inv</t>
  </si>
  <si>
    <t>Cash and bank balances</t>
  </si>
  <si>
    <t>Input - see register KOHC|cash</t>
  </si>
  <si>
    <t>Other current assets</t>
  </si>
  <si>
    <t>Input - see register KOHC|ca_other</t>
  </si>
  <si>
    <t>Total current assets</t>
  </si>
  <si>
    <t>stores+sit+debts+st_inv+cash+ca_other</t>
  </si>
  <si>
    <t>TOTAL ASSETS</t>
  </si>
  <si>
    <t>tot_nca+tot_ca</t>
  </si>
  <si>
    <t>Equity</t>
  </si>
  <si>
    <t>Issued, subscribed and paid-up share capital</t>
  </si>
  <si>
    <t>Input - see register KOHC|share_cap</t>
  </si>
  <si>
    <t>Reserves, retained earnings and revaluation surplus</t>
  </si>
  <si>
    <t>Input - see register KOHC|eq_other</t>
  </si>
  <si>
    <t>Total equity</t>
  </si>
  <si>
    <t>share_cap+eq_other</t>
  </si>
  <si>
    <t>Non-current liabilities</t>
  </si>
  <si>
    <t>Long-term financing (non-current, interest-bearing)</t>
  </si>
  <si>
    <t>Input - see register KOHC|ltf_nc</t>
  </si>
  <si>
    <t>Lease liabilities (non-current)</t>
  </si>
  <si>
    <t>Input - see register KOHC|lease_nc</t>
  </si>
  <si>
    <t>Deferred government grant (non-current)</t>
  </si>
  <si>
    <t>Input - see register KOHC|grant_nc</t>
  </si>
  <si>
    <t>Deferred tax liability</t>
  </si>
  <si>
    <t>Input - see register KOHC|def_tax</t>
  </si>
  <si>
    <t>Other non-current liabilities</t>
  </si>
  <si>
    <t>Input - see register KOHC|ncl_other</t>
  </si>
  <si>
    <t>Total non-current liabilities</t>
  </si>
  <si>
    <t>ltf_nc+lease_nc+grant_nc+def_tax+ncl_other</t>
  </si>
  <si>
    <t>Current liabilities</t>
  </si>
  <si>
    <t>Trade and other payables</t>
  </si>
  <si>
    <t>Input - see register KOHC|tap</t>
  </si>
  <si>
    <t xml:space="preserve">   memo: trade creditors / bills payable (note)</t>
  </si>
  <si>
    <t>Input - see register KOHC|trade_cred</t>
  </si>
  <si>
    <t>Contract liabilities / advances from customers</t>
  </si>
  <si>
    <t>Input - see register KOHC|contract</t>
  </si>
  <si>
    <t>Accrued mark-up / interest</t>
  </si>
  <si>
    <t>Input - see register KOHC|acc_markup</t>
  </si>
  <si>
    <t>Short-term borrowings (incl. running finance; FCCL parent loan)</t>
  </si>
  <si>
    <t>Input - see register KOHC|stb</t>
  </si>
  <si>
    <t>Current portion of long-term financing</t>
  </si>
  <si>
    <t>Input - see register KOHC|cp_ltf</t>
  </si>
  <si>
    <t>Current portion of lease liabilities</t>
  </si>
  <si>
    <t>Input - see register KOHC|cp_lease</t>
  </si>
  <si>
    <t>Current portion of deferred government grant</t>
  </si>
  <si>
    <t>Input - see register KOHC|cp_grant</t>
  </si>
  <si>
    <t>Unclaimed / unpaid dividends</t>
  </si>
  <si>
    <t>Input - see register KOHC|div_liab</t>
  </si>
  <si>
    <t>Taxation payable (net)</t>
  </si>
  <si>
    <t>Input - see register KOHC|tax_liab</t>
  </si>
  <si>
    <t>Other current liabilities</t>
  </si>
  <si>
    <t>Input - see register KOHC|cl_other</t>
  </si>
  <si>
    <t>Total current liabilities</t>
  </si>
  <si>
    <t>tap+contract+acc_markup+stb+cp_ltf+cp_lease+cp_grant+div_liab+tax_liab+cl_other</t>
  </si>
  <si>
    <t>Trade creditors memo line excluded (already inside trade and other payables)</t>
  </si>
  <si>
    <t>Total liabilities</t>
  </si>
  <si>
    <t>tot_ncl+tot_cl</t>
  </si>
  <si>
    <t>TOTAL EQUITY AND LIABILITIES</t>
  </si>
  <si>
    <t>tot_eq+tot_liab</t>
  </si>
  <si>
    <t>Derived balances used in ratios</t>
  </si>
  <si>
    <t>Inventories = stores and spares + stock-in-trade</t>
  </si>
  <si>
    <t>stores+sit</t>
  </si>
  <si>
    <t>Interest-bearing debt = LT financing + leases + ST borrowings + current portions</t>
  </si>
  <si>
    <t>ltf_nc+lease_nc+stb+cp_ltf+cp_lease</t>
  </si>
  <si>
    <t>Long-term interest-bearing debt (non-current financing + non-current leases)</t>
  </si>
  <si>
    <t>ltf_nc+lease_nc</t>
  </si>
  <si>
    <t>Invested capital = interest-bearing debt + equity</t>
  </si>
  <si>
    <t>ibd+tot_eq</t>
  </si>
  <si>
    <t>Capital employed = total assets - current liabilities</t>
  </si>
  <si>
    <t>tot_assets-tot_cl</t>
  </si>
  <si>
    <t>Operating current assets = CA - cash - ST investments</t>
  </si>
  <si>
    <t>tot_ca-cash-st_inv</t>
  </si>
  <si>
    <t>Operating current liabilities = CL - ST borrowings - current portions - accrued mark-up - dividends</t>
  </si>
  <si>
    <t>tot_cl-stb-cp_ltf-cp_lease-cp_grant-acc_markup-div_liab</t>
  </si>
  <si>
    <t>Source totals (as printed in audited statements) and checks</t>
  </si>
  <si>
    <t>Printed total assets</t>
  </si>
  <si>
    <t>Input - see register KOHC|pr_TA</t>
  </si>
  <si>
    <t>Printed total equity</t>
  </si>
  <si>
    <t>Input - see register KOHC|pr_EQ</t>
  </si>
  <si>
    <t>Printed total current assets</t>
  </si>
  <si>
    <t>Input - see register KOHC|pr_CA</t>
  </si>
  <si>
    <t>Printed total current liabilities</t>
  </si>
  <si>
    <t>Input - see register KOHC|pr_CL</t>
  </si>
  <si>
    <t>Check: total assets = equity + liabilities</t>
  </si>
  <si>
    <t>Validation formula</t>
  </si>
  <si>
    <t>Check: total assets = printed total</t>
  </si>
  <si>
    <t>Check: equity, CA and CL = printed subtotals</t>
  </si>
  <si>
    <t>C. STATEMENT OF PROFIT OR LOSS (PKR million)</t>
  </si>
  <si>
    <t>Revenue / net sales</t>
  </si>
  <si>
    <t>Input - see register KOHC|rev</t>
  </si>
  <si>
    <t>Cost of sales</t>
  </si>
  <si>
    <t>Input - see register KOHC|cogs</t>
  </si>
  <si>
    <t>Gross profit</t>
  </si>
  <si>
    <t>rev+cogs</t>
  </si>
  <si>
    <t>Selling and distribution expenses</t>
  </si>
  <si>
    <t>Input - see register KOHC|selling</t>
  </si>
  <si>
    <t>Administrative expenses</t>
  </si>
  <si>
    <t>Input - see register KOHC|admin</t>
  </si>
  <si>
    <t>Impairment / expected credit loss on financial assets</t>
  </si>
  <si>
    <t>Input - see register KOHC|impair</t>
  </si>
  <si>
    <t>Other operating expenses (incl. WPPF/WWF)</t>
  </si>
  <si>
    <t>Input - see register KOHC|oth_exp</t>
  </si>
  <si>
    <t>Operating profit (core) = GP - operating expenses, excl. other income</t>
  </si>
  <si>
    <t>gp+selling+admin+impair+oth_exp</t>
  </si>
  <si>
    <t>Other income</t>
  </si>
  <si>
    <t>Input - see register KOHC|oth_inc</t>
  </si>
  <si>
    <t>Finance income (where presented separately)</t>
  </si>
  <si>
    <t>Input - see register KOHC|fin_inc</t>
  </si>
  <si>
    <t>Share of profit of associate</t>
  </si>
  <si>
    <t>Input - see register KOHC|assoc</t>
  </si>
  <si>
    <t>Finance cost</t>
  </si>
  <si>
    <t>Input - see register KOHC|fin_cost</t>
  </si>
  <si>
    <t>Profit before levies and income tax</t>
  </si>
  <si>
    <t>core_op+oth_inc+fin_inc+assoc+fin_cost</t>
  </si>
  <si>
    <t>Levies (final / minimum taxes presented separately)</t>
  </si>
  <si>
    <t>Input - see register KOHC|levy</t>
  </si>
  <si>
    <t>Income tax</t>
  </si>
  <si>
    <t>Input - see register KOHC|tax</t>
  </si>
  <si>
    <t>Profit after tax (attributable to ordinary shareholders)</t>
  </si>
  <si>
    <t>pbt_pre+levy+tax</t>
  </si>
  <si>
    <t>Printed gross profit</t>
  </si>
  <si>
    <t>Input - see register KOHC|pr_gp</t>
  </si>
  <si>
    <t>Printed profit before levies and income tax</t>
  </si>
  <si>
    <t>Input - see register KOHC|pr_pbt</t>
  </si>
  <si>
    <t>Printed profit after tax</t>
  </si>
  <si>
    <t>Input - see register KOHC|pr_pat</t>
  </si>
  <si>
    <t>Check: GP, PBT and PAT agree to printed statement</t>
  </si>
  <si>
    <t>Derived profit measures</t>
  </si>
  <si>
    <t>Non-interest finance costs (bank charges, commission, exchange loss) (note)</t>
  </si>
  <si>
    <t>Input - see register KOHC|fc_nonint</t>
  </si>
  <si>
    <t>Interest charges = finance cost - non-interest items</t>
  </si>
  <si>
    <t>-fin_cost-fc_nonint</t>
  </si>
  <si>
    <t>Depreciation and amortisation (cash flow reconciliation)</t>
  </si>
  <si>
    <t>Input - see register KOHC|da</t>
  </si>
  <si>
    <t>EBIT = profit before levies and tax + finance cost</t>
  </si>
  <si>
    <t>pbt_pre-fin_cost</t>
  </si>
  <si>
    <t>EBITDA = EBIT + depreciation and amortisation</t>
  </si>
  <si>
    <t>ebit+da</t>
  </si>
  <si>
    <t>Total tax charge (levies + income tax)</t>
  </si>
  <si>
    <t>-(levy+tax)</t>
  </si>
  <si>
    <t>Effective tax rate = total tax / profit before levies and tax</t>
  </si>
  <si>
    <t>IF(pbt_pre&lt;=0,"n/m",tot_tax/pbt_pre)</t>
  </si>
  <si>
    <t>%</t>
  </si>
  <si>
    <t>NOPAT tax rate = actual audited ETR (no cap)</t>
  </si>
  <si>
    <t>IF(AND(ISNUMBER(etr),etr&gt;=0,etr&lt;=0.6),etr,P:stat)</t>
  </si>
  <si>
    <t>NOPAT = EBIT x (1 - tax rate applied)</t>
  </si>
  <si>
    <t>ebit*(1-tax_used)</t>
  </si>
  <si>
    <t>D. STATEMENT OF CASH FLOWS (PKR million)</t>
  </si>
  <si>
    <t>Cash generated from operations (before interest, tax and other items)</t>
  </si>
  <si>
    <t>Input - see register KOHC|cgo</t>
  </si>
  <si>
    <t>Net cash from operating activities (as reported)</t>
  </si>
  <si>
    <t>Input - see register KOHC|cfo</t>
  </si>
  <si>
    <t>Finance cost / mark-up paid</t>
  </si>
  <si>
    <t>Input - see register KOHC|fin_paid</t>
  </si>
  <si>
    <t>Classification of finance cost paid</t>
  </si>
  <si>
    <t>Input - see register KOHC|fin_paid_cls</t>
  </si>
  <si>
    <t>Operating</t>
  </si>
  <si>
    <t>text</t>
  </si>
  <si>
    <t>CFO with interest paid treated as operating (comparability memo)</t>
  </si>
  <si>
    <t>IF(fin_paid_cls="Financing",cfo+fin_paid,cfo)</t>
  </si>
  <si>
    <t>Purchase of property, plant and equipment</t>
  </si>
  <si>
    <t>Input - see register KOHC|capex</t>
  </si>
  <si>
    <t>Net cash from investing activities</t>
  </si>
  <si>
    <t>Input - see register KOHC|cfi</t>
  </si>
  <si>
    <t>Net cash from financing activities</t>
  </si>
  <si>
    <t>Input - see register KOHC|cff</t>
  </si>
  <si>
    <t>Dividends paid</t>
  </si>
  <si>
    <t>Input - see register KOHC|div_paid</t>
  </si>
  <si>
    <t>E. MARKET AND SHAREHOLDER DATA (share basis in force at each FY-end)</t>
  </si>
  <si>
    <t>Par value per share (Rs)</t>
  </si>
  <si>
    <t>Input - see register KOHC|par</t>
  </si>
  <si>
    <t>Rs</t>
  </si>
  <si>
    <t>Ordinary shares outstanding at FY-end (million) = share capital / par</t>
  </si>
  <si>
    <t>share_cap/par</t>
  </si>
  <si>
    <t>m shares</t>
  </si>
  <si>
    <t>Weighted average ordinary shares (million) - audited EPS note</t>
  </si>
  <si>
    <t>Input - see register KOHC|wavg</t>
  </si>
  <si>
    <t>FY-end share price (Rs; last PSX close)</t>
  </si>
  <si>
    <t>Input - see register KOHC|price</t>
  </si>
  <si>
    <t>Cash dividend per share declared for the FY (Rs)</t>
  </si>
  <si>
    <t>Input - see register KOHC|dps</t>
  </si>
  <si>
    <t>Reported EPS (Rs; own-year report basis)</t>
  </si>
  <si>
    <t>Input - see register KOHC|eps_rep</t>
  </si>
  <si>
    <t>Market capitalisation = price x FY-end shares</t>
  </si>
  <si>
    <t>price*shares_ye</t>
  </si>
  <si>
    <t>Factor to FY2025 annual-report split basis (memo)</t>
  </si>
  <si>
    <t>Input - see register KOHC|adj</t>
  </si>
  <si>
    <t>factor</t>
  </si>
  <si>
    <t>Treasury shares excluded (million)</t>
  </si>
  <si>
    <t>Liquidity</t>
  </si>
  <si>
    <t>1. Current ratio</t>
  </si>
  <si>
    <t>Current Assets / Current Liabilities</t>
  </si>
  <si>
    <t>x</t>
  </si>
  <si>
    <t>2. Quick ratio</t>
  </si>
  <si>
    <t>(Current Assets - Inventories) / Current Liabilities</t>
  </si>
  <si>
    <t>3. Cash ratio</t>
  </si>
  <si>
    <t>Cash and Bank / Current Liabilities</t>
  </si>
  <si>
    <t>4. Net working capital (PKR m)</t>
  </si>
  <si>
    <t>Current Assets - Current Liabilities</t>
  </si>
  <si>
    <t>5. Net operating working capital (PKR m)</t>
  </si>
  <si>
    <t>Operating CA - Operating CL</t>
  </si>
  <si>
    <t>Asset Management</t>
  </si>
  <si>
    <t>6. Inventory turnover</t>
  </si>
  <si>
    <t>COGS / Average Inventory</t>
  </si>
  <si>
    <t>7. Receivables turnover</t>
  </si>
  <si>
    <t>Net Sales / Average Trade Debts</t>
  </si>
  <si>
    <t>8. Payables turnover</t>
  </si>
  <si>
    <t>COGS / Average Trade Creditors</t>
  </si>
  <si>
    <t>9. Days inventory outstanding</t>
  </si>
  <si>
    <t>365 / Inventory Turnover</t>
  </si>
  <si>
    <t>days</t>
  </si>
  <si>
    <t>10. Days sales outstanding</t>
  </si>
  <si>
    <t>365 / Receivables Turnover</t>
  </si>
  <si>
    <t>11. Days payables outstanding</t>
  </si>
  <si>
    <t>365 / Payables Turnover</t>
  </si>
  <si>
    <t>12. Operating cycle (days)</t>
  </si>
  <si>
    <t>DIO + DSO</t>
  </si>
  <si>
    <t>13. Cash conversion cycle (days)</t>
  </si>
  <si>
    <t>DIO + DSO - DPO</t>
  </si>
  <si>
    <t>14. Total asset turnover</t>
  </si>
  <si>
    <t>Net Sales / Average Total Assets</t>
  </si>
  <si>
    <t>15. Fixed asset turnover</t>
  </si>
  <si>
    <t>Net Sales / Average Operating Fixed Assets</t>
  </si>
  <si>
    <t>Debt Management</t>
  </si>
  <si>
    <t>16. Debt ratio</t>
  </si>
  <si>
    <t>Total Liabilities / Total Assets</t>
  </si>
  <si>
    <t>17. Debt-to-equity</t>
  </si>
  <si>
    <t>Total Liabilities / Total Equity</t>
  </si>
  <si>
    <t>18. Total debt-to-capital</t>
  </si>
  <si>
    <t>Interest-bearing Debt / (IBD + Equity)</t>
  </si>
  <si>
    <t>19. Long-term debt ratio</t>
  </si>
  <si>
    <t>Long-term IBD / Total Assets</t>
  </si>
  <si>
    <t>20. Times interest earned</t>
  </si>
  <si>
    <t>EBIT / Interest Expense</t>
  </si>
  <si>
    <t>Profitability</t>
  </si>
  <si>
    <t>21. Gross profit margin</t>
  </si>
  <si>
    <t>Gross Profit / Net Sales</t>
  </si>
  <si>
    <t>22. Operating margin</t>
  </si>
  <si>
    <t>Operating Profit / Net Sales</t>
  </si>
  <si>
    <t>23. Net profit margin</t>
  </si>
  <si>
    <t>Net Profit / Net Sales</t>
  </si>
  <si>
    <t>24. Return on assets</t>
  </si>
  <si>
    <t>Net Profit / Average Total Assets</t>
  </si>
  <si>
    <t>25. Return on equity</t>
  </si>
  <si>
    <t>Net Profit / Average Equity</t>
  </si>
  <si>
    <t>26. Return on invested capital</t>
  </si>
  <si>
    <t>NOPAT / Average Invested Capital</t>
  </si>
  <si>
    <t>27. Basic earning power</t>
  </si>
  <si>
    <t>EBIT / Average Total Assets</t>
  </si>
  <si>
    <t>Market Value</t>
  </si>
  <si>
    <t>28. Book value per share (Rs)</t>
  </si>
  <si>
    <t>Total Equity / Shares Outstanding</t>
  </si>
  <si>
    <t>29. Market-to-book ratio</t>
  </si>
  <si>
    <t>Share Price / BVPS</t>
  </si>
  <si>
    <t>30. Earnings per share (Rs)</t>
  </si>
  <si>
    <t>Net Profit / Weighted Average Shares</t>
  </si>
  <si>
    <t>31. Price-to-earnings ratio</t>
  </si>
  <si>
    <t>Share Price / EPS</t>
  </si>
  <si>
    <t>32. Dividend yield</t>
  </si>
  <si>
    <t>DPS / Share Price</t>
  </si>
  <si>
    <t>33. Dividend payout ratio</t>
  </si>
  <si>
    <t>DPS / EPS</t>
  </si>
  <si>
    <t>n/m: negative calculated measures or non-positive denominators. Signed accounting inputs and raw workings are retained in the audit workbook.</t>
  </si>
  <si>
    <t>DIO includes stores and stock; supplier payables include identified related operating suppliers, excluding contractor retentions, taxes and accruals.</t>
  </si>
  <si>
    <t>G. VERTICAL (COMMON-SIZE) ANALYSIS</t>
  </si>
  <si>
    <t>Statement of financial position - % of total assets</t>
  </si>
  <si>
    <t>Operating fixed assets</t>
  </si>
  <si>
    <t>ofa / total assets</t>
  </si>
  <si>
    <t>Capital work-in-progress</t>
  </si>
  <si>
    <t>cwip / total assets</t>
  </si>
  <si>
    <t>tot_nca / total assets</t>
  </si>
  <si>
    <t>Inventories</t>
  </si>
  <si>
    <t>inventories / total assets</t>
  </si>
  <si>
    <t>debts / total assets</t>
  </si>
  <si>
    <t>st_inv / total assets</t>
  </si>
  <si>
    <t>Cash and bank</t>
  </si>
  <si>
    <t>cash / total assets</t>
  </si>
  <si>
    <t>tot_ca / total assets</t>
  </si>
  <si>
    <t>tot_eq / total assets</t>
  </si>
  <si>
    <t>Long-term interest-bearing debt</t>
  </si>
  <si>
    <t>lt_ibd / total assets</t>
  </si>
  <si>
    <t>tot_ncl / total assets</t>
  </si>
  <si>
    <t>tap / total assets</t>
  </si>
  <si>
    <t>Interest-bearing debt (total)</t>
  </si>
  <si>
    <t>ibd / total assets</t>
  </si>
  <si>
    <t>tot_cl / total assets</t>
  </si>
  <si>
    <t>tot_liab / total assets</t>
  </si>
  <si>
    <t>Statement of profit or loss - % of revenue</t>
  </si>
  <si>
    <t>cogs / revenue (costs shown negative)</t>
  </si>
  <si>
    <t>gp / revenue (costs shown negative)</t>
  </si>
  <si>
    <t>Selling and distribution</t>
  </si>
  <si>
    <t>selling / revenue (costs shown negative)</t>
  </si>
  <si>
    <t>Administrative</t>
  </si>
  <si>
    <t>admin / revenue (costs shown negative)</t>
  </si>
  <si>
    <t>Other operating expenses</t>
  </si>
  <si>
    <t>oth_exp / revenue (costs shown negative)</t>
  </si>
  <si>
    <t>Operating profit (core)</t>
  </si>
  <si>
    <t>core_op / revenue (costs shown negative)</t>
  </si>
  <si>
    <t>oth_inc / revenue (costs shown negative)</t>
  </si>
  <si>
    <t>fin_cost / revenue (costs shown negative)</t>
  </si>
  <si>
    <t>Profit before levies and tax</t>
  </si>
  <si>
    <t>pbt_pre / revenue (costs shown negative)</t>
  </si>
  <si>
    <t>Total tax charge</t>
  </si>
  <si>
    <t>tot_tax / revenue (costs shown negative)</t>
  </si>
  <si>
    <t>Profit after tax</t>
  </si>
  <si>
    <t>pat / revenue (costs shown negative)</t>
  </si>
  <si>
    <t>H. HORIZONTAL ANALYSIS - year-on-year change</t>
  </si>
  <si>
    <t>Revenue - change (PKR m)</t>
  </si>
  <si>
    <t>Current - prior year</t>
  </si>
  <si>
    <t>n/a</t>
  </si>
  <si>
    <t>Revenue - change (%)</t>
  </si>
  <si>
    <t>n/m where prior-year value &lt;= 0 (sign change)</t>
  </si>
  <si>
    <t>Gross profit - change (PKR m)</t>
  </si>
  <si>
    <t>Gross profit - change (%)</t>
  </si>
  <si>
    <t>Operating profit (core) - change (PKR m)</t>
  </si>
  <si>
    <t>Operating profit (core) - change (%)</t>
  </si>
  <si>
    <t>Profit after tax - change (PKR m)</t>
  </si>
  <si>
    <t>Profit after tax - change (%)</t>
  </si>
  <si>
    <t>Net cash from operating activities - change (PKR m)</t>
  </si>
  <si>
    <t>Net cash from operating activities - change (%)</t>
  </si>
  <si>
    <t>Total assets - change (PKR m)</t>
  </si>
  <si>
    <t>Total assets - change (%)</t>
  </si>
  <si>
    <t>Total equity - change (PKR m)</t>
  </si>
  <si>
    <t>Total equity - change (%)</t>
  </si>
  <si>
    <t>Interest-bearing debt - change (PKR m)</t>
  </si>
  <si>
    <t>Interest-bearing debt - change (%)</t>
  </si>
  <si>
    <t>Inventories - change (PKR m)</t>
  </si>
  <si>
    <t>Inventories - change (%)</t>
  </si>
  <si>
    <t>Trade debts - change (PKR m)</t>
  </si>
  <si>
    <t>Trade debts - change (%)</t>
  </si>
  <si>
    <t>Cash and bank - change (PKR m)</t>
  </si>
  <si>
    <t>Cash and bank - change (%)</t>
  </si>
  <si>
    <t>I. COMPANY FINANCIAL TRENDS - charts are placed to the right of the statements (columns L onward)</t>
  </si>
  <si>
    <t>Financing classification (PKR million)</t>
  </si>
  <si>
    <t>Interest-free parent loan excluded from IBD</t>
  </si>
  <si>
    <t>Accrued interest within financing balances</t>
  </si>
  <si>
    <t>Related operating supplier payable (included above)</t>
  </si>
  <si>
    <t>Contractors bills (published-convention reconstruction)</t>
  </si>
  <si>
    <t>Bank interest (published coverage reconstruction)</t>
  </si>
  <si>
    <t>Gross on-demand parent loan (published liquidity)</t>
  </si>
  <si>
    <t>Cash equivalents (published cash-ratio reconstruction)</t>
  </si>
  <si>
    <t>Sources: KOHC FY2025 note 6.1 (PDF p89); FCCL FY2025 note 11 (PDF p268), FY2024 note 10; MLCF trade-payable and related-party notes.</t>
  </si>
  <si>
    <t>Source control: FY2020 current-asset components differ from the printed subtotal by one rupee; no adjustment.</t>
  </si>
  <si>
    <t>Lucky Cement Limited (LUCK) - five-year financial analysis, FY2021-FY2025</t>
  </si>
  <si>
    <t>Competitor 1 | PSX: LUCK | Unconsolidated (separate) financial statements | All amounts PKR million unless stated</t>
  </si>
  <si>
    <t>Lucky Cement Limited</t>
  </si>
  <si>
    <t>Competitor 1</t>
  </si>
  <si>
    <t>Unconsolidated (separate) financial statements</t>
  </si>
  <si>
    <t>PKR '000 - normalised here to PKR million (full precision retained)</t>
  </si>
  <si>
    <t>FY2021: 2021.pdf; FY2022: 2022.pdf; FY2023: 2023.pdf; FY2024: 2024.pdf; FY2025: 2025.pdf</t>
  </si>
  <si>
    <t>Input - see register LUCK|ppe</t>
  </si>
  <si>
    <t>Input - see register LUCK|cwip</t>
  </si>
  <si>
    <t>Input - see register LUCK|rou</t>
  </si>
  <si>
    <t>Input - see register LUCK|intang</t>
  </si>
  <si>
    <t>Input - see register LUCK|inv_prop</t>
  </si>
  <si>
    <t>Input - see register LUCK|lt_inv</t>
  </si>
  <si>
    <t>Input - see register LUCK|nca_other</t>
  </si>
  <si>
    <t>Input - see register LUCK|stores</t>
  </si>
  <si>
    <t>Input - see register LUCK|sit</t>
  </si>
  <si>
    <t>Input - see register LUCK|debts</t>
  </si>
  <si>
    <t>Input - see register LUCK|st_inv</t>
  </si>
  <si>
    <t>Input - see register LUCK|cash</t>
  </si>
  <si>
    <t>Input - see register LUCK|ca_other</t>
  </si>
  <si>
    <t>Input - see register LUCK|share_cap</t>
  </si>
  <si>
    <t>Input - see register LUCK|eq_other</t>
  </si>
  <si>
    <t>Input - see register LUCK|ltf_nc</t>
  </si>
  <si>
    <t>Input - see register LUCK|lease_nc</t>
  </si>
  <si>
    <t>Input - see register LUCK|grant_nc</t>
  </si>
  <si>
    <t>Input - see register LUCK|def_tax</t>
  </si>
  <si>
    <t>Input - see register LUCK|ncl_other</t>
  </si>
  <si>
    <t>Input - see register LUCK|tap</t>
  </si>
  <si>
    <t>Input - see register LUCK|trade_cred</t>
  </si>
  <si>
    <t>Input - see register LUCK|contract</t>
  </si>
  <si>
    <t>Input - see register LUCK|acc_markup</t>
  </si>
  <si>
    <t>Input - see register LUCK|stb</t>
  </si>
  <si>
    <t>Input - see register LUCK|cp_ltf</t>
  </si>
  <si>
    <t>Input - see register LUCK|cp_lease</t>
  </si>
  <si>
    <t>Input - see register LUCK|cp_grant</t>
  </si>
  <si>
    <t>Input - see register LUCK|div_liab</t>
  </si>
  <si>
    <t>Input - see register LUCK|tax_liab</t>
  </si>
  <si>
    <t>Input - see register LUCK|cl_other</t>
  </si>
  <si>
    <t>Input - see register LUCK|pr_TA</t>
  </si>
  <si>
    <t>Input - see register LUCK|pr_EQ</t>
  </si>
  <si>
    <t>Input - see register LUCK|pr_CA</t>
  </si>
  <si>
    <t>Input - see register LUCK|pr_CL</t>
  </si>
  <si>
    <t>Input - see register LUCK|rev</t>
  </si>
  <si>
    <t>Input - see register LUCK|cogs</t>
  </si>
  <si>
    <t>Input - see register LUCK|selling</t>
  </si>
  <si>
    <t>Input - see register LUCK|admin</t>
  </si>
  <si>
    <t>Input - see register LUCK|impair</t>
  </si>
  <si>
    <t>Input - see register LUCK|oth_exp</t>
  </si>
  <si>
    <t>Input - see register LUCK|oth_inc</t>
  </si>
  <si>
    <t>Input - see register LUCK|fin_inc</t>
  </si>
  <si>
    <t>Input - see register LUCK|assoc</t>
  </si>
  <si>
    <t>Input - see register LUCK|fin_cost</t>
  </si>
  <si>
    <t>Input - see register LUCK|levy</t>
  </si>
  <si>
    <t>Input - see register LUCK|tax</t>
  </si>
  <si>
    <t>Input - see register LUCK|pr_gp</t>
  </si>
  <si>
    <t>Input - see register LUCK|pr_pbt</t>
  </si>
  <si>
    <t>Input - see register LUCK|pr_pat</t>
  </si>
  <si>
    <t>Input - see register LUCK|fc_nonint</t>
  </si>
  <si>
    <t>Input - see register LUCK|da</t>
  </si>
  <si>
    <t>Input - see register LUCK|cgo</t>
  </si>
  <si>
    <t>Input - see register LUCK|cfo</t>
  </si>
  <si>
    <t>Input - see register LUCK|fin_paid</t>
  </si>
  <si>
    <t>Input - see register LUCK|fin_paid_cls</t>
  </si>
  <si>
    <t>Input - see register LUCK|capex</t>
  </si>
  <si>
    <t>Input - see register LUCK|cfi</t>
  </si>
  <si>
    <t>Input - see register LUCK|cff</t>
  </si>
  <si>
    <t>Input - see register LUCK|div_paid</t>
  </si>
  <si>
    <t>Input - see register LUCK|par</t>
  </si>
  <si>
    <t>Input - see register LUCK|wavg</t>
  </si>
  <si>
    <t>Input - see register LUCK|price</t>
  </si>
  <si>
    <t>Input - see register LUCK|dps</t>
  </si>
  <si>
    <t>Input - see register LUCK|eps_rep</t>
  </si>
  <si>
    <t>Input - see register LUCK|adj</t>
  </si>
  <si>
    <t>Treasury held for cancellation (million shares; BVPS memo)</t>
  </si>
  <si>
    <t>million shares</t>
  </si>
  <si>
    <t>Cash-equivalent sources: FY2022 audited CF PDF p229 (FY2021/22);FY2025 audited CF PDF p243 and comparatives (FY2023-25).</t>
  </si>
  <si>
    <t>BVPS memo source: FY2024 annual report note19, PDF p260:1,536,361 shares bought and held for cancellation at June2023.</t>
  </si>
  <si>
    <t>D.G. Khan Cement Company Limited (DGKC) - five-year financial analysis, FY2021-FY2025</t>
  </si>
  <si>
    <t>Competitor 2 | PSX: DGKC | Unconsolidated (separate) financial statements | All amounts PKR million unless stated</t>
  </si>
  <si>
    <t>D.G. Khan Cement Company Limited</t>
  </si>
  <si>
    <t>Competitor 2</t>
  </si>
  <si>
    <t>Rs '000 - normalised here to PKR million (full precision retained)</t>
  </si>
  <si>
    <t>FY2021: DG_Annual_Report_2021.pdf; FY2022: DG_Annual_Report_2022.pdf; FY2023: DGAnnual2023.pdf; FY2024: DGAnnual2024.pdf; FY2025: DGAnnual2025.pdf</t>
  </si>
  <si>
    <t>Input - see register DGKC|ppe</t>
  </si>
  <si>
    <t>Input - see register DGKC|cwip</t>
  </si>
  <si>
    <t>Input - see register DGKC|rou</t>
  </si>
  <si>
    <t>Input - see register DGKC|intang</t>
  </si>
  <si>
    <t>Input - see register DGKC|inv_prop</t>
  </si>
  <si>
    <t>Input - see register DGKC|lt_inv</t>
  </si>
  <si>
    <t>Input - see register DGKC|nca_other</t>
  </si>
  <si>
    <t>Input - see register DGKC|stores</t>
  </si>
  <si>
    <t>Input - see register DGKC|sit</t>
  </si>
  <si>
    <t>Input - see register DGKC|debts</t>
  </si>
  <si>
    <t>Input - see register DGKC|st_inv</t>
  </si>
  <si>
    <t>Input - see register DGKC|cash</t>
  </si>
  <si>
    <t>Input - see register DGKC|ca_other</t>
  </si>
  <si>
    <t>Input - see register DGKC|share_cap</t>
  </si>
  <si>
    <t>Input - see register DGKC|eq_other</t>
  </si>
  <si>
    <t>Input - see register DGKC|ltf_nc</t>
  </si>
  <si>
    <t>Input - see register DGKC|lease_nc</t>
  </si>
  <si>
    <t>Input - see register DGKC|grant_nc</t>
  </si>
  <si>
    <t>Input - see register DGKC|def_tax</t>
  </si>
  <si>
    <t>Input - see register DGKC|ncl_other</t>
  </si>
  <si>
    <t>Input - see register DGKC|tap</t>
  </si>
  <si>
    <t>Input - see register DGKC|trade_cred</t>
  </si>
  <si>
    <t>Input - see register DGKC|contract</t>
  </si>
  <si>
    <t>Input - see register DGKC|acc_markup</t>
  </si>
  <si>
    <t>Input - see register DGKC|stb</t>
  </si>
  <si>
    <t>Input - see register DGKC|cp_ltf</t>
  </si>
  <si>
    <t>Input - see register DGKC|cp_lease</t>
  </si>
  <si>
    <t>Input - see register DGKC|cp_grant</t>
  </si>
  <si>
    <t>Input - see register DGKC|div_liab</t>
  </si>
  <si>
    <t>Input - see register DGKC|tax_liab</t>
  </si>
  <si>
    <t>Input - see register DGKC|cl_other</t>
  </si>
  <si>
    <t>Input - see register DGKC|pr_TA</t>
  </si>
  <si>
    <t>Input - see register DGKC|pr_EQ</t>
  </si>
  <si>
    <t>Input - see register DGKC|pr_CA</t>
  </si>
  <si>
    <t>Input - see register DGKC|pr_CL</t>
  </si>
  <si>
    <t>Input - see register DGKC|rev</t>
  </si>
  <si>
    <t>Input - see register DGKC|cogs</t>
  </si>
  <si>
    <t>Input - see register DGKC|selling</t>
  </si>
  <si>
    <t>Input - see register DGKC|admin</t>
  </si>
  <si>
    <t>Input - see register DGKC|impair</t>
  </si>
  <si>
    <t>Input - see register DGKC|oth_exp</t>
  </si>
  <si>
    <t>Input - see register DGKC|oth_inc</t>
  </si>
  <si>
    <t>Input - see register DGKC|fin_inc</t>
  </si>
  <si>
    <t>Input - see register DGKC|assoc</t>
  </si>
  <si>
    <t>Input - see register DGKC|fin_cost</t>
  </si>
  <si>
    <t>Input - see register DGKC|levy</t>
  </si>
  <si>
    <t>Input - see register DGKC|tax</t>
  </si>
  <si>
    <t>Input - see register DGKC|pr_gp</t>
  </si>
  <si>
    <t>Input - see register DGKC|pr_pbt</t>
  </si>
  <si>
    <t>Input - see register DGKC|pr_pat</t>
  </si>
  <si>
    <t>Input - see register DGKC|fc_nonint</t>
  </si>
  <si>
    <t>Input - see register DGKC|da</t>
  </si>
  <si>
    <t>Input - see register DGKC|cgo</t>
  </si>
  <si>
    <t>Input - see register DGKC|cfo</t>
  </si>
  <si>
    <t>Input - see register DGKC|fin_paid</t>
  </si>
  <si>
    <t>Input - see register DGKC|fin_paid_cls</t>
  </si>
  <si>
    <t>Input - see register DGKC|capex</t>
  </si>
  <si>
    <t>Input - see register DGKC|cfi</t>
  </si>
  <si>
    <t>Input - see register DGKC|cff</t>
  </si>
  <si>
    <t>Input - see register DGKC|div_paid</t>
  </si>
  <si>
    <t>Input - see register DGKC|par</t>
  </si>
  <si>
    <t>Input - see register DGKC|wavg</t>
  </si>
  <si>
    <t>Input - see register DGKC|price</t>
  </si>
  <si>
    <t>Input - see register DGKC|dps</t>
  </si>
  <si>
    <t>Input - see register DGKC|eps_rep</t>
  </si>
  <si>
    <t>Input - see register DGKC|adj</t>
  </si>
  <si>
    <t>ADP and other receivables (published quick exclusion)</t>
  </si>
  <si>
    <t>Maple Leaf Cement Factory Limited (MLCF) - five-year financial analysis, FY2021-FY2025</t>
  </si>
  <si>
    <t>Competitor 3 | PSX: MLCF | Unconsolidated (separate) financial statements | All amounts PKR million unless stated</t>
  </si>
  <si>
    <t>Maple Leaf Cement Factory Limited</t>
  </si>
  <si>
    <t>Competitor 3</t>
  </si>
  <si>
    <t>Input - see register MLCF|ppe</t>
  </si>
  <si>
    <t>Input - see register MLCF|cwip</t>
  </si>
  <si>
    <t>Input - see register MLCF|rou</t>
  </si>
  <si>
    <t>Input - see register MLCF|intang</t>
  </si>
  <si>
    <t>Input - see register MLCF|inv_prop</t>
  </si>
  <si>
    <t>Input - see register MLCF|lt_inv</t>
  </si>
  <si>
    <t>Input - see register MLCF|nca_other</t>
  </si>
  <si>
    <t>Input - see register MLCF|stores</t>
  </si>
  <si>
    <t>Input - see register MLCF|sit</t>
  </si>
  <si>
    <t>Input - see register MLCF|debts</t>
  </si>
  <si>
    <t>Input - see register MLCF|st_inv</t>
  </si>
  <si>
    <t>Input - see register MLCF|cash</t>
  </si>
  <si>
    <t>Input - see register MLCF|ca_other</t>
  </si>
  <si>
    <t>Input - see register MLCF|share_cap</t>
  </si>
  <si>
    <t>Input - see register MLCF|eq_other</t>
  </si>
  <si>
    <t>Input - see register MLCF|ltf_nc</t>
  </si>
  <si>
    <t>Input - see register MLCF|lease_nc</t>
  </si>
  <si>
    <t>Input - see register MLCF|grant_nc</t>
  </si>
  <si>
    <t>Input - see register MLCF|def_tax</t>
  </si>
  <si>
    <t>Input - see register MLCF|ncl_other</t>
  </si>
  <si>
    <t>Input - see register MLCF|tap</t>
  </si>
  <si>
    <t>Input - see register MLCF|trade_cred</t>
  </si>
  <si>
    <t>Input - see register MLCF|contract</t>
  </si>
  <si>
    <t>Input - see register MLCF|acc_markup</t>
  </si>
  <si>
    <t>Input - see register MLCF|stb</t>
  </si>
  <si>
    <t>Input - see register MLCF|cp_ltf</t>
  </si>
  <si>
    <t>Input - see register MLCF|cp_lease</t>
  </si>
  <si>
    <t>Input - see register MLCF|cp_grant</t>
  </si>
  <si>
    <t>Input - see register MLCF|div_liab</t>
  </si>
  <si>
    <t>Input - see register MLCF|tax_liab</t>
  </si>
  <si>
    <t>Input - see register MLCF|cl_other</t>
  </si>
  <si>
    <t>Input - see register MLCF|pr_TA</t>
  </si>
  <si>
    <t>Input - see register MLCF|pr_EQ</t>
  </si>
  <si>
    <t>Input - see register MLCF|pr_CA</t>
  </si>
  <si>
    <t>Input - see register MLCF|pr_CL</t>
  </si>
  <si>
    <t>Input - see register MLCF|rev</t>
  </si>
  <si>
    <t>Input - see register MLCF|cogs</t>
  </si>
  <si>
    <t>Input - see register MLCF|selling</t>
  </si>
  <si>
    <t>Input - see register MLCF|admin</t>
  </si>
  <si>
    <t>Input - see register MLCF|impair</t>
  </si>
  <si>
    <t>Input - see register MLCF|oth_exp</t>
  </si>
  <si>
    <t>Input - see register MLCF|oth_inc</t>
  </si>
  <si>
    <t>Input - see register MLCF|fin_inc</t>
  </si>
  <si>
    <t>Input - see register MLCF|assoc</t>
  </si>
  <si>
    <t>Input - see register MLCF|fin_cost</t>
  </si>
  <si>
    <t>Input - see register MLCF|levy</t>
  </si>
  <si>
    <t>Input - see register MLCF|tax</t>
  </si>
  <si>
    <t>Input - see register MLCF|pr_gp</t>
  </si>
  <si>
    <t>Input - see register MLCF|pr_pbt</t>
  </si>
  <si>
    <t>Input - see register MLCF|pr_pat</t>
  </si>
  <si>
    <t>Input - see register MLCF|fc_nonint</t>
  </si>
  <si>
    <t>Input - see register MLCF|da</t>
  </si>
  <si>
    <t>Input - see register MLCF|cgo</t>
  </si>
  <si>
    <t>Input - see register MLCF|cfo</t>
  </si>
  <si>
    <t>Input - see register MLCF|fin_paid</t>
  </si>
  <si>
    <t>Input - see register MLCF|fin_paid_cls</t>
  </si>
  <si>
    <t>Financing</t>
  </si>
  <si>
    <t>Input - see register MLCF|capex</t>
  </si>
  <si>
    <t>Input - see register MLCF|cfi</t>
  </si>
  <si>
    <t>Input - see register MLCF|cff</t>
  </si>
  <si>
    <t>Input - see register MLCF|div_paid</t>
  </si>
  <si>
    <t>Input - see register MLCF|par</t>
  </si>
  <si>
    <t>Input - see register MLCF|wavg</t>
  </si>
  <si>
    <t>Input - see register MLCF|price</t>
  </si>
  <si>
    <t>Input - see register MLCF|dps</t>
  </si>
  <si>
    <t>Input - see register MLCF|eps_rep</t>
  </si>
  <si>
    <t>Input - see register MLCF|adj</t>
  </si>
  <si>
    <t>Fauji Cement Company Limited (FCCL) - five-year financial analysis, FY2021-FY2025</t>
  </si>
  <si>
    <t>Competitor 4 | PSX: FCCL | Standalone (single-entity financial statements; no consolidated statements published) | All amounts PKR million unless stated</t>
  </si>
  <si>
    <t>Fauji Cement Company Limited</t>
  </si>
  <si>
    <t>Competitor 4</t>
  </si>
  <si>
    <t>FY2021: FCCL-Annual-Report-2021.pdf; FY2022: FCCL-Annual-Report-2022.pdf; FY2023: FCCL-Annual-Report-2023.pdf; FY2024: FCCL-Annual-Report-2024.pdf; FY2025: FCCL-Annual-Report-2025.pdf</t>
  </si>
  <si>
    <t>Input - see register FCCL|ppe</t>
  </si>
  <si>
    <t>Input - see register FCCL|cwip</t>
  </si>
  <si>
    <t>Input - see register FCCL|rou</t>
  </si>
  <si>
    <t>Input - see register FCCL|intang</t>
  </si>
  <si>
    <t>Input - see register FCCL|inv_prop</t>
  </si>
  <si>
    <t>Input - see register FCCL|lt_inv</t>
  </si>
  <si>
    <t>Input - see register FCCL|nca_other</t>
  </si>
  <si>
    <t>Input - see register FCCL|stores</t>
  </si>
  <si>
    <t>Input - see register FCCL|sit</t>
  </si>
  <si>
    <t>Input - see register FCCL|debts</t>
  </si>
  <si>
    <t>Input - see register FCCL|st_inv</t>
  </si>
  <si>
    <t>Input - see register FCCL|cash</t>
  </si>
  <si>
    <t>Input - see register FCCL|ca_other</t>
  </si>
  <si>
    <t>Input - see register FCCL|share_cap</t>
  </si>
  <si>
    <t>Input - see register FCCL|eq_other</t>
  </si>
  <si>
    <t>Input - see register FCCL|ltf_nc</t>
  </si>
  <si>
    <t>Input - see register FCCL|lease_nc</t>
  </si>
  <si>
    <t>Input - see register FCCL|grant_nc</t>
  </si>
  <si>
    <t>Input - see register FCCL|def_tax</t>
  </si>
  <si>
    <t>Input - see register FCCL|ncl_other</t>
  </si>
  <si>
    <t>Input - see register FCCL|tap</t>
  </si>
  <si>
    <t>Input - see register FCCL|trade_cred</t>
  </si>
  <si>
    <t>Input - see register FCCL|contract</t>
  </si>
  <si>
    <t>Input - see register FCCL|acc_markup</t>
  </si>
  <si>
    <t>Input - see register FCCL|stb</t>
  </si>
  <si>
    <t>Input - see register FCCL|cp_ltf</t>
  </si>
  <si>
    <t>Input - see register FCCL|cp_lease</t>
  </si>
  <si>
    <t>Input - see register FCCL|cp_grant</t>
  </si>
  <si>
    <t>Input - see register FCCL|div_liab</t>
  </si>
  <si>
    <t>Input - see register FCCL|tax_liab</t>
  </si>
  <si>
    <t>Input - see register FCCL|cl_other</t>
  </si>
  <si>
    <t>Input - see register FCCL|pr_TA</t>
  </si>
  <si>
    <t>Input - see register FCCL|pr_EQ</t>
  </si>
  <si>
    <t>Input - see register FCCL|pr_CA</t>
  </si>
  <si>
    <t>Input - see register FCCL|pr_CL</t>
  </si>
  <si>
    <t>Input - see register FCCL|rev</t>
  </si>
  <si>
    <t>Input - see register FCCL|cogs</t>
  </si>
  <si>
    <t>Input - see register FCCL|selling</t>
  </si>
  <si>
    <t>Input - see register FCCL|admin</t>
  </si>
  <si>
    <t>Input - see register FCCL|impair</t>
  </si>
  <si>
    <t>Input - see register FCCL|oth_exp</t>
  </si>
  <si>
    <t>Input - see register FCCL|oth_inc</t>
  </si>
  <si>
    <t>Input - see register FCCL|fin_inc</t>
  </si>
  <si>
    <t>Input - see register FCCL|assoc</t>
  </si>
  <si>
    <t>Input - see register FCCL|fin_cost</t>
  </si>
  <si>
    <t>Input - see register FCCL|levy</t>
  </si>
  <si>
    <t>Input - see register FCCL|tax</t>
  </si>
  <si>
    <t>Input - see register FCCL|pr_gp</t>
  </si>
  <si>
    <t>Input - see register FCCL|pr_pbt</t>
  </si>
  <si>
    <t>Input - see register FCCL|pr_pat</t>
  </si>
  <si>
    <t>Input - see register FCCL|fc_nonint</t>
  </si>
  <si>
    <t>Input - see register FCCL|da</t>
  </si>
  <si>
    <t>Input - see register FCCL|cgo</t>
  </si>
  <si>
    <t>Input - see register FCCL|cfo</t>
  </si>
  <si>
    <t>Input - see register FCCL|fin_paid</t>
  </si>
  <si>
    <t>Input - see register FCCL|fin_paid_cls</t>
  </si>
  <si>
    <t>Input - see register FCCL|capex</t>
  </si>
  <si>
    <t>Input - see register FCCL|cfi</t>
  </si>
  <si>
    <t>Input - see register FCCL|cff</t>
  </si>
  <si>
    <t>Input - see register FCCL|div_paid</t>
  </si>
  <si>
    <t>Input - see register FCCL|par</t>
  </si>
  <si>
    <t>Input - see register FCCL|wavg</t>
  </si>
  <si>
    <t>Input - see register FCCL|price</t>
  </si>
  <si>
    <t>Input - see register FCCL|dps</t>
  </si>
  <si>
    <t>Input - see register FCCL|eps_rep</t>
  </si>
  <si>
    <t>Input - see register FCCL|adj</t>
  </si>
  <si>
    <t>All values are live links to the company sheets. Sample average = arithmetic mean of valid company observations (n/m excluded). Favourable/unfavourable shown only where direction is unambiguous.</t>
  </si>
  <si>
    <t>Category</t>
  </si>
  <si>
    <t>No.</t>
  </si>
  <si>
    <t>Measure</t>
  </si>
  <si>
    <t>Year</t>
  </si>
  <si>
    <t>Sample avg (5)</t>
  </si>
  <si>
    <t>N valid</t>
  </si>
  <si>
    <t>KOHC - avg</t>
  </si>
  <si>
    <t>4-competitor avg</t>
  </si>
  <si>
    <t>Median (5)</t>
  </si>
  <si>
    <t>Direction</t>
  </si>
  <si>
    <t>KOHC position vs average</t>
  </si>
  <si>
    <t>Notes</t>
  </si>
  <si>
    <t>Avg check</t>
  </si>
  <si>
    <t>LIQUIDITY</t>
  </si>
  <si>
    <t>Higher</t>
  </si>
  <si>
    <t>Absolute PKR m; average is descriptive only (size-driven)</t>
  </si>
  <si>
    <t>Context</t>
  </si>
  <si>
    <t>Net operating working capital (PKR m)</t>
  </si>
  <si>
    <t>ASSET MANAGEMENT</t>
  </si>
  <si>
    <t>Inventories incl. stores and spares</t>
  </si>
  <si>
    <t>Revenue proxy for credit sales</t>
  </si>
  <si>
    <t>Trade creditors basis; cost of sales used as purchases proxy</t>
  </si>
  <si>
    <t>Lower</t>
  </si>
  <si>
    <t>Higher DPO = more supplier credit; context-dependent</t>
  </si>
  <si>
    <t>PPE excl. CWIP</t>
  </si>
  <si>
    <t>DEBT MANAGEMENT</t>
  </si>
  <si>
    <t>Debt ratio</t>
  </si>
  <si>
    <t>Total liabilities basis (project definition)</t>
  </si>
  <si>
    <t>Interest-bearing debt basis</t>
  </si>
  <si>
    <t>Total debt-to-capital</t>
  </si>
  <si>
    <t>Long-term debt ratio</t>
  </si>
  <si>
    <t>n/m if interest &lt;= 0</t>
  </si>
  <si>
    <t>Times interest earned</t>
  </si>
  <si>
    <t>PROFITABILITY</t>
  </si>
  <si>
    <t>21. Net debt / EBITDA</t>
  </si>
  <si>
    <t>Negative = net cash position</t>
  </si>
  <si>
    <t>Operating margin</t>
  </si>
  <si>
    <t>Average equity</t>
  </si>
  <si>
    <t>Return on invested capital</t>
  </si>
  <si>
    <t>Basic earning power</t>
  </si>
  <si>
    <t>MARKET VALUE</t>
  </si>
  <si>
    <t>28. Basic earning power (BEP)</t>
  </si>
  <si>
    <t>Per-share: not comparable across companies</t>
  </si>
  <si>
    <t>Context: high M/B may reflect growth expectations or low book base</t>
  </si>
  <si>
    <t>Per-share: not comparable across companies; descriptive only</t>
  </si>
  <si>
    <t>n/m when EPS &lt;= 0 (DGKC FY2023)</t>
  </si>
  <si>
    <t>Price-to-earnings ratio</t>
  </si>
  <si>
    <t>KOHC and MLCF declared no cash dividends</t>
  </si>
  <si>
    <t>n/m when EPS &lt;= 0</t>
  </si>
  <si>
    <t>Supplementary</t>
  </si>
  <si>
    <t>S1</t>
  </si>
  <si>
    <t>S1. Return on capital employed (ROCE)</t>
  </si>
  <si>
    <t>S2</t>
  </si>
  <si>
    <t>S2. Operating cash flow to sales</t>
  </si>
  <si>
    <t>S3</t>
  </si>
  <si>
    <t>S3. Interest-bearing debt to equity (gearing)</t>
  </si>
  <si>
    <t>Sources &amp; Validation - audit register, validation checks, restatements and unresolved issues</t>
  </si>
  <si>
    <t>1. VALIDATION SUMMARY (PASS / REVIEW / FAIL; formula-driven unless marked)</t>
  </si>
  <si>
    <t>Check</t>
  </si>
  <si>
    <t>FY2020</t>
  </si>
  <si>
    <t>Assets = equity + liabilities</t>
  </si>
  <si>
    <t>Assets = audited printed total</t>
  </si>
  <si>
    <t>Equity / CA / CL = audited controls</t>
  </si>
  <si>
    <t>GP / PBT / PAT = audited controls</t>
  </si>
  <si>
    <t>Signed EPS / share-basis source check</t>
  </si>
  <si>
    <t>Opening denominator balances present</t>
  </si>
  <si>
    <t>All 33 independent checks</t>
  </si>
  <si>
    <t>n/m results (informational)</t>
  </si>
  <si>
    <t>PSX historical price evidence</t>
  </si>
  <si>
    <t>Verified official CLOSE</t>
  </si>
  <si>
    <t>VERIFIED PSX</t>
  </si>
  <si>
    <t>25 observations verified independently against PSX historical CLOSE records on 22 October 2026; see PSX Prices and Price Evidence.</t>
  </si>
  <si>
    <t>Workbook</t>
  </si>
  <si>
    <t>Industry sheet links equal company-sheet values (all companies)</t>
  </si>
  <si>
    <t>Sample-average formulas recomputed (Avg check column)</t>
  </si>
  <si>
    <t>Source register trace checks (every input = register value)</t>
  </si>
  <si>
    <t>Chart series reference live ranges (checked by build script)</t>
  </si>
  <si>
    <t>Native source references checked after export</t>
  </si>
  <si>
    <t>PASS</t>
  </si>
  <si>
    <t>2. UNRESOLVED / DOCUMENTED ISSUES</t>
  </si>
  <si>
    <t>Area</t>
  </si>
  <si>
    <t>Description</t>
  </si>
  <si>
    <t>Status</t>
  </si>
  <si>
    <t>KOHC, LUCK</t>
  </si>
  <si>
    <t>Replaced report-wide split basis with actual FY-end market basis. KOHC Rs 10 through FY2025. LUCK Rs 10 FY2021–24 and Rs 2 FY2025. Verified split dates and adjustments appear on Corporate Actions.</t>
  </si>
  <si>
    <t>CORRECTED</t>
  </si>
  <si>
    <t>All</t>
  </si>
  <si>
    <t>Share prices</t>
  </si>
  <si>
    <t>All 25 historical prices retrieved from PSX. KOHC FY2024 and FY2025 report prices disagree beyond rounding after confirmed split conversion. PSX close governs. See PSX Prices.</t>
  </si>
  <si>
    <t>PRICES VERIFIED; 2 REPORT DIFFERENCES</t>
  </si>
  <si>
    <t>Published price-to-book FY2021-23</t>
  </si>
  <si>
    <t>Company figures (0.23, 0.12, 0.14) inconsistent with its own price and breakup value; not relied on.</t>
  </si>
  <si>
    <t>REVIEW</t>
  </si>
  <si>
    <t>FY2021 tax reconciliation</t>
  </si>
  <si>
    <t>Note shows PBT 3,885.95m vs 4,885.95m on face of P&amp;L (printing slip; tax at 29% consistent with face figure).</t>
  </si>
  <si>
    <t>PASS (documented)</t>
  </si>
  <si>
    <t>Accrued mark-up</t>
  </si>
  <si>
    <t>Embedded accrued markup removed from IBD: FY2024 134.939770m, FY2025 47.420397m, per FY2025 note 6.1. Gross statement liabilities unchanged.</t>
  </si>
  <si>
    <t>From FY2025 AR, accrued mark-up is included within current portion of long-term financing (FY2024 PKR 135m). Slightly inflates FY2024-25 interest-bearing debt.</t>
  </si>
  <si>
    <t>FY2020 comparative footing</t>
  </si>
  <si>
    <t>Removed the 0.400m plug. Component sum retained; the FY2020 printed NCL subtotal conflict remains explicit.</t>
  </si>
  <si>
    <t>Deferred liabilities components sum PKR 0.4m less than printed subtotal; printed subtotal carried via other NCL.</t>
  </si>
  <si>
    <t>FY2025 deferred tax</t>
  </si>
  <si>
    <t>FY2025 AR combines deferred tax with other deferred liabilities on the face; shown in other non-current liabilities for FY2024-25.</t>
  </si>
  <si>
    <t>Weighted shares FY2022-23</t>
  </si>
  <si>
    <t>The reported2,353.539m weighted count numerically reconstructs by weighting272.5386m bonus shares for232/365days from11-Nov-2022, after10-Nov after-hours credit. IAS33 retrospective full-bonus treatment still gives2,452.8476m. Official accounting rationale remains unexplained; main correction preserved.</t>
  </si>
  <si>
    <t>FY2023 published WAVG 2,353.539m cannot be reconstructed from opening 2,180.309m and the sole 12.5% bonus issue. Standardized EPS uses full-year bonus denominator equal to closing shares per IAS 33.26–28. Company disclosure remains unreconciled.</t>
  </si>
  <si>
    <t>CORRECTED BASIS; REPORT UNRESOLVED</t>
  </si>
  <si>
    <t>Published P/E</t>
  </si>
  <si>
    <t>Company P/E not reproducible from its own disclosed price and EPS for several years.</t>
  </si>
  <si>
    <t>FY2022 CWIP</t>
  </si>
  <si>
    <t>FY2023 AR comparative table shows conflicting closing CWIP (2,513.6m vs 29,802.2m); CWIP movement note confirms 29,802.2m.</t>
  </si>
  <si>
    <t>Cost reclassification</t>
  </si>
  <si>
    <t>FY2023 comparatives in FY2024 AR moved ~PKR 1.75bn from cost of sales to distribution; FY2021-22 not restated (gross-margin break).</t>
  </si>
  <si>
    <t>FY2022 comparatives in FY2023 AR moved ~PKR 1.06bn from cost of sales to selling; FY2021 not restated.</t>
  </si>
  <si>
    <t>MLCF, FCCL</t>
  </si>
  <si>
    <t>Cash-flow classification</t>
  </si>
  <si>
    <t>Finance cost paid classifications retained as cash-flow information; OCF ratio removed from the 33-measure scope.</t>
  </si>
  <si>
    <t>Finance cost paid classified under financing (others: operating). Ratio 36 uses reported CFO; memo M4 shows adjusted basis.</t>
  </si>
  <si>
    <t>Credit sales and purchases</t>
  </si>
  <si>
    <t>Not disclosed; revenue and cost of sales used as proxies for receivables and payables turnover.</t>
  </si>
  <si>
    <t>FY2020 audited footing</t>
  </si>
  <si>
    <t>FY2021 comparative current-asset components sum to5,237,623,779 rupees versus printed5,237,623,778. The one-rupee difference is retained; no balancing adjustment.</t>
  </si>
  <si>
    <t>3. RESTATEMENT REGISTER (original own-year figure vs latest audited presentation used; PKR m)</t>
  </si>
  <si>
    <t>Stmt</t>
  </si>
  <si>
    <t>Original</t>
  </si>
  <si>
    <t>Restated (used)</t>
  </si>
  <si>
    <t>Difference</t>
  </si>
  <si>
    <t>Restated in</t>
  </si>
  <si>
    <t>SOFP</t>
  </si>
  <si>
    <t>inv_prop</t>
  </si>
  <si>
    <t>FY2022 AR (Kohat_Cement_AR_2022.pdf)</t>
  </si>
  <si>
    <t>nca_other</t>
  </si>
  <si>
    <t>ppe</t>
  </si>
  <si>
    <t>tap</t>
  </si>
  <si>
    <t>FY2024 AR (Kohat_Cement_Annual_Report-2024.pdf)</t>
  </si>
  <si>
    <t>tax_liab</t>
  </si>
  <si>
    <t>PL</t>
  </si>
  <si>
    <t>op_pres</t>
  </si>
  <si>
    <t>pbt</t>
  </si>
  <si>
    <t>tax</t>
  </si>
  <si>
    <t>CF</t>
  </si>
  <si>
    <t>cfi</t>
  </si>
  <si>
    <t>cfo</t>
  </si>
  <si>
    <t>cgo</t>
  </si>
  <si>
    <t>tax_paid</t>
  </si>
  <si>
    <t>acc_markup</t>
  </si>
  <si>
    <t>FY2025 AR (Kohat_Cement_Annual_Report_2025.pdf)</t>
  </si>
  <si>
    <t>ca_other</t>
  </si>
  <si>
    <t>cp_ltf</t>
  </si>
  <si>
    <t>stb</t>
  </si>
  <si>
    <t>oth_inc</t>
  </si>
  <si>
    <t>pat</t>
  </si>
  <si>
    <t>capex</t>
  </si>
  <si>
    <t>oth_exp</t>
  </si>
  <si>
    <t>FY2022 AR (2022.pdf)</t>
  </si>
  <si>
    <t>FY2023 AR (2023.pdf)</t>
  </si>
  <si>
    <t>cff</t>
  </si>
  <si>
    <t>FY2024 AR (2024.pdf)</t>
  </si>
  <si>
    <t>def_tax</t>
  </si>
  <si>
    <t>FY2025 AR (2025.pdf)</t>
  </si>
  <si>
    <t>ncl_other</t>
  </si>
  <si>
    <t>FY2024 AR (DGAnnual2024.pdf)</t>
  </si>
  <si>
    <t>admin</t>
  </si>
  <si>
    <t>gp</t>
  </si>
  <si>
    <t>rev</t>
  </si>
  <si>
    <t>selling</t>
  </si>
  <si>
    <t>debts</t>
  </si>
  <si>
    <t>stores</t>
  </si>
  <si>
    <t>cogs</t>
  </si>
  <si>
    <t>cp_grant</t>
  </si>
  <si>
    <t>FY2022 AR (FCCL-Annual-Report-2022.pdf)</t>
  </si>
  <si>
    <t>grant_nc</t>
  </si>
  <si>
    <t>FY2023 AR (FCCL-Annual-Report-2023.pdf)</t>
  </si>
  <si>
    <t>FY2024 AR (FCCL-Annual-Report-2024.pdf)</t>
  </si>
  <si>
    <t>fin_paid</t>
  </si>
  <si>
    <t>cl_other</t>
  </si>
  <si>
    <t>FY2025 AR (FCCL-Annual-Report-2025.pdf)</t>
  </si>
  <si>
    <t>4. SOURCE REGISTER - every blue input on the company sheets</t>
  </si>
  <si>
    <t>Ref ID</t>
  </si>
  <si>
    <t>Workbook item</t>
  </si>
  <si>
    <t>Statement</t>
  </si>
  <si>
    <t>Line item(s) as printed</t>
  </si>
  <si>
    <t>Annual report file</t>
  </si>
  <si>
    <t>Presentation used</t>
  </si>
  <si>
    <t>Column</t>
  </si>
  <si>
    <t>PDF page</t>
  </si>
  <si>
    <t>Printed page</t>
  </si>
  <si>
    <t>Note</t>
  </si>
  <si>
    <t>Original units</t>
  </si>
  <si>
    <t>Extracted (original units)</t>
  </si>
  <si>
    <t>Normalised (PKR m / as stated)</t>
  </si>
  <si>
    <t>Company-sheet value</t>
  </si>
  <si>
    <t>Trace</t>
  </si>
  <si>
    <t>Basis</t>
  </si>
  <si>
    <t>Remarks</t>
  </si>
  <si>
    <t>KOHC|ppe|2020</t>
  </si>
  <si>
    <t>Property, plant and equipment</t>
  </si>
  <si>
    <t>KOHC_AR_2021.pdf</t>
  </si>
  <si>
    <t>FY2021 AR</t>
  </si>
  <si>
    <t>Comparative</t>
  </si>
  <si>
    <t>n/d</t>
  </si>
  <si>
    <t>15</t>
  </si>
  <si>
    <t>Rupees</t>
  </si>
  <si>
    <t>Standalone</t>
  </si>
  <si>
    <t>KOHC|ppe|2021</t>
  </si>
  <si>
    <t>Kohat_Cement_AR_2022.pdf</t>
  </si>
  <si>
    <t>FY2022 AR</t>
  </si>
  <si>
    <t>Restated vs own-year report (see restatement register)</t>
  </si>
  <si>
    <t>KOHC|ppe|2022</t>
  </si>
  <si>
    <t>Financial_Statements-30-06-2023.pdf</t>
  </si>
  <si>
    <t>FY2023 AR</t>
  </si>
  <si>
    <t>KOHC|ppe|2023</t>
  </si>
  <si>
    <t>Kohat_Cement_Annual_Report-2024.pdf</t>
  </si>
  <si>
    <t>FY2024 AR</t>
  </si>
  <si>
    <t>14</t>
  </si>
  <si>
    <t>KOHC|ppe|2024</t>
  </si>
  <si>
    <t>Kohat_Cement_Annual_Report_2025.pdf</t>
  </si>
  <si>
    <t>FY2025 AR</t>
  </si>
  <si>
    <t>13</t>
  </si>
  <si>
    <t>KOHC|ppe|2025</t>
  </si>
  <si>
    <t>Current year</t>
  </si>
  <si>
    <t>KOHC|cwip|2020</t>
  </si>
  <si>
    <t>of which: capital work-in-progress (note)</t>
  </si>
  <si>
    <t>Notes / market data</t>
  </si>
  <si>
    <t>Capital work in progress</t>
  </si>
  <si>
    <t>70</t>
  </si>
  <si>
    <t>KOHC|cwip|2021</t>
  </si>
  <si>
    <t>KOHC|cwip|2022</t>
  </si>
  <si>
    <t>KOHC|cwip|2023</t>
  </si>
  <si>
    <t>KOHC|cwip|2024</t>
  </si>
  <si>
    <t>KOHC|cwip|2025</t>
  </si>
  <si>
    <t>KOHC|rou|2020</t>
  </si>
  <si>
    <t>30</t>
  </si>
  <si>
    <t>KOHC|rou|2021</t>
  </si>
  <si>
    <t>KOHC|rou|2022</t>
  </si>
  <si>
    <t>KOHC|rou|2023</t>
  </si>
  <si>
    <t>KOHC|rou|2024</t>
  </si>
  <si>
    <t>66</t>
  </si>
  <si>
    <t>KOHC|rou|2025</t>
  </si>
  <si>
    <t>KOHC|intang|2020</t>
  </si>
  <si>
    <t>Intangibles</t>
  </si>
  <si>
    <t>16</t>
  </si>
  <si>
    <t>KOHC|intang|2021</t>
  </si>
  <si>
    <t>KOHC|intang|2022</t>
  </si>
  <si>
    <t>KOHC|intang|2023</t>
  </si>
  <si>
    <t>KOHC|intang|2024</t>
  </si>
  <si>
    <t>KOHC|intang|2025</t>
  </si>
  <si>
    <t>KOHC|inv_prop|2020</t>
  </si>
  <si>
    <t>18</t>
  </si>
  <si>
    <t>KOHC|inv_prop|2021</t>
  </si>
  <si>
    <t>19</t>
  </si>
  <si>
    <t>KOHC|inv_prop|2022</t>
  </si>
  <si>
    <t>KOHC|inv_prop|2023</t>
  </si>
  <si>
    <t>KOHC|inv_prop|2024</t>
  </si>
  <si>
    <t>17</t>
  </si>
  <si>
    <t>KOHC|inv_prop|2025</t>
  </si>
  <si>
    <t>KOHC|lt_inv|2020</t>
  </si>
  <si>
    <t>KOHC|lt_inv|2021</t>
  </si>
  <si>
    <t>KOHC|lt_inv|2022</t>
  </si>
  <si>
    <t>KOHC|lt_inv|2023</t>
  </si>
  <si>
    <t>KOHC|lt_inv|2024</t>
  </si>
  <si>
    <t>KOHC|lt_inv|2025</t>
  </si>
  <si>
    <t>KOHC|nca_other|2020</t>
  </si>
  <si>
    <t>Long term deposits</t>
  </si>
  <si>
    <t>KOHC|nca_other|2021</t>
  </si>
  <si>
    <t>Long term deposits; Long term loans and advances</t>
  </si>
  <si>
    <t>KOHC|nca_other|2022</t>
  </si>
  <si>
    <t>KOHC|nca_other|2023</t>
  </si>
  <si>
    <t>KOHC|nca_other|2024</t>
  </si>
  <si>
    <t>KOHC|nca_other|2025</t>
  </si>
  <si>
    <t>KOHC|stores|2020</t>
  </si>
  <si>
    <t>KOHC|stores|2021</t>
  </si>
  <si>
    <t>20</t>
  </si>
  <si>
    <t>KOHC|stores|2022</t>
  </si>
  <si>
    <t>KOHC|stores|2023</t>
  </si>
  <si>
    <t>KOHC|stores|2024</t>
  </si>
  <si>
    <t>KOHC|stores|2025</t>
  </si>
  <si>
    <t>KOHC|sit|2020</t>
  </si>
  <si>
    <t>KOHC|sit|2021</t>
  </si>
  <si>
    <t>21</t>
  </si>
  <si>
    <t>KOHC|sit|2022</t>
  </si>
  <si>
    <t>KOHC|sit|2023</t>
  </si>
  <si>
    <t>KOHC|sit|2024</t>
  </si>
  <si>
    <t>KOHC|sit|2025</t>
  </si>
  <si>
    <t>KOHC|debts|2020</t>
  </si>
  <si>
    <t>Trade debts - unsecured, considered good</t>
  </si>
  <si>
    <t>KOHC|debts|2021</t>
  </si>
  <si>
    <t>22</t>
  </si>
  <si>
    <t>KOHC|debts|2022</t>
  </si>
  <si>
    <t>KOHC|debts|2023</t>
  </si>
  <si>
    <t>KOHC|debts|2024</t>
  </si>
  <si>
    <t>KOHC|debts|2025</t>
  </si>
  <si>
    <t>KOHC|st_inv|2020</t>
  </si>
  <si>
    <t>Short term investments</t>
  </si>
  <si>
    <t>KOHC|st_inv|2021</t>
  </si>
  <si>
    <t>23</t>
  </si>
  <si>
    <t>KOHC|st_inv|2022</t>
  </si>
  <si>
    <t>KOHC|st_inv|2023</t>
  </si>
  <si>
    <t>KOHC|st_inv|2024</t>
  </si>
  <si>
    <t>KOHC|st_inv|2025</t>
  </si>
  <si>
    <t>KOHC|cash|2020</t>
  </si>
  <si>
    <t>24</t>
  </si>
  <si>
    <t>KOHC|cash|2021</t>
  </si>
  <si>
    <t>25</t>
  </si>
  <si>
    <t>KOHC|cash|2022</t>
  </si>
  <si>
    <t>KOHC|cash|2023</t>
  </si>
  <si>
    <t>KOHC|cash|2024</t>
  </si>
  <si>
    <t>KOHC|cash|2025</t>
  </si>
  <si>
    <t>KOHC|ca_other|2020</t>
  </si>
  <si>
    <t>Advances, deposits, prepayments and othe</t>
  </si>
  <si>
    <t>KOHC|ca_other|2021</t>
  </si>
  <si>
    <t>KOHC|ca_other|2022</t>
  </si>
  <si>
    <t>Loans, Advances, deposits, prepayments a</t>
  </si>
  <si>
    <t>KOHC|ca_other|2023</t>
  </si>
  <si>
    <t>KOHC|ca_other|2024</t>
  </si>
  <si>
    <t>Loans, advances, deposits, prepayments a</t>
  </si>
  <si>
    <t>KOHC|ca_other|2025</t>
  </si>
  <si>
    <t>KOHC|share_cap|2020</t>
  </si>
  <si>
    <t>Issued, subscribed and paid-up capital</t>
  </si>
  <si>
    <t>4</t>
  </si>
  <si>
    <t>KOHC|share_cap|2021</t>
  </si>
  <si>
    <t>KOHC|share_cap|2022</t>
  </si>
  <si>
    <t>KOHC|share_cap|2023</t>
  </si>
  <si>
    <t>KOHC|share_cap|2024</t>
  </si>
  <si>
    <t>KOHC|share_cap|2025</t>
  </si>
  <si>
    <t>KOHC|eq_other|2020</t>
  </si>
  <si>
    <t>Accumulated profits; Reserves</t>
  </si>
  <si>
    <t>KOHC|eq_other|2021</t>
  </si>
  <si>
    <t>KOHC|eq_other|2022</t>
  </si>
  <si>
    <t>KOHC|eq_other|2023</t>
  </si>
  <si>
    <t>KOHC|eq_other|2024</t>
  </si>
  <si>
    <t>KOHC|eq_other|2025</t>
  </si>
  <si>
    <t>KOHC|ltf_nc|2020</t>
  </si>
  <si>
    <t>Long term financing - secured</t>
  </si>
  <si>
    <t>6</t>
  </si>
  <si>
    <t>KOHC|ltf_nc|2021</t>
  </si>
  <si>
    <t>KOHC|ltf_nc|2022</t>
  </si>
  <si>
    <t>KOHC|ltf_nc|2023</t>
  </si>
  <si>
    <t>KOHC|ltf_nc|2024</t>
  </si>
  <si>
    <t>KOHC|ltf_nc|2025</t>
  </si>
  <si>
    <t>KOHC|lease_nc|2020</t>
  </si>
  <si>
    <t>KOHC|lease_nc|2021</t>
  </si>
  <si>
    <t>KOHC|lease_nc|2022</t>
  </si>
  <si>
    <t>KOHC|lease_nc|2023</t>
  </si>
  <si>
    <t>KOHC|lease_nc|2024</t>
  </si>
  <si>
    <t>KOHC|lease_nc|2025</t>
  </si>
  <si>
    <t>KOHC|grant_nc|2020</t>
  </si>
  <si>
    <t>Deferred grant</t>
  </si>
  <si>
    <t>6.8</t>
  </si>
  <si>
    <t>KOHC|grant_nc|2021</t>
  </si>
  <si>
    <t>KOHC|grant_nc|2022</t>
  </si>
  <si>
    <t>KOHC|grant_nc|2023</t>
  </si>
  <si>
    <t>KOHC|grant_nc|2024</t>
  </si>
  <si>
    <t>KOHC|grant_nc|2025</t>
  </si>
  <si>
    <t>KOHC|def_tax|2020</t>
  </si>
  <si>
    <t>Deferred liabilities - deferred taxation</t>
  </si>
  <si>
    <t>KOHC|def_tax|2021</t>
  </si>
  <si>
    <t>KOHC|def_tax|2022</t>
  </si>
  <si>
    <t>KOHC|def_tax|2023</t>
  </si>
  <si>
    <t>KOHC|def_tax|2024</t>
  </si>
  <si>
    <t>KOHC|def_tax|2025</t>
  </si>
  <si>
    <t>KOHC|ncl_other|2020</t>
  </si>
  <si>
    <t>- compensated absences; Long term deposits</t>
  </si>
  <si>
    <t>8.2</t>
  </si>
  <si>
    <t>KOHC|ncl_other|2021</t>
  </si>
  <si>
    <t>KOHC|ncl_other|2022</t>
  </si>
  <si>
    <t>KOHC|ncl_other|2023</t>
  </si>
  <si>
    <t>KOHC|ncl_other|2024</t>
  </si>
  <si>
    <t>KOHC|ncl_other|2025</t>
  </si>
  <si>
    <t>KOHC|tap|2020</t>
  </si>
  <si>
    <t>9</t>
  </si>
  <si>
    <t>KOHC|tap|2021</t>
  </si>
  <si>
    <t>KOHC|tap|2022</t>
  </si>
  <si>
    <t>KOHC|tap|2023</t>
  </si>
  <si>
    <t>KOHC|tap|2024</t>
  </si>
  <si>
    <t>KOHC|tap|2025</t>
  </si>
  <si>
    <t>KOHC|trade_cred|2020</t>
  </si>
  <si>
    <t>memo: trade creditors / bills payable (note)</t>
  </si>
  <si>
    <t>Trade creditors - local; Trade creditors - imports</t>
  </si>
  <si>
    <t>KOHC|trade_cred|2021</t>
  </si>
  <si>
    <t>KOHC|trade_cred|2022</t>
  </si>
  <si>
    <t>KOHC|trade_cred|2023</t>
  </si>
  <si>
    <t>KOHC|trade_cred|2024</t>
  </si>
  <si>
    <t>Trade creditors - local; Imports bills payable</t>
  </si>
  <si>
    <t>KOHC|trade_cred|2025</t>
  </si>
  <si>
    <t>KOHC|contract|2020</t>
  </si>
  <si>
    <t>Contract liability</t>
  </si>
  <si>
    <t>10</t>
  </si>
  <si>
    <t>KOHC|contract|2021</t>
  </si>
  <si>
    <t>KOHC|contract|2022</t>
  </si>
  <si>
    <t>KOHC|contract|2023</t>
  </si>
  <si>
    <t>KOHC|contract|2024</t>
  </si>
  <si>
    <t>24.1.3</t>
  </si>
  <si>
    <t>KOHC|contract|2025</t>
  </si>
  <si>
    <t>KOHC|acc_markup|2020</t>
  </si>
  <si>
    <t>Mark-up accrued on borrowings</t>
  </si>
  <si>
    <t>KOHC|acc_markup|2021</t>
  </si>
  <si>
    <t>KOHC|acc_markup|2022</t>
  </si>
  <si>
    <t>KOHC|acc_markup|2023</t>
  </si>
  <si>
    <t>12</t>
  </si>
  <si>
    <t>KOHC|acc_markup|2024</t>
  </si>
  <si>
    <t>KOHC|acc_markup|2025</t>
  </si>
  <si>
    <t>KOHC|stb|2020</t>
  </si>
  <si>
    <t>Short term borrowings - secured</t>
  </si>
  <si>
    <t>KOHC|stb|2021</t>
  </si>
  <si>
    <t>KOHC|stb|2022</t>
  </si>
  <si>
    <t>KOHC|stb|2023</t>
  </si>
  <si>
    <t>KOHC|stb|2024</t>
  </si>
  <si>
    <t>11</t>
  </si>
  <si>
    <t>KOHC|stb|2025</t>
  </si>
  <si>
    <t>KOHC|cp_ltf|2020</t>
  </si>
  <si>
    <t>Current portion of long term financing</t>
  </si>
  <si>
    <t>KOHC|cp_ltf|2021</t>
  </si>
  <si>
    <t>KOHC|cp_ltf|2022</t>
  </si>
  <si>
    <t>KOHC|cp_ltf|2023</t>
  </si>
  <si>
    <t>KOHC|cp_ltf|2024</t>
  </si>
  <si>
    <t>KOHC|cp_ltf|2025</t>
  </si>
  <si>
    <t>KOHC|cp_lease|2020</t>
  </si>
  <si>
    <t>KOHC|cp_lease|2021</t>
  </si>
  <si>
    <t>KOHC|cp_lease|2022</t>
  </si>
  <si>
    <t>KOHC|cp_lease|2023</t>
  </si>
  <si>
    <t>KOHC|cp_lease|2024</t>
  </si>
  <si>
    <t>KOHC|cp_lease|2025</t>
  </si>
  <si>
    <t>KOHC|cp_grant|2020</t>
  </si>
  <si>
    <t>KOHC|cp_grant|2021</t>
  </si>
  <si>
    <t>KOHC|cp_grant|2022</t>
  </si>
  <si>
    <t>KOHC|cp_grant|2023</t>
  </si>
  <si>
    <t>KOHC|cp_grant|2024</t>
  </si>
  <si>
    <t>KOHC|cp_grant|2025</t>
  </si>
  <si>
    <t>KOHC|div_liab|2020</t>
  </si>
  <si>
    <t>Dividend payable; Unclaimed dividend</t>
  </si>
  <si>
    <t>KOHC|div_liab|2021</t>
  </si>
  <si>
    <t>KOHC|div_liab|2022</t>
  </si>
  <si>
    <t>KOHC|div_liab|2023</t>
  </si>
  <si>
    <t>KOHC|div_liab|2024</t>
  </si>
  <si>
    <t>KOHC|div_liab|2025</t>
  </si>
  <si>
    <t>KOHC|tax_liab|2020</t>
  </si>
  <si>
    <t>Provision for taxation - net</t>
  </si>
  <si>
    <t>KOHC|tax_liab|2021</t>
  </si>
  <si>
    <t>KOHC|tax_liab|2022</t>
  </si>
  <si>
    <t>KOHC|tax_liab|2023</t>
  </si>
  <si>
    <t>KOHC|tax_liab|2024</t>
  </si>
  <si>
    <t>KOHC|tax_liab|2025</t>
  </si>
  <si>
    <t>KOHC|cl_other|2020</t>
  </si>
  <si>
    <t>KOHC|cl_other|2021</t>
  </si>
  <si>
    <t>KOHC|cl_other|2022</t>
  </si>
  <si>
    <t>KOHC|cl_other|2023</t>
  </si>
  <si>
    <t>KOHC|cl_other|2024</t>
  </si>
  <si>
    <t>KOHC|cl_other|2025</t>
  </si>
  <si>
    <t>KOHC|pr_TA|2020</t>
  </si>
  <si>
    <t>KOHC|pr_TA|2021</t>
  </si>
  <si>
    <t>KOHC|pr_TA|2022</t>
  </si>
  <si>
    <t>KOHC|pr_TA|2023</t>
  </si>
  <si>
    <t>KOHC|pr_TA|2024</t>
  </si>
  <si>
    <t>KOHC|pr_TA|2025</t>
  </si>
  <si>
    <t>KOHC|pr_EQ|2020</t>
  </si>
  <si>
    <t>KOHC|pr_EQ|2021</t>
  </si>
  <si>
    <t>KOHC|pr_EQ|2022</t>
  </si>
  <si>
    <t>KOHC|pr_EQ|2023</t>
  </si>
  <si>
    <t>KOHC|pr_EQ|2024</t>
  </si>
  <si>
    <t>KOHC|pr_EQ|2025</t>
  </si>
  <si>
    <t>KOHC|pr_CA|2020</t>
  </si>
  <si>
    <t>KOHC|pr_CA|2021</t>
  </si>
  <si>
    <t>KOHC|pr_CA|2022</t>
  </si>
  <si>
    <t>KOHC|pr_CA|2023</t>
  </si>
  <si>
    <t>KOHC|pr_CA|2024</t>
  </si>
  <si>
    <t>KOHC|pr_CA|2025</t>
  </si>
  <si>
    <t>KOHC|pr_CL|2020</t>
  </si>
  <si>
    <t>KOHC|pr_CL|2021</t>
  </si>
  <si>
    <t>KOHC|pr_CL|2022</t>
  </si>
  <si>
    <t>KOHC|pr_CL|2023</t>
  </si>
  <si>
    <t>KOHC|pr_CL|2024</t>
  </si>
  <si>
    <t>KOHC|pr_CL|2025</t>
  </si>
  <si>
    <t>KOHC|rev|2021</t>
  </si>
  <si>
    <t>P&amp;L</t>
  </si>
  <si>
    <t>Sales-net</t>
  </si>
  <si>
    <t>KOHC|rev|2022</t>
  </si>
  <si>
    <t>KOHC|rev|2023</t>
  </si>
  <si>
    <t>KOHC|rev|2024</t>
  </si>
  <si>
    <t>68</t>
  </si>
  <si>
    <t>KOHC|rev|2025</t>
  </si>
  <si>
    <t>KOHC|cogs|2021</t>
  </si>
  <si>
    <t>KOHC|cogs|2022</t>
  </si>
  <si>
    <t>KOHC|cogs|2023</t>
  </si>
  <si>
    <t>KOHC|cogs|2024</t>
  </si>
  <si>
    <t>KOHC|cogs|2025</t>
  </si>
  <si>
    <t>KOHC|selling|2021</t>
  </si>
  <si>
    <t>KOHC|selling|2022</t>
  </si>
  <si>
    <t>KOHC|selling|2023</t>
  </si>
  <si>
    <t>KOHC|selling|2024</t>
  </si>
  <si>
    <t>KOHC|selling|2025</t>
  </si>
  <si>
    <t>KOHC|admin|2021</t>
  </si>
  <si>
    <t>Administrative and general expenses</t>
  </si>
  <si>
    <t>KOHC|admin|2022</t>
  </si>
  <si>
    <t>KOHC|admin|2023</t>
  </si>
  <si>
    <t>KOHC|admin|2024</t>
  </si>
  <si>
    <t>KOHC|admin|2025</t>
  </si>
  <si>
    <t>KOHC|impair|2021</t>
  </si>
  <si>
    <t>KOHC|impair|2022</t>
  </si>
  <si>
    <t>KOHC|impair|2023</t>
  </si>
  <si>
    <t>KOHC|impair|2024</t>
  </si>
  <si>
    <t>(Allowance) / reversal of expected credi</t>
  </si>
  <si>
    <t>KOHC|impair|2025</t>
  </si>
  <si>
    <t>KOHC|oth_exp|2021</t>
  </si>
  <si>
    <t>Other expenses</t>
  </si>
  <si>
    <t>KOHC|oth_exp|2022</t>
  </si>
  <si>
    <t>KOHC|oth_exp|2023</t>
  </si>
  <si>
    <t>KOHC|oth_exp|2024</t>
  </si>
  <si>
    <t>KOHC|oth_exp|2025</t>
  </si>
  <si>
    <t>KOHC|oth_inc|2021</t>
  </si>
  <si>
    <t>KOHC|oth_inc|2022</t>
  </si>
  <si>
    <t>KOHC|oth_inc|2023</t>
  </si>
  <si>
    <t>KOHC|oth_inc|2024</t>
  </si>
  <si>
    <t>KOHC|oth_inc|2025</t>
  </si>
  <si>
    <t>KOHC|fin_inc|2021</t>
  </si>
  <si>
    <t>KOHC|fin_inc|2022</t>
  </si>
  <si>
    <t>KOHC|fin_inc|2023</t>
  </si>
  <si>
    <t>KOHC|fin_inc|2024</t>
  </si>
  <si>
    <t>KOHC|fin_inc|2025</t>
  </si>
  <si>
    <t>KOHC|assoc|2021</t>
  </si>
  <si>
    <t>KOHC|assoc|2022</t>
  </si>
  <si>
    <t>KOHC|assoc|2023</t>
  </si>
  <si>
    <t>KOHC|assoc|2024</t>
  </si>
  <si>
    <t>KOHC|assoc|2025</t>
  </si>
  <si>
    <t>KOHC|fin_cost|2021</t>
  </si>
  <si>
    <t>KOHC|fin_cost|2022</t>
  </si>
  <si>
    <t>KOHC|fin_cost|2023</t>
  </si>
  <si>
    <t>KOHC|fin_cost|2024</t>
  </si>
  <si>
    <t>KOHC|fin_cost|2025</t>
  </si>
  <si>
    <t>KOHC|levy|2021</t>
  </si>
  <si>
    <t>KOHC|levy|2022</t>
  </si>
  <si>
    <t>KOHC|levy|2023</t>
  </si>
  <si>
    <t>Final tax</t>
  </si>
  <si>
    <t>KOHC|levy|2024</t>
  </si>
  <si>
    <t>KOHC|levy|2025</t>
  </si>
  <si>
    <t>KOHC|tax|2021</t>
  </si>
  <si>
    <t>Taxation</t>
  </si>
  <si>
    <t>KOHC|tax|2022</t>
  </si>
  <si>
    <t>KOHC|tax|2023</t>
  </si>
  <si>
    <t>KOHC|tax|2024</t>
  </si>
  <si>
    <t>KOHC|tax|2025</t>
  </si>
  <si>
    <t>KOHC|pr_gp|2021</t>
  </si>
  <si>
    <t>Gross Profit</t>
  </si>
  <si>
    <t>KOHC|pr_gp|2022</t>
  </si>
  <si>
    <t>KOHC|pr_gp|2023</t>
  </si>
  <si>
    <t>KOHC|pr_gp|2024</t>
  </si>
  <si>
    <t>KOHC|pr_gp|2025</t>
  </si>
  <si>
    <t>KOHC|pr_pbt|2021</t>
  </si>
  <si>
    <t>Profit before taxation</t>
  </si>
  <si>
    <t>KOHC|pr_pbt|2022</t>
  </si>
  <si>
    <t>KOHC|pr_pbt|2023</t>
  </si>
  <si>
    <t>Profit before income tax and final tax</t>
  </si>
  <si>
    <t>KOHC|pr_pbt|2024</t>
  </si>
  <si>
    <t>KOHC|pr_pbt|2025</t>
  </si>
  <si>
    <t>KOHC|pr_pat|2021</t>
  </si>
  <si>
    <t>Profit after taxation</t>
  </si>
  <si>
    <t>KOHC|pr_pat|2022</t>
  </si>
  <si>
    <t>KOHC|pr_pat|2023</t>
  </si>
  <si>
    <t>KOHC|pr_pat|2024</t>
  </si>
  <si>
    <t>KOHC|pr_pat|2025</t>
  </si>
  <si>
    <t>KOHC|fc_nonint|2021</t>
  </si>
  <si>
    <t>Bank charges, commission and o</t>
  </si>
  <si>
    <t>92</t>
  </si>
  <si>
    <t>KOHC|fc_nonint|2022</t>
  </si>
  <si>
    <t>90</t>
  </si>
  <si>
    <t>KOHC|fc_nonint|2023</t>
  </si>
  <si>
    <t>98</t>
  </si>
  <si>
    <t>KOHC|fc_nonint|2024</t>
  </si>
  <si>
    <t>106</t>
  </si>
  <si>
    <t>KOHC|fc_nonint|2025</t>
  </si>
  <si>
    <t>KOHC|da|2021</t>
  </si>
  <si>
    <t>Cash flow</t>
  </si>
  <si>
    <t>Depreciation on property, plant and; Amortization on intangibles</t>
  </si>
  <si>
    <t>KOHC|da|2022</t>
  </si>
  <si>
    <t>KOHC|da|2023</t>
  </si>
  <si>
    <t>100</t>
  </si>
  <si>
    <t>KOHC|da|2024</t>
  </si>
  <si>
    <t>108</t>
  </si>
  <si>
    <t>KOHC|da|2025</t>
  </si>
  <si>
    <t>KOHC|cgo|2021</t>
  </si>
  <si>
    <t>Cash generated from operations</t>
  </si>
  <si>
    <t>KOHC|cgo|2022</t>
  </si>
  <si>
    <t>KOHC|cgo|2023</t>
  </si>
  <si>
    <t>KOHC|cgo|2024</t>
  </si>
  <si>
    <t>KOHC|cgo|2025</t>
  </si>
  <si>
    <t>KOHC|cfo|2021</t>
  </si>
  <si>
    <t>Net cash generated from operating activi</t>
  </si>
  <si>
    <t>KOHC|cfo|2022</t>
  </si>
  <si>
    <t>KOHC|cfo|2023</t>
  </si>
  <si>
    <t>KOHC|cfo|2024</t>
  </si>
  <si>
    <t>KOHC|cfo|2025</t>
  </si>
  <si>
    <t>KOHC|fin_paid|2021</t>
  </si>
  <si>
    <t>Finance cost paid</t>
  </si>
  <si>
    <t>KOHC|fin_paid|2022</t>
  </si>
  <si>
    <t>KOHC|fin_paid|2023</t>
  </si>
  <si>
    <t>KOHC|fin_paid|2024</t>
  </si>
  <si>
    <t>KOHC|fin_paid|2025</t>
  </si>
  <si>
    <t>KOHC|fin_paid_cls|2021</t>
  </si>
  <si>
    <t>Section of cash flow statement in which finance cost paid appears</t>
  </si>
  <si>
    <t>KOHC|fin_paid_cls|2022</t>
  </si>
  <si>
    <t>KOHC|fin_paid_cls|2023</t>
  </si>
  <si>
    <t>KOHC|fin_paid_cls|2024</t>
  </si>
  <si>
    <t>KOHC|fin_paid_cls|2025</t>
  </si>
  <si>
    <t>KOHC|capex|2021</t>
  </si>
  <si>
    <t>Acquisition of property, plant and equip</t>
  </si>
  <si>
    <t>KOHC|capex|2022</t>
  </si>
  <si>
    <t>KOHC|capex|2023</t>
  </si>
  <si>
    <t>KOHC|capex|2024</t>
  </si>
  <si>
    <t>KOHC|capex|2025</t>
  </si>
  <si>
    <t>KOHC|cfi|2021</t>
  </si>
  <si>
    <t>Net cash used in investing activities</t>
  </si>
  <si>
    <t>KOHC|cfi|2022</t>
  </si>
  <si>
    <t>KOHC|cfi|2023</t>
  </si>
  <si>
    <t>KOHC|cfi|2024</t>
  </si>
  <si>
    <t>KOHC|cfi|2025</t>
  </si>
  <si>
    <t>KOHC|cff|2021</t>
  </si>
  <si>
    <t>Net cash used in financing activities</t>
  </si>
  <si>
    <t>KOHC|cff|2022</t>
  </si>
  <si>
    <t>KOHC|cff|2023</t>
  </si>
  <si>
    <t>KOHC|cff|2024</t>
  </si>
  <si>
    <t>KOHC|cff|2025</t>
  </si>
  <si>
    <t>KOHC|div_paid|2021</t>
  </si>
  <si>
    <t>Dividend paid</t>
  </si>
  <si>
    <t>KOHC|div_paid|2022</t>
  </si>
  <si>
    <t>KOHC|div_paid|2023</t>
  </si>
  <si>
    <t>KOHC|div_paid|2024</t>
  </si>
  <si>
    <t>KOHC|div_paid|2025</t>
  </si>
  <si>
    <t>KOHC|par|2021</t>
  </si>
  <si>
    <t>Share capital caption (par value)</t>
  </si>
  <si>
    <t>82</t>
  </si>
  <si>
    <t>Verified FY-end share basis; see Share Basis and Corporate Actions for source excerpts and normalization. Original source metadata superseded where the basis changed.</t>
  </si>
  <si>
    <t>KOHC|par|2022</t>
  </si>
  <si>
    <t>KOHC|par|2023</t>
  </si>
  <si>
    <t>KOHC|par|2024</t>
  </si>
  <si>
    <t>KOHC|par|2025</t>
  </si>
  <si>
    <t>KOHC|wavg|2021</t>
  </si>
  <si>
    <t>EPS note (weighted average shares)</t>
  </si>
  <si>
    <t>KOHC|wavg|2022</t>
  </si>
  <si>
    <t>KOHC|wavg|2023</t>
  </si>
  <si>
    <t>KOHC|wavg|2024</t>
  </si>
  <si>
    <t>KOHC|wavg|2025</t>
  </si>
  <si>
    <t>KOHC|price|2021</t>
  </si>
  <si>
    <t>Actual FY-end closing price (Rs; unadjusted)</t>
  </si>
  <si>
    <t>Official PSX historical CLOSE column</t>
  </si>
  <si>
    <t>PSX historical response; hash and raw row on Price Evidence</t>
  </si>
  <si>
    <t>https://dps.psx.com.pk/historical</t>
  </si>
  <si>
    <t>POST date=2021-06-30</t>
  </si>
  <si>
    <t>Unadjusted traded close. No split factor applied to PSX price. Original report figure and date evidence preserved on PSX Prices / Price Evidence.</t>
  </si>
  <si>
    <t>KOHC|price|2022</t>
  </si>
  <si>
    <t>POST date=2022-06-30</t>
  </si>
  <si>
    <t>KOHC|price|2023</t>
  </si>
  <si>
    <t>POST date=2023-06-27</t>
  </si>
  <si>
    <t>KOHC|price|2024</t>
  </si>
  <si>
    <t>POST date=2024-06-28</t>
  </si>
  <si>
    <t>KOHC|price|2025</t>
  </si>
  <si>
    <t>POST date=2025-06-30</t>
  </si>
  <si>
    <t>KOHC|dps|2021</t>
  </si>
  <si>
    <t>Cash dividend per share for the year</t>
  </si>
  <si>
    <t>KOHC|dps|2022</t>
  </si>
  <si>
    <t>KOHC|dps|2023</t>
  </si>
  <si>
    <t>KOHC|dps|2024</t>
  </si>
  <si>
    <t>KOHC|dps|2025</t>
  </si>
  <si>
    <t>KOHC|eps_rep|2021</t>
  </si>
  <si>
    <t>Reported basic EPS (Rs) - own-year audited statements</t>
  </si>
  <si>
    <t>Basic EPS on face of P&amp;L</t>
  </si>
  <si>
    <t>KOHC|eps_rep|2022</t>
  </si>
  <si>
    <t>KOHC|eps_rep|2023</t>
  </si>
  <si>
    <t>KOHC|eps_rep|2024</t>
  </si>
  <si>
    <t>KOHC|eps_rep|2025</t>
  </si>
  <si>
    <t>KOHC|adj|2021</t>
  </si>
  <si>
    <t>Split adjustment factor to FY2025 share basis (memo)</t>
  </si>
  <si>
    <t>Split factor</t>
  </si>
  <si>
    <t>KOHC|adj|2022</t>
  </si>
  <si>
    <t>KOHC|adj|2023</t>
  </si>
  <si>
    <t>KOHC|adj|2024</t>
  </si>
  <si>
    <t>KOHC|adj|2025</t>
  </si>
  <si>
    <t>LUCK|ppe|2020</t>
  </si>
  <si>
    <t>2021.pdf</t>
  </si>
  <si>
    <t>5</t>
  </si>
  <si>
    <t>PKR '000</t>
  </si>
  <si>
    <t>Unconsolidated</t>
  </si>
  <si>
    <t>LUCK|ppe|2021</t>
  </si>
  <si>
    <t>2022.pdf</t>
  </si>
  <si>
    <t>224</t>
  </si>
  <si>
    <t>LUCK|ppe|2022</t>
  </si>
  <si>
    <t>2023.pdf</t>
  </si>
  <si>
    <t>232</t>
  </si>
  <si>
    <t>LUCK|ppe|2023</t>
  </si>
  <si>
    <t>2024.pdf</t>
  </si>
  <si>
    <t>236</t>
  </si>
  <si>
    <t>LUCK|ppe|2024</t>
  </si>
  <si>
    <t>2025.pdf</t>
  </si>
  <si>
    <t>238</t>
  </si>
  <si>
    <t>LUCK|ppe|2025</t>
  </si>
  <si>
    <t>LUCK|cwip|2020</t>
  </si>
  <si>
    <t>LUCK|cwip|2021</t>
  </si>
  <si>
    <t>235</t>
  </si>
  <si>
    <t>LUCK|cwip|2022</t>
  </si>
  <si>
    <t>243</t>
  </si>
  <si>
    <t>LUCK|cwip|2023</t>
  </si>
  <si>
    <t>248</t>
  </si>
  <si>
    <t>LUCK|cwip|2024</t>
  </si>
  <si>
    <t>250</t>
  </si>
  <si>
    <t>LUCK|cwip|2025</t>
  </si>
  <si>
    <t>LUCK|rou|2020</t>
  </si>
  <si>
    <t>LUCK|rou|2021</t>
  </si>
  <si>
    <t>LUCK|rou|2022</t>
  </si>
  <si>
    <t>LUCK|rou|2023</t>
  </si>
  <si>
    <t>LUCK|rou|2024</t>
  </si>
  <si>
    <t>LUCK|rou|2025</t>
  </si>
  <si>
    <t>LUCK|intang|2020</t>
  </si>
  <si>
    <t>LUCK|intang|2021</t>
  </si>
  <si>
    <t>LUCK|intang|2022</t>
  </si>
  <si>
    <t>LUCK|intang|2023</t>
  </si>
  <si>
    <t>LUCK|intang|2024</t>
  </si>
  <si>
    <t>LUCK|intang|2025</t>
  </si>
  <si>
    <t>LUCK|inv_prop|2020</t>
  </si>
  <si>
    <t>LUCK|inv_prop|2021</t>
  </si>
  <si>
    <t>LUCK|inv_prop|2022</t>
  </si>
  <si>
    <t>LUCK|inv_prop|2023</t>
  </si>
  <si>
    <t>LUCK|inv_prop|2024</t>
  </si>
  <si>
    <t>LUCK|inv_prop|2025</t>
  </si>
  <si>
    <t>LUCK|lt_inv|2020</t>
  </si>
  <si>
    <t>7</t>
  </si>
  <si>
    <t>LUCK|lt_inv|2021</t>
  </si>
  <si>
    <t>LUCK|lt_inv|2022</t>
  </si>
  <si>
    <t>LUCK|lt_inv|2023</t>
  </si>
  <si>
    <t>LUCK|lt_inv|2024</t>
  </si>
  <si>
    <t>LUCK|lt_inv|2025</t>
  </si>
  <si>
    <t>LUCK|nca_other|2020</t>
  </si>
  <si>
    <t>Long-term deposits; Long-term loans and advances</t>
  </si>
  <si>
    <t>LUCK|nca_other|2021</t>
  </si>
  <si>
    <t>LUCK|nca_other|2022</t>
  </si>
  <si>
    <t>LUCK|nca_other|2023</t>
  </si>
  <si>
    <t>LUCK|nca_other|2024</t>
  </si>
  <si>
    <t>Long-term loans, advances and deposits</t>
  </si>
  <si>
    <t>8</t>
  </si>
  <si>
    <t>LUCK|nca_other|2025</t>
  </si>
  <si>
    <t>LUCK|stores|2020</t>
  </si>
  <si>
    <t>Stores and spares</t>
  </si>
  <si>
    <t>LUCK|stores|2021</t>
  </si>
  <si>
    <t>LUCK|stores|2022</t>
  </si>
  <si>
    <t>LUCK|stores|2023</t>
  </si>
  <si>
    <t>LUCK|stores|2024</t>
  </si>
  <si>
    <t>LUCK|stores|2025</t>
  </si>
  <si>
    <t>LUCK|sit|2020</t>
  </si>
  <si>
    <t>LUCK|sit|2021</t>
  </si>
  <si>
    <t>LUCK|sit|2022</t>
  </si>
  <si>
    <t>LUCK|sit|2023</t>
  </si>
  <si>
    <t>LUCK|sit|2024</t>
  </si>
  <si>
    <t>LUCK|sit|2025</t>
  </si>
  <si>
    <t>LUCK|debts|2020</t>
  </si>
  <si>
    <t>LUCK|debts|2021</t>
  </si>
  <si>
    <t>LUCK|debts|2022</t>
  </si>
  <si>
    <t>LUCK|debts|2023</t>
  </si>
  <si>
    <t>LUCK|debts|2024</t>
  </si>
  <si>
    <t>LUCK|debts|2025</t>
  </si>
  <si>
    <t>LUCK|st_inv|2020</t>
  </si>
  <si>
    <t>LUCK|st_inv|2021</t>
  </si>
  <si>
    <t>LUCK|st_inv|2022</t>
  </si>
  <si>
    <t>LUCK|st_inv|2023</t>
  </si>
  <si>
    <t>LUCK|st_inv|2024</t>
  </si>
  <si>
    <t>LUCK|st_inv|2025</t>
  </si>
  <si>
    <t>LUCK|cash|2020</t>
  </si>
  <si>
    <t>LUCK|cash|2021</t>
  </si>
  <si>
    <t>LUCK|cash|2022</t>
  </si>
  <si>
    <t>LUCK|cash|2023</t>
  </si>
  <si>
    <t>LUCK|cash|2024</t>
  </si>
  <si>
    <t>LUCK|cash|2025</t>
  </si>
  <si>
    <t>LUCK|ca_other|2020</t>
  </si>
  <si>
    <t>Accrued return; Loans and advances; Other receivables; Tax refunds due from the Government; Trade deposits and short-ter</t>
  </si>
  <si>
    <t>LUCK|ca_other|2021</t>
  </si>
  <si>
    <t>LUCK|ca_other|2022</t>
  </si>
  <si>
    <t>LUCK|ca_other|2023</t>
  </si>
  <si>
    <t>LUCK|ca_other|2024</t>
  </si>
  <si>
    <t>Deposits and prepayments; Loans and advances; Other receivables; Tax refunds due from the Government</t>
  </si>
  <si>
    <t>LUCK|ca_other|2025</t>
  </si>
  <si>
    <t>LUCK|share_cap|2020</t>
  </si>
  <si>
    <t>Issued, subscribed and paid-up share cap</t>
  </si>
  <si>
    <t>LUCK|share_cap|2021</t>
  </si>
  <si>
    <t>LUCK|share_cap|2022</t>
  </si>
  <si>
    <t>LUCK|share_cap|2023</t>
  </si>
  <si>
    <t>Share capital</t>
  </si>
  <si>
    <t>LUCK|share_cap|2024</t>
  </si>
  <si>
    <t>LUCK|share_cap|2025</t>
  </si>
  <si>
    <t>LUCK|eq_other|2020</t>
  </si>
  <si>
    <t>Reserves</t>
  </si>
  <si>
    <t>LUCK|eq_other|2021</t>
  </si>
  <si>
    <t>LUCK|eq_other|2022</t>
  </si>
  <si>
    <t>LUCK|eq_other|2023</t>
  </si>
  <si>
    <t>LUCK|eq_other|2024</t>
  </si>
  <si>
    <t>LUCK|eq_other|2025</t>
  </si>
  <si>
    <t>LUCK|ltf_nc|2020</t>
  </si>
  <si>
    <t>Long-term loans</t>
  </si>
  <si>
    <t>LUCK|ltf_nc|2021</t>
  </si>
  <si>
    <t>LUCK|ltf_nc|2022</t>
  </si>
  <si>
    <t>LUCK|ltf_nc|2023</t>
  </si>
  <si>
    <t>LUCK|ltf_nc|2024</t>
  </si>
  <si>
    <t>Long-term financing</t>
  </si>
  <si>
    <t>LUCK|ltf_nc|2025</t>
  </si>
  <si>
    <t>LUCK|lease_nc|2020</t>
  </si>
  <si>
    <t>LUCK|lease_nc|2021</t>
  </si>
  <si>
    <t>LUCK|lease_nc|2022</t>
  </si>
  <si>
    <t>LUCK|lease_nc|2023</t>
  </si>
  <si>
    <t>LUCK|lease_nc|2024</t>
  </si>
  <si>
    <t>LUCK|lease_nc|2025</t>
  </si>
  <si>
    <t>LUCK|grant_nc|2020</t>
  </si>
  <si>
    <t>Deferred Government grant</t>
  </si>
  <si>
    <t>LUCK|grant_nc|2021</t>
  </si>
  <si>
    <t>LUCK|grant_nc|2022</t>
  </si>
  <si>
    <t>LUCK|grant_nc|2023</t>
  </si>
  <si>
    <t>LUCK|grant_nc|2024</t>
  </si>
  <si>
    <t>LUCK|grant_nc|2025</t>
  </si>
  <si>
    <t>LUCK|def_tax|2020</t>
  </si>
  <si>
    <t>- Deferred tax liability</t>
  </si>
  <si>
    <t>LUCK|def_tax|2021</t>
  </si>
  <si>
    <t>LUCK|def_tax|2022</t>
  </si>
  <si>
    <t>LUCK|def_tax|2023</t>
  </si>
  <si>
    <t>LUCK|def_tax|2024</t>
  </si>
  <si>
    <t>LUCK|def_tax|2025</t>
  </si>
  <si>
    <t>LUCK|ncl_other|2020</t>
  </si>
  <si>
    <t>incl. PKR 0.4m footing difference in printed FY2020 comparative (components do not sum to printed subtotal)</t>
  </si>
  <si>
    <t>Removed the 400-thousand balancing plug; official component/subtotal conflict disclosed.</t>
  </si>
  <si>
    <t>LUCK|ncl_other|2021</t>
  </si>
  <si>
    <t>Deferred liabilities - Staff gratuity - ; Long-term deposits</t>
  </si>
  <si>
    <t>LUCK|ncl_other|2022</t>
  </si>
  <si>
    <t>LUCK|ncl_other|2023</t>
  </si>
  <si>
    <t>Deferred liabilities - Staff gratuity; Long-term deposits</t>
  </si>
  <si>
    <t>LUCK|ncl_other|2024</t>
  </si>
  <si>
    <t>Deferred liabilities; Long-term deposits</t>
  </si>
  <si>
    <t>LUCK|ncl_other|2025</t>
  </si>
  <si>
    <t>LUCK|tap|2020</t>
  </si>
  <si>
    <t>LUCK|tap|2021</t>
  </si>
  <si>
    <t>LUCK|tap|2022</t>
  </si>
  <si>
    <t>LUCK|tap|2023</t>
  </si>
  <si>
    <t>LUCK|tap|2024</t>
  </si>
  <si>
    <t>LUCK|tap|2025</t>
  </si>
  <si>
    <t>LUCK|trade_cred|2020</t>
  </si>
  <si>
    <t>Creditors</t>
  </si>
  <si>
    <t>LUCK|trade_cred|2021</t>
  </si>
  <si>
    <t>LUCK|trade_cred|2022</t>
  </si>
  <si>
    <t>258</t>
  </si>
  <si>
    <t>LUCK|trade_cred|2023</t>
  </si>
  <si>
    <t>263</t>
  </si>
  <si>
    <t>LUCK|trade_cred|2024</t>
  </si>
  <si>
    <t>LUCK|trade_cred|2025</t>
  </si>
  <si>
    <t>LUCK|contract|2020</t>
  </si>
  <si>
    <t>LUCK|contract|2021</t>
  </si>
  <si>
    <t>LUCK|contract|2022</t>
  </si>
  <si>
    <t>LUCK|contract|2023</t>
  </si>
  <si>
    <t>LUCK|contract|2024</t>
  </si>
  <si>
    <t>LUCK|contract|2025</t>
  </si>
  <si>
    <t>LUCK|acc_markup|2020</t>
  </si>
  <si>
    <t>Accrued markup</t>
  </si>
  <si>
    <t>LUCK|acc_markup|2021</t>
  </si>
  <si>
    <t>LUCK|acc_markup|2022</t>
  </si>
  <si>
    <t>LUCK|acc_markup|2023</t>
  </si>
  <si>
    <t>LUCK|acc_markup|2024</t>
  </si>
  <si>
    <t>LUCK|acc_markup|2025</t>
  </si>
  <si>
    <t>LUCK|stb|2020</t>
  </si>
  <si>
    <t>Short term borrowings</t>
  </si>
  <si>
    <t>26</t>
  </si>
  <si>
    <t>LUCK|stb|2021</t>
  </si>
  <si>
    <t>Short-term borrowings</t>
  </si>
  <si>
    <t>LUCK|stb|2022</t>
  </si>
  <si>
    <t>LUCK|stb|2023</t>
  </si>
  <si>
    <t>LUCK|stb|2024</t>
  </si>
  <si>
    <t>LUCK|stb|2025</t>
  </si>
  <si>
    <t>LUCK|cp_ltf|2020</t>
  </si>
  <si>
    <t>Current maturity of long-term loans</t>
  </si>
  <si>
    <t>LUCK|cp_ltf|2021</t>
  </si>
  <si>
    <t>LUCK|cp_ltf|2022</t>
  </si>
  <si>
    <t>LUCK|cp_ltf|2023</t>
  </si>
  <si>
    <t>LUCK|cp_ltf|2024</t>
  </si>
  <si>
    <t>Current maturity of long-term financing</t>
  </si>
  <si>
    <t>LUCK|cp_ltf|2025</t>
  </si>
  <si>
    <t>LUCK|cp_lease|2020</t>
  </si>
  <si>
    <t>LUCK|cp_lease|2021</t>
  </si>
  <si>
    <t>LUCK|cp_lease|2022</t>
  </si>
  <si>
    <t>LUCK|cp_lease|2023</t>
  </si>
  <si>
    <t>LUCK|cp_lease|2024</t>
  </si>
  <si>
    <t>LUCK|cp_lease|2025</t>
  </si>
  <si>
    <t>LUCK|cp_grant|2020</t>
  </si>
  <si>
    <t>LUCK|cp_grant|2021</t>
  </si>
  <si>
    <t>LUCK|cp_grant|2022</t>
  </si>
  <si>
    <t>LUCK|cp_grant|2023</t>
  </si>
  <si>
    <t>LUCK|cp_grant|2024</t>
  </si>
  <si>
    <t>LUCK|cp_grant|2025</t>
  </si>
  <si>
    <t>LUCK|div_liab|2020</t>
  </si>
  <si>
    <t>Unclaimed dividend; Unpaid dividend</t>
  </si>
  <si>
    <t>LUCK|div_liab|2021</t>
  </si>
  <si>
    <t>Unclaimed dividend</t>
  </si>
  <si>
    <t>LUCK|div_liab|2022</t>
  </si>
  <si>
    <t>LUCK|div_liab|2023</t>
  </si>
  <si>
    <t>LUCK|div_liab|2024</t>
  </si>
  <si>
    <t>LUCK|div_liab|2025</t>
  </si>
  <si>
    <t>LUCK|tax_liab|2020</t>
  </si>
  <si>
    <t>Taxation - net</t>
  </si>
  <si>
    <t>LUCK|tax_liab|2021</t>
  </si>
  <si>
    <t>LUCK|tax_liab|2022</t>
  </si>
  <si>
    <t>LUCK|tax_liab|2023</t>
  </si>
  <si>
    <t>LUCK|tax_liab|2024</t>
  </si>
  <si>
    <t>LUCK|tax_liab|2025</t>
  </si>
  <si>
    <t>LUCK|cl_other|2020</t>
  </si>
  <si>
    <t>LUCK|cl_other|2021</t>
  </si>
  <si>
    <t>LUCK|cl_other|2022</t>
  </si>
  <si>
    <t>LUCK|cl_other|2023</t>
  </si>
  <si>
    <t>LUCK|cl_other|2024</t>
  </si>
  <si>
    <t>LUCK|cl_other|2025</t>
  </si>
  <si>
    <t>LUCK|pr_TA|2020</t>
  </si>
  <si>
    <t>LUCK|pr_TA|2021</t>
  </si>
  <si>
    <t>LUCK|pr_TA|2022</t>
  </si>
  <si>
    <t>LUCK|pr_TA|2023</t>
  </si>
  <si>
    <t>LUCK|pr_TA|2024</t>
  </si>
  <si>
    <t>LUCK|pr_TA|2025</t>
  </si>
  <si>
    <t>LUCK|pr_EQ|2020</t>
  </si>
  <si>
    <t>LUCK|pr_EQ|2021</t>
  </si>
  <si>
    <t>LUCK|pr_EQ|2022</t>
  </si>
  <si>
    <t>LUCK|pr_EQ|2023</t>
  </si>
  <si>
    <t>LUCK|pr_EQ|2024</t>
  </si>
  <si>
    <t>LUCK|pr_EQ|2025</t>
  </si>
  <si>
    <t>LUCK|pr_CA|2020</t>
  </si>
  <si>
    <t>LUCK|pr_CA|2021</t>
  </si>
  <si>
    <t>LUCK|pr_CA|2022</t>
  </si>
  <si>
    <t>LUCK|pr_CA|2023</t>
  </si>
  <si>
    <t>LUCK|pr_CA|2024</t>
  </si>
  <si>
    <t>LUCK|pr_CA|2025</t>
  </si>
  <si>
    <t>LUCK|pr_CL|2020</t>
  </si>
  <si>
    <t>LUCK|pr_CL|2021</t>
  </si>
  <si>
    <t>LUCK|pr_CL|2022</t>
  </si>
  <si>
    <t>LUCK|pr_CL|2023</t>
  </si>
  <si>
    <t>LUCK|pr_CL|2024</t>
  </si>
  <si>
    <t>LUCK|pr_CL|2025</t>
  </si>
  <si>
    <t>LUCK|rev|2021</t>
  </si>
  <si>
    <t>Net sales</t>
  </si>
  <si>
    <t>225</t>
  </si>
  <si>
    <t>LUCK|rev|2022</t>
  </si>
  <si>
    <t>233</t>
  </si>
  <si>
    <t>LUCK|rev|2023</t>
  </si>
  <si>
    <t>237</t>
  </si>
  <si>
    <t>LUCK|rev|2024</t>
  </si>
  <si>
    <t>Net Revenue</t>
  </si>
  <si>
    <t>LUCK|rev|2025</t>
  </si>
  <si>
    <t>LUCK|cogs|2021</t>
  </si>
  <si>
    <t>LUCK|cogs|2022</t>
  </si>
  <si>
    <t>LUCK|cogs|2023</t>
  </si>
  <si>
    <t>LUCK|cogs|2024</t>
  </si>
  <si>
    <t>LUCK|cogs|2025</t>
  </si>
  <si>
    <t>LUCK|selling|2021</t>
  </si>
  <si>
    <t>Distribution cost</t>
  </si>
  <si>
    <t>LUCK|selling|2022</t>
  </si>
  <si>
    <t>LUCK|selling|2023</t>
  </si>
  <si>
    <t>LUCK|selling|2024</t>
  </si>
  <si>
    <t>Distribution costs</t>
  </si>
  <si>
    <t>LUCK|selling|2025</t>
  </si>
  <si>
    <t>LUCK|admin|2021</t>
  </si>
  <si>
    <t>LUCK|admin|2022</t>
  </si>
  <si>
    <t>LUCK|admin|2023</t>
  </si>
  <si>
    <t>LUCK|admin|2024</t>
  </si>
  <si>
    <t>LUCK|admin|2025</t>
  </si>
  <si>
    <t>LUCK|impair|2021</t>
  </si>
  <si>
    <t>LUCK|impair|2022</t>
  </si>
  <si>
    <t>LUCK|impair|2023</t>
  </si>
  <si>
    <t>LUCK|impair|2024</t>
  </si>
  <si>
    <t>LUCK|impair|2025</t>
  </si>
  <si>
    <t>LUCK|oth_exp|2021</t>
  </si>
  <si>
    <t>LUCK|oth_exp|2022</t>
  </si>
  <si>
    <t>LUCK|oth_exp|2023</t>
  </si>
  <si>
    <t>LUCK|oth_exp|2024</t>
  </si>
  <si>
    <t>LUCK|oth_exp|2025</t>
  </si>
  <si>
    <t>LUCK|oth_inc|2021</t>
  </si>
  <si>
    <t>LUCK|oth_inc|2022</t>
  </si>
  <si>
    <t>LUCK|oth_inc|2023</t>
  </si>
  <si>
    <t>LUCK|oth_inc|2024</t>
  </si>
  <si>
    <t>LUCK|oth_inc|2025</t>
  </si>
  <si>
    <t>LUCK|fin_inc|2021</t>
  </si>
  <si>
    <t>LUCK|fin_inc|2022</t>
  </si>
  <si>
    <t>LUCK|fin_inc|2023</t>
  </si>
  <si>
    <t>LUCK|fin_inc|2024</t>
  </si>
  <si>
    <t>LUCK|fin_inc|2025</t>
  </si>
  <si>
    <t>LUCK|assoc|2021</t>
  </si>
  <si>
    <t>LUCK|assoc|2022</t>
  </si>
  <si>
    <t>LUCK|assoc|2023</t>
  </si>
  <si>
    <t>LUCK|assoc|2024</t>
  </si>
  <si>
    <t>LUCK|assoc|2025</t>
  </si>
  <si>
    <t>LUCK|fin_cost|2021</t>
  </si>
  <si>
    <t>Finance costs</t>
  </si>
  <si>
    <t>LUCK|fin_cost|2022</t>
  </si>
  <si>
    <t>LUCK|fin_cost|2023</t>
  </si>
  <si>
    <t>LUCK|fin_cost|2024</t>
  </si>
  <si>
    <t>LUCK|fin_cost|2025</t>
  </si>
  <si>
    <t>LUCK|levy|2021</t>
  </si>
  <si>
    <t>LUCK|levy|2022</t>
  </si>
  <si>
    <t>LUCK|levy|2023</t>
  </si>
  <si>
    <t>Levy                    2.2.1 &amp;</t>
  </si>
  <si>
    <t>LUCK|levy|2024</t>
  </si>
  <si>
    <t>Levy</t>
  </si>
  <si>
    <t>LUCK|levy|2025</t>
  </si>
  <si>
    <t>LUCK|tax|2021</t>
  </si>
  <si>
    <t>LUCK|tax|2022</t>
  </si>
  <si>
    <t>LUCK|tax|2023</t>
  </si>
  <si>
    <t>LUCK|tax|2024</t>
  </si>
  <si>
    <t>LUCK|tax|2025</t>
  </si>
  <si>
    <t>LUCK|pr_gp|2021</t>
  </si>
  <si>
    <t>LUCK|pr_gp|2022</t>
  </si>
  <si>
    <t>LUCK|pr_gp|2023</t>
  </si>
  <si>
    <t>LUCK|pr_gp|2024</t>
  </si>
  <si>
    <t>LUCK|pr_gp|2025</t>
  </si>
  <si>
    <t>LUCK|pr_pbt|2021</t>
  </si>
  <si>
    <t>LUCK|pr_pbt|2022</t>
  </si>
  <si>
    <t>LUCK|pr_pbt|2023</t>
  </si>
  <si>
    <t>Profit before Taxation and Levy</t>
  </si>
  <si>
    <t>LUCK|pr_pbt|2024</t>
  </si>
  <si>
    <t>Profit before taxation and levy</t>
  </si>
  <si>
    <t>LUCK|pr_pbt|2025</t>
  </si>
  <si>
    <t>LUCK|pr_pat|2021</t>
  </si>
  <si>
    <t>LUCK|pr_pat|2022</t>
  </si>
  <si>
    <t>LUCK|pr_pat|2023</t>
  </si>
  <si>
    <t>Profit after Taxation</t>
  </si>
  <si>
    <t>LUCK|pr_pat|2024</t>
  </si>
  <si>
    <t>LUCK|pr_pat|2025</t>
  </si>
  <si>
    <t>LUCK|fc_nonint|2021</t>
  </si>
  <si>
    <t>'Others' in finance cost note</t>
  </si>
  <si>
    <t>254</t>
  </si>
  <si>
    <t>LUCK|fc_nonint|2022</t>
  </si>
  <si>
    <t>262</t>
  </si>
  <si>
    <t>LUCK|fc_nonint|2023</t>
  </si>
  <si>
    <t>267</t>
  </si>
  <si>
    <t>LUCK|fc_nonint|2024</t>
  </si>
  <si>
    <t>270</t>
  </si>
  <si>
    <t>LUCK|fc_nonint|2025</t>
  </si>
  <si>
    <t>LUCK|da|2021</t>
  </si>
  <si>
    <t>Depreciation</t>
  </si>
  <si>
    <t>256</t>
  </si>
  <si>
    <t>LUCK|da|2022</t>
  </si>
  <si>
    <t>Depreciation; Amortisation of intangible assets</t>
  </si>
  <si>
    <t>264</t>
  </si>
  <si>
    <t>LUCK|da|2023</t>
  </si>
  <si>
    <t>LUCK|da|2024</t>
  </si>
  <si>
    <t>LUCK|da|2025</t>
  </si>
  <si>
    <t>LUCK|cgo|2021</t>
  </si>
  <si>
    <t>227</t>
  </si>
  <si>
    <t>LUCK|cgo|2022</t>
  </si>
  <si>
    <t>LUCK|cgo|2023</t>
  </si>
  <si>
    <t>239</t>
  </si>
  <si>
    <t>LUCK|cgo|2024</t>
  </si>
  <si>
    <t>LUCK|cgo|2025</t>
  </si>
  <si>
    <t>LUCK|cfo|2021</t>
  </si>
  <si>
    <t>LUCK|cfo|2022</t>
  </si>
  <si>
    <t>LUCK|cfo|2023</t>
  </si>
  <si>
    <t>LUCK|cfo|2024</t>
  </si>
  <si>
    <t>LUCK|cfo|2025</t>
  </si>
  <si>
    <t>LUCK|fin_paid|2021</t>
  </si>
  <si>
    <t>Finance costs paid</t>
  </si>
  <si>
    <t>LUCK|fin_paid|2022</t>
  </si>
  <si>
    <t>LUCK|fin_paid|2023</t>
  </si>
  <si>
    <t>LUCK|fin_paid|2024</t>
  </si>
  <si>
    <t>LUCK|fin_paid|2025</t>
  </si>
  <si>
    <t>LUCK|fin_paid_cls|2021</t>
  </si>
  <si>
    <t>LUCK|fin_paid_cls|2022</t>
  </si>
  <si>
    <t>LUCK|fin_paid_cls|2023</t>
  </si>
  <si>
    <t>LUCK|fin_paid_cls|2024</t>
  </si>
  <si>
    <t>LUCK|fin_paid_cls|2025</t>
  </si>
  <si>
    <t>LUCK|capex|2021</t>
  </si>
  <si>
    <t>Fixed capital expenditure</t>
  </si>
  <si>
    <t>LUCK|capex|2022</t>
  </si>
  <si>
    <t>Fixed capital expenditure including capi</t>
  </si>
  <si>
    <t>LUCK|capex|2023</t>
  </si>
  <si>
    <t>Purchase of property, plant and equipmen</t>
  </si>
  <si>
    <t>LUCK|capex|2024</t>
  </si>
  <si>
    <t>Addition to property, plant and equipmen</t>
  </si>
  <si>
    <t>LUCK|capex|2025</t>
  </si>
  <si>
    <t>LUCK|cfi|2021</t>
  </si>
  <si>
    <t>LUCK|cfi|2022</t>
  </si>
  <si>
    <t>LUCK|cfi|2023</t>
  </si>
  <si>
    <t>LUCK|cfi|2024</t>
  </si>
  <si>
    <t>Net cash generated from / (used in) inve</t>
  </si>
  <si>
    <t>LUCK|cfi|2025</t>
  </si>
  <si>
    <t>LUCK|cff|2021</t>
  </si>
  <si>
    <t>Net cash generated from financing activi</t>
  </si>
  <si>
    <t>LUCK|cff|2022</t>
  </si>
  <si>
    <t>LUCK|cff|2023</t>
  </si>
  <si>
    <t>Net cash (used in) / generated from fina</t>
  </si>
  <si>
    <t>LUCK|cff|2024</t>
  </si>
  <si>
    <t>LUCK|cff|2025</t>
  </si>
  <si>
    <t>LUCK|div_paid|2021</t>
  </si>
  <si>
    <t>LUCK|div_paid|2022</t>
  </si>
  <si>
    <t>LUCK|div_paid|2023</t>
  </si>
  <si>
    <t>LUCK|div_paid|2024</t>
  </si>
  <si>
    <t>LUCK|div_paid|2025</t>
  </si>
  <si>
    <t>LUCK|par|2021</t>
  </si>
  <si>
    <t>LUCK|par|2022</t>
  </si>
  <si>
    <t>LUCK|par|2023</t>
  </si>
  <si>
    <t>LUCK|par|2024</t>
  </si>
  <si>
    <t>269</t>
  </si>
  <si>
    <t>LUCK|par|2025</t>
  </si>
  <si>
    <t>272</t>
  </si>
  <si>
    <t>LUCK|wavg|2021</t>
  </si>
  <si>
    <t>LUCK|wavg|2022</t>
  </si>
  <si>
    <t>LUCK|wavg|2023</t>
  </si>
  <si>
    <t>LUCK|wavg|2024</t>
  </si>
  <si>
    <t>LUCK|wavg|2025</t>
  </si>
  <si>
    <t>LUCK|price|2021</t>
  </si>
  <si>
    <t>LUCK|price|2022</t>
  </si>
  <si>
    <t>LUCK|price|2023</t>
  </si>
  <si>
    <t>LUCK|price|2024</t>
  </si>
  <si>
    <t>LUCK|price|2025</t>
  </si>
  <si>
    <t>LUCK|dps|2021</t>
  </si>
  <si>
    <t>164</t>
  </si>
  <si>
    <t>LUCK|dps|2022</t>
  </si>
  <si>
    <t>LUCK|dps|2023</t>
  </si>
  <si>
    <t>LUCK|dps|2024</t>
  </si>
  <si>
    <t>LUCK|dps|2025</t>
  </si>
  <si>
    <t>LUCK|eps_rep|2021</t>
  </si>
  <si>
    <t>LUCK|eps_rep|2022</t>
  </si>
  <si>
    <t>LUCK|eps_rep|2023</t>
  </si>
  <si>
    <t>LUCK|eps_rep|2024</t>
  </si>
  <si>
    <t>LUCK|eps_rep|2025</t>
  </si>
  <si>
    <t>LUCK|adj|2021</t>
  </si>
  <si>
    <t>LUCK|adj|2022</t>
  </si>
  <si>
    <t>LUCK|adj|2023</t>
  </si>
  <si>
    <t>LUCK|adj|2024</t>
  </si>
  <si>
    <t>LUCK|adj|2025</t>
  </si>
  <si>
    <t>DGKC|ppe|2020</t>
  </si>
  <si>
    <t>DG_Annual_Report_2021.pdf</t>
  </si>
  <si>
    <t>105</t>
  </si>
  <si>
    <t>Rs '000</t>
  </si>
  <si>
    <t>DGKC|ppe|2021</t>
  </si>
  <si>
    <t>DG_Annual_Report_2022.pdf</t>
  </si>
  <si>
    <t>125</t>
  </si>
  <si>
    <t>DGKC|ppe|2022</t>
  </si>
  <si>
    <t>DGAnnual2023.pdf</t>
  </si>
  <si>
    <t>151</t>
  </si>
  <si>
    <t>DGKC|ppe|2023</t>
  </si>
  <si>
    <t>DGAnnual2024.pdf</t>
  </si>
  <si>
    <t>DGKC|ppe|2024</t>
  </si>
  <si>
    <t>DGAnnual2025.pdf</t>
  </si>
  <si>
    <t>153</t>
  </si>
  <si>
    <t>DGKC|ppe|2025</t>
  </si>
  <si>
    <t>DGKC|cwip|2020</t>
  </si>
  <si>
    <t>138</t>
  </si>
  <si>
    <t>DGKC|cwip|2021</t>
  </si>
  <si>
    <t>159</t>
  </si>
  <si>
    <t>DGKC|cwip|2022</t>
  </si>
  <si>
    <t>184</t>
  </si>
  <si>
    <t>DGKC|cwip|2023</t>
  </si>
  <si>
    <t>186</t>
  </si>
  <si>
    <t>DGKC|cwip|2024</t>
  </si>
  <si>
    <t>188</t>
  </si>
  <si>
    <t>DGKC|cwip|2025</t>
  </si>
  <si>
    <t>DGKC|rou|2020</t>
  </si>
  <si>
    <t>104</t>
  </si>
  <si>
    <t>DGKC|rou|2021</t>
  </si>
  <si>
    <t>124</t>
  </si>
  <si>
    <t>DGKC|rou|2022</t>
  </si>
  <si>
    <t>150</t>
  </si>
  <si>
    <t>DGKC|rou|2023</t>
  </si>
  <si>
    <t>DGKC|rou|2024</t>
  </si>
  <si>
    <t>152</t>
  </si>
  <si>
    <t>DGKC|rou|2025</t>
  </si>
  <si>
    <t>DGKC|intang|2020</t>
  </si>
  <si>
    <t>DGKC|intang|2021</t>
  </si>
  <si>
    <t>Intangible asset</t>
  </si>
  <si>
    <t>DGKC|intang|2022</t>
  </si>
  <si>
    <t>DGKC|intang|2023</t>
  </si>
  <si>
    <t>DGKC|intang|2024</t>
  </si>
  <si>
    <t>DGKC|intang|2025</t>
  </si>
  <si>
    <t>DGKC|inv_prop|2020</t>
  </si>
  <si>
    <t>DGKC|inv_prop|2021</t>
  </si>
  <si>
    <t>DGKC|inv_prop|2022</t>
  </si>
  <si>
    <t>DGKC|inv_prop|2023</t>
  </si>
  <si>
    <t>DGKC|inv_prop|2024</t>
  </si>
  <si>
    <t>DGKC|inv_prop|2025</t>
  </si>
  <si>
    <t>DGKC|lt_inv|2020</t>
  </si>
  <si>
    <t>Investments</t>
  </si>
  <si>
    <t>DGKC|lt_inv|2021</t>
  </si>
  <si>
    <t>DGKC|lt_inv|2022</t>
  </si>
  <si>
    <t>DGKC|lt_inv|2023</t>
  </si>
  <si>
    <t>DGKC|lt_inv|2024</t>
  </si>
  <si>
    <t>Long term investments</t>
  </si>
  <si>
    <t>DGKC|lt_inv|2025</t>
  </si>
  <si>
    <t>DGKC|nca_other|2020</t>
  </si>
  <si>
    <t>Long term deposits; Long term loans to employees</t>
  </si>
  <si>
    <t>DGKC|nca_other|2021</t>
  </si>
  <si>
    <t>DGKC|nca_other|2022</t>
  </si>
  <si>
    <t>DGKC|nca_other|2023</t>
  </si>
  <si>
    <t>DGKC|nca_other|2024</t>
  </si>
  <si>
    <t>DGKC|nca_other|2025</t>
  </si>
  <si>
    <t>DGKC|stores|2020</t>
  </si>
  <si>
    <t>Stores, spare parts and loose tools</t>
  </si>
  <si>
    <t>DGKC|stores|2021</t>
  </si>
  <si>
    <t>DGKC|stores|2022</t>
  </si>
  <si>
    <t>DGKC|stores|2023</t>
  </si>
  <si>
    <t>DGKC|stores|2024</t>
  </si>
  <si>
    <t>DGKC|stores|2025</t>
  </si>
  <si>
    <t>DGKC|sit|2020</t>
  </si>
  <si>
    <t>DGKC|sit|2021</t>
  </si>
  <si>
    <t>DGKC|sit|2022</t>
  </si>
  <si>
    <t>DGKC|sit|2023</t>
  </si>
  <si>
    <t>DGKC|sit|2024</t>
  </si>
  <si>
    <t>DGKC|sit|2025</t>
  </si>
  <si>
    <t>DGKC|debts|2020</t>
  </si>
  <si>
    <t>DGKC|debts|2021</t>
  </si>
  <si>
    <t>DGKC|debts|2022</t>
  </si>
  <si>
    <t>DGKC|debts|2023</t>
  </si>
  <si>
    <t>DGKC|debts|2024</t>
  </si>
  <si>
    <t>DGKC|debts|2025</t>
  </si>
  <si>
    <t>DGKC|st_inv|2020</t>
  </si>
  <si>
    <t>DGKC|st_inv|2021</t>
  </si>
  <si>
    <t>DGKC|st_inv|2022</t>
  </si>
  <si>
    <t>DGKC|st_inv|2023</t>
  </si>
  <si>
    <t>DGKC|st_inv|2024</t>
  </si>
  <si>
    <t>DGKC|st_inv|2025</t>
  </si>
  <si>
    <t>DGKC|cash|2020</t>
  </si>
  <si>
    <t>DGKC|cash|2021</t>
  </si>
  <si>
    <t>27</t>
  </si>
  <si>
    <t>DGKC|cash|2022</t>
  </si>
  <si>
    <t>DGKC|cash|2023</t>
  </si>
  <si>
    <t>DGKC|cash|2024</t>
  </si>
  <si>
    <t>DGKC|cash|2025</t>
  </si>
  <si>
    <t>DGKC|ca_other|2020</t>
  </si>
  <si>
    <t>Income tax receivable; Loan to related party; Loans, advances, deposits, prepayments a</t>
  </si>
  <si>
    <t>DGKC|ca_other|2021</t>
  </si>
  <si>
    <t>DGKC|ca_other|2022</t>
  </si>
  <si>
    <t>Income tax receivable; Loans, advances, deposits, prepayments a</t>
  </si>
  <si>
    <t>DGKC|ca_other|2023</t>
  </si>
  <si>
    <t>DGKC|ca_other|2024</t>
  </si>
  <si>
    <t>DGKC|ca_other|2025</t>
  </si>
  <si>
    <t>DGKC|share_cap|2020</t>
  </si>
  <si>
    <t>ordinary shares of Rs 10 each</t>
  </si>
  <si>
    <t>DGKC|share_cap|2021</t>
  </si>
  <si>
    <t>DGKC|share_cap|2022</t>
  </si>
  <si>
    <t>DGKC|share_cap|2023</t>
  </si>
  <si>
    <t>DGKC|share_cap|2024</t>
  </si>
  <si>
    <t>DGKC|share_cap|2025</t>
  </si>
  <si>
    <t>DGKC|eq_other|2020</t>
  </si>
  <si>
    <t>Other reserves; Revenue reserve: Un-appropriated profits</t>
  </si>
  <si>
    <t>DGKC|eq_other|2021</t>
  </si>
  <si>
    <t>DGKC|eq_other|2022</t>
  </si>
  <si>
    <t>DGKC|eq_other|2023</t>
  </si>
  <si>
    <t>DGKC|eq_other|2024</t>
  </si>
  <si>
    <t>DGKC|eq_other|2025</t>
  </si>
  <si>
    <t>DGKC|ltf_nc|2020</t>
  </si>
  <si>
    <t>Long term finances - secured</t>
  </si>
  <si>
    <t>DGKC|ltf_nc|2021</t>
  </si>
  <si>
    <t>Long term finances from financial instit</t>
  </si>
  <si>
    <t>DGKC|ltf_nc|2022</t>
  </si>
  <si>
    <t>DGKC|ltf_nc|2023</t>
  </si>
  <si>
    <t>DGKC|ltf_nc|2024</t>
  </si>
  <si>
    <t>DGKC|ltf_nc|2025</t>
  </si>
  <si>
    <t>DGKC|lease_nc|2020</t>
  </si>
  <si>
    <t>DGKC|lease_nc|2021</t>
  </si>
  <si>
    <t>DGKC|lease_nc|2022</t>
  </si>
  <si>
    <t>DGKC|lease_nc|2023</t>
  </si>
  <si>
    <t>DGKC|lease_nc|2024</t>
  </si>
  <si>
    <t>DGKC|lease_nc|2025</t>
  </si>
  <si>
    <t>DGKC|grant_nc|2020</t>
  </si>
  <si>
    <t>Deferred government grant</t>
  </si>
  <si>
    <t>DGKC|grant_nc|2021</t>
  </si>
  <si>
    <t>DGKC|grant_nc|2022</t>
  </si>
  <si>
    <t>DGKC|grant_nc|2023</t>
  </si>
  <si>
    <t>DGKC|grant_nc|2024</t>
  </si>
  <si>
    <t>DGKC|grant_nc|2025</t>
  </si>
  <si>
    <t>DGKC|def_tax|2020</t>
  </si>
  <si>
    <t>Deferred taxation</t>
  </si>
  <si>
    <t>DGKC|def_tax|2021</t>
  </si>
  <si>
    <t>DGKC|def_tax|2022</t>
  </si>
  <si>
    <t>DGKC|def_tax|2023</t>
  </si>
  <si>
    <t>DGKC|def_tax|2024</t>
  </si>
  <si>
    <t>DGKC|def_tax|2025</t>
  </si>
  <si>
    <t>DGKC|ncl_other|2020</t>
  </si>
  <si>
    <t>Deferred liabilities; Long term deposits</t>
  </si>
  <si>
    <t>DGKC|ncl_other|2021</t>
  </si>
  <si>
    <t>Employee benefits obligations; Long term deposits</t>
  </si>
  <si>
    <t>DGKC|ncl_other|2022</t>
  </si>
  <si>
    <t>DGKC|ncl_other|2023</t>
  </si>
  <si>
    <t>DGKC|ncl_other|2024</t>
  </si>
  <si>
    <t>DGKC|ncl_other|2025</t>
  </si>
  <si>
    <t>DGKC|tap|2020</t>
  </si>
  <si>
    <t>DGKC|tap|2021</t>
  </si>
  <si>
    <t>DGKC|tap|2022</t>
  </si>
  <si>
    <t>DGKC|tap|2023</t>
  </si>
  <si>
    <t>DGKC|tap|2024</t>
  </si>
  <si>
    <t>DGKC|tap|2025</t>
  </si>
  <si>
    <t>DGKC|trade_cred|2020</t>
  </si>
  <si>
    <t>Trade creditors</t>
  </si>
  <si>
    <t>134</t>
  </si>
  <si>
    <t>DGKC|trade_cred|2021</t>
  </si>
  <si>
    <t>154</t>
  </si>
  <si>
    <t>DGKC|trade_cred|2022</t>
  </si>
  <si>
    <t>179</t>
  </si>
  <si>
    <t>DGKC|trade_cred|2023</t>
  </si>
  <si>
    <t>181</t>
  </si>
  <si>
    <t>DGKC|trade_cred|2024</t>
  </si>
  <si>
    <t>182</t>
  </si>
  <si>
    <t>DGKC|trade_cred|2025</t>
  </si>
  <si>
    <t>DGKC|contract|2020</t>
  </si>
  <si>
    <t>DGKC|contract|2021</t>
  </si>
  <si>
    <t>DGKC|contract|2022</t>
  </si>
  <si>
    <t>DGKC|contract|2023</t>
  </si>
  <si>
    <t>DGKC|contract|2024</t>
  </si>
  <si>
    <t>DGKC|contract|2025</t>
  </si>
  <si>
    <t>DGKC|acc_markup|2020</t>
  </si>
  <si>
    <t>DGKC|acc_markup|2021</t>
  </si>
  <si>
    <t>DGKC|acc_markup|2022</t>
  </si>
  <si>
    <t>DGKC|acc_markup|2023</t>
  </si>
  <si>
    <t>DGKC|acc_markup|2024</t>
  </si>
  <si>
    <t>DGKC|acc_markup|2025</t>
  </si>
  <si>
    <t>DGKC|stb|2020</t>
  </si>
  <si>
    <t>DGKC|stb|2021</t>
  </si>
  <si>
    <t>Short term borrowings from financial ins</t>
  </si>
  <si>
    <t>DGKC|stb|2022</t>
  </si>
  <si>
    <t>DGKC|stb|2023</t>
  </si>
  <si>
    <t>DGKC|stb|2024</t>
  </si>
  <si>
    <t>DGKC|stb|2025</t>
  </si>
  <si>
    <t>DGKC|cp_ltf|2020</t>
  </si>
  <si>
    <t>Current portion of non-current liabilities less compensated absences and deferred grant (note)</t>
  </si>
  <si>
    <t>136</t>
  </si>
  <si>
    <t>Compensated absences and deferred grant reclassified out of debt</t>
  </si>
  <si>
    <t>DGKC|cp_ltf|2021</t>
  </si>
  <si>
    <t>156</t>
  </si>
  <si>
    <t>DGKC|cp_ltf|2022</t>
  </si>
  <si>
    <t>DGKC|cp_ltf|2023</t>
  </si>
  <si>
    <t>183</t>
  </si>
  <si>
    <t>DGKC|cp_ltf|2024</t>
  </si>
  <si>
    <t>185</t>
  </si>
  <si>
    <t>DGKC|cp_ltf|2025</t>
  </si>
  <si>
    <t>DGKC|cp_lease|2020</t>
  </si>
  <si>
    <t>DGKC|cp_lease|2021</t>
  </si>
  <si>
    <t>DGKC|cp_lease|2022</t>
  </si>
  <si>
    <t>DGKC|cp_lease|2023</t>
  </si>
  <si>
    <t>DGKC|cp_lease|2024</t>
  </si>
  <si>
    <t>DGKC|cp_lease|2025</t>
  </si>
  <si>
    <t>DGKC|cp_grant|2020</t>
  </si>
  <si>
    <t>DGKC|cp_grant|2021</t>
  </si>
  <si>
    <t>DGKC|cp_grant|2022</t>
  </si>
  <si>
    <t>DGKC|cp_grant|2023</t>
  </si>
  <si>
    <t>DGKC|cp_grant|2024</t>
  </si>
  <si>
    <t>DGKC|cp_grant|2025</t>
  </si>
  <si>
    <t>DGKC|div_liab|2020</t>
  </si>
  <si>
    <t>DGKC|div_liab|2021</t>
  </si>
  <si>
    <t>DGKC|div_liab|2022</t>
  </si>
  <si>
    <t>DGKC|div_liab|2023</t>
  </si>
  <si>
    <t>DGKC|div_liab|2024</t>
  </si>
  <si>
    <t>DGKC|div_liab|2025</t>
  </si>
  <si>
    <t>DGKC|tax_liab|2020</t>
  </si>
  <si>
    <t>Provision for taxation</t>
  </si>
  <si>
    <t>DGKC|tax_liab|2021</t>
  </si>
  <si>
    <t>DGKC|tax_liab|2022</t>
  </si>
  <si>
    <t>DGKC|tax_liab|2023</t>
  </si>
  <si>
    <t>DGKC|tax_liab|2024</t>
  </si>
  <si>
    <t>Income tax payable; Provision for taxation</t>
  </si>
  <si>
    <t>DGKC|tax_liab|2025</t>
  </si>
  <si>
    <t>DGKC|cl_other|2020</t>
  </si>
  <si>
    <t>DGKC|cl_other|2021</t>
  </si>
  <si>
    <t>DGKC|cl_other|2022</t>
  </si>
  <si>
    <t>DGKC|cl_other|2023</t>
  </si>
  <si>
    <t>DGKC|cl_other|2024</t>
  </si>
  <si>
    <t>DGKC|cl_other|2025</t>
  </si>
  <si>
    <t>DGKC|pr_TA|2020</t>
  </si>
  <si>
    <t>DGKC|pr_TA|2021</t>
  </si>
  <si>
    <t>DGKC|pr_TA|2022</t>
  </si>
  <si>
    <t>DGKC|pr_TA|2023</t>
  </si>
  <si>
    <t>DGKC|pr_TA|2024</t>
  </si>
  <si>
    <t>DGKC|pr_TA|2025</t>
  </si>
  <si>
    <t>DGKC|pr_EQ|2020</t>
  </si>
  <si>
    <t>DGKC|pr_EQ|2021</t>
  </si>
  <si>
    <t>DGKC|pr_EQ|2022</t>
  </si>
  <si>
    <t>DGKC|pr_EQ|2023</t>
  </si>
  <si>
    <t>DGKC|pr_EQ|2024</t>
  </si>
  <si>
    <t>DGKC|pr_EQ|2025</t>
  </si>
  <si>
    <t>DGKC|pr_CA|2020</t>
  </si>
  <si>
    <t>DGKC|pr_CA|2021</t>
  </si>
  <si>
    <t>DGKC|pr_CA|2022</t>
  </si>
  <si>
    <t>DGKC|pr_CA|2023</t>
  </si>
  <si>
    <t>DGKC|pr_CA|2024</t>
  </si>
  <si>
    <t>DGKC|pr_CA|2025</t>
  </si>
  <si>
    <t>DGKC|pr_CL|2020</t>
  </si>
  <si>
    <t>DGKC|pr_CL|2021</t>
  </si>
  <si>
    <t>DGKC|pr_CL|2022</t>
  </si>
  <si>
    <t>DGKC|pr_CL|2023</t>
  </si>
  <si>
    <t>DGKC|pr_CL|2024</t>
  </si>
  <si>
    <t>DGKC|pr_CL|2025</t>
  </si>
  <si>
    <t>DGKC|rev|2021</t>
  </si>
  <si>
    <t>Revenue</t>
  </si>
  <si>
    <t>126</t>
  </si>
  <si>
    <t>DGKC|rev|2022</t>
  </si>
  <si>
    <t>DGKC|rev|2023</t>
  </si>
  <si>
    <t>DGKC|rev|2024</t>
  </si>
  <si>
    <t xml:space="preserve">Revenue from contracts with customers - </t>
  </si>
  <si>
    <t>DGKC|rev|2025</t>
  </si>
  <si>
    <t>DGKC|cogs|2021</t>
  </si>
  <si>
    <t>DGKC|cogs|2022</t>
  </si>
  <si>
    <t>DGKC|cogs|2023</t>
  </si>
  <si>
    <t>DGKC|cogs|2024</t>
  </si>
  <si>
    <t>DGKC|cogs|2025</t>
  </si>
  <si>
    <t>DGKC|selling|2021</t>
  </si>
  <si>
    <t>DGKC|selling|2022</t>
  </si>
  <si>
    <t>DGKC|selling|2023</t>
  </si>
  <si>
    <t>DGKC|selling|2024</t>
  </si>
  <si>
    <t>DGKC|selling|2025</t>
  </si>
  <si>
    <t>DGKC|admin|2021</t>
  </si>
  <si>
    <t>DGKC|admin|2022</t>
  </si>
  <si>
    <t>DGKC|admin|2023</t>
  </si>
  <si>
    <t>DGKC|admin|2024</t>
  </si>
  <si>
    <t>DGKC|admin|2025</t>
  </si>
  <si>
    <t>DGKC|impair|2021</t>
  </si>
  <si>
    <t xml:space="preserve">Net impairment (loss)/gain on financial </t>
  </si>
  <si>
    <t>DGKC|impair|2022</t>
  </si>
  <si>
    <t>Net impairment loss on financial assets</t>
  </si>
  <si>
    <t>DGKC|impair|2023</t>
  </si>
  <si>
    <t>DGKC|impair|2024</t>
  </si>
  <si>
    <t>DGKC|impair|2025</t>
  </si>
  <si>
    <t>DGKC|oth_exp|2021</t>
  </si>
  <si>
    <t>DGKC|oth_exp|2022</t>
  </si>
  <si>
    <t>DGKC|oth_exp|2023</t>
  </si>
  <si>
    <t>DGKC|oth_exp|2024</t>
  </si>
  <si>
    <t>DGKC|oth_exp|2025</t>
  </si>
  <si>
    <t>DGKC|oth_inc|2021</t>
  </si>
  <si>
    <t>DGKC|oth_inc|2022</t>
  </si>
  <si>
    <t>DGKC|oth_inc|2023</t>
  </si>
  <si>
    <t>DGKC|oth_inc|2024</t>
  </si>
  <si>
    <t>DGKC|oth_inc|2025</t>
  </si>
  <si>
    <t>DGKC|fin_inc|2021</t>
  </si>
  <si>
    <t>DGKC|fin_inc|2022</t>
  </si>
  <si>
    <t>DGKC|fin_inc|2023</t>
  </si>
  <si>
    <t>DGKC|fin_inc|2024</t>
  </si>
  <si>
    <t>DGKC|fin_inc|2025</t>
  </si>
  <si>
    <t>DGKC|assoc|2021</t>
  </si>
  <si>
    <t>DGKC|assoc|2022</t>
  </si>
  <si>
    <t>DGKC|assoc|2023</t>
  </si>
  <si>
    <t>DGKC|assoc|2024</t>
  </si>
  <si>
    <t>DGKC|assoc|2025</t>
  </si>
  <si>
    <t>DGKC|fin_cost|2021</t>
  </si>
  <si>
    <t>DGKC|fin_cost|2022</t>
  </si>
  <si>
    <t>DGKC|fin_cost|2023</t>
  </si>
  <si>
    <t>DGKC|fin_cost|2024</t>
  </si>
  <si>
    <t>DGKC|fin_cost|2025</t>
  </si>
  <si>
    <t>DGKC|levy|2021</t>
  </si>
  <si>
    <t>DGKC|levy|2022</t>
  </si>
  <si>
    <t>DGKC|levy|2023</t>
  </si>
  <si>
    <t>DGKC|levy|2024</t>
  </si>
  <si>
    <t>DGKC|levy|2025</t>
  </si>
  <si>
    <t>DGKC|tax|2021</t>
  </si>
  <si>
    <t>DGKC|tax|2022</t>
  </si>
  <si>
    <t>DGKC|tax|2023</t>
  </si>
  <si>
    <t>DGKC|tax|2024</t>
  </si>
  <si>
    <t>DGKC|tax|2025</t>
  </si>
  <si>
    <t>DGKC|pr_gp|2021</t>
  </si>
  <si>
    <t>DGKC|pr_gp|2022</t>
  </si>
  <si>
    <t>DGKC|pr_gp|2023</t>
  </si>
  <si>
    <t>DGKC|pr_gp|2024</t>
  </si>
  <si>
    <t>DGKC|pr_gp|2025</t>
  </si>
  <si>
    <t>DGKC|pr_pbt|2021</t>
  </si>
  <si>
    <t>DGKC|pr_pbt|2022</t>
  </si>
  <si>
    <t>DGKC|pr_pbt|2023</t>
  </si>
  <si>
    <t>Profit before tax and levy</t>
  </si>
  <si>
    <t>DGKC|pr_pbt|2024</t>
  </si>
  <si>
    <t>Profit before levy and income tax</t>
  </si>
  <si>
    <t>DGKC|pr_pbt|2025</t>
  </si>
  <si>
    <t>DGKC|pr_pat|2021</t>
  </si>
  <si>
    <t>Profit for the year</t>
  </si>
  <si>
    <t>DGKC|pr_pat|2022</t>
  </si>
  <si>
    <t>(Loss)/profit for the year</t>
  </si>
  <si>
    <t>DGKC|pr_pat|2023</t>
  </si>
  <si>
    <t>Profit / (loss) for the year</t>
  </si>
  <si>
    <t>DGKC|pr_pat|2024</t>
  </si>
  <si>
    <t>DGKC|pr_pat|2025</t>
  </si>
  <si>
    <t>DGKC|fc_nonint|2021</t>
  </si>
  <si>
    <t>Guarantee commission; Bank charges</t>
  </si>
  <si>
    <t>176</t>
  </si>
  <si>
    <t>DGKC|fc_nonint|2022</t>
  </si>
  <si>
    <t>Bank charges</t>
  </si>
  <si>
    <t>200</t>
  </si>
  <si>
    <t>DGKC|fc_nonint|2023</t>
  </si>
  <si>
    <t>203</t>
  </si>
  <si>
    <t>DGKC|fc_nonint|2024</t>
  </si>
  <si>
    <t>- Bank charges</t>
  </si>
  <si>
    <t>208</t>
  </si>
  <si>
    <t>DGKC|fc_nonint|2025</t>
  </si>
  <si>
    <t>DGKC|da|2021</t>
  </si>
  <si>
    <t>- Depreciation on operating fixed a; - Amortization of intangible assets</t>
  </si>
  <si>
    <t>178</t>
  </si>
  <si>
    <t>DGKC|da|2022</t>
  </si>
  <si>
    <t>DGKC|da|2023</t>
  </si>
  <si>
    <t>206</t>
  </si>
  <si>
    <t>DGKC|da|2024</t>
  </si>
  <si>
    <t>211</t>
  </si>
  <si>
    <t>DGKC|da|2025</t>
  </si>
  <si>
    <t>DGKC|cgo|2021</t>
  </si>
  <si>
    <t>128</t>
  </si>
  <si>
    <t>DGKC|cgo|2022</t>
  </si>
  <si>
    <t>DGKC|cgo|2023</t>
  </si>
  <si>
    <t>DGKC|cgo|2024</t>
  </si>
  <si>
    <t>DGKC|cgo|2025</t>
  </si>
  <si>
    <t>DGKC|cfo|2021</t>
  </si>
  <si>
    <t>Net cash (outflow)/inflow from operating</t>
  </si>
  <si>
    <t>DGKC|cfo|2022</t>
  </si>
  <si>
    <t>Net cash inflow/(outflow) from operating</t>
  </si>
  <si>
    <t>DGKC|cfo|2023</t>
  </si>
  <si>
    <t>Net cash inflow from operating activitie</t>
  </si>
  <si>
    <t>DGKC|cfo|2024</t>
  </si>
  <si>
    <t>DGKC|cfo|2025</t>
  </si>
  <si>
    <t>DGKC|fin_paid|2021</t>
  </si>
  <si>
    <t>DGKC|fin_paid|2022</t>
  </si>
  <si>
    <t>DGKC|fin_paid|2023</t>
  </si>
  <si>
    <t>DGKC|fin_paid|2024</t>
  </si>
  <si>
    <t>DGKC|fin_paid|2025</t>
  </si>
  <si>
    <t>DGKC|fin_paid_cls|2021</t>
  </si>
  <si>
    <t>DGKC|fin_paid_cls|2022</t>
  </si>
  <si>
    <t>DGKC|fin_paid_cls|2023</t>
  </si>
  <si>
    <t>DGKC|fin_paid_cls|2024</t>
  </si>
  <si>
    <t>DGKC|fin_paid_cls|2025</t>
  </si>
  <si>
    <t>DGKC|capex|2021</t>
  </si>
  <si>
    <t>Payments for property, plant and equipme</t>
  </si>
  <si>
    <t>DGKC|capex|2022</t>
  </si>
  <si>
    <t>DGKC|capex|2023</t>
  </si>
  <si>
    <t>DGKC|capex|2024</t>
  </si>
  <si>
    <t>DGKC|capex|2025</t>
  </si>
  <si>
    <t>DGKC|cfi|2021</t>
  </si>
  <si>
    <t>Net cash inflow/(outflow) from investing</t>
  </si>
  <si>
    <t>DGKC|cfi|2022</t>
  </si>
  <si>
    <t>Net cash (outflow)/inflow from investing</t>
  </si>
  <si>
    <t>DGKC|cfi|2023</t>
  </si>
  <si>
    <t>Net cash inflow / (outflow) from investi</t>
  </si>
  <si>
    <t>DGKC|cfi|2024</t>
  </si>
  <si>
    <t>Net cash inflow from investing activitie</t>
  </si>
  <si>
    <t>DGKC|cfi|2025</t>
  </si>
  <si>
    <t>DGKC|cff|2021</t>
  </si>
  <si>
    <t>Net cash (outflow)/inflow from financing</t>
  </si>
  <si>
    <t>DGKC|cff|2022</t>
  </si>
  <si>
    <t>Net cash outflow from financing activiti</t>
  </si>
  <si>
    <t>DGKC|cff|2023</t>
  </si>
  <si>
    <t>Net cash inflow / (outflow) from financi</t>
  </si>
  <si>
    <t>DGKC|cff|2024</t>
  </si>
  <si>
    <t>Net cash (outflow) / inflow from financi</t>
  </si>
  <si>
    <t>DGKC|cff|2025</t>
  </si>
  <si>
    <t>DGKC|div_paid|2021</t>
  </si>
  <si>
    <t>DGKC|div_paid|2022</t>
  </si>
  <si>
    <t>DGKC|div_paid|2023</t>
  </si>
  <si>
    <t>DGKC|div_paid|2024</t>
  </si>
  <si>
    <t>DGKC|div_paid|2025</t>
  </si>
  <si>
    <t>DGKC|par|2021</t>
  </si>
  <si>
    <t>DGKC|par|2022</t>
  </si>
  <si>
    <t>DGKC|par|2023</t>
  </si>
  <si>
    <t>201</t>
  </si>
  <si>
    <t>DGKC|par|2024</t>
  </si>
  <si>
    <t>204</t>
  </si>
  <si>
    <t>DGKC|par|2025</t>
  </si>
  <si>
    <t>209</t>
  </si>
  <si>
    <t>DGKC|wavg|2021</t>
  </si>
  <si>
    <t>DGKC|wavg|2022</t>
  </si>
  <si>
    <t>DGKC|wavg|2023</t>
  </si>
  <si>
    <t>DGKC|wavg|2024</t>
  </si>
  <si>
    <t>DGKC|wavg|2025</t>
  </si>
  <si>
    <t>DGKC|price|2021</t>
  </si>
  <si>
    <t>DGKC|price|2022</t>
  </si>
  <si>
    <t>DGKC|price|2023</t>
  </si>
  <si>
    <t>DGKC|price|2024</t>
  </si>
  <si>
    <t>DGKC|price|2025</t>
  </si>
  <si>
    <t>DGKC|dps|2021</t>
  </si>
  <si>
    <t>107</t>
  </si>
  <si>
    <t>DGKC|dps|2022</t>
  </si>
  <si>
    <t>DGKC|dps|2023</t>
  </si>
  <si>
    <t>DGKC|dps|2024</t>
  </si>
  <si>
    <t>DGKC|dps|2025</t>
  </si>
  <si>
    <t>DGKC|eps_rep|2021</t>
  </si>
  <si>
    <t>DGKC|eps_rep|2022</t>
  </si>
  <si>
    <t>DGKC|eps_rep|2023</t>
  </si>
  <si>
    <t>DGKC|eps_rep|2024</t>
  </si>
  <si>
    <t>DGKC|eps_rep|2025</t>
  </si>
  <si>
    <t>DGKC|adj|2021</t>
  </si>
  <si>
    <t>DGKC|adj|2022</t>
  </si>
  <si>
    <t>DGKC|adj|2023</t>
  </si>
  <si>
    <t>DGKC|adj|2024</t>
  </si>
  <si>
    <t>DGKC|adj|2025</t>
  </si>
  <si>
    <t>MLCF|ppe|2020</t>
  </si>
  <si>
    <t>161</t>
  </si>
  <si>
    <t>MLCF|ppe|2021</t>
  </si>
  <si>
    <t>MLCF|ppe|2022</t>
  </si>
  <si>
    <t>192-193</t>
  </si>
  <si>
    <t>MLCF|ppe|2023</t>
  </si>
  <si>
    <t>189</t>
  </si>
  <si>
    <t>MLCF|ppe|2024</t>
  </si>
  <si>
    <t>MLCF|ppe|2025</t>
  </si>
  <si>
    <t>MLCF|cwip|2020</t>
  </si>
  <si>
    <t>Capital work in progress - at cost</t>
  </si>
  <si>
    <t>MLCF|cwip|2021</t>
  </si>
  <si>
    <t>MLCF|cwip|2022</t>
  </si>
  <si>
    <t>MLCF|cwip|2023</t>
  </si>
  <si>
    <t>231</t>
  </si>
  <si>
    <t>MLCF|cwip|2024</t>
  </si>
  <si>
    <t>Capital work in progress - at cost (note 19)</t>
  </si>
  <si>
    <t>245</t>
  </si>
  <si>
    <t>MLCF|cwip|2025</t>
  </si>
  <si>
    <t>MLCF|rou|2020</t>
  </si>
  <si>
    <t>160</t>
  </si>
  <si>
    <t>MLCF|rou|2021</t>
  </si>
  <si>
    <t>MLCF|rou|2022</t>
  </si>
  <si>
    <t>MLCF|rou|2023</t>
  </si>
  <si>
    <t>MLCF|rou|2024</t>
  </si>
  <si>
    <t>MLCF|rou|2025</t>
  </si>
  <si>
    <t>MLCF|intang|2020</t>
  </si>
  <si>
    <t>MLCF|intang|2021</t>
  </si>
  <si>
    <t>MLCF|intang|2022</t>
  </si>
  <si>
    <t>MLCF|intang|2023</t>
  </si>
  <si>
    <t>MLCF|intang|2024</t>
  </si>
  <si>
    <t>MLCF|intang|2025</t>
  </si>
  <si>
    <t>MLCF|inv_prop|2020</t>
  </si>
  <si>
    <t>MLCF|inv_prop|2021</t>
  </si>
  <si>
    <t>MLCF|inv_prop|2022</t>
  </si>
  <si>
    <t>MLCF|inv_prop|2023</t>
  </si>
  <si>
    <t>MLCF|inv_prop|2024</t>
  </si>
  <si>
    <t>MLCF|inv_prop|2025</t>
  </si>
  <si>
    <t>MLCF|lt_inv|2020</t>
  </si>
  <si>
    <t>Long term investment</t>
  </si>
  <si>
    <t>MLCF|lt_inv|2021</t>
  </si>
  <si>
    <t>MLCF|lt_inv|2022</t>
  </si>
  <si>
    <t>MLCF|lt_inv|2023</t>
  </si>
  <si>
    <t>MLCF|lt_inv|2024</t>
  </si>
  <si>
    <t>MLCF|lt_inv|2025</t>
  </si>
  <si>
    <t>MLCF|nca_other|2020</t>
  </si>
  <si>
    <t>Long term deposits; Long term loans to employees - secured</t>
  </si>
  <si>
    <t>MLCF|nca_other|2021</t>
  </si>
  <si>
    <t>MLCF|nca_other|2022</t>
  </si>
  <si>
    <t>MLCF|nca_other|2023</t>
  </si>
  <si>
    <t>MLCF|nca_other|2024</t>
  </si>
  <si>
    <t>MLCF|nca_other|2025</t>
  </si>
  <si>
    <t>MLCF|stores|2020</t>
  </si>
  <si>
    <t>MLCF|stores|2021</t>
  </si>
  <si>
    <t>MLCF|stores|2022</t>
  </si>
  <si>
    <t>MLCF|stores|2023</t>
  </si>
  <si>
    <t>MLCF|stores|2024</t>
  </si>
  <si>
    <t>MLCF|stores|2025</t>
  </si>
  <si>
    <t>MLCF|sit|2020</t>
  </si>
  <si>
    <t>MLCF|sit|2021</t>
  </si>
  <si>
    <t>MLCF|sit|2022</t>
  </si>
  <si>
    <t>MLCF|sit|2023</t>
  </si>
  <si>
    <t>MLCF|sit|2024</t>
  </si>
  <si>
    <t>MLCF|sit|2025</t>
  </si>
  <si>
    <t>MLCF|debts|2020</t>
  </si>
  <si>
    <t>MLCF|debts|2021</t>
  </si>
  <si>
    <t>MLCF|debts|2022</t>
  </si>
  <si>
    <t>MLCF|debts|2023</t>
  </si>
  <si>
    <t>MLCF|debts|2024</t>
  </si>
  <si>
    <t>MLCF|debts|2025</t>
  </si>
  <si>
    <t>MLCF|st_inv|2020</t>
  </si>
  <si>
    <t>Short term investment</t>
  </si>
  <si>
    <t>29</t>
  </si>
  <si>
    <t>MLCF|st_inv|2021</t>
  </si>
  <si>
    <t>MLCF|st_inv|2022</t>
  </si>
  <si>
    <t>MLCF|st_inv|2023</t>
  </si>
  <si>
    <t>MLCF|st_inv|2024</t>
  </si>
  <si>
    <t>28</t>
  </si>
  <si>
    <t>MLCF|st_inv|2025</t>
  </si>
  <si>
    <t>MLCF|cash|2020</t>
  </si>
  <si>
    <t>34</t>
  </si>
  <si>
    <t>MLCF|cash|2021</t>
  </si>
  <si>
    <t>MLCF|cash|2022</t>
  </si>
  <si>
    <t>MLCF|cash|2023</t>
  </si>
  <si>
    <t>MLCF|cash|2024</t>
  </si>
  <si>
    <t>33</t>
  </si>
  <si>
    <t>MLCF|cash|2025</t>
  </si>
  <si>
    <t>MLCF|ca_other|2020</t>
  </si>
  <si>
    <t>Accrued profit; Advance income tax - net of provision; Loans and advances; Other receivables; Short term deposits and pr</t>
  </si>
  <si>
    <t>31</t>
  </si>
  <si>
    <t>MLCF|ca_other|2021</t>
  </si>
  <si>
    <t>MLCF|ca_other|2022</t>
  </si>
  <si>
    <t>MLCF|ca_other|2023</t>
  </si>
  <si>
    <t>Accrued profit; Advance income tax; Loans and advances; Other receivables; Short term deposits and prepayments</t>
  </si>
  <si>
    <t>MLCF|ca_other|2024</t>
  </si>
  <si>
    <t>MLCF|ca_other|2025</t>
  </si>
  <si>
    <t>MLCF|share_cap|2020</t>
  </si>
  <si>
    <t>MLCF|share_cap|2021</t>
  </si>
  <si>
    <t>MLCF|share_cap|2022</t>
  </si>
  <si>
    <t>MLCF|share_cap|2023</t>
  </si>
  <si>
    <t>ordinary shares of Rs. 10 each</t>
  </si>
  <si>
    <t>MLCF|share_cap|2024</t>
  </si>
  <si>
    <t>MLCF|share_cap|2025</t>
  </si>
  <si>
    <t>MLCF|eq_other|2020</t>
  </si>
  <si>
    <t>Accumulated profits; Capital reserves; Surplus on revaluation of fixed assets -</t>
  </si>
  <si>
    <t>MLCF|eq_other|2021</t>
  </si>
  <si>
    <t>MLCF|eq_other|2022</t>
  </si>
  <si>
    <t>MLCF|eq_other|2023</t>
  </si>
  <si>
    <t>Capital reserves; Revenue reserve: Un-appropriated profits; Surplus on revaluation of fixed assets</t>
  </si>
  <si>
    <t>MLCF|eq_other|2024</t>
  </si>
  <si>
    <t>MLCF|eq_other|2025</t>
  </si>
  <si>
    <t>MLCF|ltf_nc|2020</t>
  </si>
  <si>
    <t>Long term loan from Subsidiary Company; Long term loans from financial instituti</t>
  </si>
  <si>
    <t>MLCF|ltf_nc|2021</t>
  </si>
  <si>
    <t>Long term loan from subsidiary company; Long term loans from financial instituti</t>
  </si>
  <si>
    <t>MLCF|ltf_nc|2022</t>
  </si>
  <si>
    <t>MLCF|ltf_nc|2023</t>
  </si>
  <si>
    <t>Long term loan from subsidiary company -; Long term loans from financial instituti</t>
  </si>
  <si>
    <t>MLCF|ltf_nc|2024</t>
  </si>
  <si>
    <t>MLCF|ltf_nc|2025</t>
  </si>
  <si>
    <t>MLCF|lease_nc|2020</t>
  </si>
  <si>
    <t>MLCF|lease_nc|2021</t>
  </si>
  <si>
    <t>Long term liability against right of use</t>
  </si>
  <si>
    <t>MLCF|lease_nc|2022</t>
  </si>
  <si>
    <t>MLCF|lease_nc|2023</t>
  </si>
  <si>
    <t>Lease liabilities</t>
  </si>
  <si>
    <t>MLCF|lease_nc|2024</t>
  </si>
  <si>
    <t>MLCF|lease_nc|2025</t>
  </si>
  <si>
    <t>MLCF|grant_nc|2020</t>
  </si>
  <si>
    <t>MLCF|grant_nc|2021</t>
  </si>
  <si>
    <t>MLCF|grant_nc|2022</t>
  </si>
  <si>
    <t>MLCF|grant_nc|2023</t>
  </si>
  <si>
    <t>MLCF|grant_nc|2024</t>
  </si>
  <si>
    <t>MLCF|grant_nc|2025</t>
  </si>
  <si>
    <t>MLCF|def_tax|2020</t>
  </si>
  <si>
    <t>MLCF|def_tax|2021</t>
  </si>
  <si>
    <t>MLCF|def_tax|2022</t>
  </si>
  <si>
    <t>MLCF|def_tax|2023</t>
  </si>
  <si>
    <t>MLCF|def_tax|2024</t>
  </si>
  <si>
    <t>Deferred income tax liability</t>
  </si>
  <si>
    <t>MLCF|def_tax|2025</t>
  </si>
  <si>
    <t>MLCF|ncl_other|2020</t>
  </si>
  <si>
    <t>Long term deposits; Payable to government authority; Retention money payable; Retirement benefits</t>
  </si>
  <si>
    <t>MLCF|ncl_other|2021</t>
  </si>
  <si>
    <t>MLCF|ncl_other|2022</t>
  </si>
  <si>
    <t>Long term deposits; Retention money; Retirement benefits</t>
  </si>
  <si>
    <t>MLCF|ncl_other|2023</t>
  </si>
  <si>
    <t>Employee benefits obligations; Long term deposits; Retention money</t>
  </si>
  <si>
    <t>MLCF|ncl_other|2024</t>
  </si>
  <si>
    <t>MLCF|ncl_other|2025</t>
  </si>
  <si>
    <t>MLCF|tap|2020</t>
  </si>
  <si>
    <t>MLCF|tap|2021</t>
  </si>
  <si>
    <t>MLCF|tap|2022</t>
  </si>
  <si>
    <t>MLCF|tap|2023</t>
  </si>
  <si>
    <t>MLCF|tap|2024</t>
  </si>
  <si>
    <t>MLCF|tap|2025</t>
  </si>
  <si>
    <t>MLCF|trade_cred|2020</t>
  </si>
  <si>
    <t>Trade creditors; Bills payable - secured; payable to power subsidiary</t>
  </si>
  <si>
    <t>196</t>
  </si>
  <si>
    <t>Operating related supplier included consistently; original amount retained on Input Review.</t>
  </si>
  <si>
    <t>MLCF|trade_cred|2021</t>
  </si>
  <si>
    <t>219</t>
  </si>
  <si>
    <t>MLCF|trade_cred|2022</t>
  </si>
  <si>
    <t>MLCF|trade_cred|2023</t>
  </si>
  <si>
    <t>MLCF|trade_cred|2024</t>
  </si>
  <si>
    <t>MLCF|trade_cred|2025</t>
  </si>
  <si>
    <t>MLCF|contract|2020</t>
  </si>
  <si>
    <t>MLCF|contract|2021</t>
  </si>
  <si>
    <t>MLCF|contract|2022</t>
  </si>
  <si>
    <t>MLCF|contract|2023</t>
  </si>
  <si>
    <t>MLCF|contract|2024</t>
  </si>
  <si>
    <t>MLCF|contract|2025</t>
  </si>
  <si>
    <t>MLCF|acc_markup|2020</t>
  </si>
  <si>
    <t>MLCF|acc_markup|2021</t>
  </si>
  <si>
    <t>MLCF|acc_markup|2022</t>
  </si>
  <si>
    <t>MLCF|acc_markup|2023</t>
  </si>
  <si>
    <t>MLCF|acc_markup|2024</t>
  </si>
  <si>
    <t>MLCF|acc_markup|2025</t>
  </si>
  <si>
    <t>MLCF|stb|2020</t>
  </si>
  <si>
    <t>MLCF|stb|2021</t>
  </si>
  <si>
    <t>MLCF|stb|2022</t>
  </si>
  <si>
    <t>MLCF|stb|2023</t>
  </si>
  <si>
    <t>MLCF|stb|2024</t>
  </si>
  <si>
    <t>MLCF|stb|2025</t>
  </si>
  <si>
    <t>MLCF|cp_ltf|2020</t>
  </si>
  <si>
    <t>Current portion of: - Long term loans fr</t>
  </si>
  <si>
    <t>MLCF|cp_ltf|2021</t>
  </si>
  <si>
    <t>MLCF|cp_ltf|2022</t>
  </si>
  <si>
    <t>MLCF|cp_ltf|2023</t>
  </si>
  <si>
    <t>MLCF|cp_ltf|2024</t>
  </si>
  <si>
    <t>MLCF|cp_ltf|2025</t>
  </si>
  <si>
    <t>MLCF|cp_lease|2020</t>
  </si>
  <si>
    <t>MLCF|cp_lease|2021</t>
  </si>
  <si>
    <t>- Liability against right of use assets</t>
  </si>
  <si>
    <t>MLCF|cp_lease|2022</t>
  </si>
  <si>
    <t>MLCF|cp_lease|2023</t>
  </si>
  <si>
    <t>- Lease liabilities</t>
  </si>
  <si>
    <t>MLCF|cp_lease|2024</t>
  </si>
  <si>
    <t>MLCF|cp_lease|2025</t>
  </si>
  <si>
    <t>MLCF|cp_grant|2020</t>
  </si>
  <si>
    <t>- Deferred grant</t>
  </si>
  <si>
    <t>MLCF|cp_grant|2021</t>
  </si>
  <si>
    <t>MLCF|cp_grant|2022</t>
  </si>
  <si>
    <t>MLCF|cp_grant|2023</t>
  </si>
  <si>
    <t>- Deferred government grant</t>
  </si>
  <si>
    <t>MLCF|cp_grant|2024</t>
  </si>
  <si>
    <t>MLCF|cp_grant|2025</t>
  </si>
  <si>
    <t>MLCF|div_liab|2020</t>
  </si>
  <si>
    <t>MLCF|div_liab|2021</t>
  </si>
  <si>
    <t>MLCF|div_liab|2022</t>
  </si>
  <si>
    <t>MLCF|div_liab|2023</t>
  </si>
  <si>
    <t>MLCF|div_liab|2024</t>
  </si>
  <si>
    <t>MLCF|div_liab|2025</t>
  </si>
  <si>
    <t>MLCF|tax_liab|2020</t>
  </si>
  <si>
    <t>MLCF|tax_liab|2021</t>
  </si>
  <si>
    <t>MLCF|tax_liab|2022</t>
  </si>
  <si>
    <t>MLCF|tax_liab|2023</t>
  </si>
  <si>
    <t>MLCF|tax_liab|2024</t>
  </si>
  <si>
    <t>Provision for income tax</t>
  </si>
  <si>
    <t>32</t>
  </si>
  <si>
    <t>MLCF|tax_liab|2025</t>
  </si>
  <si>
    <t>MLCF|cl_other|2020</t>
  </si>
  <si>
    <t>MLCF|cl_other|2021</t>
  </si>
  <si>
    <t>MLCF|cl_other|2022</t>
  </si>
  <si>
    <t>MLCF|cl_other|2023</t>
  </si>
  <si>
    <t>MLCF|cl_other|2024</t>
  </si>
  <si>
    <t>MLCF|cl_other|2025</t>
  </si>
  <si>
    <t>MLCF|pr_TA|2020</t>
  </si>
  <si>
    <t>MLCF|pr_TA|2021</t>
  </si>
  <si>
    <t>MLCF|pr_TA|2022</t>
  </si>
  <si>
    <t>MLCF|pr_TA|2023</t>
  </si>
  <si>
    <t>MLCF|pr_TA|2024</t>
  </si>
  <si>
    <t>MLCF|pr_TA|2025</t>
  </si>
  <si>
    <t>MLCF|pr_EQ|2020</t>
  </si>
  <si>
    <t>MLCF|pr_EQ|2021</t>
  </si>
  <si>
    <t>MLCF|pr_EQ|2022</t>
  </si>
  <si>
    <t>MLCF|pr_EQ|2023</t>
  </si>
  <si>
    <t>MLCF|pr_EQ|2024</t>
  </si>
  <si>
    <t>MLCF|pr_EQ|2025</t>
  </si>
  <si>
    <t>MLCF|pr_CA|2020</t>
  </si>
  <si>
    <t>MLCF|pr_CA|2021</t>
  </si>
  <si>
    <t>MLCF|pr_CA|2022</t>
  </si>
  <si>
    <t>MLCF|pr_CA|2023</t>
  </si>
  <si>
    <t>MLCF|pr_CA|2024</t>
  </si>
  <si>
    <t>MLCF|pr_CA|2025</t>
  </si>
  <si>
    <t>MLCF|pr_CL|2020</t>
  </si>
  <si>
    <t>MLCF|pr_CL|2021</t>
  </si>
  <si>
    <t>MLCF|pr_CL|2022</t>
  </si>
  <si>
    <t>MLCF|pr_CL|2023</t>
  </si>
  <si>
    <t>MLCF|pr_CL|2024</t>
  </si>
  <si>
    <t>MLCF|pr_CL|2025</t>
  </si>
  <si>
    <t>MLCF|rev|2021</t>
  </si>
  <si>
    <t>Sales - net</t>
  </si>
  <si>
    <t>MLCF|rev|2022</t>
  </si>
  <si>
    <t>194-195</t>
  </si>
  <si>
    <t>MLCF|rev|2023</t>
  </si>
  <si>
    <t>190</t>
  </si>
  <si>
    <t>MLCF|rev|2024</t>
  </si>
  <si>
    <t>202</t>
  </si>
  <si>
    <t>MLCF|rev|2025</t>
  </si>
  <si>
    <t>MLCF|cogs|2021</t>
  </si>
  <si>
    <t>MLCF|cogs|2022</t>
  </si>
  <si>
    <t>MLCF|cogs|2023</t>
  </si>
  <si>
    <t>MLCF|cogs|2024</t>
  </si>
  <si>
    <t>MLCF|cogs|2025</t>
  </si>
  <si>
    <t>MLCF|selling|2021</t>
  </si>
  <si>
    <t>MLCF|selling|2022</t>
  </si>
  <si>
    <t>MLCF|selling|2023</t>
  </si>
  <si>
    <t>MLCF|selling|2024</t>
  </si>
  <si>
    <t>MLCF|selling|2025</t>
  </si>
  <si>
    <t>MLCF|admin|2021</t>
  </si>
  <si>
    <t>MLCF|admin|2022</t>
  </si>
  <si>
    <t>MLCF|admin|2023</t>
  </si>
  <si>
    <t>MLCF|admin|2024</t>
  </si>
  <si>
    <t>MLCF|admin|2025</t>
  </si>
  <si>
    <t>MLCF|impair|2021</t>
  </si>
  <si>
    <t>MLCF|impair|2022</t>
  </si>
  <si>
    <t>MLCF|impair|2023</t>
  </si>
  <si>
    <t>MLCF|impair|2024</t>
  </si>
  <si>
    <t>MLCF|impair|2025</t>
  </si>
  <si>
    <t>MLCF|oth_exp|2021</t>
  </si>
  <si>
    <t>Other charges</t>
  </si>
  <si>
    <t>MLCF|oth_exp|2022</t>
  </si>
  <si>
    <t>MLCF|oth_exp|2023</t>
  </si>
  <si>
    <t>MLCF|oth_exp|2024</t>
  </si>
  <si>
    <t>MLCF|oth_exp|2025</t>
  </si>
  <si>
    <t>MLCF|oth_inc|2021</t>
  </si>
  <si>
    <t>MLCF|oth_inc|2022</t>
  </si>
  <si>
    <t>MLCF|oth_inc|2023</t>
  </si>
  <si>
    <t>MLCF|oth_inc|2024</t>
  </si>
  <si>
    <t>MLCF|oth_inc|2025</t>
  </si>
  <si>
    <t>MLCF|fin_inc|2021</t>
  </si>
  <si>
    <t>MLCF|fin_inc|2022</t>
  </si>
  <si>
    <t>MLCF|fin_inc|2023</t>
  </si>
  <si>
    <t>MLCF|fin_inc|2024</t>
  </si>
  <si>
    <t>Finance income</t>
  </si>
  <si>
    <t>MLCF|fin_inc|2025</t>
  </si>
  <si>
    <t>MLCF|assoc|2021</t>
  </si>
  <si>
    <t>MLCF|assoc|2022</t>
  </si>
  <si>
    <t>MLCF|assoc|2023</t>
  </si>
  <si>
    <t>MLCF|assoc|2024</t>
  </si>
  <si>
    <t>MLCF|assoc|2025</t>
  </si>
  <si>
    <t>MLCF|fin_cost|2021</t>
  </si>
  <si>
    <t>MLCF|fin_cost|2022</t>
  </si>
  <si>
    <t>MLCF|fin_cost|2023</t>
  </si>
  <si>
    <t>MLCF|fin_cost|2024</t>
  </si>
  <si>
    <t>MLCF|fin_cost|2025</t>
  </si>
  <si>
    <t>MLCF|levy|2021</t>
  </si>
  <si>
    <t>MLCF|levy|2022</t>
  </si>
  <si>
    <t>MLCF|levy|2023</t>
  </si>
  <si>
    <t>Final taxes</t>
  </si>
  <si>
    <t>MLCF|levy|2024</t>
  </si>
  <si>
    <t>Final taxes - levy</t>
  </si>
  <si>
    <t>MLCF|levy|2025</t>
  </si>
  <si>
    <t>MLCF|tax|2021</t>
  </si>
  <si>
    <t>MLCF|tax|2022</t>
  </si>
  <si>
    <t>MLCF|tax|2023</t>
  </si>
  <si>
    <t>MLCF|tax|2024</t>
  </si>
  <si>
    <t>MLCF|tax|2025</t>
  </si>
  <si>
    <t>MLCF|pr_gp|2021</t>
  </si>
  <si>
    <t>MLCF|pr_gp|2022</t>
  </si>
  <si>
    <t>MLCF|pr_gp|2023</t>
  </si>
  <si>
    <t>MLCF|pr_gp|2024</t>
  </si>
  <si>
    <t>MLCF|pr_gp|2025</t>
  </si>
  <si>
    <t>MLCF|pr_pbt|2021</t>
  </si>
  <si>
    <t>MLCF|pr_pbt|2022</t>
  </si>
  <si>
    <t>MLCF|pr_pbt|2023</t>
  </si>
  <si>
    <t>Profit before final taxes and income tax</t>
  </si>
  <si>
    <t>MLCF|pr_pbt|2024</t>
  </si>
  <si>
    <t>MLCF|pr_pbt|2025</t>
  </si>
  <si>
    <t>MLCF|pr_pat|2021</t>
  </si>
  <si>
    <t>MLCF|pr_pat|2022</t>
  </si>
  <si>
    <t>MLCF|pr_pat|2023</t>
  </si>
  <si>
    <t>MLCF|pr_pat|2024</t>
  </si>
  <si>
    <t>MLCF|pr_pat|2025</t>
  </si>
  <si>
    <t>MLCF|fc_nonint|2021</t>
  </si>
  <si>
    <t>Bank and other charges</t>
  </si>
  <si>
    <t>241</t>
  </si>
  <si>
    <t>MLCF|fc_nonint|2022</t>
  </si>
  <si>
    <t>MLCF|fc_nonint|2023</t>
  </si>
  <si>
    <t>249</t>
  </si>
  <si>
    <t>MLCF|fc_nonint|2024</t>
  </si>
  <si>
    <t>MLCF|fc_nonint|2025</t>
  </si>
  <si>
    <t>MLCF|da|2021</t>
  </si>
  <si>
    <t>Depreciation; Amortization</t>
  </si>
  <si>
    <t>MLCF|da|2022</t>
  </si>
  <si>
    <t>MLCF|da|2023</t>
  </si>
  <si>
    <t>- Depreciation on operating fixed a; - Amortization on intangible assets</t>
  </si>
  <si>
    <t>251</t>
  </si>
  <si>
    <t>MLCF|da|2024</t>
  </si>
  <si>
    <t>- Depreciation on operating fixed a; - Depreciation on right-of-use asse; - Amortization on intangible assets</t>
  </si>
  <si>
    <t>MLCF|da|2025</t>
  </si>
  <si>
    <t>MLCF|cgo|2021</t>
  </si>
  <si>
    <t>Cash generated from operations before wo</t>
  </si>
  <si>
    <t>MLCF|cgo|2022</t>
  </si>
  <si>
    <t>MLCF|cgo|2023</t>
  </si>
  <si>
    <t>192</t>
  </si>
  <si>
    <t>MLCF|cgo|2024</t>
  </si>
  <si>
    <t>MLCF|cgo|2025</t>
  </si>
  <si>
    <t>MLCF|cfo|2021</t>
  </si>
  <si>
    <t>MLCF|cfo|2022</t>
  </si>
  <si>
    <t>MLCF|cfo|2023</t>
  </si>
  <si>
    <t>MLCF|cfo|2024</t>
  </si>
  <si>
    <t>MLCF|cfo|2025</t>
  </si>
  <si>
    <t>MLCF|fin_paid|2021</t>
  </si>
  <si>
    <t>MLCF|fin_paid|2022</t>
  </si>
  <si>
    <t>MLCF|fin_paid|2023</t>
  </si>
  <si>
    <t>MLCF|fin_paid|2024</t>
  </si>
  <si>
    <t>MLCF|fin_paid|2025</t>
  </si>
  <si>
    <t>MLCF|fin_paid_cls|2021</t>
  </si>
  <si>
    <t>MLCF|fin_paid_cls|2022</t>
  </si>
  <si>
    <t>MLCF|fin_paid_cls|2023</t>
  </si>
  <si>
    <t>MLCF|fin_paid_cls|2024</t>
  </si>
  <si>
    <t>MLCF|fin_paid_cls|2025</t>
  </si>
  <si>
    <t>MLCF|capex|2021</t>
  </si>
  <si>
    <t>Capital expenditure</t>
  </si>
  <si>
    <t>MLCF|capex|2022</t>
  </si>
  <si>
    <t>MLCF|capex|2023</t>
  </si>
  <si>
    <t>MLCF|capex|2024</t>
  </si>
  <si>
    <t>MLCF|capex|2025</t>
  </si>
  <si>
    <t>MLCF|cfi|2021</t>
  </si>
  <si>
    <t>Net cash (used in) / generated from inve</t>
  </si>
  <si>
    <t>MLCF|cfi|2022</t>
  </si>
  <si>
    <t>MLCF|cfi|2023</t>
  </si>
  <si>
    <t>Net cash outflow from investing activiti</t>
  </si>
  <si>
    <t>MLCF|cfi|2024</t>
  </si>
  <si>
    <t>MLCF|cfi|2025</t>
  </si>
  <si>
    <t>MLCF|cff|2021</t>
  </si>
  <si>
    <t>Net cash generated from / (used in) fina</t>
  </si>
  <si>
    <t>MLCF|cff|2022</t>
  </si>
  <si>
    <t>MLCF|cff|2023</t>
  </si>
  <si>
    <t>MLCF|cff|2024</t>
  </si>
  <si>
    <t>MLCF|cff|2025</t>
  </si>
  <si>
    <t>MLCF|div_paid|2021</t>
  </si>
  <si>
    <t>MLCF|div_paid|2022</t>
  </si>
  <si>
    <t>MLCF|div_paid|2023</t>
  </si>
  <si>
    <t>MLCF|div_paid|2024</t>
  </si>
  <si>
    <t>MLCF|div_paid|2025</t>
  </si>
  <si>
    <t>MLCF|par|2021</t>
  </si>
  <si>
    <t>220</t>
  </si>
  <si>
    <t>MLCF|par|2022</t>
  </si>
  <si>
    <t>MLCF|par|2023</t>
  </si>
  <si>
    <t>MLCF|par|2024</t>
  </si>
  <si>
    <t>MLCF|par|2025</t>
  </si>
  <si>
    <t>266</t>
  </si>
  <si>
    <t>MLCF|wavg|2021</t>
  </si>
  <si>
    <t>MLCF|wavg|2022</t>
  </si>
  <si>
    <t>MLCF|wavg|2023</t>
  </si>
  <si>
    <t>MLCF|wavg|2024</t>
  </si>
  <si>
    <t>MLCF|wavg|2025</t>
  </si>
  <si>
    <t>MLCF|price|2021</t>
  </si>
  <si>
    <t>MLCF|price|2022</t>
  </si>
  <si>
    <t>MLCF|price|2023</t>
  </si>
  <si>
    <t>MLCF|price|2024</t>
  </si>
  <si>
    <t>MLCF|price|2025</t>
  </si>
  <si>
    <t>MLCF|dps|2021</t>
  </si>
  <si>
    <t>174</t>
  </si>
  <si>
    <t>MLCF|dps|2022</t>
  </si>
  <si>
    <t>MLCF|dps|2023</t>
  </si>
  <si>
    <t>MLCF|dps|2024</t>
  </si>
  <si>
    <t>MLCF|dps|2025</t>
  </si>
  <si>
    <t>MLCF|eps_rep|2021</t>
  </si>
  <si>
    <t>162</t>
  </si>
  <si>
    <t>MLCF|eps_rep|2022</t>
  </si>
  <si>
    <t>MLCF|eps_rep|2023</t>
  </si>
  <si>
    <t>MLCF|eps_rep|2024</t>
  </si>
  <si>
    <t>MLCF|eps_rep|2025</t>
  </si>
  <si>
    <t>MLCF|adj|2021</t>
  </si>
  <si>
    <t>MLCF|adj|2022</t>
  </si>
  <si>
    <t>MLCF|adj|2023</t>
  </si>
  <si>
    <t>MLCF|adj|2024</t>
  </si>
  <si>
    <t>MLCF|adj|2025</t>
  </si>
  <si>
    <t>FCCL|ppe|2020</t>
  </si>
  <si>
    <t>FCCL-Annual-Report-2021.pdf</t>
  </si>
  <si>
    <t>FCCL|ppe|2021</t>
  </si>
  <si>
    <t>FCCL-Annual-Report-2022.pdf</t>
  </si>
  <si>
    <t>FCCL|ppe|2022</t>
  </si>
  <si>
    <t>FCCL-Annual-Report-2023.pdf</t>
  </si>
  <si>
    <t>207</t>
  </si>
  <si>
    <t>FCCL|ppe|2023</t>
  </si>
  <si>
    <t>FCCL-Annual-Report-2024.pdf</t>
  </si>
  <si>
    <t>FCCL|ppe|2024</t>
  </si>
  <si>
    <t>FCCL-Annual-Report-2025.pdf</t>
  </si>
  <si>
    <t>FCCL|ppe|2025</t>
  </si>
  <si>
    <t>FCCL|cwip|2020</t>
  </si>
  <si>
    <t>Capital work in progress column, PPE note</t>
  </si>
  <si>
    <t>191</t>
  </si>
  <si>
    <t>FCCL|cwip|2021</t>
  </si>
  <si>
    <t>FCCL|cwip|2022</t>
  </si>
  <si>
    <t>FCCL|cwip|2023</t>
  </si>
  <si>
    <t>217</t>
  </si>
  <si>
    <t>FCCL|cwip|2024</t>
  </si>
  <si>
    <t>FCCL|cwip|2025</t>
  </si>
  <si>
    <t>268</t>
  </si>
  <si>
    <t>FCCL|rou|2020</t>
  </si>
  <si>
    <t>Right of use asset</t>
  </si>
  <si>
    <t>FCCL|rou|2021</t>
  </si>
  <si>
    <t>FCCL|rou|2022</t>
  </si>
  <si>
    <t>FCCL|rou|2023</t>
  </si>
  <si>
    <t>FCCL|rou|2024</t>
  </si>
  <si>
    <t>FCCL|rou|2025</t>
  </si>
  <si>
    <t>FCCL|intang|2020</t>
  </si>
  <si>
    <t>FCCL|intang|2021</t>
  </si>
  <si>
    <t>FCCL|intang|2022</t>
  </si>
  <si>
    <t>Intangible assets and goodwill</t>
  </si>
  <si>
    <t>FCCL|intang|2023</t>
  </si>
  <si>
    <t>FCCL|intang|2024</t>
  </si>
  <si>
    <t>FCCL|intang|2025</t>
  </si>
  <si>
    <t>FCCL|inv_prop|2020</t>
  </si>
  <si>
    <t>FCCL|inv_prop|2021</t>
  </si>
  <si>
    <t>FCCL|inv_prop|2022</t>
  </si>
  <si>
    <t>FCCL|inv_prop|2023</t>
  </si>
  <si>
    <t>FCCL|inv_prop|2024</t>
  </si>
  <si>
    <t>FCCL|inv_prop|2025</t>
  </si>
  <si>
    <t>FCCL|lt_inv|2020</t>
  </si>
  <si>
    <t>FCCL|lt_inv|2021</t>
  </si>
  <si>
    <t>Long term investment in associate</t>
  </si>
  <si>
    <t>FCCL|lt_inv|2022</t>
  </si>
  <si>
    <t>FCCL|lt_inv|2023</t>
  </si>
  <si>
    <t>FCCL|lt_inv|2024</t>
  </si>
  <si>
    <t>FCCL|lt_inv|2025</t>
  </si>
  <si>
    <t>FCCL|nca_other|2020</t>
  </si>
  <si>
    <t>Advance against issue of shares; Long term deposits</t>
  </si>
  <si>
    <t>FCCL|nca_other|2021</t>
  </si>
  <si>
    <t>FCCL|nca_other|2022</t>
  </si>
  <si>
    <t>FCCL|nca_other|2023</t>
  </si>
  <si>
    <t>FCCL|nca_other|2024</t>
  </si>
  <si>
    <t>FCCL|nca_other|2025</t>
  </si>
  <si>
    <t>FCCL|stores|2020</t>
  </si>
  <si>
    <t>FCCL|stores|2021</t>
  </si>
  <si>
    <t>Stores, spares and loose tools - net</t>
  </si>
  <si>
    <t>FCCL|stores|2022</t>
  </si>
  <si>
    <t>FCCL|stores|2023</t>
  </si>
  <si>
    <t>FCCL|stores|2024</t>
  </si>
  <si>
    <t>FCCL|stores|2025</t>
  </si>
  <si>
    <t>FCCL|sit|2020</t>
  </si>
  <si>
    <t>Stock in trade</t>
  </si>
  <si>
    <t>FCCL|sit|2021</t>
  </si>
  <si>
    <t>FCCL|sit|2022</t>
  </si>
  <si>
    <t>FCCL|sit|2023</t>
  </si>
  <si>
    <t>FCCL|sit|2024</t>
  </si>
  <si>
    <t>FCCL|sit|2025</t>
  </si>
  <si>
    <t>FCCL|debts|2020</t>
  </si>
  <si>
    <t>FCCL|debts|2021</t>
  </si>
  <si>
    <t>Trade debts - net</t>
  </si>
  <si>
    <t>FCCL|debts|2022</t>
  </si>
  <si>
    <t>FCCL|debts|2023</t>
  </si>
  <si>
    <t>FCCL|debts|2024</t>
  </si>
  <si>
    <t>FCCL|debts|2025</t>
  </si>
  <si>
    <t>FCCL|st_inv|2020</t>
  </si>
  <si>
    <t>FCCL|st_inv|2021</t>
  </si>
  <si>
    <t>FCCL|st_inv|2022</t>
  </si>
  <si>
    <t>FCCL|st_inv|2023</t>
  </si>
  <si>
    <t>FCCL|st_inv|2024</t>
  </si>
  <si>
    <t>FCCL|st_inv|2025</t>
  </si>
  <si>
    <t>FCCL|cash|2020</t>
  </si>
  <si>
    <t>FCCL|cash|2021</t>
  </si>
  <si>
    <t>FCCL|cash|2022</t>
  </si>
  <si>
    <t>FCCL|cash|2023</t>
  </si>
  <si>
    <t>FCCL|cash|2024</t>
  </si>
  <si>
    <t>FCCL|cash|2025</t>
  </si>
  <si>
    <t>FCCL|ca_other|2020</t>
  </si>
  <si>
    <t>Advance tax - net; Advances; Other receivables; Trade deposits and short term prepayment</t>
  </si>
  <si>
    <t>FCCL|ca_other|2021</t>
  </si>
  <si>
    <t>Advance tax - net; Advances; Other receivables; Sales tax refundable-net; Trade deposits and short term prepayment</t>
  </si>
  <si>
    <t>FCCL|ca_other|2022</t>
  </si>
  <si>
    <t>FCCL|ca_other|2023</t>
  </si>
  <si>
    <t>FCCL|ca_other|2024</t>
  </si>
  <si>
    <t>Advance tax - net; Advances; Other receivables; Sales tax refundable - net; Trade deposits and short term prepayment</t>
  </si>
  <si>
    <t>FCCL|ca_other|2025</t>
  </si>
  <si>
    <t>FCCL|share_cap|2020</t>
  </si>
  <si>
    <t>FCCL|share_cap|2021</t>
  </si>
  <si>
    <t>FCCL|share_cap|2022</t>
  </si>
  <si>
    <t>FCCL|share_cap|2023</t>
  </si>
  <si>
    <t>FCCL|share_cap|2024</t>
  </si>
  <si>
    <t>FCCL|share_cap|2025</t>
  </si>
  <si>
    <t>FCCL|eq_other|2020</t>
  </si>
  <si>
    <t>Discount on issue of shares; Unappropriated profits</t>
  </si>
  <si>
    <t>FCCL|eq_other|2021</t>
  </si>
  <si>
    <t>Premium/(discount) on issue of shares; Unappropriated profit</t>
  </si>
  <si>
    <t>FCCL|eq_other|2022</t>
  </si>
  <si>
    <t>Premium on issue of shares; Revenue reserve</t>
  </si>
  <si>
    <t>FCCL|eq_other|2023</t>
  </si>
  <si>
    <t>Capital reserve - Premium on issue of sh; Revenue reserve - Accumulated profits</t>
  </si>
  <si>
    <t>FCCL|eq_other|2024</t>
  </si>
  <si>
    <t>FCCL|eq_other|2025</t>
  </si>
  <si>
    <t>FCCL|ltf_nc|2020</t>
  </si>
  <si>
    <t>Long term loans - secured</t>
  </si>
  <si>
    <t>FCCL|ltf_nc|2021</t>
  </si>
  <si>
    <t>FCCL|ltf_nc|2022</t>
  </si>
  <si>
    <t>FCCL|ltf_nc|2023</t>
  </si>
  <si>
    <t>FCCL|ltf_nc|2024</t>
  </si>
  <si>
    <t>FCCL|ltf_nc|2025</t>
  </si>
  <si>
    <t>FCCL|lease_nc|2020</t>
  </si>
  <si>
    <t>Lease liability</t>
  </si>
  <si>
    <t>FCCL|lease_nc|2021</t>
  </si>
  <si>
    <t>FCCL|lease_nc|2022</t>
  </si>
  <si>
    <t>FCCL|lease_nc|2023</t>
  </si>
  <si>
    <t>FCCL|lease_nc|2024</t>
  </si>
  <si>
    <t>FCCL|lease_nc|2025</t>
  </si>
  <si>
    <t>FCCL|grant_nc|2020</t>
  </si>
  <si>
    <t>FCCL|grant_nc|2021</t>
  </si>
  <si>
    <t>FCCL|grant_nc|2022</t>
  </si>
  <si>
    <t>FCCL|grant_nc|2023</t>
  </si>
  <si>
    <t>FCCL|grant_nc|2024</t>
  </si>
  <si>
    <t>FCCL|grant_nc|2025</t>
  </si>
  <si>
    <t>FCCL|def_tax|2020</t>
  </si>
  <si>
    <t>Deferred tax liabilities - net</t>
  </si>
  <si>
    <t>FCCL|def_tax|2021</t>
  </si>
  <si>
    <t>FCCL|def_tax|2022</t>
  </si>
  <si>
    <t>FCCL|def_tax|2023</t>
  </si>
  <si>
    <t>FCCL|def_tax|2024</t>
  </si>
  <si>
    <t>FCCL|def_tax|2025</t>
  </si>
  <si>
    <t>FCCL|ncl_other|2020</t>
  </si>
  <si>
    <t>Employee benefits</t>
  </si>
  <si>
    <t>FCCL|ncl_other|2021</t>
  </si>
  <si>
    <t>FCCL|ncl_other|2022</t>
  </si>
  <si>
    <t>FCCL|ncl_other|2023</t>
  </si>
  <si>
    <t>FCCL|ncl_other|2024</t>
  </si>
  <si>
    <t>FCCL|ncl_other|2025</t>
  </si>
  <si>
    <t>FCCL|tap|2020</t>
  </si>
  <si>
    <t>FCCL|tap|2021</t>
  </si>
  <si>
    <t>FCCL|tap|2022</t>
  </si>
  <si>
    <t>FCCL|tap|2023</t>
  </si>
  <si>
    <t>FCCL|tap|2024</t>
  </si>
  <si>
    <t>FCCL|tap|2025</t>
  </si>
  <si>
    <t>FCCL|trade_cred|2020</t>
  </si>
  <si>
    <t>187</t>
  </si>
  <si>
    <t>FCCL|trade_cred|2021</t>
  </si>
  <si>
    <t>213</t>
  </si>
  <si>
    <t>FCCL|trade_cred|2022</t>
  </si>
  <si>
    <t>FCCL|trade_cred|2023</t>
  </si>
  <si>
    <t>212</t>
  </si>
  <si>
    <t>FCCL|trade_cred|2024</t>
  </si>
  <si>
    <t>FCCL|trade_cred|2025</t>
  </si>
  <si>
    <t>FCCL|contract|2020</t>
  </si>
  <si>
    <t>Contract liabilities</t>
  </si>
  <si>
    <t>FCCL|contract|2021</t>
  </si>
  <si>
    <t>FCCL|contract|2022</t>
  </si>
  <si>
    <t>FCCL|contract|2023</t>
  </si>
  <si>
    <t>FCCL|contract|2024</t>
  </si>
  <si>
    <t>FCCL|contract|2025</t>
  </si>
  <si>
    <t>FCCL|acc_markup|2020</t>
  </si>
  <si>
    <t>FCCL|acc_markup|2021</t>
  </si>
  <si>
    <t>FCCL|acc_markup|2022</t>
  </si>
  <si>
    <t>FCCL|acc_markup|2023</t>
  </si>
  <si>
    <t>FCCL|acc_markup|2024</t>
  </si>
  <si>
    <t>FCCL|acc_markup|2025</t>
  </si>
  <si>
    <t>FCCL|stb|2020</t>
  </si>
  <si>
    <t>FCCL|stb|2021</t>
  </si>
  <si>
    <t>Loan from Parent - unsecured; Short term borrowings - secured</t>
  </si>
  <si>
    <t>FCCL|stb|2022</t>
  </si>
  <si>
    <t>Loan from Parent - unsecured; Short term running finance - secured</t>
  </si>
  <si>
    <t>FCCL|stb|2023</t>
  </si>
  <si>
    <t>FCCL|stb|2024</t>
  </si>
  <si>
    <t>FCCL|stb|2025</t>
  </si>
  <si>
    <t>FCCL|cp_ltf|2020</t>
  </si>
  <si>
    <t>Current portion of long term loans</t>
  </si>
  <si>
    <t>FCCL|cp_ltf|2021</t>
  </si>
  <si>
    <t>FCCL|cp_ltf|2022</t>
  </si>
  <si>
    <t>FCCL|cp_ltf|2023</t>
  </si>
  <si>
    <t>FCCL|cp_ltf|2024</t>
  </si>
  <si>
    <t>FCCL|cp_ltf|2025</t>
  </si>
  <si>
    <t>FCCL|cp_lease|2020</t>
  </si>
  <si>
    <t>Current portion of lease liability</t>
  </si>
  <si>
    <t>FCCL|cp_lease|2021</t>
  </si>
  <si>
    <t>FCCL|cp_lease|2022</t>
  </si>
  <si>
    <t>FCCL|cp_lease|2023</t>
  </si>
  <si>
    <t>FCCL|cp_lease|2024</t>
  </si>
  <si>
    <t>FCCL|cp_lease|2025</t>
  </si>
  <si>
    <t>FCCL|cp_grant|2020</t>
  </si>
  <si>
    <t>FCCL|cp_grant|2021</t>
  </si>
  <si>
    <t>Current portion of deferred government g</t>
  </si>
  <si>
    <t>FCCL|cp_grant|2022</t>
  </si>
  <si>
    <t>FCCL|cp_grant|2023</t>
  </si>
  <si>
    <t>FCCL|cp_grant|2024</t>
  </si>
  <si>
    <t>FCCL|cp_grant|2025</t>
  </si>
  <si>
    <t>FCCL|div_liab|2020</t>
  </si>
  <si>
    <t>FCCL|div_liab|2021</t>
  </si>
  <si>
    <t>FCCL|div_liab|2022</t>
  </si>
  <si>
    <t>FCCL|div_liab|2023</t>
  </si>
  <si>
    <t>FCCL|div_liab|2024</t>
  </si>
  <si>
    <t>FCCL|div_liab|2025</t>
  </si>
  <si>
    <t>FCCL|tax_liab|2020</t>
  </si>
  <si>
    <t>FCCL|tax_liab|2021</t>
  </si>
  <si>
    <t>FCCL|tax_liab|2022</t>
  </si>
  <si>
    <t>FCCL|tax_liab|2023</t>
  </si>
  <si>
    <t>Provision for tax-net</t>
  </si>
  <si>
    <t>FCCL|tax_liab|2024</t>
  </si>
  <si>
    <t>Provision for tax - net</t>
  </si>
  <si>
    <t>FCCL|tax_liab|2025</t>
  </si>
  <si>
    <t>FCCL|cl_other|2020</t>
  </si>
  <si>
    <t>Accrued liabilities; Employee benefits - current portion; Payable to employees' provident fund tru; Security deposits pa</t>
  </si>
  <si>
    <t>FCCL|cl_other|2021</t>
  </si>
  <si>
    <t>FCCL|cl_other|2022</t>
  </si>
  <si>
    <t>FCCL|cl_other|2023</t>
  </si>
  <si>
    <t>FCCL|cl_other|2024</t>
  </si>
  <si>
    <t>Accrued liabilities; Security deposits payable</t>
  </si>
  <si>
    <t>FCCL|cl_other|2025</t>
  </si>
  <si>
    <t>FCCL|pr_TA|2020</t>
  </si>
  <si>
    <t>FCCL|pr_TA|2021</t>
  </si>
  <si>
    <t>FCCL|pr_TA|2022</t>
  </si>
  <si>
    <t>FCCL|pr_TA|2023</t>
  </si>
  <si>
    <t>FCCL|pr_TA|2024</t>
  </si>
  <si>
    <t>FCCL|pr_TA|2025</t>
  </si>
  <si>
    <t>FCCL|pr_EQ|2020</t>
  </si>
  <si>
    <t>FCCL|pr_EQ|2021</t>
  </si>
  <si>
    <t>FCCL|pr_EQ|2022</t>
  </si>
  <si>
    <t>FCCL|pr_EQ|2023</t>
  </si>
  <si>
    <t>FCCL|pr_EQ|2024</t>
  </si>
  <si>
    <t>FCCL|pr_EQ|2025</t>
  </si>
  <si>
    <t>FCCL|pr_CA|2020</t>
  </si>
  <si>
    <t>FCCL|pr_CA|2021</t>
  </si>
  <si>
    <t>FCCL|pr_CA|2022</t>
  </si>
  <si>
    <t>FCCL|pr_CA|2023</t>
  </si>
  <si>
    <t>FCCL|pr_CA|2024</t>
  </si>
  <si>
    <t>FCCL|pr_CA|2025</t>
  </si>
  <si>
    <t>FCCL|pr_CL|2020</t>
  </si>
  <si>
    <t>FCCL|pr_CL|2021</t>
  </si>
  <si>
    <t>FCCL|pr_CL|2022</t>
  </si>
  <si>
    <t>FCCL|pr_CL|2023</t>
  </si>
  <si>
    <t>FCCL|pr_CL|2024</t>
  </si>
  <si>
    <t>FCCL|pr_CL|2025</t>
  </si>
  <si>
    <t>FCCL|rev|2021</t>
  </si>
  <si>
    <t>Revenue - net</t>
  </si>
  <si>
    <t>FCCL|rev|2022</t>
  </si>
  <si>
    <t>FCCL|rev|2023</t>
  </si>
  <si>
    <t>FCCL|rev|2024</t>
  </si>
  <si>
    <t>FCCL|rev|2025</t>
  </si>
  <si>
    <t>FCCL|cogs|2021</t>
  </si>
  <si>
    <t>FCCL|cogs|2022</t>
  </si>
  <si>
    <t>FCCL|cogs|2023</t>
  </si>
  <si>
    <t>FCCL|cogs|2024</t>
  </si>
  <si>
    <t>FCCL|cogs|2025</t>
  </si>
  <si>
    <t>FCCL|selling|2021</t>
  </si>
  <si>
    <t>FCCL|selling|2022</t>
  </si>
  <si>
    <t>FCCL|selling|2023</t>
  </si>
  <si>
    <t>FCCL|selling|2024</t>
  </si>
  <si>
    <t>FCCL|selling|2025</t>
  </si>
  <si>
    <t>FCCL|admin|2021</t>
  </si>
  <si>
    <t>FCCL|admin|2022</t>
  </si>
  <si>
    <t>FCCL|admin|2023</t>
  </si>
  <si>
    <t>FCCL|admin|2024</t>
  </si>
  <si>
    <t>FCCL|admin|2025</t>
  </si>
  <si>
    <t>FCCL|impair|2021</t>
  </si>
  <si>
    <t>FCCL|impair|2022</t>
  </si>
  <si>
    <t>FCCL|impair|2023</t>
  </si>
  <si>
    <t>FCCL|impair|2024</t>
  </si>
  <si>
    <t>FCCL|impair|2025</t>
  </si>
  <si>
    <t>FCCL|oth_exp|2021</t>
  </si>
  <si>
    <t>FCCL|oth_exp|2022</t>
  </si>
  <si>
    <t>FCCL|oth_exp|2023</t>
  </si>
  <si>
    <t>FCCL|oth_exp|2024</t>
  </si>
  <si>
    <t>FCCL|oth_exp|2025</t>
  </si>
  <si>
    <t>FCCL|oth_inc|2021</t>
  </si>
  <si>
    <t>FCCL|oth_inc|2022</t>
  </si>
  <si>
    <t>FCCL|oth_inc|2023</t>
  </si>
  <si>
    <t>FCCL|oth_inc|2024</t>
  </si>
  <si>
    <t>FCCL|oth_inc|2025</t>
  </si>
  <si>
    <t>FCCL|fin_inc|2021</t>
  </si>
  <si>
    <t>FCCL|fin_inc|2022</t>
  </si>
  <si>
    <t>FCCL|fin_inc|2023</t>
  </si>
  <si>
    <t>FCCL|fin_inc|2024</t>
  </si>
  <si>
    <t>FCCL|fin_inc|2025</t>
  </si>
  <si>
    <t>FCCL|assoc|2021</t>
  </si>
  <si>
    <t>FCCL|assoc|2022</t>
  </si>
  <si>
    <t>FCCL|assoc|2023</t>
  </si>
  <si>
    <t>FCCL|assoc|2024</t>
  </si>
  <si>
    <t>FCCL|assoc|2025</t>
  </si>
  <si>
    <t>FCCL|fin_cost|2021</t>
  </si>
  <si>
    <t>FCCL|fin_cost|2022</t>
  </si>
  <si>
    <t>FCCL|fin_cost|2023</t>
  </si>
  <si>
    <t>FCCL|fin_cost|2024</t>
  </si>
  <si>
    <t>FCCL|fin_cost|2025</t>
  </si>
  <si>
    <t>FCCL|levy|2021</t>
  </si>
  <si>
    <t>FCCL|levy|2022</t>
  </si>
  <si>
    <t>FCCL|levy|2023</t>
  </si>
  <si>
    <t>Final tax - levy</t>
  </si>
  <si>
    <t>FCCL|levy|2024</t>
  </si>
  <si>
    <t>FCCL|levy|2025</t>
  </si>
  <si>
    <t>FCCL|tax|2021</t>
  </si>
  <si>
    <t>Income tax expense</t>
  </si>
  <si>
    <t>FCCL|tax|2022</t>
  </si>
  <si>
    <t>FCCL|tax|2023</t>
  </si>
  <si>
    <t>FCCL|tax|2024</t>
  </si>
  <si>
    <t>FCCL|tax|2025</t>
  </si>
  <si>
    <t>FCCL|pr_gp|2021</t>
  </si>
  <si>
    <t>FCCL|pr_gp|2022</t>
  </si>
  <si>
    <t>FCCL|pr_gp|2023</t>
  </si>
  <si>
    <t>FCCL|pr_gp|2024</t>
  </si>
  <si>
    <t>FCCL|pr_gp|2025</t>
  </si>
  <si>
    <t>FCCL|pr_pbt|2021</t>
  </si>
  <si>
    <t>FCCL|pr_pbt|2022</t>
  </si>
  <si>
    <t>FCCL|pr_pbt|2023</t>
  </si>
  <si>
    <t>FCCL|pr_pbt|2024</t>
  </si>
  <si>
    <t>FCCL|pr_pbt|2025</t>
  </si>
  <si>
    <t>FCCL|pr_pat|2021</t>
  </si>
  <si>
    <t>FCCL|pr_pat|2022</t>
  </si>
  <si>
    <t>FCCL|pr_pat|2023</t>
  </si>
  <si>
    <t>FCCL|pr_pat|2024</t>
  </si>
  <si>
    <t>FCCL|pr_pat|2025</t>
  </si>
  <si>
    <t>FCCL|fc_nonint|2021</t>
  </si>
  <si>
    <t xml:space="preserve">Exchange Loss - net; Bank charges and commission - </t>
  </si>
  <si>
    <t>FCCL|fc_nonint|2022</t>
  </si>
  <si>
    <t>FCCL|fc_nonint|2023</t>
  </si>
  <si>
    <t xml:space="preserve">Exchange (gain)/loss - net; Bank charges and commission - </t>
  </si>
  <si>
    <t>226</t>
  </si>
  <si>
    <t>FCCL|fc_nonint|2024</t>
  </si>
  <si>
    <t>Bank charges and commission + exchange loss/(gain)</t>
  </si>
  <si>
    <t>FCCL|fc_nonint|2025</t>
  </si>
  <si>
    <t>FCCL|da|2021</t>
  </si>
  <si>
    <t>Depreciation on property, plant and; Depreciation on right of use asset; Amortization on intangibles</t>
  </si>
  <si>
    <t>FCCL|da|2022</t>
  </si>
  <si>
    <t>Depreciation; Depreciation on right of use asset; Amortization on intangibles</t>
  </si>
  <si>
    <t>210</t>
  </si>
  <si>
    <t>FCCL|da|2023</t>
  </si>
  <si>
    <t>FCCL|da|2024</t>
  </si>
  <si>
    <t>FCCL|da|2025</t>
  </si>
  <si>
    <t>FCCL|cgo|2021</t>
  </si>
  <si>
    <t>FCCL|cgo|2022</t>
  </si>
  <si>
    <t>FCCL|cgo|2023</t>
  </si>
  <si>
    <t>FCCL|cgo|2024</t>
  </si>
  <si>
    <t>FCCL|cgo|2025</t>
  </si>
  <si>
    <t>FCCL|cfo|2021</t>
  </si>
  <si>
    <t>FCCL|cfo|2022</t>
  </si>
  <si>
    <t>FCCL|cfo|2023</t>
  </si>
  <si>
    <t>FCCL|cfo|2024</t>
  </si>
  <si>
    <t>FCCL|cfo|2025</t>
  </si>
  <si>
    <t>FCCL|fin_paid|2021</t>
  </si>
  <si>
    <t>FCCL|fin_paid|2022</t>
  </si>
  <si>
    <t>FCCL|fin_paid|2023</t>
  </si>
  <si>
    <t>FCCL|fin_paid|2024</t>
  </si>
  <si>
    <t>Markup paid on loan from parent; Finance cost paid</t>
  </si>
  <si>
    <t>FCCL|fin_paid|2025</t>
  </si>
  <si>
    <t>FCCL|fin_paid_cls|2021</t>
  </si>
  <si>
    <t>FCCL|fin_paid_cls|2022</t>
  </si>
  <si>
    <t>FCCL|fin_paid_cls|2023</t>
  </si>
  <si>
    <t>FCCL|fin_paid_cls|2024</t>
  </si>
  <si>
    <t>FCCL|fin_paid_cls|2025</t>
  </si>
  <si>
    <t>FCCL|capex|2021</t>
  </si>
  <si>
    <t>Addition in property plant and equipment</t>
  </si>
  <si>
    <t>FCCL|capex|2022</t>
  </si>
  <si>
    <t>Additions in property plant and equipmen</t>
  </si>
  <si>
    <t>FCCL|capex|2023</t>
  </si>
  <si>
    <t>Additions to property, plant and equipme</t>
  </si>
  <si>
    <t>FCCL|capex|2024</t>
  </si>
  <si>
    <t>FCCL|capex|2025</t>
  </si>
  <si>
    <t>FCCL|cfi|2021</t>
  </si>
  <si>
    <t>FCCL|cfi|2022</t>
  </si>
  <si>
    <t>FCCL|cfi|2023</t>
  </si>
  <si>
    <t>FCCL|cfi|2024</t>
  </si>
  <si>
    <t>FCCL|cfi|2025</t>
  </si>
  <si>
    <t>FCCL|cff|2021</t>
  </si>
  <si>
    <t>FCCL|cff|2022</t>
  </si>
  <si>
    <t>FCCL|cff|2023</t>
  </si>
  <si>
    <t>FCCL|cff|2024</t>
  </si>
  <si>
    <t>FCCL|cff|2025</t>
  </si>
  <si>
    <t>FCCL|div_paid|2021</t>
  </si>
  <si>
    <t>FCCL|div_paid|2022</t>
  </si>
  <si>
    <t>Unclaimed dividend paid during the year</t>
  </si>
  <si>
    <t>FCCL|div_paid|2023</t>
  </si>
  <si>
    <t>FCCL|div_paid|2024</t>
  </si>
  <si>
    <t>Dividend paid during the year</t>
  </si>
  <si>
    <t>FCCL|div_paid|2025</t>
  </si>
  <si>
    <t>FCCL|par|2021</t>
  </si>
  <si>
    <t>199</t>
  </si>
  <si>
    <t>FCCL|par|2022</t>
  </si>
  <si>
    <t>228</t>
  </si>
  <si>
    <t>FCCL|par|2023</t>
  </si>
  <si>
    <t>FCCL|par|2024</t>
  </si>
  <si>
    <t>FCCL|par|2025</t>
  </si>
  <si>
    <t>FCCL|wavg|2021</t>
  </si>
  <si>
    <t>FCCL|wavg|2022</t>
  </si>
  <si>
    <t>FCCL|wavg|2023</t>
  </si>
  <si>
    <t>FCCL|wavg|2024</t>
  </si>
  <si>
    <t>FCCL|wavg|2025</t>
  </si>
  <si>
    <t>FCCL|price|2021</t>
  </si>
  <si>
    <t>FCCL|price|2022</t>
  </si>
  <si>
    <t>FCCL|price|2023</t>
  </si>
  <si>
    <t>FCCL|price|2024</t>
  </si>
  <si>
    <t>FCCL|price|2025</t>
  </si>
  <si>
    <t>FCCL|dps|2021</t>
  </si>
  <si>
    <t>FCCL|dps|2022</t>
  </si>
  <si>
    <t>FCCL|dps|2023</t>
  </si>
  <si>
    <t>FCCL|dps|2024</t>
  </si>
  <si>
    <t>FCCL|dps|2025</t>
  </si>
  <si>
    <t>FCCL|eps_rep|2021</t>
  </si>
  <si>
    <t>FCCL|eps_rep|2022</t>
  </si>
  <si>
    <t>FCCL|eps_rep|2023</t>
  </si>
  <si>
    <t>FCCL|eps_rep|2024</t>
  </si>
  <si>
    <t>FCCL|eps_rep|2025</t>
  </si>
  <si>
    <t>FCCL|adj|2021</t>
  </si>
  <si>
    <t>FCCL|adj|2022</t>
  </si>
  <si>
    <t>FCCL|adj|2023</t>
  </si>
  <si>
    <t>FCCL|adj|2024</t>
  </si>
  <si>
    <t>FCCL|adj|2025</t>
  </si>
  <si>
    <t>Verified FY-end PSX closing prices</t>
  </si>
  <si>
    <t>25 unadjusted CLOSE observations. Report conversion is a cross-check only. The PSX price in column E is the market input. All dates are on or before 30 June.</t>
  </si>
  <si>
    <t>FY-end</t>
  </si>
  <si>
    <t>Trading date</t>
  </si>
  <si>
    <t>PSX close (Rs)</t>
  </si>
  <si>
    <t>Report price (Rs)</t>
  </si>
  <si>
    <t>Report-to-date factor</t>
  </si>
  <si>
    <t>Report on date basis (Rs)</t>
  </si>
  <si>
    <t>PSX less report (Rs)</t>
  </si>
  <si>
    <t>Cross-check</t>
  </si>
  <si>
    <t>Session selection</t>
  </si>
  <si>
    <t>Report EPS (Rs)</t>
  </si>
  <si>
    <t>Report BVPS (Rs)</t>
  </si>
  <si>
    <t>Report DPS (Rs)</t>
  </si>
  <si>
    <t>Report WAVG (m)</t>
  </si>
  <si>
    <t>30 June trading session</t>
  </si>
  <si>
    <t>No PSX trading records on 28–30 June; June symbol history ends 27 June.</t>
  </si>
  <si>
    <t>30 June Sunday; 29 June Saturday. Last session 28 June.</t>
  </si>
  <si>
    <t>Per-share basis and market ratio checks</t>
  </si>
  <si>
    <t>Prices stay on their actual trading basis. Company-published share-count anomalies remain visible. Source page numbers are PDF pages (1-based); EPS-note excerpts are on Price Evidence.</t>
  </si>
  <si>
    <t>FY-end par (Rs)</t>
  </si>
  <si>
    <t>Report share factor</t>
  </si>
  <si>
    <t>Applied WAVG (m)</t>
  </si>
  <si>
    <t>FY-end outstanding (m)</t>
  </si>
  <si>
    <t>Treasury (m)</t>
  </si>
  <si>
    <t>DPS on FY basis (Rs)</t>
  </si>
  <si>
    <t>Reported EPS (Rs)</t>
  </si>
  <si>
    <t>EPS factor to FY basis</t>
  </si>
  <si>
    <t>Calculated EPS (Rs)</t>
  </si>
  <si>
    <t>Report EPS on FY basis</t>
  </si>
  <si>
    <t>EPS difference (Rs)</t>
  </si>
  <si>
    <t>P/E</t>
  </si>
  <si>
    <t>Market-to-book</t>
  </si>
  <si>
    <t>Basis review</t>
  </si>
  <si>
    <t>Source file</t>
  </si>
  <si>
    <t>Official source / index</t>
  </si>
  <si>
    <t>Verified own-year EPS note. Price and per-share figures use the FY-end share basis.</t>
  </si>
  <si>
    <t>https://www.kohatcement.com/pdf_files/reports/637671305090411851_KOHC_AR_2021.pdf</t>
  </si>
  <si>
    <t>https://www.kohatcement.com/pdf_files/reports/638034190382643789_Kohat_Cement_AR_2022.pdf</t>
  </si>
  <si>
    <t>https://www.kohatcement.com/pdf_files/reports/638312334941931258_Financial_Statements-30-06-2023.pdf</t>
  </si>
  <si>
    <t>Use own-year note 34.1: 196,435,067 shares. FY2025 comparative note prints conflicting 982,114,704 / 982,183,197 / 196,436,639 counts. Those conflicts are not resolved by an arbitrary adjustment.</t>
  </si>
  <si>
    <t>https://www.kohatcement.com/pdf_files/reports/638627682528324242_Kohat_Cement_Annual_Report-2024.pdf</t>
  </si>
  <si>
    <t>FY2025 audited EPS is retrospectively split-adjusted. Use note 33.1.1 pre-split 193,428,420 weighted shares with the unadjusted June close. Split trading starts 25 August.</t>
  </si>
  <si>
    <t>https://www.kohatcement.com/pdf_files/reports/638941365011906568_Kohat_Cement_Annual_Report_2025.pdf</t>
  </si>
  <si>
    <t>https://www.lucky-cement.com/investor-relations/downloads/financial-reports/</t>
  </si>
  <si>
    <t>Own-year note 36: 318.749m weighted shares, EPS 43.06. FY2025 summary prints split-basis EPS 8.49, which differs from 43.06 / 5. Use the audited own-year EPS denominator; summary discrepancy remains unresolved.</t>
  </si>
  <si>
    <t>https://www.lucky-cement.com/wp-content/uploads/2025/09/Lucky-Cement-AR-2025_compressed.pdf</t>
  </si>
  <si>
    <t>https://www.dgcement.com/financial-reports/DG_Annual_Report_2021.pdf</t>
  </si>
  <si>
    <t>https://www.dgcement.com/financial-reports/DG_Annual_Report_2022.pdf</t>
  </si>
  <si>
    <t>https://www.dgcement.com/financial-reports/DGAnnual2023.pdf</t>
  </si>
  <si>
    <t>https://www.dgcement.com/financial-reports/DGAnnual2024.pdf</t>
  </si>
  <si>
    <t>https://www.dgcement.com/financial-reports/DGAnnual2025.pdf</t>
  </si>
  <si>
    <t>https://www.kmlg.com/mlcfl/financials/</t>
  </si>
  <si>
    <t>Deduct treasury shares reported as 18.545m in note 6.3 from issued shares for BVPS. Source precision is 0.001m shares. Reported BVPS instead uses issued shares, including treasury stock.</t>
  </si>
  <si>
    <t>https://www.kmlg.com/mlcfl/wp-content/uploads/2022/10/MLCF_AR_2022.pdf</t>
  </si>
  <si>
    <t>https://www.kmlg.com/mlcfl/wp-content/uploads/2025/06/MLCF-AR-2025.pdf</t>
  </si>
  <si>
    <t>https://fccl.com.pk/eng/financial-reports/</t>
  </si>
  <si>
    <t>Further full-audit finding:2,353.539m is reproduced by calendar-weighting the bonus for232days from the day after confirmed10-Nov after-hours credit. This timing differs from IAS33 retrospective bonus treatment. The standardized full-year denominator remains2,452.8476m; the report accounting rationale is unresolved.</t>
  </si>
  <si>
    <t>FY2025 EPS note 38 gives 2,452.847m as comparative, correcting the FY2024 report’s 2,452.857m. No split or additional issue.</t>
  </si>
  <si>
    <t>https://fccl.com.pk/eng/wp-content/uploads/2025/05/FCCL-Annual-Report-2025.pdf</t>
  </si>
  <si>
    <t>Verified corporate actions and price basis</t>
  </si>
  <si>
    <t>Execution, credit, approval, announcement and first trading dates are distinguished. Blank trading dates are not assumed ex-dates.</t>
  </si>
  <si>
    <t>Action</t>
  </si>
  <si>
    <t>Event date</t>
  </si>
  <si>
    <t>First split trading</t>
  </si>
  <si>
    <t>Factor</t>
  </si>
  <si>
    <t>Par value (Rs)</t>
  </si>
  <si>
    <t>Share-count evidence</t>
  </si>
  <si>
    <t>Treatment</t>
  </si>
  <si>
    <t>Source document</t>
  </si>
  <si>
    <t>Official URL</t>
  </si>
  <si>
    <t>5-for-1 split</t>
  </si>
  <si>
    <t>10 to 2</t>
  </si>
  <si>
    <t>183,861,297 to 919,306,485</t>
  </si>
  <si>
    <t>After all five FY-end observations. Use raw PSX prices and pre-split per-share data through FY2025.</t>
  </si>
  <si>
    <t>PSX/N-880 dated 15-Aug-2025</t>
  </si>
  <si>
    <t>https://www.psx.com.pk/psx/files/?file=257828-1.pdf</t>
  </si>
  <si>
    <t>5-for-1 split approval</t>
  </si>
  <si>
    <t>293,000,000 to 1,465,000,000</t>
  </si>
  <si>
    <t>Approved 18-Mar-2025 (FY2025 note 18.1); book closure 23–25 April. FY2025 post-split; FY2021–24 pre-split. First split trading date from PSX.</t>
  </si>
  <si>
    <t>PSX/N-368 dated 10-Apr-2025; FY2025 note 18.1</t>
  </si>
  <si>
    <t>https://www.psx.com.pk/psx/files/?file=250915-1.pdf</t>
  </si>
  <si>
    <t>12.5% bonus issue</t>
  </si>
  <si>
    <t>10 unchanged</t>
  </si>
  <si>
    <t>2,180.309m opening to 2,452.848m closing</t>
  </si>
  <si>
    <t>Approval 21-Oct-2022. PSX announcement confirms credit/dispatch by 11-Nov-2022. After FY2022, before FY2023 close. Historical PSX prices are not restated.</t>
  </si>
  <si>
    <t>PSX AGM resolutions and credit notice</t>
  </si>
  <si>
    <t>https://dps.psx.com.pk/download/document/195610.pdf</t>
  </si>
  <si>
    <t>Bonus credit notice</t>
  </si>
  <si>
    <t>272.539m bonus shares</t>
  </si>
  <si>
    <t>This is announcement date, not an assumed ex-date. Full-year FY2023 EPS denominator follows IAS 33.26–28.</t>
  </si>
  <si>
    <t>Credit / Dispatch of Bonus Share Certificates</t>
  </si>
  <si>
    <t>https://dps.psx.com.pk/download/document/197721.pdf</t>
  </si>
  <si>
    <t>Buybacks</t>
  </si>
  <si>
    <t>10 before later split</t>
  </si>
  <si>
    <t>5m cancelled FY2024; 12m FY2025</t>
  </si>
  <si>
    <t>Year-end shares and weighted-average shares differ. Own-year FY2024 note used because FY2025 restated comparative counts conflict.</t>
  </si>
  <si>
    <t>FY2024 note 4 and 34.1; FY2025 note 4 and 33.1</t>
  </si>
  <si>
    <t>10 before April 2025</t>
  </si>
  <si>
    <t>FY2023 net 311.8386m; FY2024 293m</t>
  </si>
  <si>
    <t>FY2023 net capital already deducts shares held for cancellation. No second deduction. Use own-year audited weighted shares.</t>
  </si>
  <si>
    <t>FY2023–25 issued capital and EPS notes</t>
  </si>
  <si>
    <t>Treasury shares and cancellations</t>
  </si>
  <si>
    <t>18.545m held for cancellation at FY2022</t>
  </si>
  <si>
    <t>Deduct reported 18.545m treasury shares for FY2022 outstanding shares. Do not deduct all 25m before subsequent purchases. Precision: 0.001m.</t>
  </si>
  <si>
    <t>FY2022 note 6.3</t>
  </si>
  <si>
    <t>25m cancelled FY2023; 25,783,624 FY2024</t>
  </si>
  <si>
    <t>WAVG from own-year EPS notes; closing shares from share capital. No share split in FY2021–25.</t>
  </si>
  <si>
    <t>FY2023 note 5; FY2025 note 5.1.4</t>
  </si>
  <si>
    <t>Askari amalgamation</t>
  </si>
  <si>
    <t>800.494m merger shares in FY2022</t>
  </si>
  <si>
    <t>Use own-year FY2022 weighted shares of 2,180.309m and original EPS 3.26 with the pre-bonus year-end price.</t>
  </si>
  <si>
    <t>FY2022 note 4.2; FY2023 note 4.2</t>
  </si>
  <si>
    <t>Share capital continuity</t>
  </si>
  <si>
    <t>438,119,118 shares throughout FY2021–25</t>
  </si>
  <si>
    <t>Own-year capital and EPS notes show constant shares; no split or bonus adjustment required in the analysis period.</t>
  </si>
  <si>
    <t>FY2021–25 capital and EPS notes</t>
  </si>
  <si>
    <t>EPS bonus/split rule</t>
  </si>
  <si>
    <t>Bonus and split changes apply retrospectively to the EPS denominator. Historical traded prices remain raw; reverse subsequent splits only when matching EPS to the earlier market basis.</t>
  </si>
  <si>
    <t>IAS 33 paragraphs 26–28 and 64</t>
  </si>
  <si>
    <t>https://www.ifrs.org/content/dam/ifrs/publications/pdf-standards/english/2023/issued/part-a/ias-33-earnings-per-share.pdf?bypass=on</t>
  </si>
  <si>
    <t>Official PSX trading evidence and report cross-checks</t>
  </si>
  <si>
    <t>Raw regular-market rows and full-response SHA-256 hashes preserve the retrieved evidence. Reproduce via the PSX historical date search using the stated POST date. No third-party price inputs.</t>
  </si>
  <si>
    <t>Official PSX endpoint</t>
  </si>
  <si>
    <t>Request</t>
  </si>
  <si>
    <t>PSX column order</t>
  </si>
  <si>
    <t>Raw PSX row</t>
  </si>
  <si>
    <t>Response SHA-256</t>
  </si>
  <si>
    <t>Retrieved (Pakistan date)</t>
  </si>
  <si>
    <t>Official report URL</t>
  </si>
  <si>
    <t>Annual-report evidence</t>
  </si>
  <si>
    <t>Own-year EPS-note evidence</t>
  </si>
  <si>
    <t>SYMBOL | LDCP | OPEN | HIGH | LOW | CLOSE | CHANGE | CHANGE (%) | VOLUME</t>
  </si>
  <si>
    <t>KOHC | 210.26 | 211.99 | 212.99 | 205.00 | 206.49 | -3.77 | -1.79% | 158,200</t>
  </si>
  <si>
    <t>a7533f1ddd4bfe985aaa10fe7de6d004e59ddbe860bc5e861d82357f39639f9f</t>
  </si>
  <si>
    <t>2026-10-22</t>
  </si>
  <si>
    <t>– – – – – – Stock Dividend – – – – – – Market Value per Share * - Closing 75.67 49.00 34.69 26.03 41.30 27.49 - High 90.00 51.02 35.76 46.89 52.40 30.40 - Low 46.47 31.70 22.61 25.24 27.30 8.02 Breakup value per share of Rs. 2 each * 49.58 41.84 32.47 27.13 22.13 18.65 Capital Structure Ratios Debt to equity ratio 4:96 5:95 9:91 13:87 21:79 27:73 Interest coverage ratio 51.72 21.34 15.14 17.60 10.45 (0.36) Debt Service Coverage Ratio 13.58 8.86 7.25 5.81 7.08 0.37 Activity/Turnover Ratios Inventory turnover ratio 5.00 5.10 5.08 5.80 5.75 3.46 No. of days in inventory 72.98 71.58 71.</t>
  </si>
  <si>
    <t>e - basic and diluted 33.1 Basic Earnings / (loss) per share Profit / (loss) for the year after taxation Rupees 3,497,507,247 (443,735,698) Weighted average number of ordinary shares Numbers 200,861,297 200,861,297 Earnings / (loss) per share Rupees 17.41 (2.21) 33.2 Diluted (loss) / earnings per share There is no dilutive effect on the basic earnings / (loss) per share as the Company does not have any convertible instruments in issue as at 30 June 2021 and 30 June 2020. 82</t>
  </si>
  <si>
    <t>KOHC | 129.89 | 131.00 | 134.00 | 129.75 | 130.13 | 0.24 | 0.18% | 56,300</t>
  </si>
  <si>
    <t>dd7808b40b462c8056eef6b5d6f32228cdb7ebfb8706e2ff6036ed7ae0c134b7</t>
  </si>
  <si>
    <t>Earnings per share - basic and diluted 34.1 Basic Earnings per share Profit for the year after taxation Rupees 5,024,280,260 3,497,507,247 Weighted average number of ordinary shares Numbers 200,861,297 200,861,297 Earnings per share Rupees 25.01 17.41 92 NOTES TO THE FINANCIAL STATEMENTS For the year ended 30 June 2022</t>
  </si>
  <si>
    <t>KOHC | 170.20 | 170.01 | 178.80 | 170.00 | 173.47 | 3.27 | 1.92% | 305,724</t>
  </si>
  <si>
    <t>2e0eb9557487b380ab4c4b0235b16b477f45778d471df6dfd853dc1e33d23f05</t>
  </si>
  <si>
    <t>Earnings per share - basic and diluted 34.1 Basic Earnings per share Profit for the year after taxation Rupees 5,820,751,145 5,024,280,260 Weighted average number of ordinary shares Numbers 200,861,297 200,861,297 Earnings per share Rupees 28.98 25.01 90</t>
  </si>
  <si>
    <t>KOHC | 244.20 | 245.00 | 252.00 | 245.00 | 250.43 | 6.23 | 2.55% | 110,655</t>
  </si>
  <si>
    <t>efc8ea2445cacdcf79405956444140d56bf6dde7848de9b27aeb39b75c5cf4ac</t>
  </si>
  <si>
    <t>hare - basic and diluted 34.1 Basic Earnings per share Unit 2024 2023 Profit for the year after taxation Rupees 8,893,454,788 5,820,751,145 Weighted average number of ordinary shares Numbers 196,435,067 200,861,297 Earnings per share Rupees 45.27 28.98 34.2 Diluted earnings per share There is no dilutive effect on the basic earnings per share as the Company does not have any convertible instruments in issue as at 30 June 2024 and 30 June 2023. 99 Reaching New HEIGHTS Annual Report 2024</t>
  </si>
  <si>
    <t>KOHC | 385.07 | 386.37 | 389.26 | 378.35 | 379.36 | -5.71 | -1.48% | 47,629</t>
  </si>
  <si>
    <t>dc442e1cf6c040e091a7631042e5cafc369e5d192eccdb58b6f105fbb005fee4</t>
  </si>
  <si>
    <t>are - basic and diluted 33.1 Basic Earnings per share Unit 2025 2024 Profit for the year after taxation Rupees 11,575,154,071 8,893,454,787 Weighted average number of ordinary shares outstanding during the year (note 33.1.1) (2024:Restated) Numbers 967,142,101 982,114,704 Earnings per share (2024:Restated) Rupees 11.97 9.06 2025 2024 Note Numbers Numbers 33.1.1 Weighted average number of ordinary shares Outstanding number of shares before own shares purchased 195,861,297 200,861,297 Less: Own shares purchased during the year adjusted with time-weighting factor 33.1.2 (2,432,877) (4,424,658) Weighted average number of shares outstanding during the year 193,428,420 196,436,639 Weighted average number of shares outstanding during the year with retrospective adjustment of Stock Split in the ratio of 5:1 33.1.3 967,142,101 982,183,197 33.1.2 During the year, The Company cancelled 12 million (2024: 5 million) of its ordinary shares of Rs. 10 each purchased during the period from October 23, 2024 to April 12, 2025. The Purchase was made pursuant to special Resolution passed in the</t>
  </si>
  <si>
    <t>LUCK | 865.26 | 868.90 | 875.50 | 860.00 | 863.44 | -1.82 | -0.21% | 252,524</t>
  </si>
  <si>
    <t>s 61.34 70.01 79.50 87.67 100.86 120.08 Market Value Per Share as on 30th June rupees 92.32 172.69 91.81 104.42 181.35 355.24 Year High Close Rupees 113.29 188.15 182.31 107.40 191.45 358.88 Year Low Close Rupees 62.06 97.79 87.23 76.78 102.87 165.49 Price to Book Ratio percent 1.50 2.47 1.15 1.19 1.80 2.96 Capital Structure Ratios Financial leverage ratio times 0.09 : 1 0.10 : 1 0.14 : 1 0.17 : 1 0.15 : 1 0.11 : 1 Weighted Average Cost of Debt percent 3.11% 3.32% 2.69% 5.72% 6.98% 6.68% Debt to Equity ratio (as per Book Value) times 0.01 : 1 0.04 : 1 0.13 : 1 0.13 : 1 0.11 : 1 0.07</t>
  </si>
  <si>
    <t>ity 212,556 179,743 Exchange loss - net 35.1 (146,668) (104,533) Sale of scrap and others 250,152 41,457 396,226 162,986 Income from financial assets Dividend from subsidiaries 35.2 4,345,673 1,162,684 Dividend from associate 35.2 61,137 122,273 Dividend from a mutual fund 613,816 200,861 Income from deposits with Islamic banks 35.3 429,509 1,537,055 5,450,135 3,022,873 5,846,361 3,185,859 35.1 Represents exchange loss - net arising on revaluation of foreign currency financial assets and liabilities and on transactions in foreign currencies. The realised amount of exchange loss aggregates to PKR 139.835 million. 35.2 Dividend income earned from the subsidiaries and associate has been purified by making charitable donations as more fully explained in note 34.2 to these unconsolidated financial statements. 35.3 Represents profit earned from shariah compliant bank deposits and bank balances. 36. TAXATION 36.1 Relationship between income tax expense and accounting profit: 2021 2020 (PKR in ‘000’) Profit before taxation 16,992,213 3,819,928 T ax at the applicable tax rate of 29% 4,927,742 1,107,779 T ax effect under lower rate of tax (664,526) (195,918) T ax effect of exempt income (1,260,245) (337,178) Others (80,947) (98,688) 2,922,024 475,995 Effective tax rate 17% 12% 37. BASIC AND DIL UTED EARNINGS PER SHARE Profit after taxation (PKR in thousands) 14,070,189 3,343,933 W eighted average number of ordinary shares (in thousands) 323,375 323,375 Basic and diluted earnings per share (PKR) 43.51 10.34 237 ANNUAL REPORT2021 25 YEARS OF EXCELLENCE COMMITTED TO NATIONAL DEVELOPMENT</t>
  </si>
  <si>
    <t>LUCK | 457.51 | 457.50 | 466.00 | 450.10 | 459.04 | 1.53 | 0.33% | 1,584,750</t>
  </si>
  <si>
    <t>ffective tax rate 29% 17% 2022 2021 36. BASIC AND DILUTED EARNINGS PER SHARE Profit after taxation (PKR in thousands) 15,298,618 14,070,189 Weighted average number of ordinary shares (in thousands) 323,375 323,375 Basic and diluted earnings per share (PKR) 47.31 43.51 Note 2022 2021 (PKR in ‘000’) 37. CASH GENERATED FROM OPERATIONS Profit before taxation 21,421,232 16,992,213 Adjustments for non-cash charges and other items Depreciation 5.2 4,526,876 4,298,760 Amortisation of intangible assets 6.2 885 10,653 Provision for slow moving spares – 248,343 Net (reversal) / creation of provision for doubtful debts 12.3 (12,048) 19,579 Gain on disposal of property, plant and equipment 34 (132,368) (80,186) Income from deposits with Islamic banks 34 (307,059) (429,509) Dividend income from subsidiaries 34 (3,365,414) (4,345,673) Dividend / other income from associate 34 (187,572) (61,137) Dividend income from mutual fund 34 (1,167,048) (613,816) Provision for staff gratuity 24 479,353 388,704 Finance cost 32 394,517 332,905 Profit before working capital changes 21,651,354 16,760,836</t>
  </si>
  <si>
    <t>LUCK | 525.32 | 524.00 | 526.75 | 519.00 | 522.09 | -3.23 | -0.61% | 650,584</t>
  </si>
  <si>
    <t>ended June 30, 2023 Note 2023 2022 36. BASIC AND DILUTED EARNINGS PER SHARE Profit after taxation (PKR in thousands) 13,725,814 15,298,618 Weighted average number of ordinary shares (in thousands) 36.1 318,749 323,375 Basic and diluted earnings per share (PKR) 43.06 47.31 36.1 Weighted average number of ordinary shares Outstanding number of shares before own shares purchased 323,375 323,375 Less: Impact of own shares purchased during the year 36.2 &amp; 36.3 (4,626) – 318,749 323,375 36.2 During the year, the Company cancelled 10 million of its own ordinary shares of PKR 10 each purchased during the first buy-back of share for the period from September 29, 2022 to March 17, 2023. The purchase was made pursuant to the special resolution passed in the Extraordinary General Meeting held on September 20, 2022, where the Company was allowed to purchase / buy back its issued ordinary shares up to the maximum of 10 million ordinary shares, through Pakistan Stock Exchange Limited, at spot / current share price prevailing during the period from September 29, 2022 to March 27, 2023 (bot</t>
  </si>
  <si>
    <t>LUCK | 902.98 | 910.00 | 911.40 | 895.01 | 906.73 | 3.75 | 0.42% | 81,042</t>
  </si>
  <si>
    <t>ive tax rate 30% 34% Note 2024 2023 36. BASIC AND DILUTED EARNINGS PER SHARE Profit after taxation (PKR in thousands) 28,106,539 13,725,814 Weighted average number of ordinary shares (in thousands) 36.1 297,296 318,749 Basic and diluted earnings per share (PKR) 94.54 43.06 36.1 Weighted average number of ordinary shares Outstanding number of shares before own shares purchased 311,839 323,375 Less: Impact of own shares purchased during the year 36.2 (14,543) (4,626) 297,296 318,749 36.2 During the year, the Company cancelled 20.375 million of its own ordinary shares of PKR 10 each purchased during the second buy-back of share for the period from June 20, 2023 to November 20, 2023. The purchase was made pursuant to special resolution passed in the Extraordinary General Meeting held on May 24, 2023. 269</t>
  </si>
  <si>
    <t>LUCK | 355.89 | 357.10 | 359.00 | 353.01 | 355.24 | -0.65 | -0.18% | 1,632,314</t>
  </si>
  <si>
    <t>fective tax rate 30% 30% 35. BASIC AND DILUTED EARNINGS PER SHARE Profit after taxation (PKR in thousands) 33,092,162 28,106,539 (Restated) Weighted average number of ordinary shares (in thousands) 18.1 &amp; 35.1 1,465,000 1,486,480 Basic and diluted earnings per share (PKR) 22.59 18.91 35.1 Weighted average number of ordinary shares Outstanding number of shares before own shares purchased 1,465,000 1,559,195 Less: Impact of own shares purchased during the year 35.2 – (72,715) 1,465,000 1,486,480 35.2 During the previous year, the Company had cancelled 20.375 million of its own ordinary shares of PKR 10 each, which were purchased under the second buy-back pursuant to the special resolution passed at the Extraordinary General Meeting held on May 24, 2023. 272 ANNUAL REPORT 2025</t>
  </si>
  <si>
    <t>DGKC | 117.16 | 117.95 | 119.25 | 117.50 | 117.92 | 0.76 | 0.65% | 2,384,678</t>
  </si>
  <si>
    <t>per share Rs/Share 2.00 - - 1.00 1.00 - Market value per share At 30-June Rs/Share 165.56 90.27 51.30 62.50 117.92 85.33 High During the year Rs/Share 168.39 95.32 62.95 120.39 141.48 87.90 Low during the year Rs/Share 73.30 41.54 39.00 52.25 90.45 42.31 Breakup value per share (1) With FV reserves Rs/Share 216.08 173.12 146.52 159.59 167.71 152.11 (2) Without FV reserves (all investments including Related party Rs/Share 138.91 119.05 117.74 127.05 121.38 112.75 Capital Structure Financial leverage ratio % 15.01 24.80 31.57 34.03 31.76 36.65 Weighted average cost of debt (excluding t</t>
  </si>
  <si>
    <t>tax rate 22.01 42.53 35. Earnings per share 35.1 Earnings per share - Basic Profit/(loss) for the year Rupees 3,721,273,000 (2,158,661,000) Weighted average number of ordinary shares Number 438,119,118 438,119,118 Earnings/(loss) per share - basic Rupees 8.49 (4.93) 35.2 Earnings per share - Diluted A diluted earnings per share has not been presented as the Company does not have any convertible instruments in issue as at June 30, 2021, and June 30, 2020, which would have any effect on the earnings per share if the option to convert is exercised.</t>
  </si>
  <si>
    <t>DGKC | 61.03 | 60.90 | 64.00 | 60.50 | 62.50 | 1.47 | 2.41% | 5,120,816</t>
  </si>
  <si>
    <t>ffective tax rate 50.63 22.01 36. Earnings per share 36.1 Earnings per share - Basic Profit for the year Rupees 2,972,132,130 3,721,273,000 Weighted average number of ordinary shares Number 438,119,118 438,119,118 Earnings per share - basic Rupees 6.78 8.49 36.2 Earnings per share - Diluted A diluted earnings per share has not been presented as the Company does not have any convertible instruments in issue as at June 30, 2022, and June 30, 2021, which would have any effect on the earnings per share if the option to convert is exercised. 176 ANNUA L REPORT 2022 DGKC</t>
  </si>
  <si>
    <t>DGKC | 52.16 | 52.00 | 52.20 | 50.70 | 51.30 | -0.86 | -1.65% | 1,249,328</t>
  </si>
  <si>
    <t>ax rate 214.97 50.63 35. Earnings per share 35.1 Earnings per share - Basic (Loss)/profit for the year Rupees (3,635,976,000) 2,972,132,000 Weighted average number of ordinary shares Number 438,119,118 438,119,118 (Loss)/earnings per share - basic Rupees (8.30) 6.78 35.2 Earnings per share - Diluted A diluted earnings per share has not been presented as the Company does not have any convertible instruments in issue as at June 30, 2023, and June 30, 2022, which would have any effect on the earnings per share if the option to convert is exercised.</t>
  </si>
  <si>
    <t>DGKC | 91.07 | 90.80 | 91.70 | 90.00 | 90.27 | -0.80 | -0.88% | 2,418,251</t>
  </si>
  <si>
    <t>97 37. Earnings / (loss) per share 37.1 Earnings / (loss) per share - Basic Profit / (loss) for the year Rupees 542,396,000 (3,635,976,000) Weighted average number of ordinary shares Number 438,119,118 438,119,118 Earnings / (loss) per share - basic Rupees 1.24 (8.30) 37.2 Earnings / (loss) per share - Diluted A diluted earnings per share has not been presented as the Company does not have any convertible instruments in issue as at June 30, 2024, and June 30, 2023, which would have any effect on the earnings / (loss) per share if the option to convert is exercised.</t>
  </si>
  <si>
    <t>DGKC | 167.26 | 167.30 | 168.00 | 164.85 | 165.56 | -1.70 | -1.02% | 1,933,502</t>
  </si>
  <si>
    <t>33.29 80.89 37. Earnings per share - basic and diluted 37.1 Earnings per share - Basic Profit for the year Rupees 8,675,059,000 542,396,000 Weighted average number of ordinary shares Number 438,119,118 438,119,118 Earnings per share - basic Rupees 19.80 1.24 37.2 Earnings per share - Diluted A diluted earnings per share has not been presented as the Company does not have any convertible instruments in issue as at June 30, 2025, and June 30, 2024, which would have any effect on the earnings per share if the option to convert is exercised.</t>
  </si>
  <si>
    <t>MLCF | 45.99 | 45.80 | 47.40 | 45.80 | 46.98 | 0.99 | 2.15% | 3,861,265</t>
  </si>
  <si>
    <t>ook ratio 1.24 0.76 0.68 0.74 1.37 0.91 Market value per share Closing 84.28 38.00 28.33 27.35 46.98 25.98 High 91.31 43.30 29.36 47.51 50.90 31.90 Low 31.50 26.52 19.34 23.95 25.85 13.79 Break up value per share / Net assets per share With revaluation surplus 68.22 49.69 41.84 36.93 34.18 28.52 Without revaluation surplus 64.78 45.90 40.10 34.69 31.37 25.22 With revaluation surplus including investment in subsidiary* 78.38 59.34 49.38 43.12 39.54 36.03 Cash Dividend per Share - - - - - 0.27 Dividend Pay out Ratio - - - - - -5.10% Dividend Yield Ratio - - - - - 1.04% Dividend Cover R</t>
  </si>
  <si>
    <t>BASIC AND DILUTED Unit 2021 2020 43.1 Basic earnings / (loss) per share Profit / (loss) after taxation Rupees in ‘000 6,254,109 (4,843,265) Weighted average number of ordinary shares No. of shares in ‘000 1,098,346 914,309 Rupees 5.69 (5.30) 43.2 Weighted average number of ordinary shares 2021 2020 (Rupees in thousand) Outstanding number of shares before right issue 1,098,346 593,701 Add: Impact on weighted average number of shares due to right issue during the year - 320,608 1,098,346 914,309 43.3 There is no dilution effect on the basic earnings per share. 2021 2020 Note (Rupees in thousand) 44. CASH AND CASH EQUIVALENTS Short term running finance 18.2 (207,310) (538,000) Temporary bank overdrafts - unsecured 18.3 (3,217) (298,751) Cash and bank 34 490,329 1,046,267 279,802 209,516</t>
  </si>
  <si>
    <t>MLCF | 26.97 | 27.00 | 27.50 | 26.90 | 27.35 | 0.38 | 1.41% | 3,884,188</t>
  </si>
  <si>
    <t>ARNINGS PER SHARE - BASIC AND DILUTED Unit 2022 2021 43.1 Basic earnings per share Profit after taxation Rupees in ‘000 3,626,340 6,254,109 Weighted average number of ordinary shares No. of shares in ‘000 1,097,524 1,098,346 Rupees 3.30 5.69 43.2 Weighted average number of ordinary shares 2022 2021 (Number of shares in ‘000’) Outstanding number of shares before own shares purchased 1,098,346 1,098,346 Add: Impact of own shares purchased during the year (822) - 1,097,524 1,098,346 43.3 There is no dilution effect on the basic earnings per share. 2022 2021 Note (Rupees in thousand) 44. CASH AND CASH EQUIVALENTS Short term running finance 18.2 (1,396,990) (207,310) Temporary bank overdrafts - unsecured 18.4 (505) (3,217) Cash and bank balances 34 793,576 490,329 (603,919) 279,802</t>
  </si>
  <si>
    <t>MLCF | 28.66 | 28.29 | 28.60 | 27.90 | 28.33 | -0.33 | -1.15% | 2,063,098</t>
  </si>
  <si>
    <t>ARNINGS PER SHARE - BASIC AND DILUTED Unit 2023 2022 43.1 Basic earnings per share Profit after taxation Rupees in '000 4,491,669 3,626,340 Weighted average number of ordinary shares No. of shares in '000 1,073,405 1,097,524 Rupees 4.18 3.30 2023 2022 (Rupees in thousand) 43.2 Weighted average number of ordinary shares Outstanding number of shares before right issue 1,097,524 1,098,346 Less: Impact of own shares purchased (24,119) (822) 1,073,405 1,097,524 43.3 There is no dilution effect on the basic earnings per share. 2023 2022 Note (Rupees in thousand) 44. CASH AND CASH EQUIVALENTS Short term running finance 18.2 - (1,396,990) Temporary bank overdrafts - unsecured 18.4 - (505) Cash and bank 34 740,707 793,576 740,707 (603,919)</t>
  </si>
  <si>
    <t>MLCF | 38.00 | 38.25 | 38.30 | 37.80 | 38.00 | 0.00 | 0.00% | 1,417,089</t>
  </si>
  <si>
    <t>8 43. EARNINGS PER SHARE - BASIC AND DILUTED 2024 2023 43.1 Basic earnings per share Profit for the year Rupees in ‘000 5,272,527 4,491,669 Weighted average number of ordinary shares No. of shares in ‘000 1,058,911 1,073,405 Earning per share - basic Rupees 4.98 4.18 2024 2023 (Shares in thousand) 43.2 Weighted average number of ordinary shares Outstanding number of shares before right issue 1,073,405 1,097,524 Impact of own shares purchased (14,494) (24,119) 1,058,911 1,073,405 43.3 A diluted earnings per share has not been presented as the Company does not have any convertible instruments in issue as at June 30, 2024, and June 30, 2023, which would have any effect on the earnings per share if the option to convert is exercised.</t>
  </si>
  <si>
    <t>MLCF | 85.46 | 85.55 | 86.20 | 83.90 | 84.28 | -1.18 | -1.38% | 4,958,160</t>
  </si>
  <si>
    <t>43. EARNINGS PER SHARE - BASIC AND DILUTED 2025 2024 43.1 Basic earnings per share Profit for the year Rupees in ‘000 17,036,374 5,272,527 Weighted average number of ordinary shares No. of shares in ‘000 1,047,563 1,058,911 Earning per share - basic Rupees 16.26 4.98 2025 2024 (Shares in thousand) 43.2 Weighted average number of ordinary shares Outstanding number of shares 1,047,563 1,073,405 Impact of own shares purchased - (14,494) 1,047,563 1,058,911</t>
  </si>
  <si>
    <t>FCCL | 22.81 | 22.90 | 23.20 | 22.80 | 23.00 | 0.19 | 0.83% | 1,157,000</t>
  </si>
  <si>
    <t>Rs 34.36 29.92 26.57 26.48 16.87 14.35 Market value per share - at year end Rs 44.67 22.91 11.76 14.17 23.00 16.88 Highest market value per share during the year Rs 48.54 24.14 16.31 23.26 27.61 22.85 Lowest market value per share during the year Rs 20.01 10.54 10.51 13.99 18.43 11.50 All profitability ratios improved during the year, consequent to high profitability. Highest ever profit in Company’s history re- sulted higher EPS during the year as against the average EPS of Rs. 2.91 of last 6 years. Despite major capital investments, Company was able to declare dividend with payout</t>
  </si>
  <si>
    <t>) Profit/ (loss) after tax (Rs. '000) 3,471,351 (59,381) Profit/ (loss) attributable to ordinary shareholders (Rs. '000) 3,471,351 (59,381) Weighted average number of ordinary shares (Numbers '000) 1,379,815 1,379,815 Earnings/ (loss) per share - basic (Rupees) 2.52 (0.04) 35.1 There is no dilution effect on earnings per share of the Company.</t>
  </si>
  <si>
    <t>FCCL | 14.43 | 14.50 | 14.90 | 13.36 | 14.17 | -0.26 | -1.80% | 13,104,000</t>
  </si>
  <si>
    <t>IC AND DILUTED) Profit after tax (Rs. '000) 7,112,540 3,471,351 Profit attributable to ordinary shareholders (Rs. '000) 7,112,540 3,471,351 Weighted average number of ordinary shares (Numbers '000) 2,180,309 1,379,815 Earnings per share - basic (Rupees) 3.26 2.52 40.1 There is no dilution effect on earnings per share of the Company. 41 CASH AND CASH EQUIVALENTS Cash, cash equivalents and short-term borrowings (used for cash management purposes) include the following for the purposes of statement of cash flows. Note 2022 2021 Rupees'000 Rupees'000 Cash and bank balances 30 2,306,633 900,778 Short term borrowings - secured 15 (3,218,249) (1,616,787) (911,616) (716,009) NOTES TO THE FINANCIAL STATEMENTS FAUJI CEMENT COMPANY LIMITED FOR THE YEAR ENDED 30 JUNE 2022 228 Fauji Cement Company Limited</t>
  </si>
  <si>
    <t>FCCL | 12.23 | 12.05 | 12.11 | 11.68 | 11.76 | -0.47 | -3.84% | 4,486,000</t>
  </si>
  <si>
    <t>IC AND DILUTED) Profit after tax (Rs. ‘000) 7,439,681 7,112,540 Profit attributable to ordinary shareholders (Rs. ‘000) 7,439,681 7,112,540 Weighted average number of ordinary shares (Numbers ‘000) 2,353,539 2,353,539 Earnings per share - basic (Rupees) - Restated 3.16 3.02 37.1 There is no dilution effect on earnings per share of the Company. 37.2 There is no dilution effect on the basic earning per share of the Company as the Company has no convertible potential dilutive instruments outstanding as on June 30, 2023, which would have effect on the basic EPS, if the option to convert would have been exercised.</t>
  </si>
  <si>
    <t>FCCL | 22.82 | 22.82 | 23.08 | 22.65 | 22.91 | 0.09 | 0.39% | 3,114,681</t>
  </si>
  <si>
    <t>ND DILUTED) Profit after tax 8,223,116 7,439,681 Profit attributable to ordinary shareholders 8,223,116 7,439,681 Numbers ‘000 Numbers ‘000 Weighted average number of ordinary shares 2,452,857 2,353,539 Rupees Rupees Earnings per share - basic 3.35 3.16 37.1 There is no dilution effect on earnings per share of the Company. 37.2 There is no dilution effect on the basic earning per share of the Company as the Company has no convertible potential dilutive instruments outstanding as on June 30, 2024, which would have effect on the basic EPS, if the option to convert would have been exercised. 38 CASH AND CASH EQUIVALENTS Cash, cash equivalents and short-term borrowings (used for cash management purposes) include the following for the purposes of statement of cash flows. Note 2024 2023 Rupees’000 Rupees’000 Cash and bank balances 26 2,932,984 970,457 Short term running finance - secured 14 (1,450,934) (4,530,981) Bank balances under lien 26.2 (85,500) (89,500) 1,396,550 (3,650,024) 39 REMUNERATION OF CHIEF EXECUTIVE, DIRECTORS AND EXECUTIVES The aggregate amounts recognized duri</t>
  </si>
  <si>
    <t>FCCL | 45.27 | 45.47 | 45.55 | 44.52 | 44.67 | -0.60 | -1.33% | 3,494,330</t>
  </si>
  <si>
    <t>DILUTED) Profit after tax 13,326,202 8,223,116 Profit attributable to ordinary shareholders 13,326,202 8,223,116 Numbers ‘000 Numbers ‘000 Weighted average number of ordinary shares 2,452,847 2,452,847 Rupees Rupees Earnings per share – basic 5.43 3.35 38.1 There is no dilution effect on the basic earning per share of the Company as the Company has no convertible potential dilutive instruments outstanding as on June 30, 2025, which would have effect on the basic EPS, if the option to convert would have been exercised. 39 CASH AND CASH EQUIVALENTS Cash, cash equivalents and short–term borrowings (used for cash management purposes) include the following for the purposes of statement of cash flows. Note 2025 2024 Rupees’000 Rupees’000 Cash and bank balances 27 2,665,338 2,932,984 Short term running finance – secured 15 (268,462) (850,934) Bank balances under lien 27.3 (85,500) (85,500) 2,311,376 1,996,550 40 REMUNERATION OF CHIEF EXECUTIVE, DIRECTORS AND EXECUTIVES The aggregate amounts recognized during the year on account of remuneration, including benefits and perquisites</t>
  </si>
  <si>
    <t>825 independent source-register calculations check every numerator, denominator and final display. Source observations and accounting classifications were reviewed separately.</t>
  </si>
  <si>
    <t>Requirement</t>
  </si>
  <si>
    <t>Excel numerator</t>
  </si>
  <si>
    <t>Excel denominator</t>
  </si>
  <si>
    <t>Raw Excel result</t>
  </si>
  <si>
    <t>Independent numerator</t>
  </si>
  <si>
    <t>Independent denominator</t>
  </si>
  <si>
    <t>Independent raw result</t>
  </si>
  <si>
    <t>Expected display</t>
  </si>
  <si>
    <t>Workbook result</t>
  </si>
  <si>
    <t>n/m reason</t>
  </si>
  <si>
    <t>Mandatory</t>
  </si>
  <si>
    <t>Additional</t>
  </si>
  <si>
    <t>n/m</t>
  </si>
  <si>
    <t>Negative calculated measure; raw signed value in H/K.</t>
  </si>
  <si>
    <t>Non-positive denominator; measure undefined.</t>
  </si>
  <si>
    <t>Financial input review and signed source evidence</t>
  </si>
  <si>
    <t>1,675 original financial-input records plus35 explicit note components. Original raw signs, revised official amounts, model trace and source evidence are shown separately.</t>
  </si>
  <si>
    <t>Input key</t>
  </si>
  <si>
    <t>Accounting input</t>
  </si>
  <si>
    <t>Prior source amount</t>
  </si>
  <si>
    <t>Revised official amount</t>
  </si>
  <si>
    <t>Official units</t>
  </si>
  <si>
    <t>Converted PKR m</t>
  </si>
  <si>
    <t>Model amount</t>
  </si>
  <si>
    <t>Trace difference</t>
  </si>
  <si>
    <t>Official annual report</t>
  </si>
  <si>
    <t>Current / comparative</t>
  </si>
  <si>
    <t>Evidence type</t>
  </si>
  <si>
    <t>Classification / control</t>
  </si>
  <si>
    <t>Source excerpt</t>
  </si>
  <si>
    <t>Printed amount independently located</t>
  </si>
  <si>
    <t>Exact source amount found; audited year/current-comparative column recorded. Accounting subtotal tests performed separately.</t>
  </si>
  <si>
    <t>(Restated)
  2021 2020
 Note Rupees Rupees
ASSETS
Non current assets 
Property, plant and equipment 15  22,051,984,013   22,777,666,271 
Intangibles 16  6,725,911   11,210,982 
Long term deposits 17  43,326,640   38,326,640 
Investment property 18  4,136,086,159   3,691,839,635 
     26,238,122,723   26,519,043,52</t>
  </si>
  <si>
    <t>2022 2021
 Note Rupees Rupees
ASSETS 
Non current assets 
Property, plant and equipment 15  21,331,296,362   22,027,544,913 
Intangibles 16  2,701,357   6,725,911 
Long term loans and advances 17  63,226,829   26,439,100 
Long term deposits 18  43,356,640   43,326,640 
Investment property 19  4,134,255</t>
  </si>
  <si>
    <t>nual Report 2023
Shaping the
Future
51
  2023 2022
 Note Rupees Rupees
ASSETS 
Non current assets 
Property, plant and equipment 15  22,229,434,463   21,331,296,362 
Intangibles 16  1,567,709   2,701,357 
Long term loans and advances 17  17,429,341   63,226,829 
Long term deposits 18  43,356,640   43,356,640 
Investment property 19  4,324,910</t>
  </si>
  <si>
    <t>HEIGHTS Annual Report 2024
  2024 2023
 Note Rupees Rupees
   Restated
ASSETS
Non current assets 
Property, plant and equipment 14  22,157,690,533   22,229,434,463 
Intangibles 15  508,226   1,567,709 
Long term loans and advances 16  21,170,394   17,429,341 
Long term deposits 17  43,356,640   43,356,640 
Investment property 18 4,326,361,55</t>
  </si>
  <si>
    <t>67
  2025 2024
 Note Rupees Rupees
ASSETS 
Non current assets 
Property, plant and equipment 13  23,359,980,509   22,156,640,533 
Intangibles 14  259,742   508,226 
Long term loans and advances 15  434,691,328   89,361,970 
Long term deposits 16  58,226,136   58,026,136 
Investment property 17  4,326,361,55</t>
  </si>
  <si>
    <t>67
  2025 2024
 Note Rupees Rupees
ASSETS 
Non current assets 
Property, plant and equipment 13  23,359,980,509   22,156,640,533 
Intangibles 14  259,742   508,226 
Long term loans and advances 15  434,691,328   89,361,970 
Long term deposits 16  58,226,136   58,026,136 
Investment property</t>
  </si>
  <si>
    <t>15 Property, plant and equipment
 Operating fixed assets 15.1   21,753,605,354   22,613,088,249 
 Capital work in progress 15.7   298,378,659   164,578,022 
        22,051,984,013   22,777,666,271
70</t>
  </si>
  <si>
    <t>7,598
15 Property, plant and equipment
 Operating fixed assets 15.1   21,200,398,415   21,753,605,354 
 Capital work in progress 15.6   130,897,947   273,939,559
        21,331,296,362   22,027,544,913
81
NOTES TO THE 
FINANCIAL STATEMENTS
For the year ended 30 June 2022
Annual Report 2022
OUREXPANDING</t>
  </si>
  <si>
    <t>15 Property, plant and equipment
 Operating fixed assets 15.1   20,286,414,882   21,200,398,415 
 Capital work in progress 15.5   1,943,019,581   130,897,947 
        22,229,434,463   21,331,296,362
Annual Report 2023
Shaping the
Future
79</t>
  </si>
  <si>
    <t>14 Property, plant and equipment
 Operating fixed assets 14.1   21,157,313,928   20,286,414,882 
 Capital work in progress 14.2   1,000,376,605   1,943,019,581 
        22,157,690,533   22,229,434,463
87
Reaching New 
HEIGHTS Annual Report 2024</t>
  </si>
  <si>
    <t>13 Property, plant and equipment
 Operating fixed assets 13.1   20,873,345,754   21,157,313,928 
 Capital work in progress 13.2   2,486,634,755   999,326,605 
      23,359,980,509   22,156,640,533
95
Annual Report 2025</t>
  </si>
  <si>
    <t>36   598,585,518 
13 Property, plant and equipment
 Operating fixed assets 13.1   20,873,345,754   21,157,313,928 
 Capital work in progress 13.2   2,486,634,755   999,326,605 
      23,359,980,509   22,156,640,533
95
Annual Report 2025</t>
  </si>
  <si>
    <t>Zero / no separate line in audited presentation</t>
  </si>
  <si>
    <t>Zero classification checked within the audited statement/note and reconstructed statement totals; absence of a separate line does not imply a missing replacement estimate.</t>
  </si>
  <si>
    <t>STATEMENT OF 
FINANCIAL POSITION 
As at 30 June 2021
   (Restated)
  2021 2020
 Note Rupees Rupees
EQUITY AND LIABILITIES
Authorized share capital 4  | Right-of-use assets (presented separately)</t>
  </si>
  <si>
    <t>STATEMENT OF 
FINANCIAL POSITION 
As at 30 June 2022
  2022 2021
 Note Rupees Rupees
EQUITY AND LIABILITIES 
Authorized share capital 4  3,000,000,00 | Right-of-use assets (presented separately)</t>
  </si>
  <si>
    <t>50
STATEMENT OF 
FINANCIAL POSITION 
As at 30 June 2023
  2023 2022
 Note Rupees Rupees
EQUITY AND LIABILITIES 
Authorized share capital 4  3,000,000 | Right-of-use assets (presented separately)</t>
  </si>
  <si>
    <t>56
STATEMENT OF 
FINANCIAL POSITION 
As at 30 June 2024
  2024 2023
 Note Rupees Rupees
   Restated
EQUITY AND LIABILITIES
Authorized share capital 4 | Right-of-use assets (presented separately)</t>
  </si>
  <si>
    <t>66
STATEMENT OF 
FINANCIAL POSITION 
As at June 30, 2025
  2025 2024
 Note Rupees Rupees
EQUITY AND LIABILITIES 
Authorized share capital 4  3,000,00 | Right-of-use assets (presented separately)</t>
  </si>
  <si>
    <t>21 2020
 Note Rupees Rupees
ASSETS
Non current assets 
Property, plant and equipment 15  22,051,984,013   22,777,666,271 
Intangibles 16  6,725,911   11,210,982 
Long term deposits 17  43,326,640   38,326,640 
Investment property 18  4,136,086,159   3,691,839,635 
     26,238,122,723   26,519,043,528 
Current assets 
Stores, spares and</t>
  </si>
  <si>
    <t>2 2021
 Note Rupees Rupees
ASSETS 
Non current assets 
Property, plant and equipment 15  21,331,296,362   22,027,544,913 
Intangibles 16  2,701,357   6,725,911 
Long term loans and advances 17  63,226,829   26,439,100 
Long term deposits 18  43,356,640   43,326,640 
Investment property 19  4,134,255,209   4,134,086,159 
     25,574,836,3</t>
  </si>
  <si>
    <t>3 2022
 Note Rupees Rupees
ASSETS 
Non current assets 
Property, plant and equipment 15  22,229,434,463   21,331,296,362 
Intangibles 16  1,567,709   2,701,357 
Long term loans and advances 17  17,429,341   63,226,829 
Long term deposits 18  43,356,640   43,356,640 
Investment property 19  4,324,910,743   4,134,255,209 
     26,616,698,8</t>
  </si>
  <si>
    <t>ote Rupees Rupees
   Restated
ASSETS
Non current assets 
Property, plant and equipment 14  22,157,690,533   22,229,434,463 
Intangibles 15  508,226   1,567,709 
Long term loans and advances 16  21,170,394   17,429,341 
Long term deposits 17  43,356,640   43,356,640 
Investment property 18 4,326,361,559  4,324,910,743 
    26,549,087,352</t>
  </si>
  <si>
    <t>025 2024
 Note Rupees Rupees
ASSETS 
Non current assets 
Property, plant and equipment 13  23,359,980,509   22,156,640,533 
Intangibles 14  259,742   508,226 
Long term loans and advances 15  434,691,328   89,361,970 
Long term deposits 16  58,226,136   58,026,136 
Investment property 17  4,326,361,559   4,326,361,559 
     28,179,519,</t>
  </si>
  <si>
    <t>67
  2025 2024
 Note Rupees Rupees
ASSETS 
Non current assets 
Property, plant and equipment 13  23,359,980,509   22,156,640,533 
Intangibles 14  259,742   508,226 
Long term loans and advances 15  434,691,328   89,361,970 
Long term deposits 16  58,226,136   58,026,136 
Investment property 17  4,326,361,559   4,326,361,559 
     2</t>
  </si>
  <si>
    <t>013   22,777,666,271 
Intangibles 16  6,725,911   11,210,982 
Long term deposits 17  43,326,640   38,326,640 
Investment property 18  4,136,086,159   3,691,839,635 
     26,238,122,723   26,519,043,528 
Current assets 
Stores, spares and loose tools 19  3,070,769,101   2,250,156,437 
Stock-in-trade 20  1,112,776,266   1,016,024,223 
Trade</t>
  </si>
  <si>
    <t>11 
Long term loans and advances 17  63,226,829   26,439,100 
Long term deposits 18  43,356,640   43,326,640 
Investment property 19  4,134,255,209   4,134,086,159 
     25,574,836,397   26,238,122,723 
Current assets 
Stores, spares and loose tools 20  4,214,829,636   3,070,769,101 
Stock-in-trade 21  1,456,156,782   1,112,776,266 
Trade de</t>
  </si>
  <si>
    <t>57 
Long term loans and advances 17  17,429,341   63,226,829 
Long term deposits 18  43,356,640   43,356,640 
Investment property 19  4,324,910,743   4,134,255,209 
     26,616,698,896   25,574,836,397
Current assets 
Stores, spares and loose tools 20  4,713,129,764   4,214,829,636 
Stock-in-trade 21  2,942,861,554   1,456,156,782 
Trade d</t>
  </si>
  <si>
    <t>,709 
Long term loans and advances 16  21,170,394   17,429,341 
Long term deposits 17  43,356,640   43,356,640 
Investment property 18 4,326,361,559  4,324,910,743 
    26,549,087,352  26,616,698,896 
Current assets 
Stores, spares and loose tools 19  5,785,683,486   4,713,129,764 
Stock-in-trade 20 1,793,742,440  2,942,861,554 
Trade debts</t>
  </si>
  <si>
    <t>259,742   508,226 
Long term loans and advances 15  434,691,328   89,361,970 
Long term deposits 16  58,226,136   58,026,136 
Investment property 17  4,326,361,559   4,326,361,559 
     28,179,519,274   26,630,898,424 
Current assets 
Stores, spares and loose tools 18  4,991,311,475   5,785,683,486 
Stock-in-trade 19  2,513,556,552   1,793,7</t>
  </si>
  <si>
    <t>STATEMENT OF 
FINANCIAL POSITION 
As at 30 June 2021
   (Restated)
  2021 2020
 Note Rupees Rupees
EQUITY AND LIABILITIES
Authorized share capital 4  | Long-term investments</t>
  </si>
  <si>
    <t>STATEMENT OF 
FINANCIAL POSITION 
As at 30 June 2022
  2022 2021
 Note Rupees Rupees
EQUITY AND LIABILITIES 
Authorized share capital 4  3,000,000,00 | Long-term investments</t>
  </si>
  <si>
    <t>50
STATEMENT OF 
FINANCIAL POSITION 
As at 30 June 2023
  2023 2022
 Note Rupees Rupees
EQUITY AND LIABILITIES 
Authorized share capital 4  3,000,000 | Long-term investments</t>
  </si>
  <si>
    <t>56
STATEMENT OF 
FINANCIAL POSITION 
As at 30 June 2024
  2024 2023
 Note Rupees Rupees
   Restated
EQUITY AND LIABILITIES
Authorized share capital 4 | Long-term investments</t>
  </si>
  <si>
    <t>66
STATEMENT OF 
FINANCIAL POSITION 
As at June 30, 2025
  2025 2024
 Note Rupees Rupees
EQUITY AND LIABILITIES 
Authorized share capital 4  3,000,00 | Long-term investments</t>
  </si>
  <si>
    <t>ssets 
Property, plant and equipment 15  22,051,984,013   22,777,666,271 
Intangibles 16  6,725,911   11,210,982 
Long term deposits 17  43,326,640   38,326,640 
Investment property 18  4,136,086,159   3,691,839,635 
     26,238,122,723   26,519,043,528 
Current assets 
Stores, spares and loose tools 19  3,070,769,101   2,250,156,437 
S</t>
  </si>
  <si>
    <t>Aggregated audited components</t>
  </si>
  <si>
    <t>Source-labelled component sum; statement controls and signed-unit conversion independently recomputed.</t>
  </si>
  <si>
    <t>2022 2021
 Note Rupees Rupees
ASSETS 
Non current assets 
Property, plant and equipment 15  21,331,296,362   22,027,544,913 
Intangibles 16  2,701,357   6,725,911 
Long term loa | Components: Long term deposits; Long term loans and advances</t>
  </si>
  <si>
    <t>Annual Report 2023
Shaping the
Future
51
  2023 2022
 Note Rupees Rupees
ASSETS 
Non current assets 
Property, plant and equipment 15  22,229,434,463   21,331,296,362 
Intangibles | Components: Long term deposits; Long term loans and advances</t>
  </si>
  <si>
    <t>57
Reaching New 
HEIGHTS Annual Report 2024
  2024 2023
 Note Rupees Rupees
   Restated
ASSETS
Non current assets 
Property, plant and equipment 14  22,157,690,533   22,229,434,46 | Components: Long term deposits; Long term loans and advances</t>
  </si>
  <si>
    <t>67
  2025 2024
 Note Rupees Rupees
ASSETS 
Non current assets 
Property, plant and equipment 13  23,359,980,509   22,156,640,533 
Intangibles 14  259,742   508,226 
Long term loan | Components: Long term deposits; Long term loans and advances</t>
  </si>
  <si>
    <t>roperty 18  4,136,086,159   3,691,839,635 
     26,238,122,723   26,519,043,528 
Current assets 
Stores, spares and loose tools 19  3,070,769,101   2,250,156,437 
Stock-in-trade 20  1,112,776,266   1,016,024,223 
Trade debts - unsecured, considered good 21  983,568,223   494,315,206 
Short term investments 22  2,999,496,423   160,130,600</t>
  </si>
  <si>
    <t>property 19  4,134,255,209   4,134,086,159 
     25,574,836,397   26,238,122,723 
Current assets 
Stores, spares and loose tools 20  4,214,829,636   3,070,769,101 
Stock-in-trade 21  1,456,156,782   1,112,776,266 
Trade debts - unsecured, considered good 22  916,039,469   983,568,223 
Short term investments 23  10,124,095,693   2,999,496,42</t>
  </si>
  <si>
    <t>property 19  4,324,910,743   4,134,255,209 
     26,616,698,896   25,574,836,397
Current assets 
Stores, spares and loose tools 20  4,713,129,764   4,214,829,636 
Stock-in-trade 21  2,942,861,554   1,456,156,782 
Trade debts - unsecured, considered good 22  1,205,553,375   916,039,469 
Short term investments 23  12,335,073,816   10,124,095</t>
  </si>
  <si>
    <t>ment property 18 4,326,361,559  4,324,910,743 
    26,549,087,352  26,616,698,896 
Current assets 
Stores, spares and loose tools 19  5,785,683,486   4,713,129,764 
Stock-in-trade 20 1,793,742,440  2,942,861,554 
Trade debts - unsecured, considered good 21  2,110,247,902   1,205,553,375 
Short term investments 22  20,279,745,954   12,335,073</t>
  </si>
  <si>
    <t>property 17  4,326,361,559   4,326,361,559 
     28,179,519,274   26,630,898,424 
Current assets 
Stores, spares and loose tools 18  4,991,311,475   5,785,683,486 
Stock-in-trade 19  2,513,556,552   1,793,742,440 
Trade debts - unsecured, considered good 20  1,692,217,832   2,110,247,902 
Short term investments 21  26,941,632,205   20,279,7</t>
  </si>
  <si>
    <t>,136 
Investment property 17  4,326,361,559   4,326,361,559 
     28,179,519,274   26,630,898,424 
Current assets 
Stores, spares and loose tools 18  4,991,311,475   5,785,683,486 
Stock-in-trade 19  2,513,556,552   1,793,742,440 
Trade debts - unsecured, considered good 20  1,692,217,832   2,110,247,902 
Short term investments 21  26,941,63</t>
  </si>
  <si>
    <t>,238,122,723   26,519,043,528 
Current assets 
Stores, spares and loose tools 19  3,070,769,101   2,250,156,437 
Stock-in-trade 20  1,112,776,266   1,016,024,223 
Trade debts - unsecured, considered good 21  983,568,223   494,315,206 
Short term investments 22  2,999,496,423   160,130,600 
Advances, deposits, prepayments and other receivab</t>
  </si>
  <si>
    <t>25,574,836,397   26,238,122,723 
Current assets 
Stores, spares and loose tools 20  4,214,829,636   3,070,769,101 
Stock-in-trade 21  1,456,156,782   1,112,776,266 
Trade debts - unsecured, considered good 22  916,039,469   983,568,223 
Short term investments 23  10,124,095,693   2,999,496,423 
Advances, deposits, prepayments and other recei</t>
  </si>
  <si>
    <t>6,616,698,896   25,574,836,397
Current assets 
Stores, spares and loose tools 20  4,713,129,764   4,214,829,636 
Stock-in-trade 21  2,942,861,554   1,456,156,782 
Trade debts - unsecured, considered good 22  1,205,553,375   916,039,469 
Short term investments 23  12,335,073,816   10,124,095,693 
Loans, Advances, deposits, prepayments and o</t>
  </si>
  <si>
    <t>26,549,087,352  26,616,698,896 
Current assets 
Stores, spares and loose tools 19  5,785,683,486   4,713,129,764 
Stock-in-trade 20 1,793,742,440  2,942,861,554 
Trade debts - unsecured, considered good 21  2,110,247,902   1,205,553,375 
Short term investments 22  20,279,745,954   12,335,073,816 
Loans, Advances, deposits, prepayments and</t>
  </si>
  <si>
    <t>28,179,519,274   26,630,898,424 
Current assets 
Stores, spares and loose tools 18  4,991,311,475   5,785,683,486 
Stock-in-trade 19  2,513,556,552   1,793,742,440 
Trade debts - unsecured, considered good 20  1,692,217,832   2,110,247,902 
Short term investments 21  26,941,632,205   20,279,745,954 
Loans, advances, deposits, prepayments and</t>
  </si>
  <si>
    <t>6,361,559 
     28,179,519,274   26,630,898,424 
Current assets 
Stores, spares and loose tools 18  4,991,311,475   5,785,683,486 
Stock-in-trade 19  2,513,556,552   1,793,742,440 
Trade debts - unsecured, considered good 20  1,692,217,832   2,110,247,902 
Short term investments 21  26,941,632,205   20,279,745,954 
Loans, advances, deposits,</t>
  </si>
  <si>
    <t>tools 19  3,070,769,101   2,250,156,437 
Stock-in-trade 20  1,112,776,266   1,016,024,223 
Trade debts - unsecured, considered good 21  983,568,223   494,315,206 
Short term investments 22  2,999,496,423   160,130,600 
Advances, deposits, prepayments and other receivables 23  484,459,350   425,391,226 
Cash and bank balances 24  1,197,729,</t>
  </si>
  <si>
    <t>tools 20  4,214,829,636   3,070,769,101 
Stock-in-trade 21  1,456,156,782   1,112,776,266 
Trade debts - unsecured, considered good 22  916,039,469   983,568,223 
Short term investments 23  10,124,095,693   2,999,496,423 
Advances, deposits, prepayments and other receivables 24  583,944,235   484,459,350 
Cash and bank balances 25  480,765</t>
  </si>
  <si>
    <t>ols 20  4,713,129,764   4,214,829,636 
Stock-in-trade 21  2,942,861,554   1,456,156,782 
Trade debts - unsecured, considered good 22  1,205,553,375   916,039,469 
Short term investments 23  12,335,073,816   10,124,095,693 
Loans, Advances, deposits, prepayments and other receivables 24  783,220,947   583,944,235 
Cash and bank balances 25</t>
  </si>
  <si>
    <t>tools 19  5,785,683,486   4,713,129,764 
Stock-in-trade 20 1,793,742,440  2,942,861,554 
Trade debts - unsecured, considered good 21  2,110,247,902   1,205,553,375 
Short term investments 22  20,279,745,954   12,335,073,816 
Loans, Advances, deposits, prepayments and other receivables 23  1,222,138,891   783,220,947 
Cash and bank balances 2</t>
  </si>
  <si>
    <t>ols 18  4,991,311,475   5,785,683,486 
Stock-in-trade 19  2,513,556,552   1,793,742,440 
Trade debts - unsecured, considered good 20  1,692,217,832   2,110,247,902 
Short term investments 21  26,941,632,205   20,279,745,954 
Loans, advances, deposits, prepayments and other receivables 22  1,025,371,707   1,140,327,819 
Cash and bank balances</t>
  </si>
  <si>
    <t>res and loose tools 18  4,991,311,475   5,785,683,486 
Stock-in-trade 19  2,513,556,552   1,793,742,440 
Trade debts - unsecured, considered good 20  1,692,217,832   2,110,247,902 
Short term investments 21  26,941,632,205   20,279,745,954 
Loans, advances, deposits, prepayments and other receivables 22  1,025,371,707   1,140,327,819 
Cash a</t>
  </si>
  <si>
    <t>20  1,112,776,266   1,016,024,223 
Trade debts - unsecured, considered good 21  983,568,223   494,315,206 
Short term investments 22  2,999,496,423   160,130,600 
Advances, deposits, prepayments and other receivables 23  484,459,350   425,391,226 
Cash and bank balances 24  1,197,729,351   891,606,087 
     9,848,798,714   5,237,623,778</t>
  </si>
  <si>
    <t>1  1,456,156,782   1,112,776,266 
Trade debts - unsecured, considered good 22  916,039,469   983,568,223 
Short term investments 23  10,124,095,693   2,999,496,423 
Advances, deposits, prepayments and other receivables 24  583,944,235   484,459,350 
Cash and bank balances 25  480,765,632   1,197,729,351 
     17,775,831,447   9,848,798,714</t>
  </si>
  <si>
    <t>2,942,861,554   1,456,156,782 
Trade debts - unsecured, considered good 22  1,205,553,375   916,039,469 
Short term investments 23  12,335,073,816   10,124,095,693 
Loans, Advances, deposits, prepayments and other receivables 24  783,220,947   583,944,235 
Cash and bank balances 25  933,537,193   480,765,632 
     22,913,376,649   17,775,831</t>
  </si>
  <si>
    <t>1,793,742,440  2,942,861,554 
Trade debts - unsecured, considered good 21  2,110,247,902   1,205,553,375 
Short term investments 22  20,279,745,954   12,335,073,816 
Loans, Advances, deposits, prepayments and other receivables 23  1,222,138,891   783,220,947 
Cash and bank balances 24  1,102,649,172   933,537,193 
    32,294,207,845  22,913,3</t>
  </si>
  <si>
    <t>,513,556,552   1,793,742,440 
Trade debts - unsecured, considered good 20  1,692,217,832   2,110,247,902 
Short term investments 21  26,941,632,205   20,279,745,954 
Loans, advances, deposits, prepayments and other receivables 22  1,025,371,707   1,140,327,819 
Cash and bank balances 23  1,450,702,723   1,102,649,172 
     38,614,792,494   32</t>
  </si>
  <si>
    <t>ck-in-trade 19  2,513,556,552   1,793,742,440 
Trade debts - unsecured, considered good 20  1,692,217,832   2,110,247,902 
Short term investments 21  26,941,632,205   20,279,745,954 
Loans, advances, deposits, prepayments and other receivables 22  1,025,371,707   1,140,327,819 
Cash and bank balances 23  1,450,702,723   1,102,649,172 
     38</t>
  </si>
  <si>
    <t>96,423   160,130,600 
Advances, deposits, prepayments and other receivables 23  484,459,350   425,391,226 
Cash and bank balances 24  1,197,729,351   891,606,087 
     9,848,798,714   5,237,623,778 
     36,086,921,437   31,756,667,306 
Chief Financial Officer     Director
Building a Foundation for
and
INNOV ATION
GROWTH</t>
  </si>
  <si>
    <t>95,693   2,999,496,423 
Advances, deposits, prepayments and other receivables 24  583,944,235   484,459,350 
Cash and bank balances 25  480,765,632   1,197,729,351 
     17,775,831,447   9,848,798,714 
     43,350,667,844   36,086,921,437 
Chief Financial Officer     Director
51
Annual</t>
  </si>
  <si>
    <t>10,124,095,693 
Loans, Advances, deposits, prepayments and other receivables 24  783,220,947   583,944,235 
Cash and bank balances 25  933,537,193   480,765,632 
     22,913,376,649   17,775,831,447
     49,530,075,545   43,350,667,844 
Chief Executive Officer     Director</t>
  </si>
  <si>
    <t>335,073,816 
Loans, Advances, deposits, prepayments and other receivables 23  1,222,138,891   783,220,947 
Cash and bank balances 24  1,102,649,172   933,537,193 
    32,294,207,845  22,913,376,649 
    58,843,295,197  49,530,075,545 
Chief Executive Officer     Director</t>
  </si>
  <si>
    <t>9,745,954 
Loans, advances, deposits, prepayments and other receivables 22  1,025,371,707   1,140,327,819 
Cash and bank balances 23  1,450,702,723   1,102,649,172 
     38,614,792,494   32,212,396,773 
     66,794,311,768   58,843,295,197
Chief Executive Officer     Director
Annual Report 2025</t>
  </si>
  <si>
    <t>,632,205   20,279,745,954 
Loans, advances, deposits, prepayments and other receivables 22  1,025,371,707   1,140,327,819 
Cash and bank balances 23  1,450,702,723   1,102,649,172 
     38,614,792,494   32,212,396,773 
     66,794,311,768   58,843,295,197
Chief Executive Officer     Director
An</t>
  </si>
  <si>
    <t>68,223   494,315,206 
Short term investments 22  2,999,496,423   160,130,600 
Advances, deposits, prepayments and other receivables 23  484,459,350   425,391,226 
Cash and bank balances 24  1,197,729,351   891,606,087 
     9,848,798,714   5,237,623,778 
     36,086,921,437   31,756,667,306 
Chief Financial Officer     Di</t>
  </si>
  <si>
    <t>469   983,568,223 
Short term investments 23  10,124,095,693   2,999,496,423 
Advances, deposits, prepayments and other receivables 24  583,944,235   484,459,350 
Cash and bank balances 25  480,765,632   1,197,729,351 
     17,775,831,447   9,848,798,714 
     43,350,667,844   36,086,</t>
  </si>
  <si>
    <t>6,039,469 
Short term investments 23  12,335,073,816   10,124,095,693 
Loans, Advances, deposits, prepayments and other receivables 24  783,220,947   583,944,235 
Cash and bank balances 25  933,537,193   480,765,632 
     22,913,376,649   17,775,831,447
     49,530,075,545   43,350,667,844 
Chief E</t>
  </si>
  <si>
    <t>553,375 
Short term investments 22  20,279,745,954   12,335,073,816 
Loans, Advances, deposits, prepayments and other receivables 23  1,222,138,891   783,220,947 
Cash and bank balances 24  1,102,649,172   933,537,193 
    32,294,207,845  22,913,376,649 
    58,843,295,197  49,530,075,545 
Ch</t>
  </si>
  <si>
    <t>247,902 
Short term investments 21  26,941,632,205   20,279,745,954 
Loans, advances, deposits, prepayments and other receivables 22  1,025,371,707   1,140,327,819 
Cash and bank balances 23  1,450,702,723   1,102,649,172 
     38,614,792,494   32,212,396,773 
     66,794,311,768   58,843,295,1</t>
  </si>
  <si>
    <t>217,832   2,110,247,902 
Short term investments 21  26,941,632,205   20,279,745,954 
Loans, advances, deposits, prepayments and other receivables 22  1,025,371,707   1,140,327,819 
Cash and bank balances 23  1,450,702,723   1,102,649,172 
     38,614,792,494   32,212,396,773 
     66,794,311,76</t>
  </si>
  <si>
    <t>20
 Note Rupees Rupees
EQUITY AND LIABILITIES
Authorized share capital 4  3,000,000,000   3,000,000,000 
Issued, subscribed and paid-up capital 4  2,008,612,970   2,008,612,970 
Reserves 5  119,105,065   119,746,265 
Accumulated profits   20,095,821,336   16,598,314,089 
     22,223,539,371   18,726,673,324 
Non-current liabilities   
Lon</t>
  </si>
  <si>
    <t>21
 Note Rupees Rupees
EQUITY AND LIABILITIES 
Authorized share capital 4  3,000,000,000   3,000,000,000 
Issued, subscribed and paid-up capital 4  2,008,612,970   2,008,612,970 
Reserves 5  117,505,665   119,105,065 
Accumulated profits   25,120,101,596   20,095,821,336 
     27,246,220,231   22,223,539,371 
Non-current liabilities  
Long</t>
  </si>
  <si>
    <t>22
 Note Rupees Rupees
EQUITY AND LIABILITIES 
Authorized share capital 4  3,000,000,000   3,000,000,000 
Issued, subscribed and paid-up capital 4  2,008,612,970   2,008,612,970 
Reserves 5  117,280,665   117,505,665 
Accumulated profits   30,484,151,337   25,120,101,596 
     32,610,044,972   27,246,220,231 
Non-current liabilities  
Long</t>
  </si>
  <si>
    <t>estated
EQUITY AND LIABILITIES
Authorized share capital 4  3,000,000,000   3,000,000,000 
Issued, subscribed and paid–up capital 4  1,958,612,970   2,008,612,970 
Reserves 5  117,044,951     117,280,665 
Accumulated profits   39,014,647,370     30,484,151,337 
     41,090,305,291     32,610,044,972 
Non–current liabilities  
Long term fina</t>
  </si>
  <si>
    <t>s Rupees
EQUITY AND LIABILITIES 
Authorized share capital 4  3,000,000,000   3,000,000,000 
Issued, subscribed and paid-up capital 4  1,838,612,970   1,958,612,970 
Reserves 5  286,145,601   167,044,951 
Accumulated profits   45,830,436,216   38,964,647,370 
     47,955,194,787   41,090,305,291 
Non-current liabilities 
Long term financing -</t>
  </si>
  <si>
    <t>2024
 Note Rupees Rupees
EQUITY AND LIABILITIES 
Authorized share capital 4  3,000,000,000   3,000,000,000 
Issued, subscribed and paid-up capital 4  1,838,612,970   1,958,612,970 
Reserves 5  286,145,601   167,044,951 
Accumulated profits   45,830,436,216   38,964,647,370 
     47,955,194,787   41,090,305,291 
Non-current liabilities 
Long</t>
  </si>
  <si>
    <t>STATEMENT OF 
FINANCIAL POSITION 
As at 30 June 2021
   (Restated)
  2021 2020
 Note Rupees Rupees
EQUITY AND LIABILITIES
Authorized share capital 4  3,000,000,000   3,000,000,000 | Components: Accumulated profits; Reserves</t>
  </si>
  <si>
    <t>STATEMENT OF 
FINANCIAL POSITION 
As at 30 June 2022
  2022 2021
 Note Rupees Rupees
EQUITY AND LIABILITIES 
Authorized share capital 4  3,000,000,000   3,000,000,000 
Issued, s | Components: Accumulated profits; Reserves</t>
  </si>
  <si>
    <t>50
STATEMENT OF 
FINANCIAL POSITION 
As at 30 June 2023
  2023 2022
 Note Rupees Rupees
EQUITY AND LIABILITIES 
Authorized share capital 4  3,000,000,000   3,000,000,000 
Issued | Components: Accumulated profits; Reserves</t>
  </si>
  <si>
    <t>56
STATEMENT OF 
FINANCIAL POSITION 
As at 30 June 2024
  2024 2023
 Note Rupees Rupees
   Restated
EQUITY AND LIABILITIES
Authorized share capital 4  3,000,000,000   3,000,000,00 | Components: Accumulated profits; Reserves</t>
  </si>
  <si>
    <t>66
STATEMENT OF 
FINANCIAL POSITION 
As at June 30, 2025
  2025 2024
 Note Rupees Rupees
EQUITY AND LIABILITIES 
Authorized share capital 4  3,000,000,000   3,000,000,000 
Issued, | Components: Accumulated profits; Reserves</t>
  </si>
  <si>
    <t>20,095,821,336   16,598,314,089 
     22,223,539,371   18,726,673,324 
Non-current liabilities   
Long term financing - secured 6  4,405,765,306   5,439,226,142 
Deferred grant 6.8  1,328,937  –  
Long term deposits  7  2,036,100   2,036,100 
Deferred liabilities  
 - deferred taxation 8.1  1,857,649,347   1,287,942,113 
 - compensated ab</t>
  </si>
  <si>
    <t>s   25,120,101,596   20,095,821,336 
     27,246,220,231   22,223,539,371 
Non-current liabilities  
Long term financing - secured 6  3,179,400,118   4,405,765,306 
Deferred grant 6.8 –    1,328,937 
Long term deposits  7  2,036,100   2,036,100 
Deferred liabilities 
 - deferred taxation 8.1  3,407,373,618   1,857,649,347 
 - compensated abs</t>
  </si>
  <si>
    <t>s   30,484,151,337   25,120,101,596 
     32,610,044,972   27,246,220,231 
Non-current liabilities  
Long term financing - secured 6  2,149,017,375   3,179,400,118 
Long term deposits  7  3,536,100   2,036,100 
Deferred liabilities 
 - deferred taxation 8.1  4,823,158,446   3,407,373,618 
 - compensated absences 8.2  31,847,241   27,647,098</t>
  </si>
  <si>
    <t>39,014,647,370     30,484,151,337 
     41,090,305,291     32,610,044,972 
Non–current liabilities  
Long term financing – secured 6  1,118,642,478   2,149,017,375 
Long term deposits  7  3,536,100   3,536,100 
Deferred liabilities 
 – deferred taxation 8.1  5,505,823,994   4,823,158,446 
 – compensated absences 8.2  29,351,103   31,847,241</t>
  </si>
  <si>
    <t>ts   45,830,436,216   38,964,647,370 
     47,955,194,787   41,090,305,291 
Non-current liabilities 
Long term financing - secured 6  1,448,977,799   1,118,642,478 
Long term deposits  7  3,536,100   3,536,100 
Deferred liabilities 
- deferred taxation 8.1  5,688,116,040   5,505,823,994 
- compensated absences 8.2  36,785,931   29,351,103</t>
  </si>
  <si>
    <t>ccumulated profits   45,830,436,216   38,964,647,370 
     47,955,194,787   41,090,305,291 
Non-current liabilities 
Long term financing - secured 6  1,448,977,799   1,118,642,478 
Long term deposits  7  3,536,100   3,536,100 
Deferred liabilities 
- deferred taxation 8.1  5,688,116,040   5,505,823,994 
- compensated absences 8.2  36,785,931</t>
  </si>
  <si>
    <t>STATEMENT OF 
FINANCIAL POSITION 
As at 30 June 2021
   (Restated)
  2021 2020
 Note Rupees Rupees
EQUITY AND LIABILITIES
Authorized share capital 4  | Lease liabilities (non-current)</t>
  </si>
  <si>
    <t>STATEMENT OF 
FINANCIAL POSITION 
As at 30 June 2022
  2022 2021
 Note Rupees Rupees
EQUITY AND LIABILITIES 
Authorized share capital 4  3,000,000,00 | Lease liabilities (non-current)</t>
  </si>
  <si>
    <t>50
STATEMENT OF 
FINANCIAL POSITION 
As at 30 June 2023
  2023 2022
 Note Rupees Rupees
EQUITY AND LIABILITIES 
Authorized share capital 4  3,000,000 | Lease liabilities (non-current)</t>
  </si>
  <si>
    <t>56
STATEMENT OF 
FINANCIAL POSITION 
As at 30 June 2024
  2024 2023
 Note Rupees Rupees
   Restated
EQUITY AND LIABILITIES
Authorized share capital 4 | Lease liabilities (non-current)</t>
  </si>
  <si>
    <t>66
STATEMENT OF 
FINANCIAL POSITION 
As at June 30, 2025
  2025 2024
 Note Rupees Rupees
EQUITY AND LIABILITIES 
Authorized share capital 4  3,000,00 | Lease liabilities (non-current)</t>
  </si>
  <si>
    <t>STATEMENT OF 
FINANCIAL POSITION 
As at 30 June 2021
   (Restated)
  2021 2020
 Note Rupees Rupees
EQUITY AND LIABILITIES
Authorized share capital 4  | Deferred grant</t>
  </si>
  <si>
    <t>27,246,220,231   22,223,539,371 
Non-current liabilities  
Long term financing - secured 6  3,179,400,118   4,405,765,306 
Deferred grant 6.8 –    1,328,937 
Long term deposits  7  2,036,100   2,036,100 
Deferred liabilities 
 - deferred taxation 8.1  3,407,373,618   1,857,649,347 
 - compensated absences 8.2  27,647,098   24,358,436</t>
  </si>
  <si>
    <t>50
STATEMENT OF 
FINANCIAL POSITION 
As at 30 June 2023
  2023 2022
 Note Rupees Rupees
EQUITY AND LIABILITIES 
Authorized share capital 4  3,000,000 | Deferred government grant (non-current)</t>
  </si>
  <si>
    <t>56
STATEMENT OF 
FINANCIAL POSITION 
As at 30 June 2024
  2024 2023
 Note Rupees Rupees
   Restated
EQUITY AND LIABILITIES
Authorized share capital 4 | Deferred government grant (non-current)</t>
  </si>
  <si>
    <t>66
STATEMENT OF 
FINANCIAL POSITION 
As at June 30, 2025
  2025 2024
 Note Rupees Rupees
EQUITY AND LIABILITIES 
Authorized share capital 4  3,000,00 | Deferred government grant (non-current)</t>
  </si>
  <si>
    <t>42 
Deferred grant 6.8  1,328,937  –  
Long term deposits  7  2,036,100   2,036,100 
Deferred liabilities  
 - deferred taxation 8.1  1,857,649,347   1,287,942,113 
 - compensated absences 8.2  24,358,436   21,241,356 
     6,291,138,126   6,750,445,711 
Current liabilities   
Current portion of long term financing 6  1,147,020,843   248,496</t>
  </si>
  <si>
    <t>306 
Deferred grant 6.8 –    1,328,937 
Long term deposits  7  2,036,100   2,036,100 
Deferred liabilities 
 - deferred taxation 8.1  3,407,373,618   1,857,649,347 
 - compensated absences 8.2  27,647,098   24,358,436 
     6,616,456,934   6,291,138,126 
Current liabilities  
Current portion of long term financing 6  1,071,912,356   1,147,02</t>
  </si>
  <si>
    <t>cured 6  2,149,017,375   3,179,400,118 
Long term deposits  7  3,536,100   2,036,100 
Deferred liabilities 
 - deferred taxation 8.1  4,823,158,446   3,407,373,618 
 - compensated absences 8.2  31,847,241   27,647,098 
     7,007,559,162   6,616,456,934 
Current liabilities  
Current portion of long term financing 6  1,034,355,873   1,071,91</t>
  </si>
  <si>
    <t>cured 6  1,118,642,478   2,149,017,375 
Long term deposits  7  3,536,100   3,536,100 
Deferred liabilities 
 – deferred taxation 8.1  5,505,823,994   4,823,158,446 
 – compensated absences 8.2  29,351,103   31,847,241 
     6,657,353,675   7,007,559,162 
Current liabilities  
Current portion of long term financing 6  1,034,355,873   1,034,35</t>
  </si>
  <si>
    <t>ecured 6  1,448,977,799   1,118,642,478 
Long term deposits  7  3,536,100   3,536,100 
Deferred liabilities 
- deferred taxation 8.1  5,688,116,040   5,505,823,994 
- compensated absences 8.2  36,785,931   29,351,103 
     7,177,415,870   6,657,353,675 
Current liabilities 
Current portion of long term financing 6  837,359,258   1,169,295,64</t>
  </si>
  <si>
    <t>rm financing - secured 6  1,448,977,799   1,118,642,478 
Long term deposits  7  3,536,100   3,536,100 
Deferred liabilities 
- deferred taxation 8.1  5,688,116,040   5,505,823,994 
- compensated absences 8.2  36,785,931   29,351,103 
     7,177,415,870   6,657,353,675 
Current liabilities 
Current portion of long term financing 6  837,359,25</t>
  </si>
  <si>
    <t>STATEMENT OF 
FINANCIAL POSITION 
As at 30 June 2021
   (Restated)
  2021 2020
 Note Rupees Rupees
EQUITY AND LIABILITIES
Authorized share capital 4  3,000,000,000   3,000,000,000 | Components: - compensated absences; Long term deposits</t>
  </si>
  <si>
    <t>STATEMENT OF 
FINANCIAL POSITION 
As at 30 June 2022
  2022 2021
 Note Rupees Rupees
EQUITY AND LIABILITIES 
Authorized share capital 4  3,000,000,000   3,000,000,000 
Issued, s | Components: - compensated absences; Long term deposits</t>
  </si>
  <si>
    <t>50
STATEMENT OF 
FINANCIAL POSITION 
As at 30 June 2023
  2023 2022
 Note Rupees Rupees
EQUITY AND LIABILITIES 
Authorized share capital 4  3,000,000,000   3,000,000,000 
Issued | Components: - compensated absences; Long term deposits</t>
  </si>
  <si>
    <t>56
STATEMENT OF 
FINANCIAL POSITION 
As at 30 June 2024
  2024 2023
 Note Rupees Rupees
   Restated
EQUITY AND LIABILITIES
Authorized share capital 4  3,000,000,000   3,000,000,00 | Components: - compensated absences; Long term deposits</t>
  </si>
  <si>
    <t>66
STATEMENT OF 
FINANCIAL POSITION 
As at June 30, 2025
  2025 2024
 Note Rupees Rupees
EQUITY AND LIABILITIES 
Authorized share capital 4  3,000,000,000   3,000,000,000 
Issued, | Components: - compensated absences; Long term deposits</t>
  </si>
  <si>
    <t>50,445,711 
Current liabilities   
Current portion of long term financing 6  1,147,020,843   248,496,322 
Trade and other payables 9  4,985,385,529   4,293,205,395 
Contract liability 10  137,091,500   126,582,689 
Unclaimed dividend   8,559,447   9,416,974 
Dividend payable 11  37,638,105   38,597,374 
Short term borrowings - secured 12  49</t>
  </si>
  <si>
    <t>1,138,126 
Current liabilities  
Current portion of long term financing 6  1,071,912,356   1,147,020,843 
Trade and other payables 9  5,525,221,208   4,985,385,529 
Contract liability 10  264,984,408   137,091,500 
Unclaimed dividend   8,535,357   8,559,447 
Dividend payable 11  37,112,692   37,638,105 
Short term borrowings - secured 12 –</t>
  </si>
  <si>
    <t>6,456,934 
Current liabilities  
Current portion of long term financing 6  1,034,355,873   1,071,912,356 
Trade and other payables 9  5,171,144,705   5,525,221,208 
Contract liability 10  253,135,945   264,984,408 
Unclaimed dividend   8,535,358   8,535,357 
Dividend payable 11  36,939,862   37,112,692 
Provision for taxation - net   3,215,6</t>
  </si>
  <si>
    <t>7,559,162 
Current liabilities  
Current portion of long term financing 6  1,034,355,873   1,034,355,873 
Trade and other payables 9  6,223,153,321   5,307,075,353 
Contract liability   113,418,606   253,135,945 
Unclaimed dividend   8,503,909   8,535,358 
Dividend payable 10  36,835,022   36,939,862 
Provision for taxation – net  3,544,368,</t>
  </si>
  <si>
    <t>,657,353,675 
Current liabilities 
Current portion of long term financing 6  837,359,258   1,169,295,643 
Trade and other payables 9  7,710,012,398   6,223,153,321 
Contract liability 24.1.3  144,300,907   113,418,606 
Unclaimed dividend   8,503,909   8,503,909 
Dividend payable 10  33,677,348   36,835,022 
Provision for taxation - net   2,9</t>
  </si>
  <si>
    <t>,177,415,870   6,657,353,675 
Current liabilities 
Current portion of long term financing 6  837,359,258   1,169,295,643 
Trade and other payables 9  7,710,012,398   6,223,153,321 
Contract liability 24.1.3  144,300,907   113,418,606 
Unclaimed dividend   8,503,909   8,503,909 
Dividend payable 10  33,677,348   36,835,022 
Provision for taxa</t>
  </si>
  <si>
    <t>Sum of local supplier and import supplier bills; contractor and retention balances excluded from standardized supplier balance.</t>
  </si>
  <si>
    <t>Trade creditors - local   927,496,291   724,716,328 | Trade creditors - imports   627,661,254   366,584,643</t>
  </si>
  <si>
    <t>Trade creditors - local 9.1  1,270,981,043   927,496,291 | Trade creditors - imports   10,578,754   627,661,254</t>
  </si>
  <si>
    <t>Trade creditors - local 9.1  647,949,685   1,270,981,043 | Trade creditors - imports   26,724,599   10,578,754</t>
  </si>
  <si>
    <t>Trade creditors - local 9.1  847,755,790   647,949,685 | Trade creditors - imports   933,691,081   26,724,599</t>
  </si>
  <si>
    <t>Trade creditors - local 9.1  1,002,955,575   847,755,790 | Imports bills payable   1,104,180,400   933,691,081</t>
  </si>
  <si>
    <t>f long term financing 6  1,147,020,843   248,496,322 
Trade and other payables 9  4,985,385,529   4,293,205,395 
Contract liability 10  137,091,500   126,582,689 
Unclaimed dividend   8,559,447   9,416,974 
Dividend payable 11  37,638,105   38,597,374 
Short term borrowings - secured 12  498,000,000   1,301,609,100 
Provision for taxation</t>
  </si>
  <si>
    <t>long term financing 6  1,071,912,356   1,147,020,843 
Trade and other payables 9  5,525,221,208   4,985,385,529 
Contract liability 10  264,984,408   137,091,500 
Unclaimed dividend   8,535,357   8,559,447 
Dividend payable 11  37,112,692   37,638,105 
Short term borrowings - secured 12 –     498,000,000 
Provision for taxation - net   2,4</t>
  </si>
  <si>
    <t>long term financing 6  1,034,355,873   1,071,912,356 
Trade and other payables 9  5,171,144,705   5,525,221,208 
Contract liability 10  253,135,945   264,984,408 
Unclaimed dividend   8,535,358   8,535,357 
Dividend payable 11  36,939,862   37,112,692 
Provision for taxation - net   3,215,684,878   2,438,052,665 
Mark-up accrued on borrowi</t>
  </si>
  <si>
    <t>f long term financing 6  1,034,355,873   1,034,355,873 
Trade and other payables 9  6,223,153,321   5,307,075,353 
Contract liability   113,418,606   253,135,945 
Unclaimed dividend   8,503,909   8,535,358 
Dividend payable 10  36,835,022   36,939,862 
Provision for taxation – net  3,544,368,477  3,079,754,230 
Mark–up accrued on borrowing</t>
  </si>
  <si>
    <t>ng term financing 6  837,359,258   1,169,295,643 
Trade and other payables 9  7,710,012,398   6,223,153,321 
Contract liability 24.1.3  144,300,907   113,418,606 
Unclaimed dividend   8,503,909   8,503,909 
Dividend payable 10  33,677,348   36,835,022 
Provision for taxation - net   2,924,142,407   3,544,368,477 
Short term borrowings - se</t>
  </si>
  <si>
    <t>portion of long term financing 6  837,359,258   1,169,295,643 
Trade and other payables 9  7,710,012,398   6,223,153,321 
Contract liability 24.1.3  144,300,907   113,418,606 
Unclaimed dividend   8,503,909   8,503,909 
Dividend payable 10  33,677,348   36,835,022 
Provision for taxation - net   2,924,142,407   3,544,368,477 
Short term b</t>
  </si>
  <si>
    <t>s - secured 12  498,000,000   1,301,609,100 
Provision for taxation - net   635,934,543   52,873,661 
Mark-up accrued on borrowings 13  122,613,973   208,766,756 
     7,572,243,940   6,279,548,271 
Contingencies and commitments  14 
     36,086,921,437   31,756,667,306
The annexed notes from 1 to 48 form an integral part of these financ</t>
  </si>
  <si>
    <t>orrowings - secured 12 –     498,000,000 
Provision for taxation - net   2,438,052,665   635,934,543 
Mark-up accrued on borrowings 13  142,171,993   122,613,973 
     9,487,990,679   7,572,243,940 
Contingencies and commitments  14 
     43,350,667,844   36,086,921,437 
The annexed notes from 1 to 49 form an integral part of these</t>
  </si>
  <si>
    <t>nd payable 11  36,939,862   37,112,692 
Provision for taxation - net   3,215,684,878   2,438,052,665 
Mark-up accrued on borrowings 13  192,674,790   142,171,993 
     9,912,471,411   9,487,990,679 
Contingencies and commitments  14
     49,530,075,545   43,350,667,844 
The annexed notes from 1 to 48 form an integral part of these</t>
  </si>
  <si>
    <t>dend payable 10  36,835,022   36,939,862 
Provision for taxation – net  3,544,368,477  3,079,754,230 
Mark–up accrued on borrowings 12  135,001,023   192,674,790 
    11,095,636,231  9,912,471,411 
Contingencies and commitments  13 
    58,843,295,197   49,530,075,545 
The annexed notes from 1 to 47 form an integral part of these</t>
  </si>
  <si>
    <t>66
STATEMENT OF 
FINANCIAL POSITION 
As at June 30, 2025
  2025 2024
 Note Rupees Rupees
EQUITY AND LIABILITIES 
Authorized share capital 4  3,000,00 | Accrued mark-up / interest</t>
  </si>
  <si>
    <t>,582,689 
Unclaimed dividend   8,559,447   9,416,974 
Dividend payable 11  37,638,105   38,597,374 
Short term borrowings - secured 12  498,000,000   1,301,609,100 
Provision for taxation - net   635,934,543   52,873,661 
Mark-up accrued on borrowings 13  122,613,973   208,766,756 
     7,572,243,940   6,279,548,271 
Contingencies and commit</t>
  </si>
  <si>
    <t>408   137,091,500 
Unclaimed dividend   8,535,357   8,559,447 
Dividend payable 11  37,112,692   37,638,105 
Short term borrowings - secured 12 –     498,000,000 
Provision for taxation - net   2,438,052,665   635,934,543 
Mark-up accrued on borrowings 13  142,171,993   122,613,973 
     9,487,990,679   7,572,243,940 
Contingencies and com</t>
  </si>
  <si>
    <t>50
STATEMENT OF 
FINANCIAL POSITION 
As at 30 June 2023
  2023 2022
 Note Rupees Rupees
EQUITY AND LIABILITIES 
Authorized share capital 4  3,000,000 | Short-term borrowings (incl. running finance; FCCL parent loan)</t>
  </si>
  <si>
    <t>56
STATEMENT OF 
FINANCIAL POSITION 
As at 30 June 2024
  2024 2023
 Note Rupees Rupees
   Restated
EQUITY AND LIABILITIES
Authorized share capital 4 | Short-term borrowings (incl. running finance; FCCL parent loan)</t>
  </si>
  <si>
    <t>nd payable 10  33,677,348   36,835,022 
Provision for taxation - net   2,924,142,407   3,544,368,477 
Short term borrowings - secured 11  3,704,884   61,253 
     11,661,701,111   11,095,636,231
Contingencies and commitments  12
     66,794,311,768   58,843,295,197 
The annexed notes from 1 to 47 form an integral part of thes</t>
  </si>
  <si>
    <t>,909 
Dividend payable 10  33,677,348   36,835,022 
Provision for taxation - net   2,924,142,407   3,544,368,477 
Short term borrowings - secured 11  3,704,884   61,253 
     11,661,701,111   11,095,636,231
Contingencies and commitments  12
     66,794,311,768   58,843,295,197 
The annexed notes from 1 to 47 form an integral par</t>
  </si>
  <si>
    <t>es 8.2  24,358,436   21,241,356 
     6,291,138,126   6,750,445,711 
Current liabilities   
Current portion of long term financing 6  1,147,020,843   248,496,322 
Trade and other payables 9  4,985,385,529   4,293,205,395 
Contract liability 10  137,091,500   126,582,689 
Unclaimed dividend   8,559,447   9,416,974 
Dividend payable 11  37,6</t>
  </si>
  <si>
    <t>ces 8.2  27,647,098   24,358,436 
     6,616,456,934   6,291,138,126 
Current liabilities  
Current portion of long term financing 6  1,071,912,356   1,147,020,843 
Trade and other payables 9  5,525,221,208   4,985,385,529 
Contract liability 10  264,984,408   137,091,500 
Unclaimed dividend   8,535,357   8,559,447 
Dividend payable 11  37,1</t>
  </si>
  <si>
    <t>ces 8.2  31,847,241   27,647,098 
     7,007,559,162   6,616,456,934 
Current liabilities  
Current portion of long term financing 6  1,034,355,873   1,071,912,356 
Trade and other payables 9  5,171,144,705   5,525,221,208 
Contract liability 10  253,135,945   264,984,408 
Unclaimed dividend   8,535,358   8,535,357 
Dividend payable 11  36,9</t>
  </si>
  <si>
    <t>ompensated absences 8.2  29,351,103   31,847,241 
     6,657,353,675   7,007,559,162 
Current liabilities  
Current portion of long term financing 6  1,034,355,873   1,034,355,873 
Trade and other payables 9  6,223,153,321   5,307,075,353 
Contract liability   113,418,606   253,135,945 
Unclaimed dividend   8,503,909   8,535,358 
Dividend pa</t>
  </si>
  <si>
    <t>sences 8.2  36,785,931   29,351,103 
     7,177,415,870   6,657,353,675 
Current liabilities 
Current portion of long term financing 6  837,359,258   1,169,295,643 
Trade and other payables 9  7,710,012,398   6,223,153,321 
Contract liability 24.1.3  144,300,907   113,418,606 
Unclaimed dividend   8,503,909   8,503,909 
Dividend payable 10</t>
  </si>
  <si>
    <t>compensated absences 8.2  36,785,931   29,351,103 
     7,177,415,870   6,657,353,675 
Current liabilities 
Current portion of long term financing 6  837,359,258   1,169,295,643 
Trade and other payables 9  7,710,012,398   6,223,153,321 
Contract liability 24.1.3  144,300,907   113,418,606 
Unclaimed dividend   8,503,909   8,503,909 
Divid</t>
  </si>
  <si>
    <t>STATEMENT OF 
FINANCIAL POSITION 
As at 30 June 2021
   (Restated)
  2021 2020
 Note Rupees Rupees
EQUITY AND LIABILITIES
Authorized share capital 4  | Current portion of lease liabilities</t>
  </si>
  <si>
    <t>STATEMENT OF 
FINANCIAL POSITION 
As at 30 June 2022
  2022 2021
 Note Rupees Rupees
EQUITY AND LIABILITIES 
Authorized share capital 4  3,000,000,00 | Current portion of lease liabilities</t>
  </si>
  <si>
    <t>50
STATEMENT OF 
FINANCIAL POSITION 
As at 30 June 2023
  2023 2022
 Note Rupees Rupees
EQUITY AND LIABILITIES 
Authorized share capital 4  3,000,000 | Current portion of lease liabilities</t>
  </si>
  <si>
    <t>56
STATEMENT OF 
FINANCIAL POSITION 
As at 30 June 2024
  2024 2023
 Note Rupees Rupees
   Restated
EQUITY AND LIABILITIES
Authorized share capital 4 | Current portion of lease liabilities</t>
  </si>
  <si>
    <t>66
STATEMENT OF 
FINANCIAL POSITION 
As at June 30, 2025
  2025 2024
 Note Rupees Rupees
EQUITY AND LIABILITIES 
Authorized share capital 4  3,000,00 | Current portion of lease liabilities</t>
  </si>
  <si>
    <t>STATEMENT OF 
FINANCIAL POSITION 
As at 30 June 2021
   (Restated)
  2021 2020
 Note Rupees Rupees
EQUITY AND LIABILITIES
Authorized share capital 4  | Current portion of deferred government grant</t>
  </si>
  <si>
    <t>STATEMENT OF 
FINANCIAL POSITION 
As at 30 June 2022
  2022 2021
 Note Rupees Rupees
EQUITY AND LIABILITIES 
Authorized share capital 4  3,000,000,00 | Current portion of deferred government grant</t>
  </si>
  <si>
    <t>50
STATEMENT OF 
FINANCIAL POSITION 
As at 30 June 2023
  2023 2022
 Note Rupees Rupees
EQUITY AND LIABILITIES 
Authorized share capital 4  3,000,000 | Current portion of deferred government grant</t>
  </si>
  <si>
    <t>56
STATEMENT OF 
FINANCIAL POSITION 
As at 30 June 2024
  2024 2023
 Note Rupees Rupees
   Restated
EQUITY AND LIABILITIES
Authorized share capital 4 | Current portion of deferred government grant</t>
  </si>
  <si>
    <t>66
STATEMENT OF 
FINANCIAL POSITION 
As at June 30, 2025
  2025 2024
 Note Rupees Rupees
EQUITY AND LIABILITIES 
Authorized share capital 4  3,000,00 | Current portion of deferred government grant</t>
  </si>
  <si>
    <t>STATEMENT OF 
FINANCIAL POSITION 
As at 30 June 2021
   (Restated)
  2021 2020
 Note Rupees Rupees
EQUITY AND LIABILITIES
Authorized share capital 4  3,000,000,000   3,000,000,000 | Components: Dividend payable; Unclaimed dividend</t>
  </si>
  <si>
    <t>STATEMENT OF 
FINANCIAL POSITION 
As at 30 June 2022
  2022 2021
 Note Rupees Rupees
EQUITY AND LIABILITIES 
Authorized share capital 4  3,000,000,000   3,000,000,000 
Issued, s | Components: Dividend payable; Unclaimed dividend</t>
  </si>
  <si>
    <t>50
STATEMENT OF 
FINANCIAL POSITION 
As at 30 June 2023
  2023 2022
 Note Rupees Rupees
EQUITY AND LIABILITIES 
Authorized share capital 4  3,000,000,000   3,000,000,000 
Issued | Components: Dividend payable; Unclaimed dividend</t>
  </si>
  <si>
    <t>56
STATEMENT OF 
FINANCIAL POSITION 
As at 30 June 2024
  2024 2023
 Note Rupees Rupees
   Restated
EQUITY AND LIABILITIES
Authorized share capital 4  3,000,000,000   3,000,000,00 | Components: Dividend payable; Unclaimed dividend</t>
  </si>
  <si>
    <t>66
STATEMENT OF 
FINANCIAL POSITION 
As at June 30, 2025
  2025 2024
 Note Rupees Rupees
EQUITY AND LIABILITIES 
Authorized share capital 4  3,000,000,000   3,000,000,000 
Issued, | Components: Dividend payable; Unclaimed dividend</t>
  </si>
  <si>
    <t>nd payable 11  37,638,105   38,597,374 
Short term borrowings - secured 12  498,000,000   1,301,609,100 
Provision for taxation - net   635,934,543   52,873,661 
Mark-up accrued on borrowings 13  122,613,973   208,766,756 
     7,572,243,940   6,279,548,271 
Contingencies and commitments  14 
     36,086,921,437   31,756,667,306
The ann</t>
  </si>
  <si>
    <t>7 
Dividend payable 11  37,112,692   37,638,105 
Short term borrowings - secured 12 –     498,000,000 
Provision for taxation - net   2,438,052,665   635,934,543 
Mark-up accrued on borrowings 13  142,171,993   122,613,973 
     9,487,990,679   7,572,243,940 
Contingencies and commitments  14 
     43,350,667,844   36,086,921,437 
T</t>
  </si>
  <si>
    <t>264,984,408 
Unclaimed dividend   8,535,358   8,535,357 
Dividend payable 11  36,939,862   37,112,692 
Provision for taxation - net   3,215,684,878   2,438,052,665 
Mark-up accrued on borrowings 13  192,674,790   142,171,993 
     9,912,471,411   9,487,990,679 
Contingencies and commitments  14
     49,530,075,545   43,350,667,844</t>
  </si>
  <si>
    <t>253,135,945 
Unclaimed dividend   8,503,909   8,535,358 
Dividend payable 10  36,835,022   36,939,862 
Provision for taxation – net  3,544,368,477  3,079,754,230 
Mark–up accrued on borrowings 12  135,001,023   192,674,790 
    11,095,636,231  9,912,471,411 
Contingencies and commitments  13 
    58,843,295,197   49,530,075,545 
T</t>
  </si>
  <si>
    <t>113,418,606 
Unclaimed dividend   8,503,909   8,503,909 
Dividend payable 10  33,677,348   36,835,022 
Provision for taxation - net   2,924,142,407   3,544,368,477 
Short term borrowings - secured 11  3,704,884   61,253 
     11,661,701,111   11,095,636,231
Contingencies and commitments  12
     66,794,311,768   58,843,295,197 
The</t>
  </si>
  <si>
    <t>144,300,907   113,418,606 
Unclaimed dividend   8,503,909   8,503,909 
Dividend payable 10  33,677,348   36,835,022 
Provision for taxation - net   2,924,142,407   3,544,368,477 
Short term borrowings - secured 11  3,704,884   61,253 
     11,661,701,111   11,095,636,231
Contingencies and commitments  12
     66,794,311,768   58,843,29</t>
  </si>
  <si>
    <t>STATEMENT OF 
FINANCIAL POSITION 
As at 30 June 2021
   (Restated)
  2021 2020
 Note Rupees Rupees
EQUITY AND LIABILITIES
Authorized share capital 4  | Other current liabilities</t>
  </si>
  <si>
    <t>STATEMENT OF 
FINANCIAL POSITION 
As at 30 June 2022
  2022 2021
 Note Rupees Rupees
EQUITY AND LIABILITIES 
Authorized share capital 4  3,000,000,00 | Other current liabilities</t>
  </si>
  <si>
    <t>50
STATEMENT OF 
FINANCIAL POSITION 
As at 30 June 2023
  2023 2022
 Note Rupees Rupees
EQUITY AND LIABILITIES 
Authorized share capital 4  3,000,000 | Other current liabilities</t>
  </si>
  <si>
    <t>56
STATEMENT OF 
FINANCIAL POSITION 
As at 30 June 2024
  2024 2023
 Note Rupees Rupees
   Restated
EQUITY AND LIABILITIES
Authorized share capital 4 | Other current liabilities</t>
  </si>
  <si>
    <t>66
STATEMENT OF 
FINANCIAL POSITION 
As at June 30, 2025
  2025 2024
 Note Rupees Rupees
EQUITY AND LIABILITIES 
Authorized share capital 4  3,000,00 | Other current liabilities</t>
  </si>
  <si>
    <t>50   425,391,226 
Cash and bank balances 24  1,197,729,351   891,606,087 
     9,848,798,714   5,237,623,778 
     36,086,921,437   31,756,667,306 
Chief Financial Officer     Director
Building a Foundation for
and
INNOV ATION
GROWTH Annual Report 2021
41</t>
  </si>
  <si>
    <t>s 25  480,765,632   1,197,729,351 
     17,775,831,447   9,848,798,714 
     43,350,667,844   36,086,921,437 
Chief Financial Officer     Director
51
Annual Report 2022
OUREXPANDING</t>
  </si>
  <si>
    <t>and bank balances 25  933,537,193   480,765,632 
     22,913,376,649   17,775,831,447
     49,530,075,545   43,350,667,844 
Chief Executive Officer     Director</t>
  </si>
  <si>
    <t>ank balances 24  1,102,649,172   933,537,193 
    32,294,207,845  22,913,376,649 
    58,843,295,197  49,530,075,545 
Chief Executive Officer     Director</t>
  </si>
  <si>
    <t>lances 23  1,450,702,723   1,102,649,172 
     38,614,792,494   32,212,396,773 
     66,794,311,768   58,843,295,197
Chief Executive Officer     Director
Annual Report 2025</t>
  </si>
  <si>
    <t>Cash and bank balances 23  1,450,702,723   1,102,649,172 
     38,614,792,494   32,212,396,773 
     66,794,311,768   58,843,295,197
Chief Executive Officer     Director
Annual Report 2025</t>
  </si>
  <si>
    <t>4  2,008,612,970   2,008,612,970 
Reserves 5  119,105,065   119,746,265 
Accumulated profits   20,095,821,336   16,598,314,089 
     22,223,539,371   18,726,673,324 
Non-current liabilities   
Long term financing - secured 6  4,405,765,306   5,439,226,142 
Deferred grant 6.8  1,328,937  –  
Long term deposits  7  2,036,100   2,036,100 
Deferr</t>
  </si>
  <si>
    <t>4  2,008,612,970   2,008,612,970 
Reserves 5  117,505,665   119,105,065 
Accumulated profits   25,120,101,596   20,095,821,336 
     27,246,220,231   22,223,539,371 
Non-current liabilities  
Long term financing - secured 6  3,179,400,118   4,405,765,306 
Deferred grant 6.8 –    1,328,937 
Long term deposits  7  2,036,100   2,036,100 
Deferre</t>
  </si>
  <si>
    <t>4  2,008,612,970   2,008,612,970 
Reserves 5  117,280,665   117,505,665 
Accumulated profits   30,484,151,337   25,120,101,596 
     32,610,044,972   27,246,220,231 
Non-current liabilities  
Long term financing - secured 6  2,149,017,375   3,179,400,118 
Long term deposits  7  3,536,100   2,036,100 
Deferred liabilities 
 - deferred taxation</t>
  </si>
  <si>
    <t>58,612,970   2,008,612,970 
Reserves 5  117,044,951     117,280,665 
Accumulated profits   39,014,647,370     30,484,151,337 
     41,090,305,291     32,610,044,972 
Non–current liabilities  
Long term financing – secured 6  1,118,642,478   2,149,017,375 
Long term deposits  7  3,536,100   3,536,100 
Deferred liabilities 
 – deferred taxation</t>
  </si>
  <si>
    <t>4  1,838,612,970   1,958,612,970 
Reserves 5  286,145,601   167,044,951 
Accumulated profits   45,830,436,216   38,964,647,370 
     47,955,194,787   41,090,305,291 
Non-current liabilities 
Long term financing - secured 6  1,448,977,799   1,118,642,478 
Long term deposits  7  3,536,100   3,536,100 
Deferred liabilities 
- deferred taxation 8</t>
  </si>
  <si>
    <t>paid-up capital 4  1,838,612,970   1,958,612,970 
Reserves 5  286,145,601   167,044,951 
Accumulated profits   45,830,436,216   38,964,647,370 
     47,955,194,787   41,090,305,291 
Non-current liabilities 
Long term financing - secured 6  1,448,977,799   1,118,642,478 
Long term deposits  7  3,536,100   3,536,100 
Deferred liabilities 
- de</t>
  </si>
  <si>
    <t>posits, prepayments and other receivables 23  484,459,350   425,391,226 
Cash and bank balances 24  1,197,729,351   891,606,087 
     9,848,798,714   5,237,623,778 
     36,086,921,437   31,756,667,306 
Chief Financial Officer     Director
Building a Foundation for
and
INNOV ATION
GROWTH Annual Report 2021
41</t>
  </si>
  <si>
    <t>osits, prepayments and other receivables 24  583,944,235   484,459,350 
Cash and bank balances 25  480,765,632   1,197,729,351 
     17,775,831,447   9,848,798,714 
     43,350,667,844   36,086,921,437 
Chief Financial Officer     Director
51
Annual Report 2022
OUREXPANDING</t>
  </si>
  <si>
    <t>eposits, prepayments and other receivables 24  783,220,947   583,944,235 
Cash and bank balances 25  933,537,193   480,765,632 
     22,913,376,649   17,775,831,447
     49,530,075,545   43,350,667,844 
Chief Executive Officer     Director</t>
  </si>
  <si>
    <t>osits, prepayments and other receivables 23  1,222,138,891   783,220,947 
Cash and bank balances 24  1,102,649,172   933,537,193 
    32,294,207,845  22,913,376,649 
    58,843,295,197  49,530,075,545 
Chief Executive Officer     Director</t>
  </si>
  <si>
    <t>prepayments and other receivables 22  1,025,371,707   1,140,327,819 
Cash and bank balances 23  1,450,702,723   1,102,649,172 
     38,614,792,494   32,212,396,773 
     66,794,311,768   58,843,295,197
Chief Executive Officer     Director
Annual Report 2025</t>
  </si>
  <si>
    <t>vances, deposits, prepayments and other receivables 22  1,025,371,707   1,140,327,819 
Cash and bank balances 23  1,450,702,723   1,102,649,172 
     38,614,792,494   32,212,396,773 
     66,794,311,768   58,843,295,197
Chief Executive Officer     Director
Annual Report 2025</t>
  </si>
  <si>
    <t>1,609,100 
Provision for taxation - net   635,934,543   52,873,661 
Mark-up accrued on borrowings 13  122,613,973   208,766,756 
     7,572,243,940   6,279,548,271 
Contingencies and commitments  14 
     36,086,921,437   31,756,667,306
The annexed notes from 1 to 48 form an integral part of these financial statements.
Chief Executive</t>
  </si>
  <si>
    <t>00,000 
Provision for taxation - net   2,438,052,665   635,934,543 
Mark-up accrued on borrowings 13  142,171,993   122,613,973 
     9,487,990,679   7,572,243,940 
Contingencies and commitments  14 
     43,350,667,844   36,086,921,437 
The annexed notes from 1 to 49 form an integral part of these financial statements.
Chief Executiv</t>
  </si>
  <si>
    <t>,692 
Provision for taxation - net   3,215,684,878   2,438,052,665 
Mark-up accrued on borrowings 13  192,674,790   142,171,993 
     9,912,471,411   9,487,990,679 
Contingencies and commitments  14
     49,530,075,545   43,350,667,844 
The annexed notes from 1 to 48 form an integral part of these financial statements.
Chief Financi</t>
  </si>
  <si>
    <t>939,862 
Provision for taxation – net  3,544,368,477  3,079,754,230 
Mark–up accrued on borrowings 12  135,001,023   192,674,790 
    11,095,636,231  9,912,471,411 
Contingencies and commitments  13 
    58,843,295,197   49,530,075,545 
The annexed notes from 1 to 47 form an integral part of these financial statements.   
Chief Fi</t>
  </si>
  <si>
    <t>,835,022 
Provision for taxation - net   2,924,142,407   3,544,368,477 
Short term borrowings - secured 11  3,704,884   61,253 
     11,661,701,111   11,095,636,231
Contingencies and commitments  12
     66,794,311,768   58,843,295,197 
The annexed notes from 1 to 47 form an integral part of these financial statements.   
Chief Fin</t>
  </si>
  <si>
    <t>33,677,348   36,835,022 
Provision for taxation - net   2,924,142,407   3,544,368,477 
Short term borrowings - secured 11  3,704,884   61,253 
     11,661,701,111   11,095,636,231
Contingencies and commitments  12
     66,794,311,768   58,843,295,197 
The annexed notes from 1 to 47 form an integral part of these financial statement</t>
  </si>
  <si>
    <t>2022 2021
 Note Rupees Rupees
Sales-net 26   32,876,949,179   24,057,375,992 
Cost of sales 27   (23,065,180,670)  (18,092,026,933)
Gross Profit    9,811,768,509  5,965,349,059
Selling and distribution expenses 28   (122,136,736)  (94,165,965)
Administ</t>
  </si>
  <si>
    <t>52
  2023 2022
 Note Rupees Rupees
Sales-net 26   38,921,635,350   32,876,949,179 
Cost of sales 27   (28,488,941,331)  (23,065,180,670)
Gross Profit    10,432,694,019  9,811,768,509
Selling and distribution expenses 28   (176,123,458)  (122,136,736)
Admini</t>
  </si>
  <si>
    <t>58
  2024 2023
 Note Rupees Rupees
   Restated
Sales–net 25   38,647,767,972     38,921,635,350 
Cost of sales 26    (27,391,276,477)     (28,488,941,331)
Gross Profit   11,256,491,495    10,432,694,019 
Selling and distribution expenses 27   (197,259,359)  (176,123,458)
A</t>
  </si>
  <si>
    <t>cutive Officer Director
STATEMENT OF 
PROFIT OR LOSS
For the year ended June 30, 2025
  2025 2024
 Note Rupees Rupees
Sales-net 24   37,535,700,372   38,647,767,972 
Cost of sales 25   (22,814,094,271)  (27,391,276,477)
Gross Profit    14,721,606,101  11,256,491,495 
Selling and distribution expenses 26   (225,600,417)  (197,259,359)
Administ</t>
  </si>
  <si>
    <t>Officer Chief Executive Officer Director
STATEMENT OF 
PROFIT OR LOSS
For the year ended June 30, 2025
  2025 2024
 Note Rupees Rupees
Sales-net 24   37,535,700,372   38,647,767,972 
Cost of sales 25   (22,814,094,271)  (27,391,276,477)
Gross Profit    14,721,606,101  11,256,491,495 
Selling and distribution expenses 26   (225,600,417)  (197,</t>
  </si>
  <si>
    <t>2022 2021
 Note Rupees Rupees
Sales-net 26   32,876,949,179   24,057,375,992 
Cost of sales 27   (23,065,180,670)  (18,092,026,933)
Gross Profit    9,811,768,509  5,965,349,059
Selling and distribution expenses 28   (122,136,736)  (94,165,965)
Administrative and general expenses 29   (353,522,846)  (313,52</t>
  </si>
  <si>
    <t>52
  2023 2022
 Note Rupees Rupees
Sales-net 26   38,921,635,350   32,876,949,179 
Cost of sales 27   (28,488,941,331)  (23,065,180,670)
Gross Profit    10,432,694,019  9,811,768,509
Selling and distribution expenses 28   (176,123,458)  (122,136,736)
Administrative and general expenses 29   (396,230,055)  (353,</t>
  </si>
  <si>
    <t>58
  2024 2023
 Note Rupees Rupees
   Restated
Sales–net 25   38,647,767,972     38,921,635,350 
Cost of sales 26    (27,391,276,477)     (28,488,941,331)
Gross Profit   11,256,491,495    10,432,694,019 
Selling and distribution expenses 27   (197,259,359)  (176,123,458)
Administrative and general expenses 28   (488,042,831)  (396</t>
  </si>
  <si>
    <t>For the year ended June 30, 2025
  2025 2024
 Note Rupees Rupees
Sales-net 24   37,535,700,372   38,647,767,972 
Cost of sales 25   (22,814,094,271)  (27,391,276,477)
Gross Profit    14,721,606,101  11,256,491,495 
Selling and distribution expenses 26   (225,600,417)  (197,259,359)
Administrative and general expenses 27   (695,553,118)  (488,04</t>
  </si>
  <si>
    <t>F 
PROFIT OR LOSS
For the year ended June 30, 2025
  2025 2024
 Note Rupees Rupees
Sales-net 24   37,535,700,372   38,647,767,972 
Cost of sales 25   (22,814,094,271)  (27,391,276,477)
Gross Profit    14,721,606,101  11,256,491,495 
Selling and distribution expenses 26   (225,600,417)  (197,259,359)
Administrative and general expenses 27   (695</t>
  </si>
  <si>
    <t>sales 27   (23,065,180,670)  (18,092,026,933)
Gross Profit    9,811,768,509  5,965,349,059
Selling and distribution expenses 28   (122,136,736)  (94,165,965)
Administrative and general expenses 29   (353,522,846)  (313,524,670)
Other income 30   690,143,396   170,674,670 
Other expenses 31   (563,052,382)  (325,323,074)
     (348,568,5</t>
  </si>
  <si>
    <t>sales 27   (28,488,941,331)  (23,065,180,670)
Gross Profit    10,432,694,019  9,811,768,509
Selling and distribution expenses 28   (176,123,458)  (122,136,736)
Administrative and general expenses 29   (396,230,055)  (353,522,846)
Other income 30   2,085,808,053   690,143,396 
Other expenses 31   (736,512,959)  (563,052,382)
     776,941,</t>
  </si>
  <si>
    <t>26    (27,391,276,477)     (28,488,941,331)
Gross Profit   11,256,491,495    10,432,694,019 
Selling and distribution expenses 27   (197,259,359)  (176,123,458)
Administrative and general expenses 28   (488,042,831)  (396,230,055)
Other expenses 29   (571,950,389)  (736,512,959)
     (1,257,252,579)  (1,308,866,472)
Operating profit   9,9</t>
  </si>
  <si>
    <t>f sales 25   (22,814,094,271)  (27,391,276,477)
Gross Profit    14,721,606,101  11,256,491,495 
Selling and distribution expenses 26   (225,600,417)  (197,259,359)
Administrative and general expenses 27   (695,553,118)  (488,042,831)
(Allowance) / reversal of expected credit loss  on trade debts  20   (44,078,565)  2,010,516 
Other expenses</t>
  </si>
  <si>
    <t>767,972 
Cost of sales 25   (22,814,094,271)  (27,391,276,477)
Gross Profit    14,721,606,101  11,256,491,495 
Selling and distribution expenses 26   (225,600,417)  (197,259,359)
Administrative and general expenses 27   (695,553,118)  (488,042,831)
(Allowance) / reversal of expected credit loss  on trade debts  20   (44,078,565)  2,010,516</t>
  </si>
  <si>
    <t>768,509  5,965,349,059
Selling and distribution expenses 28   (122,136,736)  (94,165,965)
Administrative and general expenses 29   (353,522,846)  (313,524,670)
Other income 30   690,143,396   170,674,670 
Other expenses 31   (563,052,382)  (325,323,074)
     (348,568,568)  (562,339,039)
Operating profit    9,463,199,941  5,403,010,020 
F</t>
  </si>
  <si>
    <t>94,019  9,811,768,509
Selling and distribution expenses 28   (176,123,458)  (122,136,736)
Administrative and general expenses 29   (396,230,055)  (353,522,846)
Other income 30   2,085,808,053   690,143,396 
Other expenses 31   (736,512,959)  (563,052,382)
     776,941,581   (348,568,568)
Operating profit    11,209,635,600  9,463,199,941</t>
  </si>
  <si>
    <t>,495    10,432,694,019 
Selling and distribution expenses 27   (197,259,359)  (176,123,458)
Administrative and general expenses 28   (488,042,831)  (396,230,055)
Other expenses 29   (571,950,389)  (736,512,959)
     (1,257,252,579)  (1,308,866,472)
Operating profit   9,999,238,916   9,123,827,547 
Other income 30  4,454,427,029     2,085,8</t>
  </si>
  <si>
    <t>,606,101  11,256,491,495 
Selling and distribution expenses 26   (225,600,417)  (197,259,359)
Administrative and general expenses 27   (695,553,118)  (488,042,831)
(Allowance) / reversal of expected credit loss  on trade debts  20   (44,078,565)  2,010,516 
Other expenses 28   (940,359,065)  (571,950,389)
     (1,905,591,165)  (1,255,242,063</t>
  </si>
  <si>
    <t>rofit    14,721,606,101  11,256,491,495 
Selling and distribution expenses 26   (225,600,417)  (197,259,359)
Administrative and general expenses 27   (695,553,118)  (488,042,831)
(Allowance) / reversal of expected credit loss  on trade debts  20   (44,078,565)  2,010,516 
Other expenses 28   (940,359,065)  (571,950,389)
     (1,905,591,165)</t>
  </si>
  <si>
    <t>2022 2021
 Note Rupees Rupees
Sales-net 26   32,876,949,179   24,057,375,992 
Cost of sales 27   (23,065,180,670)  (18,092,026,933)
Gross Profit    | Impairment / expected credit loss on financial assets</t>
  </si>
  <si>
    <t>52
  2023 2022
 Note Rupees Rupees
Sales-net 26   38,921,635,350   32,876,949,179 
Cost of sales 27   (28,488,941,331)  (23,065,180,670)
Gross Profit | Impairment / expected credit loss on financial assets</t>
  </si>
  <si>
    <t>58
  2024 2023
 Note Rupees Rupees
   Restated
Sales–net 25   38,647,767,972     38,921,635,350 
Cost of sales 26    (27,391,276,477)     (28,488,941 | Impairment / expected credit loss on financial assets</t>
  </si>
  <si>
    <t>inistrative and general expenses 27   (695,553,118)  (488,042,831)
(Allowance) / reversal of expected credit loss  on trade debts  20   (44,078,565)  2,010,516 
Other expenses 28   (940,359,065)  (571,950,389)
     (1,905,591,165)  (1,255,242,063)
Operating profit    12,816,014,936  10,001,249,432 
Other income 29   5,280,719,197   4,4</t>
  </si>
  <si>
    <t>7,259,359)
Administrative and general expenses 27   (695,553,118)  (488,042,831)
(Allowance) / reversal of expected credit loss  on trade debts  20   (44,078,565)  2,010,516 
Other expenses 28   (940,359,065)  (571,950,389)
     (1,905,591,165)  (1,255,242,063)
Operating profit    12,816,014,936  10,001,249,432 
Other income 29   5,280,71</t>
  </si>
  <si>
    <t>Administrative and general expenses 29   (353,522,846)  (313,524,670)
Other income 30   690,143,396   170,674,670 
Other expenses 31   (563,052,382)  (325,323,074)
     (348,568,568)  (562,339,039)
Operating profit    9,463,199,941  5,403,010,020 
Finance cost 32   (537,710,815)  (517,055,413)
Profit before taxation   8,925,489,126  4,885,95</t>
  </si>
  <si>
    <t>ministrative and general expenses 29   (396,230,055)  (353,522,846)
Other income 30   2,085,808,053   690,143,396 
Other expenses 31   (736,512,959)  (563,052,382)
     776,941,581   (348,568,568)
Operating profit    11,209,635,600  9,463,199,941 
Finance cost 32   (740,307,772)  (537,710,815)
Profit before taxation   10,469,327,828  8,925,4</t>
  </si>
  <si>
    <t>n expenses 27   (197,259,359)  (176,123,458)
Administrative and general expenses 28   (488,042,831)  (396,230,055)
Other expenses 29   (571,950,389)  (736,512,959)
     (1,257,252,579)  (1,308,866,472)
Operating profit   9,999,238,916   9,123,827,547 
Other income 30  4,454,427,029     2,085,808,053 
Finance cost 31   (677,380,845)  (740,307</t>
  </si>
  <si>
    <t>,118)  (488,042,831)
(Allowance) / reversal of expected credit loss  on trade debts  20   (44,078,565)  2,010,516 
Other expenses 28   (940,359,065)  (571,950,389)
     (1,905,591,165)  (1,255,242,063)
Operating profit    12,816,014,936  10,001,249,432 
Other income 29   5,280,719,197   4,452,416,513 
Finance cost 30   (349,910,716)  (677,</t>
  </si>
  <si>
    <t>s 27   (695,553,118)  (488,042,831)
(Allowance) / reversal of expected credit loss  on trade debts  20   (44,078,565)  2,010,516 
Other expenses 28   (940,359,065)  (571,950,389)
     (1,905,591,165)  (1,255,242,063)
Operating profit    12,816,014,936  10,001,249,432 
Other income 29   5,280,719,197   4,452,416,513 
Finance cost 30   (349,</t>
  </si>
  <si>
    <t>ution expenses 28   (122,136,736)  (94,165,965)
Administrative and general expenses 29   (353,522,846)  (313,524,670)
Other income 30   690,143,396   170,674,670 
Other expenses 31   (563,052,382)  (325,323,074)
     (348,568,568)  (562,339,039)
Operating profit    9,463,199,941  5,403,010,020 
Finance cost 32   (537,710,815)  (517,055,413</t>
  </si>
  <si>
    <t>on expenses 28   (176,123,458)  (122,136,736)
Administrative and general expenses 29   (396,230,055)  (353,522,846)
Other income 30   2,085,808,053   690,143,396 
Other expenses 31   (736,512,959)  (563,052,382)
     776,941,581   (348,568,568)
Operating profit    11,209,635,600  9,463,199,941 
Finance cost 32   (740,307,772)  (537,710,815</t>
  </si>
  <si>
    <t>71,950,389)  (736,512,959)
     (1,257,252,579)  (1,308,866,472)
Operating profit   9,999,238,916   9,123,827,547 
Other income 30  4,454,427,029     2,085,808,053 
Finance cost 31   (677,380,845)  (740,307,772)
Profit before income tax and final tax  13,776,285,100    10,469,327,828 
Final tax 32   (844,151,365) (343,981,005)
Profit before</t>
  </si>
  <si>
    <t>359,065)  (571,950,389)
     (1,905,591,165)  (1,255,242,063)
Operating profit    12,816,014,936  10,001,249,432 
Other income 29   5,280,719,197   4,452,416,513 
Finance cost 30   (349,910,716)  (677,380,845)
Profit before income tax and final tax   17,746,823,417  13,776,285,100 
Final tax 31   (58,631,368) (844,151,365)
Profit before ta</t>
  </si>
  <si>
    <t>enses 28   (940,359,065)  (571,950,389)
     (1,905,591,165)  (1,255,242,063)
Operating profit    12,816,014,936  10,001,249,432 
Other income 29   5,280,719,197   4,452,416,513 
Finance cost 30   (349,910,716)  (677,380,845)
Profit before income tax and final tax   17,746,823,417  13,776,285,100 
Final tax 31   (58,631,368) (844,151,365)</t>
  </si>
  <si>
    <t>2022 2021
 Note Rupees Rupees
Sales-net 26   32,876,949,179   24,057,375,992 
Cost of sales 27   (23,065,180,670)  (18,092,026,933)
Gross Profit    | Finance income (where presented separately)</t>
  </si>
  <si>
    <t>52
  2023 2022
 Note Rupees Rupees
Sales-net 26   38,921,635,350   32,876,949,179 
Cost of sales 27   (28,488,941,331)  (23,065,180,670)
Gross Profit | Finance income (where presented separately)</t>
  </si>
  <si>
    <t>58
  2024 2023
 Note Rupees Rupees
   Restated
Sales–net 25   38,647,767,972     38,921,635,350 
Cost of sales 26    (27,391,276,477)     (28,488,941 | Finance income (where presented separately)</t>
  </si>
  <si>
    <t>68
Chief Financial Officer Chief Executive Officer Director
STATEMENT OF 
PROFIT OR LOSS
For the year ended June 30, 2025
  2025 2024
 Note Rupees Ru | Finance income (where presented separately)</t>
  </si>
  <si>
    <t>2022 2021
 Note Rupees Rupees
Sales-net 26   32,876,949,179   24,057,375,992 
Cost of sales 27   (23,065,180,670)  (18,092,026,933)
Gross Profit    | Share of profit of associate</t>
  </si>
  <si>
    <t>52
  2023 2022
 Note Rupees Rupees
Sales-net 26   38,921,635,350   32,876,949,179 
Cost of sales 27   (28,488,941,331)  (23,065,180,670)
Gross Profit | Share of profit of associate</t>
  </si>
  <si>
    <t>58
  2024 2023
 Note Rupees Rupees
   Restated
Sales–net 25   38,647,767,972     38,921,635,350 
Cost of sales 26    (27,391,276,477)     (28,488,941 | Share of profit of associate</t>
  </si>
  <si>
    <t>68
Chief Financial Officer Chief Executive Officer Director
STATEMENT OF 
PROFIT OR LOSS
For the year ended June 30, 2025
  2025 2024
 Note Rupees Ru | Share of profit of associate</t>
  </si>
  <si>
    <t>1   (563,052,382)  (325,323,074)
     (348,568,568)  (562,339,039)
Operating profit    9,463,199,941  5,403,010,020 
Finance cost 32   (537,710,815)  (517,055,413)
Profit before taxation   8,925,489,126  4,885,954,607 
T axation 33   (3,901,208,866)  (1,388,447,360)
Profit after taxation   5,024,280,260  3,497,507,247 
Earnings per share -</t>
  </si>
  <si>
    <t>1   (736,512,959)  (563,052,382)
     776,941,581   (348,568,568)
Operating profit    11,209,635,600  9,463,199,941 
Finance cost 32   (740,307,772)  (537,710,815)
Profit before taxation   10,469,327,828  8,925,489,126 
Taxation 33   (4,648,576,683)  (3,901,208,866)
Profit after taxation   5,820,751,145  5,024,280,260 
Earnings per share -</t>
  </si>
  <si>
    <t>(1,308,866,472)
Operating profit   9,999,238,916   9,123,827,547 
Other income 30  4,454,427,029     2,085,808,053 
Finance cost 31   (677,380,845)  (740,307,772)
Profit before income tax and final tax  13,776,285,100    10,469,327,828 
Final tax 32   (844,151,365) (343,981,005)
Profit before taxation  12,932,133,735     10,125,346,823 
Tax</t>
  </si>
  <si>
    <t>,255,242,063)
Operating profit    12,816,014,936  10,001,249,432 
Other income 29   5,280,719,197   4,452,416,513 
Finance cost 30   (349,910,716)  (677,380,845)
Profit before income tax and final tax   17,746,823,417  13,776,285,100 
Final tax 31   (58,631,368) (844,151,365)
Profit before taxation   17,688,192,049   12,932,133,735 
Taxati</t>
  </si>
  <si>
    <t>05,591,165)  (1,255,242,063)
Operating profit    12,816,014,936  10,001,249,432 
Other income 29   5,280,719,197   4,452,416,513 
Finance cost 30   (349,910,716)  (677,380,845)
Profit before income tax and final tax   17,746,823,417  13,776,285,100 
Final tax 31   (58,631,368) (844,151,365)
Profit before taxation   17,688,192,049   12,932,</t>
  </si>
  <si>
    <t>2022 2021
 Note Rupees Rupees
Sales-net 26   32,876,949,179   24,057,375,992 
Cost of sales 27   (23,065,180,670)  (18,092,026,933)
Gross Profit    | Levies (final / minimum taxes presented separately)</t>
  </si>
  <si>
    <t>52
  2023 2022
 Note Rupees Rupees
Sales-net 26   38,921,635,350   32,876,949,179 
Cost of sales 27   (28,488,941,331)  (23,065,180,670)
Gross Profit | Levies (final / minimum taxes presented separately)</t>
  </si>
  <si>
    <t>Finance cost 31   (677,380,845)  (740,307,772)
Profit before income tax and final tax  13,776,285,100    10,469,327,828 
Final tax 32   (844,151,365) (343,981,005)
Profit before taxation  12,932,133,735     10,125,346,823 
Taxation 33   (4,038,678,947)     (4,304,595,678)
Profit after taxation   8,893,454,788    5,820,751,145 
Earnings per</t>
  </si>
  <si>
    <t>Finance cost 30   (349,910,716)  (677,380,845)
Profit before income tax and final tax   17,746,823,417  13,776,285,100 
Final tax 31   (58,631,368) (844,151,365)
Profit before taxation   17,688,192,049   12,932,133,735 
Taxation 32   (6,113,037,978)  (4,038,678,948)
Profit after taxation   11,575,154,071  8,893,454,787 
   Restated
Ear</t>
  </si>
  <si>
    <t>4,452,416,513 
Finance cost 30   (349,910,716)  (677,380,845)
Profit before income tax and final tax   17,746,823,417  13,776,285,100 
Final tax 31   (58,631,368) (844,151,365)
Profit before taxation   17,688,192,049   12,932,133,735 
Taxation 32   (6,113,037,978)  (4,038,678,948)
Profit after taxation   11,575,154,071  8,893,454,787</t>
  </si>
  <si>
    <t>5,403,010,020 
Finance cost 32   (537,710,815)  (517,055,413)
Profit before taxation   8,925,489,126  4,885,954,607 
T axation 33   (3,901,208,866)  (1,388,447,360)
Profit after taxation   5,024,280,260  3,497,507,247 
Earnings per share - basic and diluted 34   25.01  17.41 
The annexed notes from 1 to 49 form an integral part of thes</t>
  </si>
  <si>
    <t>9,463,199,941 
Finance cost 32   (740,307,772)  (537,710,815)
Profit before taxation   10,469,327,828  8,925,489,126 
Taxation 33   (4,648,576,683)  (3,901,208,866)
Profit after taxation   5,820,751,145  5,024,280,260 
Earnings per share - basic and diluted 34   28.98  25.01 
The annexed notes from 1 to 48 form an integral part of thes</t>
  </si>
  <si>
    <t>,469,327,828 
Final tax 32   (844,151,365) (343,981,005)
Profit before taxation  12,932,133,735     10,125,346,823 
Taxation 33   (4,038,678,947)     (4,304,595,678)
Profit after taxation   8,893,454,788    5,820,751,145 
Earnings per share - basic and diluted 34  45.27    28.98 
The annexed notes from 1 to 47 form an integral part of</t>
  </si>
  <si>
    <t>7  13,776,285,100 
Final tax 31   (58,631,368) (844,151,365)
Profit before taxation   17,688,192,049   12,932,133,735 
Taxation 32   (6,113,037,978)  (4,038,678,948)
Profit after taxation   11,575,154,071  8,893,454,787 
   Restated
Earnings per share - basic and diluted 33   11.97  9.06 
The annexed notes from 1 to 47 form an integr</t>
  </si>
  <si>
    <t>x   17,746,823,417  13,776,285,100 
Final tax 31   (58,631,368) (844,151,365)
Profit before taxation   17,688,192,049   12,932,133,735 
Taxation 32   (6,113,037,978)  (4,038,678,948)
Profit after taxation   11,575,154,071  8,893,454,787 
   Restated
Earnings per share - basic and diluted 33   11.97  9.06 
The annexed notes from 1 to</t>
  </si>
  <si>
    <t>te Rupees Rupees
Sales-net 26   32,876,949,179   24,057,375,992 
Cost of sales 27   (23,065,180,670)  (18,092,026,933)
Gross Profit    9,811,768,509  5,965,349,059
Selling and distribution expenses 28   (122,136,736)  (94,165,965)
Administrative and general expenses 29   (353,522,846)  (313,524,670)
Other income 30   690,143,396   170,67</t>
  </si>
  <si>
    <t>e Rupees Rupees
Sales-net 26   38,921,635,350   32,876,949,179 
Cost of sales 27   (28,488,941,331)  (23,065,180,670)
Gross Profit    10,432,694,019  9,811,768,509
Selling and distribution expenses 28   (176,123,458)  (122,136,736)
Administrative and general expenses 29   (396,230,055)  (353,522,846)
Other income 30   2,085,808,053   690</t>
  </si>
  <si>
    <t>Restated
Sales–net 25   38,647,767,972     38,921,635,350 
Cost of sales 26    (27,391,276,477)     (28,488,941,331)
Gross Profit   11,256,491,495    10,432,694,019 
Selling and distribution expenses 27   (197,259,359)  (176,123,458)
Administrative and general expenses 28   (488,042,831)  (396,230,055)
Other expenses 29   (571,950,389)  (73</t>
  </si>
  <si>
    <t>e Rupees Rupees
Sales-net 24   37,535,700,372   38,647,767,972 
Cost of sales 25   (22,814,094,271)  (27,391,276,477)
Gross Profit    14,721,606,101  11,256,491,495 
Selling and distribution expenses 26   (225,600,417)  (197,259,359)
Administrative and general expenses 27   (695,553,118)  (488,042,831)
(Allowance) / reversal of expected credi</t>
  </si>
  <si>
    <t>2025 2024
 Note Rupees Rupees
Sales-net 24   37,535,700,372   38,647,767,972 
Cost of sales 25   (22,814,094,271)  (27,391,276,477)
Gross Profit    14,721,606,101  11,256,491,495 
Selling and distribution expenses 26   (225,600,417)  (197,259,359)
Administrative and general expenses 27   (695,553,118)  (488,042,831)
(Allowance) / reversal o</t>
  </si>
  <si>
    <t>562,339,039)
Operating profit    9,463,199,941  5,403,010,020 
Finance cost 32   (537,710,815)  (517,055,413)
Profit before taxation   8,925,489,126  4,885,954,607 
T axation 33   (3,901,208,866)  (1,388,447,360)
Profit after taxation   5,024,280,260  3,497,507,247 
Earnings per share - basic and diluted 34   25.01  17.41 
The annexed</t>
  </si>
  <si>
    <t>8,568,568)
Operating profit    11,209,635,600  9,463,199,941 
Finance cost 32   (740,307,772)  (537,710,815)
Profit before taxation   10,469,327,828  8,925,489,126 
Taxation 33   (4,648,576,683)  (3,901,208,866)
Profit after taxation   5,820,751,145  5,024,280,260 
Earnings per share - basic and diluted 34   28.98  25.01 
The annexed</t>
  </si>
  <si>
    <t>income 30  4,454,427,029     2,085,808,053 
Finance cost 31   (677,380,845)  (740,307,772)
Profit before income tax and final tax  13,776,285,100    10,469,327,828 
Final tax 32   (844,151,365) (343,981,005)
Profit before taxation  12,932,133,735     10,125,346,823 
Taxation 33   (4,038,678,947)     (4,304,595,678)
Profit after taxation   8,</t>
  </si>
  <si>
    <t>er income 29   5,280,719,197   4,452,416,513 
Finance cost 30   (349,910,716)  (677,380,845)
Profit before income tax and final tax   17,746,823,417  13,776,285,100 
Final tax 31   (58,631,368) (844,151,365)
Profit before taxation   17,688,192,049   12,932,133,735 
Taxation 32   (6,113,037,978)  (4,038,678,948)
Profit after taxation   11,575,</t>
  </si>
  <si>
    <t>1,249,432 
Other income 29   5,280,719,197   4,452,416,513 
Finance cost 30   (349,910,716)  (677,380,845)
Profit before income tax and final tax   17,746,823,417  13,776,285,100 
Final tax 31   (58,631,368) (844,151,365)
Profit before taxation   17,688,192,049   12,932,133,735 
Taxation 32   (6,113,037,978)  (4,038,678,948)
Profit after ta</t>
  </si>
  <si>
    <t>55,413)
Profit before taxation   8,925,489,126  4,885,954,607 
T axation 33   (3,901,208,866)  (1,388,447,360)
Profit after taxation   5,024,280,260  3,497,507,247 
Earnings per share - basic and diluted 34   25.01  17.41 
The annexed notes from 1 to 49 form an integral part of these financial statements.
Chief Executive Officer Chief</t>
  </si>
  <si>
    <t>10,815)
Profit before taxation   10,469,327,828  8,925,489,126 
Taxation 33   (4,648,576,683)  (3,901,208,866)
Profit after taxation   5,820,751,145  5,024,280,260 
Earnings per share - basic and diluted 34   28.98  25.01 
The annexed notes from 1 to 48 form an integral part of these financial statements.   
Chief Financial Officer</t>
  </si>
  <si>
    <t>Profit before taxation  12,932,133,735     10,125,346,823 
Taxation 33   (4,038,678,947)     (4,304,595,678)
Profit after taxation   8,893,454,788    5,820,751,145 
Earnings per share - basic and diluted 34  45.27    28.98 
The annexed notes from 1 to 47 form an integral part of these financial statements.
Chief Financial Officer Chi</t>
  </si>
  <si>
    <t>365)
Profit before taxation   17,688,192,049   12,932,133,735 
Taxation 32   (6,113,037,978)  (4,038,678,948)
Profit after taxation   11,575,154,071  8,893,454,787 
   Restated
Earnings per share - basic and diluted 33   11.97  9.06 
The annexed notes from 1 to 47 form an integral part of these financial statements.</t>
  </si>
  <si>
    <t>1,368) (844,151,365)
Profit before taxation   17,688,192,049   12,932,133,735 
Taxation 32   (6,113,037,978)  (4,038,678,948)
Profit after taxation   11,575,154,071  8,893,454,787 
   Restated
Earnings per share - basic and diluted 33   11.97  9.06 
The annexed notes from 1 to 47 form an integral part of these financial statements.</t>
  </si>
  <si>
    <t>,267 
 Long term finances-secured   496,418,919   461,831,064 
        515,336,349   490,304,331 
 Bank charges, commission and others   22,374,466   26,751,082 
        537,710,815   517,055,413 
33 Taxation
 Current 
  - for the year   2,351,484,595   818,740,126 
 Deferred 
  - for the year   1,549,724,271   569,707,234 
        3,</t>
  </si>
  <si>
    <t>17,430 
 Long term finances-secured   683,425,751   496,418,919 
      683,563,329   515,336,349 
 Bank charges, commission and others   56,744,443   22,374,466 
      740,307,772   537,710,815 
33 Taxation
 Current 
 - for the year   3,187,732,853   2,351,484,595 
 - for prior year   45,059,002  –  
      3,232,791,855   2,351,484,595</t>
  </si>
  <si>
    <t>37,578 
 Long term finances-secured   631,836,653   683,425,751 
      646,184,135   683,563,329 
 Bank charges, commission and others   31,196,710   56,744,443 
      677,380,845   740,307,772 
  2024 2023
  Rupees Rupees
   Restated
32 Final tax
 Final tax on dividends and exports    844,151,365   343,981,005 
 This represents final</t>
  </si>
  <si>
    <t>47,482 
 Long term finances-secured   285,870,933   631,836,653 
      306,210,739   646,184,135 
 Bank charges, commission and others   43,699,977   31,196,710 
      349,910,716   677,380,845 
31 Final tax 
 Final tax   58,631,368   844,151,365 
 This represents levy in accordance with the requirements of IFRIC 21 and IAS 37. This i</t>
  </si>
  <si>
    <t>39,806   14,347,482 
 Long term finances-secured   285,870,933   631,836,653 
      306,210,739   646,184,135 
 Bank charges, commission and others   43,699,977   31,196,710 
      349,910,716   677,380,845 
31 Final tax 
 Final tax   58,631,368   844,151,365 
 This represents levy in accordance with the requirements of IFRIC 21 and I</t>
  </si>
  <si>
    <t>34.2 Diluted earnings per share
 There is no dilutive effect on the basic earnings per share as the Company does not have any convertible 
instruments in issue as at 30 June 2022  | Components: Depreciation on property, plant and; Amortization on intangibles</t>
  </si>
  <si>
    <t>NOTES TO THE 
FINANCIAL STATEMENTS
For the year ended 30 June 2023
34.2 Diluted earnings per share 
 There is no dilutive effect on the basic earnings per share as the Company doe | Components: Depreciation on property, plant and; Amortization on intangibles</t>
  </si>
  <si>
    <t>NOTES TO THE 
FINANCIAL STATEMENTS
For the year ended 30 June 2024
  2024 2023
  Rupees Rupees
 Note  Restated
35 Cash generated from operations
 Profit before taxation  12,932,13 | Components: Depreciation on property, plant and; Amortization on intangibles</t>
  </si>
  <si>
    <t>NOTES TO THE 
FINANCIAL STATEMENTS
For the year ended June 30, 2025
  2025 2024
 Note Rupees Rupees
34 Cash generated from operations
 Profit before taxation   17,688,192,049   12 | Components: Depreciation on property, plant and; Amortization on intangibles</t>
  </si>
  <si>
    <t>2022 2021
 Note Rupees Rupees
Cash flows from operating activities
Cash generated from operations 35  9,429,252,992   6,012,030,743 
Finance cost paid   (514,171,817)  (599,227,218)
Compensated absences paid 8.2  (3,915,386)  (3,808,417)
Income tax paid   (549,366,473)  (235,679,244)
Payment made to Workers’ W</t>
  </si>
  <si>
    <t>rt 2023
Shaping the
Future
55
  2023 2022
 Note Rupees Rupees
Cash flows from operating activities
Cash generated from operations 35  9,061,899,692   9,429,252,992 
Finance cost paid   (685,823,997)  (514,171,817)
Compensated absences paid 8.2  (7,885,019)  (3,915,386)
Income tax paid   (2,455,159,642)  (549,366,473)
Payment made to Workers’</t>
  </si>
  <si>
    <t>ual Report 2024
  2024 2023
 Note Rupees Rupees
   Restated
Cash flows from operating activities
Cash generated from operations 35 11,414,783,911     7,862,593,209 
Finance cost paid   (731,073,634)  (685,823,997)
Compensated absences paid 8.2  (4,833,553)  (7,885,019)
Income tax paid   (3,227,391,582)     (2,247,109,285)
Final tax paid    (</t>
  </si>
  <si>
    <t>f Executive Officer Director
  2025 2024
 Note Rupees Rupees
Cash flows from operating activities
Cash generated from operations 34  16,574,725,509   11,482,975,487 
Finance cost paid 44  (391,061,821)  (731,073,634)
Compensated absences paid 8.2  (5,770,071)  (4,833,553)
Income tax paid   (6,349,518,404)  (3,227,391,582)
Final tax paid    (3</t>
  </si>
  <si>
    <t>cial Officer Chief Executive Officer Director
  2025 2024
 Note Rupees Rupees
Cash flows from operating activities
Cash generated from operations 34  16,574,725,509   11,482,975,487 
Finance cost paid 44  (391,061,821)  (731,073,634)
Compensated absences paid 8.2  (5,770,071)  (4,833,553)
Income tax paid   (6,349,518,404)  (3,227,391,582)
Fin</t>
  </si>
  <si>
    <t>articipation Fund 9.2  (136,000,000)  (84,000,000)
     (1,247,895,102)  (922,714,879)
Net cash generated from operating activities   8,181,357,890   5,089,315,864
Cash flows from investing activities  
Acquisition of property, plant and equipment   (461,847,370)  (610,597,045)
Proceeds from disposal of property, plant and equipment   18,0</t>
  </si>
  <si>
    <t>icipation Fund 9.2  (180,433,500)  (136,000,000)
     (3,410,511,448)  (1,247,895,102)
Net cash generated from operating activities   5,651,388,244   8,181,357,890 
Cash flows from investing activities  
Acquisition of property, plant and equipment   (2,015,897,038)  (461,847,370)
Proceeds from disposal of property, plant and equipment   7,5</t>
  </si>
  <si>
    <t>tion Fund 9.2  (196,332,000)  (180,433,500)
      (4,835,802,078)     (3,410,511,448)
Net cash generated from operating activities  6,578,981,833     4,452,081,761 
Cash flows from investing activities  
Acquisition of property, plant and equipment   (1,110,543,880)  (2,015,897,038)
Proceeds from disposal of property, plant and equipment   2</t>
  </si>
  <si>
    <t>icipation Fund 9.2  (241,864,000)  (196,332,000)
     (7,196,436,971)  (4,835,802,078)
Net cash generated from operating activities   9,378,288,538   6,647,173,409 
Cash flows from investing activities  
Acquisition of property, plant and equipment   (2,398,919,336)  (1,107,284,933)
Proceeds from disposal of property, plant and equipment   1</t>
  </si>
  <si>
    <t>ers’ Profit Participation Fund 9.2  (241,864,000)  (196,332,000)
     (7,196,436,971)  (4,835,802,078)
Net cash generated from operating activities   9,378,288,538   6,647,173,409 
Cash flows from investing activities  
Acquisition of property, plant and equipment   (2,398,919,336)  (1,107,284,933)
Proceeds from disposal of property, plant a</t>
  </si>
  <si>
    <t>pees Rupees
Cash flows from operating activities
Cash generated from operations 35  9,429,252,992   6,012,030,743 
Finance cost paid   (514,171,817)  (599,227,218)
Compensated absences paid 8.2  (3,915,386)  (3,808,417)
Income tax paid   (549,366,473)  (235,679,244)
Payment made to Workers’ Welfare Fund 9.3  (44,441,426) –  
Payment made to</t>
  </si>
  <si>
    <t>pees Rupees
Cash flows from operating activities
Cash generated from operations 35  9,061,899,692   9,429,252,992 
Finance cost paid   (685,823,997)  (514,171,817)
Compensated absences paid 8.2  (7,885,019)  (3,915,386)
Income tax paid   (2,455,159,642)  (549,366,473)
Payment made to Workers’ Welfare Fund 9.3  (81,209,290)  (44,441,426)
Paym</t>
  </si>
  <si>
    <t>Restated
Cash flows from operating activities
Cash generated from operations 35 11,414,783,911     7,862,593,209 
Finance cost paid   (731,073,634)  (685,823,997)
Compensated absences paid 8.2  (4,833,553)  (7,885,019)
Income tax paid   (3,227,391,582)     (2,247,109,285)
Final tax paid    (508,158,935)  (208,050,357)
Payment made to Worker</t>
  </si>
  <si>
    <t>Rupees
Cash flows from operating activities
Cash generated from operations 34  16,574,725,509   11,482,975,487 
Finance cost paid 44  (391,061,821)  (731,073,634)
Compensated absences paid 8.2  (5,770,071)  (4,833,553)
Income tax paid   (6,349,518,404)  (3,227,391,582)
Final tax paid    (35,529,913)  (508,158,935)
Payment made to Workers’ W</t>
  </si>
  <si>
    <t>24
 Note Rupees Rupees
Cash flows from operating activities
Cash generated from operations 34  16,574,725,509   11,482,975,487 
Finance cost paid 44  (391,061,821)  (731,073,634)
Compensated absences paid 8.2  (5,770,071)  (4,833,553)
Income tax paid   (6,349,518,404)  (3,227,391,582)
Final tax paid    (35,529,913)  (508,158,935)
Payment mad</t>
  </si>
  <si>
    <t>Cash-flow classification inspected</t>
  </si>
  <si>
    <t>Supporting cash-flow classification only; excluded from 33-measure scope.</t>
  </si>
  <si>
    <t>2022 2021
 Note Rupees Rupees
Cash flows from operating activities
Cash generated from operations 35  9,429,252,992   6,012,030,743 
Finance cost paid   (514,171,817)  (599,227,218)
Compensated absences paid 8.2  (3,9</t>
  </si>
  <si>
    <t>Annual Report 2023
Shaping the
Future
55
  2023 2022
 Note Rupees Rupees
Cash flows from operating activities
Cash generated from operations 35  9,061,899,692   9,429,252,992 
Finance cost paid   (685,823,997)  (514,171</t>
  </si>
  <si>
    <t>61
Reaching New 
HEIGHTS Annual Report 2024
  2024 2023
 Note Rupees Rupees
   Restated
Cash flows from operating activities
Cash generated from operations 35 11,414,783,911     7,862,593,209 
Finance cost paid   (731,0</t>
  </si>
  <si>
    <t>71
STATEMENT OF 
CASH FLOWS 
For the year ended June 30, 2025
Chief Financial Officer Chief Executive Officer Director
  2025 2024
 Note Rupees Rupees
Cash flows from operating activities
Cash generated from operations</t>
  </si>
  <si>
    <t>ing activities   8,181,357,890   5,089,315,864
Cash flows from investing activities  
Acquisition of property, plant and equipment   (461,847,370)  (610,597,045)
Proceeds from disposal of property, plant and equipment   18,096,560   17,333,403 
Acquisition of  intangibles   (1,019,920)  (400,000)
Purchase of investment property   (169,050)</t>
  </si>
  <si>
    <t>ng activities   5,651,388,244   8,181,357,890 
Cash flows from investing activities  
Acquisition of property, plant and equipment   (2,015,897,038)  (461,847,370)
Proceeds from disposal of property, plant and equipment   7,589,770   18,096,560 
Acquisition of  intangibles  –     (1,019,920)
Purchase of investment property   (190,655,534)  (</t>
  </si>
  <si>
    <t>g activities  6,578,981,833     4,452,081,761 
Cash flows from investing activities  
Acquisition of property, plant and equipment   (1,110,543,880)  (2,015,897,038)
Proceeds from disposal of property, plant and equipment   2,890,000   7,589,770 
Purchase of investment property   (1,450,816)  (190,655,534)
Short term investments – net   (7,105</t>
  </si>
  <si>
    <t>ng activities   9,378,288,538   6,647,173,409 
Cash flows from investing activities  
Acquisition of property, plant and equipment   (2,398,919,336)  (1,107,284,933)
Proceeds from disposal of property, plant and equipment   15,321,000   2,890,000 
Purchase of investment property   –     (1,450,816)
Short term investments – net   (2,011,541,251</t>
  </si>
  <si>
    <t>ated from operating activities   9,378,288,538   6,647,173,409 
Cash flows from investing activities  
Acquisition of property, plant and equipment   (2,398,919,336)  (1,107,284,933)
Proceeds from disposal of property, plant and equipment   15,321,000   2,890,000 
Purchase of investment property   –     (1,450,816)
Short term investments – net</t>
  </si>
  <si>
    <t>sits   (30,000)  (5,000,000)
Long term loans and advances - net   (36,787,729)  (26,439,100)
Net cash used in investing activities   (7,092,988,516)  (3,950,178,348)
Cash flows from financing activities  
Short term borrowing - net   (498,000,000)  (803,609,100)
Repayment of long term finances   (1,306,783,590)  (338,275,011)
Disbursement of</t>
  </si>
  <si>
    <t>term deposits  –    (30,000)
Long term loans and advances - net   45,797,488   (36,787,729)
Net cash used in investing activities   (3,669,822,246)  (7,092,988,516)
Cash flows from financing activities  
Short term borrowing - net  –     (498,000,000)
Repayment of long term finances   (1,071,920,204)  (1,306,783,590)
Own shares purchased for</t>
  </si>
  <si>
    <t>ury bills   –     494,778,500 
Long term loans and advances – net   (3,741,053)  45,797,488 
Net cash used in investing activities   (4,962,132,518)  (2,470,515,763)
Cash flows from financing activities  
Repayment of long term finances   (1,034,355,875)  (1,071,920,204)
Short term borrowings – net   –     –   
Own shares purchased for cancell</t>
  </si>
  <si>
    <t>g term deposits   (200,000)  –   
Long term loans and advances   (413,520,934)  (75,191,576)
Net cash used in investing activities   (4,398,595,770)  (5,030,324,094)
Cash flows from financing activities  
Proceeds from long term finances 44  1,115,239,380   –   
Repayment of long term finances 44  (1,034,355,698)  (1,034,355,875)
Proceeds from</t>
  </si>
  <si>
    <t>238,329,752 
Long term deposits   (200,000)  –   
Long term loans and advances   (413,520,934)  (75,191,576)
Net cash used in investing activities   (4,398,595,770)  (5,030,324,094)
Cash flows from financing activities  
Proceeds from long term finances 44  1,115,239,380   –   
Repayment of long term finances 44  (1,034,355,698)  (1,034,355,8</t>
  </si>
  <si>
    <t>finances - net off transaction cost  –   200,686,655 
Dividend paid   (549,503)  (1,816,796)
Net cash used in financing activities   (1,805,333,093)  (943,014,252)
Net (decrease) / increase in cash and cash equivalents    (716,963,719)  196,123,264 
Cash and cash equivalents at beginning of the year   1,197,729,351   1,001,606,087 
Cash and</t>
  </si>
  <si>
    <t>shares purchased for cancellation 4.3  (456,701,404) – 
Dividend paid   (172,829)  (549,503)
Net cash used in financing activities   (1,528,794,437)  (1,805,333,093)
Net increase / (decrease) in cash and cash equivalents    452,771,561   (716,963,719)
Cash and cash equivalents at beginning of the year   480,765,632   1,197,729,351 
Cash and ca</t>
  </si>
  <si>
    <t>ased for cancellation 4.3  (413,245,172)  (456,701,404)
Dividend paid   (136,289)  (172,829)
Net cash used in financing activities   (1,447,737,336)  (1,528,794,437)
Net increase in cash and cash equivalents    169,111,979     452,771,561 
Cash and cash equivalents at beginning of the year   933,537,193   480,765,632 
Cash and cash equivalents</t>
  </si>
  <si>
    <t>ncellation 4.3 &amp; 44  (4,709,365,225)  (413,245,172)
Dividend paid 44  (3,157,674)  (136,289)
Net cash used in financing activities   (4,631,639,217)  (1,447,737,336)
Net increase in cash and cash equivalents    348,053,551   169,111,979 
Cash and cash equivalents at beginning of the year   1,102,649,172   933,537,193 
Cash and cash equivalents</t>
  </si>
  <si>
    <t>purchased for cancellation 4.3 &amp; 44  (4,709,365,225)  (413,245,172)
Dividend paid 44  (3,157,674)  (136,289)
Net cash used in financing activities   (4,631,639,217)  (1,447,737,336)
Net increase in cash and cash equivalents    348,053,551   169,111,979 
Cash and cash equivalents at beginning of the year   1,102,649,172   933,537,193 
Cash and</t>
  </si>
  <si>
    <t>finances   (1,306,783,590)  (338,275,011)
Disbursement of long term finances - net off transaction cost  –   200,686,655 
Dividend paid   (549,503)  (1,816,796)
Net cash used in financing activities   (1,805,333,093)  (943,014,252)
Net (decrease) / increase in cash and cash equivalents    (716,963,719)  196,123,264 
Cash and cash equivale</t>
  </si>
  <si>
    <t>yment of long term finances   (1,071,920,204)  (1,306,783,590)
Own shares purchased for cancellation 4.3  (456,701,404) – 
Dividend paid   (172,829)  (549,503)
Net cash used in financing activities   (1,528,794,437)  (1,805,333,093)
Net increase / (decrease) in cash and cash equivalents    452,771,561   (716,963,719)
Cash and cash equiva</t>
  </si>
  <si>
    <t>,920,204)
Short term borrowings – net   –     –   
Own shares purchased for cancellation 4.3  (413,245,172)  (456,701,404)
Dividend paid   (136,289)  (172,829)
Net cash used in financing activities   (1,447,737,336)  (1,528,794,437)
Net increase in cash and cash equivalents    169,111,979     452,771,561 
Cash and cash equivalents at beg</t>
  </si>
  <si>
    <t>owings 44  (100,102,104)  (828,789,900)
Own shares purchased for cancellation 4.3 &amp; 44  (4,709,365,225)  (413,245,172)
Dividend paid 44  (3,157,674)  (136,289)
Net cash used in financing activities   (4,631,639,217)  (1,447,737,336)
Net increase in cash and cash equivalents    348,053,551   169,111,979 
Cash and cash equivalents at begin</t>
  </si>
  <si>
    <t>ort term borrowings 44  (100,102,104)  (828,789,900)
Own shares purchased for cancellation 4.3 &amp; 44  (4,709,365,225)  (413,245,172)
Dividend paid 44  (3,157,674)  (136,289)
Net cash used in financing activities   (4,631,639,217)  (1,447,737,336)
Net increase in cash and cash equivalents    348,053,551   169,111,979 
Cash and cash equivalen</t>
  </si>
  <si>
    <t>ancial Officer
  Note  2021  2020
  (PKR in ‘000’)
ASSETS  
NON-CURRENT ASSETS  
 Fixed assets
 Property
, plant and equipment
 5
  62,389,947 
 60,247,570 
 Intangible assets
 6
  670 
 11,323 
    62,390,617 
 60,258,893 
 Long-term investments
 7
  53,194,485 
  47,144,485 
 Long-term loans and advances
 8
  98,655 
  87,008 
 L</t>
  </si>
  <si>
    <t>Financial Position
as at June 30, 2022
  Note 2022 2021
   (PKR in ‘000’)
ASSETS 
NON-CURRENT ASSETS 
  Property, plant and equipment 5  82,301,050  62,389,947 
 Intangible assets 6  51,352  670 
     82,352,402  62,390,617 
 Long-term investments 7  57,594,485   53,194,485 
 Long-term loans and advances 8  191,684   98,655 
 Long-term d</t>
  </si>
  <si>
    <t>ition
as at June 30, 2023
  Note 2023 2022
   (PKR in ‘000’)
ASSETS 
NON-CURRENT ASSETS 
 Fixed assets 
 Property, plant and equipment 5  95,620,306  82,301,050 
 Intangible assets 6  85,588  51,352 
     95,705,894  82,352,402 
 Long-term investments 7  57,594,485   57,594,485 
 Long-term loans and advances 8  194,204   191,684 
 Long-te</t>
  </si>
  <si>
    <t>t June 30, 2024
  Note  2024  2023
  (PKR in ‘000’)
ASSETS
NON-CURRENT ASSETS
 Fixed assets
 Property, plant and equipment
 5
  107,258,973 
 95,620,306 
 Intangible assets
 6
  69,394 
 85,588 
    107,328,367 
 95,705,894 
 Long-term investments
 7
  58,072,373 
  57,594,485 
 Long-term loans and advances
 8
  157,424 
  194,2</t>
  </si>
  <si>
    <t>Financial Position
as at June 30, 2025
  Note 2025 2024
   (PKR in ‘000’)
ASSETS 
NON-CURRENT ASSETS 
 Property, plant and equipment 5  107,409,588  107,258,973 
 Intangible assets 6  46,229  69,394 
     107,455,817   107,328,367 
 Long-term investments 7  58,555,707   58,072,373 
 Long-term loans, advances and deposits 8  189,147   165,</t>
  </si>
  <si>
    <t>Statement of 
Financial Position
as at June 30, 2025
  Note 2025 2024
   (PKR in ‘000’)
ASSETS 
NON-CURRENT ASSETS 
 Property, plant and equipment 5  107,409,588  107,258,973 
 Intangible assets 6  46,229  69,394 
     107,455,817   107,328,367 
 Long-term investments 7  58,555,707   58,072,373 
 Long-term loans, advances and deposits 8  1</t>
  </si>
  <si>
    <t>5.
 PROPERTY
, PLANT AND EQUIPMENT
 Operating fixed assets - tangible
 5.1
  58,033,791 
  59,650,770 
 Capital work
-in-progress
 5.5
  4,015,044 
  334,191 
 Capital spares
   341,112 
  262,609 
   62,389,947 
  60,247,570 
217
ANNUAL
REPORT2021
25 YEARS OF EXCELLENCE
COMMITTED TO NATIONAL DEVELOPMENT</t>
  </si>
  <si>
    <t>5. PROPERTY , PLANT AND EQUIPMENT
 Operating fixed assets - tangible 5.1  59,972,785   58,033,791 
 Capital work-in-progress 5.5  21,911,214   4,015,044 
 Capital spares   417,051   341,112 
    82,301,050   62,389,947 
235</t>
  </si>
  <si>
    <t>’)
5. PROPERTY, PLANT AND EQUIPMENT
 Operating fixed assets - tangible 5.1  89,745,225   59,972,785 
 Capital work-in-progress 5.5  5,562,145   21,911,214 
 Capital spares   312,936   417,051 
    95,620,306   82,301,050
243</t>
  </si>
  <si>
    <t>PROPERTY, PLANT AND EQUIPMENT
 Operating fixed assets - tangible
 5.1
  95,010,370 
  89,745,225 
 Capital work-in-progress
 5.5
  11,633,303 
  5,562,145 
 Capital spares
   615,300 
  312,936 
   107,258,973 
  95,620,306 
248</t>
  </si>
  <si>
    <t>(PKR in ‘000’)
5. PROPERTY, PLANT AND EQUIPMENT
 Operating fixed assets 5.1  100,883,552   95,010,370 
 Capital work-in-progress 5.5  5,420,742   11,633,303 
 Capital spares   1,105,294   615,300 
      107,409,588   107,258,973      
250
ANNUAL
REPORT 2025</t>
  </si>
  <si>
    <t>te 2025 2024
   (PKR in ‘000’)
5. PROPERTY, PLANT AND EQUIPMENT
 Operating fixed assets 5.1  100,883,552   95,010,370 
 Capital work-in-progress 5.5  5,420,742   11,633,303 
 Capital spares   1,105,294   615,300 
      107,409,588   107,258,973      
250
ANNUAL
REPORT 2025</t>
  </si>
  <si>
    <t>206
STRENGTHENING
PAKISTAN
UNCONSOLIDATED STATEMENT 
OF FINANCIAL POSITION
as at June 30, 2021
Muhammad Ali Tabba
Chief Executive
Muhammad Yunus Tabb | Right-of-use assets (presented separately)</t>
  </si>
  <si>
    <t>Unconsolidated Statement of 
Financial Position
as at June 30, 2022
  Note 2022 2021
   (PKR in ‘000’)
ASSETS 
NON-CURRENT ASSETS 
  Property, plant  | Right-of-use assets (presented separately)</t>
  </si>
  <si>
    <t>Unconsolidated Statement of 
Financial Position
as at June 30, 2023
  Note 2023 2022
   (PKR in ‘000’)
ASSETS 
NON-CURRENT ASSETS 
 Fixed assets 
 Pr | Right-of-use assets (presented separately)</t>
  </si>
  <si>
    <t>Unconsolidated Statement of 
Financial Position
as at June 30, 2024
  Note  2024  2023
  (PKR in ‘000’)
ASSETS
NON-CURRENT ASSETS
 Fixed assets | Right-of-use assets (presented separately)</t>
  </si>
  <si>
    <t>Unconsolidated Statement of 
Financial Position
as at June 30, 2025
  Note 2025 2024
   (PKR in ‘000’)
ASSETS 
NON-CURRENT ASSETS 
 Property, plant a | Right-of-use assets (presented separately)</t>
  </si>
  <si>
    <t>in ‘000’)
ASSETS  
NON-CURRENT ASSETS  
 Fixed assets
 Property
, plant and equipment
 5
  62,389,947 
 60,247,570 
 Intangible assets
 6
  670 
 11,323 
    62,390,617 
 60,258,893 
 Long-term investments
 7
  53,194,485 
  47,144,485 
 Long-term loans and advances
 8
  98,655 
  87,008 
 Long-term deposits
 9
  7,937 
 3,175</t>
  </si>
  <si>
    <t>Note 2022 2021
   (PKR in ‘000’)
ASSETS 
NON-CURRENT ASSETS 
  Property, plant and equipment 5  82,301,050  62,389,947 
 Intangible assets 6  51,352  670 
     82,352,402  62,390,617 
 Long-term investments 7  57,594,485   53,194,485 
 Long-term loans and advances 8  191,684   98,655 
 Long-term deposits 9  8,106  7,937 
     140,1</t>
  </si>
  <si>
    <t>(PKR in ‘000’)
ASSETS 
NON-CURRENT ASSETS 
 Fixed assets 
 Property, plant and equipment 5  95,620,306  82,301,050 
 Intangible assets 6  85,588  51,352 
     95,705,894  82,352,402 
 Long-term investments 7  57,594,485   57,594,485 
 Long-term loans and advances 8  194,204   191,684 
 Long-term deposits 9  7,842  8,106 
     153,</t>
  </si>
  <si>
    <t>n ‘000’)
ASSETS
NON-CURRENT ASSETS
 Fixed assets
 Property, plant and equipment
 5
  107,258,973 
 95,620,306 
 Intangible assets
 6
  69,394 
 85,588 
    107,328,367 
 95,705,894 
 Long-term investments
 7
  58,072,373 
  57,594,485 
 Long-term loans and advances
 8
  157,424 
  194,204 
 Long-term deposits
 9
  7,842 
 7,84</t>
  </si>
  <si>
    <t>ote 2025 2024
   (PKR in ‘000’)
ASSETS 
NON-CURRENT ASSETS 
 Property, plant and equipment 5  107,409,588  107,258,973 
 Intangible assets 6  46,229  69,394 
     107,455,817   107,328,367 
 Long-term investments 7  58,555,707   58,072,373 
 Long-term loans, advances and deposits 8  189,147   165,266 
     166,200,671   165,566,006 
C</t>
  </si>
  <si>
    <t>2025
  Note 2025 2024
   (PKR in ‘000’)
ASSETS 
NON-CURRENT ASSETS 
 Property, plant and equipment 5  107,409,588  107,258,973 
 Intangible assets 6  46,229  69,394 
     107,455,817   107,328,367 
 Long-term investments 7  58,555,707   58,072,373 
 Long-term loans, advances and deposits 8  189,147   165,266 
     166,200,671   165,56</t>
  </si>
  <si>
    <t>206
STRENGTHENING
PAKISTAN
UNCONSOLIDATED STATEMENT 
OF FINANCIAL POSITION
as at June 30, 2021
Muhammad Ali Tabba
Chief Executive
Muhammad Yunus Tabb | Investment property</t>
  </si>
  <si>
    <t>Unconsolidated Statement of 
Financial Position
as at June 30, 2022
  Note 2022 2021
   (PKR in ‘000’)
ASSETS 
NON-CURRENT ASSETS 
  Property, plant  | Investment property</t>
  </si>
  <si>
    <t>Unconsolidated Statement of 
Financial Position
as at June 30, 2023
  Note 2023 2022
   (PKR in ‘000’)
ASSETS 
NON-CURRENT ASSETS 
 Fixed assets 
 Pr | Investment property</t>
  </si>
  <si>
    <t>Unconsolidated Statement of 
Financial Position
as at June 30, 2024
  Note  2024  2023
  (PKR in ‘000’)
ASSETS
NON-CURRENT ASSETS
 Fixed assets | Investment property</t>
  </si>
  <si>
    <t>Unconsolidated Statement of 
Financial Position
as at June 30, 2025
  Note 2025 2024
   (PKR in ‘000’)
ASSETS 
NON-CURRENT ASSETS 
 Property, plant a | Investment property</t>
  </si>
  <si>
    <t>quipment
 5
  62,389,947 
 60,247,570 
 Intangible assets
 6
  670 
 11,323 
    62,390,617 
 60,258,893 
 Long-term investments
 7
  53,194,485 
  47,144,485 
 Long-term loans and advances
 8
  98,655 
  87,008 
 Long-term deposits
 9
  7,937 
 3,175 
    115,691,694 
 107,493,561 
CURRENT AS
SETS  
 Stores and spares  10   10,526,57</t>
  </si>
  <si>
    <t>plant and equipment 5  82,301,050  62,389,947 
 Intangible assets 6  51,352  670 
     82,352,402  62,390,617 
 Long-term investments 7  57,594,485   53,194,485 
 Long-term loans and advances 8  191,684   98,655 
 Long-term deposits 9  8,106  7,937 
     140,146,677  115,691,694 
CURRENT ASSETS 
 Stores and spares 10  11,206,843   10,526,</t>
  </si>
  <si>
    <t>Property, plant and equipment 5  95,620,306  82,301,050 
 Intangible assets 6  85,588  51,352 
     95,705,894  82,352,402 
 Long-term investments 7  57,594,485   57,594,485 
 Long-term loans and advances 8  194,204   191,684 
 Long-term deposits 9  7,842  8,106 
     153,502,425  140,146,677 
CURRENT ASSETS 
 Stores and spares 10  14,084</t>
  </si>
  <si>
    <t>ent
 5
  107,258,973 
 95,620,306 
 Intangible assets
 6
  69,394 
 85,588 
    107,328,367 
 95,705,894 
 Long-term investments
 7
  58,072,373 
  57,594,485 
 Long-term loans and advances
 8
  157,424 
  194,204 
 Long-term deposits
 9
  7,842 
 7,842 
    165,566,006 
 153,502,425 
CURRENT ASSETS
 Stores and spares
 10
  14,591,8</t>
  </si>
  <si>
    <t>d equipment 5  107,409,588  107,258,973 
 Intangible assets 6  46,229  69,394 
     107,455,817   107,328,367 
 Long-term investments 7  58,555,707   58,072,373 
 Long-term loans, advances and deposits 8  189,147   165,266 
     166,200,671   165,566,006 
CURRENT ASSETS 
 Stores and spares 9  19,895,130   14,591,821 
 Stock-in-trade 10  4</t>
  </si>
  <si>
    <t>rty, plant and equipment 5  107,409,588  107,258,973 
 Intangible assets 6  46,229  69,394 
     107,455,817   107,328,367 
 Long-term investments 7  58,555,707   58,072,373 
 Long-term loans, advances and deposits 8  189,147   165,266 
     166,200,671   165,566,006 
CURRENT ASSETS 
 Stores and spares 9  19,895,130   14,591,821 
 Stock-i</t>
  </si>
  <si>
    <t>206
STRENGTHENING
PAKISTAN
UNCONSOLIDATED STATEMENT 
OF FINANCIAL POSITION
as at June 30, 2021
Muhammad Ali Tabba
Chief Executive
Muhammad Yunus Tabba
Chairman / Director
Atif Kal | Components: Long-term deposits; Long-term loans and advances</t>
  </si>
  <si>
    <t>Unconsolidated Statement of 
Financial Position
as at June 30, 2022
  Note 2022 2021
   (PKR in ‘000’)
ASSETS 
NON-CURRENT ASSETS 
  Property, plant and equipment 5  82,301,050  6 | Components: Long-term deposits; Long-term loans and advances</t>
  </si>
  <si>
    <t>Unconsolidated Statement of 
Financial Position
as at June 30, 2023
  Note 2023 2022
   (PKR in ‘000’)
ASSETS 
NON-CURRENT ASSETS 
 Fixed assets 
 Property, plant and equipment 5  | Components: Long-term deposits; Long-term loans and advances</t>
  </si>
  <si>
    <t>Unconsolidated Statement of 
Financial Position
as at June 30, 2024
  Note  2024  2023
  (PKR in ‘000’)
ASSETS
NON-CURRENT ASSETS
 Fixed assets
 Property, plant and equipm | Components: Long-term deposits; Long-term loans and advances</t>
  </si>
  <si>
    <t>,229  69,394 
     107,455,817   107,328,367 
 Long-term investments 7  58,555,707   58,072,373 
 Long-term loans, advances and deposits 8  189,147   165,266 
     166,200,671   165,566,006 
CURRENT ASSETS 
 Stores and spares 9  19,895,130   14,591,821 
 Stock-in-trade 10  4,774,577   8,505,426 
 Trade debts 11  6,353,194   6,932,479</t>
  </si>
  <si>
    <t>sets 6  46,229  69,394 
     107,455,817   107,328,367 
 Long-term investments 7  58,555,707   58,072,373 
 Long-term loans, advances and deposits 8  189,147   165,266 
     166,200,671   165,566,006 
CURRENT ASSETS 
 Stores and spares 9  19,895,130   14,591,821 
 Stock-in-trade 10  4,774,577   8,505,426 
 Trade debts 11  6,353,194   6</t>
  </si>
  <si>
    <t>98,655 
  87,008 
 Long-term deposits
 9
  7,937 
 3,175 
    115,691,694 
 107,493,561 
CURRENT AS
SETS  
 Stores and spares  10   10,526,573   6,520,170 
 Stock
-in-trade
 11
  3,105,037 
  2,915,552 
 T
rade debts
 12
  2,710,081 
  3,422,767 
 Loans and advances
 13
  944,987 
  390,966 
 T
rade deposits and short-term prepaymen</t>
  </si>
  <si>
    <t>advances 8  191,684   98,655 
 Long-term deposits 9  8,106  7,937 
     140,146,677  115,691,694 
CURRENT ASSETS 
 Stores and spares 10  11,206,843   10,526,573 
 Stock-in-trade 11  7,171,364   3,105,037 
 Trade debts 12  3,522,931   2,710,081 
 Loans and advances 13  735,337   944,987 
 Trade deposits and short-term prepayments 14  140,5</t>
  </si>
  <si>
    <t>dvances 8  194,204   191,684 
 Long-term deposits 9  7,842  8,106 
     153,502,425  140,146,677 
CURRENT ASSETS 
 Stores and spares 10  14,084,018   11,206,843 
 Stock-in-trade 11  6,048,507   7,171,364 
 Trade debts 12  5,089,667   3,522,931 
 Loans and advances 13  749,292   735,337 
 Trade deposits and short-term prepayments 14  2,153</t>
  </si>
  <si>
    <t>157,424 
  194,204 
 Long-term deposits
 9
  7,842 
 7,842 
    165,566,006 
 153,502,425 
CURRENT ASSETS
 Stores and spares
 10
  14,591,821 
  14,084,018 
 Stock-in-trade
 11
  8,505,426 
  6,048,507 
 Trade debts
 12
  6,932,479 
  5,089,667 
 Loans and advances
 13
  964,732 
  749,292 
 Trade deposits and short-term prepayments</t>
  </si>
  <si>
    <t>373 
 Long-term loans, advances and deposits 8  189,147   165,266 
     166,200,671   165,566,006 
CURRENT ASSETS 
 Stores and spares 9  19,895,130   14,591,821 
 Stock-in-trade 10  4,774,577   8,505,426 
 Trade debts 11  6,353,194   6,932,479 
 Loans and advances 12  1,518,578   964,732 
 Deposits and prepayments 13  356,771   158,422</t>
  </si>
  <si>
    <t>707   58,072,373 
 Long-term loans, advances and deposits 8  189,147   165,266 
     166,200,671   165,566,006 
CURRENT ASSETS 
 Stores and spares 9  19,895,130   14,591,821 
 Stock-in-trade 10  4,774,577   8,505,426 
 Trade debts 11  6,353,194   6,932,479 
 Loans and advances 12  1,518,578   964,732 
 Deposits and prepayments 13  356,771</t>
  </si>
  <si>
    <t>,937 
 3,175 
    115,691,694 
 107,493,561 
CURRENT AS
SETS  
 Stores and spares  10   10,526,573   6,520,170 
 Stock
-in-trade
 11
  3,105,037 
  2,915,552 
 T
rade debts
 12
  2,710,081 
  3,422,767 
 Loans and advances
 13
  944,987 
  390,966 
 T
rade deposits and short-term prepayments
 14
  85,403 
  81,169 
 Accrued return
   2</t>
  </si>
  <si>
    <t>osits 9  8,106  7,937 
     140,146,677  115,691,694 
CURRENT ASSETS 
 Stores and spares 10  11,206,843   10,526,573 
 Stock-in-trade 11  7,171,364   3,105,037 
 Trade debts 12  3,522,931   2,710,081 
 Loans and advances 13  735,337   944,987 
 Trade deposits and short-term prepayments 14  140,532   85,403 
 Accrued return   39,316   22,</t>
  </si>
  <si>
    <t>osits 9  7,842  8,106 
     153,502,425  140,146,677 
CURRENT ASSETS 
 Stores and spares 10  14,084,018   11,206,843 
 Stock-in-trade 11  6,048,507   7,171,364 
 Trade debts 12  5,089,667   3,522,931 
 Loans and advances 13  749,292   735,337 
 Trade deposits and short-term prepayments 14  2,153,705   140,532 
 Accrued return   100,079</t>
  </si>
  <si>
    <t>,842 
 7,842 
    165,566,006 
 153,502,425 
CURRENT ASSETS
 Stores and spares
 10
  14,591,821 
  14,084,018 
 Stock-in-trade
 11
  8,505,426 
  6,048,507 
 Trade debts
 12
  6,932,479 
  5,089,667 
 Loans and advances
 13
  964,732 
  749,292 
 Trade deposits and short-term prepayments
 14
  158,422 
  2,153,705 
 Accrued return</t>
  </si>
  <si>
    <t>8  189,147   165,266 
     166,200,671   165,566,006 
CURRENT ASSETS 
 Stores and spares 9  19,895,130   14,591,821 
 Stock-in-trade 10  4,774,577   8,505,426 
 Trade debts 11  6,353,194   6,932,479 
 Loans and advances 12  1,518,578   964,732 
 Deposits and prepayments 13  356,771   158,422 
 Other receivables 14  3,021,922   4,355,588</t>
  </si>
  <si>
    <t>and deposits 8  189,147   165,266 
     166,200,671   165,566,006 
CURRENT ASSETS 
 Stores and spares 9  19,895,130   14,591,821 
 Stock-in-trade 10  4,774,577   8,505,426 
 Trade debts 11  6,353,194   6,932,479 
 Loans and advances 12  1,518,578   964,732 
 Deposits and prepayments 13  356,771   158,422 
 Other receivables 14  3,021,922</t>
  </si>
  <si>
    <t>1 
CURRENT AS
SETS  
 Stores and spares  10   10,526,573   6,520,170 
 Stock
-in-trade
 11
  3,105,037 
  2,915,552 
 T
rade debts
 12
  2,710,081 
  3,422,767 
 Loans and advances
 13
  944,987 
  390,966 
 T
rade deposits and short-term prepayments
 14
  85,403 
  81,169 
 Accrued return
   22,309 
  47,572 
 Other receivables
 15
  3,</t>
  </si>
  <si>
    <t>115,691,694 
CURRENT ASSETS 
 Stores and spares 10  11,206,843   10,526,573 
 Stock-in-trade 11  7,171,364   3,105,037 
 Trade debts 12  3,522,931   2,710,081 
 Loans and advances 13  735,337   944,987 
 Trade deposits and short-term prepayments 14  140,532   85,403 
 Accrued return   39,316   22,309 
 Other receivables 15  4,838,323</t>
  </si>
  <si>
    <t>140,146,677 
CURRENT ASSETS 
 Stores and spares 10  14,084,018   11,206,843 
 Stock-in-trade 11  6,048,507   7,171,364 
 Trade debts 12  5,089,667   3,522,931 
 Loans and advances 13  749,292   735,337 
 Trade deposits and short-term prepayments 14  2,153,705   140,532 
 Accrued return   100,079   39,316 
 Other receivables 15  4,797,88</t>
  </si>
  <si>
    <t>25 
CURRENT ASSETS
 Stores and spares
 10
  14,591,821 
  14,084,018 
 Stock-in-trade
 11
  8,505,426 
  6,048,507 
 Trade debts
 12
  6,932,479 
  5,089,667 
 Loans and advances
 13
  964,732 
  749,292 
 Trade deposits and short-term prepayments
 14
  158,422 
  2,153,705 
 Accrued return
   35,076 
  100,079 
 Other receivables
 15</t>
  </si>
  <si>
    <t>165,566,006 
CURRENT ASSETS 
 Stores and spares 9  19,895,130   14,591,821 
 Stock-in-trade 10  4,774,577   8,505,426 
 Trade debts 11  6,353,194   6,932,479 
 Loans and advances 12  1,518,578   964,732 
 Deposits and prepayments 13  356,771   158,422 
 Other receivables 14  3,021,922   4,355,588 
 Tax refunds due from the Government 1</t>
  </si>
  <si>
    <t>166,200,671   165,566,006 
CURRENT ASSETS 
 Stores and spares 9  19,895,130   14,591,821 
 Stock-in-trade 10  4,774,577   8,505,426 
 Trade debts 11  6,353,194   6,932,479 
 Loans and advances 12  1,518,578   964,732 
 Deposits and prepayments 13  356,771   158,422 
 Other receivables 14  3,021,922   4,355,588 
 Tax refunds due from the</t>
  </si>
  <si>
    <t>receivables
 15
  3,690,639 
  3,670,300 
 T
ax refunds due from the Government
 16
  538,812 
  538,812 
 Short term investments
 17
  16,227,103 
  2,970,999 
 Cash and bank balances
 18
  2,825,424 
  7,816,606 
    40,676,368 
  28,374,913 
TOT
AL ASSETS
   156,368,062 
  135,868,474 
EQUITY AND LIABILITIES
SHARE CAPIT
AL AND</t>
  </si>
  <si>
    <t>Other receivables 15  4,838,323   3,690,639 
 T ax refunds due from the Government 16  538,812   538,812 
 Short-term investments 17  12,751,155   16,227,103 
 Cash and bank balances 18  3,871,078   2,825,424 
     44,815,691   40,676,368 
TOTAL ASSETS   184,962,368   156,368,062 
EQUITY AND LIABILITIES 
SHARE CAPITAL AND RESERVES</t>
  </si>
  <si>
    <t>6 
 Other receivables 15  4,797,885   4,838,323 
 Tax refunds due from the Government 16  538,812   538,812 
 Short-term investments 17  21,898,496   12,751,155 
 Cash and bank balances 18  4,116,181   3,871,078 
     59,576,642   44,815,691 
TOTAL ASSETS   213,079,067   184,962,368 
EQUITY AND LIABILITIES 
SHARE CAPITAL AND RESERVES</t>
  </si>
  <si>
    <t>receivables
 15
  4,320,512 
  4,797,885 
 Tax refunds due from the Government
 16
  538,812 
  538,812 
 Short-term investments
 17
  29,837,628 
  21,898,496 
 Cash and bank balances
 18
  2,567,176 
  4,116,181 
    68,452,084 
  59,576,642 
TOTAL ASSETS
   234,018,090 
  213,079,067 
EQUITY AND LIABILITIES
SHARE CAPITAL AND R</t>
  </si>
  <si>
    <t>2 
 Other receivables 14  3,021,922   4,355,588 
 Tax refunds due from the Government 15  538,812   538,812 
 Short-term investments 16  61,298,052   29,837,628 
 Cash and bank balances 17  2,790,323   2,567,176 
     100,547,359   68,452,084 
TOTAL ASSETS   266,748,030   234,018,090 
EQUITY AND LIABILITIES 
SHARE CAPITAL AND RESERVES</t>
  </si>
  <si>
    <t>,771   158,422 
 Other receivables 14  3,021,922   4,355,588 
 Tax refunds due from the Government 15  538,812   538,812 
 Short-term investments 16  61,298,052   29,837,628 
 Cash and bank balances 17  2,790,323   2,567,176 
     100,547,359   68,452,084 
TOTAL ASSETS   266,748,030   234,018,090 
EQUITY AND LIABILITIES 
SHARE CAPITAL</t>
  </si>
  <si>
    <t>s due from the Government
 16
  538,812 
  538,812 
 Short term investments
 17
  16,227,103 
  2,970,999 
 Cash and bank balances
 18
  2,825,424 
  7,816,606 
    40,676,368 
  28,374,913 
TOT
AL ASSETS
   156,368,062 
  135,868,474 
EQUITY AND LIABILITIES
SHARE CAPIT
AL AND RESERVES
 Issued, subscribed and paid-up share capi</t>
  </si>
  <si>
    <t>x refunds due from the Government 16  538,812   538,812 
 Short-term investments 17  12,751,155   16,227,103 
 Cash and bank balances 18  3,871,078   2,825,424 
     44,815,691   40,676,368 
TOTAL ASSETS   184,962,368   156,368,062 
EQUITY AND LIABILITIES 
SHARE CAPITAL AND RESERVES 
 Issued, subscribed and paid-up share capital 19</t>
  </si>
  <si>
    <t>x refunds due from the Government 16  538,812   538,812 
 Short-term investments 17  21,898,496   12,751,155 
 Cash and bank balances 18  4,116,181   3,871,078 
     59,576,642   44,815,691 
TOTAL ASSETS   213,079,067   184,962,368 
EQUITY AND LIABILITIES 
SHARE CAPITAL AND RESERVES 
 Issued, subscribed and paid-up share capital 19  3,</t>
  </si>
  <si>
    <t>due from the Government
 16
  538,812 
  538,812 
 Short-term investments
 17
  29,837,628 
  21,898,496 
 Cash and bank balances
 18
  2,567,176 
  4,116,181 
    68,452,084 
  59,576,642 
TOTAL ASSETS
   234,018,090 
  213,079,067 
EQUITY AND LIABILITIES
SHARE CAPITAL AND RESERVES
 Share capital
 19
  2,930,000 
  3,118,386</t>
  </si>
  <si>
    <t>x refunds due from the Government 15  538,812   538,812 
 Short-term investments 16  61,298,052   29,837,628 
 Cash and bank balances 17  2,790,323   2,567,176 
     100,547,359   68,452,084 
TOTAL ASSETS   266,748,030   234,018,090 
EQUITY AND LIABILITIES 
SHARE CAPITAL AND RESERVES 
 Share capital 18  2,930,000   2,930,000 
 Reserv</t>
  </si>
  <si>
    <t>355,588 
 Tax refunds due from the Government 15  538,812   538,812 
 Short-term investments 16  61,298,052   29,837,628 
 Cash and bank balances 17  2,790,323   2,567,176 
     100,547,359   68,452,084 
TOTAL ASSETS   266,748,030   234,018,090 
EQUITY AND LIABILITIES 
SHARE CAPITAL AND RESERVES 
 Share capital 18  2,930,000   2,930,</t>
  </si>
  <si>
    <t>206
STRENGTHENING
PAKISTAN
UNCONSOLIDATED STATEMENT 
OF FINANCIAL POSITION
as at June 30, 2021
Muhammad Ali Tabba
Chief Executive
Muhammad Yunus Tabba
Chairman / Director
Atif Kal | Components: Accrued return; Loans and advances; Other receivables; Tax refunds due from the Government; Trade deposits and short-ter</t>
  </si>
  <si>
    <t>Unconsolidated Statement of 
Financial Position
as at June 30, 2022
  Note 2022 2021
   (PKR in ‘000’)
ASSETS 
NON-CURRENT ASSETS 
  Property, plant and equipment 5  82,301,050  6 | Components: Accrued return; Loans and advances; Other receivables; Tax refunds due from the Government; Trade deposits and short-ter</t>
  </si>
  <si>
    <t>Unconsolidated Statement of 
Financial Position
as at June 30, 2023
  Note 2023 2022
   (PKR in ‘000’)
ASSETS 
NON-CURRENT ASSETS 
 Fixed assets 
 Property, plant and equipment 5  | Components: Accrued return; Loans and advances; Other receivables; Tax refunds due from the Government; Trade deposits and short-ter</t>
  </si>
  <si>
    <t>Unconsolidated Statement of 
Financial Position
as at June 30, 2024
  Note  2024  2023
  (PKR in ‘000’)
ASSETS
NON-CURRENT ASSETS
 Fixed assets
 Property, plant and equipm | Components: Accrued return; Loans and advances; Other receivables; Tax refunds due from the Government; Trade deposits and short-ter</t>
  </si>
  <si>
    <t>Unconsolidated Statement of 
Financial Position
as at June 30, 2025
  Note 2025 2024
   (PKR in ‘000’)
ASSETS 
NON-CURRENT ASSETS 
 Property, plant and equipment 5  107,409,588  1 | Components: Deposits and prepayments; Loans and advances; Other receivables; Tax refunds due from the Government</t>
  </si>
  <si>
    <t>ASSETS
   156,368,062 
  135,868,474 
EQUITY AND LIABILITIES
SHARE CAPIT
AL AND RESERVES
 Issued, subscribed and paid-up share capital
 19
  3,233,750 
  3,233,750 
 Reserves
 20
  109,966,508 
  95,950,111 
    113,200,258 
  99,183,861 
NON-CURRENT LIABILITIES
 Long-term deposits
 21
  243,633 
  233,062 
 Long-term loans</t>
  </si>
  <si>
    <t>TOTAL ASSETS   184,962,368   156,368,062 
EQUITY AND LIABILITIES 
SHARE CAPITAL AND RESERVES 
 Issued, subscribed and paid-up share capital 19  3,233,750   3,233,750 
 Reserves 20  125,306,574   109,966,508 
     128,540,324   113,200,258 
NON-CURRENT LIABILITIES 
 Long-term deposits 21  250,332   243,633 
 Long-term loans 22  14,1</t>
  </si>
  <si>
    <t>SETS   213,079,067   184,962,368 
EQUITY AND LIABILITIES 
SHARE CAPITAL AND RESERVES 
 Issued, subscribed and paid-up share capital 19  3,118,386   3,233,750 
 Reserves 20  134,247,940   125,306,574 
     137,366,326   128,540,324 
NON-CURRENT LIABILITIES 
 Long-term deposits 21  252,837   250,332 
 Long-term loans 22  14,557,294   14,</t>
  </si>
  <si>
    <t>59,576,642 
TOTAL ASSETS
   234,018,090 
  213,079,067 
EQUITY AND LIABILITIES
SHARE CAPITAL AND RESERVES
 Share capital
 19
  2,930,000 
  3,118,386 
 Reserves
 20
  144,831,277 
  134,247,940 
    147,761,277 
  137,366,326 
NON-CURRENT LIABILITIES
 Long-term deposits
 21
  255,087 
  252,837 
 Long-term loans
 22
  12,76</t>
  </si>
  <si>
    <t>100,547,359   68,452,084 
TOTAL ASSETS   266,748,030   234,018,090 
EQUITY AND LIABILITIES 
SHARE CAPITAL AND RESERVES 
 Share capital 18  2,930,000   2,930,000 
 Reserves 19  172,980,400   144,831,277 
     175,910,400   147,761,277 
NON-CURRENT LIABILITIES 
 Long-term deposits 20  114,200   255,087 
 Long-term financing 21</t>
  </si>
  <si>
    <t>BILITIES
SHARE CAPIT
AL AND RESERVES
 Issued, subscribed and paid-up share capital
 19
  3,233,750 
  3,233,750 
 Reserves
 20
  109,966,508 
  95,950,111 
    113,200,258 
  99,183,861 
NON-CURRENT LIABILITIES
 Long-term deposits
 21
  243,633 
  233,062 
 Long-term loans
 22
  2,934,044 
  320,461 
 Deferred Government grant</t>
  </si>
  <si>
    <t>Y AND LIABILITIES 
SHARE CAPITAL AND RESERVES 
 Issued, subscribed and paid-up share capital 19  3,233,750   3,233,750 
 Reserves 20  125,306,574   109,966,508 
     128,540,324   113,200,258 
NON-CURRENT LIABILITIES 
 Long-term deposits 21  250,332   243,633 
 Long-term loans 22  14,108,446   2,934,044 
 Deferred Government grant 23  2,</t>
  </si>
  <si>
    <t>Y AND LIABILITIES 
SHARE CAPITAL AND RESERVES 
 Issued, subscribed and paid-up share capital 19  3,118,386   3,233,750 
 Reserves 20  134,247,940   125,306,574 
     137,366,326   128,540,324 
NON-CURRENT LIABILITIES 
 Long-term deposits 21  252,837   250,332 
 Long-term loans 22  14,557,294   14,108,446 
 Deferred Government grant 23  2</t>
  </si>
  <si>
    <t>213,079,067 
EQUITY AND LIABILITIES
SHARE CAPITAL AND RESERVES
 Share capital
 19
  2,930,000 
  3,118,386 
 Reserves
 20
  144,831,277 
  134,247,940 
    147,761,277 
  137,366,326 
NON-CURRENT LIABILITIES
 Long-term deposits
 21
  255,087 
  252,837 
 Long-term loans
 22
  12,760,637 
  14,557,294 
 Deferred Government gr</t>
  </si>
  <si>
    <t>,748,030   234,018,090 
EQUITY AND LIABILITIES 
SHARE CAPITAL AND RESERVES 
 Share capital 18  2,930,000   2,930,000 
 Reserves 19  172,980,400   144,831,277 
     175,910,400   147,761,277 
NON-CURRENT LIABILITIES 
 Long-term deposits 20  114,200   255,087 
 Long-term financing 21  9,184,522   12,760,637 
 Deferred Government grant 22</t>
  </si>
  <si>
    <t>L ASSETS   266,748,030   234,018,090 
EQUITY AND LIABILITIES 
SHARE CAPITAL AND RESERVES 
 Share capital 18  2,930,000   2,930,000 
 Reserves 19  172,980,400   144,831,277 
     175,910,400   147,761,277 
NON-CURRENT LIABILITIES 
 Long-term deposits 20  114,200   255,087 
 Long-term financing 21  9,184,522   12,760,637 
 Deferred Gover</t>
  </si>
  <si>
    <t>50,111 
    113,200,258 
  99,183,861 
NON-CURRENT LIABILITIES
 Long-term deposits
 21
  243,633 
  233,062 
 Long-term loans
 22
  2,934,044 
  320,461 
 Deferred Government grant
 23
  1,107,940 
  59,720 
 Deferred liabilities
 - Staff gratuity - unfunded
  2,337,897
 1,948,457
 - Deferred tax liability
  6,157,224
 5,167,161</t>
  </si>
  <si>
    <t>109,966,508 
     128,540,324   113,200,258 
NON-CURRENT LIABILITIES 
 Long-term deposits 21  250,332   243,633 
 Long-term loans 22  14,108,446   2,934,044 
 Deferred Government grant 23  2,164,455   1,107,940 
 Deferred liabilities 
 - Staff gratuity - unfunded   2,596,281   2,337,897 
 - Deferred tax liability   6,941,172   6,157,2</t>
  </si>
  <si>
    <t>125,306,574 
     137,366,326   128,540,324 
NON-CURRENT LIABILITIES 
 Long-term deposits 21  252,837   250,332 
 Long-term loans 22  14,557,294   14,108,446 
 Deferred Government grant 23  2,121,307   2,164,455 
 Deferred liabilities 
 - Staff gratuity - unfunded   2,574,925   2,596,281 
 - Deferred tax liability   10,025,499   6,941,</t>
  </si>
  <si>
    <t>7,940 
    147,761,277 
  137,366,326 
NON-CURRENT LIABILITIES
 Long-term deposits
 21
  255,087 
  252,837 
 Long-term loans
 22
  12,760,637 
  14,557,294 
 Deferred Government grant
 23
  1,766,055 
  2,121,307 
 Deferred liabilities
 - Staff gratuity
   3,271,241 
  2,574,925 
 - Deferred tax liability
   14,015,320 
  10,025,49</t>
  </si>
  <si>
    <t>144,831,277 
     175,910,400   147,761,277 
NON-CURRENT LIABILITIES 
 Long-term deposits 20  114,200   255,087 
 Long-term financing 21  9,184,522   12,760,637 
 Deferred Government grant 22  1,382,651   1,766,055 
 Deferred liabilities 23  21,514,874   17,286,561 
     32,196,247   32,068,340 
CURRENT LIABILITIES 
 Trade and other payab</t>
  </si>
  <si>
    <t>2,980,400   144,831,277 
     175,910,400   147,761,277 
NON-CURRENT LIABILITIES 
 Long-term deposits 20  114,200   255,087 
 Long-term financing 21  9,184,522   12,760,637 
 Deferred Government grant 22  1,382,651   1,766,055 
 Deferred liabilities 23  21,514,874   17,286,561 
     32,196,247   32,068,340 
CURRENT LIABILITIES 
 Trade an</t>
  </si>
  <si>
    <t>206
STRENGTHENING
PAKISTAN
UNCONSOLIDATED STATEMENT 
OF FINANCIAL POSITION
as at June 30, 2021
Muhammad Ali Tabba
Chief Executive
Muhammad Yunus Tabb | Lease liabilities (non-current)</t>
  </si>
  <si>
    <t>Unconsolidated Statement of 
Financial Position
as at June 30, 2022
  Note 2022 2021
   (PKR in ‘000’)
ASSETS 
NON-CURRENT ASSETS 
  Property, plant  | Lease liabilities (non-current)</t>
  </si>
  <si>
    <t>Unconsolidated Statement of 
Financial Position
as at June 30, 2023
  Note 2023 2022
   (PKR in ‘000’)
ASSETS 
NON-CURRENT ASSETS 
 Fixed assets 
 Pr | Lease liabilities (non-current)</t>
  </si>
  <si>
    <t>Unconsolidated Statement of 
Financial Position
as at June 30, 2024
  Note  2024  2023
  (PKR in ‘000’)
ASSETS
NON-CURRENT ASSETS
 Fixed assets | Lease liabilities (non-current)</t>
  </si>
  <si>
    <t>Unconsolidated Statement of 
Financial Position
as at June 30, 2025
  Note 2025 2024
   (PKR in ‘000’)
ASSETS 
NON-CURRENT ASSETS 
 Property, plant a | Lease liabilities (non-current)</t>
  </si>
  <si>
    <t>ABILITIES
 Long-term deposits
 21
  243,633 
  233,062 
 Long-term loans
 22
  2,934,044 
  320,461 
 Deferred Government grant
 23
  1,107,940 
  59,720 
 Deferred liabilities
 - Staff gratuity - unfunded
  2,337,897
 1,948,457
 - Deferred tax liability
  6,157,224
 5,167,161
  24
  8,495,121 
  7,116,018 
    12,780,738 
  7,</t>
  </si>
  <si>
    <t>RRENT LIABILITIES 
 Long-term deposits 21  250,332   243,633 
 Long-term loans 22  14,108,446   2,934,044 
 Deferred Government grant 23  2,164,455   1,107,940 
 Deferred liabilities 
 - Staff gratuity - unfunded   2,596,281   2,337,897 
 - Deferred tax liability   6,941,172   6,157,224 
   24  9,537,453   8,495,121 
     26,060,686   12</t>
  </si>
  <si>
    <t>RENT LIABILITIES 
 Long-term deposits 21  252,837   250,332 
 Long-term loans 22  14,557,294   14,108,446 
 Deferred Government grant 23  2,121,307   2,164,455 
 Deferred liabilities 
 - Staff gratuity - unfunded   2,574,925   2,596,281 
 - Deferred tax liability   10,025,499   6,941,172 
   24  12,600,424   9,537,453 
     29,531,862</t>
  </si>
  <si>
    <t>LITIES
 Long-term deposits
 21
  255,087 
  252,837 
 Long-term loans
 22
  12,760,637 
  14,557,294 
 Deferred Government grant
 23
  1,766,055 
  2,121,307 
 Deferred liabilities
 - Staff gratuity
   3,271,241 
  2,574,925 
 - Deferred tax liability
   14,015,320 
  10,025,499 
  24
  17,286,561 
  12,600,424 
    32,068,340</t>
  </si>
  <si>
    <t>T LIABILITIES 
 Long-term deposits 20  114,200   255,087 
 Long-term financing 21  9,184,522   12,760,637 
 Deferred Government grant 22  1,382,651   1,766,055 
 Deferred liabilities 23  21,514,874   17,286,561 
     32,196,247   32,068,340 
CURRENT LIABILITIES 
 Trade and other payables 24  27,300,919   30,006,625 
 Current maturity of</t>
  </si>
  <si>
    <t>NON-CURRENT LIABILITIES 
 Long-term deposits 20  114,200   255,087 
 Long-term financing 21  9,184,522   12,760,637 
 Deferred Government grant 22  1,382,651   1,766,055 
 Deferred liabilities 23  21,514,874   17,286,561 
     32,196,247   32,068,340 
CURRENT LIABILITIES 
 Trade and other payables 24  27,300,919   30,006,625 
 Current</t>
  </si>
  <si>
    <t>ent grant
 23
  1,107,940 
  59,720 
 Deferred liabilities
 - Staff gratuity - unfunded
  2,337,897
 1,948,457
 - Deferred tax liability
  6,157,224
 5,167,161
  24
  8,495,121 
  7,116,018 
    12,780,738 
  7,729,261 
CURRENT LIABILITIES
 T
rade and other payables
 25
  20,789,760 
  19,354,794 
 Current maturity of long-term lo</t>
  </si>
  <si>
    <t>grant 23  2,164,455   1,107,940 
 Deferred liabilities 
 - Staff gratuity - unfunded   2,596,281   2,337,897 
 - Deferred tax liability   6,941,172   6,157,224 
   24  9,537,453   8,495,121 
     26,060,686   12,780,738 
CURRENT LIABILITIES 
 Trade and other payables 25  23,191,483   20,789,760 
 Current maturity of long-term loans 22  4</t>
  </si>
  <si>
    <t>rant 23  2,121,307   2,164,455 
 Deferred liabilities 
 - Staff gratuity - unfunded   2,574,925   2,596,281 
 - Deferred tax liability   10,025,499   6,941,172 
   24  12,600,424   9,537,453 
     29,531,862   26,060,686 
CURRENT LIABILITIES 
 Trade and other payables 25  29,918,702   23,191,483 
 Current maturity of long-term loans 22</t>
  </si>
  <si>
    <t>t grant
 23
  1,766,055 
  2,121,307 
 Deferred liabilities
 - Staff gratuity
   3,271,241 
  2,574,925 
 - Deferred tax liability
   14,015,320 
  10,025,499 
  24
  17,286,561 
  12,600,424 
    32,068,340 
  29,531,862 
CURRENT LIABILITIES
 Trade and other payables
 25
  30,006,625 
  29,918,702 
 Current maturity of long-term</t>
  </si>
  <si>
    <t>Unconsolidated Statement of 
Financial Position
as at June 30, 2025
  Note 2025 2024
   (PKR in ‘000’)
ASSETS 
NON-CURRENT ASSETS 
 Property, plant a | Deferred tax liability</t>
  </si>
  <si>
    <t>Official subtotal inconsistency disclosed</t>
  </si>
  <si>
    <t>No balancing plug retained; 400-thousand source footing discrepancy.</t>
  </si>
  <si>
    <t>Staff gratuity 1,948,457 + long-term deposits 233,062 = 2,181,519 thousand. Printed NCL 7,729,261; component sum 7,728,861.</t>
  </si>
  <si>
    <t>Unconsolidated Statement of 
Financial Position
as at June 30, 2022
  Note 2022 2021
   (PKR in ‘000’)
ASSETS 
NON-CURRENT ASSETS 
  Property, plant and equipment 5  82,301,050  6 | Components: Deferred liabilities - Staff gratuity - ; Long-term deposits</t>
  </si>
  <si>
    <t>Unconsolidated Statement of 
Financial Position
as at June 30, 2023
  Note 2023 2022
   (PKR in ‘000’)
ASSETS 
NON-CURRENT ASSETS 
 Fixed assets 
 Property, plant and equipment 5  | Components: Deferred liabilities - Staff gratuity - ; Long-term deposits</t>
  </si>
  <si>
    <t>Unconsolidated Statement of 
Financial Position
as at June 30, 2024
  Note  2024  2023
  (PKR in ‘000’)
ASSETS
NON-CURRENT ASSETS
 Fixed assets
 Property, plant and equipm | Components: Deferred liabilities - Staff gratuity; Long-term deposits</t>
  </si>
  <si>
    <t>Unconsolidated Statement of 
Financial Position
as at June 30, 2025
  Note 2025 2024
   (PKR in ‘000’)
ASSETS 
NON-CURRENT ASSETS 
 Property, plant and equipment 5  107,409,588  1 | Components: Deferred liabilities; Long-term deposits</t>
  </si>
  <si>
    <t>,224
 5,167,161
  24
  8,495,121 
  7,116,018 
    12,780,738 
  7,729,261 
CURRENT LIABILITIES
 T
rade and other payables
 25
  20,789,760 
  19,354,794 
 Current maturity of long-term loans
 22
  506,908 
  126,727 
 Short term borrowings
 26
  7,050,000 
  7,931,444 
 Unclaimed dividend
   53,458 
  55,767 
 Unpaid dividend
 27</t>
  </si>
  <si>
    <t>6,941,172   6,157,224 
   24  9,537,453   8,495,121 
     26,060,686   12,780,738 
CURRENT LIABILITIES 
 Trade and other payables 25  23,191,483   20,789,760 
 Current maturity of long-term loans 22  487,202   506,908 
 Short-term borrowings 26  1,000,000   7,050,000 
 Unclaimed dividend   51,030   53,458 
 Accrued markup   135,452   7</t>
  </si>
  <si>
    <t>10,025,499   6,941,172 
   24  12,600,424   9,537,453 
     29,531,862   26,060,686 
CURRENT LIABILITIES 
 Trade and other payables 25  29,918,702   23,191,483 
 Current maturity of long-term loans 22  599,653   487,202 
 Short-term borrowings 26  5,885,000   1,000,000 
 Unclaimed dividend   50,115   51,030 
 Accrued markup   497,745   1</t>
  </si>
  <si>
    <t>10,025,499 
  24
  17,286,561 
  12,600,424 
    32,068,340 
  29,531,862 
CURRENT LIABILITIES
 Trade and other payables
 25
  30,006,625 
  29,918,702 
 Current maturity of long-term loans
 22
  2,099,147 
  599,653 
 Short-term borrowings
 26
  5,485,000 
  5,885,000 
 Unclaimed dividend
   59,148 
  50,115 
 Accrued markup</t>
  </si>
  <si>
    <t>055 
 Deferred liabilities 23  21,514,874   17,286,561 
     32,196,247   32,068,340 
CURRENT LIABILITIES 
 Trade and other payables 24  27,300,919   30,006,625 
 Current maturity of long-term financing 21  1,866,085   2,099,147 
 Short term borrowings 25  6,485,000   5,485,000 
 Unclaimed dividend   65,745   59,148 
 Accrued markup   185</t>
  </si>
  <si>
    <t>,651   1,766,055 
 Deferred liabilities 23  21,514,874   17,286,561 
     32,196,247   32,068,340 
CURRENT LIABILITIES 
 Trade and other payables 24  27,300,919   30,006,625 
 Current maturity of long-term financing 21  1,866,085   2,099,147 
 Short term borrowings 25  6,485,000   5,485,000 
 Unclaimed dividend   65,745   59,148 
 Accrued</t>
  </si>
  <si>
    <t>espect of provisions and minimum tax
   (933,647)
  (437,888)
   6,157,224 
  5,167,561
25.
 TRADE AND OTHER P
AYABLES
 Creditors
   2,882,434 
  2,599,290 
 Accrued liabilities
   4,235,009 
  3,383,846 
 P
ayable to a subsidiary company against claim 
    of tax losses
 25.1
  613,992 
  33,582 
 Advances from customers / contract</t>
  </si>
  <si>
    <t>ed 
Financial Statements
For the year ended June 30, 2022
  Note 2022 2021
   (PKR in ‘000’)
25. TRADE AND OTHER PAYABLES 
 Creditors   3,352,998   2,882,434 
 Accrued liabilities   5,333,024   4,235,009 
 Payable to a subsidiary company against claim 
    of tax losses 25.1 –    613,992 
 Advances from customers / contract liabilities</t>
  </si>
  <si>
    <t>dated 
Financial Statements
For the year ended June 30, 2023
  Note 2023 2022
   (PKR in ‘000’)
25. TRADE AND OTHER PAYABLES
 Creditors   5,030,546   3,352,998 
 Accrued liabilities   6,110,295   5,333,024 
 Advances from customers / contract liabilities 25.4  4,335,126   2,114,280 
 Retention money   2,132,353   1,141,232 
 Sales tax, e</t>
  </si>
  <si>
    <t>ng
   in respect of provisions
   (604,101)
  (1,153,859)
   14,015,320 
  10,025,499 
25. TRADE AND OTHER PAYABLES  
 Creditors    7,172,144   5,030,546 
 Accrued liabilities
 25.5
  6,737,990 
  6,110,295 
 Advances from customers / contract liabilities
 25.4
  2,903,543 
  4,335,126 
 Retention money
   1,860,838 
  2,132,353</t>
  </si>
  <si>
    <t>arising 
  in respect of provisions   (1,055,355)  (604,101)
      16,820,986   14,015,320 
24. TRADE AND OTHER PAYABLES 
 Creditors   6,426,975   7,172,144 
 Accrued liabilities 24.5  5,474,101   6,737,990 
 Advances from customers / contract liabilities 24.4  4,840,791   2,903,543 
 Retention money   1,855,975   1,860,838 
 Sales ta</t>
  </si>
  <si>
    <t>differences arising 
  in respect of provisions   (1,055,355)  (604,101)
      16,820,986   14,015,320 
24. TRADE AND OTHER PAYABLES 
 Creditors   6,426,975   7,172,144 
 Accrued liabilities 24.5  5,474,101   6,737,990 
 Advances from customers / contract liabilities 24.4  4,840,791   2,903,543 
 Retention money   1,855,975   1,860,83</t>
  </si>
  <si>
    <t>206
STRENGTHENING
PAKISTAN
UNCONSOLIDATED STATEMENT 
OF FINANCIAL POSITION
as at June 30, 2021
Muhammad Ali Tabba
Chief Executive
Muhammad Yunus Tabb | Contract liabilities / advances from customers</t>
  </si>
  <si>
    <t>Unconsolidated Statement of 
Financial Position
as at June 30, 2022
  Note 2022 2021
   (PKR in ‘000’)
ASSETS 
NON-CURRENT ASSETS 
  Property, plant  | Contract liabilities / advances from customers</t>
  </si>
  <si>
    <t>Unconsolidated Statement of 
Financial Position
as at June 30, 2023
  Note 2023 2022
   (PKR in ‘000’)
ASSETS 
NON-CURRENT ASSETS 
 Fixed assets 
 Pr | Contract liabilities / advances from customers</t>
  </si>
  <si>
    <t>Unconsolidated Statement of 
Financial Position
as at June 30, 2024
  Note  2024  2023
  (PKR in ‘000’)
ASSETS
NON-CURRENT ASSETS
 Fixed assets | Contract liabilities / advances from customers</t>
  </si>
  <si>
    <t>Unconsolidated Statement of 
Financial Position
as at June 30, 2025
  Note 2025 2024
   (PKR in ‘000’)
ASSETS 
NON-CURRENT ASSETS 
 Property, plant a | Contract liabilities / advances from customers</t>
  </si>
  <si>
    <t>m borrowings
 26
  7,050,000 
  7,931,444 
 Unclaimed dividend
   53,458 
  55,767 
 Unpaid dividend
 27
 –   
  17,580 
 Accrued markup
   70,868 
  46,173 
 T
axation - net
   1,916,072 
  1,422,867 
    30,387,066 
  28,955,352 
    43,167,804 
  36,684,613 
CONTINGENCIES AND COMMITMENTS
 28
TOT
AL EQUITY AND LIABILITIES
   156</t>
  </si>
  <si>
    <t>erm loans 22  487,202   506,908 
 Short-term borrowings 26  1,000,000   7,050,000 
 Unclaimed dividend   51,030   53,458 
 Accrued markup   135,452   70,868 
 T axation - net   5,496,191   1,916,072 
     30,361,358   30,387,066 
     56,422,044   43,167,804 
TOTAL EQUITY AND LIABILITIES   184,962,368   156,368,062
CONTINGENCIES AND C</t>
  </si>
  <si>
    <t>erm loans 22  599,653   487,202 
 Short-term borrowings 26  5,885,000   1,000,000 
 Unclaimed dividend   50,115   51,030 
 Accrued markup   497,745   135,452 
 Taxation - net   9,229,664   5,496,191 
     46,180,879   30,361,358 
     75,712,741   56,422,044 
TOTAL EQUITY AND LIABILITIES   213,079,067   184,962,368
CONTINGENCIES AND CO</t>
  </si>
  <si>
    <t>2
  2,099,147 
  599,653 
 Short-term borrowings
 26
  5,485,000 
  5,885,000 
 Unclaimed dividend
   59,148 
  50,115 
 Accrued markup
   342,935 
  497,745 
 Taxation - net
   16,195,618 
  9,229,664 
    54,188,473 
  46,180,879 
    86,256,813 
  75,712,741 
TOTAL EQUITY AND LIABILITIES
   234,018,090 
  213,079,067
CONTINGENCI</t>
  </si>
  <si>
    <t>ncing 21  1,866,085   2,099,147 
 Short term borrowings 25  6,485,000   5,485,000 
 Unclaimed dividend   65,745   59,148 
 Accrued markup   185,616   342,935 
 Taxation - net   22,738,018   16,195,618 
     58,641,383   54,188,473 
     90,837,630   86,256,813
TOTAL EQUITY AND LIABILITIES   266,748,030   234,018,090 
CONTINGENCIES AND</t>
  </si>
  <si>
    <t>-term financing 21  1,866,085   2,099,147 
 Short term borrowings 25  6,485,000   5,485,000 
 Unclaimed dividend   65,745   59,148 
 Accrued markup   185,616   342,935 
 Taxation - net   22,738,018   16,195,618 
     58,641,383   54,188,473 
     90,837,630   86,256,813
TOTAL EQUITY AND LIABILITIES   266,748,030   234,018,090 
CONTINGE</t>
  </si>
  <si>
    <t>her payables
 25
  20,789,760 
  19,354,794 
 Current maturity of long-term loans
 22
  506,908 
  126,727 
 Short term borrowings
 26
  7,050,000 
  7,931,444 
 Unclaimed dividend
   53,458 
  55,767 
 Unpaid dividend
 27
 –   
  17,580 
 Accrued markup
   70,868 
  46,173 
 T
axation - net
   1,916,072 
  1,422,867 
    30,387,066</t>
  </si>
  <si>
    <t>de and other payables 25  23,191,483   20,789,760 
 Current maturity of long-term loans 22  487,202   506,908 
 Short-term borrowings 26  1,000,000   7,050,000 
 Unclaimed dividend   51,030   53,458 
 Accrued markup   135,452   70,868 
 T axation - net   5,496,191   1,916,072 
     30,361,358   30,387,066 
     56,422,044   43,167,804 
T</t>
  </si>
  <si>
    <t>de and other payables 25  29,918,702   23,191,483 
 Current maturity of long-term loans 22  599,653   487,202 
 Short-term borrowings 26  5,885,000   1,000,000 
 Unclaimed dividend   50,115   51,030 
 Accrued markup   497,745   135,452 
 Taxation - net   9,229,664   5,496,191 
     46,180,879   30,361,358 
     75,712,741   56,422,044 
T</t>
  </si>
  <si>
    <t>r payables
 25
  30,006,625 
  29,918,702 
 Current maturity of long-term loans
 22
  2,099,147 
  599,653 
 Short-term borrowings
 26
  5,485,000 
  5,885,000 
 Unclaimed dividend
   59,148 
  50,115 
 Accrued markup
   342,935 
  497,745 
 Taxation - net
   16,195,618 
  9,229,664 
    54,188,473 
  46,180,879 
    86,256,813 
  75</t>
  </si>
  <si>
    <t>ther payables 24  27,300,919   30,006,625 
 Current maturity of long-term financing 21  1,866,085   2,099,147 
 Short term borrowings 25  6,485,000   5,485,000 
 Unclaimed dividend   65,745   59,148 
 Accrued markup   185,616   342,935 
 Taxation - net   22,738,018   16,195,618 
     58,641,383   54,188,473 
     90,837,630   86,256,813</t>
  </si>
  <si>
    <t>Trade and other payables 24  27,300,919   30,006,625 
 Current maturity of long-term financing 21  1,866,085   2,099,147 
 Short term borrowings 25  6,485,000   5,485,000 
 Unclaimed dividend   65,745   59,148 
 Accrued markup   185,616   342,935 
 Taxation - net   22,738,018   16,195,618 
     58,641,383   54,188,473 
     90,837,630</t>
  </si>
  <si>
    <t>7,729,261 
CURRENT LIABILITIES
 T
rade and other payables
 25
  20,789,760 
  19,354,794 
 Current maturity of long-term loans
 22
  506,908 
  126,727 
 Short term borrowings
 26
  7,050,000 
  7,931,444 
 Unclaimed dividend
   53,458 
  55,767 
 Unpaid dividend
 27
 –   
  17,580 
 Accrued markup
   70,868 
  46,173 
 T
axation</t>
  </si>
  <si>
    <t>,060,686   12,780,738 
CURRENT LIABILITIES 
 Trade and other payables 25  23,191,483   20,789,760 
 Current maturity of long-term loans 22  487,202   506,908 
 Short-term borrowings 26  1,000,000   7,050,000 
 Unclaimed dividend   51,030   53,458 
 Accrued markup   135,452   70,868 
 T axation - net   5,496,191   1,916,072 
     30,361</t>
  </si>
  <si>
    <t>,531,862   26,060,686 
CURRENT LIABILITIES 
 Trade and other payables 25  29,918,702   23,191,483 
 Current maturity of long-term loans 22  599,653   487,202 
 Short-term borrowings 26  5,885,000   1,000,000 
 Unclaimed dividend   50,115   51,030 
 Accrued markup   497,745   135,452 
 Taxation - net   9,229,664   5,496,191 
     46,180</t>
  </si>
  <si>
    <t>29,531,862 
CURRENT LIABILITIES
 Trade and other payables
 25
  30,006,625 
  29,918,702 
 Current maturity of long-term loans
 22
  2,099,147 
  599,653 
 Short-term borrowings
 26
  5,485,000 
  5,885,000 
 Unclaimed dividend
   59,148 
  50,115 
 Accrued markup
   342,935 
  497,745 
 Taxation - net
   16,195,618 
  9,229,664</t>
  </si>
  <si>
    <t>47   32,068,340 
CURRENT LIABILITIES 
 Trade and other payables 24  27,300,919   30,006,625 
 Current maturity of long-term financing 21  1,866,085   2,099,147 
 Short term borrowings 25  6,485,000   5,485,000 
 Unclaimed dividend   65,745   59,148 
 Accrued markup   185,616   342,935 
 Taxation - net   22,738,018   16,195,618 
     58,6</t>
  </si>
  <si>
    <t>32,196,247   32,068,340 
CURRENT LIABILITIES 
 Trade and other payables 24  27,300,919   30,006,625 
 Current maturity of long-term financing 21  1,866,085   2,099,147 
 Short term borrowings 25  6,485,000   5,485,000 
 Unclaimed dividend   65,745   59,148 
 Accrued markup   185,616   342,935 
 Taxation - net   22,738,018   16,195,61</t>
  </si>
  <si>
    <t>206
STRENGTHENING
PAKISTAN
UNCONSOLIDATED STATEMENT 
OF FINANCIAL POSITION
as at June 30, 2021
Muhammad Ali Tabba
Chief Executive
Muhammad Yunus Tabb | Current portion of lease liabilities</t>
  </si>
  <si>
    <t>Unconsolidated Statement of 
Financial Position
as at June 30, 2022
  Note 2022 2021
   (PKR in ‘000’)
ASSETS 
NON-CURRENT ASSETS 
  Property, plant  | Current portion of lease liabilities</t>
  </si>
  <si>
    <t>Unconsolidated Statement of 
Financial Position
as at June 30, 2023
  Note 2023 2022
   (PKR in ‘000’)
ASSETS 
NON-CURRENT ASSETS 
 Fixed assets 
 Pr | Current portion of lease liabilities</t>
  </si>
  <si>
    <t>Unconsolidated Statement of 
Financial Position
as at June 30, 2024
  Note  2024  2023
  (PKR in ‘000’)
ASSETS
NON-CURRENT ASSETS
 Fixed assets | Current portion of lease liabilities</t>
  </si>
  <si>
    <t>Unconsolidated Statement of 
Financial Position
as at June 30, 2025
  Note 2025 2024
   (PKR in ‘000’)
ASSETS 
NON-CURRENT ASSETS 
 Property, plant a | Current portion of lease liabilities</t>
  </si>
  <si>
    <t>206
STRENGTHENING
PAKISTAN
UNCONSOLIDATED STATEMENT 
OF FINANCIAL POSITION
as at June 30, 2021
Muhammad Ali Tabba
Chief Executive
Muhammad Yunus Tabb | Current portion of deferred government grant</t>
  </si>
  <si>
    <t>Unconsolidated Statement of 
Financial Position
as at June 30, 2022
  Note 2022 2021
   (PKR in ‘000’)
ASSETS 
NON-CURRENT ASSETS 
  Property, plant  | Current portion of deferred government grant</t>
  </si>
  <si>
    <t>Unconsolidated Statement of 
Financial Position
as at June 30, 2023
  Note 2023 2022
   (PKR in ‘000’)
ASSETS 
NON-CURRENT ASSETS 
 Fixed assets 
 Pr | Current portion of deferred government grant</t>
  </si>
  <si>
    <t>Unconsolidated Statement of 
Financial Position
as at June 30, 2024
  Note  2024  2023
  (PKR in ‘000’)
ASSETS
NON-CURRENT ASSETS
 Fixed assets | Current portion of deferred government grant</t>
  </si>
  <si>
    <t>Unconsolidated Statement of 
Financial Position
as at June 30, 2025
  Note 2025 2024
   (PKR in ‘000’)
ASSETS 
NON-CURRENT ASSETS 
 Property, plant a | Current portion of deferred government grant</t>
  </si>
  <si>
    <t>206
STRENGTHENING
PAKISTAN
UNCONSOLIDATED STATEMENT 
OF FINANCIAL POSITION
as at June 30, 2021
Muhammad Ali Tabba
Chief Executive
Muhammad Yunus Tabba
Chairman / Director
Atif Kal | Components: Unclaimed dividend; Unpaid dividend</t>
  </si>
  <si>
    <t>789,760 
 Current maturity of long-term loans 22  487,202   506,908 
 Short-term borrowings 26  1,000,000   7,050,000 
 Unclaimed dividend   51,030   53,458 
 Accrued markup   135,452   70,868 
 T axation - net   5,496,191   1,916,072 
     30,361,358   30,387,066 
     56,422,044   43,167,804 
TOTAL EQUITY AND LIABILITIES   184,962,3</t>
  </si>
  <si>
    <t>191,483 
 Current maturity of long-term loans 22  599,653   487,202 
 Short-term borrowings 26  5,885,000   1,000,000 
 Unclaimed dividend   50,115   51,030 
 Accrued markup   497,745   135,452 
 Taxation - net   9,229,664   5,496,191 
     46,180,879   30,361,358 
     75,712,741   56,422,044 
TOTAL EQUITY AND LIABILITIES   213,079,0</t>
  </si>
  <si>
    <t>Current maturity of long-term loans
 22
  2,099,147 
  599,653 
 Short-term borrowings
 26
  5,485,000 
  5,885,000 
 Unclaimed dividend
   59,148 
  50,115 
 Accrued markup
   342,935 
  497,745 
 Taxation - net
   16,195,618 
  9,229,664 
    54,188,473 
  46,180,879 
    86,256,813 
  75,712,741 
TOTAL EQUITY AND LIABILITIES</t>
  </si>
  <si>
    <t>Current maturity of long-term financing 21  1,866,085   2,099,147 
 Short term borrowings 25  6,485,000   5,485,000 
 Unclaimed dividend   65,745   59,148 
 Accrued markup   185,616   342,935 
 Taxation - net   22,738,018   16,195,618 
     58,641,383   54,188,473 
     90,837,630   86,256,813
TOTAL EQUITY AND LIABILITIES   266,748,</t>
  </si>
  <si>
    <t>,006,625 
 Current maturity of long-term financing 21  1,866,085   2,099,147 
 Short term borrowings 25  6,485,000   5,485,000 
 Unclaimed dividend   65,745   59,148 
 Accrued markup   185,616   342,935 
 Taxation - net   22,738,018   16,195,618 
     58,641,383   54,188,473 
     90,837,630   86,256,813
TOTAL EQUITY AND LIABILITIES</t>
  </si>
  <si>
    <t>Unclaimed dividend
   53,458 
  55,767 
 Unpaid dividend
 27
 –   
  17,580 
 Accrued markup
   70,868 
  46,173 
 T
axation - net
   1,916,072 
  1,422,867 
    30,387,066 
  28,955,352 
    43,167,804 
  36,684,613 
CONTINGENCIES AND COMMITMENTS
 28
TOT
AL EQUITY AND LIABILITIES
   156,368,062 
  135,868,474 
The annexed notes f</t>
  </si>
  <si>
    <t>-term borrowings 26  1,000,000   7,050,000 
 Unclaimed dividend   51,030   53,458 
 Accrued markup   135,452   70,868 
 T axation - net   5,496,191   1,916,072 
     30,361,358   30,387,066 
     56,422,044   43,167,804 
TOTAL EQUITY AND LIABILITIES   184,962,368   156,368,062
CONTINGENCIES AND COMMITMENTS 27
The annexed notes from 1 t</t>
  </si>
  <si>
    <t>-term borrowings 26  5,885,000   1,000,000 
 Unclaimed dividend   50,115   51,030 
 Accrued markup   497,745   135,452 
 Taxation - net   9,229,664   5,496,191 
     46,180,879   30,361,358 
     75,712,741   56,422,044 
TOTAL EQUITY AND LIABILITIES   213,079,067   184,962,368
CONTINGENCIES AND COMMITMENTS 27
The annexed notes from 1 to</t>
  </si>
  <si>
    <t>owings
 26
  5,485,000 
  5,885,000 
 Unclaimed dividend
   59,148 
  50,115 
 Accrued markup
   342,935 
  497,745 
 Taxation - net
   16,195,618 
  9,229,664 
    54,188,473 
  46,180,879 
    86,256,813 
  75,712,741 
TOTAL EQUITY AND LIABILITIES
   234,018,090 
  213,079,067
CONTINGENCIES AND COMMITMENTS
27
The annexed notes fr</t>
  </si>
  <si>
    <t>term borrowings 25  6,485,000   5,485,000 
 Unclaimed dividend   65,745   59,148 
 Accrued markup   185,616   342,935 
 Taxation - net   22,738,018   16,195,618 
     58,641,383   54,188,473 
     90,837,630   86,256,813
TOTAL EQUITY AND LIABILITIES   266,748,030   234,018,090 
CONTINGENCIES AND COMMITMENTS 26
The annexed notes from 1 to</t>
  </si>
  <si>
    <t>,147 
 Short term borrowings 25  6,485,000   5,485,000 
 Unclaimed dividend   65,745   59,148 
 Accrued markup   185,616   342,935 
 Taxation - net   22,738,018   16,195,618 
     58,641,383   54,188,473 
     90,837,630   86,256,813
TOTAL EQUITY AND LIABILITIES   266,748,030   234,018,090 
CONTINGENCIES AND COMMITMENTS 26
The annexed not</t>
  </si>
  <si>
    <t>206
STRENGTHENING
PAKISTAN
UNCONSOLIDATED STATEMENT 
OF FINANCIAL POSITION
as at June 30, 2021
Muhammad Ali Tabba
Chief Executive
Muhammad Yunus Tabb | Other current liabilities</t>
  </si>
  <si>
    <t>Unconsolidated Statement of 
Financial Position
as at June 30, 2022
  Note 2022 2021
   (PKR in ‘000’)
ASSETS 
NON-CURRENT ASSETS 
  Property, plant  | Other current liabilities</t>
  </si>
  <si>
    <t>Unconsolidated Statement of 
Financial Position
as at June 30, 2023
  Note 2023 2022
   (PKR in ‘000’)
ASSETS 
NON-CURRENT ASSETS 
 Fixed assets 
 Pr | Other current liabilities</t>
  </si>
  <si>
    <t>Unconsolidated Statement of 
Financial Position
as at June 30, 2024
  Note  2024  2023
  (PKR in ‘000’)
ASSETS
NON-CURRENT ASSETS
 Fixed assets | Other current liabilities</t>
  </si>
  <si>
    <t>Unconsolidated Statement of 
Financial Position
as at June 30, 2025
  Note 2025 2024
   (PKR in ‘000’)
ASSETS 
NON-CURRENT ASSETS 
 Property, plant a | Other current liabilities</t>
  </si>
  <si>
    <t>17
  16,227,103 
  2,970,999 
 Cash and bank balances
 18
  2,825,424 
  7,816,606 
    40,676,368 
  28,374,913 
TOT
AL ASSETS
   156,368,062 
  135,868,474 
EQUITY AND LIABILITIES
SHARE CAPIT
AL AND RESERVES
 Issued, subscribed and paid-up share capital
 19
  3,233,750 
  3,233,750 
 Reserves
 20
  109,966,508 
  95,950,111</t>
  </si>
  <si>
    <t>nvestments 17  12,751,155   16,227,103 
 Cash and bank balances 18  3,871,078   2,825,424 
     44,815,691   40,676,368 
TOTAL ASSETS   184,962,368   156,368,062 
EQUITY AND LIABILITIES 
SHARE CAPITAL AND RESERVES 
 Issued, subscribed and paid-up share capital 19  3,233,750   3,233,750 
 Reserves 20  125,306,574   109,966,508 
     128</t>
  </si>
  <si>
    <t>nvestments 17  21,898,496   12,751,155 
 Cash and bank balances 18  4,116,181   3,871,078 
     59,576,642   44,815,691 
TOTAL ASSETS   213,079,067   184,962,368 
EQUITY AND LIABILITIES 
SHARE CAPITAL AND RESERVES 
 Issued, subscribed and paid-up share capital 19  3,118,386   3,233,750 
 Reserves 20  134,247,940   125,306,574 
     137,3</t>
  </si>
  <si>
    <t>17
  29,837,628 
  21,898,496 
 Cash and bank balances
 18
  2,567,176 
  4,116,181 
    68,452,084 
  59,576,642 
TOTAL ASSETS
   234,018,090 
  213,079,067 
EQUITY AND LIABILITIES
SHARE CAPITAL AND RESERVES
 Share capital
 19
  2,930,000 
  3,118,386 
 Reserves
 20
  144,831,277 
  134,247,940 
    147,761,277 
  137,366,32</t>
  </si>
  <si>
    <t>vestments 16  61,298,052   29,837,628 
 Cash and bank balances 17  2,790,323   2,567,176 
     100,547,359   68,452,084 
TOTAL ASSETS   266,748,030   234,018,090 
EQUITY AND LIABILITIES 
SHARE CAPITAL AND RESERVES 
 Share capital 18  2,930,000   2,930,000 
 Reserves 19  172,980,400   144,831,277 
     175,910,400   147,761,277 
NON-CUR</t>
  </si>
  <si>
    <t>Short-term investments 16  61,298,052   29,837,628 
 Cash and bank balances 17  2,790,323   2,567,176 
     100,547,359   68,452,084 
TOTAL ASSETS   266,748,030   234,018,090 
EQUITY AND LIABILITIES 
SHARE CAPITAL AND RESERVES 
 Share capital 18  2,930,000   2,930,000 
 Reserves 19  172,980,400   144,831,277 
     175,910,400   147,76</t>
  </si>
  <si>
    <t>SERVES
 Issued, subscribed and paid-up share capital
 19
  3,233,750 
  3,233,750 
 Reserves
 20
  109,966,508 
  95,950,111 
    113,200,258 
  99,183,861 
NON-CURRENT LIABILITIES
 Long-term deposits
 21
  243,633 
  233,062 
 Long-term loans
 22
  2,934,044 
  320,461 
 Deferred Government grant
 23
  1,107,940 
  59,720 
 Defer</t>
  </si>
  <si>
    <t>AL AND RESERVES 
 Issued, subscribed and paid-up share capital 19  3,233,750   3,233,750 
 Reserves 20  125,306,574   109,966,508 
     128,540,324   113,200,258 
NON-CURRENT LIABILITIES 
 Long-term deposits 21  250,332   243,633 
 Long-term loans 22  14,108,446   2,934,044 
 Deferred Government grant 23  2,164,455   1,107,940 
 Deferred l</t>
  </si>
  <si>
    <t>AL AND RESERVES 
 Issued, subscribed and paid-up share capital 19  3,118,386   3,233,750 
 Reserves 20  134,247,940   125,306,574 
     137,366,326   128,540,324 
NON-CURRENT LIABILITIES 
 Long-term deposits 21  252,837   250,332 
 Long-term loans 22  14,557,294   14,108,446 
 Deferred Government grant 23  2,121,307   2,164,455 
 Deferred</t>
  </si>
  <si>
    <t>LITIES
SHARE CAPITAL AND RESERVES
 Share capital
 19
  2,930,000 
  3,118,386 
 Reserves
 20
  144,831,277 
  134,247,940 
    147,761,277 
  137,366,326 
NON-CURRENT LIABILITIES
 Long-term deposits
 21
  255,087 
  252,837 
 Long-term loans
 22
  12,760,637 
  14,557,294 
 Deferred Government grant
 23
  1,766,055 
  2,121,307</t>
  </si>
  <si>
    <t>AND LIABILITIES 
SHARE CAPITAL AND RESERVES 
 Share capital 18  2,930,000   2,930,000 
 Reserves 19  172,980,400   144,831,277 
     175,910,400   147,761,277 
NON-CURRENT LIABILITIES 
 Long-term deposits 20  114,200   255,087 
 Long-term financing 21  9,184,522   12,760,637 
 Deferred Government grant 22  1,382,651   1,766,055 
 Deferr</t>
  </si>
  <si>
    <t>,090 
EQUITY AND LIABILITIES 
SHARE CAPITAL AND RESERVES 
 Share capital 18  2,930,000   2,930,000 
 Reserves 19  172,980,400   144,831,277 
     175,910,400   147,761,277 
NON-CURRENT LIABILITIES 
 Long-term deposits 20  114,200   255,087 
 Long-term financing 21  9,184,522   12,760,637 
 Deferred Government grant 22  1,382,651   1,76</t>
  </si>
  <si>
    <t>538,812 
  538,812 
 Short term investments
 17
  16,227,103 
  2,970,999 
 Cash and bank balances
 18
  2,825,424 
  7,816,606 
    40,676,368 
  28,374,913 
TOT
AL ASSETS
   156,368,062 
  135,868,474 
EQUITY AND LIABILITIES
SHARE CAPIT
AL AND RESERVES
 Issued, subscribed and paid-up share capital
 19
  3,233,750 
  3,233,750</t>
  </si>
  <si>
    <t>ment 16  538,812   538,812 
 Short-term investments 17  12,751,155   16,227,103 
 Cash and bank balances 18  3,871,078   2,825,424 
     44,815,691   40,676,368 
TOTAL ASSETS   184,962,368   156,368,062 
EQUITY AND LIABILITIES 
SHARE CAPITAL AND RESERVES 
 Issued, subscribed and paid-up share capital 19  3,233,750   3,233,750 
 Reserv</t>
  </si>
  <si>
    <t>ment 16  538,812   538,812 
 Short-term investments 17  21,898,496   12,751,155 
 Cash and bank balances 18  4,116,181   3,871,078 
     59,576,642   44,815,691 
TOTAL ASSETS   213,079,067   184,962,368 
EQUITY AND LIABILITIES 
SHARE CAPITAL AND RESERVES 
 Issued, subscribed and paid-up share capital 19  3,118,386   3,233,750 
 Reserves</t>
  </si>
  <si>
    <t>538,812 
  538,812 
 Short-term investments
 17
  29,837,628 
  21,898,496 
 Cash and bank balances
 18
  2,567,176 
  4,116,181 
    68,452,084 
  59,576,642 
TOTAL ASSETS
   234,018,090 
  213,079,067 
EQUITY AND LIABILITIES
SHARE CAPITAL AND RESERVES
 Share capital
 19
  2,930,000 
  3,118,386 
 Reserves
 20
  144,831,277</t>
  </si>
  <si>
    <t>ent 15  538,812   538,812 
 Short-term investments 16  61,298,052   29,837,628 
 Cash and bank balances 17  2,790,323   2,567,176 
     100,547,359   68,452,084 
TOTAL ASSETS   266,748,030   234,018,090 
EQUITY AND LIABILITIES 
SHARE CAPITAL AND RESERVES 
 Share capital 18  2,930,000   2,930,000 
 Reserves 19  172,980,400   144,831,27</t>
  </si>
  <si>
    <t>om the Government 15  538,812   538,812 
 Short-term investments 16  61,298,052   29,837,628 
 Cash and bank balances 17  2,790,323   2,567,176 
     100,547,359   68,452,084 
TOTAL ASSETS   266,748,030   234,018,090 
EQUITY AND LIABILITIES 
SHARE CAPITAL AND RESERVES 
 Share capital 18  2,930,000   2,930,000 
 Reserves 19  172,980,400</t>
  </si>
  <si>
    <t>55,767 
 Unpaid dividend
 27
 –   
  17,580 
 Accrued markup
   70,868 
  46,173 
 T
axation - net
   1,916,072 
  1,422,867 
    30,387,066 
  28,955,352 
    43,167,804 
  36,684,613 
CONTINGENCIES AND COMMITMENTS
 28
TOT
AL EQUITY AND LIABILITIES
   156,368,062 
  135,868,474 
The annexed notes from 1 to 47 form an integral par</t>
  </si>
  <si>
    <t>0   7,050,000 
 Unclaimed dividend   51,030   53,458 
 Accrued markup   135,452   70,868 
 T axation - net   5,496,191   1,916,072 
     30,361,358   30,387,066 
     56,422,044   43,167,804 
TOTAL EQUITY AND LIABILITIES   184,962,368   156,368,062
CONTINGENCIES AND COMMITMENTS 27
The annexed notes from 1 to 46 form an integral part of</t>
  </si>
  <si>
    <t>0   1,000,000 
 Unclaimed dividend   50,115   51,030 
 Accrued markup   497,745   135,452 
 Taxation - net   9,229,664   5,496,191 
     46,180,879   30,361,358 
     75,712,741   56,422,044 
TOTAL EQUITY AND LIABILITIES   213,079,067   184,962,368
CONTINGENCIES AND COMMITMENTS 27
The annexed notes from 1 to 46 form an integral part of th</t>
  </si>
  <si>
    <t>,000 
 Unclaimed dividend
   59,148 
  50,115 
 Accrued markup
   342,935 
  497,745 
 Taxation - net
   16,195,618 
  9,229,664 
    54,188,473 
  46,180,879 
    86,256,813 
  75,712,741 
TOTAL EQUITY AND LIABILITIES
   234,018,090 
  213,079,067
CONTINGENCIES AND COMMITMENTS
27
The annexed notes from 1 to 46 form an integral part</t>
  </si>
  <si>
    <t>5,485,000 
 Unclaimed dividend   65,745   59,148 
 Accrued markup   185,616   342,935 
 Taxation - net   22,738,018   16,195,618 
     58,641,383   54,188,473 
     90,837,630   86,256,813
TOTAL EQUITY AND LIABILITIES   266,748,030   234,018,090 
CONTINGENCIES AND COMMITMENTS 26
The annexed notes from 1 to 46 form an integral part of th</t>
  </si>
  <si>
    <t>5  6,485,000   5,485,000 
 Unclaimed dividend   65,745   59,148 
 Accrued markup   185,616   342,935 
 Taxation - net   22,738,018   16,195,618 
     58,641,383   54,188,473 
     90,837,630   86,256,813
TOTAL EQUITY AND LIABILITIES   266,748,030   234,018,090 
CONTINGENCIES AND COMMITMENTS 26
The annexed notes from 1 to 46 form an integr</t>
  </si>
  <si>
    <t>ty   26,133,535   23,861,689 
     Rebates, incentives and commission   1,373,885   1,555,201 
     27,507,420   25,416,890 
Net sales   81,093,525   62,940,805 
Cost of sales 29  (58,541,684)  (43,984,873)
Gross profit   22,551,841   18,955,932 
Distribution cost 30  (4,764,574)  (4,859,096)
Administrative expenses 31  (1,512,279)  (1,</t>
  </si>
  <si>
    <t>ty   28,481,690   26,133,535 
     Rebates, incentives and commission   1,505,535   1,373,885 
     29,987,225   27,507,420 
Net sales   95,832,147   81,093,525 
Cost of sales 29  (69,771,469)  (58,541,684)
Gross profit   26,060,678   22,551,841 
Distribution cost 30  (5,326,894)  (4,764,574)
Administrative expenses 31  (1,825,578)  (1,</t>
  </si>
  <si>
    <t>7,688 
  28,481,690 
    Rebates, incentives and commission
   2,205,541 
  1,505,535 
   36,483,229 
  29,987,225 
Net sales
 115,324,942 
  95,832,147 
Cost of sales
 29
  (76,520,370)
  (69,771,469)
Gross profit
   38,804,572 
  26,060,678 
Distribution cost
 30
  (7,773,885)
  (5,326,894)
Administrative expenses
 31
  (2,1</t>
  </si>
  <si>
    <t>47,513,376   34,277,688 
     Rebates, incentives and commission   2,276,944   2,205,541 
     49,790,320   36,483,229 
Net Revenue   124,511,744   115,324,942 
Cost of sales 28  (81,827,060)  (76,520,370)
Gross profit   42,684,684   38,804,572 
Distribution costs 29  (8,972,815)  (7,773,885)
Administrative expenses 30  (2,427,249)  (2,1</t>
  </si>
  <si>
    <t>l excise duty   47,513,376   34,277,688 
     Rebates, incentives and commission   2,276,944   2,205,541 
     49,790,320   36,483,229 
Net Revenue   124,511,744   115,324,942 
Cost of sales 28  (81,827,060)  (76,520,370)
Gross profit   42,684,684   38,804,572 
Distribution costs 29  (8,972,815)  (7,773,885)
Administrative expenses 30  (2,</t>
  </si>
  <si>
    <t>incentives and commission   1,373,885   1,555,201 
     27,507,420   25,416,890 
Net sales   81,093,525   62,940,805 
Cost of sales 29  (58,541,684)  (43,984,873)
Gross profit   22,551,841   18,955,932 
Distribution cost 30  (4,764,574)  (4,859,096)
Administrative expenses 31  (1,512,279)  (1,257,074)
Finance costs 32  (394,517)  (332,905</t>
  </si>
  <si>
    <t>incentives and commission   1,505,535   1,373,885 
     29,987,225   27,507,420 
Net sales   95,832,147   81,093,525 
Cost of sales 29  (69,771,469)  (58,541,684)
Gross profit   26,060,678   22,551,841 
Distribution cost 30  (5,326,894)  (4,764,574)
Administrative expenses 31  (1,825,578)  (1,512,279)
Finance costs 32  (1,169,770)  (394,5</t>
  </si>
  <si>
    <t>and commission
   2,205,541 
  1,505,535 
   36,483,229 
  29,987,225 
Net sales
 115,324,942 
  95,832,147 
Cost of sales
 29
  (76,520,370)
  (69,771,469)
Gross profit
   38,804,572 
  26,060,678 
Distribution cost
 30
  (7,773,885)
  (5,326,894)
Administrative expenses
 31
  (2,160,682)
  (1,825,578)
Finance cost
 32
  (1,581,1</t>
  </si>
  <si>
    <t>ntives and commission   2,276,944   2,205,541 
     49,790,320   36,483,229 
Net Revenue   124,511,744   115,324,942 
Cost of sales 28  (81,827,060)  (76,520,370)
Gross profit   42,684,684   38,804,572 
Distribution costs 29  (8,972,815)  (7,773,885)
Administrative expenses 30  (2,427,249)  (2,160,682)
Finance costs 31  (1,370,569)  (1,581,</t>
  </si>
  <si>
    <t>Rebates, incentives and commission   2,276,944   2,205,541 
     49,790,320   36,483,229 
Net Revenue   124,511,744   115,324,942 
Cost of sales 28  (81,827,060)  (76,520,370)
Gross profit   42,684,684   38,804,572 
Distribution costs 29  (8,972,815)  (7,773,885)
Administrative expenses 30  (2,427,249)  (2,160,682)
Finance costs 31  (1,370</t>
  </si>
  <si>
    <t>81,093,525   62,940,805 
Cost of sales 29  (58,541,684)  (43,984,873)
Gross profit   22,551,841   18,955,932 
Distribution cost 30  (4,764,574)  (4,859,096)
Administrative expenses 31  (1,512,279)  (1,257,074)
Finance costs 32  (394,517)  (332,905)
Other expenses 33  (1,847,039)  (1,507,673)
Other income 34  7,387,800   5,993,029 
Pro</t>
  </si>
  <si>
    <t>95,832,147   81,093,525 
Cost of sales 29  (69,771,469)  (58,541,684)
Gross profit   26,060,678   22,551,841 
Distribution cost 30  (5,326,894)  (4,764,574)
Administrative expenses 31  (1,825,578)  (1,512,279)
Finance costs 32  (1,169,770)  (394,517)
Other expenses 33  (2,442,585)  (1,847,039)
Other income 34  6,047,423   7,387,800 
P</t>
  </si>
  <si>
    <t>42 
  95,832,147 
Cost of sales
 29
  (76,520,370)
  (69,771,469)
Gross profit
   38,804,572 
  26,060,678 
Distribution cost
 30
  (7,773,885)
  (5,326,894)
Administrative expenses
 31
  (2,160,682)
  (1,825,578)
Finance cost
 32
  (1,581,168)
  (1,169,770)
Other expenses
 33
  (2,476,636)
  (2,442,585)
Other income
 34
  16,575,363</t>
  </si>
  <si>
    <t>124,511,744   115,324,942 
Cost of sales 28  (81,827,060)  (76,520,370)
Gross profit   42,684,684   38,804,572 
Distribution costs 29  (8,972,815)  (7,773,885)
Administrative expenses 30  (2,427,249)  (2,160,682)
Finance costs 31  (1,370,569)  (1,581,168)
Other expenses 32  (3,056,913)  (2,476,636)
Other income 33  20,465,921   16,575,36</t>
  </si>
  <si>
    <t>Net Revenue   124,511,744   115,324,942 
Cost of sales 28  (81,827,060)  (76,520,370)
Gross profit   42,684,684   38,804,572 
Distribution costs 29  (8,972,815)  (7,773,885)
Administrative expenses 30  (2,427,249)  (2,160,682)
Finance costs 31  (1,370,569)  (1,581,168)
Other expenses 32  (3,056,913)  (2,476,636)
Other income 33  20,465,92</t>
  </si>
  <si>
    <t>,684)  (43,984,873)
Gross profit   22,551,841   18,955,932 
Distribution cost 30  (4,764,574)  (4,859,096)
Administrative expenses 31  (1,512,279)  (1,257,074)
Finance costs 32  (394,517)  (332,905)
Other expenses 33  (1,847,039)  (1,507,673)
Other income 34  7,387,800   5,993,029 
Profit before taxation   21,421,232   16,992,213 
T ax</t>
  </si>
  <si>
    <t>,469)  (58,541,684)
Gross profit   26,060,678   22,551,841 
Distribution cost 30  (5,326,894)  (4,764,574)
Administrative expenses 31  (1,825,578)  (1,512,279)
Finance costs 32  (1,169,770)  (394,517)
Other expenses 33  (2,442,585)  (1,847,039)
Other income 34  6,047,423   7,387,800 
Profit before taxation   21,343,274   21,421,232 
Ta</t>
  </si>
  <si>
    <t>,771,469)
Gross profit
   38,804,572 
  26,060,678 
Distribution cost
 30
  (7,773,885)
  (5,326,894)
Administrative expenses
 31
  (2,160,682)
  (1,825,578)
Finance cost
 32
  (1,581,168)
  (1,169,770)
Other expenses
 33
  (2,476,636)
  (2,442,585)
Other income
 34
  16,575,363 
  6,047,423 
Profit before Taxation and Levy
   41,387,5</t>
  </si>
  <si>
    <t>7,060)  (76,520,370)
Gross profit   42,684,684   38,804,572 
Distribution costs 29  (8,972,815)  (7,773,885)
Administrative expenses 30  (2,427,249)  (2,160,682)
Finance costs 31  (1,370,569)  (1,581,168)
Other expenses 32  (3,056,913)  (2,476,636)
Other income 33  20,465,921   16,575,363 
Profit before taxation and levy   47,323,059   41,</t>
  </si>
  <si>
    <t>es 28  (81,827,060)  (76,520,370)
Gross profit   42,684,684   38,804,572 
Distribution costs 29  (8,972,815)  (7,773,885)
Administrative expenses 30  (2,427,249)  (2,160,682)
Finance costs 31  (1,370,569)  (1,581,168)
Other expenses 32  (3,056,913)  (2,476,636)
Other income 33  20,465,921   16,575,363 
Profit before taxation and levy   47,</t>
  </si>
  <si>
    <t>Note 2022 2021
   (PKR in ‘000’)
Gross sales 28  108,600,945   88,357,695 
Less:  Sales tax and federal excise duty   26,133,535   23,861,689 
   | Impairment / expected credit loss on financial assets</t>
  </si>
  <si>
    <t>Note 2023 2022
   (PKR in ‘000’)
Gross sales 28  125,819,372   108,600,945 
Less:  Sales tax and federal excise duty   28,481,690   26,133,535 
  | Impairment / expected credit loss on financial assets</t>
  </si>
  <si>
    <t>Unconsolidated Statement of
Profit or Loss
For the year ended June 30, 2024
Muhammad Ali Tabba
Chief Executive
Muhammad Sohail Tabba
Chairman / Direc | Impairment / expected credit loss on financial assets</t>
  </si>
  <si>
    <t>Unconsolidated Statement of
Profit or Loss
For the year ended June 30, 2025
  Note 2025 2024
   (PKR in ‘000’)
Gross Revenue 27  174,302,064   151,80 | Impairment / expected credit loss on financial assets</t>
  </si>
  <si>
    <t>(4,764,574)  (4,859,096)
Administrative expenses 31  (1,512,279)  (1,257,074)
Finance costs 32  (394,517)  (332,905)
Other expenses 33  (1,847,039)  (1,507,673)
Other income 34  7,387,800   5,993,029 
Profit before taxation   21,421,232   16,992,213 
T axation 35  (6,122,614)  (2,922,024)
Profit after taxation   15,298,618   14,070,189</t>
  </si>
  <si>
    <t>5,326,894)  (4,764,574)
Administrative expenses 31  (1,825,578)  (1,512,279)
Finance costs 32  (1,169,770)  (394,517)
Other expenses 33  (2,442,585)  (1,847,039)
Other income 34  6,047,423   7,387,800 
Profit before taxation   21,343,274   21,421,232 
Taxation 35  (7,617,460)  (6,122,614)
Profit after taxation   13,725,814   15,298,618</t>
  </si>
  <si>
    <t>(5,326,894)
Administrative expenses
 31
  (2,160,682)
  (1,825,578)
Finance cost
 32
  (1,581,168)
  (1,169,770)
Other expenses
 33
  (2,476,636)
  (2,442,585)
Other income
 34
  16,575,363 
  6,047,423 
Profit before Taxation and Levy
   41,387,564 
  21,343,274 
Levy
 2.2.1 &amp; 35
  (953,051)
  (437,833)
Profit before Taxation
   40,434,</t>
  </si>
  <si>
    <t>972,815)  (7,773,885)
Administrative expenses 30  (2,427,249)  (2,160,682)
Finance costs 31  (1,370,569)  (1,581,168)
Other expenses 32  (3,056,913)  (2,476,636)
Other income 33  20,465,921   16,575,363 
Profit before taxation and levy   47,323,059   41,387,564 
Levy 34  (329,600)  (953,051)
Profit before taxation   46,993,459   40,434,513</t>
  </si>
  <si>
    <t>costs 29  (8,972,815)  (7,773,885)
Administrative expenses 30  (2,427,249)  (2,160,682)
Finance costs 31  (1,370,569)  (1,581,168)
Other expenses 32  (3,056,913)  (2,476,636)
Other income 33  20,465,921   16,575,363 
Profit before taxation and levy   47,323,059   41,387,564 
Levy 34  (329,600)  (953,051)
Profit before taxation   46,993,459</t>
  </si>
  <si>
    <t>expenses 31  (1,512,279)  (1,257,074)
Finance costs 32  (394,517)  (332,905)
Other expenses 33  (1,847,039)  (1,507,673)
Other income 34  7,387,800   5,993,029 
Profit before taxation   21,421,232   16,992,213 
T axation 35  (6,122,614)  (2,922,024)
Profit after taxation   15,298,618   14,070,189 
   (PKR)
Earnings per share - basic</t>
  </si>
  <si>
    <t>penses 31  (1,825,578)  (1,512,279)
Finance costs 32  (1,169,770)  (394,517)
Other expenses 33  (2,442,585)  (1,847,039)
Other income 34  6,047,423   7,387,800 
Profit before taxation   21,343,274   21,421,232 
Taxation 35  (7,617,460)  (6,122,614)
Profit after taxation   13,725,814   15,298,618 
   (PKR)
Earnings per share - basic a</t>
  </si>
  <si>
    <t>2,160,682)
  (1,825,578)
Finance cost
 32
  (1,581,168)
  (1,169,770)
Other expenses
 33
  (2,476,636)
  (2,442,585)
Other income
 34
  16,575,363 
  6,047,423 
Profit before Taxation and Levy
   41,387,564 
  21,343,274 
Levy
 2.2.1 &amp; 35
  (953,051)
  (437,833)
Profit before Taxation
   40,434,513 
  20,905,441 
Taxation
 35
  (12,327,9</t>
  </si>
  <si>
    <t>ses 30  (2,427,249)  (2,160,682)
Finance costs 31  (1,370,569)  (1,581,168)
Other expenses 32  (3,056,913)  (2,476,636)
Other income 33  20,465,921   16,575,363 
Profit before taxation and levy   47,323,059   41,387,564 
Levy 34  (329,600)  (953,051)
Profit before taxation   46,993,459   40,434,513 
Taxation 34  (13,901,297)  (12,327,974)</t>
  </si>
  <si>
    <t>trative expenses 30  (2,427,249)  (2,160,682)
Finance costs 31  (1,370,569)  (1,581,168)
Other expenses 32  (3,056,913)  (2,476,636)
Other income 33  20,465,921   16,575,363 
Profit before taxation and levy   47,323,059   41,387,564 
Levy 34  (329,600)  (953,051)
Profit before taxation   46,993,459   40,434,513 
Taxation 34  (13,901,297)</t>
  </si>
  <si>
    <t>Note 2022 2021
   (PKR in ‘000’)
Gross sales 28  108,600,945   88,357,695 
Less:  Sales tax and federal excise duty   26,133,535   23,861,689 
   | Finance income (where presented separately)</t>
  </si>
  <si>
    <t>Note 2023 2022
   (PKR in ‘000’)
Gross sales 28  125,819,372   108,600,945 
Less:  Sales tax and federal excise duty   28,481,690   26,133,535 
  | Finance income (where presented separately)</t>
  </si>
  <si>
    <t>Unconsolidated Statement of
Profit or Loss
For the year ended June 30, 2024
Muhammad Ali Tabba
Chief Executive
Muhammad Sohail Tabba
Chairman / Direc | Finance income (where presented separately)</t>
  </si>
  <si>
    <t>Unconsolidated Statement of
Profit or Loss
For the year ended June 30, 2025
  Note 2025 2024
   (PKR in ‘000’)
Gross Revenue 27  174,302,064   151,80 | Finance income (where presented separately)</t>
  </si>
  <si>
    <t>Note 2022 2021
   (PKR in ‘000’)
Gross sales 28  108,600,945   88,357,695 
Less:  Sales tax and federal excise duty   26,133,535   23,861,689 
   | Share of profit of associate</t>
  </si>
  <si>
    <t>Note 2023 2022
   (PKR in ‘000’)
Gross sales 28  125,819,372   108,600,945 
Less:  Sales tax and federal excise duty   28,481,690   26,133,535 
  | Share of profit of associate</t>
  </si>
  <si>
    <t>Unconsolidated Statement of
Profit or Loss
For the year ended June 30, 2024
Muhammad Ali Tabba
Chief Executive
Muhammad Sohail Tabba
Chairman / Direc | Share of profit of associate</t>
  </si>
  <si>
    <t>Unconsolidated Statement of
Profit or Loss
For the year ended June 30, 2025
  Note 2025 2024
   (PKR in ‘000’)
Gross Revenue 27  174,302,064   151,80 | Share of profit of associate</t>
  </si>
  <si>
    <t>,841   18,955,932 
Distribution cost 30  (4,764,574)  (4,859,096)
Administrative expenses 31  (1,512,279)  (1,257,074)
Finance costs 32  (394,517)  (332,905)
Other expenses 33  (1,847,039)  (1,507,673)
Other income 34  7,387,800   5,993,029 
Profit before taxation   21,421,232   16,992,213 
T axation 35  (6,122,614)  (2,922,024)
Prof</t>
  </si>
  <si>
    <t>78   22,551,841 
Distribution cost 30  (5,326,894)  (4,764,574)
Administrative expenses 31  (1,825,578)  (1,512,279)
Finance costs 32  (1,169,770)  (394,517)
Other expenses 33  (2,442,585)  (1,847,039)
Other income 34  6,047,423   7,387,800 
Profit before taxation   21,343,274   21,421,232 
Taxation 35  (7,617,460)  (6,122,614)
Profi</t>
  </si>
  <si>
    <t>0,678 
Distribution cost
 30
  (7,773,885)
  (5,326,894)
Administrative expenses
 31
  (2,160,682)
  (1,825,578)
Finance cost
 32
  (1,581,168)
  (1,169,770)
Other expenses
 33
  (2,476,636)
  (2,442,585)
Other income
 34
  16,575,363 
  6,047,423 
Profit before Taxation and Levy
   41,387,564 
  21,343,274 
Levy
 2.2.1 &amp; 35
  (953,051</t>
  </si>
  <si>
    <t>684   38,804,572 
Distribution costs 29  (8,972,815)  (7,773,885)
Administrative expenses 30  (2,427,249)  (2,160,682)
Finance costs 31  (1,370,569)  (1,581,168)
Other expenses 32  (3,056,913)  (2,476,636)
Other income 33  20,465,921   16,575,363 
Profit before taxation and levy   47,323,059   41,387,564 
Levy 34  (329,600)  (953,051)
Prof</t>
  </si>
  <si>
    <t>fit   42,684,684   38,804,572 
Distribution costs 29  (8,972,815)  (7,773,885)
Administrative expenses 30  (2,427,249)  (2,160,682)
Finance costs 31  (1,370,569)  (1,581,168)
Other expenses 32  (3,056,913)  (2,476,636)
Other income 33  20,465,921   16,575,363 
Profit before taxation and levy   47,323,059   41,387,564 
Levy 34  (329,600)  (</t>
  </si>
  <si>
    <t>Note 2022 2021
   (PKR in ‘000’)
Gross sales 28  108,600,945   88,357,695 
Less:  Sales tax and federal excise duty   26,133,535   23,861,689 
   | Levies (final / minimum taxes presented separately)</t>
  </si>
  <si>
    <t>Note 2023 2022
   (PKR in ‘000’)
Gross sales 28  125,819,372   108,600,945 
Less:  Sales tax and federal excise duty   28,481,690   26,133,535 
  | Levies (final / minimum taxes presented separately)</t>
  </si>
  <si>
    <t>(2,442,585)
Other income
 34
  16,575,363 
  6,047,423 
Profit before Taxation and Levy
   41,387,564 
  21,343,274 
Levy
 2.2.1 &amp; 35
  (953,051)
  (437,833)
Profit before Taxation
   40,434,513 
  20,905,441 
Taxation
 35
  (12,327,974)
  (7,179,627)
Profit after Taxation
   28,106,539 
  13,725,814 
  (PKR)
Earnings per share - b</t>
  </si>
  <si>
    <t>32  (3,056,913)  (2,476,636)
Other income 33  20,465,921   16,575,363 
Profit before taxation and levy   47,323,059   41,387,564 
Levy 34  (329,600)  (953,051)
Profit before taxation   46,993,459   40,434,513 
Taxation 34  (13,901,297)  (12,327,974)
Profit after taxation   33,092,162   28,106,539
    (PKR)
     Restated
Earnings per shar</t>
  </si>
  <si>
    <t>r expenses 32  (3,056,913)  (2,476,636)
Other income 33  20,465,921   16,575,363 
Profit before taxation and levy   47,323,059   41,387,564 
Levy 34  (329,600)  (953,051)
Profit before taxation   46,993,459   40,434,513 
Taxation 34  (13,901,297)  (12,327,974)
Profit after taxation   33,092,162   28,106,539
    (PKR)
     Restated
Earnin</t>
  </si>
  <si>
    <t>s 33  (1,847,039)  (1,507,673)
Other income 34  7,387,800   5,993,029 
Profit before taxation   21,421,232   16,992,213 
T axation 35  (6,122,614)  (2,922,024)
Profit after taxation   15,298,618   14,070,189 
   (PKR)
Earnings per share - basic and diluted  36  47.31   43.51 
The annexed notes from 1 to 46 form an integral part of thes</t>
  </si>
  <si>
    <t>es 33  (2,442,585)  (1,847,039)
Other income 34  6,047,423   7,387,800 
Profit before taxation   21,343,274   21,421,232 
Taxation 35  (7,617,460)  (6,122,614)
Profit after taxation   13,725,814   15,298,618 
   (PKR)
Earnings per share - basic and diluted  36  43.06   47.31 
The annexed notes from 1 to 46 form an integral part o</t>
  </si>
  <si>
    <t>41,387,564 
  21,343,274 
Levy
 2.2.1 &amp; 35
  (953,051)
  (437,833)
Profit before Taxation
   40,434,513 
  20,905,441 
Taxation
 35
  (12,327,974)
  (7,179,627)
Profit after Taxation
   28,106,539 
  13,725,814 
  (PKR)
Earnings per share - basic and diluted 
 36
  94.54 
  43.06 
The annexed notes from 1 to 46 form an integral part o</t>
  </si>
  <si>
    <t>xation and levy   47,323,059   41,387,564 
Levy 34  (329,600)  (953,051)
Profit before taxation   46,993,459   40,434,513 
Taxation 34  (13,901,297)  (12,327,974)
Profit after taxation   33,092,162   28,106,539
    (PKR)
     Restated
Earnings per share - basic and diluted  35  22.59   18.91
The annexed notes from 1 to 46 form an inte</t>
  </si>
  <si>
    <t>ofit before taxation and levy   47,323,059   41,387,564 
Levy 34  (329,600)  (953,051)
Profit before taxation   46,993,459   40,434,513 
Taxation 34  (13,901,297)  (12,327,974)
Profit after taxation   33,092,162   28,106,539
    (PKR)
     Restated
Earnings per share - basic and diluted  35  22.59   18.91
The annexed notes from 1 to 4</t>
  </si>
  <si>
    <t>,555,201 
     27,507,420   25,416,890 
Net sales   81,093,525   62,940,805 
Cost of sales 29  (58,541,684)  (43,984,873)
Gross profit   22,551,841   18,955,932 
Distribution cost 30  (4,764,574)  (4,859,096)
Administrative expenses 31  (1,512,279)  (1,257,074)
Finance costs 32  (394,517)  (332,905)
Other expenses 33  (1,847,039)  (1,50</t>
  </si>
  <si>
    <t>,373,885 
     29,987,225   27,507,420 
Net sales   95,832,147   81,093,525 
Cost of sales 29  (69,771,469)  (58,541,684)
Gross profit   26,060,678   22,551,841 
Distribution cost 30  (5,326,894)  (4,764,574)
Administrative expenses 31  (1,825,578)  (1,512,279)
Finance costs 32  (1,169,770)  (394,517)
Other expenses 33  (2,442,585)  (1,</t>
  </si>
  <si>
    <t>36,483,229 
  29,987,225 
Net sales
 115,324,942 
  95,832,147 
Cost of sales
 29
  (76,520,370)
  (69,771,469)
Gross profit
   38,804,572 
  26,060,678 
Distribution cost
 30
  (7,773,885)
  (5,326,894)
Administrative expenses
 31
  (2,160,682)
  (1,825,578)
Finance cost
 32
  (1,581,168)
  (1,169,770)
Other expenses
 33
  (2</t>
  </si>
  <si>
    <t>,541 
     49,790,320   36,483,229 
Net Revenue   124,511,744   115,324,942 
Cost of sales 28  (81,827,060)  (76,520,370)
Gross profit   42,684,684   38,804,572 
Distribution costs 29  (8,972,815)  (7,773,885)
Administrative expenses 30  (2,427,249)  (2,160,682)
Finance costs 31  (1,370,569)  (1,581,168)
Other expenses 32  (3,056,913)  (2</t>
  </si>
  <si>
    <t>6,944   2,205,541 
     49,790,320   36,483,229 
Net Revenue   124,511,744   115,324,942 
Cost of sales 28  (81,827,060)  (76,520,370)
Gross profit   42,684,684   38,804,572 
Distribution costs 29  (8,972,815)  (7,773,885)
Administrative expenses 30  (2,427,249)  (2,160,682)
Finance costs 31  (1,370,569)  (1,581,168)
Other expenses 32  (3</t>
  </si>
  <si>
    <t>ts 32  (394,517)  (332,905)
Other expenses 33  (1,847,039)  (1,507,673)
Other income 34  7,387,800   5,993,029 
Profit before taxation   21,421,232   16,992,213 
T axation 35  (6,122,614)  (2,922,024)
Profit after taxation   15,298,618   14,070,189 
   (PKR)
Earnings per share - basic and diluted  36  47.31   43.51 
The annexed notes</t>
  </si>
  <si>
    <t>32  (1,169,770)  (394,517)
Other expenses 33  (2,442,585)  (1,847,039)
Other income 34  6,047,423   7,387,800 
Profit before taxation   21,343,274   21,421,232 
Taxation 35  (7,617,460)  (6,122,614)
Profit after taxation   13,725,814   15,298,618 
   (PKR)
Earnings per share - basic and diluted  36  43.06   47.31 
The annexed n</t>
  </si>
  <si>
    <t>,169,770)
Other expenses
 33
  (2,476,636)
  (2,442,585)
Other income
 34
  16,575,363 
  6,047,423 
Profit before Taxation and Levy
   41,387,564 
  21,343,274 
Levy
 2.2.1 &amp; 35
  (953,051)
  (437,833)
Profit before Taxation
   40,434,513 
  20,905,441 
Taxation
 35
  (12,327,974)
  (7,179,627)
Profit after Taxation
   28,106,539 
  13,7</t>
  </si>
  <si>
    <t>69)  (1,581,168)
Other expenses 32  (3,056,913)  (2,476,636)
Other income 33  20,465,921   16,575,363 
Profit before taxation and levy   47,323,059   41,387,564 
Levy 34  (329,600)  (953,051)
Profit before taxation   46,993,459   40,434,513 
Taxation 34  (13,901,297)  (12,327,974)
Profit after taxation   33,092,162   28,106,539
    (PKR)</t>
  </si>
  <si>
    <t>31  (1,370,569)  (1,581,168)
Other expenses 32  (3,056,913)  (2,476,636)
Other income 33  20,465,921   16,575,363 
Profit before taxation and levy   47,323,059   41,387,564 
Levy 34  (329,600)  (953,051)
Profit before taxation   46,993,459   40,434,513 
Taxation 34  (13,901,297)  (12,327,974)
Profit after taxation   33,092,162   28,106,5</t>
  </si>
  <si>
    <t>,387,800   5,993,029 
Profit before taxation   21,421,232   16,992,213 
T axation 35  (6,122,614)  (2,922,024)
Profit after taxation   15,298,618   14,070,189 
   (PKR)
Earnings per share - basic and diluted  36  47.31   43.51 
The annexed notes from 1 to 46 form an integral part of these unconsolidated financial statements.
Unconsoli</t>
  </si>
  <si>
    <t>6,047,423   7,387,800 
Profit before taxation   21,343,274   21,421,232 
Taxation 35  (7,617,460)  (6,122,614)
Profit after taxation   13,725,814   15,298,618 
   (PKR)
Earnings per share - basic and diluted  36  43.06   47.31 
The annexed notes from 1 to 46 form an integral part of these unconsolidated financial statements.
Unc</t>
  </si>
  <si>
    <t>051)
  (437,833)
Profit before Taxation
   40,434,513 
  20,905,441 
Taxation
 35
  (12,327,974)
  (7,179,627)
Profit after Taxation
   28,106,539 
  13,725,814 
  (PKR)
Earnings per share - basic and diluted 
 36
  94.54 
  43.06 
The annexed notes from 1 to 46 form an integral part of the
se unconsolidated financial statements.
237</t>
  </si>
  <si>
    <t>(329,600)  (953,051)
Profit before taxation   46,993,459   40,434,513 
Taxation 34  (13,901,297)  (12,327,974)
Profit after taxation   33,092,162   28,106,539
    (PKR)
     Restated
Earnings per share - basic and diluted  35  22.59   18.91
The annexed notes from 1 to 46 form an integral part of these unconsolidated financial stat</t>
  </si>
  <si>
    <t>,564 
Levy 34  (329,600)  (953,051)
Profit before taxation   46,993,459   40,434,513 
Taxation 34  (13,901,297)  (12,327,974)
Profit after taxation   33,092,162   28,106,539
    (PKR)
     Restated
Earnings per share - basic and diluted  35  22.59   18.91
The annexed notes from 1 to 46 form an integral part of these unconsolidated f</t>
  </si>
  <si>
    <t>Notes to the Unconsolidated 
Financial Statements
For the year ended June 30, 2022
  Note 2022 2021
   (PKR in ‘000’)
31.1 Auditor’s remuneration 
 S | 'Others' in finance cost note</t>
  </si>
  <si>
    <t>Notes to the Unconsolidated 
Financial Statements
For the year ended June 30, 2023
   2023 2022
   (PKR in ‘000’)
31.1 Auditor’s remuneration 
 Sta | 'Others' in finance cost note</t>
  </si>
  <si>
    <t>FINANCE COST
 Mark-up / interest on:
 Short-term finances
   1,052,832 
  613,581 
 Long-term finances
   507,703 
  545,215 
 Others
   20,633 
  10,974 
   1,581,168 
  1,169,770 
32.1
 Finance 
cost include PKR 1,289.157 million (2023: PKR 841.004 million) incurred under Islamic mode of 
financing.
 Note
 2024
 2023
  (P</t>
  </si>
  <si>
    <t>31. FINANCE COST
 Mark–up / interest on: 
 Short–term finances   876,065   1,052,832 
 Long–term finances   449,982   507,703 
 Others   44,522   20,633 
      1,370,569   1,581,168 
31.1 Finance cost include PKR 1,087.41 million (2024: PKR 1,289.157 million) incurred under Islamic mode of 
financing.
  Note 2025 2024
   (PKR in</t>
  </si>
  <si>
    <t>n ‘000’)
31. FINANCE COST
 Mark–up / interest on: 
 Short–term finances   876,065   1,052,832 
 Long–term finances   449,982   507,703 
 Others   44,522   20,633 
      1,370,569   1,581,168 
31.1 Finance cost include PKR 1,087.41 million (2024: PKR 1,289.157 million) incurred under Islamic mode of 
financing.
  Note 2025 2024</t>
  </si>
  <si>
    <t>OM OPERATIONS 
 Profit before taxation   21,421,232   16,992,213 
 Adjustments for non-cash charges and other items 
 Depreciation 5.2  4,526,876   4,298,760 
 Amortisation of intangible assets 6.2  885   10,653 
 Provision for slow moving spares  –   248,343 
 Net (reversal) / creation of provision for doubtful debts 12.3  (12,048)  1</t>
  </si>
  <si>
    <t>Notes to the Unconsolidated 
Financial Statements
For the year ended June 30, 2023
  Note 2023 2022
36. BASIC AND DILUTED EARNINGS PER SHARE 
 Profit after taxation (PKR in thousa | Components: Depreciation; Amortisation of intangible assets</t>
  </si>
  <si>
    <t>Notes to the Unconsolidated 
Financial Statements
For the year ended June 30, 2024
    Restated
 Note
 2024
 2023
  (PKR in ‘000’)
37.
 CASH GENERATED FROM OPERATIONS
 Profi | Components: Depreciation; Amortisation of intangible assets</t>
  </si>
  <si>
    <t>Note 2025 2024
   (PKR in ‘000’)
36. CASH GENERATED FROM OPERATIONS 
 Profit before taxation   46,993,459   40,434,513 
 Adjustments for: 
 Levy 34  329,600   953,051 
 Deprecia | Components: Depreciation; Amortisation of intangible assets</t>
  </si>
  <si>
    <t>Note 2022 2021
   (PKR in ‘000’)
CASH FLOWS FROM OPERATING ACTIVITIES 
Cash generated from operations 37  18,126,508   13,285,674 
 Income tax paid   (2,394,437)  (832,798)
 Gratuity paid   (136,242)  (100,969)
 Finance costs paid   (329,933)  (308,210)
 Increase in long-term deposits (liabilities)    6,699</t>
  </si>
  <si>
    <t>Note 2023 2022
   (PKR in ‘000’)
CASH FLOWS FROM OPERATING ACTIVITIES 
Cash generated from operations 37  24,515,258   18,126,508 
 Income tax paid   (966,685)  (2,394,437)
 Gratuity paid 24.1.3  (194,812)  (136,242)
 Finance costs paid   (807,477)  (329,933)
 Increase in long-term deposits (liabilities)</t>
  </si>
  <si>
    <t>r ended June 30, 2024
  Note  2024  2023
  (PKR in ‘000’)
CASH FLOWS FROM OPERATING ACTIVITIES
Cash generated from operations
 37
  30,937,432 
  24,515,258 
 Taxes and levy paid
   (2,234,906)
  (966,685)
 Staff gratuity paid
 24.1.2
  (188,243)
  (194,812)
 Finance costs paid
   (1,735,978)
  (807,477)
 Increase in long-term deposit</t>
  </si>
  <si>
    <t>the year ended June 30, 2025
  Note 2025 2024
   (PKR in ‘000’)
CASH FLOWS FROM OPERATING ACTIVITIES 
Cash generated from operations 36  33,808,781   30,937,432 
 Taxes and levy paid   (4,520,421)  (2,234,906)
 Staff gratuity paid 23.1.2  (300,000)  (188,243)
 Finance costs paid   (1,527,888)  (1,735,978)
 (Decrease) / increase in long-te</t>
  </si>
  <si>
    <t>sh Flows
For the year ended June 30, 2025
  Note 2025 2024
   (PKR in ‘000’)
CASH FLOWS FROM OPERATING ACTIVITIES 
Cash generated from operations 36  33,808,781   30,937,432 
 Taxes and levy paid   (4,520,421)  (2,234,906)
 Staff gratuity paid 23.1.2  (300,000)  (188,243)
 Finance costs paid   (1,527,888)  (1,735,978)
 (Decrease) / increa</t>
  </si>
  <si>
    <t>(assets)   (169)  (4,762)
 Increase in long-term loans and advances   (93,029)  (11,647)
Net cash generated from operating activities   15,469,449   12,492,631 
CASH FLOWS FROM INVESTING ACTIVITIES 
 Fixed capital expenditure   (24,591,059)  (6,470,913)
 Long-term investments made   (4,400,000)  (6,050,000)
 Sale proceeds on disposal o</t>
  </si>
  <si>
    <t>sits (assets)   264   (169)
 Increase in long-term loans and advances   (2,520)  (93,029)
Net cash generated from operating activities   23,242,896   15,469,449 
CASH FLOWS FROM INVESTING ACTIVITIES 
 Fixed capital expenditure including capital spares   (18,644,906)  (24,537,830)
 Addition to intangible assets   (66,116)  (53,229)
 Long</t>
  </si>
  <si>
    <t>– 
  264 
 Decrease / (increase) in long-term loans and advances
   36,780 
  (2,520)
Net cash generated from operating activities
   27,580,741 
  23,242,896 
CASH FLOWS FROM INVESTING ACTIVITIES
 Purchase of property, plant and equipment including capital s
pares
   (17,709,902)
  (18,644,906)
 Addition to intangible assets
   (26</t>
  </si>
  <si>
    <t>863   763,406 
 (Increase) / decrease in long-term loans and advances   (23,881)  36,780 
Net cash generated from operating activities   27,572,567   27,580,741 
CASH FLOWS FROM INVESTING ACTIVITIES 
 Addition to property, plant and equipment   (7,048,725)  (17,709,902)
 Addition to intangible assets   (37,744)  (26,925)
 Long term inve</t>
  </si>
  <si>
    <t>banks   276,863   763,406 
 (Increase) / decrease in long-term loans and advances   (23,881)  36,780 
Net cash generated from operating activities   27,572,567   27,580,741 
CASH FLOWS FROM INVESTING ACTIVITIES 
 Addition to property, plant and equipment   (7,048,725)  (17,709,902)
 Addition to intangible assets   (37,744)  (26,925)
 L</t>
  </si>
  <si>
    <t>rations 37  18,126,508   13,285,674 
 Income tax paid   (2,394,437)  (832,798)
 Gratuity paid   (136,242)  (100,969)
 Finance costs paid   (329,933)  (308,210)
 Increase in long-term deposits (liabilities)    6,699   10,571 
 Income from deposits with Islamic banks   290,052   454,772 
 Increase in long-term deposits (assets)   (169)  (4</t>
  </si>
  <si>
    <t>s 37  24,515,258   18,126,508 
 Income tax paid   (966,685)  (2,394,437)
 Gratuity paid 24.1.3  (194,812)  (136,242)
 Finance costs paid   (807,477)  (329,933)
 Increase in long-term deposits (liabilities)    2,505   6,699 
 Income from deposits with Islamic banks   696,363   290,052 
 Decrease / (increase) in long-term deposits (assets)</t>
  </si>
  <si>
    <t>24,515,258 
 Taxes and levy paid
   (2,234,906)
  (966,685)
 Staff gratuity paid
 24.1.2
  (188,243)
  (194,812)
 Finance costs paid
   (1,735,978)
  (807,477)
 Increase in long-term deposits (liabilities) 
   2,250 
  2,505 
 Income from deposits with Islamic banks
   763,406 
  696,363 
 Decrease in long-term deposits (assets)
  – 
  2</t>
  </si>
  <si>
    <t>81   30,937,432 
 Taxes and levy paid   (4,520,421)  (2,234,906)
 Staff gratuity paid 23.1.2  (300,000)  (188,243)
 Finance costs paid   (1,527,888)  (1,735,978)
 (Decrease) / increase in long-term deposits (liabilities)    (140,887)  2,250 
 Income from deposits with Islamic banks   276,863   763,406 
 (Increase) / decrease in long-term l</t>
  </si>
  <si>
    <t>36  33,808,781   30,937,432 
 Taxes and levy paid   (4,520,421)  (2,234,906)
 Staff gratuity paid 23.1.2  (300,000)  (188,243)
 Finance costs paid   (1,527,888)  (1,735,978)
 (Decrease) / increase in long-term deposits (liabilities)    (140,887)  2,250 
 Income from deposits with Islamic banks   276,863   763,406 
 (Increase) / decrease i</t>
  </si>
  <si>
    <t>Note 2022 2021
   (PKR in ‘000’)
CASH FLOWS FROM OPERATING ACTIVITIES 
Cash generated from operations 37  18,126,508   13,285,674 
 Income tax paid   (2,394,437)  (832,798)
 Gratuity paid   (136,242)  (100,969)
 Finan</t>
  </si>
  <si>
    <t>Note 2023 2022
   (PKR in ‘000’)
CASH FLOWS FROM OPERATING ACTIVITIES 
Cash generated from operations 37  24,515,258   18,126,508 
 Income tax paid   (966,685)  (2,394,437)
 Gratuity paid 24.1.3  (194,812)  (136,242)</t>
  </si>
  <si>
    <t>Unconsolidated Statement of 
Cash Flows
For the year ended June 30, 2024
  Note  2024  2023
  (PKR in ‘000’)
CASH FLOWS FROM OPERATING ACTIVITIES
Cash generated from operations
 37
  30,937,432 
  24,515,258 
 Taxes</t>
  </si>
  <si>
    <t>Muhammad Ali Tabba
Chief Executive
Muhammad Sohail Tabba
Chairman / Director
Atif Kaludi
Chief Financial Officer
Unconsolidated Statement of 
Cash Flows
For the year ended June 30, 2025
  Note 2025 2024
   (PKR in ‘000’</t>
  </si>
  <si>
    <t>ash generated from operating activities   15,469,449   12,492,631 
CASH FLOWS FROM INVESTING ACTIVITIES 
 Fixed capital expenditure   (24,591,059)  (6,470,913)
 Long-term investments made   (4,400,000)  (6,050,000)
 Sale proceeds on disposal of property, plant and equipment   233,881   109,962 
 Dividend received from subsidiary companie</t>
  </si>
  <si>
    <t>ing activities   23,242,896   15,469,449 
CASH FLOWS FROM INVESTING ACTIVITIES 
 Fixed capital expenditure including capital spares   (18,644,906)  (24,537,830)
 Addition to intangible assets   (66,116)  (53,229)
 Long term investments made  –   (4,400,000)
 Sale proceeds on disposal of property, plant and equipment 5.3  258,041   233,881</t>
  </si>
  <si>
    <t>80,741 
  23,242,896 
CASH FLOWS FROM INVESTING ACTIVITIES
 Purchase of property, plant and equipment including capital s
pares
   (17,709,902)
  (18,644,906)
 Addition to intangible assets
   (26,925)
  (66,116)
 Long term investment made
   (477,888)
 – 
 Proceeds on disposal of property, plant and equipment
 5.3
  155,199 
  258,0</t>
  </si>
  <si>
    <t>rom operating activities   27,572,567   27,580,741 
CASH FLOWS FROM INVESTING ACTIVITIES 
 Addition to property, plant and equipment   (7,048,725)  (17,709,902)
 Addition to intangible assets   (37,744)  (26,925)
 Long term investment made   (483,334)  (477,888)
 Proceeds on disposal of property, plant and equipment 5.3  127,174   155,199</t>
  </si>
  <si>
    <t>h generated from operating activities   27,572,567   27,580,741 
CASH FLOWS FROM INVESTING ACTIVITIES 
 Addition to property, plant and equipment   (7,048,725)  (17,709,902)
 Addition to intangible assets   (37,744)  (26,925)
 Long term investment made   (483,334)  (477,888)
 Proceeds on disposal of property, plant and equipment 5.3  127</t>
  </si>
  <si>
    <t>,167,048   613,816 
 (Placement) / release of balances held as lien 37.2  (789,111)  1,628,000 
Net cash used in investing activities   (24,826,255)  (5,762,325)
CASH FLOWS FROM FINANCING ACTIVITIES 
 Long-term loans obtained   12,718,119   4,041,984 
 Long-term loans repaid   (506,908) –  
 Dividends paid   (2,428)  (19,889)
Net cash ge</t>
  </si>
  <si>
    <t>1,983,916   1,167,048 
 Release / (placement) of balances held as lien   1,111,111   (789,111)
Net cash used in investing activities   (12,978,915)  (24,826,255)
CASH FLOWS FROM FINANCING ACTIVITIES 
 Long term loans obtained 22.5  5,286,636   12,718,119 
 Long term loans repaid 22.5  (4,768,485)  (506,908)
 Short term borrowings obtaine</t>
  </si>
  <si>
    <t>m investments
   4,845,426 
  1,983,916 
 Release of balances held as lien
  –  
  1
,111,111 
Net cash used in investing activities
   (2,580,021)
  (12,978,915)
CASH FLOWS FROM FINANCING ACTIVITIES
 Long term loans obtained
 22.4
 –  
  5,286,636 
 Long term loans repaid
 22.4
  (652,415)
  (4,768,485)
 Short term borrowings (repaid)</t>
  </si>
  <si>
    <t>83,510 
 Income received from short-term investments   6,407,057   4,845,426 
Net cash generated from / (used in) investing activities   11,714,661   (2,580,021)
CASH FLOWS FROM FINANCING ACTIVITIES 
 Long term financing repaid 21.4  (4,192,581)  (652,415)
 Short term borrowings obtained / (repaid) - net   1,000,000   (400,000)
 Own shar</t>
  </si>
  <si>
    <t>611,365   183,510 
 Income received from short-term investments   6,407,057   4,845,426 
Net cash generated from / (used in) investing activities   11,714,661   (2,580,021)
CASH FLOWS FROM FINANCING ACTIVITIES 
 Long term financing repaid 21.4  (4,192,581)  (652,415)
 Short term borrowings obtained / (repaid) - net   1,000,000   (400,</t>
  </si>
  <si>
    <t>4,041,984 
 Long-term loans repaid   (506,908) –  
 Dividends paid   (2,428)  (19,889)
Net cash generated from financing activities   12,208,783   4,022,095 
Net increase in cash and cash equivalents    2,851,977   10,752,401 
Cash and cash equivalents at the beginning of the year   11,641,039   888,638 
Cash and cash equivalents at t</t>
  </si>
  <si>
    <t>0)
 Own shares purchased for cancellation   (5,157,654) –  
 Dividends paid   (915)  (2,428)
Net cash generated from financing activities   244,582   6,158,783 
Net increase / (decrease) in cash and cash equivalents    10,508,563   (3,198,023)
Cash and cash equivalents at the beginning of the year   15,493,016   18,691,039 
Cash and cash</t>
  </si>
  <si>
    <t>ation
   (12,124,669)
  (5,157,654)
 Dividends paid
   (5,443,084)
  (915)
Net cash (used in) / generated from financing activities
   (18,620,168)
  244,582 
Net increase in cash and cash equivalents 
   6,380,552 
  10,508,563 
Cash and cash equivalents at the beginning of the year
   26,001,579 
  15,493,016 
Cash and cash equivalen</t>
  </si>
  <si>
    <t>hares purchased for cancellation   -     (12,124,669)
 Dividends paid   (4,388,403)  (5,443,084)
Net cash used in financing activities   (7,580,984)  (18,620,168)
Net increase in cash and cash equivalents    31,706,244   6,380,552 
Cash and cash equivalents at the beginning of the year   32,382,131   26,001,579 
Cash and cash equivalents at</t>
  </si>
  <si>
    <t>0,000)
 Own shares purchased for cancellation   -     (12,124,669)
 Dividends paid   (4,388,403)  (5,443,084)
Net cash used in financing activities   (7,580,984)  (18,620,168)
Net increase in cash and cash equivalents    31,706,244   6,380,552 
Cash and cash equivalents at the beginning of the year   32,382,131   26,001,579 
Cash and cash</t>
  </si>
  <si>
    <t>OWS FROM FINANCING ACTIVITIES 
 Long-term loans obtained   12,718,119   4,041,984 
 Long-term loans repaid   (506,908) –  
 Dividends paid   (2,428)  (19,889)
Net cash generated from financing activities   12,208,783   4,022,095 
Net increase in cash and cash equivalents    2,851,977   10,752,401 
Cash and cash equivalents at the beginn</t>
  </si>
  <si>
    <t>term borrowings obtained / (repaid) - net   4,885,000   (6,050,000)
 Own shares purchased for cancellation   (5,157,654) –  
 Dividends paid   (915)  (2,428)
Net cash generated from financing activities   244,582   6,158,783 
Net increase / (decrease) in cash and cash equivalents    10,508,563   (3,198,023)
Cash and cash equivalents at</t>
  </si>
  <si>
    <t>aid) / obtained - net
   (400,000)
  4,885,000 
 Own shares purchased for cancellation
   (12,124,669)
  (5,157,654)
 Dividends paid
   (5,443,084)
  (915)
Net cash (used in) / generated from financing activities
   (18,620,168)
  244,582 
Net increase in cash and cash equivalents 
   6,380,552 
  10,508,563 
Cash and cash equivalent</t>
  </si>
  <si>
    <t>rrowings obtained / (repaid) - net   1,000,000   (400,000)
 Own shares purchased for cancellation   -     (12,124,669)
 Dividends paid   (4,388,403)  (5,443,084)
Net cash used in financing activities   (7,580,984)  (18,620,168)
Net increase in cash and cash equivalents    31,706,244   6,380,552 
Cash and cash equivalents at the beginning o</t>
  </si>
  <si>
    <t>Short term borrowings obtained / (repaid) - net   1,000,000   (400,000)
 Own shares purchased for cancellation   -     (12,124,669)
 Dividends paid   (4,388,403)  (5,443,084)
Net cash used in financing activities   (7,580,984)  (18,620,168)
Net increase in cash and cash equivalents    31,706,244   6,380,552 
Cash and cash equivalents at th</t>
  </si>
  <si>
    <t>2021 2020
  Note (Rupees in thousand)
ASSETS     
NON-CURRENT ASSETS    
Property, plant and equipment 17 85,020,109 83,537,295
Investments 18 15,965,811 11,849,828
Long term loans to employees   - 76
Long term deposits 19 57,513 57,908
    101,043,433  95,445,107
CURRENT ASSETS
Stores, spare parts and loo</t>
  </si>
  <si>
    <t>2022 2021
  Note (Rupees in thousand)
ASSETS     
NON-CURRENT ASSETS    
Property, plant and equipment 17 82,803,860 85,020,109
Intangible asset 18 17,319 -
Investments 19 12,866,145 15,965,811
Long term deposits 20 61,526 57,513
    95,748,850 101,043,433
CURRENT ASSETS
Stores, spare parts and loose tools</t>
  </si>
  <si>
    <t>2023 2022
  Note (Rupees in thousand)
ASSETS     
NON-CURRENT ASSETS    
Property, plant and equipment 17 82,245,650 82,803,860
Intangible asset 18 10,152 17,319
Investments 19 13,366,360 12,866,145
Long term deposits 20 64,426 61,526
    95,686,588 95,748,850
CURRENT ASSETS
Stores, spare parts and loose t</t>
  </si>
  <si>
    <t>Annual Report 2024
   2024 2023
  Note (Rupees in thousand)
ASSETS     
NON-CURRENT ASSETS    
Property, plant and equipment 17 79,877,839 82,245,650
Intangible assets 18 42,762 10,152
Investments 19 16,633,064 13,366,360
Long term deposits 20 61,568 64,426
    96,615,233 95,686,588
CURRENT ASSETS
Stores, spare parts and loose</t>
  </si>
  <si>
    <t>2025 2024
  Note (Rupees in thousand)
ASSETS     
NON-CURRENT ASSETS    
Property, plant and equipment 17 77,252,559 79,877,839
Intangible assets 18 13,076 42,762
Long term investments 19 20,689,545 16,633,064
Long term deposits 20 61,013 61,568
    98,016,193 96,615,233
CURRENT ASSETS
Stores, spare parts</t>
  </si>
  <si>
    <t>2025 2024
  Note (Rupees in thousand)
ASSETS     
NON-CURRENT ASSETS    
Property, plant and equipment 17 77,252,559 79,877,839
Intangible assets 18 13,076 42,762
Long term investments 19 20,689,545 16,633,064
Long term deposits 20 61,013 61,568
    98,016,193 96,615,233
CURRENT ASSETS
Stores, s</t>
  </si>
  <si>
    <t>423 6,836
17. Property, plant and equipment
 Operating fixed assets - note 17.1 77,140,261 76,986,536
 Capital work-in-progress - note 17.2 7,726,720 6,358,259
 Major spare parts and stand-by equipment - note 17.3 153,128 192,500
     85,020,109 83,537,295</t>
  </si>
  <si>
    <t>6,011 6,423
17. Property, plant and equipment
 Operating fixed assets - note 17.1 81,934,028 77,140,261
 Capital work-in-progress - note 17.2 724,168 7,726,720
 Major spare parts and stand-by equipment - note 17.3 145,664 153,128
     82,803,860 85,020,109
 159
ANNUA L REPORT 2022  DGKC</t>
  </si>
  <si>
    <t>598 6,011
17. Property, plant and equipment
 Operating fixed assets - note 17.1 80,039,245 81,934,028
 Capital work-in-progress - note 17.2 2,006,864 724,168
 Major spare parts and stand-by equipment - note 17.3 199,541 145,664 
    82,245,650 82,803,860</t>
  </si>
  <si>
    <t>5,598
17. Property, plant and equipment
 Operating fixed assets - note  17.1 78,206,501 80,039,245
 Capital work-in-progress - note  17.2  1,341,029 2,006,864
 Major spare parts and stand-by equipment - note  17.3 330,309 199,541
     79,877,839 82,245,650</t>
  </si>
  <si>
    <t>710 5,136
17. Property, plant and equipment
 Operating fixed assets - note  17.1 76,142,612 78,206,501
 Capital work-in-progress - note  17.2 798,312 1,341,029
 Major spare parts and stand-by equipment - note  17.3 311,635 330,309
     77,252,559 79,877,839
188
DGKC Annual Report2025</t>
  </si>
  <si>
    <t>4,710 5,136
17. Property, plant and equipment
 Operating fixed assets - note  17.1 76,142,612 78,206,501
 Capital work-in-progress - note  17.2 798,312 1,341,029
 Major spare parts and stand-by equipment - note  17.3 311,635 330,309
     77,252,559 79,877,839
188
DGKC Annual Report2025</t>
  </si>
  <si>
    <t>2021 2020
  Note (Rupees in thousand)
EQUITY AND LIABILITIES
CAPITAL AND RESERVES
 Authorised share capital
 - 950,000,000 (2020: 950,000,000) | Right-of-use assets (presented separately)</t>
  </si>
  <si>
    <t>2022 2021
  Note (Rupees in thousand)
EQUITY AND LIABILITIES
SHARE CAPITAL AND RESERVES
 Authorised share capital
 - 950,000,000 (2021: 950,00 | Right-of-use assets (presented separately)</t>
  </si>
  <si>
    <t>2023 2022
  Note (Rupees in thousand)
EQUITY AND LIABILITIES
SHARE CAPITAL AND RESERVES
 Authorised share capital
 - 950,000,000 (2022: 950,00 | Right-of-use assets (presented separately)</t>
  </si>
  <si>
    <t>150
DGKC Annual Report 2024
   2024 2023
  Note (Rupees in thousand)
EQUITY AND LIABILITIES
SHARE CAPITAL AND RESERVES
 Authorised share capital
 | Right-of-use assets (presented separately)</t>
  </si>
  <si>
    <t>2025 2024
  Note (Rupees in thousand)
EQUITY AND LIABILITIES
SHARE CAPITAL AND RESERVES
 Authorised share capital
 - 950,000,000 (2024: 950,00 | Right-of-use assets (presented separately)</t>
  </si>
  <si>
    <t>2021 2020
  Note (Rupees in thousand)
EQUITY AND LIABILITIES
CAPITAL AND RESERVES
 Authorised share capital
 - 950,000,000 (2020: 950,000,000) | Intangible assets</t>
  </si>
  <si>
    <t>2022 2021
  Note (Rupees in thousand)
ASSETS     
NON-CURRENT ASSETS    
Property, plant and equipment 17 82,803,860 85,020,109
Intangi | Intangible asset</t>
  </si>
  <si>
    <t>(Rupees in thousand)
ASSETS     
NON-CURRENT ASSETS    
Property, plant and equipment 17 82,245,650 82,803,860
Intangible asset 18 10,152 17,319
Investments 19 13,366,360 12,866,145
Long term deposits 20 64,426 61,526
    95,686,588 95,748,850
CURRENT ASSETS
Stores, spare parts and loose tools 21 13,852,005 16,813,883
Stoc</t>
  </si>
  <si>
    <t>(Rupees in thousand)
ASSETS     
NON-CURRENT ASSETS    
Property, plant and equipment 17 79,877,839 82,245,650
Intangible assets 18 42,762 10,152
Investments 19 16,633,064 13,366,360
Long term deposits 20 61,568 64,426
    96,615,233 95,686,588
CURRENT ASSETS
Stores, spare parts and loose tools 21 12,559,774 13,852,005
Stoc</t>
  </si>
  <si>
    <t>(Rupees in thousand)
ASSETS     
NON-CURRENT ASSETS    
Property, plant and equipment 17 77,252,559 79,877,839
Intangible assets 18 13,076 42,762
Long term investments 19 20,689,545 16,633,064
Long term deposits 20 61,013 61,568
    98,016,193 96,615,233
CURRENT ASSETS
Stores, spare parts and loose tools 21 12,306,679 12,55</t>
  </si>
  <si>
    <t>Note (Rupees in thousand)
ASSETS     
NON-CURRENT ASSETS    
Property, plant and equipment 17 77,252,559 79,877,839
Intangible assets 18 13,076 42,762
Long term investments 19 20,689,545 16,633,064
Long term deposits 20 61,013 61,568
    98,016,193 96,615,233
CURRENT ASSETS
Stores, spare parts and loose tools 21 12,306,67</t>
  </si>
  <si>
    <t>2021 2020
  Note (Rupees in thousand)
EQUITY AND LIABILITIES
CAPITAL AND RESERVES
 Authorised share capital
 - 950,000,000 (2020: 950,000,000) | Investment property</t>
  </si>
  <si>
    <t>2022 2021
  Note (Rupees in thousand)
EQUITY AND LIABILITIES
SHARE CAPITAL AND RESERVES
 Authorised share capital
 - 950,000,000 (2021: 950,00 | Investment property</t>
  </si>
  <si>
    <t>2023 2022
  Note (Rupees in thousand)
EQUITY AND LIABILITIES
SHARE CAPITAL AND RESERVES
 Authorised share capital
 - 950,000,000 (2022: 950,00 | Investment property</t>
  </si>
  <si>
    <t>150
DGKC Annual Report 2024
   2024 2023
  Note (Rupees in thousand)
EQUITY AND LIABILITIES
SHARE CAPITAL AND RESERVES
 Authorised share capital
 | Investment property</t>
  </si>
  <si>
    <t>2025 2024
  Note (Rupees in thousand)
EQUITY AND LIABILITIES
SHARE CAPITAL AND RESERVES
 Authorised share capital
 - 950,000,000 (2024: 950,00 | Investment property</t>
  </si>
  <si>
    <t>e (Rupees in thousand)
ASSETS     
NON-CURRENT ASSETS    
Property, plant and equipment 17 85,020,109 83,537,295
Investments 18 15,965,811 11,849,828
Long term loans to employees   - 76
Long term deposits 19 57,513 57,908
    101,043,433  95,445,107
CURRENT ASSETS
Stores, spare parts and loose tools 20 12,879,348 8,237,990
Stoc</t>
  </si>
  <si>
    <t>SETS     
NON-CURRENT ASSETS    
Property, plant and equipment 17 82,803,860 85,020,109
Intangible asset 18 17,319 -
Investments 19 12,866,145 15,965,811
Long term deposits 20 61,526 57,513
    95,748,850 101,043,433
CURRENT ASSETS
Stores, spare parts and loose tools 21 16,813,883 12,879,348
Stock-in-trade 22 5,981,515 2,728,589
Tr</t>
  </si>
  <si>
    <t>NON-CURRENT ASSETS    
Property, plant and equipment 17 82,245,650 82,803,860
Intangible asset 18 10,152 17,319
Investments 19 13,366,360 12,866,145
Long term deposits 20 64,426 61,526
    95,686,588 95,748,850
CURRENT ASSETS
Stores, spare parts and loose tools 21 13,852,005 16,813,883
Stock-in-trade 22 8,873,170 5,981,515
Tra</t>
  </si>
  <si>
    <t>NON-CURRENT ASSETS    
Property, plant and equipment 17 79,877,839 82,245,650
Intangible assets 18 42,762 10,152
Investments 19 16,633,064 13,366,360
Long term deposits 20 61,568 64,426
    96,615,233 95,686,588
CURRENT ASSETS
Stores, spare parts and loose tools 21 12,559,774 13,852,005
Stock-in-trade 22 7,693,067 8,873,170
Tra</t>
  </si>
  <si>
    <t>-CURRENT ASSETS    
Property, plant and equipment 17 77,252,559 79,877,839
Intangible assets 18 13,076 42,762
Long term investments 19 20,689,545 16,633,064
Long term deposits 20 61,013 61,568
    98,016,193 96,615,233
CURRENT ASSETS
Stores, spare parts and loose tools 21 12,306,679 12,559,774
Stock-in-trade 22 8,188,678 7,693,067
Tra</t>
  </si>
  <si>
    <t>NON-CURRENT ASSETS    
Property, plant and equipment 17 77,252,559 79,877,839
Intangible assets 18 13,076 42,762
Long term investments 19 20,689,545 16,633,064
Long term deposits 20 61,013 61,568
    98,016,193 96,615,233
CURRENT ASSETS
Stores, spare parts and loose tools 21 12,306,679 12,559,774
Stock-in-trade 22 8,188,678 7,</t>
  </si>
  <si>
    <t>2021 2020
  Note (Rupees in thousand)
ASSETS     
NON-CURRENT ASSETS    
Property, plant and equipment 17 85,020,109 83,537,295
Investments 18 15,965,811 11,849,828
 | Components: Long term deposits; Long term loans to employees</t>
  </si>
  <si>
    <t>Property, plant and equipment 17 82,803,860 85,020,109
Intangible asset 18 17,319 -
Investments 19 12,866,145 15,965,811
Long term deposits 20 61,526 57,513
    95,748,850 101,043,433
CURRENT ASSETS
Stores, spare parts and loose tools 21 16,813,883 12,879,348
Stock-in-trade 22 5,981,515 2,728,589
Trade debts 23 1,467,862 1,676,245
Inv</t>
  </si>
  <si>
    <t>rty, plant and equipment 17 82,245,650 82,803,860
Intangible asset 18 10,152 17,319
Investments 19 13,366,360 12,866,145
Long term deposits 20 64,426 61,526
    95,686,588 95,748,850
CURRENT ASSETS
Stores, spare parts and loose tools 21 13,852,005 16,813,883
Stock-in-trade 22 8,873,170 5,981,515
Trade debts 23 1,193,440 1,467,862
Inve</t>
  </si>
  <si>
    <t>ty, plant and equipment 17 79,877,839 82,245,650
Intangible assets 18 42,762 10,152
Investments 19 16,633,064 13,366,360
Long term deposits 20 61,568 64,426
    96,615,233 95,686,588
CURRENT ASSETS
Stores, spare parts and loose tools 21 12,559,774 13,852,005
Stock-in-trade 22 7,693,067 8,873,170
Trade debts 23 855,742  1,193,440
Inves</t>
  </si>
  <si>
    <t>and equipment 17 77,252,559 79,877,839
Intangible assets 18 13,076 42,762
Long term investments 19 20,689,545 16,633,064
Long term deposits 20 61,013 61,568
    98,016,193 96,615,233
CURRENT ASSETS
Stores, spare parts and loose tools 21 12,306,679 12,559,774
Stock-in-trade 22 8,188,678 7,693,067
Trade debts 23 1,493,080 855,742
Short</t>
  </si>
  <si>
    <t>plant and equipment 17 77,252,559 79,877,839
Intangible assets 18 13,076 42,762
Long term investments 19 20,689,545 16,633,064
Long term deposits 20 61,013 61,568
    98,016,193 96,615,233
CURRENT ASSETS
Stores, spare parts and loose tools 21 12,306,679 12,559,774
Stock-in-trade 22 8,188,678 7,693,067
Trade debts 23 1,493,080 855,742</t>
  </si>
  <si>
    <t>to employees   - 76
Long term deposits 19 57,513 57,908
    101,043,433  95,445,107
CURRENT ASSETS
Stores, spare parts and loose tools 20 12,879,348 8,237,990
Stock-in-trade 21 2,728,589 4,352,995
Trade debts 22 1,676,245 2,286,084
Investments 23 12,946,786 13,126,388
Loans, advances, deposits, prepayments 
   and other receivables 24 4</t>
  </si>
  <si>
    <t>12,866,145 15,965,811
Long term deposits 20 61,526 57,513
    95,748,850 101,043,433
CURRENT ASSETS
Stores, spare parts and loose tools 21 16,813,883 12,879,348
Stock-in-trade 22 5,981,515 2,728,589
Trade debts 23 1,467,862 1,676,245
Investments 24 9,962,421 12,946,786
Loans, advances, deposits, prepayments
   and other receivables 25 1,4</t>
  </si>
  <si>
    <t>13,366,360 12,866,145
Long term deposits 20 64,426 61,526
    95,686,588 95,748,850
CURRENT ASSETS
Stores, spare parts and loose tools 21 13,852,005 16,813,883
Stock-in-trade 22 8,873,170 5,981,515
Trade debts 23 1,193,440 1,467,862
Investments 24 9,270,898 9,962,421
Loans, advances, deposits, prepayments 
   and other receivables 25 926</t>
  </si>
  <si>
    <t>16,633,064 13,366,360
Long term deposits 20 61,568 64,426
    96,615,233 95,686,588
CURRENT ASSETS
Stores, spare parts and loose tools 21 12,559,774 13,852,005
Stock-in-trade 22 7,693,067 8,873,170
Trade debts 23 855,742  1,193,440
Investments 24 18,384,882 9,270,898
Loans, advances, deposits, prepayments     
    and other receivables 2</t>
  </si>
  <si>
    <t>20,689,545 16,633,064
Long term deposits 20 61,013 61,568
    98,016,193 96,615,233
CURRENT ASSETS
Stores, spare parts and loose tools 21 12,306,679 12,559,774
Stock-in-trade 22 8,188,678 7,693,067
Trade debts 23 1,493,080 855,742
Short term investments 24 24,005,100 18,384,882
Loans, advances, deposits, prepayments
   and other receivab</t>
  </si>
  <si>
    <t>estments 19 20,689,545 16,633,064
Long term deposits 20 61,013 61,568
    98,016,193 96,615,233
CURRENT ASSETS
Stores, spare parts and loose tools 21 12,306,679 12,559,774
Stock-in-trade 22 8,188,678 7,693,067
Trade debts 23 1,493,080 855,742
Short term investments 24 24,005,100 18,384,882
Loans, advances, deposits, prepayments
   and oth</t>
  </si>
  <si>
    <t>s 19 57,513 57,908
    101,043,433  95,445,107
CURRENT ASSETS
Stores, spare parts and loose tools 20 12,879,348 8,237,990
Stock-in-trade 21 2,728,589 4,352,995
Trade debts 22 1,676,245 2,286,084
Investments 23 12,946,786 13,126,388
Loans, advances, deposits, prepayments 
   and other receivables 24 488,566 624,493
Loan to related party 2</t>
  </si>
  <si>
    <t>s 20 61,526 57,513
    95,748,850 101,043,433
CURRENT ASSETS
Stores, spare parts and loose tools 21 16,813,883 12,879,348
Stock-in-trade 22 5,981,515 2,728,589
Trade debts 23 1,467,862 1,676,245
Investments 24 9,962,421 12,946,786
Loans, advances, deposits, prepayments
   and other receivables 25 1,430,613 488,566
Loan to related party 2</t>
  </si>
  <si>
    <t>ts 20 64,426 61,526
    95,686,588 95,748,850
CURRENT ASSETS
Stores, spare parts and loose tools 21 13,852,005 16,813,883
Stock-in-trade 22 8,873,170 5,981,515
Trade debts 23 1,193,440 1,467,862
Investments 24 9,270,898 9,962,421
Loans, advances, deposits, prepayments 
   and other receivables 25 926,047 1,430,613
Income tax receivable</t>
  </si>
  <si>
    <t>ts 20 61,568 64,426
    96,615,233 95,686,588
CURRENT ASSETS
Stores, spare parts and loose tools 21 12,559,774 13,852,005
Stock-in-trade 22 7,693,067 8,873,170
Trade debts 23 855,742  1,193,440
Investments 24 18,384,882 9,270,898
Loans, advances, deposits, prepayments     
    and other receivables 25 160,289 926,047
Income tax receivabl</t>
  </si>
  <si>
    <t>ts 20 61,013 61,568
    98,016,193 96,615,233
CURRENT ASSETS
Stores, spare parts and loose tools 21 12,306,679 12,559,774
Stock-in-trade 22 8,188,678 7,693,067
Trade debts 23 1,493,080 855,742
Short term investments 24 24,005,100 18,384,882
Loans, advances, deposits, prepayments
   and other receivables 25 1,345,673 160,289
Income tax re</t>
  </si>
  <si>
    <t>erm deposits 20 61,013 61,568
    98,016,193 96,615,233
CURRENT ASSETS
Stores, spare parts and loose tools 21 12,306,679 12,559,774
Stock-in-trade 22 8,188,678 7,693,067
Trade debts 23 1,493,080 855,742
Short term investments 24 24,005,100 18,384,882
Loans, advances, deposits, prepayments
   and other receivables 25 1,345,673 160,289
Inc</t>
  </si>
  <si>
    <t>95,445,107
CURRENT ASSETS
Stores, spare parts and loose tools 20 12,879,348 8,237,990
Stock-in-trade 21 2,728,589 4,352,995
Trade debts 22 1,676,245 2,286,084
Investments 23 12,946,786 13,126,388
Loans, advances, deposits, prepayments 
   and other receivables 24 488,566 624,493
Loan to related party 25 765,000 765,000
Income tax receiv</t>
  </si>
  <si>
    <t>01,043,433
CURRENT ASSETS
Stores, spare parts and loose tools 21 16,813,883 12,879,348
Stock-in-trade 22 5,981,515 2,728,589
Trade debts 23 1,467,862 1,676,245
Investments 24 9,962,421 12,946,786
Loans, advances, deposits, prepayments
   and other receivables 25 1,430,613 488,566
Loan to related party 26 - 765,000
Income tax receivable</t>
  </si>
  <si>
    <t>95,748,850
CURRENT ASSETS
Stores, spare parts and loose tools 21 13,852,005 16,813,883
Stock-in-trade 22 8,873,170 5,981,515
Trade debts 23 1,193,440 1,467,862
Investments 24 9,270,898 9,962,421
Loans, advances, deposits, prepayments 
   and other receivables 25 926,047 1,430,613
Income tax receivable   4,236,134 4,746,066
Cash and bank</t>
  </si>
  <si>
    <t>95,686,588
CURRENT ASSETS
Stores, spare parts and loose tools 21 12,559,774 13,852,005
Stock-in-trade 22 7,693,067 8,873,170
Trade debts 23 855,742  1,193,440
Investments 24 18,384,882 9,270,898
Loans, advances, deposits, prepayments     
    and other receivables 25 160,289 926,047
Income tax receivable  1,384,599 4,236,134
Cash and ba</t>
  </si>
  <si>
    <t>96,615,233
CURRENT ASSETS
Stores, spare parts and loose tools 21 12,306,679 12,559,774
Stock-in-trade 22 8,188,678 7,693,067
Trade debts 23 1,493,080 855,742
Short term investments 24 24,005,100 18,384,882
Loans, advances, deposits, prepayments
   and other receivables 25 1,345,673 160,289
Income tax receivable  - 1,384,599
Cash and ba</t>
  </si>
  <si>
    <t>8,016,193 96,615,233
CURRENT ASSETS
Stores, spare parts and loose tools 21 12,306,679 12,559,774
Stock-in-trade 22 8,188,678 7,693,067
Trade debts 23 1,493,080 855,742
Short term investments 24 24,005,100 18,384,882
Loans, advances, deposits, prepayments
   and other receivables 25 1,345,673 160,289
Income tax receivable  - 1,384,599
Cas</t>
  </si>
  <si>
    <t>pare parts and loose tools 20 12,879,348 8,237,990
Stock-in-trade 21 2,728,589 4,352,995
Trade debts 22 1,676,245 2,286,084
Investments 23 12,946,786 13,126,388
Loans, advances, deposits, prepayments 
   and other receivables 24 488,566 624,493
Loan to related party 25 765,000 765,000
Income tax receivable  4,560,357 4,365,643
Cash and ba</t>
  </si>
  <si>
    <t>pare parts and loose tools 21 16,813,883 12,879,348
Stock-in-trade 22 5,981,515 2,728,589
Trade debts 23 1,467,862 1,676,245
Investments 24 9,962,421 12,946,786
Loans, advances, deposits, prepayments
   and other receivables 25 1,430,613 488,566
Loan to related party 26 - 765,000
Income tax receivable   4,746,066 4,560,357
Cash and bank b</t>
  </si>
  <si>
    <t>pare parts and loose tools 21 13,852,005 16,813,883
Stock-in-trade 22 8,873,170 5,981,515
Trade debts 23 1,193,440 1,467,862
Investments 24 9,270,898 9,962,421
Loans, advances, deposits, prepayments 
   and other receivables 25 926,047 1,430,613
Income tax receivable   4,236,134 4,746,066
Cash and bank balances 26 674,972 410,803
    39,</t>
  </si>
  <si>
    <t>pare parts and loose tools 21 12,559,774 13,852,005
Stock-in-trade 22 7,693,067 8,873,170
Trade debts 23 855,742  1,193,440
Investments 24 18,384,882 9,270,898
Loans, advances, deposits, prepayments     
    and other receivables 25 160,289 926,047
Income tax receivable  1,384,599 4,236,134
Cash and bank balances 26 732,168 674,972
    4</t>
  </si>
  <si>
    <t>and loose tools 21 12,306,679 12,559,774
Stock-in-trade 22 8,188,678 7,693,067
Trade debts 23 1,493,080 855,742
Short term investments 24 24,005,100 18,384,882
Loans, advances, deposits, prepayments
   and other receivables 25 1,345,673 160,289
Income tax receivable  - 1,384,599
Cash and bank balances 26 568,832 732,168
    47,908,042 41</t>
  </si>
  <si>
    <t>spare parts and loose tools 21 12,306,679 12,559,774
Stock-in-trade 22 8,188,678 7,693,067
Trade debts 23 1,493,080 855,742
Short term investments 24 24,005,100 18,384,882
Loans, advances, deposits, prepayments
   and other receivables 25 1,345,673 160,289
Income tax receivable  - 1,384,599
Cash and bank balances 26 568,832 732,168
    47</t>
  </si>
  <si>
    <t>receivables 24 488,566 624,493
Loan to related party 25 765,000 765,000
Income tax receivable  4,560,357 4,365,643
Cash and bank balances 26 806,373 347,834
    36,851,264 34,106,427
    137,894,697 129,551,534
AS AT JUNE 30, 2021
DirectorChief Financial Officer  
 105ANNUA L REPORT 2021  DGKC</t>
  </si>
  <si>
    <t>her receivables 25 1,430,613 488,566
Loan to related party 26 - 765,000
Income tax receivable   4,746,066 4,560,357
Cash and bank balances 27 410,803 806,373
    40,813,163 36,851,264
     136,562,013 137,894,697
AS AT JUNE 30, 2022
DirectorChief Financial Officer  
 125
ANNUA L REPORT 2022  DGKC</t>
  </si>
  <si>
    <t>s, deposits, prepayments 
   and other receivables 25 926,047 1,430,613
Income tax receivable   4,236,134 4,746,066
Cash and bank balances 26 674,972 410,803
    39,026,666 40,813,163
      134,713,254 136,562,013
AS AT JUNE 30, 2023
DirectorChief Financial Officer  
2023
Annual Report
DGKC
151</t>
  </si>
  <si>
    <t>deposits, prepayments     
    and other receivables 25 160,289 926,047
Income tax receivable  1,384,599 4,236,134
Cash and bank balances 26 732,168 674,972
    41,770,521 39,026,666
    138,385,754 134,713,254
As At June 30, 2024
DirectorChief Financial Officer</t>
  </si>
  <si>
    <t>s, advances, deposits, prepayments
   and other receivables 25 1,345,673 160,289
Income tax receivable  - 1,384,599
Cash and bank balances 26 568,832 732,168
    47,908,042 41,770,521
     145,924,235 138,385,754
As At June 30, 2025
DirectorChief Financial Officer  
153
DGKC Annual Report 2025</t>
  </si>
  <si>
    <t>882
Loans, advances, deposits, prepayments
   and other receivables 25 1,345,673 160,289
Income tax receivable  - 1,384,599
Cash and bank balances 26 568,832 732,168
    47,908,042 41,770,521
     145,924,235 138,385,754
As At June 30, 2025
DirectorChief Financial Officer  
153
DGKC Annual Report 2025</t>
  </si>
  <si>
    <t>2021 2020
  Note (Rupees in thousand)
ASSETS     
NON-CURRENT ASSETS    
Property, plant and equipment 17 85,020,109 83,537,295
Investments 18 15,965,811 11,849,828
 | Components: Income tax receivable; Loan to related party; Loans, advances, deposits, prepayments a</t>
  </si>
  <si>
    <t>2022 2021
  Note (Rupees in thousand)
ASSETS     
NON-CURRENT ASSETS    
Property, plant and equipment 17 82,803,860 85,020,109
Intangible asset 18 17,319 -
Investme | Components: Income tax receivable; Loan to related party; Loans, advances, deposits, prepayments a</t>
  </si>
  <si>
    <t>2023 2022
  Note (Rupees in thousand)
ASSETS     
NON-CURRENT ASSETS    
Property, plant and equipment 17 82,245,650 82,803,860
Intangible asset 18 10,152 17,319
Inv | Components: Income tax receivable; Loans, advances, deposits, prepayments a</t>
  </si>
  <si>
    <t>151
DGKC Annual Report 2024
   2024 2023
  Note (Rupees in thousand)
ASSETS     
NON-CURRENT ASSETS    
Property, plant and equipment 17 79,877,839 82,245,650
Intangibl | Components: Income tax receivable; Loans, advances, deposits, prepayments a</t>
  </si>
  <si>
    <t>2025 2024
  Note (Rupees in thousand)
ASSETS     
NON-CURRENT ASSETS    
Property, plant and equipment 17 77,252,559 79,877,839
Intangible assets 18 13,076 42,762
Lo | Components: Income tax receivable; Loans, advances, deposits, prepayments a</t>
  </si>
  <si>
    <t>7
Trade debts 23 1,493,080 855,742
Short term investments 24 24,005,100 18,384,882
Loans, advances, deposits, prepayments
   and other receivables 25 1,345,673 160,289
Income tax receivable  - 1,384,599
Cash and bank balances 26 568,832 732,168
    47,908,042 41,770,521
     145,924,235 138,385,754
As At June 30, 2025
D</t>
  </si>
  <si>
    <t>0
    10,000,000 10,000,000
 Issued, subscribed and paid up share capital 
    438,119,118 (2020: 438,119,118)
       ordinary shares of Rs 10 each 5 4,381,191 4,381,191
 Other reserves 6 30,280,119 27,226,658
 Revenue reserve: Un-appropriated profits  38,816,563 35,036,308
    73,477,873 66,644,157
NON-CURRENT LIABILITIES
 Long term fin</t>
  </si>
  <si>
    <t>0
    10,000,000 10,000,000
 Issued, subscribed and paid up share capital 
    438,119,118 (2021: 438,119,118)
       ordinary shares of Rs 10 each 5 4,381,191 4,381,191
 Other reserves 6 24,238,624 30,280,119
 Revenue reserve: Un-appropriated profits  41,298,287 38,816,563
    69,918,102 73,477,873
NON-CURRENT LIABILITIES
 Long term fin</t>
  </si>
  <si>
    <t>10,000,000 10,000,000
 Issued, subscribed and paid up share capital 
    438,119,118 (2022: 438,119,118)
       ordinary shares of Rs 10 each 5  4,381,191 4,381,191
 Other reserves 6 22,592,167 24,238,624
 Revenue reserve: Un-appropriated profits  37,218,919 41,298,287
 Total equity  64,192,277 69,918,102
NON-CURRENT LIABILITIES
 Lo</t>
  </si>
  <si>
    <t>10,000,000 10,000,000
 Issued, subscribed and paid up share capital 
    438,119,118 (2023: 438,119,118)
       ordinary shares of Rs 10 each 5  4,381,191 4,381,191
 Other reserves 6 33,670,663 22,592,167
 Revenue reserve: Un-appropriated profits  37,795,684 37,218,919
 Total equity  75,847,538 64,192,277
NON-CURRENT LIABILITIES
 Lo</t>
  </si>
  <si>
    <t>10,000,000 10,000,000
 Issued, subscribed and paid up share capital 
    438,119,118 (2024: 438,119,118)
       ordinary shares of Rs 10 each 5  4,381,191 4,381,191
 Other reserves 6 43,790,127 33,670,663
 Revenue reserve: Un-appropriated profits  46,496,160 37,795,684
 Total equity  94,667,478 75,847,538
NON-CURRENT LIABILITIES
 Lo</t>
  </si>
  <si>
    <t>2021 2020
  Note (Rupees in thousand)
EQUITY AND LIABILITIES
CAPITAL AND RESERVES
 Authorised share capital
 - 950,000,000 (2020: 950,000,000) 
      ordinary shares of Rs  | Components: Other reserves; Revenue reserve: Un-appropriated profits</t>
  </si>
  <si>
    <t>2022 2021
  Note (Rupees in thousand)
EQUITY AND LIABILITIES
SHARE CAPITAL AND RESERVES
 Authorised share capital
 - 950,000,000 (2021: 950,000,000) 
      ordinary shares  | Components: Other reserves; Revenue reserve: Un-appropriated profits</t>
  </si>
  <si>
    <t>2023 2022
  Note (Rupees in thousand)
EQUITY AND LIABILITIES
SHARE CAPITAL AND RESERVES
 Authorised share capital
 - 950,000,000 (2022: 950,000,000) 
      ordinary shares  | Components: Other reserves; Revenue reserve: Un-appropriated profits</t>
  </si>
  <si>
    <t>150
DGKC Annual Report 2024
   2024 2023
  Note (Rupees in thousand)
EQUITY AND LIABILITIES
SHARE CAPITAL AND RESERVES
 Authorised share capital
 - 950,000,000 (2023: 950,000, | Components: Other reserves; Revenue reserve: Un-appropriated profits</t>
  </si>
  <si>
    <t>2025 2024
  Note (Rupees in thousand)
EQUITY AND LIABILITIES
SHARE CAPITAL AND RESERVES
 Authorised share capital
 - 950,000,000 (2024: 950,000,000) 
      ordinary shares  | Components: Other reserves; Revenue reserve: Un-appropriated profits</t>
  </si>
  <si>
    <t>reserve: Un-appropriated profits  38,816,563 35,036,308
    73,477,873 66,644,157
NON-CURRENT LIABILITIES
 Long term finances - secured 7 19,300,064 21,972,000
 Deferred government grant 8 664,504 -
 Long term deposits 9 246,992 253,937
 Deferred liabilities 10 530,803 521,834
 Deferred taxation 11 3,378,941 2,535,349
    24,121,304 25,2</t>
  </si>
  <si>
    <t>ofits  41,298,287 38,816,563
    69,918,102 73,477,873
NON-CURRENT LIABILITIES
 Long term finances from financial institutions - secured 7 14,168,229 19,300,064
 Deferred government grant 8 450,684 664,504
 Long term deposits 9 281,177 246,992
 Employee benefits obligations 10 712,640 530,803
 Deferred taxation 11 4,942,150 3,378,941</t>
  </si>
  <si>
    <t>218,919 41,298,287
 Total equity  64,192,277 69,918,102
NON-CURRENT LIABILITIES
 Long term finances from financial institutions - secured 7 9,663,619 14,168,229
 Deferred government grant 8 278,753 450,684
 Long term deposits 9 439,697 281,177
 Employee benefits obligations 10  849,515 712,640
 Deferred taxation 11 10,613,603 4,942,150</t>
  </si>
  <si>
    <t>95,684 37,218,919
 Total equity  75,847,538 64,192,277
NON-CURRENT LIABILITIES
 Long term finances from financial institutions - secured 7 15,965,116 9,663,619
 Deferred government grant 8 154,614 278,753
 Long term deposits 9 572,748 439,697
 Employee benefits obligations 10 944,549 849,515
 Deferred taxation 11 12,675,472 10,613,603</t>
  </si>
  <si>
    <t>96,160 37,795,684
 Total equity  94,667,478 75,847,538
NON-CURRENT LIABILITIES
 Long term finances from financial institutions - secured 7 10,093,829 15,965,116
 Deferred government grant 8 70,135 154,614
 Long term deposits 9 940,292 572,748
 Employee benefits obligations 10 954,639 944,549
 Deferred taxation 11 13,286,942 12,675,472</t>
  </si>
  <si>
    <t>ofits  46,496,160 37,795,684
 Total equity  94,667,478 75,847,538
NON-CURRENT LIABILITIES
 Long term finances from financial institutions - secured 7 10,093,829 15,965,116
 Deferred government grant 8 70,135 154,614
 Long term deposits 9 940,292 572,748
 Employee benefits obligations 10 954,639 944,549
 Deferred taxation 11 13,286,942 12,</t>
  </si>
  <si>
    <t>2021 2020
  Note (Rupees in thousand)
EQUITY AND LIABILITIES
CAPITAL AND RESERVES
 Authorised share capital
 - 950,000,000 (2020: 950,000,000) | Lease liabilities (non-current)</t>
  </si>
  <si>
    <t>2022 2021
  Note (Rupees in thousand)
EQUITY AND LIABILITIES
SHARE CAPITAL AND RESERVES
 Authorised share capital
 - 950,000,000 (2021: 950,00 | Lease liabilities (non-current)</t>
  </si>
  <si>
    <t>2023 2022
  Note (Rupees in thousand)
EQUITY AND LIABILITIES
SHARE CAPITAL AND RESERVES
 Authorised share capital
 - 950,000,000 (2022: 950,00 | Lease liabilities (non-current)</t>
  </si>
  <si>
    <t>150
DGKC Annual Report 2024
   2024 2023
  Note (Rupees in thousand)
EQUITY AND LIABILITIES
SHARE CAPITAL AND RESERVES
 Authorised share capital
 | Lease liabilities (non-current)</t>
  </si>
  <si>
    <t>2025 2024
  Note (Rupees in thousand)
EQUITY AND LIABILITIES
SHARE CAPITAL AND RESERVES
 Authorised share capital
 - 950,000,000 (2024: 950,00 | Lease liabilities (non-current)</t>
  </si>
  <si>
    <t>2021 2020
  Note (Rupees in thousand)
EQUITY AND LIABILITIES
CAPITAL AND RESERVES
 Authorised share capital
 - 950,000,000 (2020: 950,000,000) | Deferred government grant</t>
  </si>
  <si>
    <t>77,873
NON-CURRENT LIABILITIES
 Long term finances from financial institutions - secured 7 14,168,229 19,300,064
 Deferred government grant 8 450,684 664,504
 Long term deposits 9 281,177 246,992
 Employee benefits obligations 10 712,640 530,803
 Deferred taxation 11 4,942,150 3,378,941
    20,554,880 24,121,304
CURRENT LIABILITIES
 Tr</t>
  </si>
  <si>
    <t>918,102
NON-CURRENT LIABILITIES
 Long term finances from financial institutions - secured 7 9,663,619 14,168,229
 Deferred government grant 8 278,753 450,684
 Long term deposits 9 439,697 281,177
 Employee benefits obligations 10  849,515 712,640
 Deferred taxation 11 10,613,603 4,942,150
    21,845,187 20,554,880
CURRENT LIABILITIES</t>
  </si>
  <si>
    <t>192,277
NON-CURRENT LIABILITIES
 Long term finances from financial institutions - secured 7 15,965,116 9,663,619
 Deferred government grant 8 154,614 278,753
 Long term deposits 9 572,748 439,697
 Employee benefits obligations 10 944,549 849,515
 Deferred taxation 11 12,675,472 10,613,603
    30,312,499 21,845,187
CURRENT LIABILITIES</t>
  </si>
  <si>
    <t>847,538
NON-CURRENT LIABILITIES
 Long term finances from financial institutions - secured 7 10,093,829 15,965,116
 Deferred government grant 8 70,135 154,614
 Long term deposits 9 940,292 572,748
 Employee benefits obligations 10 954,639 944,549
 Deferred taxation 11 13,286,942 12,675,472
    25,345,837 30,312,499
CURRENT LIABILITIES</t>
  </si>
  <si>
    <t>478 75,847,538
NON-CURRENT LIABILITIES
 Long term finances from financial institutions - secured 7 10,093,829 15,965,116
 Deferred government grant 8 70,135 154,614
 Long term deposits 9 940,292 572,748
 Employee benefits obligations 10 954,639 944,549
 Deferred taxation 11 13,286,942 12,675,472
    25,345,837 30,312,499
CURRENT LIABI</t>
  </si>
  <si>
    <t>Deferred government grant 8 664,504 -
 Long term deposits 9 246,992 253,937
 Deferred liabilities 10 530,803 521,834
 Deferred taxation 11 3,378,941 2,535,349
    24,121,304 25,283,120
CURRENT LIABILITIES
 Trade and other payables 12 14,923,151 11,298,187
 Accrued markup 13 507,769 712,275
 Short term borrowings - secured 14 18,362,050</t>
  </si>
  <si>
    <t>nment grant 8 450,684 664,504
 Long term deposits 9 281,177 246,992
 Employee benefits obligations 10 712,640 530,803
 Deferred taxation 11 4,942,150 3,378,941
    20,554,880 24,121,304
CURRENT LIABILITIES
 Trade and other payables 12 12,591,709 14,923,151
 Short term borrowings from financial institutions - secured 13 25,210,506 18,362,</t>
  </si>
  <si>
    <t>ent grant 8 278,753 450,684
 Long term deposits 9 439,697 281,177
 Employee benefits obligations 10  849,515 712,640
 Deferred taxation 11 10,613,603 4,942,150
    21,845,187 20,554,880
CURRENT LIABILITIES
 Trade and other payables 12 13,783,299 12,591,709
 Short term borrowings from financial institutions - secured 13 25,494,293 25,210,</t>
  </si>
  <si>
    <t>ment grant 8 154,614 278,753
 Long term deposits 9 572,748 439,697
 Employee benefits obligations 10 944,549 849,515
 Deferred taxation 11 12,675,472 10,613,603
    30,312,499 21,845,187
CURRENT LIABILITIES
 Trade and other payables 12 12,394,455 13,783,299
 Short term borrowings from financial institutions - secured 13 13,064,718 25,494,</t>
  </si>
  <si>
    <t>nment grant 8 70,135 154,614
 Long term deposits 9 940,292 572,748
 Employee benefits obligations 10 954,639 944,549
 Deferred taxation 11 13,286,942 12,675,472
    25,345,837 30,312,499
CURRENT LIABILITIES
 Trade and other payables 12 13,333,448 12,394,455
 Short term borrowings from financial institutions - secured 13 9,878,499 13,064,7</t>
  </si>
  <si>
    <t>erred government grant 8 70,135 154,614
 Long term deposits 9 940,292 572,748
 Employee benefits obligations 10 954,639 944,549
 Deferred taxation 11 13,286,942 12,675,472
    25,345,837 30,312,499
CURRENT LIABILITIES
 Trade and other payables 12 13,333,448 12,394,455
 Short term borrowings from financial institutions - secured 13 9,878,4</t>
  </si>
  <si>
    <t>2021 2020
  Note (Rupees in thousand)
EQUITY AND LIABILITIES
CAPITAL AND RESERVES
 Authorised share capital
 - 950,000,000 (2020: 950,000,000) 
      ordinary shares of Rs  | Components: Deferred liabilities; Long term deposits</t>
  </si>
  <si>
    <t>2022 2021
  Note (Rupees in thousand)
EQUITY AND LIABILITIES
SHARE CAPITAL AND RESERVES
 Authorised share capital
 - 950,000,000 (2021: 950,000,000) 
      ordinary shares  | Components: Employee benefits obligations; Long term deposits</t>
  </si>
  <si>
    <t>2023 2022
  Note (Rupees in thousand)
EQUITY AND LIABILITIES
SHARE CAPITAL AND RESERVES
 Authorised share capital
 - 950,000,000 (2022: 950,000,000) 
      ordinary shares  | Components: Employee benefits obligations; Long term deposits</t>
  </si>
  <si>
    <t>150
DGKC Annual Report 2024
   2024 2023
  Note (Rupees in thousand)
EQUITY AND LIABILITIES
SHARE CAPITAL AND RESERVES
 Authorised share capital
 - 950,000,000 (2023: 950,000, | Components: Employee benefits obligations; Long term deposits</t>
  </si>
  <si>
    <t>2025 2024
  Note (Rupees in thousand)
EQUITY AND LIABILITIES
SHARE CAPITAL AND RESERVES
 Authorised share capital
 - 950,000,000 (2024: 950,000,000) 
      ordinary shares  | Components: Employee benefits obligations; Long term deposits</t>
  </si>
  <si>
    <t>es 10 530,803 521,834
 Deferred taxation 11 3,378,941 2,535,349
    24,121,304 25,283,120
CURRENT LIABILITIES
 Trade and other payables 12 14,923,151 11,298,187
 Accrued markup 13 507,769 712,275
 Short term borrowings - secured 14 18,362,050 23,495,967
 Current portion of non-current liabilities 15 6,433,943 2,048,901
 Unclaimed dividend</t>
  </si>
  <si>
    <t>ns 10 712,640 530,803
 Deferred taxation 11 4,942,150 3,378,941
    20,554,880 24,121,304
CURRENT LIABILITIES
 Trade and other payables 12 12,591,709 14,923,151
 Short term borrowings from financial institutions - secured 13 25,210,506 18,362,050
 Accrued markup 14 883,229 507,769
 Current portion of non-current liabilities 15 7,333,985 6</t>
  </si>
  <si>
    <t>10  849,515 712,640
 Deferred taxation 11 10,613,603 4,942,150
    21,845,187 20,554,880
CURRENT LIABILITIES
 Trade and other payables 12 13,783,299 12,591,709
 Short term borrowings from financial institutions - secured 13 25,494,293 25,210,506
 Accrued markup 14 1,739,547 883,229
 Current portion of non-current liabilities 15 7,588,857</t>
  </si>
  <si>
    <t>10 944,549 849,515
 Deferred taxation 11 12,675,472 10,613,603
    30,312,499 21,845,187
CURRENT LIABILITIES
 Trade and other payables 12 12,394,455 13,783,299
 Short term borrowings from financial institutions - secured 13 13,064,718 25,494,293
 Accrued mark-up 14 1,280,446 1,739,547
 Current portion of non-current liabilities 15 5,416,</t>
  </si>
  <si>
    <t>10 954,639 944,549
 Deferred taxation 11 13,286,942 12,675,472
    25,345,837 30,312,499
CURRENT LIABILITIES
 Trade and other payables 12 13,333,448 12,394,455
 Short term borrowings from financial institutions - secured 13 9,878,499 13,064,718
 Accrued mark-up 14 229,652 1,280,446
 Current portion of non-current liabilities 15 2,069,243</t>
  </si>
  <si>
    <t>obligations 10 954,639 944,549
 Deferred taxation 11 13,286,942 12,675,472
    25,345,837 30,312,499
CURRENT LIABILITIES
 Trade and other payables 12 13,333,448 12,394,455
 Short term borrowings from financial institutions - secured 13 9,878,499 13,064,718
 Accrued mark-up 14 229,652 1,280,446
 Current portion of non-current liabilities 1</t>
  </si>
  <si>
    <t>r utilization of deferred tax assets.   
  2021 2020
  (Rupees in thousand)
12. Trade and other payables
 Trade creditors - note 12.1 7,375,630 4,325,320
 Infrastructure cess  178,329 89,164
 Contract liability - note 12.2 1,469,797 1,546,864
 Accrued liabilities - note 12.3 4,451,035 4,078,887
 Workers' profit participation fund -</t>
  </si>
  <si>
    <t>4,824 2023
  2019 253,321 2024
    608,145
  2022 2021
  (Rupees in thousand)
12. Trade and other payables
 Trade creditors - note 12.1 3,871,207 7,375,630
 Infrastructure cess   178,328 178,329
 Contract liability - note 12.2 1,468,611 1,469,797
 Accrued liabilities - note 12.3 5,740,256 4,451,035
 Workers' profit participation fund</t>
  </si>
  <si>
    <t>576,740 2025
  2022 532,468 2025
   1,371,103
  2023 2022
  (Rupees in thousand)
12. Trade and other payables
 Trade creditors - note 12.1 6,530,049 3,871,207
 Infrastructure cess  178,328 178,328
 Contract liability - note 12.2 2,393,152 1,468,611
 Accrued liabilities - note 12.3  4,192,363 5,740,256
 Workers' profit participation fund</t>
  </si>
  <si>
    <t>824,630 2026
  2024  88,741 2027
    1,074,452
  2024 2023
  (Rupees in thousand)
12. Trade and other payables
 Trade creditors - note 12.1 6,233,992 6,530,049
 Infrastructure cess   178,328 178,328
 Contract liability - note 12.2  1,722,828  2,393,152
 Accrued liabilities - note 12.3  3,659,335 4,192,363
 Workers' Profit Participation F</t>
  </si>
  <si>
    <t>ilable for 
utilisation of deferred tax asset.
  2025 2024
  (Rupees in thousand)
12. Trade and other payables
 Trade creditors - note 12.1 3,900,142 5,046,744
 Contract liabilities - note 12.2 3,186,488 1,722,828
 Accrued liabilities - note 12.3 3,377,704 3,659,335
 Workers' Profit Participation Fund - note  12.4 689,431 166,991
 Worker</t>
  </si>
  <si>
    <t>ill be available for 
utilisation of deferred tax asset.
  2025 2024
  (Rupees in thousand)
12. Trade and other payables
 Trade creditors - note 12.1 3,900,142 5,046,744
 Contract liabilities - note 12.2 3,186,488 1,722,828
 Accrued liabilities - note 12.3 3,377,704 3,659,335
 Workers' Profit Participation Fund - note  12.4 689,431 166,9</t>
  </si>
  <si>
    <t>2021 2020
  Note (Rupees in thousand)
EQUITY AND LIABILITIES
CAPITAL AND RESERVES
 Authorised share capital
 - 950,000,000 (2020: 950,000,000) | Contract liabilities / advances from customers</t>
  </si>
  <si>
    <t>2022 2021
  Note (Rupees in thousand)
EQUITY AND LIABILITIES
SHARE CAPITAL AND RESERVES
 Authorised share capital
 - 950,000,000 (2021: 950,00 | Contract liabilities / advances from customers</t>
  </si>
  <si>
    <t>2023 2022
  Note (Rupees in thousand)
EQUITY AND LIABILITIES
SHARE CAPITAL AND RESERVES
 Authorised share capital
 - 950,000,000 (2022: 950,00 | Contract liabilities / advances from customers</t>
  </si>
  <si>
    <t>150
DGKC Annual Report 2024
   2024 2023
  Note (Rupees in thousand)
EQUITY AND LIABILITIES
SHARE CAPITAL AND RESERVES
 Authorised share capital
 | Contract liabilities / advances from customers</t>
  </si>
  <si>
    <t>2025 2024
  Note (Rupees in thousand)
EQUITY AND LIABILITIES
SHARE CAPITAL AND RESERVES
 Authorised share capital
 - 950,000,000 (2024: 950,00 | Contract liabilities / advances from customers</t>
  </si>
  <si>
    <t>on 11 3,378,941 2,535,349
    24,121,304 25,283,120
CURRENT LIABILITIES
 Trade and other payables 12 14,923,151 11,298,187
 Accrued markup 13 507,769 712,275
 Short term borrowings - secured 14 18,362,050 23,495,967
 Current portion of non-current liabilities 15 6,433,943 2,048,901
 Unclaimed dividend  33,517 33,837
 Provision for taxa</t>
  </si>
  <si>
    <t>er payables 12 12,591,709 14,923,151
 Short term borrowings from financial institutions - secured 13 25,210,506 18,362,050
 Accrued markup 14 883,229 507,769
 Current portion of non-current liabilities 15 7,333,985 6,433,943
 Unclaimed dividend  34,512 33,517
 Provision for taxation  35,090 35,090
    46,089,031 40,295,520
CONTINGENCIE</t>
  </si>
  <si>
    <t>payables 12 13,783,299 12,591,709
 Short term borrowings from financial institutions - secured 13 25,494,293 25,210,506
 Accrued markup 14 1,739,547 883,229
 Current portion of non-current liabilities 15 7,588,857 7,333,985
 Unclaimed dividend  34,704 34,512
 Provision for taxation  35,090 35,090
    48,675,790 46,089,031
CONTINGENCIE</t>
  </si>
  <si>
    <t>payables 12 12,394,455 13,783,299
 Short term borrowings from financial institutions - secured 13 13,064,718 25,494,293
 Accrued mark-up 14 1,280,446 1,739,547
 Current portion of non-current liabilities 15 5,416,807 7,588,857
 Unclaimed dividend  34,201 34,704
 Provision for taxation  35,090 35,090
    32,225,717 48,675,790
CONTINGENCIE</t>
  </si>
  <si>
    <t>er payables 12 13,333,448 12,394,455
 Short term borrowings from financial institutions - secured 13 9,878,499 13,064,718
 Accrued mark-up 14 229,652 1,280,446
 Current portion of non-current liabilities 15 2,069,243 5,416,807
 Unclaimed dividend  34,154 34,201
 Income tax payable  330,834 -
 Provision for taxation  35,090 35,090
    25,</t>
  </si>
  <si>
    <t>and other payables 12 13,333,448 12,394,455
 Short term borrowings from financial institutions - secured 13 9,878,499 13,064,718
 Accrued mark-up 14 229,652 1,280,446
 Current portion of non-current liabilities 15 2,069,243 5,416,807
 Unclaimed dividend  34,154 34,201
 Income tax payable  330,834 -
 Provision for taxation  35,090 35,0</t>
  </si>
  <si>
    <t>RENT LIABILITIES
 Trade and other payables 12 14,923,151 11,298,187
 Accrued markup 13 507,769 712,275
 Short term borrowings - secured 14 18,362,050 23,495,967
 Current portion of non-current liabilities 15 6,433,943 2,048,901
 Unclaimed dividend  33,517 33,837
 Provision for taxation  35,090 35,090
    40,295,520 37,624,257
CONTINGENCIE</t>
  </si>
  <si>
    <t>304
CURRENT LIABILITIES
 Trade and other payables 12 12,591,709 14,923,151
 Short term borrowings from financial institutions - secured 13 25,210,506 18,362,050
 Accrued markup 14 883,229 507,769
 Current portion of non-current liabilities 15 7,333,985 6,433,943
 Unclaimed dividend  34,512 33,517
 Provision for taxation  35,090 35,090</t>
  </si>
  <si>
    <t>880
CURRENT LIABILITIES
 Trade and other payables 12 13,783,299 12,591,709
 Short term borrowings from financial institutions - secured 13 25,494,293 25,210,506
 Accrued markup 14 1,739,547 883,229
 Current portion of non-current liabilities 15 7,588,857 7,333,985
 Unclaimed dividend  34,704 34,512
 Provision for taxation  35,090 35,090</t>
  </si>
  <si>
    <t>187
CURRENT LIABILITIES
 Trade and other payables 12 12,394,455 13,783,299
 Short term borrowings from financial institutions - secured 13 13,064,718 25,494,293
 Accrued mark-up 14 1,280,446 1,739,547
 Current portion of non-current liabilities 15 5,416,807 7,588,857
 Unclaimed dividend  34,201 34,704
 Provision for taxation  35,090 35,09</t>
  </si>
  <si>
    <t>,499
CURRENT LIABILITIES
 Trade and other payables 12 13,333,448 12,394,455
 Short term borrowings from financial institutions - secured 13 9,878,499 13,064,718
 Accrued mark-up 14 229,652 1,280,446
 Current portion of non-current liabilities 15 2,069,243 5,416,807
 Unclaimed dividend  34,154 34,201
 Income tax payable  330,834 -
 Provisi</t>
  </si>
  <si>
    <t>837 30,312,499
CURRENT LIABILITIES
 Trade and other payables 12 13,333,448 12,394,455
 Short term borrowings from financial institutions - secured 13 9,878,499 13,064,718
 Accrued mark-up 14 229,652 1,280,446
 Current portion of non-current liabilities 15 2,069,243 5,416,807
 Unclaimed dividend  34,154 34,201
 Income tax payable  330,834</t>
  </si>
  <si>
    <t>8
 Long term loans - note 7.2 20,679,530 23,412,283
     25,430,767 23,982,621
 Current portion shown under current liabilities - note 15 (6,130,703) (2,010,621)
     19,300,064 21,972,000
 124 ANNUA L REPORT 2021  DGKC</t>
  </si>
  <si>
    <t>7
 Long term loans - note 7.2 17,036,958 20,679,530
     21,265,395 25,430,767
 Current portion shown under current liabilities - note 15 (7,097,166) (6,130,703)
     14,168,229 19,300,064
 143
ANNUA L REPORT 2022  DGKC</t>
  </si>
  <si>
    <t>7
 Long term loans - note 7.2 13,742,264 17,036,958
     17,033,983 21,265,395
 Current portion shown under current liabilities - note 15 (7,370,364) (7,097,166)
     9,663,619 14,168,229
2023
Annual Report
DGKC
169</t>
  </si>
  <si>
    <t>Long term loans - note  7.2 18,506,586 13,742,264
     21,257,088 17,033,983
 Current portion shown under current liabilities - note  15 (5,291,972) (7,370,364)
     15,965,116 9,663,619</t>
  </si>
  <si>
    <t>Long term loans - note  7.2 10,286,947 18,506,586
     12,028,601 21,257,088
 Current portion shown under current liabilities - note  15 (1,934,772) (5,291,972)
     10,093,829 15,965,116
172
DGKC Annual Report2025</t>
  </si>
  <si>
    <t>4 2,750,502
 Long term loans - note  7.2 10,286,947 18,506,586
     12,028,601 21,257,088
 Current portion shown under current liabilities - note  15 (1,934,772) (5,291,972)
     10,093,829 15,965,116
172
DGKC Annual Report2025</t>
  </si>
  <si>
    <t>2021 2020
  Note (Rupees in thousand)
EQUITY AND LIABILITIES
CAPITAL AND RESERVES
 Authorised share capital
 - 950,000,000 (2020: 950,000,000) | Current portion of lease liabilities</t>
  </si>
  <si>
    <t>2022 2021
  Note (Rupees in thousand)
EQUITY AND LIABILITIES
SHARE CAPITAL AND RESERVES
 Authorised share capital
 - 950,000,000 (2021: 950,00 | Current portion of lease liabilities</t>
  </si>
  <si>
    <t>2023 2022
  Note (Rupees in thousand)
EQUITY AND LIABILITIES
SHARE CAPITAL AND RESERVES
 Authorised share capital
 - 950,000,000 (2022: 950,00 | Current portion of lease liabilities</t>
  </si>
  <si>
    <t>150
DGKC Annual Report 2024
   2024 2023
  Note (Rupees in thousand)
EQUITY AND LIABILITIES
SHARE CAPITAL AND RESERVES
 Authorised share capital
 | Current portion of lease liabilities</t>
  </si>
  <si>
    <t>2025 2024
  Note (Rupees in thousand)
EQUITY AND LIABILITIES
SHARE CAPITAL AND RESERVES
 Authorised share capital
 - 950,000,000 (2024: 950,00 | Current portion of lease liabilities</t>
  </si>
  <si>
    <t>2021 2020
  Note (Rupees in thousand)
EQUITY AND LIABILITIES
CAPITAL AND RESERVES
 Authorised share capital
 - 950,000,000 (2020: 950,000,000) | Current portion of deferred government grant</t>
  </si>
  <si>
    <t>dited to profit or loss - note 34.1 (262,460)  (138,739) 
    664,567  927,027
 Current portion shown under current liabilities - note 15  (213,883)  (262,523)
 Closing balance  450,684 664,504
 There are no unfulfilled conditions or other contingencies attached to these grants.
  2022 2021
  (Rupees in thousand)
9. Long term deposits</t>
  </si>
  <si>
    <t>rofit or loss - note 33  (214,233)  (262,460)
 Closing balance  450,334 664,567
 Current portion shown under current liabilities - note 15 (171,581)  (213,883)
     278,753 450,684
 There are no unfulfilled conditions or other contingencies attached to these grants.
  2023 2022
  (Rupees in thousand)
9. Long term deposits
 Customers</t>
  </si>
  <si>
    <t>rofit or loss - note  34 (171,582) (214,233)
 Closing balance   278,752 450,334
 Current portion shown under current liabilities - note  15 (124,138) (171,581)
     154,614  278,753
 There are no unfulfilled conditions or other contingencies attached to these grants.
  2024 2023
  (Rupees in thousand)
9. Long term deposits
 Customers</t>
  </si>
  <si>
    <t>ing the year - note  34  (129,152)  (171,582)
 Closing balance  149,600 278,752
 Current portion shown under current liabilities - note  15  (79,465) (124,138)
     70,135 154,614
 There are no unfulfilled conditions or other contingencies attached to these grants.  
  2025 2024
  (Rupees in thousand)
9. Long term deposits
 Customers</t>
  </si>
  <si>
    <t>tized during the year - note  34  (129,152)  (171,582)
 Closing balance  149,600 278,752
 Current portion shown under current liabilities - note  15  (79,465) (124,138)
     70,135 154,614
 There are no unfulfilled conditions or other contingencies attached to these grants.  
  2025 2024
  (Rupees in thousand)
9. Long term deposits</t>
  </si>
  <si>
    <t>ort term borrowings - secured 14 18,362,050 23,495,967
 Current portion of non-current liabilities 15 6,433,943 2,048,901
 Unclaimed dividend  33,517 33,837
 Provision for taxation  35,090 35,090
    40,295,520 37,624,257
CONTINGENCIES AND COMMITMENTS 16 
       137,894,697 129,551,534
The annexed notes 1 to 47 form an integral part o</t>
  </si>
  <si>
    <t>,210,506 18,362,050
 Accrued markup 14 883,229 507,769
 Current portion of non-current liabilities 15 7,333,985 6,433,943
 Unclaimed dividend  34,512 33,517
 Provision for taxation  35,090 35,090
    46,089,031 40,295,520
CONTINGENCIES AND COMMITMENTS 16 
        136,562,013 137,894,697
The annexed notes 1 to 48 form an integral part</t>
  </si>
  <si>
    <t>94,293 25,210,506
 Accrued markup 14 1,739,547 883,229
 Current portion of non-current liabilities 15 7,588,857 7,333,985
 Unclaimed dividend  34,704 34,512
 Provision for taxation  35,090 35,090
    48,675,790 46,089,031
CONTINGENCIES AND COMMITMENTS 16 
         134,713,254 136,562,013
The annexed notes 1 to 45 form an integral part</t>
  </si>
  <si>
    <t>718 25,494,293
 Accrued mark-up 14 1,280,446 1,739,547
 Current portion of non-current liabilities 15 5,416,807 7,588,857
 Unclaimed dividend  34,201 34,704
 Provision for taxation  35,090 35,090
    32,225,717 48,675,790
CONTINGENCIES AND COMMITMENTS 16 
         138,385,754 134,713,254
The annexed notes 1 to 48 form an integral part</t>
  </si>
  <si>
    <t>8,499 13,064,718
 Accrued mark-up 14 229,652 1,280,446
 Current portion of non-current liabilities 15 2,069,243 5,416,807
 Unclaimed dividend  34,154 34,201
 Income tax payable  330,834 -
 Provision for taxation  35,090 35,090
    25,910,920 32,225,717
CONTINGENCIES AND COMMITMENTS 16 
          145,924,235 138,385,754
The annexed not</t>
  </si>
  <si>
    <t>13 9,878,499 13,064,718
 Accrued mark-up 14 229,652 1,280,446
 Current portion of non-current liabilities 15 2,069,243 5,416,807
 Unclaimed dividend  34,154 34,201
 Income tax payable  330,834 -
 Provision for taxation  35,090 35,090
    25,910,920 32,225,717
CONTINGENCIES AND COMMITMENTS 16 
          145,924,235 138,385,754
The anne</t>
  </si>
  <si>
    <t>18,362,050 23,495,967
 Current portion of non-current liabilities 15 6,433,943 2,048,901
 Unclaimed dividend  33,517 33,837
 Provision for taxation  35,090 35,090
    40,295,520 37,624,257
CONTINGENCIES AND COMMITMENTS 16 
       137,894,697 129,551,534
The annexed notes 1 to 47 form an integral part of these unconsolidated financial</t>
  </si>
  <si>
    <t>kup 14 883,229 507,769
 Current portion of non-current liabilities 15 7,333,985 6,433,943
 Unclaimed dividend  34,512 33,517
 Provision for taxation  35,090 35,090
    46,089,031 40,295,520
CONTINGENCIES AND COMMITMENTS 16 
        136,562,013 137,894,697
The annexed notes 1 to 48 form an integral part of these unconsolidated financia</t>
  </si>
  <si>
    <t>p 14 1,739,547 883,229
 Current portion of non-current liabilities 15 7,588,857 7,333,985
 Unclaimed dividend  34,704 34,512
 Provision for taxation  35,090 35,090
    48,675,790 46,089,031
CONTINGENCIES AND COMMITMENTS 16 
         134,713,254 136,562,013
The annexed notes 1 to 45 form an integral part of these unconsolidated financi</t>
  </si>
  <si>
    <t>14 1,280,446 1,739,547
 Current portion of non-current liabilities 15 5,416,807 7,588,857
 Unclaimed dividend  34,201 34,704
 Provision for taxation  35,090 35,090
    32,225,717 48,675,790
CONTINGENCIES AND COMMITMENTS 16 
         138,385,754 134,713,254
The annexed notes 1 to 48 form an integral part of these unconsolidated financi</t>
  </si>
  <si>
    <t>portion of non-current liabilities 15 2,069,243 5,416,807
 Unclaimed dividend  34,154 34,201
 Income tax payable  330,834 -
 Provision for taxation  35,090 35,090
    25,910,920 32,225,717
CONTINGENCIES AND COMMITMENTS 16 
          145,924,235 138,385,754
The annexed notes 1 to 51 form an integral part of these unconsolidated financ</t>
  </si>
  <si>
    <t>2025 2024
  Note (Rupees in thousand)
EQUITY AND LIABILITIES
SHARE CAPITAL AND RESERVES
 Authorised share capital
 - 950,000,000 (2024: 950,000,000) 
      ordinary shares  | Components: Income tax payable; Provision for taxation</t>
  </si>
  <si>
    <t>93 59,661
  Payments made during the year  (9,606) (12,793)
     205,029 197,822
  Current portion shown under current liabilities - note 15 (40,717) (38,280)
  Liability as at year end  164,312 159,542
  10.2.1 Movement in liability for accumulating compensated absences
   Present value of accumulating compensated absences as
      at</t>
  </si>
  <si>
    <t>5,093
  Payments made during the year  (34,484)  (9,606)
     204,667  205,030
  Current portion shown under current liabilities - note 15  (22,936)  (40,717)
  Liability as at year end  181,731 164,313
  10.2.1 Movement in liability for accumulating compensated absences 
   Present value of accumulating compensated absences as 
      a</t>
  </si>
  <si>
    <t>during the year  (23,623)  (34,484)
  Liability as at year end  239,172 204,667
  Current portion shown under current liabilities - note 15 (46,912) (22,936) 
    192,260 181,731
  10.2.1 Movement in liability for accumulating compensated absences 
   Present value of accumulating compensated absences as
      at beginning of the year</t>
  </si>
  <si>
    <t>de during the year   (74,804) (23,623)
  Liability as at year end  215,984 239,172
  Current portion shown under current liabilities - note  15 (697) (46,912)
     215,287 192,260
  10.2.1 Movement in liability for accumulating compensated absences 
   Present value of accumulating compensated absences as 
      at beginning of the year</t>
  </si>
  <si>
    <t>uring the year   (31,251) (74,804)
  Liability as at year end  274,788 215,984
  Current portion shown under current liabilities - note  15  (55,006) (697)
     219,782 215,287
  10.2.1 Movement in liability for accumulating compensated absences 
   Present value of accumulating compensated absences as 
      at beginning of the year</t>
  </si>
  <si>
    <t>ts made during the year   (31,251) (74,804)
  Liability as at year end  274,788 215,984
  Current portion shown under current liabilities - note  15  (55,006) (697)
     219,782 215,287
  10.2.1 Movement in liability for accumulating compensated absences 
   Present value of accumulating compensated absences as 
      at beginning of th</t>
  </si>
  <si>
    <t>rty 25 765,000 765,000
Income tax receivable  4,560,357 4,365,643
Cash and bank balances 26 806,373 347,834
    36,851,264 34,106,427
    137,894,697 129,551,534
AS AT JUNE 30, 2021
DirectorChief Financial Officer  
 105ANNUA L REPORT 2021  DGKC</t>
  </si>
  <si>
    <t>d party 26 - 765,000
Income tax receivable   4,746,066 4,560,357
Cash and bank balances 27 410,803 806,373
    40,813,163 36,851,264
     136,562,013 137,894,697
AS AT JUNE 30, 2022
DirectorChief Financial Officer  
 125
ANNUA L REPORT 2022  DGKC</t>
  </si>
  <si>
    <t>5 926,047 1,430,613
Income tax receivable   4,236,134 4,746,066
Cash and bank balances 26 674,972 410,803
    39,026,666 40,813,163
      134,713,254 136,562,013
AS AT JUNE 30, 2023
DirectorChief Financial Officer  
2023
Annual Report
DGKC
151</t>
  </si>
  <si>
    <t>,047
Income tax receivable  1,384,599 4,236,134
Cash and bank balances 26 732,168 674,972
    41,770,521 39,026,666
    138,385,754 134,713,254
As At June 30, 2024
DirectorChief Financial Officer</t>
  </si>
  <si>
    <t>673 160,289
Income tax receivable  - 1,384,599
Cash and bank balances 26 568,832 732,168
    47,908,042 41,770,521
     145,924,235 138,385,754
As At June 30, 2025
DirectorChief Financial Officer  
153
DGKC Annual Report 2025</t>
  </si>
  <si>
    <t>es 25 1,345,673 160,289
Income tax receivable  - 1,384,599
Cash and bank balances 26 568,832 732,168
    47,908,042 41,770,521
     145,924,235 138,385,754
As At June 30, 2025
DirectorChief Financial Officer  
153
DGKC Annual Report 2025</t>
  </si>
  <si>
    <t>10 each 5 4,381,191 4,381,191
 Other reserves 6 30,280,119 27,226,658
 Revenue reserve: Un-appropriated profits  38,816,563 35,036,308
    73,477,873 66,644,157
NON-CURRENT LIABILITIES
 Long term finances - secured 7 19,300,064 21,972,000
 Deferred government grant 8 664,504 -
 Long term deposits 9 246,992 253,937
 Deferred liabilities 10</t>
  </si>
  <si>
    <t>10 each 5 4,381,191 4,381,191
 Other reserves 6 24,238,624 30,280,119
 Revenue reserve: Un-appropriated profits  41,298,287 38,816,563
    69,918,102 73,477,873
NON-CURRENT LIABILITIES
 Long term finances from financial institutions - secured 7 14,168,229 19,300,064
 Deferred government grant 8 450,684 664,504
 Long term deposits 9 281,17</t>
  </si>
  <si>
    <t>,381,191 4,381,191
 Other reserves 6 22,592,167 24,238,624
 Revenue reserve: Un-appropriated profits  37,218,919 41,298,287
 Total equity  64,192,277 69,918,102
NON-CURRENT LIABILITIES
 Long term finances from financial institutions - secured 7 9,663,619 14,168,229
 Deferred government grant 8 278,753 450,684
 Long term deposits 9 439,697</t>
  </si>
  <si>
    <t>,381,191 4,381,191
 Other reserves 6 33,670,663 22,592,167
 Revenue reserve: Un-appropriated profits  37,795,684 37,218,919
 Total equity  75,847,538 64,192,277
NON-CURRENT LIABILITIES
 Long term finances from financial institutions - secured 7 15,965,116 9,663,619
 Deferred government grant 8 154,614 278,753
 Long term deposits 9 572,748</t>
  </si>
  <si>
    <t>,381,191 4,381,191
 Other reserves 6 43,790,127 33,670,663
 Revenue reserve: Un-appropriated profits  46,496,160 37,795,684
 Total equity  94,667,478 75,847,538
NON-CURRENT LIABILITIES
 Long term finances from financial institutions - secured 7 10,093,829 15,965,116
 Deferred government grant 8 70,135 154,614
 Long term deposits 9 940,292</t>
  </si>
  <si>
    <t>0 each 5  4,381,191 4,381,191
 Other reserves 6 43,790,127 33,670,663
 Revenue reserve: Un-appropriated profits  46,496,160 37,795,684
 Total equity  94,667,478 75,847,538
NON-CURRENT LIABILITIES
 Long term finances from financial institutions - secured 7 10,093,829 15,965,116
 Deferred government grant 8 70,135 154,614
 Long term deposit</t>
  </si>
  <si>
    <t>624,493
Loan to related party 25 765,000 765,000
Income tax receivable  4,560,357 4,365,643
Cash and bank balances 26 806,373 347,834
    36,851,264 34,106,427
    137,894,697 129,551,534
AS AT JUNE 30, 2021
DirectorChief Financial Officer  
 105ANNUA L REPORT 2021  DGKC</t>
  </si>
  <si>
    <t>0,613 488,566
Loan to related party 26 - 765,000
Income tax receivable   4,746,066 4,560,357
Cash and bank balances 27 410,803 806,373
    40,813,163 36,851,264
     136,562,013 137,894,697
AS AT JUNE 30, 2022
DirectorChief Financial Officer  
 125
ANNUA L REPORT 2022  DGKC</t>
  </si>
  <si>
    <t>s 
   and other receivables 25 926,047 1,430,613
Income tax receivable   4,236,134 4,746,066
Cash and bank balances 26 674,972 410,803
    39,026,666 40,813,163
      134,713,254 136,562,013
AS AT JUNE 30, 2023
DirectorChief Financial Officer  
2023
Annual Report
DGKC
151</t>
  </si>
  <si>
    <t>and other receivables 25 160,289 926,047
Income tax receivable  1,384,599 4,236,134
Cash and bank balances 26 732,168 674,972
    41,770,521 39,026,666
    138,385,754 134,713,254
As At June 30, 2024
DirectorChief Financial Officer</t>
  </si>
  <si>
    <t>prepayments
   and other receivables 25 1,345,673 160,289
Income tax receivable  - 1,384,599
Cash and bank balances 26 568,832 732,168
    47,908,042 41,770,521
     145,924,235 138,385,754
As At June 30, 2025
DirectorChief Financial Officer  
153
DGKC Annual Report 2025</t>
  </si>
  <si>
    <t>deposits, prepayments
   and other receivables 25 1,345,673 160,289
Income tax receivable  - 1,384,599
Cash and bank balances 26 568,832 732,168
    47,908,042 41,770,521
     145,924,235 138,385,754
As At June 30, 2025
DirectorChief Financial Officer  
153
DGKC Annual Report 2025</t>
  </si>
  <si>
    <t>nt portion of non-current liabilities 15 6,433,943 2,048,901
 Unclaimed dividend  33,517 33,837
 Provision for taxation  35,090 35,090
    40,295,520 37,624,257
CONTINGENCIES AND COMMITMENTS 16 
       137,894,697 129,551,534
The annexed notes 1 to 47 form an integral part of these unconsolidated financial statements.
UNCONSOLIDATED STATE</t>
  </si>
  <si>
    <t>nt portion of non-current liabilities 15 7,333,985 6,433,943
 Unclaimed dividend  34,512 33,517
 Provision for taxation  35,090 35,090
    46,089,031 40,295,520
CONTINGENCIES AND COMMITMENTS 16 
        136,562,013 137,894,697
The annexed notes 1 to 48 form an integral part of these unconsolidated financial statements.
UNCONSOLIDATED STAT</t>
  </si>
  <si>
    <t>nt portion of non-current liabilities 15 7,588,857 7,333,985
 Unclaimed dividend  34,704 34,512
 Provision for taxation  35,090 35,090
    48,675,790 46,089,031
CONTINGENCIES AND COMMITMENTS 16 
         134,713,254 136,562,013
The annexed notes 1 to 45 form an integral part of these unconsolidated financial statements.
UNCONSOLIDATED STA</t>
  </si>
  <si>
    <t>nt portion of non-current liabilities 15 5,416,807 7,588,857
 Unclaimed dividend  34,201 34,704
 Provision for taxation  35,090 35,090
    32,225,717 48,675,790
CONTINGENCIES AND COMMITMENTS 16 
         138,385,754 134,713,254
The annexed notes 1 to 48 form an integral part of these unconsolidated financial statements.  
Unconsolidated S</t>
  </si>
  <si>
    <t>lities 15 2,069,243 5,416,807
 Unclaimed dividend  34,154 34,201
 Income tax payable  330,834 -
 Provision for taxation  35,090 35,090
    25,910,920 32,225,717
CONTINGENCIES AND COMMITMENTS 16 
          145,924,235 138,385,754
The annexed notes 1 to 51 form an integral part of these unconsolidated financial statements.  
Unconsolidated</t>
  </si>
  <si>
    <t>rrent liabilities 15 2,069,243 5,416,807
 Unclaimed dividend  34,154 34,201
 Income tax payable  330,834 -
 Provision for taxation  35,090 35,090
    25,910,920 32,225,717
CONTINGENCIES AND COMMITMENTS 16 
          145,924,235 138,385,754
The annexed notes 1 to 51 form an integral part of these unconsolidated financial statements.  
Unco</t>
  </si>
  <si>
    <t>2022 2021
  Note (Rupees in thousand)
Revenue  28 58,043,863 45,107,690
Cost of sales 29 (47,615,551)  (37,035,798)
Gross profit  10,428,312 8,071,892
Administrative expenses 30 (751,052) (646,762)
Selling and distribution expenses 31 (1,748,859) (1,9</t>
  </si>
  <si>
    <t>2023 2022
  Note (Rupees in thousand)
Revenue  27 64,983,821 58,043,863
Cost of sales 28 (55,428,046) (47,615,551)
Gross profit   9,555,775 10,428,312
Administrative expenses 29  (879,356) (751,052)
Selling and distribution expenses 30  (1,818,028)</t>
  </si>
  <si>
    <t>152
DGKC Annual Report 2024
   2024 2023
  Note (Rupees in thousand)
      (Re-stated)
Revenue  27 66,038,689 64,983,821
Cost of sales 28 (55,510,429) (55,428,046)
Gross profit    10,528,260 9,555,775
Administrative expenses 29 (1,206,105) (879,356)
Selling and distribution expenses 30 (2,608,537) (</t>
  </si>
  <si>
    <t>2025 2024
  Note (Rupees in thousand)
Revenue from contracts with customers - net 27 71,892,837 66,038,689
Cost of sales 28 (53,387,166) (55,510,429)
Gross profit  18,505,671 10,528,260
Administrative expenses 29  (1,294,974)  (1,206,105)
Selling and distribution expenses 30 (3,874,688</t>
  </si>
  <si>
    <t>2025 2024
  Note (Rupees in thousand)
Revenue from contracts with customers - net 27 71,892,837 66,038,689
Cost of sales 28 (53,387,166) (55,510,429)
Gross profit  18,505,671 10,528,260
Administrative expenses 29  (1,294,974)  (1,206,105)
Selling and distribution expenses 30</t>
  </si>
  <si>
    <t>2022 2021
  Note (Rupees in thousand)
Revenue  28 58,043,863 45,107,690
Cost of sales 29 (47,615,551)  (37,035,798)
Gross profit  10,428,312 8,071,892
Administrative expenses 30 (751,052) (646,762)
Selling and distribution expenses 31 (1,748,859) (1,950,056)
Net impairment (loss)/gain on financ</t>
  </si>
  <si>
    <t>2023 2022
  Note (Rupees in thousand)
Revenue  27 64,983,821 58,043,863
Cost of sales 28 (55,428,046) (47,615,551)
Gross profit   9,555,775 10,428,312
Administrative expenses 29  (879,356) (751,052)
Selling and distribution expenses 30  (1,818,028)  (1,748,859)
Net impairment loss on financial</t>
  </si>
  <si>
    <t>52
DGKC Annual Report 2024
   2024 2023
  Note (Rupees in thousand)
      (Re-stated)
Revenue  27 66,038,689 64,983,821
Cost of sales 28 (55,510,429) (55,428,046)
Gross profit    10,528,260 9,555,775
Administrative expenses 29 (1,206,105) (879,356)
Selling and distribution expenses 30 (2,608,537) (1,818,028)
Net impairment loss on financial</t>
  </si>
  <si>
    <t>2025 2024
  Note (Rupees in thousand)
Revenue from contracts with customers - net 27 71,892,837 66,038,689
Cost of sales 28 (53,387,166) (55,510,429)
Gross profit  18,505,671 10,528,260
Administrative expenses 29  (1,294,974)  (1,206,105)
Selling and distribution expenses 30 (3,874,688)  (2,608,537)
Net impairment loss on finan</t>
  </si>
  <si>
    <t>2025 2024
  Note (Rupees in thousand)
Revenue from contracts with customers - net 27 71,892,837 66,038,689
Cost of sales 28 (53,387,166) (55,510,429)
Gross profit  18,505,671 10,528,260
Administrative expenses 29  (1,294,974)  (1,206,105)
Selling and distribution expenses 30 (3,874,688)  (2,608,537)
Net impairment</t>
  </si>
  <si>
    <t>551)  (37,035,798)
Gross profit  10,428,312 8,071,892
Administrative expenses 30 (751,052) (646,762)
Selling and distribution expenses 31 (1,748,859) (1,950,056)
Net impairment (loss)/gain on financial assets 23.2 (8,990) 104,703
Other expenses 32  (1,042,803) (414,315)
Other income 33 2,714,340 2,526,818
Finance cost 34 (3,571,187) (2,920</t>
  </si>
  <si>
    <t>) (47,615,551)
Gross profit   9,555,775 10,428,312
Administrative expenses 29  (879,356) (751,052)
Selling and distribution expenses 30  (1,818,028)  (1,748,859)
Net impairment loss on financial assets 23.2 (104,094) (8,990)
Other expenses 31 (96,461) (1,042,803)
Other income 32 3,246,999 2,714,340
Finance cost 33 (6,742,292) (3,571,187)
P</t>
  </si>
  <si>
    <t>) (55,428,046)
Gross profit    10,528,260 9,555,775
Administrative expenses 29 (1,206,105) (879,356)
Selling and distribution expenses 30 (2,608,537) (1,818,028)
Net impairment loss on financial assets 31  (103,367) (104,094)
Other expenses 32  (5,033)  (96,461)
Other income 33 4,234,797 3,246,999
Finance cost 34  (8,001,105) (6,742,292)
P</t>
  </si>
  <si>
    <t>5,510,429)
Gross profit  18,505,671 10,528,260
Administrative expenses 29  (1,294,974)  (1,206,105)
Selling and distribution expenses 30 (3,874,688)  (2,608,537)
Net impairment loss on financial assets 31  (6,899)  (103,367)
Other expenses 32 (725,663) (5,033)
Other income 33 4,271,570 4,234,797
Finance cost 34  (3,870,405) (8,001,105)
Pro</t>
  </si>
  <si>
    <t>3,387,166) (55,510,429)
Gross profit  18,505,671 10,528,260
Administrative expenses 29  (1,294,974)  (1,206,105)
Selling and distribution expenses 30 (3,874,688)  (2,608,537)
Net impairment loss on financial assets 31  (6,899)  (103,367)
Other expenses 32 (725,663) (5,033)
Other income 33 4,271,570 4,234,797
Finance cost 34  (3,870,405) (8</t>
  </si>
  <si>
    <t>Revenue  28 58,043,863 45,107,690
Cost of sales 29 (47,615,551)  (37,035,798)
Gross profit  10,428,312 8,071,892
Administrative expenses 30 (751,052) (646,762)
Selling and distribution expenses 31 (1,748,859) (1,950,056)
Net impairment (loss)/gain on financial assets 23.2 (8,990) 104,703
Other expenses 32  (1,042,803) (414,315)
Other inc</t>
  </si>
  <si>
    <t>enue  27 64,983,821 58,043,863
Cost of sales 28 (55,428,046) (47,615,551)
Gross profit   9,555,775 10,428,312
Administrative expenses 29  (879,356) (751,052)
Selling and distribution expenses 30  (1,818,028)  (1,748,859)
Net impairment loss on financial assets 23.2 (104,094) (8,990)
Other expenses 31 (96,461) (1,042,803)
Other income 3</t>
  </si>
  <si>
    <t>enue  27 66,038,689 64,983,821
Cost of sales 28 (55,510,429) (55,428,046)
Gross profit    10,528,260 9,555,775
Administrative expenses 29 (1,206,105) (879,356)
Selling and distribution expenses 30 (2,608,537) (1,818,028)
Net impairment loss on financial assets 31  (103,367) (104,094)
Other expenses 32  (5,033)  (96,461)
Other income 33 4</t>
  </si>
  <si>
    <t>net 27 71,892,837 66,038,689
Cost of sales 28 (53,387,166) (55,510,429)
Gross profit  18,505,671 10,528,260
Administrative expenses 29  (1,294,974)  (1,206,105)
Selling and distribution expenses 30 (3,874,688)  (2,608,537)
Net impairment loss on financial assets 31  (6,899)  (103,367)
Other expenses 32 (725,663) (5,033)
Other income 33 4,</t>
  </si>
  <si>
    <t>h customers - net 27 71,892,837 66,038,689
Cost of sales 28 (53,387,166) (55,510,429)
Gross profit  18,505,671 10,528,260
Administrative expenses 29  (1,294,974)  (1,206,105)
Selling and distribution expenses 30 (3,874,688)  (2,608,537)
Net impairment loss on financial assets 31  (6,899)  (103,367)
Other expenses 32 (725,663) (5,033)
Other</t>
  </si>
  <si>
    <t>enses 30 (751,052) (646,762)
Selling and distribution expenses 31 (1,748,859) (1,950,056)
Net impairment (loss)/gain on financial assets 23.2 (8,990) 104,703
Other expenses 32  (1,042,803) (414,315)
Other income 33 2,714,340 2,526,818
Finance cost 34 (3,571,187) (2,920,875)
Profit before taxation  6,019,761 4,771,405
Taxation  3</t>
  </si>
  <si>
    <t>xpenses 29  (879,356) (751,052)
Selling and distribution expenses 30  (1,818,028)  (1,748,859)
Net impairment loss on financial assets 23.2 (104,094) (8,990)
Other expenses 31 (96,461) (1,042,803)
Other income 32 3,246,999 2,714,340
Finance cost 33 (6,742,292) (3,571,187)
Profit before taxation   3,162,543 6,019,761
Taxation  34</t>
  </si>
  <si>
    <t>expenses 29 (1,206,105) (879,356)
Selling and distribution expenses 30 (2,608,537) (1,818,028)
Net impairment loss on financial assets 31  (103,367) (104,094)
Other expenses 32  (5,033)  (96,461)
Other income 33 4,234,797 3,246,999
Finance cost 34  (8,001,105) (6,742,292)
Profit before tax and levy  2,838,910 3,162,543
Levy   35  (520,8</t>
  </si>
  <si>
    <t>enses 29  (1,294,974)  (1,206,105)
Selling and distribution expenses 30 (3,874,688)  (2,608,537)
Net impairment loss on financial assets 31  (6,899)  (103,367)
Other expenses 32 (725,663) (5,033)
Other income 33 4,271,570 4,234,797
Finance cost 34  (3,870,405) (8,001,105)
Profit before levy and income tax  13,004,612 2,838,910
Levy   35</t>
  </si>
  <si>
    <t>ative expenses 29  (1,294,974)  (1,206,105)
Selling and distribution expenses 30 (3,874,688)  (2,608,537)
Net impairment loss on financial assets 31  (6,899)  (103,367)
Other expenses 32 (725,663) (5,033)
Other income 33 4,271,570 4,234,797
Finance cost 34  (3,870,405) (8,001,105)
Profit before levy and income tax  13,004,612 2,838,910</t>
  </si>
  <si>
    <t>d distribution expenses 31 (1,748,859) (1,950,056)
Net impairment (loss)/gain on financial assets 23.2 (8,990) 104,703
Other expenses 32  (1,042,803) (414,315)
Other income 33 2,714,340 2,526,818
Finance cost 34 (3,571,187) (2,920,875)
Profit before taxation  6,019,761 4,771,405
Taxation  35  (3,047,629) (1,050,132)
Profit for the</t>
  </si>
  <si>
    <t>ling and distribution expenses 30  (1,818,028)  (1,748,859)
Net impairment loss on financial assets 23.2 (104,094) (8,990)
Other expenses 31 (96,461) (1,042,803)
Other income 32 3,246,999 2,714,340
Finance cost 33 (6,742,292) (3,571,187)
Profit before taxation   3,162,543 6,019,761
Taxation  34 (6,798,519) (3,047,629)
(Loss)/profit</t>
  </si>
  <si>
    <t>ling and distribution expenses 30 (2,608,537) (1,818,028)
Net impairment loss on financial assets 31  (103,367) (104,094)
Other expenses 32  (5,033)  (96,461)
Other income 33 4,234,797 3,246,999
Finance cost 34  (8,001,105) (6,742,292)
Profit before tax and levy  2,838,910 3,162,543
Levy   35  (520,848) (364,054)
Profit before income ta</t>
  </si>
  <si>
    <t>ling and distribution expenses 30 (3,874,688)  (2,608,537)
Net impairment loss on financial assets 31  (6,899)  (103,367)
Other expenses 32 (725,663) (5,033)
Other income 33 4,271,570 4,234,797
Finance cost 34  (3,870,405) (8,001,105)
Profit before levy and income tax  13,004,612 2,838,910
Levy   35 (577,125) (520,848)
Profit before in</t>
  </si>
  <si>
    <t>6,105)
Selling and distribution expenses 30 (3,874,688)  (2,608,537)
Net impairment loss on financial assets 31  (6,899)  (103,367)
Other expenses 32 (725,663) (5,033)
Other income 33 4,271,570 4,234,797
Finance cost 34  (3,870,405) (8,001,105)
Profit before levy and income tax  13,004,612 2,838,910
Levy   35 (577,125) (520,848)
Profit b</t>
  </si>
  <si>
    <t>9) (1,950,056)
Net impairment (loss)/gain on financial assets 23.2 (8,990) 104,703
Other expenses 32  (1,042,803) (414,315)
Other income 33 2,714,340 2,526,818
Finance cost 34 (3,571,187) (2,920,875)
Profit before taxation  6,019,761 4,771,405
Taxation  35  (3,047,629) (1,050,132)
Profit for the year   2,972,132 3,721,273
Earnings</t>
  </si>
  <si>
    <t>818,028)  (1,748,859)
Net impairment loss on financial assets 23.2 (104,094) (8,990)
Other expenses 31 (96,461) (1,042,803)
Other income 32 3,246,999 2,714,340
Finance cost 33 (6,742,292) (3,571,187)
Profit before taxation   3,162,543 6,019,761
Taxation  34 (6,798,519) (3,047,629)
(Loss)/profit for the year    (3,635,976) 2,972,13</t>
  </si>
  <si>
    <t>2,608,537) (1,818,028)
Net impairment loss on financial assets 31  (103,367) (104,094)
Other expenses 32  (5,033)  (96,461)
Other income 33 4,234,797 3,246,999
Finance cost 34  (8,001,105) (6,742,292)
Profit before tax and levy  2,838,910 3,162,543
Levy   35  (520,848) (364,054)
Profit before income tax  2,318,062 2,798,489
Taxation  36</t>
  </si>
  <si>
    <t>(3,874,688)  (2,608,537)
Net impairment loss on financial assets 31  (6,899)  (103,367)
Other expenses 32 (725,663) (5,033)
Other income 33 4,271,570 4,234,797
Finance cost 34  (3,870,405) (8,001,105)
Profit before levy and income tax  13,004,612 2,838,910
Levy   35 (577,125) (520,848)
Profit before income tax  12,427,487 2,318,062
Incom</t>
  </si>
  <si>
    <t>penses 30 (3,874,688)  (2,608,537)
Net impairment loss on financial assets 31  (6,899)  (103,367)
Other expenses 32 (725,663) (5,033)
Other income 33 4,271,570 4,234,797
Finance cost 34  (3,870,405) (8,001,105)
Profit before levy and income tax  13,004,612 2,838,910
Levy   35 (577,125) (520,848)
Profit before income tax  12,427,487 2,318</t>
  </si>
  <si>
    <t>2022 2021
  Note (Rupees in thousand)
Revenue  28 58,043,863 45,107,690
Cost of sales 29 (47,615,551)  (37,035,798)
Gross profit  10,428,312 8,071 | Finance income (where presented separately)</t>
  </si>
  <si>
    <t>2023 2022
  Note (Rupees in thousand)
Revenue  27 64,983,821 58,043,863
Cost of sales 28 (55,428,046) (47,615,551)
Gross profit   9,555,775 10,4 | Finance income (where presented separately)</t>
  </si>
  <si>
    <t>152
DGKC Annual Report 2024
   2024 2023
  Note (Rupees in thousand)
      (Re-stated)
Revenue  27 66,038,689 64,983,821
Cost of sales 28 (55,510,429 | Finance income (where presented separately)</t>
  </si>
  <si>
    <t>2025 2024
  Note (Rupees in thousand)
Revenue from contracts with customers - net 27 71,892,837 66,038,689
Cost of sales 28 (53,387,166) (55,510,4 | Finance income (where presented separately)</t>
  </si>
  <si>
    <t>2022 2021
  Note (Rupees in thousand)
Revenue  28 58,043,863 45,107,690
Cost of sales 29 (47,615,551)  (37,035,798)
Gross profit  10,428,312 8,071 | Share of profit of associate</t>
  </si>
  <si>
    <t>2023 2022
  Note (Rupees in thousand)
Revenue  27 64,983,821 58,043,863
Cost of sales 28 (55,428,046) (47,615,551)
Gross profit   9,555,775 10,4 | Share of profit of associate</t>
  </si>
  <si>
    <t>152
DGKC Annual Report 2024
   2024 2023
  Note (Rupees in thousand)
      (Re-stated)
Revenue  27 66,038,689 64,983,821
Cost of sales 28 (55,510,429 | Share of profit of associate</t>
  </si>
  <si>
    <t>2025 2024
  Note (Rupees in thousand)
Revenue from contracts with customers - net 27 71,892,837 66,038,689
Cost of sales 28 (53,387,166) (55,510,4 | Share of profit of associate</t>
  </si>
  <si>
    <t>ain on financial assets 23.2 (8,990) 104,703
Other expenses 32  (1,042,803) (414,315)
Other income 33 2,714,340 2,526,818
Finance cost 34 (3,571,187) (2,920,875)
Profit before taxation  6,019,761 4,771,405
Taxation  35  (3,047,629) (1,050,132)
Profit for the year   2,972,132 3,721,273
Earnings/(loss) per share - basic and diluted</t>
  </si>
  <si>
    <t>oss on financial assets 23.2 (104,094) (8,990)
Other expenses 31 (96,461) (1,042,803)
Other income 32 3,246,999 2,714,340
Finance cost 33 (6,742,292) (3,571,187)
Profit before taxation   3,162,543 6,019,761
Taxation  34 (6,798,519) (3,047,629)
(Loss)/profit for the year    (3,635,976) 2,972,132
(Loss)/earnings per share - basic and</t>
  </si>
  <si>
    <t>oss on financial assets 31  (103,367) (104,094)
Other expenses 32  (5,033)  (96,461)
Other income 33 4,234,797 3,246,999
Finance cost 34  (8,001,105) (6,742,292)
Profit before tax and levy  2,838,910 3,162,543
Levy   35  (520,848) (364,054)
Profit before income tax  2,318,062 2,798,489
Taxation  36 (1,775,666) (6,434,465)
Profit / (loss) f</t>
  </si>
  <si>
    <t>loss on financial assets 31  (6,899)  (103,367)
Other expenses 32 (725,663) (5,033)
Other income 33 4,271,570 4,234,797
Finance cost 34  (3,870,405) (8,001,105)
Profit before levy and income tax  13,004,612 2,838,910
Levy   35 (577,125) (520,848)
Profit before income tax  12,427,487 2,318,062
Income tax 36  (3,752,428) (1,775,666)
Profit</t>
  </si>
  <si>
    <t>t impairment loss on financial assets 31  (6,899)  (103,367)
Other expenses 32 (725,663) (5,033)
Other income 33 4,271,570 4,234,797
Finance cost 34  (3,870,405) (8,001,105)
Profit before levy and income tax  13,004,612 2,838,910
Levy   35 (577,125) (520,848)
Profit before income tax  12,427,487 2,318,062
Income tax 36  (3,752,428) (1,775,</t>
  </si>
  <si>
    <t>2022 2021
  Note (Rupees in thousand)
Revenue  28 58,043,863 45,107,690
Cost of sales 29 (47,615,551)  (37,035,798)
Gross profit  10,428,312 8,071 | Levies (final / minimum taxes presented separately)</t>
  </si>
  <si>
    <t>2023 2022
  Note (Rupees in thousand)
Revenue  27 64,983,821 58,043,863
Cost of sales 28 (55,428,046) (47,615,551)
Gross profit   9,555,775 10,4 | Levies (final / minimum taxes presented separately)</t>
  </si>
  <si>
    <t>61)
Other income 33 4,234,797 3,246,999
Finance cost 34  (8,001,105) (6,742,292)
Profit before tax and levy  2,838,910 3,162,543
Levy   35  (520,848) (364,054)
Profit before income tax  2,318,062 2,798,489
Taxation  36 (1,775,666) (6,434,465)
Profit / (loss) for the year  542,396 (3,635,976)
     Rupees  Rupees 
Earnings / (loss) per sha</t>
  </si>
  <si>
    <t>er income 33 4,271,570 4,234,797
Finance cost 34  (3,870,405) (8,001,105)
Profit before levy and income tax  13,004,612 2,838,910
Levy   35 (577,125) (520,848)
Profit before income tax  12,427,487 2,318,062
Income tax 36  (3,752,428) (1,775,666)
Profit for the year   8,675,059 542,396
     Rupees  Rupees 
Earnings per share - basic and d</t>
  </si>
  <si>
    <t>5,033)
Other income 33 4,271,570 4,234,797
Finance cost 34  (3,870,405) (8,001,105)
Profit before levy and income tax  13,004,612 2,838,910
Levy   35 (577,125) (520,848)
Profit before income tax  12,427,487 2,318,062
Income tax 36  (3,752,428) (1,775,666)
Profit for the year   8,675,059 542,396
     Rupees  Rupees 
Earnings per share - b</t>
  </si>
  <si>
    <t>er income 33 2,714,340 2,526,818
Finance cost 34 (3,571,187) (2,920,875)
Profit before taxation  6,019,761 4,771,405
Taxation  35  (3,047,629) (1,050,132)
Profit for the year   2,972,132 3,721,273
Earnings/(loss) per share - basic and diluted      (in Rupees) 36 6.78 8.49
The annexed notes 1 to 48 form an integral part of these unco</t>
  </si>
  <si>
    <t>er income 32 3,246,999 2,714,340
Finance cost 33 (6,742,292) (3,571,187)
Profit before taxation   3,162,543 6,019,761
Taxation  34 (6,798,519) (3,047,629)
(Loss)/profit for the year    (3,635,976) 2,972,132
(Loss)/earnings per share - basic and diluted      (in Rupees) 35  (8.30) 6.78
The annexed notes 1 to 45 form an integral part</t>
  </si>
  <si>
    <t>Profit before tax and levy  2,838,910 3,162,543
Levy   35  (520,848) (364,054)
Profit before income tax  2,318,062 2,798,489
Taxation  36 (1,775,666) (6,434,465)
Profit / (loss) for the year  542,396 (3,635,976)
     Rupees  Rupees 
Earnings / (loss) per share - basic and diluted 37 1.24 (8.30)
The annexed notes 1 to 48 form an integral pa</t>
  </si>
  <si>
    <t>ore levy and income tax  13,004,612 2,838,910
Levy   35 (577,125) (520,848)
Profit before income tax  12,427,487 2,318,062
Income tax 36  (3,752,428) (1,775,666)
Profit for the year   8,675,059 542,396
     Rupees  Rupees 
Earnings per share - basic and diluted 37  19.80 1.24
The annexed notes 1 to 51 form an integral part of these unconso</t>
  </si>
  <si>
    <t>)
Profit before levy and income tax  13,004,612 2,838,910
Levy   35 (577,125) (520,848)
Profit before income tax  12,427,487 2,318,062
Income tax 36  (3,752,428) (1,775,666)
Profit for the year   8,675,059 542,396
     Rupees  Rupees 
Earnings per share - basic and diluted 37  19.80 1.24
The annexed notes 1 to 51 form an integral part of t</t>
  </si>
  <si>
    <t>2022 2021
  Note (Rupees in thousand)
Revenue  28 58,043,863 45,107,690
Cost of sales 29 (47,615,551)  (37,035,798)
Gross profit  10,428,312 8,071,892
Administrative expenses 30 (751,052) (646,762)
Selling and distribution expenses 31 (1,748,859) (1,950,056)
Net impairment (loss)/gain on financial assets 23.2 (8,990) 104,703
Oth</t>
  </si>
  <si>
    <t>2023 2022
  Note (Rupees in thousand)
Revenue  27 64,983,821 58,043,863
Cost of sales 28 (55,428,046) (47,615,551)
Gross profit   9,555,775 10,428,312
Administrative expenses 29  (879,356) (751,052)
Selling and distribution expenses 30  (1,818,028)  (1,748,859)
Net impairment loss on financial assets 23.2 (104,094) (8,990)
Other</t>
  </si>
  <si>
    <t>Note (Rupees in thousand)
      (Re-stated)
Revenue  27 66,038,689 64,983,821
Cost of sales 28 (55,510,429) (55,428,046)
Gross profit    10,528,260 9,555,775
Administrative expenses 29 (1,206,105) (879,356)
Selling and distribution expenses 30 (2,608,537) (1,818,028)
Net impairment loss on financial assets 31  (103,367) (104,094)
Other</t>
  </si>
  <si>
    <t>in thousand)
Revenue from contracts with customers - net 27 71,892,837 66,038,689
Cost of sales 28 (53,387,166) (55,510,429)
Gross profit  18,505,671 10,528,260
Administrative expenses 29  (1,294,974)  (1,206,105)
Selling and distribution expenses 30 (3,874,688)  (2,608,537)
Net impairment loss on financial assets 31  (6,899)  (103,367)
O</t>
  </si>
  <si>
    <t>te (Rupees in thousand)
Revenue from contracts with customers - net 27 71,892,837 66,038,689
Cost of sales 28 (53,387,166) (55,510,429)
Gross profit  18,505,671 10,528,260
Administrative expenses 29  (1,294,974)  (1,206,105)
Selling and distribution expenses 30 (3,874,688)  (2,608,537)
Net impairment loss on financial assets 31  (6,899)</t>
  </si>
  <si>
    <t>ther expenses 32  (1,042,803) (414,315)
Other income 33 2,714,340 2,526,818
Finance cost 34 (3,571,187) (2,920,875)
Profit before taxation  6,019,761 4,771,405
Taxation  35  (3,047,629) (1,050,132)
Profit for the year   2,972,132 3,721,273
Earnings/(loss) per share - basic and diluted      (in Rupees) 36 6.78 8.49
The annexed note</t>
  </si>
  <si>
    <t>Other expenses 31 (96,461) (1,042,803)
Other income 32 3,246,999 2,714,340
Finance cost 33 (6,742,292) (3,571,187)
Profit before taxation   3,162,543 6,019,761
Taxation  34 (6,798,519) (3,047,629)
(Loss)/profit for the year    (3,635,976) 2,972,132
(Loss)/earnings per share - basic and diluted      (in Rupees) 35  (8.30) 6.78
The</t>
  </si>
  <si>
    <t>her expenses 32  (5,033)  (96,461)
Other income 33 4,234,797 3,246,999
Finance cost 34  (8,001,105) (6,742,292)
Profit before tax and levy  2,838,910 3,162,543
Levy   35  (520,848) (364,054)
Profit before income tax  2,318,062 2,798,489
Taxation  36 (1,775,666) (6,434,465)
Profit / (loss) for the year  542,396 (3,635,976)
     Rupees  Ru</t>
  </si>
  <si>
    <t>enses 32 (725,663) (5,033)
Other income 33 4,271,570 4,234,797
Finance cost 34  (3,870,405) (8,001,105)
Profit before levy and income tax  13,004,612 2,838,910
Levy   35 (577,125) (520,848)
Profit before income tax  12,427,487 2,318,062
Income tax 36  (3,752,428) (1,775,666)
Profit for the year   8,675,059 542,396
     Rupees  Rupees 
Ea</t>
  </si>
  <si>
    <t>)
Other expenses 32 (725,663) (5,033)
Other income 33 4,271,570 4,234,797
Finance cost 34  (3,870,405) (8,001,105)
Profit before levy and income tax  13,004,612 2,838,910
Levy   35 (577,125) (520,848)
Profit before income tax  12,427,487 2,318,062
Income tax 36  (3,752,428) (1,775,666)
Profit for the year   8,675,059 542,396
     Rupees</t>
  </si>
  <si>
    <t>t 34 (3,571,187) (2,920,875)
Profit before taxation  6,019,761 4,771,405
Taxation  35  (3,047,629) (1,050,132)
Profit for the year   2,972,132 3,721,273
Earnings/(loss) per share - basic and diluted      (in Rupees) 36 6.78 8.49
The annexed notes 1 to 48 form an integral part of these unconsolidated financial statements.
UNCONSOLI</t>
  </si>
  <si>
    <t>2,292) (3,571,187)
Profit before taxation   3,162,543 6,019,761
Taxation  34 (6,798,519) (3,047,629)
(Loss)/profit for the year    (3,635,976) 2,972,132
(Loss)/earnings per share - basic and diluted      (in Rupees) 35  (8.30) 6.78
The annexed notes 1 to 45 form an integral part of these unconsolidated financial statements.</t>
  </si>
  <si>
    <t>vy   35  (520,848) (364,054)
Profit before income tax  2,318,062 2,798,489
Taxation  36 (1,775,666) (6,434,465)
Profit / (loss) for the year  542,396 (3,635,976)
     Rupees  Rupees 
Earnings / (loss) per share - basic and diluted 37 1.24 (8.30)
The annexed notes 1 to 48 form an integral part of these unconsolidated financial statements.</t>
  </si>
  <si>
    <t>0
Levy   35 (577,125) (520,848)
Profit before income tax  12,427,487 2,318,062
Income tax 36  (3,752,428) (1,775,666)
Profit for the year   8,675,059 542,396
     Rupees  Rupees 
Earnings per share - basic and diluted 37  19.80 1.24
The annexed notes 1 to 51 form an integral part of these unconsolidated financial statements.</t>
  </si>
  <si>
    <t>2 2,838,910
Levy   35 (577,125) (520,848)
Profit before income tax  12,427,487 2,318,062
Income tax 36  (3,752,428) (1,775,666)
Profit for the year   8,675,059 542,396
     Rupees  Rupees 
Earnings per share - basic and diluted 37  19.80 1.24
The annexed notes 1 to 51 form an integral part of these unconsolidated financial statements.</t>
  </si>
  <si>
    <t>Signed non-interest finance charges separated from expensed interest; exchange gains retain negative sign in this aggregation.</t>
  </si>
  <si>
    <t>Guarantee commission  - 6,995 | Bank charges  26,530 27,771</t>
  </si>
  <si>
    <t>Exchange loss   - 839,234 | Exchange gain  84,075 - | Bank charges  38,493 26,530</t>
  </si>
  <si>
    <t>Bank charges   76,127 38,493</t>
  </si>
  <si>
    <t>-  Bank charges  53,669 76,127</t>
  </si>
  <si>
    <t>erated from operations
 Profit before tax   6,019,761 4,771,405
 Adjustments for: 
 -  Depreciation on operating fixed assets - note 17.1.3 3,909,107 3,580,807
 -  Amortization of intangible assets - note 30 4,181 -
 -  Gain on disposal of operating fixed assets - note 33 (74,399) (39,735)
 -  Dividend income - note 33 (2,302,735) (2,197</t>
  </si>
  <si>
    <t>2023
Annual Report
DGKC
203
  2023 2022
  (Rupees in thousand)
37. Cash generated from operations
 Profit before tax   3,162,543 6,019,761
 Adjustments for: 
 -  Depreciation on o | Components: - Depreciation on operating fixed a; - Amortization of intangible assets</t>
  </si>
  <si>
    <t>206
DGKC Annual Report 2024
  2024 2023
  (Rupees in thousand)
   (Re-stated)
39. Cash generated from operations
 Profit before income tax   2,318,062 2,798,489
 Adjustments for:
 | Components: - Depreciation on operating fixed a; - Amortization of intangible assets</t>
  </si>
  <si>
    <t>2025 2024
  (Rupees in thousand)
   (Re-stated)
39. Cash generated from operations
 Profit before income tax  12,427,487 2,318,062
 Adjustments for: 
 -  Depreciation on operati | Components: - Depreciation on operating fixed a; - Amortization of intangible assets</t>
  </si>
  <si>
    <t>128
ANNUA L REPORT 2022  DGKC
   2022 2021
  Note (Rupees in thousand)
Cash flows from operating activities
Cash generated from operations 38 941,866 10,472,429
Finance cost paid   (3,195,727) (3,125,381)
Retirement and other benefits paid   (108,762) (74,770)
Income tax paid    (1,604,041)  (1,104,143)
Long term deposits - net  34,185 (6</t>
  </si>
  <si>
    <t>2023 2022
  Note (Rupees in thousand)
Cash flows from operating activities
Cash generated from operations 37 13,397,298 941,866
Finance cost paid  (5,998,599)  (3,195,727)
Retirement and other benefits paid   (127,441) (108,762)
Income tax paid    (925,544) (1,604,041)
Long term deposits - net  158,520 34,</t>
  </si>
  <si>
    <t>t 2024
   2024 2023
  Note (Rupees in thousand)
     (Re-stated)
Cash flows from operating activities   
Cash generated from operations 39 13,222,675 13,397,298
Finance cost paid  (8,460,206) (5,998,599)
Retirement and other benefits paid   (204,892  (127,441)
Income tax refunded / (paid)  1,859,765 (561,490)
Levy - final taxes paid  (520</t>
  </si>
  <si>
    <t>2025 2024
  Note (Rupees in thousand)
Cash flows from operating activities   
Cash generated from operations 39 15,811,428 13,222,675
Finance cost paid  (4,921,199) (8,460,206)
Retirement and other benefits paid  (198,725) (204,892)
Income tax (paid) / refunded   (447,791) 1,859,765
Levy - final taxes paid  (577</t>
  </si>
  <si>
    <t>2025 2024
  Note (Rupees in thousand)
Cash flows from operating activities   
Cash generated from operations 39 15,811,428 13,222,675
Finance cost paid  (4,921,199) (8,460,206)
Retirement and other benefits paid  (198,725) (204,892)
Income tax (paid) / refunded   (447,791) 1,859,765
Levy - final taxes</t>
  </si>
  <si>
    <t>tax paid    (1,604,041)  (1,104,143)
Long term deposits - net  34,185 (6,945)
Net cash (outflow)/inflow from operating activities  (3,932,479) 6,161,190
Cash flows from investing activities
Payments for property, plant and equipment and intangible asset  (1,739,551) (5,087,104)
Proceeds from disposal of property, plant and equipme</t>
  </si>
  <si>
    <t>62)
Income tax paid    (925,544) (1,604,041)
Long term deposits - net  158,520 34,185
Net cash inflow/(outflow) from operating activities  6,504,234  (3,932,479)
Cash flows from investing activities
Payments for property, plant and equipment and intangible asset  (3,418,069) (1,739,551)
Proceeds from disposal of property, plant and equipme</t>
  </si>
  <si>
    <t>(561,490)
Levy - final taxes paid  (520,848) (364,054)
Long term deposits - net  133,051 158,520
Net cash inflow from operating activities  6,029,545 6,504,234
Cash flows from investing activities
Payments for property, plant and equipment  (1,620,798) (3,418,069)
Payments for intangible asset   (56,155) -
Proceeds from disposal of prope</t>
  </si>
  <si>
    <t>59,765
Levy - final taxes paid  (577,125)  (520,848)
Long term deposits - net  367,544 133,051
Net cash inflow from operating activities  10,034,132  6,029,545
Cash flows from investing activities
Payments for property, plant and equipment  (1,211,491)  (1,620,798)
Payments for intangible asset  - (56,155)
Proceeds from disposal of prope</t>
  </si>
  <si>
    <t>447,791) 1,859,765
Levy - final taxes paid  (577,125)  (520,848)
Long term deposits - net  367,544 133,051
Net cash inflow from operating activities  10,034,132  6,029,545
Cash flows from investing activities
Payments for property, plant and equipment  (1,211,491)  (1,620,798)
Payments for intangible asset  - (56,155)
Proceeds from dispos</t>
  </si>
  <si>
    <t>Note (Rupees in thousand)
Cash flows from operating activities
Cash generated from operations 38 941,866 10,472,429
Finance cost paid   (3,195,727) (3,125,381)
Retirement and other benefits paid   (108,762) (74,770)
Income tax paid    (1,604,041)  (1,104,143)
Long term deposits - net  34,185 (6,945)
Net cash (outflow)/inflow from</t>
  </si>
  <si>
    <t>Note (Rupees in thousand)
Cash flows from operating activities
Cash generated from operations 37 13,397,298 941,866
Finance cost paid  (5,998,599)  (3,195,727)
Retirement and other benefits paid   (127,441) (108,762)
Income tax paid    (925,544) (1,604,041)
Long term deposits - net  158,520 34,185
Net cash inflow/(outflow) from operating</t>
  </si>
  <si>
    <t>sand)
     (Re-stated)
Cash flows from operating activities   
Cash generated from operations 39 13,222,675 13,397,298
Finance cost paid  (8,460,206) (5,998,599)
Retirement and other benefits paid   (204,892  (127,441)
Income tax refunded / (paid)  1,859,765 (561,490)
Levy - final taxes paid  (520,848) (364,054)
Long term deposits - net  1</t>
  </si>
  <si>
    <t>ees in thousand)
Cash flows from operating activities   
Cash generated from operations 39 15,811,428 13,222,675
Finance cost paid  (4,921,199) (8,460,206)
Retirement and other benefits paid  (198,725) (204,892)
Income tax (paid) / refunded   (447,791) 1,859,765
Levy - final taxes paid  (577,125)  (520,848)
Long term deposits - net</t>
  </si>
  <si>
    <t>Note (Rupees in thousand)
Cash flows from operating activities   
Cash generated from operations 39 15,811,428 13,222,675
Finance cost paid  (4,921,199) (8,460,206)
Retirement and other benefits paid  (198,725) (204,892)
Income tax (paid) / refunded   (447,791) 1,859,765
Levy - final taxes paid  (577,125)  (520,848)
Long term depo</t>
  </si>
  <si>
    <t>128
ANNUA L REPORT 2022  DGKC
   2022 2021
  Note (Rupees in thousand)
Cash flows from operating activities
Cash generated from operations 38 941,866 10,472,429
Finance cost paid   (3,195,727) (3,125,381)
Retirement an</t>
  </si>
  <si>
    <t>2023 2022
  Note (Rupees in thousand)
Cash flows from operating activities
Cash generated from operations 37 13,397,298 941,866
Finance cost paid  (5,998,599)  (3,195,727)
Retirement and other benefits paid   (127,44</t>
  </si>
  <si>
    <t>154
DGKC Annual Report 2024
   2024 2023
  Note (Rupees in thousand)
     (Re-stated)
Cash flows from operating activities   
Cash generated from operations 39 13,222,675 13,397,298
Finance cost paid  (8,460,206) (5,998</t>
  </si>
  <si>
    <t>2025 2024
  Note (Rupees in thousand)
Cash flows from operating activities   
Cash generated from operations 39 15,811,428 13,222,675
Finance cost paid  (4,921,199) (8,460,206)
Retirement and other benefits pai</t>
  </si>
  <si>
    <t>g activities  (3,932,479) 6,161,190
Cash flows from investing activities
Payments for property, plant and equipment and intangible asset  (1,739,551) (5,087,104)
Proceeds from disposal of property, plant and equipment  99,592 63,218
Long term loans, advances and deposits - net  (4,013) 471
Investment in equity instruments  - (201,230)
Repa</t>
  </si>
  <si>
    <t>activities  6,504,234  (3,932,479)
Cash flows from investing activities
Payments for property, plant and equipment and intangible asset  (3,418,069) (1,739,551)
Proceeds from disposal of property, plant and equipment  206,392 99,592
Long term loans, advances and deposits - net  (2,900) (4,013)
Investment in equity instruments  (1,007,500)</t>
  </si>
  <si>
    <t>sh inflow from operating activities  6,029,545 6,504,234
Cash flows from investing activities
Payments for property, plant and equipment  (1,620,798) (3,418,069)
Payments for intangible asset   (56,155) -
Proceeds from disposal of property, plant and equipment  180,069 206,392
Long term loans, advances and deposits - net  2,858 (2,900)
Inv</t>
  </si>
  <si>
    <t>inflow from operating activities  10,034,132  6,029,545
Cash flows from investing activities
Payments for property, plant and equipment  (1,211,491)  (1,620,798)
Payments for intangible asset  - (56,155)
Proceeds from disposal of property, plant and equipment  70,240 180,069
Long term deposits - net  555 2,858
Investment in subsidiary  (8,</t>
  </si>
  <si>
    <t>051
Net cash inflow from operating activities  10,034,132  6,029,545
Cash flows from investing activities
Payments for property, plant and equipment  (1,211,491)  (1,620,798)
Payments for intangible asset  - (56,155)
Proceeds from disposal of property, plant and equipment  70,240 180,069
Long term deposits - net  555 2,858
Investment in su</t>
  </si>
  <si>
    <t>ty  765,000 -
Interest received  37,882 65,004
Dividends received  2,302,736 2,197,481
Net cash inflow/(outflow) from investing activities  1,461,646 (2,962,160)
Cash flows from financing activities
Proceeds from long term finances 7 1,630,445 8,826,457
Repayment of long term finances 7 (6,058,277) (6,451,284)
Dividend paid  (437,124) (320</t>
  </si>
  <si>
    <t>y  - 765,000
Interest received  3,551 37,882
Dividends received  2,471,374 2,302,736
Net cash (outflow)/inflow from investing activities  (1,747,152) 1,461,646
Cash flows from financing activities
Proceeds from long term finances 7 2,038,739 1,630,445
Repayment of long term finances 7 (6,484,381) (6,058,277)
Dividend paid  (437,927) (437</t>
  </si>
  <si>
    <t>135,000 -
Interest received  12,480 3,551
Dividends received   3,623,769 2,471,374
Net cash inflow / (outflow) from investing activities  2,277,223 (1,747,152)
Cash flows from financing activities
Proceeds from long term finances 7 11,200,706 2,038,739 
Repayment of long term finances 7 (7,149,183)  (6,484,381)
Dividend paid   (502) (437</t>
  </si>
  <si>
    <t>tments  128,250 135,000
Interest received  63,185 12,480
Dividends received  3,958,258 3,623,769
Net cash inflow from investing activities  3,000,535 2,277,223
Cash flows from financing activities
Proceeds from long term finances from financial institutions - secured 7 - 11,200,706 
Repayment of long term finances from financial institut</t>
  </si>
  <si>
    <t>l of investments  128,250 135,000
Interest received  63,185 12,480
Dividends received  3,958,258 3,623,769
Net cash inflow from investing activities  3,000,535 2,277,223
Cash flows from financing activities
Proceeds from long term finances from financial institutions - secured 7 - 11,200,706 
Repayment of long term finances from financia</t>
  </si>
  <si>
    <t>yment of long term finances 7 (6,058,277) (6,451,284)
Dividend paid  (437,124) (320)
Net cash (outflow)/inflow from financing activities  (4,864,956) 2,374,853
Net (decrease)/increase in cash and cash equivalents   (7,335,789) 5,573,883
Cash and cash equivalents at the beginning of the year   (17,555,677) (23,148,133)
Effect of exchange</t>
  </si>
  <si>
    <t>Repayment of long term finances 7 (6,484,381) (6,058,277)
Dividend paid  (437,927) (437,124)
Net cash outflow from financing activities  (4,883,569) (4,864,956)
Net decrease in cash and cash equivalents   (126,487) (7,335,789)
Cash and cash equivalents at the beginning of the year   (24,799,703) (17,555,677)
Effect of exchange rate change</t>
  </si>
  <si>
    <t>ent of long term finances 7 (7,149,183)  (6,484,381)
Dividend paid   (502) (437,927)
Net cash inflow / (outflow) from financing activities  4,051,021 (4,883,569)
Net increase / (decrease) in cash and cash equivalents   12,357,789 (126,487)
Cash and cash equivalents at the beginning of the year   (24,819,321) (24,799,703)
Effect of exchange</t>
  </si>
  <si>
    <t>cial institutions - secured 7  (9,357,639) (7,149,183)
Dividend paid   (48)  (502)
Net cash (outflow) / inflow from financing activities  (9,357,687) 4,051,021 
Net increase in cash and cash equivalents    3,676,980 12,357,789
Cash and cash equivalents at the beginning of the year    (12,332,550)  (24,819,321)
Effect of exchange rate cha</t>
  </si>
  <si>
    <t>s from financial institutions - secured 7  (9,357,639) (7,149,183)
Dividend paid   (48)  (502)
Net cash (outflow) / inflow from financing activities  (9,357,687) 4,051,021 
Net increase in cash and cash equivalents    3,676,980 12,357,789
Cash and cash equivalents at the beginning of the year    (12,332,550)  (24,819,321)
Effect of exchang</t>
  </si>
  <si>
    <t>activities
Proceeds from long term finances 7 1,630,445 8,826,457
Repayment of long term finances 7 (6,058,277) (6,451,284)
Dividend paid  (437,124) (320)
Net cash (outflow)/inflow from financing activities  (4,864,956) 2,374,853
Net (decrease)/increase in cash and cash equivalents   (7,335,789) 5,573,883
Cash and cash equivalents a</t>
  </si>
  <si>
    <t>activities
Proceeds from long term finances 7 2,038,739 1,630,445
Repayment of long term finances 7 (6,484,381) (6,058,277)
Dividend paid  (437,927) (437,124)
Net cash outflow from financing activities  (4,883,569) (4,864,956)
Net decrease in cash and cash equivalents   (126,487) (7,335,789)
Cash and cash equivalents at the beginning of</t>
  </si>
  <si>
    <t>activities
Proceeds from long term finances 7 11,200,706 2,038,739 
Repayment of long term finances 7 (7,149,183)  (6,484,381)
Dividend paid   (502) (437,927)
Net cash inflow / (outflow) from financing activities  4,051,021 (4,883,569)
Net increase / (decrease) in cash and cash equivalents   12,357,789 (126,487)
Cash and cash equivalent</t>
  </si>
  <si>
    <t>ions - secured 7 - 11,200,706 
Repayment of long term finances from financial institutions - secured 7  (9,357,639) (7,149,183)
Dividend paid   (48)  (502)
Net cash (outflow) / inflow from financing activities  (9,357,687) 4,051,021 
Net increase in cash and cash equivalents    3,676,980 12,357,789
Cash and cash equivalents at the be</t>
  </si>
  <si>
    <t>stitutions - secured 7 - 11,200,706 
Repayment of long term finances from financial institutions - secured 7  (9,357,639) (7,149,183)
Dividend paid   (48)  (502)
Net cash (outflow) / inflow from financing activities  (9,357,687) 4,051,021 
Net increase in cash and cash equivalents    3,676,980 12,357,789
Cash and cash equivalents at</t>
  </si>
  <si>
    <t>161
   2021 2020
  Note (Rupees in thousand) 
ASSETS   
NON - CURRENT ASSETS   
Property, plant and equipment 20  44,215,539   44,297,941 
Intangible assets 21  6,017   9,023 
Long term investment 22  5,020,000   5,020,000 
Long term loans to employees - secured 23  17,004   19,196 
Long term deposits 24  57,302   5</t>
  </si>
  <si>
    <t>183
   2022 2021
  Note (Rupees in thousand) 
ASSETS   
NON - CURRENT ASSETS   
Property, plant and equipment 20  56,784,840   44,215,539 
Intangible assets 21  10,415   6,017 
Long term investment 22  5,020,000   5,020,000 
Long term loans to employees - secured 23  19,366   17,004 
Long term deposits 24  57,600</t>
  </si>
  <si>
    <t>FINANCIAL OFFICERDIRECTOR DIRECTOR
   2023 2022
  Note (Rupees in thousand) 
ASSETS
NON - CURRENT ASSETS
Property, plant and equipment 20 62,354,608 56,784,840
Intangible assets 21 6,946 10,415
Long term investment 22 5,030,000 5,020,000
Long term loans to employees - secured 23 18,089 19,366
Long term deposits 24 58,401 57,600
  67,468,</t>
  </si>
  <si>
    <t>1892024
   2024 2023
  Note (Rupees in thousand) 
ASSETS
NON - CURRENT ASSETS
Property, plant and equipment 20 65,995,598 62,354,608
Intangible assets 21 84,810 6,946
Long term investments 22 6,322,000 5,030,000
Long term loans to employees - secured 23 31,228 18,089
Long term deposits 24 64,209 58,401
  72,497</t>
  </si>
  <si>
    <t>2012025
   2025 2024
  Note (Rupees in thousand) 
ASSETS
NON - CURRENT ASSETS
Property, plant and equipment 19  62,836,212   65,995,598 
Intangible assets 20  62,426   84,810 
Long term investments 21  20,371,110   6,322,000 
Long term loans to employees - secured 22  16,610   31,228 
Long term deposits 23  67,309</t>
  </si>
  <si>
    <t>2012025
   2025 2024
  Note (Rupees in thousand) 
ASSETS
NON - CURRENT ASSETS
Property, plant and equipment 19  62,836,212   65,995,598 
Intangible assets 20  62,426   84,810 
Long term investments 21  20,371,110   6,322,000 
Long term loans to employees - secured 22  16,610   31,228 
Long term deposi</t>
  </si>
  <si>
    <t>nd)
20. PROPERTY, PLANT AND EQUIPMENT   
 Operating fixed assets 20.1  41,253,304   43,372,508 
 Capital work in progress - at cost 20.2  2,854,293   871,386 
 Major spare parts and stand-by equipments 20.4  107,942   54,047 
    44,215,539   44,297,941</t>
  </si>
  <si>
    <t>d)
20. PROPERTY, PLANT AND EQUIPMENT   
 Operating fixed assets 20.1  41,151,385   41,253,304 
 Capital work in progress - at cost 20.2  15,352,800   2,854,293 
 Major spare parts and stand-by equipments 20.3  280,655   107,942 
    56,784,840   44,215,539</t>
  </si>
  <si>
    <t>es in thousand)
20. PROPERTY, PLANT AND EQUIPMENT   
 Operating fixed assets 20.1  41,151,385   41,253,304 
 Capital work in progress - at cost 20.2  15,352,800   2,854,293 
 Major spare parts and stand-by equipments 20.3  280,655   107,942 
    56,784,840   44,215,539</t>
  </si>
  <si>
    <t>s in thousand) 
20. PROPERTY, PLANT AND EQUIPMENT
 Operating fixed assets 20.1 65,428,006 60,396,461
 Capital work in progress - at cost 20.2 471,174 1,676,796
 Major spare parts and stand-by equipment 20.3 48,281 238,239
 Right of use of asset 20.4 48,137 43,112
    65,995,598 62,354,608</t>
  </si>
  <si>
    <t>,516,311
19. PROPERTY, PLANT AND EQUIPMENT
 Operating fixed assets 19.1  62,641,493   65,428,006 
 Capital work in progress - at cost 19.2  125,704   471,174 
 Major spare parts and stand-by equipment 19.3  28,336   48,281 
 Right-of-use assets 19.4  40,682   48,137 
     62,836,212   65,995,598</t>
  </si>
  <si>
    <t>25,833   2,516,311
19. PROPERTY, PLANT AND EQUIPMENT
 Operating fixed assets 19.1  62,641,493   65,428,006 
 Capital work in progress - at cost 19.2  125,704   471,174 
 Major spare parts and stand-by equipment 19.3  28,336   48,281 
 Right-of-use assets 19.4  40,682   48,137 
     62,836,212   65,995,598</t>
  </si>
  <si>
    <t>160
UNCONSOLIDA TED STA TEMENT OF 
FINANCIAL POSITION 
AS AT JUNE 30, 2021
   2021 2020
  Note (Rupees in thousand) 
EQUITY AND LIABILITIES   
   | Right-of-use assets (presented separately)</t>
  </si>
  <si>
    <t>182
UNCONSOLIDA TED STA TEMENT OF 
FINANCIAL POSITION 
AS AT JUNE 30, 2022
   2022 2021
  Note (Rupees in thousand) 
EQUITY AND LIABILITIES   
   | Right-of-use assets (presented separately)</t>
  </si>
  <si>
    <t>192 193
UNCONSOLIDA TED STA TEMENT OF 
FINANCIAL POSITION 
AS AT JUNE 30, 2023
   2023 2022
  Note (Rupees in thousand) 
EQUITY AND LIABILITIES
SHARE | Right-of-use assets (presented separately)</t>
  </si>
  <si>
    <t>188
UNCONSOLIDA TED STA TEMENT OF 
FINANCIAL POSITION 
AS AT JUNE 30, 2024
   2024 2023
  Note (Rupees in thousand) 
EQUITY AND LIABILITIES
SHARE CAP | Right-of-use assets (presented separately)</t>
  </si>
  <si>
    <t>200
UNCONSOLIDA TED STA TEMENT OF 
FINANCIAL POSITION 
AS AT JUNE 30, 2025
   2025 2024
  Note (Rupees in thousand) 
EQUITY AND LIABILITIES
SHARE CAP | Right-of-use assets (presented separately)</t>
  </si>
  <si>
    <t>in thousand) 
ASSETS   
NON - CURRENT ASSETS   
Property, plant and equipment 20  44,215,539   44,297,941 
Intangible assets 21  6,017   9,023 
Long term investment 22  5,020,000   5,020,000 
Long term loans to employees - secured 23  17,004   19,196 
Long term deposits 24  57,302   56,420 
    49,315,862   49,402,58</t>
  </si>
  <si>
    <t>in thousand) 
ASSETS   
NON - CURRENT ASSETS   
Property, plant and equipment 20  56,784,840   44,215,539 
Intangible assets 21  10,415   6,017 
Long term investment 22  5,020,000   5,020,000 
Long term loans to employees - secured 23  19,366   17,004 
Long term deposits 24  57,600   57,302 
   61,892,221   49,315,862</t>
  </si>
  <si>
    <t>2023 2022
  Note (Rupees in thousand) 
ASSETS
NON - CURRENT ASSETS
Property, plant and equipment 20 62,354,608 56,784,840
Intangible assets 21 6,946 10,415
Long term investment 22 5,030,000 5,020,000
Long term loans to employees - secured 23 18,089 19,366
Long term deposits 24 58,401 57,600
  67,468,044 61,892,221
CURRENT ASSETS
Stor</t>
  </si>
  <si>
    <t>2024 2023
  Note (Rupees in thousand) 
ASSETS
NON - CURRENT ASSETS
Property, plant and equipment 20 65,995,598 62,354,608
Intangible assets 21 84,810 6,946
Long term investments 22 6,322,000 5,030,000
Long term loans to employees - secured 23 31,228 18,089
Long term deposits 24 64,209 58,401
  72,497,845 67,468,044
CURRENT ASSETS
Sto</t>
  </si>
  <si>
    <t>24
  Note (Rupees in thousand) 
ASSETS
NON - CURRENT ASSETS
Property, plant and equipment 19  62,836,212   65,995,598 
Intangible assets 20  62,426   84,810 
Long term investments 21  20,371,110   6,322,000 
Long term loans to employees - secured 22  16,610   31,228 
Long term deposits 23  67,309   64,209 
   83,353,667   72,497,845</t>
  </si>
  <si>
    <t>2025 2024
  Note (Rupees in thousand) 
ASSETS
NON - CURRENT ASSETS
Property, plant and equipment 19  62,836,212   65,995,598 
Intangible assets 20  62,426   84,810 
Long term investments 21  20,371,110   6,322,000 
Long term loans to employees - secured 22  16,610   31,228 
Long term deposits 23  67,309   64,209 
   83,353,667   72,</t>
  </si>
  <si>
    <t>160
UNCONSOLIDA TED STA TEMENT OF 
FINANCIAL POSITION 
AS AT JUNE 30, 2021
   2021 2020
  Note (Rupees in thousand) 
EQUITY AND LIABILITIES   
   | Investment property</t>
  </si>
  <si>
    <t>182
UNCONSOLIDA TED STA TEMENT OF 
FINANCIAL POSITION 
AS AT JUNE 30, 2022
   2022 2021
  Note (Rupees in thousand) 
EQUITY AND LIABILITIES   
   | Investment property</t>
  </si>
  <si>
    <t>192 193
UNCONSOLIDA TED STA TEMENT OF 
FINANCIAL POSITION 
AS AT JUNE 30, 2023
   2023 2022
  Note (Rupees in thousand) 
EQUITY AND LIABILITIES
SHARE | Investment property</t>
  </si>
  <si>
    <t>188
UNCONSOLIDA TED STA TEMENT OF 
FINANCIAL POSITION 
AS AT JUNE 30, 2024
   2024 2023
  Note (Rupees in thousand) 
EQUITY AND LIABILITIES
SHARE CAP | Investment property</t>
  </si>
  <si>
    <t>200
UNCONSOLIDA TED STA TEMENT OF 
FINANCIAL POSITION 
AS AT JUNE 30, 2025
   2025 2024
  Note (Rupees in thousand) 
EQUITY AND LIABILITIES
SHARE CAP | Investment property</t>
  </si>
  <si>
    <t>NON - CURRENT ASSETS   
Property, plant and equipment 20  44,215,539   44,297,941 
Intangible assets 21  6,017   9,023 
Long term investment 22  5,020,000   5,020,000 
Long term loans to employees - secured 23  17,004   19,196 
Long term deposits 24  57,302   56,420 
    49,315,862   49,402,580 
CURRENT ASSETS   
Stores</t>
  </si>
  <si>
    <t>NON - CURRENT ASSETS   
Property, plant and equipment 20  56,784,840   44,215,539 
Intangible assets 21  10,415   6,017 
Long term investment 22  5,020,000   5,020,000 
Long term loans to employees - secured 23  19,366   17,004 
Long term deposits 24  57,600   57,302 
   61,892,221   49,315,862 
CURRENT ASSETS   
Stores, spar</t>
  </si>
  <si>
    <t>SSETS
NON - CURRENT ASSETS
Property, plant and equipment 20 62,354,608 56,784,840
Intangible assets 21 6,946 10,415
Long term investment 22 5,030,000 5,020,000
Long term loans to employees - secured 23 18,089 19,366
Long term deposits 24 58,401 57,600
  67,468,044 61,892,221
CURRENT ASSETS
Stores, spare parts and loose tools 25 9,925,852</t>
  </si>
  <si>
    <t>SETS
NON - CURRENT ASSETS
Property, plant and equipment 20 65,995,598 62,354,608
Intangible assets 21 84,810 6,946
Long term investments 22 6,322,000 5,030,000
Long term loans to employees - secured 23 31,228 18,089
Long term deposits 24 64,209 58,401
  72,497,845 67,468,044
CURRENT ASSETS
Stores, spare parts and loose tools 25 12,277,28</t>
  </si>
  <si>
    <t>RRENT ASSETS
Property, plant and equipment 19  62,836,212   65,995,598 
Intangible assets 20  62,426   84,810 
Long term investments 21  20,371,110   6,322,000 
Long term loans to employees - secured 22  16,610   31,228 
Long term deposits 23  67,309   64,209 
   83,353,667   72,497,845 
CURRENT ASSETS
Stores, spare parts and loose tools</t>
  </si>
  <si>
    <t>SETS
NON - CURRENT ASSETS
Property, plant and equipment 19  62,836,212   65,995,598 
Intangible assets 20  62,426   84,810 
Long term investments 21  20,371,110   6,322,000 
Long term loans to employees - secured 22  16,610   31,228 
Long term deposits 23  67,309   64,209 
   83,353,667   72,497,845 
CURRENT ASSETS
Stores, spare parts and</t>
  </si>
  <si>
    <t>161
   2021 2020
  Note (Rupees in thousand) 
ASSETS   
NON - CURRENT ASSETS   
Property, plant and equipment 20  44,215,539   44,297,941 
Intangible assets 21  6,017  | Components: Long term deposits; Long term loans to employees - secured</t>
  </si>
  <si>
    <t>183
   2022 2021
  Note (Rupees in thousand) 
ASSETS   
NON - CURRENT ASSETS   
Property, plant and equipment 20  56,784,840   44,215,539 
Intangible assets 21  10,415 | Components: Long term deposits; Long term loans to employees - secured</t>
  </si>
  <si>
    <t>192 193
UNCONSOLIDA TED STA TEMENT OF 
FINANCIAL POSITION 
AS AT JUNE 30, 2023
   2023 2022
  Note (Rupees in thousand) 
EQUITY AND LIABILITIES
SHARE CAPITAL AND RESERVES
Authoris | Components: Long term deposits; Long term loans to employees - secured</t>
  </si>
  <si>
    <t>1892024
   2024 2023
  Note (Rupees in thousand) 
ASSETS
NON - CURRENT ASSETS
Property, plant and equipment 20 65,995,598 62,354,608
Intangible assets 21 84,810 6,946
Long term in | Components: Long term deposits; Long term loans to employees - secured</t>
  </si>
  <si>
    <t>2012025
   2025 2024
  Note (Rupees in thousand) 
ASSETS
NON - CURRENT ASSETS
Property, plant and equipment 19  62,836,212   65,995,598 
Intangible assets 20  62,426   84,810 
Lon | Components: Long term deposits; Long term loans to employees - secured</t>
  </si>
  <si>
    <t>ng term deposits 24  57,302   56,420 
    49,315,862   49,402,580 
CURRENT ASSETS   
Stores, spare parts and loose tools 25  9,738,717   8,395,610 
Stock-in-trade 26  2,150,183   1,779,404 
Trade debts  27  1,679,704   3,052,130 
Loans and advances 28  481,492   414,470 
Short term investment 29  149,148   75,245 
Short term</t>
  </si>
  <si>
    <t>4 
Long term deposits 24  57,600   57,302 
   61,892,221   49,315,862 
CURRENT ASSETS   
Stores, spare parts and loose tools 25  12,853,605   9,738,717 
Stock-in-trade 26  2,695,621   2,150,183 
Trade debts  27  2,066,212   1,679,704 
Loans and advances 28  594,906   481,492 
Short term investment 29  198,346   149,148 
Short ter</t>
  </si>
  <si>
    <t>secured 23 18,089 19,366
Long term deposits 24 58,401 57,600
  67,468,044 61,892,221
CURRENT ASSETS
Stores, spare parts and loose tools 25 9,925,852 12,853,605
Stock-in-trade 26 3,874,605 2,695,621
Trade debts 27 2,600,988 2,066,212
Loans and advances 28 868,404 594,906
Short term investment 29 3,689,556 198,346 
Short term deposits and</t>
  </si>
  <si>
    <t>secured 23 31,228 18,089
Long term deposits 24 64,209 58,401
  72,497,845 67,468,044
CURRENT ASSETS
Stores, spare parts and loose tools 25 12,277,288 9,925,855
Stock-in-trade 26 3,256,553 3,874,605
Trade debts 27 4,188,745 2,600,985
Loans and advances 28 448,258 868,404
Short term investments 29 4,220,262 3,689,556
Short term deposits an</t>
  </si>
  <si>
    <t>610   31,228 
Long term deposits 23  67,309   64,209 
   83,353,667   72,497,845 
CURRENT ASSETS
Stores, spare parts and loose tools 24  12,461,312   12,277,288 
Stock-in-trade 25  4,442,989   3,256,553 
Trade debts  26  4,610,182   4,188,745 
Loans and advances 27  718,498   448,258 
Short term investments 28  11,102,413   4,220,262 
Sho</t>
  </si>
  <si>
    <t>cured 22  16,610   31,228 
Long term deposits 23  67,309   64,209 
   83,353,667   72,497,845 
CURRENT ASSETS
Stores, spare parts and loose tools 24  12,461,312   12,277,288 
Stock-in-trade 25  4,442,989   3,256,553 
Trade debts  26  4,610,182   4,188,745 
Loans and advances 27  718,498   448,258 
Short term investments 28  11,102,413   4</t>
  </si>
  <si>
    <t>49,315,862   49,402,580 
CURRENT ASSETS   
Stores, spare parts and loose tools 25  9,738,717   8,395,610 
Stock-in-trade 26  2,150,183   1,779,404 
Trade debts  27  1,679,704   3,052,130 
Loans and advances 28  481,492   414,470 
Short term investment 29  149,148   75,245 
Short term deposits and prepayments 30  225,040   17</t>
  </si>
  <si>
    <t>61,892,221   49,315,862 
CURRENT ASSETS   
Stores, spare parts and loose tools 25  12,853,605   9,738,717 
Stock-in-trade 26  2,695,621   2,150,183 
Trade debts  27  2,066,212   1,679,704 
Loans and advances 28  594,906   481,492 
Short term investment 29  198,346   149,148 
Short term deposits and prepayments 30  542,588   2</t>
  </si>
  <si>
    <t>osits 24 58,401 57,600
  67,468,044 61,892,221
CURRENT ASSETS
Stores, spare parts and loose tools 25 9,925,852 12,853,605
Stock-in-trade 26 3,874,605 2,695,621
Trade debts 27 2,600,988 2,066,212
Loans and advances 28 868,404 594,906
Short term investment 29 3,689,556 198,346 
Short term deposits and prepayments 30 482,930 542,588
Accrued</t>
  </si>
  <si>
    <t>osits 24 64,209 58,401
  72,497,845 67,468,044
CURRENT ASSETS
Stores, spare parts and loose tools 25 12,277,288 9,925,855
Stock-in-trade 26 3,256,553 3,874,605
Trade debts 27 4,188,745 2,600,985
Loans and advances 28 448,258 868,404
Short term investments 29 4,220,262 3,689,556
Short term deposits and prepayments 30 963,478 482,930
Accru</t>
  </si>
  <si>
    <t>64,209 
   83,353,667   72,497,845 
CURRENT ASSETS
Stores, spare parts and loose tools 24  12,461,312   12,277,288 
Stock-in-trade 25  4,442,989   3,256,553 
Trade debts  26  4,610,182   4,188,745 
Loans and advances 27  718,498   448,258 
Short term investments 28  11,102,413   4,220,262 
Short term deposits and prepayments 29  688,6</t>
  </si>
  <si>
    <t>s 23  67,309   64,209 
   83,353,667   72,497,845 
CURRENT ASSETS
Stores, spare parts and loose tools 24  12,461,312   12,277,288 
Stock-in-trade 25  4,442,989   3,256,553 
Trade debts  26  4,610,182   4,188,745 
Loans and advances 27  718,498   448,258 
Short term investments 28  11,102,413   4,220,262 
Short term deposits and prepaymen</t>
  </si>
  <si>
    <t>T ASSETS   
Stores, spare parts and loose tools 25  9,738,717   8,395,610 
Stock-in-trade 26  2,150,183   1,779,404 
Trade debts  27  1,679,704   3,052,130 
Loans and advances 28  481,492   414,470 
Short term investment 29  149,148   75,245 
Short term deposits and prepayments 30  225,040   176,101 
Accrued profit 31  6,061   2,404</t>
  </si>
  <si>
    <t>ASSETS   
Stores, spare parts and loose tools 25  12,853,605   9,738,717 
Stock-in-trade 26  2,695,621   2,150,183 
Trade debts  27  2,066,212   1,679,704 
Loans and advances 28  594,906   481,492 
Short term investment 29  198,346   149,148 
Short term deposits and prepayments 30  542,588   225,040 
Accrued profit 31  7,075   6,061</t>
  </si>
  <si>
    <t>61,892,221
CURRENT ASSETS
Stores, spare parts and loose tools 25 9,925,852 12,853,605
Stock-in-trade 26 3,874,605 2,695,621
Trade debts 27 2,600,988 2,066,212
Loans and advances 28 868,404 594,906
Short term investment 29 3,689,556 198,346 
Short term deposits and prepayments 30 482,930 542,588
Accrued profit 31 8,792 7,075
Other receiv</t>
  </si>
  <si>
    <t>67,468,044
CURRENT ASSETS
Stores, spare parts and loose tools 25 12,277,288 9,925,855
Stock-in-trade 26 3,256,553 3,874,605
Trade debts 27 4,188,745 2,600,985
Loans and advances 28 448,258 868,404
Short term investments 29 4,220,262 3,689,556
Short term deposits and prepayments 30 963,478 482,930
Accrued profit 31 20,333 8,792
Other rec</t>
  </si>
  <si>
    <t>URRENT ASSETS
Stores, spare parts and loose tools 24  12,461,312   12,277,288 
Stock-in-trade 25  4,442,989   3,256,553 
Trade debts  26  4,610,182   4,188,745 
Loans and advances 27  718,498   448,258 
Short term investments 28  11,102,413   4,220,262 
Short term deposits and prepayments 29  688,697   963,478 
Accrued profit 30  42,880</t>
  </si>
  <si>
    <t>2,497,845 
CURRENT ASSETS
Stores, spare parts and loose tools 24  12,461,312   12,277,288 
Stock-in-trade 25  4,442,989   3,256,553 
Trade debts  26  4,610,182   4,188,745 
Loans and advances 27  718,498   448,258 
Short term investments 28  11,102,413   4,220,262 
Short term deposits and prepayments 29  688,697   963,478 
Accrued profit</t>
  </si>
  <si>
    <t>rade 26  2,150,183   1,779,404 
Trade debts  27  1,679,704   3,052,130 
Loans and advances 28  481,492   414,470 
Short term investment 29  149,148   75,245 
Short term deposits and prepayments 30  225,040   176,101 
Accrued profit 31  6,061   2,404 
Other receivables 32  165,835   35,256 
Advance income tax - net of provision 33  1,8</t>
  </si>
  <si>
    <t>rade 26  2,695,621   2,150,183 
Trade debts  27  2,066,212   1,679,704 
Loans and advances 28  594,906   481,492 
Short term investment 29  198,346   149,148 
Short term deposits and prepayments 30  542,588   225,040 
Accrued profit 31  7,075   6,061 
Other receivables 32  52,261   165,835 
Advance income tax - net of provision 33  517</t>
  </si>
  <si>
    <t>605
Stock-in-trade 26 3,874,605 2,695,621
Trade debts 27 2,600,988 2,066,212
Loans and advances 28 868,404 594,906
Short term investment 29 3,689,556 198,346 
Short term deposits and prepayments 30 482,930 542,588
Accrued profit 31 8,792 7,075
Other receivables 32 22,531 52,261
Advance income tax - net of provision 33 25,302 517,799
Ca</t>
  </si>
  <si>
    <t>55
Stock-in-trade 26 3,256,553 3,874,605
Trade debts 27 4,188,745 2,600,985
Loans and advances 28 448,258 868,404
Short term investments 29 4,220,262 3,689,556
Short term deposits and prepayments 30 963,478 482,930
Accrued profit 31 20,333 8,792
Other receivables 32 132,093 22,531
Advance income tax 33 227,415 25,302
Cash and bank balanc</t>
  </si>
  <si>
    <t>25  4,442,989   3,256,553 
Trade debts  26  4,610,182   4,188,745 
Loans and advances 27  718,498   448,258 
Short term investments 28  11,102,413   4,220,262 
Short term deposits and prepayments 29  688,697   963,478 
Accrued profit 30  42,880   20,333 
Other receivables 31  70,152   132,093 
Advance income tax 32  -     227,415 
Cash</t>
  </si>
  <si>
    <t>tock-in-trade 25  4,442,989   3,256,553 
Trade debts  26  4,610,182   4,188,745 
Loans and advances 27  718,498   448,258 
Short term investments 28  11,102,413   4,220,262 
Short term deposits and prepayments 29  688,697   963,478 
Accrued profit 30  42,880   20,333 
Other receivables 31  70,152   132,093 
Advance income tax 32  -     22</t>
  </si>
  <si>
    <t>2,404 
Other receivables 32  165,835   35,256 
Advance income tax - net of provision 33  1,836,907   1,630,304 
Cash and bank balances 34  490,329   1,046,267 
    16,923,416   16,607,191 
    66,239,278   66,009,771   
CHIEF FINANCIAL OFFICER DIRECTOR
CHIEF EXECUTIVE OFFICER</t>
  </si>
  <si>
    <t>6,061 
Other receivables 32  52,261   165,835 
Advance income tax - net of provision 33  517,799   1,836,907 
Cash and bank balances 34  793,576   490,329 
   20,321,989   16,923,416 
   82,214,210   66,239,278 
CHIEF FINANCIAL OFFICER DIRECTOR
CHIEF EXECUTIVE OFFICER</t>
  </si>
  <si>
    <t>ed profit 31 8,792 7,075
Other receivables 32 22,531 52,261
Advance income tax - net of provision 33 25,302 517,799
Cash and bank balances 34 740,707 793,576
  22,239,667 20,321,989
  89,707,711 82,214,210
CHIEF FINANCIAL OFFICERDIRECTOR DIRECTOR</t>
  </si>
  <si>
    <t>8 482,930
Accrued profit 31 20,333 8,792
Other receivables 32 132,093 22,531
Advance income tax 33 227,415 25,302
Cash and bank balances 34 1,133,412 740,707
  26,867,837 22,239,667
  99,365,682 89,707,711
CHIEF FINANCIAL OFFICERDIRECTOR DIRECTOR</t>
  </si>
  <si>
    <t>rued profit 30  42,880   20,333 
Other receivables 31  70,152   132,093 
Advance income tax 32  -     227,415 
Cash and bank balances 33  1,615,481   1,133,412 
   35,752,604   26,867,837 
   119,106,271   99,365,682 
CHIEF FINANCIAL OFFICERDIRECTOR DIRECTOR</t>
  </si>
  <si>
    <t>963,478 
Accrued profit 30  42,880   20,333 
Other receivables 31  70,152   132,093 
Advance income tax 32  -     227,415 
Cash and bank balances 33  1,615,481   1,133,412 
   35,752,604   26,867,837 
   119,106,271   99,365,682 
CHIEF FINANCIAL OFFICERDIRECTOR DIRECTOR</t>
  </si>
  <si>
    <t>161
   2021 2020
  Note (Rupees in thousand) 
ASSETS   
NON - CURRENT ASSETS   
Property, plant and equipment 20  44,215,539   44,297,941 
Intangible assets 21  6,017  | Components: Accrued profit; Advance income tax - net of provision; Loans and advances; Other receivables; Short term deposits and pr</t>
  </si>
  <si>
    <t>183
   2022 2021
  Note (Rupees in thousand) 
ASSETS   
NON - CURRENT ASSETS   
Property, plant and equipment 20  56,784,840   44,215,539 
Intangible assets 21  10,415 | Components: Accrued profit; Advance income tax - net of provision; Loans and advances; Other receivables; Short term deposits and pr</t>
  </si>
  <si>
    <t>192 193
UNCONSOLIDA TED STA TEMENT OF 
FINANCIAL POSITION 
AS AT JUNE 30, 2023
   2023 2022
  Note (Rupees in thousand) 
EQUITY AND LIABILITIES
SHARE CAPITAL AND RESERVES
Authoris | Components: Accrued profit; Advance income tax - net of provision; Loans and advances; Other receivables; Short term deposits and pr</t>
  </si>
  <si>
    <t>1892024
   2024 2023
  Note (Rupees in thousand) 
ASSETS
NON - CURRENT ASSETS
Property, plant and equipment 20 65,995,598 62,354,608
Intangible assets 21 84,810 6,946
Long term in | Components: Accrued profit; Advance income tax; Loans and advances; Other receivables; Short term deposits and prepayments</t>
  </si>
  <si>
    <t>2012025
   2025 2024
  Note (Rupees in thousand) 
ASSETS
NON - CURRENT ASSETS
Property, plant and equipment 19  62,836,212   65,995,598 
Intangible assets 20  62,426   84,810 
Lon | Components: Accrued profit; Advance income tax; Loans and advances; Other receivables; Short term deposits and prepayments</t>
  </si>
  <si>
    <t>IES   
SHARE CAPITAL AND RESERVES   
Authorised share capital 5  15,000,000   15,000,000 
Issued, subscribed and paid-up share capital 5  10,983,462   10,983,462 
Capital reserves 6  6,588,813   6,588,813 
Accumulated profits   16,880,291   10,133,226 
Surplus on revaluation of fixed assets - net of tax 7  3,089,975   3,615,33</t>
  </si>
  <si>
    <t>IES   
SHARE CAPITAL AND RESERVES   
Authorized share capital 5  15,000,000   15,000,000 
Issued, subscribed and paid-up share capital 5  10,983,462   10,983,462 
Capital reserves 6  6,092,384   6,588,813 
Accumulated profits   21,023,202   16,880,291 
Surplus on revaluation of fixed assets - net of tax 7  2,459,967   3,089,97</t>
  </si>
  <si>
    <t>AND LIABILITIES
SHARE CAPITAL AND RESERVES
Authorised share capital 5 15,000,000 15,000,000
Issued, subscribed and paid-up share capital 5 10,733,462 10,983,462
Capital reserves 6 6,363,952 6,092,384 
Accumulated profits  25,946,716 21,023,202
Surplus on revaluation of fixed assets - net of tax 7 1,868,984 2,459,967
  44,913,114 40,559,01</t>
  </si>
  <si>
    <t>15,000,000 15,000,000
Issued, subscribed and paid-up share capital
1,047,562,608 (2023: 1,073,346,232)
ordinary shares of Rs. 10 each 5 10,475,626 10,733,462
Capital reserves 6 33,197,422 6,363,952
Revenue reserve: Un-appropriated profits  4,927,636 25,946,716
Surplus on revaluation of fixed assets 7 4,015,224 1,868,984
Total equity  5</t>
  </si>
  <si>
    <t>0 
   15,000,000   15,000,000 
Issued, subscribed and paid-up share capital
1,047,562,608 (2024: 1,047,562,608) 
    ordinary shares of Rs 10 each 5  10,475,626   10,475,626 
Capital reserves 6  34,998,282   33,197,422 
Revenue reserve: Un-appropriated profits   22,390,719   4,927,636 
Surplus on revaluation of fixed assets 7  3,596,965</t>
  </si>
  <si>
    <t>160
UNCONSOLIDA TED STA TEMENT OF 
FINANCIAL POSITION 
AS AT JUNE 30, 2021
   2021 2020
  Note (Rupees in thousand) 
EQUITY AND LIABILITIES   
SHARE CAPITAL AND RESERVES   | Components: Accumulated profits; Capital reserves; Surplus on revaluation of fixed assets -</t>
  </si>
  <si>
    <t>182
UNCONSOLIDA TED STA TEMENT OF 
FINANCIAL POSITION 
AS AT JUNE 30, 2022
   2022 2021
  Note (Rupees in thousand) 
EQUITY AND LIABILITIES   
SHARE CAPITAL AND RESERVES   | Components: Accumulated profits; Capital reserves; Surplus on revaluation of fixed assets -</t>
  </si>
  <si>
    <t>192 193
UNCONSOLIDA TED STA TEMENT OF 
FINANCIAL POSITION 
AS AT JUNE 30, 2023
   2023 2022
  Note (Rupees in thousand) 
EQUITY AND LIABILITIES
SHARE CAPITAL AND RESERVES
Authoris | Components: Accumulated profits; Capital reserves; Surplus on revaluation of fixed assets -</t>
  </si>
  <si>
    <t>188
UNCONSOLIDA TED STA TEMENT OF 
FINANCIAL POSITION 
AS AT JUNE 30, 2024
   2024 2023
  Note (Rupees in thousand) 
EQUITY AND LIABILITIES
SHARE CAPITAL AND RESERVES
Authorised s | Components: Capital reserves; Revenue reserve: Un-appropriated profits; Surplus on revaluation of fixed assets</t>
  </si>
  <si>
    <t>200
UNCONSOLIDA TED STA TEMENT OF 
FINANCIAL POSITION 
AS AT JUNE 30, 2025
   2025 2024
  Note (Rupees in thousand) 
EQUITY AND LIABILITIES
SHARE CAPITAL AND RESERVES
Authorised s | Components: Capital reserves; Revenue reserve: Un-appropriated profits; Surplus on revaluation of fixed assets</t>
  </si>
  <si>
    <t>160
UNCONSOLIDA TED STA TEMENT OF 
FINANCIAL POSITION 
AS AT JUNE 30, 2021
   2021 2020
  Note (Rupees in thousand) 
EQUITY AND LIABILITIES   
SHARE CAPITAL AND RESERVES   | Components: Long term loan from Subsidiary Company; Long term loans from financial instituti</t>
  </si>
  <si>
    <t>182
UNCONSOLIDA TED STA TEMENT OF 
FINANCIAL POSITION 
AS AT JUNE 30, 2022
   2022 2021
  Note (Rupees in thousand) 
EQUITY AND LIABILITIES   
SHARE CAPITAL AND RESERVES   | Components: Long term loan from subsidiary company; Long term loans from financial instituti</t>
  </si>
  <si>
    <t>192 193
UNCONSOLIDA TED STA TEMENT OF 
FINANCIAL POSITION 
AS AT JUNE 30, 2023
   2023 2022
  Note (Rupees in thousand) 
EQUITY AND LIABILITIES
SHARE CAPITAL AND RESERVES
Authoris | Components: Long term loan from subsidiary company; Long term loans from financial instituti</t>
  </si>
  <si>
    <t>188
UNCONSOLIDA TED STA TEMENT OF 
FINANCIAL POSITION 
AS AT JUNE 30, 2024
   2024 2023
  Note (Rupees in thousand) 
EQUITY AND LIABILITIES
SHARE CAPITAL AND RESERVES
Authorised s | Components: Long term loan from subsidiary company -; Long term loans from financial instituti</t>
  </si>
  <si>
    <t>200
UNCONSOLIDA TED STA TEMENT OF 
FINANCIAL POSITION 
AS AT JUNE 30, 2025
   2025 2024
  Note (Rupees in thousand) 
EQUITY AND LIABILITIES
SHARE CAPITAL AND RESERVES
Authorised s | Components: Long term loan from subsidiary company -; Long term loans from financial instituti</t>
  </si>
  <si>
    <t>7  3,596,965   4,015,224 
Total equity   71,461,592   52,615,908 
NON - CURRENT LIABILITIES
Long term loans from financial institutions - secured 8  9,781,639   9,785,786 
Deferred government grant 9  322,304   450,487 
Long term loan from subsidiary company - unsecured 10  -     4,500,000 
Lease liabilities 11  28,495   34,670 
Long te</t>
  </si>
  <si>
    <t>160
UNCONSOLIDA TED STA TEMENT OF 
FINANCIAL POSITION 
AS AT JUNE 30, 2021
   2021 2020
  Note (Rupees in thousand) 
EQUITY AND LIABILITIES   
   | Lease liabilities (non-current)</t>
  </si>
  <si>
    <t>182
UNCONSOLIDA TED STA TEMENT OF 
FINANCIAL POSITION 
AS AT JUNE 30, 2022
   2022 2021
  Note (Rupees in thousand) 
EQUITY AND LIABILITIES   
   | Long term liability against right of use</t>
  </si>
  <si>
    <t>ferred grant 9 605,926 786,758
Long term loan from subsidiary company 10 2,000,000 2,000,000
Long term liability against right of use asset 11 31,408 27,136
Long term deposits 12 8,214 8,214
Deferred taxation 13 8,669,211 5,656,499
Retention money 14 1,752,988 -
Retirement benefits 15 278,492 235,329
  28,579,576 25,461,804
CURRENT LI</t>
  </si>
  <si>
    <t>337
Deferred government grant 9 450,487 605,926
Long term loan from subsidiary company - unsecured 10 4,500,000 2,000,000
Lease liabilities 11 34,670 31,408
Long term deposits 12 8,214 8,214
Deferred taxation 13 13,044,290 8,669,211
Retention money 14 - 1,752,988
Employee benefits obligations 15 328,527 278,492
  28,151,974 28,579,576</t>
  </si>
  <si>
    <t>eferred government grant 9  322,304   450,487 
Long term loan from subsidiary company - unsecured 10  -     4,500,000 
Lease liabilities 11  28,495   34,670 
Long term deposits 12  8,214   8,214 
Deferred income tax liability 13  13,822,898   13,044,290 
Employee benefits obligations 14  350,638   328,527 
   24,314,188   28,151,974</t>
  </si>
  <si>
    <t>85,786 
Deferred government grant 9  322,304   450,487 
Long term loan from subsidiary company - unsecured 10  -     4,500,000 
Lease liabilities 11  28,495   34,670 
Long term deposits 12  8,214   8,214 
Deferred income tax liability 13  13,822,898   13,044,290 
Employee benefits obligations 14  350,638   328,527 
   24,314,188   28,</t>
  </si>
  <si>
    <t>160
UNCONSOLIDA TED STA TEMENT OF 
FINANCIAL POSITION 
AS AT JUNE 30, 2021
   2021 2020
  Note (Rupees in thousand) 
EQUITY AND LIABILITIES   
   | Deferred grant</t>
  </si>
  <si>
    <t>2,541 
NON - CURRENT LIABILITIES   
Long term loans from financial institutions - secured 8  16,747,868   11,636,749 
Deferred grant 9  786,758   49,569 
Long term loan from subsidiary company 10  2,000,000   1,000,000 
Long term liability against right of use asset 11  27,136   -   
Deferred taxation 12  5,656,499   3,889,907 
Re</t>
  </si>
  <si>
    <t>4,913,114 40,559,015
NON - CURRENT LIABILITIES
Long term loans from financial institutions - secured 8 15,233,337 16,747,868
Deferred grant 9 605,926 786,758
Long term loan from subsidiary company 10 2,000,000 2,000,000
Long term liability against right of use asset 11 31,408 27,136
Long term deposits 12 8,214 8,214
Deferred taxation 1</t>
  </si>
  <si>
    <t>8 44,913,114
NON-CURRENT LIABILITIES
Long term loans from financial institutions - secured 8 9,785,786 15,233,337
Deferred government grant 9 450,487 605,926
Long term loan from subsidiary company - unsecured 10 4,500,000 2,000,000
Lease liabilities 11 34,670 31,408
Long term deposits 12 8,214 8,214
Deferred taxation 13 13,044,290 8,66</t>
  </si>
  <si>
    <t>908 
NON - CURRENT LIABILITIES
Long term loans from financial institutions - secured 8  9,781,639   9,785,786 
Deferred government grant 9  322,304   450,487 
Long term loan from subsidiary company - unsecured 10  -     4,500,000 
Lease liabilities 11  28,495   34,670 
Long term deposits 12  8,214   8,214 
Deferred income tax liability</t>
  </si>
  <si>
    <t>52,615,908 
NON - CURRENT LIABILITIES
Long term loans from financial institutions - secured 8  9,781,639   9,785,786 
Deferred government grant 9  322,304   450,487 
Long term loan from subsidiary company - unsecured 10  -     4,500,000 
Lease liabilities 11  28,495   34,670 
Long term deposits 12  8,214   8,214 
Deferred income tax</t>
  </si>
  <si>
    <t>569   -   
Long term loan from Subsidiary Company 10  1,000,000   3,000,000 
Long term deposits  11  8,214   8,664 
Deferred taxation 12  3,889,907   3,379,440 
Retention money payable 13  391,694   366,069 
Payable to government authority 14  42,890   232,938 
Retirement benefits 15  228,266   214,952 
    17,247,289   19,375,165 
C</t>
  </si>
  <si>
    <t>from subsidiary company 10  2,000,000   1,000,000 
Long term liability against right of use asset 11  27,136   -   
Deferred taxation 12  5,656,499   3,889,907 
Retention money payable 13  -     391,694 
Payable to government authority 14  -     42,890 
Retirement benefits 15  235,329   228,266 
Long term deposits   8,214   8,214</t>
  </si>
  <si>
    <t>2,000,000 2,000,000
Long term liability against right of use asset 11 31,408 27,136
Long term deposits 12 8,214 8,214
Deferred taxation 13 8,669,211 5,656,499
Retention money 14 1,752,988 -
Retirement benefits 15 278,492 235,329
  28,579,576 25,461,804
CURRENT LIABILITIES
Current portion of:
 - Long term loans from financial institution</t>
  </si>
  <si>
    <t>diary company - unsecured 10 4,500,000 2,000,000
Lease liabilities 11 34,670 31,408
Long term deposits 12 8,214 8,214
Deferred taxation 13 13,044,290 8,669,211
Retention money 14 - 1,752,988
Employee benefits obligations 15 328,527 278,492
  28,151,974 28,579,576
CURRENT LIABILITIES
Current portion of:
 - Long term loans from financial i</t>
  </si>
  <si>
    <t>ured 10  -     4,500,000 
Lease liabilities 11  28,495   34,670 
Long term deposits 12  8,214   8,214 
Deferred income tax liability 13  13,822,898   13,044,290 
Employee benefits obligations 14  350,638   328,527 
   24,314,188   28,151,974 
CURRENT LIABILITIES
Current portion of:
 - Long term loans from financial institutions - secured</t>
  </si>
  <si>
    <t>mpany - unsecured 10  -     4,500,000 
Lease liabilities 11  28,495   34,670 
Long term deposits 12  8,214   8,214 
Deferred income tax liability 13  13,822,898   13,044,290 
Employee benefits obligations 14  350,638   328,527 
   24,314,188   28,151,974 
CURRENT LIABILITIES
Current portion of:
 - Long term loans from financial institutio</t>
  </si>
  <si>
    <t>160
UNCONSOLIDA TED STA TEMENT OF 
FINANCIAL POSITION 
AS AT JUNE 30, 2021
   2021 2020
  Note (Rupees in thousand) 
EQUITY AND LIABILITIES   
SHARE CAPITAL AND RESERVES   | Components: Long term deposits; Payable to government authority; Retention money payable; Retirement benefits</t>
  </si>
  <si>
    <t>182
UNCONSOLIDA TED STA TEMENT OF 
FINANCIAL POSITION 
AS AT JUNE 30, 2022
   2022 2021
  Note (Rupees in thousand) 
EQUITY AND LIABILITIES   
SHARE CAPITAL AND RESERVES   | Components: Long term deposits; Payable to government authority; Retention money payable; Retirement benefits</t>
  </si>
  <si>
    <t>192 193
UNCONSOLIDA TED STA TEMENT OF 
FINANCIAL POSITION 
AS AT JUNE 30, 2023
   2023 2022
  Note (Rupees in thousand) 
EQUITY AND LIABILITIES
SHARE CAPITAL AND RESERVES
Authoris | Components: Long term deposits; Retention money; Retirement benefits</t>
  </si>
  <si>
    <t>188
UNCONSOLIDA TED STA TEMENT OF 
FINANCIAL POSITION 
AS AT JUNE 30, 2024
   2024 2023
  Note (Rupees in thousand) 
EQUITY AND LIABILITIES
SHARE CAPITAL AND RESERVES
Authorised s | Components: Employee benefits obligations; Long term deposits; Retention money</t>
  </si>
  <si>
    <t>200
UNCONSOLIDA TED STA TEMENT OF 
FINANCIAL POSITION 
AS AT JUNE 30, 2025
   2025 2024
  Note (Rupees in thousand) 
EQUITY AND LIABILITIES
SHARE CAPITAL AND RESERVES
Authorised s | Components: Employee benefits obligations; Long term deposits</t>
  </si>
  <si>
    <t>rm loans from financial institutions - secured 8  1,704,612   125,000 
    - Deferred grant 9  49,997   -   
Trade and other payables 16  7,511,637   7,951,221 
Unclaimed dividend   28,134   48,053 
Mark-up accrued on borrowings 17  260,953   547,189 
Short term borrowings 18  1,894,115   6,642,312 
    11,449,448   15,313,775 
C</t>
  </si>
  <si>
    <t>04,612 
   - Deferred grant 9  184,576   49,997 
   - Liability against right of use assets 11  6,837   -   
Trade and other payables 16  9,117,414   7,511,637 
Unclaimed dividend   27,569   28,134 
Mark-up accrued on borrowings 17  665,122   260,953 
Short term borrowings 18  3,572,073   1,894,115 
       16,193,391   11,449,448</t>
  </si>
  <si>
    <t>99,401 2,619,800
 - Deferred grant 9 179,766 184,576
 - Liability against right of use assets 11  10,257 6,837
Trade and other payables 16 12,518,180 9,117,414
Unclaimed dividend  27,378 27,569
Mark-up accrued on borrowings 17 880,039 665,122
Short term borrowings 18 - 3,572,073
  16,215,021 16,193,391
CONTINGENCIES AND COMMITMENTS 19</t>
  </si>
  <si>
    <t>red 8 3,407,702 2,599,401
 - Deferred government grant 9 155,439 179,766
 - Lease liabilities 11 13,909 10,257
Trade and other payables 16 12,482,233 12,518,180
Unclaimed dividend  27,256 27,378
Mark-up accrued on borrowings 17 865,945 880,039
Short term borrowings from financial institutions - secured 18 1,645,316 -
  18,597,800 16,215,0</t>
  </si>
  <si>
    <t>407,702 
    - Deferred government grant 9  128,183   155,439 
    - Lease liabilities 11  14,323   13,909 
Trade and other payables 15  17,926,267   12,482,233 
Unclaimed dividend   26,877   27,256 
Provision for income tax 32  158,794   -   
Mark-up accrued on borrowings 16  320,434   865,945 
Short term borrowings from financial instit</t>
  </si>
  <si>
    <t>,933,328   3,407,702 
    - Deferred government grant 9  128,183   155,439 
    - Lease liabilities 11  14,323   13,909 
Trade and other payables 15  17,926,267   12,482,233 
Unclaimed dividend   26,877   27,256 
Provision for income tax 32  158,794   -   
Mark-up accrued on borrowings 16  320,434   865,945 
Short term borrowings from fin</t>
  </si>
  <si>
    <t>Trade creditors + import bills + separately presented payable to power subsidiary. Related finance loan and holding-company balances excluded.</t>
  </si>
  <si>
    <t>Trade creditors   2,828,344   3,233,086 | Bills payable - secured   750,813   653,598 | Due to Subsidiary company   61,224   287,259 | Related operating supplier added: 287,259 thousand</t>
  </si>
  <si>
    <t>Trade creditors   3,651,546   2,764,595 | Bills payable - secured   324,166   750,813 | Due to Subsidiary company   132,595   61,224 | Related operating supplier added: 61,224 thousand</t>
  </si>
  <si>
    <t>Trade creditors  3,390,287 3,651,546 | Bills payable - secured  1,414,069 324,166 | Due to Subsidiary company  1,871,865 132,595 | Related operating supplier added: 132,595 thousand</t>
  </si>
  <si>
    <t>Trade creditors  4,116,388 3,390,287 | Bills payable - secured  458,792 1,414,069 | Related operating supplier added: 1,871,865 thousand</t>
  </si>
  <si>
    <t>Trade creditors   4,103,573   4,116,388 | Bills payable - secured   1,766,229   458,792 | Due to Maple Leaf Power Limited (‘MLPL’)   1,452,981   821,425 | Related operating supplier added: 821,425 thousand</t>
  </si>
  <si>
    <t>Trade creditors   4,103,573   4,116,388 | Bills payable - secured   1,766,229   458,792 | Due to Maple Leaf Power Limited (‘MLPL’)   1,452,981   821,425 | Related operating supplier added: 1,452,981 thousand</t>
  </si>
  <si>
    <t>160
UNCONSOLIDA TED STA TEMENT OF 
FINANCIAL POSITION 
AS AT JUNE 30, 2021
   2021 2020
  Note (Rupees in thousand) 
EQUITY AND LIABILITIES   
   | Contract liabilities / advances from customers</t>
  </si>
  <si>
    <t>182
UNCONSOLIDA TED STA TEMENT OF 
FINANCIAL POSITION 
AS AT JUNE 30, 2022
   2022 2021
  Note (Rupees in thousand) 
EQUITY AND LIABILITIES   
   | Contract liabilities / advances from customers</t>
  </si>
  <si>
    <t>192 193
UNCONSOLIDA TED STA TEMENT OF 
FINANCIAL POSITION 
AS AT JUNE 30, 2023
   2023 2022
  Note (Rupees in thousand) 
EQUITY AND LIABILITIES
SHARE | Contract liabilities / advances from customers</t>
  </si>
  <si>
    <t>188
UNCONSOLIDA TED STA TEMENT OF 
FINANCIAL POSITION 
AS AT JUNE 30, 2024
   2024 2023
  Note (Rupees in thousand) 
EQUITY AND LIABILITIES
SHARE CAP | Contract liabilities / advances from customers</t>
  </si>
  <si>
    <t>200
UNCONSOLIDA TED STA TEMENT OF 
FINANCIAL POSITION 
AS AT JUNE 30, 2025
   2025 2024
  Note (Rupees in thousand) 
EQUITY AND LIABILITIES
SHARE CAP | Contract liabilities / advances from customers</t>
  </si>
  <si>
    <t>49,997   -   
Trade and other payables 16  7,511,637   7,951,221 
Unclaimed dividend   28,134   48,053 
Mark-up accrued on borrowings 17  260,953   547,189 
Short term borrowings 18  1,894,115   6,642,312 
    11,449,448   15,313,775 
CONTINGENCIES AND COMMITMENTS 19  
    66,239,278   66,009,771 
The annexed notes fr</t>
  </si>
  <si>
    <t>1  6,837   -   
Trade and other payables 16  9,117,414   7,511,637 
Unclaimed dividend   27,569   28,134 
Mark-up accrued on borrowings 17  665,122   260,953 
Short term borrowings 18  3,572,073   1,894,115 
       16,193,391   11,449,448    
CONTINGENCIES AND COMMITMENTS 19 
   82,214,210   66,239,278 
The annexed notes fr</t>
  </si>
  <si>
    <t>e assets 11  10,257 6,837
Trade and other payables 16 12,518,180 9,117,414
Unclaimed dividend  27,378 27,569
Mark-up accrued on borrowings 17 880,039 665,122
Short term borrowings 18 - 3,572,073
  16,215,021 16,193,391
CONTINGENCIES AND COMMITMENTS 19
  89,707,711 82,214,210
The annexed notes from 1 to 57 form an integral part of the</t>
  </si>
  <si>
    <t>ilities 11 13,909 10,257
Trade and other payables 16 12,482,233 12,518,180
Unclaimed dividend  27,256 27,378
Mark-up accrued on borrowings 17 865,945 880,039
Short term borrowings from financial institutions - secured 18 1,645,316 -
  18,597,800 16,215,021
CONTINGENCIES AND COMMITMENTS 19
  99,365,682 89,707,711
The annexed notes from</t>
  </si>
  <si>
    <t>7,926,267   12,482,233 
Unclaimed dividend   26,877   27,256 
Provision for income tax 32  158,794   -   
Mark-up accrued on borrowings 16  320,434   865,945 
Short term borrowings from financial institutions - secured  17  822,285   1,645,316 
   23,330,491   18,597,800 
CONTINGENCIES AND COMMITMENTS 18
   119,106,271   99,365,682 
Th</t>
  </si>
  <si>
    <t>bles 15  17,926,267   12,482,233 
Unclaimed dividend   26,877   27,256 
Provision for income tax 32  158,794   -   
Mark-up accrued on borrowings 16  320,434   865,945 
Short term borrowings from financial institutions - secured  17  822,285   1,645,316 
   23,330,491   18,597,800 
CONTINGENCIES AND COMMITMENTS 18
   119,106,271   99,3</t>
  </si>
  <si>
    <t>511,637   7,951,221 
Unclaimed dividend   28,134   48,053 
Mark-up accrued on borrowings 17  260,953   547,189 
Short term borrowings 18  1,894,115   6,642,312 
    11,449,448   15,313,775 
CONTINGENCIES AND COMMITMENTS 19  
    66,239,278   66,009,771 
The annexed notes from 1 to 56 form an integral part of these unconso</t>
  </si>
  <si>
    <t>117,414   7,511,637 
Unclaimed dividend   27,569   28,134 
Mark-up accrued on borrowings 17  665,122   260,953 
Short term borrowings 18  3,572,073   1,894,115 
       16,193,391   11,449,448    
CONTINGENCIES AND COMMITMENTS 19 
   82,214,210   66,239,278 
The annexed notes from 1 to 56 form an integral part of these unconso</t>
  </si>
  <si>
    <t>other payables 16 12,518,180 9,117,414
Unclaimed dividend  27,378 27,569
Mark-up accrued on borrowings 17 880,039 665,122
Short term borrowings 18 - 3,572,073
  16,215,021 16,193,391
CONTINGENCIES AND COMMITMENTS 19
  89,707,711 82,214,210
The annexed notes from 1 to 57 form an integral part of these unconsolidated financial statement</t>
  </si>
  <si>
    <t>188
UNCONSOLIDA TED STA TEMENT OF 
FINANCIAL POSITION 
AS AT JUNE 30, 2024
   2024 2023
  Note (Rupees in thousand) 
EQUITY AND LIABILITIES
SHARE CAP | Short term borrowings from financial ins</t>
  </si>
  <si>
    <t>ax 32  158,794   -   
Mark-up accrued on borrowings 16  320,434   865,945 
Short term borrowings from financial institutions - secured  17  822,285   1,645,316 
   23,330,491   18,597,800 
CONTINGENCIES AND COMMITMENTS 18
   119,106,271   99,365,682 
The annexed notes from 1 to 59 form an integral part of these unconsolidated financial s</t>
  </si>
  <si>
    <t>r income tax 32  158,794   -   
Mark-up accrued on borrowings 16  320,434   865,945 
Short term borrowings from financial institutions - secured  17  822,285   1,645,316 
   23,330,491   18,597,800 
CONTINGENCIES AND COMMITMENTS 18
   119,106,271   99,365,682 
The annexed notes from 1 to 59 form an integral part of these unconsolidated</t>
  </si>
  <si>
    <t>7,247,289   19,375,165 
CURRENT LIABILITIES   
Current portion of:    
    - Long term loans from financial institutions - secured 8  1,704,612   125,000 
    - Deferred grant 9  49,997   -   
Trade and other payables 16  7,511,637   7,951,221 
Unclaimed dividend   28,134   48,053 
Mark-up accrued on borrowings 17  260,953   547,18</t>
  </si>
  <si>
    <t>25,461,804   17,247,289 
CURRENT LIABILITIES   
Current portion of:    
   - Long term loans from financial institutions - secured 8  2,619,800   1,704,612 
   - Deferred grant 9  184,576   49,997 
   - Liability against right of use assets 11  6,837   -   
Trade and other payables 16  9,117,414   7,511,637 
Unclaimed dividend   27,5</t>
  </si>
  <si>
    <t>278,492 235,329
  28,579,576 25,461,804
CURRENT LIABILITIES
Current portion of:
 - Long term loans from financial institutions - secured 8 2,599,401 2,619,800
 - Deferred grant 9 179,766 184,576
 - Liability against right of use assets 11  10,257 6,837
Trade and other payables 16 12,518,180 9,117,414
Unclaimed dividend  27,378 27,569
Ma</t>
  </si>
  <si>
    <t>328,527 278,492
  28,151,974 28,579,576
CURRENT LIABILITIES
Current portion of:
 - Long term loans from financial institutions - secured 8 3,407,702 2,599,401
 - Deferred government grant 9 155,439 179,766
 - Lease liabilities 11 13,909 10,257
Trade and other payables 16 12,482,233 12,518,180
Unclaimed dividend  27,256 27,378
Mark-up ac</t>
  </si>
  <si>
    <t>328,527 
   24,314,188   28,151,974 
CURRENT LIABILITIES
Current portion of:
 - Long term loans from financial institutions - secured 8  3,933,328   3,407,702 
    - Deferred government grant 9  128,183   155,439 
    - Lease liabilities 11  14,323   13,909 
Trade and other payables 15  17,926,267   12,482,233 
Unclaimed dividend   26,8</t>
  </si>
  <si>
    <t>4  350,638   328,527 
   24,314,188   28,151,974 
CURRENT LIABILITIES
Current portion of:
 - Long term loans from financial institutions - secured 8  3,933,328   3,407,702 
    - Deferred government grant 9  128,183   155,439 
    - Lease liabilities 11  14,323   13,909 
Trade and other payables 15  17,926,267   12,482,233 
Unclaimed div</t>
  </si>
  <si>
    <t>160
UNCONSOLIDA TED STA TEMENT OF 
FINANCIAL POSITION 
AS AT JUNE 30, 2021
   2021 2020
  Note (Rupees in thousand) 
EQUITY AND LIABILITIES   
   | Current portion of lease liabilities</t>
  </si>
  <si>
    <t>182
UNCONSOLIDA TED STA TEMENT OF 
FINANCIAL POSITION 
AS AT JUNE 30, 2022
   2022 2021
  Note (Rupees in thousand) 
EQUITY AND LIABILITIES   
   | - Liability against right of use assets</t>
  </si>
  <si>
    <t>s from financial institutions - secured 8 2,599,401 2,619,800
 - Deferred grant 9 179,766 184,576
 - Liability against right of use assets 11  10,257 6,837
Trade and other payables 16 12,518,180 9,117,414
Unclaimed dividend  27,378 27,569
Mark-up accrued on borrowings 17 880,039 665,122
Short term borrowings 18 - 3,572,073
  16,215</t>
  </si>
  <si>
    <t>term loans from financial institutions - secured 8 3,407,702 2,599,401
 - Deferred government grant 9 155,439 179,766
 - Lease liabilities 11 13,909 10,257
Trade and other payables 16 12,482,233 12,518,180
Unclaimed dividend  27,256 27,378
Mark-up accrued on borrowings 17 865,945 880,039
Short term borrowings from financial instituti</t>
  </si>
  <si>
    <t>financial institutions - secured 8  3,933,328   3,407,702 
    - Deferred government grant 9  128,183   155,439 
    - Lease liabilities 11  14,323   13,909 
Trade and other payables 15  17,926,267   12,482,233 
Unclaimed dividend   26,877   27,256 
Provision for income tax 32  158,794   -   
Mark-up accrued on borrowings 16  320,434</t>
  </si>
  <si>
    <t>ans from financial institutions - secured 8  3,933,328   3,407,702 
    - Deferred government grant 9  128,183   155,439 
    - Lease liabilities 11  14,323   13,909 
Trade and other payables 15  17,926,267   12,482,233 
Unclaimed dividend   26,877   27,256 
Provision for income tax 32  158,794   -   
Mark-up accrued on borrowings 16</t>
  </si>
  <si>
    <t>160
UNCONSOLIDA TED STA TEMENT OF 
FINANCIAL POSITION 
AS AT JUNE 30, 2021
   2021 2020
  Note (Rupees in thousand) 
EQUITY AND LIABILITIES   
   | - Deferred grant</t>
  </si>
  <si>
    <t>Current portion of:    
   - Long term loans from financial institutions - secured 8  2,619,800   1,704,612 
   - Deferred grant 9  184,576   49,997 
   - Liability against right of use assets 11  6,837   -   
Trade and other payables 16  9,117,414   7,511,637 
Unclaimed dividend   27,569   28,134 
Mark-up accrued on borrowing</t>
  </si>
  <si>
    <t>04
CURRENT LIABILITIES
Current portion of:
 - Long term loans from financial institutions - secured 8 2,599,401 2,619,800
 - Deferred grant 9 179,766 184,576
 - Liability against right of use assets 11  10,257 6,837
Trade and other payables 16 12,518,180 9,117,414
Unclaimed dividend  27,378 27,569
Mark-up accrued on borrowings 17 880,0</t>
  </si>
  <si>
    <t>LIABILITIES
Current portion of:
 - Long term loans from financial institutions - secured 8 3,407,702 2,599,401
 - Deferred government grant 9 155,439 179,766
 - Lease liabilities 11 13,909 10,257
Trade and other payables 16 12,482,233 12,518,180
Unclaimed dividend  27,256 27,378
Mark-up accrued on borrowings 17 865,945 880,039
Short te</t>
  </si>
  <si>
    <t>S
Current portion of:
 - Long term loans from financial institutions - secured 8  3,933,328   3,407,702 
    - Deferred government grant 9  128,183   155,439 
    - Lease liabilities 11  14,323   13,909 
Trade and other payables 15  17,926,267   12,482,233 
Unclaimed dividend   26,877   27,256 
Provision for income tax 32  158,794   -</t>
  </si>
  <si>
    <t>LIABILITIES
Current portion of:
 - Long term loans from financial institutions - secured 8  3,933,328   3,407,702 
    - Deferred government grant 9  128,183   155,439 
    - Lease liabilities 11  14,323   13,909 
Trade and other payables 15  17,926,267   12,482,233 
Unclaimed dividend   26,877   27,256 
Provision for income tax 32  15</t>
  </si>
  <si>
    <t>cured 8  1,704,612   125,000 
    - Deferred grant 9  49,997   -   
Trade and other payables 16  7,511,637   7,951,221 
Unclaimed dividend   28,134   48,053 
Mark-up accrued on borrowings 17  260,953   547,189 
Short term borrowings 18  1,894,115   6,642,312 
    11,449,448   15,313,775 
CONTINGENCIES AND COMMITMENTS 19</t>
  </si>
  <si>
    <t>49,997 
   - Liability against right of use assets 11  6,837   -   
Trade and other payables 16  9,117,414   7,511,637 
Unclaimed dividend   27,569   28,134 
Mark-up accrued on borrowings 17  665,122   260,953 
Short term borrowings 18  3,572,073   1,894,115 
       16,193,391   11,449,448    
CONTINGENCIES AND COMMITMENTS 19</t>
  </si>
  <si>
    <t>179,766 184,576
 - Liability against right of use assets 11  10,257 6,837
Trade and other payables 16 12,518,180 9,117,414
Unclaimed dividend  27,378 27,569
Mark-up accrued on borrowings 17 880,039 665,122
Short term borrowings 18 - 3,572,073
  16,215,021 16,193,391
CONTINGENCIES AND COMMITMENTS 19
  89,707,711 82,214,210
The annexe</t>
  </si>
  <si>
    <t>government grant 9 155,439 179,766
 - Lease liabilities 11 13,909 10,257
Trade and other payables 16 12,482,233 12,518,180
Unclaimed dividend  27,256 27,378
Mark-up accrued on borrowings 17 865,945 880,039
Short term borrowings from financial institutions - secured 18 1,645,316 -
  18,597,800 16,215,021
CONTINGENCIES AND COMMITMENTS 1</t>
  </si>
  <si>
    <t>128,183   155,439 
    - Lease liabilities 11  14,323   13,909 
Trade and other payables 15  17,926,267   12,482,233 
Unclaimed dividend   26,877   27,256 
Provision for income tax 32  158,794   -   
Mark-up accrued on borrowings 16  320,434   865,945 
Short term borrowings from financial institutions - secured  17  822,285   1,645,</t>
  </si>
  <si>
    <t>t grant 9  128,183   155,439 
    - Lease liabilities 11  14,323   13,909 
Trade and other payables 15  17,926,267   12,482,233 
Unclaimed dividend   26,877   27,256 
Provision for income tax 32  158,794   -   
Mark-up accrued on borrowings 16  320,434   865,945 
Short term borrowings from financial institutions - secured  17  822,285</t>
  </si>
  <si>
    <t>160
UNCONSOLIDA TED STA TEMENT OF 
FINANCIAL POSITION 
AS AT JUNE 30, 2021
   2021 2020
  Note (Rupees in thousand) 
EQUITY AND LIABILITIES   
   | Taxation payable (net)</t>
  </si>
  <si>
    <t>182
UNCONSOLIDA TED STA TEMENT OF 
FINANCIAL POSITION 
AS AT JUNE 30, 2022
   2022 2021
  Note (Rupees in thousand) 
EQUITY AND LIABILITIES   
   | Taxation payable (net)</t>
  </si>
  <si>
    <t>192 193
UNCONSOLIDA TED STA TEMENT OF 
FINANCIAL POSITION 
AS AT JUNE 30, 2023
   2023 2022
  Note (Rupees in thousand) 
EQUITY AND LIABILITIES
SHARE | Taxation payable (net)</t>
  </si>
  <si>
    <t>188
UNCONSOLIDA TED STA TEMENT OF 
FINANCIAL POSITION 
AS AT JUNE 30, 2024
   2024 2023
  Note (Rupees in thousand) 
EQUITY AND LIABILITIES
SHARE CAP | Taxation payable (net)</t>
  </si>
  <si>
    <t>200
UNCONSOLIDA TED STA TEMENT OF 
FINANCIAL POSITION 
AS AT JUNE 30, 2025
   2025 2024
  Note (Rupees in thousand) 
EQUITY AND LIABILITIES
SHARE CAP | Provision for income tax</t>
  </si>
  <si>
    <t>ilities 11  14,323   13,909 
Trade and other payables 15  17,926,267   12,482,233 
Unclaimed dividend   26,877   27,256 
Provision for income tax 32  158,794   -   
Mark-up accrued on borrowings 16  320,434   865,945 
Short term borrowings from financial institutions - secured  17  822,285   1,645,316 
   23,330,491   18,597,800 
CONTI</t>
  </si>
  <si>
    <t>160
UNCONSOLIDA TED STA TEMENT OF 
FINANCIAL POSITION 
AS AT JUNE 30, 2021
   2021 2020
  Note (Rupees in thousand) 
EQUITY AND LIABILITIES   
   | Other current liabilities</t>
  </si>
  <si>
    <t>182
UNCONSOLIDA TED STA TEMENT OF 
FINANCIAL POSITION 
AS AT JUNE 30, 2022
   2022 2021
  Note (Rupees in thousand) 
EQUITY AND LIABILITIES   
   | Other current liabilities</t>
  </si>
  <si>
    <t>192 193
UNCONSOLIDA TED STA TEMENT OF 
FINANCIAL POSITION 
AS AT JUNE 30, 2023
   2023 2022
  Note (Rupees in thousand) 
EQUITY AND LIABILITIES
SHARE | Other current liabilities</t>
  </si>
  <si>
    <t>188
UNCONSOLIDA TED STA TEMENT OF 
FINANCIAL POSITION 
AS AT JUNE 30, 2024
   2024 2023
  Note (Rupees in thousand) 
EQUITY AND LIABILITIES
SHARE CAP | Other current liabilities</t>
  </si>
  <si>
    <t>200
UNCONSOLIDA TED STA TEMENT OF 
FINANCIAL POSITION 
AS AT JUNE 30, 2025
   2025 2024
  Note (Rupees in thousand) 
EQUITY AND LIABILITIES
SHARE CAP | Other current liabilities</t>
  </si>
  <si>
    <t>33  1,836,907   1,630,304 
Cash and bank balances 34  490,329   1,046,267 
    16,923,416   16,607,191 
    66,239,278   66,009,771   
CHIEF FINANCIAL OFFICER DIRECTOR
CHIEF EXECUTIVE OFFICER</t>
  </si>
  <si>
    <t>- net of provision 33  517,799   1,836,907 
Cash and bank balances 34  793,576   490,329 
   20,321,989   16,923,416 
   82,214,210   66,239,278 
CHIEF FINANCIAL OFFICER DIRECTOR
CHIEF EXECUTIVE OFFICER</t>
  </si>
  <si>
    <t>accrued on borrowings 17 880,039 665,122
Short term borrowings 18 - 3,572,073
  16,215,021 16,193,391
CONTINGENCIES AND COMMITMENTS 19
  89,707,711 82,214,210
The annexed notes from 1 to 57 form an integral part of these unconsolidated financial statements.
The Chief Executive Officer is for the time being not available in Pakistan, the</t>
  </si>
  <si>
    <t>r receivables 32 132,093 22,531
Advance income tax 33 227,415 25,302
Cash and bank balances 34 1,133,412 740,707
  26,867,837 22,239,667
  99,365,682 89,707,711
CHIEF FINANCIAL OFFICERDIRECTOR DIRECTOR</t>
  </si>
  <si>
    <t>0,152   132,093 
Advance income tax 32  -     227,415 
Cash and bank balances 33  1,615,481   1,133,412 
   35,752,604   26,867,837 
   119,106,271   99,365,682 
CHIEF FINANCIAL OFFICERDIRECTOR DIRECTOR</t>
  </si>
  <si>
    <t>eivables 31  70,152   132,093 
Advance income tax 32  -     227,415 
Cash and bank balances 33  1,615,481   1,133,412 
   35,752,604   26,867,837 
   119,106,271   99,365,682 
CHIEF FINANCIAL OFFICERDIRECTOR DIRECTOR</t>
  </si>
  <si>
    <t>13 
Accumulated profits   16,880,291   10,133,226 
Surplus on revaluation of fixed assets - net of tax 7  3,089,975   3,615,330 
    37,542,541   31,320,831 
NON - CURRENT LIABILITIES   
Long term loans from financial institutions - secured 8  11,636,749   12,173,102 
Deferred grant 9  49,569   -   
Long term loan from Subsidiary</t>
  </si>
  <si>
    <t>813 
Accumulated profits   21,023,202   16,880,291 
Surplus on revaluation of fixed assets - net of tax 7  2,459,967   3,089,975 
   40,559,015   37,542,541 
NON - CURRENT LIABILITIES   
Long term loans from financial institutions - secured 8  16,747,868   11,636,749 
Deferred grant 9  786,758   49,569 
Long term loan from subsidi</t>
  </si>
  <si>
    <t>,363,952 6,092,384 
Accumulated profits  25,946,716 21,023,202
Surplus on revaluation of fixed assets - net of tax 7 1,868,984 2,459,967
  44,913,114 40,559,015
NON - CURRENT LIABILITIES
Long term loans from financial institutions - secured 8 15,233,337 16,747,868
Deferred grant 9 605,926 786,758
Long term loan from subsidiary company 10</t>
  </si>
  <si>
    <t>Revenue reserve: Un-appropriated profits  4,927,636 25,946,716
Surplus on revaluation of fixed assets 7 4,015,224 1,868,984
Total equity  52,615,908 44,913,114
NON-CURRENT LIABILITIES
Long term loans from financial institutions - secured 8 9,785,786 15,233,337
Deferred government grant 9 450,487 605,926
Long term loan from subsidiary com</t>
  </si>
  <si>
    <t>serve: Un-appropriated profits   22,390,719   4,927,636 
Surplus on revaluation of fixed assets 7  3,596,965   4,015,224 
Total equity   71,461,592   52,615,908 
NON - CURRENT LIABILITIES
Long term loans from financial institutions - secured 8  9,781,639   9,785,786 
Deferred government grant 9  322,304   450,487 
Long term loan from subs</t>
  </si>
  <si>
    <t>2 
Revenue reserve: Un-appropriated profits   22,390,719   4,927,636 
Surplus on revaluation of fixed assets 7  3,596,965   4,015,224 
Total equity   71,461,592   52,615,908 
NON - CURRENT LIABILITIES
Long term loans from financial institutions - secured 8  9,781,639   9,785,786 
Deferred government grant 9  322,304   450,487 
Long term l</t>
  </si>
  <si>
    <t>5,835   35,256 
Advance income tax - net of provision 33  1,836,907   1,630,304 
Cash and bank balances 34  490,329   1,046,267 
    16,923,416   16,607,191 
    66,239,278   66,009,771   
CHIEF FINANCIAL OFFICER DIRECTOR
CHIEF EXECUTIVE OFFICER</t>
  </si>
  <si>
    <t>es 32  52,261   165,835 
Advance income tax - net of provision 33  517,799   1,836,907 
Cash and bank balances 34  793,576   490,329 
   20,321,989   16,923,416 
   82,214,210   66,239,278 
CHIEF FINANCIAL OFFICER DIRECTOR
CHIEF EXECUTIVE OFFICER</t>
  </si>
  <si>
    <t>075
Other receivables 32 22,531 52,261
Advance income tax - net of provision 33 25,302 517,799
Cash and bank balances 34 740,707 793,576
  22,239,667 20,321,989
  89,707,711 82,214,210
CHIEF FINANCIAL OFFICERDIRECTOR DIRECTOR</t>
  </si>
  <si>
    <t>fit 31 20,333 8,792
Other receivables 32 132,093 22,531
Advance income tax 33 227,415 25,302
Cash and bank balances 34 1,133,412 740,707
  26,867,837 22,239,667
  99,365,682 89,707,711
CHIEF FINANCIAL OFFICERDIRECTOR DIRECTOR</t>
  </si>
  <si>
    <t>,333 
Other receivables 31  70,152   132,093 
Advance income tax 32  -     227,415 
Cash and bank balances 33  1,615,481   1,133,412 
   35,752,604   26,867,837 
   119,106,271   99,365,682 
CHIEF FINANCIAL OFFICERDIRECTOR DIRECTOR</t>
  </si>
  <si>
    <t>42,880   20,333 
Other receivables 31  70,152   132,093 
Advance income tax 32  -     227,415 
Cash and bank balances 33  1,615,481   1,133,412 
   35,752,604   26,867,837 
   119,106,271   99,365,682 
CHIEF FINANCIAL OFFICERDIRECTOR DIRECTOR</t>
  </si>
  <si>
    <t>ividend   28,134   48,053 
Mark-up accrued on borrowings 17  260,953   547,189 
Short term borrowings 18  1,894,115   6,642,312 
    11,449,448   15,313,775 
CONTINGENCIES AND COMMITMENTS 19  
    66,239,278   66,009,771 
The annexed notes from 1 to 56 form an integral part of these unconsolidated financial statements.
CHI</t>
  </si>
  <si>
    <t>dend   27,569   28,134 
Mark-up accrued on borrowings 17  665,122   260,953 
Short term borrowings 18  3,572,073   1,894,115 
       16,193,391   11,449,448    
CONTINGENCIES AND COMMITMENTS 19 
   82,214,210   66,239,278 
The annexed notes from 1 to 56 form an integral part of these unconsolidated financial statements.
CHIEF</t>
  </si>
  <si>
    <t>,180 9,117,414
Unclaimed dividend  27,378 27,569
Mark-up accrued on borrowings 17 880,039 665,122
Short term borrowings 18 - 3,572,073
  16,215,021 16,193,391
CONTINGENCIES AND COMMITMENTS 19
  89,707,711 82,214,210
The annexed notes from 1 to 57 form an integral part of these unconsolidated financial statements.
The Chief Executive Off</t>
  </si>
  <si>
    <t>7,256 27,378
Mark-up accrued on borrowings 17 865,945 880,039
Short term borrowings from financial institutions - secured 18 1,645,316 -
  18,597,800 16,215,021
CONTINGENCIES AND COMMITMENTS 19
  99,365,682 89,707,711
The annexed notes from 1 to 59 form an integral part of these unconsolidated financial statements.
CHIEF FINANCIAL OFFIC</t>
  </si>
  <si>
    <t>up accrued on borrowings 16  320,434   865,945 
Short term borrowings from financial institutions - secured  17  822,285   1,645,316 
   23,330,491   18,597,800 
CONTINGENCIES AND COMMITMENTS 18
   119,106,271   99,365,682 
The annexed notes from 1 to 59 form an integral part of these unconsolidated financial statements.
CHIEF FINANCIAL</t>
  </si>
  <si>
    <t>-   
Mark-up accrued on borrowings 16  320,434   865,945 
Short term borrowings from financial institutions - secured  17  822,285   1,645,316 
   23,330,491   18,597,800 
CONTINGENCIES AND COMMITMENTS 18
   119,106,271   99,365,682 
The annexed notes from 1 to 59 form an integral part of these unconsolidated financial statements.
CH</t>
  </si>
  <si>
    <t>184
   2022 2021
  Note (Rupees in thousand) 
Sales - net 35  48,519,622   35,538,301 
Cost of sales 36  (36,244,156)  (28,135,419)
Gross profit   12,275,466   7,402,882 
Distribution cost  37  (1,483,876)  (1,013,852)
Administrative expenses 38  (971,453)</t>
  </si>
  <si>
    <t>UNCONSOLIDA TED STA TEMENT OF 
PROFIT OR LOSS  
FOR THE YEAR ENDED JUNE 30, 2023
   2023 2022
  Note (Rupees in thousand) 
Sales - net 35 62,075,259 48,519,622
Cost of sales 36 (45,651,503) (36,244,156)
Gross profit  16,423,756 12,275,466
Distribution cost 37 (2,001,499) (1,483,876)
Administrative expenses 38 (1,380,607) (971,453)
Net im</t>
  </si>
  <si>
    <t>190
UNCONSOLIDA TED STA TEMENT OF 
PROFIT OR LOSS  
FOR THE YEAR ENDED JUNE 30, 2024
   2024 2023
  Note (Rupees in thousand) 
Revenue 35 66,452,348 62,075,259
Cost of sales 36 (45,488,064) (43,901,906)
Gross profit  20,964,284 18,173,353
Selling and distribution expenses 37 (5,471,808) (3,751,096)
Administrative expenses 38 (1,852,148)</t>
  </si>
  <si>
    <t>FOR THE YEAR ENDED JUNE 30, 2025
   2025 2024
  Note (Rupees in thousand) 
    Restated
Revenue from contracts with customers - net 34  68,942,446   66,452,348 
Cost of sales 35  (45,195,630)  (45,488,064)
Gross profit   23,746,816   20,964,284 
Selling and distribution expenses 36  (4,123,754)  (5,471,808)
Administrative expenses 37  (2</t>
  </si>
  <si>
    <t>FIT OR LOSS  
FOR THE YEAR ENDED JUNE 30, 2025
   2025 2024
  Note (Rupees in thousand) 
    Restated
Revenue from contracts with customers - net 34  68,942,446   66,452,348 
Cost of sales 35  (45,195,630)  (45,488,064)
Gross profit   23,746,816   20,964,284 
Selling and distribution expenses 36  (4,123,754)  (5,471,808)
Administrative ex</t>
  </si>
  <si>
    <t>184
   2022 2021
  Note (Rupees in thousand) 
Sales - net 35  48,519,622   35,538,301 
Cost of sales 36  (36,244,156)  (28,135,419)
Gross profit   12,275,466   7,402,882 
Distribution cost  37  (1,483,876)  (1,013,852)
Administrative expenses 38  (971,453)  (813,489)
Other charges 39  (952,200)  (524,1</t>
  </si>
  <si>
    <t>LOSS  
FOR THE YEAR ENDED JUNE 30, 2023
   2023 2022
  Note (Rupees in thousand) 
Sales - net 35 62,075,259 48,519,622
Cost of sales 36 (45,651,503) (36,244,156)
Gross profit  16,423,756 12,275,466
Distribution cost 37 (2,001,499) (1,483,876)
Administrative expenses 38 (1,380,607) (971,453)
Net impairment loss on financial assets 27.1 (191</t>
  </si>
  <si>
    <t>T OR LOSS  
FOR THE YEAR ENDED JUNE 30, 2024
   2024 2023
  Note (Rupees in thousand) 
Revenue 35 66,452,348 62,075,259
Cost of sales 36 (45,488,064) (43,901,906)
Gross profit  20,964,284 18,173,353
Selling and distribution expenses 37 (5,471,808) (3,751,096)
Administrative expenses 38 (1,852,148) (1,380,607)
Net impairment loss on financia</t>
  </si>
  <si>
    <t>24
  Note (Rupees in thousand) 
    Restated
Revenue from contracts with customers - net 34  68,942,446   66,452,348 
Cost of sales 35  (45,195,630)  (45,488,064)
Gross profit   23,746,816   20,964,284 
Selling and distribution expenses 36  (4,123,754)  (5,471,808)
Administrative expenses 37  (2,176,320)  (1,852,148)
Net impairment loss on</t>
  </si>
  <si>
    <t>025
   2025 2024
  Note (Rupees in thousand) 
    Restated
Revenue from contracts with customers - net 34  68,942,446   66,452,348 
Cost of sales 35  (45,195,630)  (45,488,064)
Gross profit   23,746,816   20,964,284 
Selling and distribution expenses 36  (4,123,754)  (5,471,808)
Administrative expenses 37  (2,176,320)  (1,852,148)
Net impai</t>
  </si>
  <si>
    <t>519,622   35,538,301 
Cost of sales 36  (36,244,156)  (28,135,419)
Gross profit   12,275,466   7,402,882 
Distribution cost  37  (1,483,876)  (1,013,852)
Administrative expenses 38  (971,453)  (813,489)
Other charges 39  (952,200)  (524,142)
   (3,407,529)  (2,351,483)
Other income  40  56,601   3,732,132 
Profit from opera</t>
  </si>
  <si>
    <t>Sales - net 35 62,075,259 48,519,622
Cost of sales 36 (45,651,503) (36,244,156)
Gross profit  16,423,756 12,275,466
Distribution cost 37 (2,001,499) (1,483,876)
Administrative expenses 38 (1,380,607) (971,453)
Net impairment loss on financial assets 27.1 (191,421) (209,920)
Other charges 39 (995,460) (742,280)
  (4,568,987) (3,407,529)
Ot</t>
  </si>
  <si>
    <t>66,452,348 62,075,259
Cost of sales 36 (45,488,064) (43,901,906)
Gross profit  20,964,284 18,173,353
Selling and distribution expenses 37 (5,471,808) (3,751,096)
Administrative expenses 38 (1,852,148) (1,380,607)
Net impairment loss on financial assets 27.1 (357,191) (191,421)
Other expenses 39 (569,545) (995,460)
Other income 40 356,142 1</t>
  </si>
  <si>
    <t>66,452,348 
Cost of sales 35  (45,195,630)  (45,488,064)
Gross profit   23,746,816   20,964,284 
Selling and distribution expenses 36  (4,123,754)  (5,471,808)
Administrative expenses 37  (2,176,320)  (1,852,148)
Net impairment loss on financial assets 26.1  (514,430)  (357,191)
Other expenses 38  (1,207,018)  (569,545)
Other income  39</t>
  </si>
  <si>
    <t>68,942,446   66,452,348 
Cost of sales 35  (45,195,630)  (45,488,064)
Gross profit   23,746,816   20,964,284 
Selling and distribution expenses 36  (4,123,754)  (5,471,808)
Administrative expenses 37  (2,176,320)  (1,852,148)
Net impairment loss on financial assets 26.1  (514,430)  (357,191)
Other expenses 38  (1,207,018)  (569,545)
Othe</t>
  </si>
  <si>
    <t>)  (28,135,419)
Gross profit   12,275,466   7,402,882 
Distribution cost  37  (1,483,876)  (1,013,852)
Administrative expenses 38  (971,453)  (813,489)
Other charges 39  (952,200)  (524,142)
   (3,407,529)  (2,351,483)
Other income  40  56,601   3,732,132 
Profit from operations   8,924,538   8,783,531 
Finance cost 4</t>
  </si>
  <si>
    <t>36 (45,651,503) (36,244,156)
Gross profit  16,423,756 12,275,466
Distribution cost 37 (2,001,499) (1,483,876)
Administrative expenses 38 (1,380,607) (971,453)
Net impairment loss on financial assets 27.1 (191,421) (209,920)
Other charges 39 (995,460) (742,280)
  (4,568,987) (3,407,529)
Other income 40 146,646 56,601
Profit from operatio</t>
  </si>
  <si>
    <t>(43,901,906)
Gross profit  20,964,284 18,173,353
Selling and distribution expenses 37 (5,471,808) (3,751,096)
Administrative expenses 38 (1,852,148) (1,380,607)
Net impairment loss on financial assets 27.1 (357,191) (191,421)
Other expenses 39 (569,545) (995,460)
Other income 40 356,142 146,646
Operating profit  13,069,734 12,001,415
Fina</t>
  </si>
  <si>
    <t>,064)
Gross profit   23,746,816   20,964,284 
Selling and distribution expenses 36  (4,123,754)  (5,471,808)
Administrative expenses 37  (2,176,320)  (1,852,148)
Net impairment loss on financial assets 26.1  (514,430)  (357,191)
Other expenses 38  (1,207,018)  (569,545)
Other income  39  8,462,656   238,451 
Operating profit   24,187,950</t>
  </si>
  <si>
    <t>630)  (45,488,064)
Gross profit   23,746,816   20,964,284 
Selling and distribution expenses 36  (4,123,754)  (5,471,808)
Administrative expenses 37  (2,176,320)  (1,852,148)
Net impairment loss on financial assets 26.1  (514,430)  (357,191)
Other expenses 38  (1,207,018)  (569,545)
Other income  39  8,462,656   238,451 
Operating profit</t>
  </si>
  <si>
    <t>184
   2022 2021
  Note (Rupees in thousand) 
Sales - net 35  48,519,622   35,538,301 
Cost of sales 36  (36,244,156)  (28,135,419)
Gross pro | Impairment / expected credit loss on financial assets</t>
  </si>
  <si>
    <t>Distribution cost 37 (2,001,499) (1,483,876)
Administrative expenses 38 (1,380,607) (971,453)
Net impairment loss on financial assets 27.1 (191,421) (209,920)
Other charges 39 (995,460) (742,280)
  (4,568,987) (3,407,529)
Other income 40 146,646 56,601
Profit from operations  12,001,415 8,924,538
Finance cost 41 (2,750,748) (1,741,026)</t>
  </si>
  <si>
    <t>ibution expenses 37 (5,471,808) (3,751,096)
Administrative expenses 38 (1,852,148) (1,380,607)
Net impairment loss on financial assets 27.1 (357,191) (191,421)
Other expenses 39 (569,545) (995,460)
Other income 40 356,142 146,646
Operating profit  13,069,734 12,001,415
Finance cost 41 (4,138,286) (2,750,748)
Profit before final taxes and</t>
  </si>
  <si>
    <t>n expenses 36  (4,123,754)  (5,471,808)
Administrative expenses 37  (2,176,320)  (1,852,148)
Net impairment loss on financial assets 26.1  (514,430)  (357,191)
Other expenses 38  (1,207,018)  (569,545)
Other income  39  8,462,656   238,451 
Operating profit   24,187,950   12,952,043 
Finance cost 40  (3,554,788)  (4,138,286)
Finance inco</t>
  </si>
  <si>
    <t>distribution expenses 36  (4,123,754)  (5,471,808)
Administrative expenses 37  (2,176,320)  (1,852,148)
Net impairment loss on financial assets 26.1  (514,430)  (357,191)
Other expenses 38  (1,207,018)  (569,545)
Other income  39  8,462,656   238,451 
Operating profit   24,187,950   12,952,043 
Finance cost 40  (3,554,788)  (4,138,286)
F</t>
  </si>
  <si>
    <t>75,466   7,402,882 
Distribution cost  37  (1,483,876)  (1,013,852)
Administrative expenses 38  (971,453)  (813,489)
Other charges 39  (952,200)  (524,142)
   (3,407,529)  (2,351,483)
Other income  40  56,601   3,732,132 
Profit from operations   8,924,538   8,783,531 
Finance cost 41  (1,741,026)  (1,493,930)
Profit</t>
  </si>
  <si>
    <t>483,876)
Administrative expenses 38 (1,380,607) (971,453)
Net impairment loss on financial assets 27.1 (191,421) (209,920)
Other charges 39 (995,460) (742,280)
  (4,568,987) (3,407,529)
Other income 40 146,646 56,601
Profit from operations  12,001,415 8,924,538
Finance cost 41 (2,750,748) (1,741,026)
Profit before taxation  9,250,667 7,1</t>
  </si>
  <si>
    <t>,096)
Administrative expenses 38 (1,852,148) (1,380,607)
Net impairment loss on financial assets 27.1 (357,191) (191,421)
Other expenses 39 (569,545) (995,460)
Other income 40 356,142 146,646
Operating profit  13,069,734 12,001,415
Finance cost 41 (4,138,286) (2,750,748)
Profit before final taxes and income tax  8,931,448 9,250,667
Final</t>
  </si>
  <si>
    <t>ministrative expenses 37  (2,176,320)  (1,852,148)
Net impairment loss on financial assets 26.1  (514,430)  (357,191)
Other expenses 38  (1,207,018)  (569,545)
Other income  39  8,462,656   238,451 
Operating profit   24,187,950   12,952,043 
Finance cost 40  (3,554,788)  (4,138,286)
Finance income 41  1,031,075   117,691 
Finance cost -</t>
  </si>
  <si>
    <t>5,471,808)
Administrative expenses 37  (2,176,320)  (1,852,148)
Net impairment loss on financial assets 26.1  (514,430)  (357,191)
Other expenses 38  (1,207,018)  (569,545)
Other income  39  8,462,656   238,451 
Operating profit   24,187,950   12,952,043 
Finance cost 40  (3,554,788)  (4,138,286)
Finance income 41  1,031,075   117,691 
Fin</t>
  </si>
  <si>
    <t>2)
Administrative expenses 38  (971,453)  (813,489)
Other charges 39  (952,200)  (524,142)
   (3,407,529)  (2,351,483)
Other income  40  56,601   3,732,132 
Profit from operations   8,924,538   8,783,531 
Finance cost 41  (1,741,026)  (1,493,930)
Profit before taxation   7,183,512   7,289,601 
Taxation 42  (3,557,172)</t>
  </si>
  <si>
    <t>t impairment loss on financial assets 27.1 (191,421) (209,920)
Other charges 39 (995,460) (742,280)
  (4,568,987) (3,407,529)
Other income 40 146,646 56,601
Profit from operations  12,001,415 8,924,538
Finance cost 41 (2,750,748) (1,741,026)
Profit before taxation  9,250,667 7,183,512
Taxation 42 (4,758,998) (3,557,172)
Profit after t</t>
  </si>
  <si>
    <t>1,852,148) (1,380,607)
Net impairment loss on financial assets 27.1 (357,191) (191,421)
Other expenses 39 (569,545) (995,460)
Other income 40 356,142 146,646
Operating profit  13,069,734 12,001,415
Finance cost 41 (4,138,286) (2,750,748)
Profit before final taxes and income tax  8,931,448 9,250,667
Final taxes 42 (45,804) (12,192)
Prof</t>
  </si>
  <si>
    <t>1,852,148)
Net impairment loss on financial assets 26.1  (514,430)  (357,191)
Other expenses 38  (1,207,018)  (569,545)
Other income  39  8,462,656   238,451 
Operating profit   24,187,950   12,952,043 
Finance cost 40  (3,554,788)  (4,138,286)
Finance income 41  1,031,075   117,691 
Finance cost - net  (2,523,713)  (4,020,595)
Profit</t>
  </si>
  <si>
    <t>,176,320)  (1,852,148)
Net impairment loss on financial assets 26.1  (514,430)  (357,191)
Other expenses 38  (1,207,018)  (569,545)
Other income  39  8,462,656   238,451 
Operating profit   24,187,950   12,952,043 
Finance cost 40  (3,554,788)  (4,138,286)
Finance income 41  1,031,075   117,691 
Finance cost - net  (2,523,713)  (4,020,59</t>
  </si>
  <si>
    <t>184
   2022 2021
  Note (Rupees in thousand) 
Sales - net 35  48,519,622   35,538,301 
Cost of sales 36  (36,244,156)  (28,135,419)
Gross pro | Finance income (where presented separately)</t>
  </si>
  <si>
    <t>194 195
UNCONSOLIDA TED STA TEMENT OF 
PROFIT OR LOSS  
FOR THE YEAR ENDED JUNE 30, 2023
   2023 2022
  Note (Rupees in thousand) 
Sales - net 35 62, | Finance income (where presented separately)</t>
  </si>
  <si>
    <t>190
UNCONSOLIDA TED STA TEMENT OF 
PROFIT OR LOSS  
FOR THE YEAR ENDED JUNE 30, 2024
   2024 2023
  Note (Rupees in thousand) 
Revenue 35 66,452,348  | Finance income (where presented separately)</t>
  </si>
  <si>
    <t>income  39  8,462,656   238,451 
Operating profit   24,187,950   12,952,043 
Finance cost 40  (3,554,788)  (4,138,286)
Finance income 41  1,031,075   117,691 
Finance cost - net  (2,523,713)  (4,020,595)
Profit before final taxes and income tax   21,664,237   8,931,448 
Final taxes - levy 42  (38,972)  (45,804)
Profit before income tax</t>
  </si>
  <si>
    <t>,545)
Other income  39  8,462,656   238,451 
Operating profit   24,187,950   12,952,043 
Finance cost 40  (3,554,788)  (4,138,286)
Finance income 41  1,031,075   117,691 
Finance cost - net  (2,523,713)  (4,020,595)
Profit before final taxes and income tax   21,664,237   8,931,448 
Final taxes - levy 42  (38,972)  (45,804)
Profit before</t>
  </si>
  <si>
    <t>184
   2022 2021
  Note (Rupees in thousand) 
Sales - net 35  48,519,622   35,538,301 
Cost of sales 36  (36,244,156)  (28,135,419)
Gross pro | Share of profit of associate</t>
  </si>
  <si>
    <t>194 195
UNCONSOLIDA TED STA TEMENT OF 
PROFIT OR LOSS  
FOR THE YEAR ENDED JUNE 30, 2023
   2023 2022
  Note (Rupees in thousand) 
Sales - net 35 62, | Share of profit of associate</t>
  </si>
  <si>
    <t>190
UNCONSOLIDA TED STA TEMENT OF 
PROFIT OR LOSS  
FOR THE YEAR ENDED JUNE 30, 2024
   2024 2023
  Note (Rupees in thousand) 
Revenue 35 66,452,348  | Share of profit of associate</t>
  </si>
  <si>
    <t>202
UNCONSOLIDA TED STA TEMENT OF 
PROFIT OR LOSS  
FOR THE YEAR ENDED JUNE 30, 2025
   2025 2024
  Note (Rupees in thousand) 
    Restated
Revenue f | Share of profit of associate</t>
  </si>
  <si>
    <t>407,529)  (2,351,483)
Other income  40  56,601   3,732,132 
Profit from operations   8,924,538   8,783,531 
Finance cost 41  (1,741,026)  (1,493,930)
Profit before taxation   7,183,512   7,289,601 
Taxation 42  (3,557,172)  (1,035,492)
Profit after taxation   3,626,340   6,254,109</t>
  </si>
  <si>
    <t>(995,460) (742,280)
  (4,568,987) (3,407,529)
Other income 40 146,646 56,601
Profit from operations  12,001,415 8,924,538
Finance cost 41 (2,750,748) (1,741,026)
Profit before taxation  9,250,667 7,183,512
Taxation 42 (4,758,998) (3,557,172)
Profit after taxation  4,491,669 3,626,340
 ------------- Rupees -------------
Earnings per share -</t>
  </si>
  <si>
    <t>) (191,421)
Other expenses 39 (569,545) (995,460)
Other income 40 356,142 146,646
Operating profit  13,069,734 12,001,415
Finance cost 41 (4,138,286) (2,750,748)
Profit before final taxes and income tax  8,931,448 9,250,667
Final taxes 42 (45,804) (12,192)
Profit before income tax  8,885,644 9,238,475
Income tax 42 (3,613,117) (4,746,806)</t>
  </si>
  <si>
    <t>expenses 38  (1,207,018)  (569,545)
Other income  39  8,462,656   238,451 
Operating profit   24,187,950   12,952,043 
Finance cost 40  (3,554,788)  (4,138,286)
Finance income 41  1,031,075   117,691 
Finance cost - net  (2,523,713)  (4,020,595)
Profit before final taxes and income tax   21,664,237   8,931,448 
Final taxes - levy 42  (38,</t>
  </si>
  <si>
    <t>57,191)
Other expenses 38  (1,207,018)  (569,545)
Other income  39  8,462,656   238,451 
Operating profit   24,187,950   12,952,043 
Finance cost 40  (3,554,788)  (4,138,286)
Finance income 41  1,031,075   117,691 
Finance cost - net  (2,523,713)  (4,020,595)
Profit before final taxes and income tax   21,664,237   8,931,448 
Final taxes -</t>
  </si>
  <si>
    <t>184
   2022 2021
  Note (Rupees in thousand) 
Sales - net 35  48,519,622   35,538,301 
Cost of sales 36  (36,244,156)  (28,135,419)
Gross pro | Levies (final / minimum taxes presented separately)</t>
  </si>
  <si>
    <t>194 195
UNCONSOLIDA TED STA TEMENT OF 
PROFIT OR LOSS  
FOR THE YEAR ENDED JUNE 30, 2023
   2023 2022
  Note (Rupees in thousand) 
Sales - net 35 62, | Levies (final / minimum taxes presented separately)</t>
  </si>
  <si>
    <t>13,069,734 12,001,415
Finance cost 41 (4,138,286) (2,750,748)
Profit before final taxes and income tax  8,931,448 9,250,667
Final taxes 42 (45,804) (12,192)
Profit before income tax  8,885,644 9,238,475
Income tax 42 (3,613,117) (4,746,806)
Profit for the year  5,272,527 4,491,669
 ------------- Rupees -------------
Earnings per share</t>
  </si>
  <si>
    <t>691 
Finance cost - net  (2,523,713)  (4,020,595)
Profit before final taxes and income tax   21,664,237   8,931,448 
Final taxes - levy 42  (38,972)  (45,804)
Profit before income tax   21,625,265   8,885,644 
Income tax 42  (4,588,891)  (3,613,117)
Profit for the year   17,036,374   5,272,527 
 ------------- Rupees -------------
Earnin</t>
  </si>
  <si>
    <t>075   117,691 
Finance cost - net  (2,523,713)  (4,020,595)
Profit before final taxes and income tax   21,664,237   8,931,448 
Final taxes - levy 42  (38,972)  (45,804)
Profit before income tax   21,625,265   8,885,644 
Income tax 42  (4,588,891)  (3,613,117)
Profit for the year   17,036,374   5,272,527 
 ------------- Rupees ----------</t>
  </si>
  <si>
    <t>,924,538   8,783,531 
Finance cost 41  (1,741,026)  (1,493,930)
Profit before taxation   7,183,512   7,289,601 
Taxation 42  (3,557,172)  (1,035,492)
Profit after taxation   3,626,340   6,254,109 
                                                                         ---------------Rupees-----------------
Earn</t>
  </si>
  <si>
    <t>fit from operations  12,001,415 8,924,538
Finance cost 41 (2,750,748) (1,741,026)
Profit before taxation  9,250,667 7,183,512
Taxation 42 (4,758,998) (3,557,172)
Profit after taxation  4,491,669 3,626,340
 ------------- Rupees -------------
Earnings per share - basic and diluted 43 4.18 3.30
The annexed notes from 1 to 57 form an integral</t>
  </si>
  <si>
    <t>al taxes and income tax  8,931,448 9,250,667
Final taxes 42 (45,804) (12,192)
Profit before income tax  8,885,644 9,238,475
Income tax 42 (3,613,117) (4,746,806)
Profit for the year  5,272,527 4,491,669
 ------------- Rupees -------------
Earnings per share - basic and diluted 43 4.98 4.18
The annexed notes from 1 to 59 form an integral pa</t>
  </si>
  <si>
    <t>ax   21,664,237   8,931,448 
Final taxes - levy 42  (38,972)  (45,804)
Profit before income tax   21,625,265   8,885,644 
Income tax 42  (4,588,891)  (3,613,117)
Profit for the year   17,036,374   5,272,527 
 ------------- Rupees -------------
Earnings per share - basic and diluted 43  16.26   4.98 
The annexed notes from 1 to 59 form an i</t>
  </si>
  <si>
    <t>and income tax   21,664,237   8,931,448 
Final taxes - levy 42  (38,972)  (45,804)
Profit before income tax   21,625,265   8,885,644 
Income tax 42  (4,588,891)  (3,613,117)
Profit for the year   17,036,374   5,272,527 
 ------------- Rupees -------------
Earnings per share - basic and diluted 43  16.26   4.98 
The annexed notes from 1 to</t>
  </si>
  <si>
    <t>Note (Rupees in thousand) 
Sales - net 35  48,519,622   35,538,301 
Cost of sales 36  (36,244,156)  (28,135,419)
Gross profit   12,275,466   7,402,882 
Distribution cost  37  (1,483,876)  (1,013,852)
Administrative expenses 38  (971,453)  (813,489)
Other charges 39  (952,200)  (524,142)
   (3,407,529)  (2,351,483)
Other</t>
  </si>
  <si>
    <t>23
   2023 2022
  Note (Rupees in thousand) 
Sales - net 35 62,075,259 48,519,622
Cost of sales 36 (45,651,503) (36,244,156)
Gross profit  16,423,756 12,275,466
Distribution cost 37 (2,001,499) (1,483,876)
Administrative expenses 38 (1,380,607) (971,453)
Net impairment loss on financial assets 27.1 (191,421) (209,920)
Other charges 39 (99</t>
  </si>
  <si>
    <t>, 2024
   2024 2023
  Note (Rupees in thousand) 
Revenue 35 66,452,348 62,075,259
Cost of sales 36 (45,488,064) (43,901,906)
Gross profit  20,964,284 18,173,353
Selling and distribution expenses 37 (5,471,808) (3,751,096)
Administrative expenses 38 (1,852,148) (1,380,607)
Net impairment loss on financial assets 27.1 (357,191) (191,421)
Ot</t>
  </si>
  <si>
    <t>ted
Revenue from contracts with customers - net 34  68,942,446   66,452,348 
Cost of sales 35  (45,195,630)  (45,488,064)
Gross profit   23,746,816   20,964,284 
Selling and distribution expenses 36  (4,123,754)  (5,471,808)
Administrative expenses 37  (2,176,320)  (1,852,148)
Net impairment loss on financial assets 26.1  (514,430)  (357,</t>
  </si>
  <si>
    <t>d) 
    Restated
Revenue from contracts with customers - net 34  68,942,446   66,452,348 
Cost of sales 35  (45,195,630)  (45,488,064)
Gross profit   23,746,816   20,964,284 
Selling and distribution expenses 36  (4,123,754)  (5,471,808)
Administrative expenses 37  (2,176,320)  (1,852,148)
Net impairment loss on financial assets 26.1  (51</t>
  </si>
  <si>
    <t>3,732,132 
Profit from operations   8,924,538   8,783,531 
Finance cost 41  (1,741,026)  (1,493,930)
Profit before taxation   7,183,512   7,289,601 
Taxation 42  (3,557,172)  (1,035,492)
Profit after taxation   3,626,340   6,254,109 
                                                                         ----</t>
  </si>
  <si>
    <t>Other income 40 146,646 56,601
Profit from operations  12,001,415 8,924,538
Finance cost 41 (2,750,748) (1,741,026)
Profit before taxation  9,250,667 7,183,512
Taxation 42 (4,758,998) (3,557,172)
Profit after taxation  4,491,669 3,626,340
 ------------- Rupees -------------
Earnings per share - basic and diluted 43 4.18 3.30
The annexed</t>
  </si>
  <si>
    <t>0 356,142 146,646
Operating profit  13,069,734 12,001,415
Finance cost 41 (4,138,286) (2,750,748)
Profit before final taxes and income tax  8,931,448 9,250,667
Final taxes 42 (45,804) (12,192)
Profit before income tax  8,885,644 9,238,475
Income tax 42 (3,613,117) (4,746,806)
Profit for the year  5,272,527 4,491,669
 ------------- Rupees</t>
  </si>
  <si>
    <t>138,286)
Finance income 41  1,031,075   117,691 
Finance cost - net  (2,523,713)  (4,020,595)
Profit before final taxes and income tax   21,664,237   8,931,448 
Final taxes - levy 42  (38,972)  (45,804)
Profit before income tax   21,625,265   8,885,644 
Income tax 42  (4,588,891)  (3,613,117)
Profit for the year   17,036,374   5,272,527</t>
  </si>
  <si>
    <t>554,788)  (4,138,286)
Finance income 41  1,031,075   117,691 
Finance cost - net  (2,523,713)  (4,020,595)
Profit before final taxes and income tax   21,664,237   8,931,448 
Final taxes - levy 42  (38,972)  (45,804)
Profit before income tax   21,625,265   8,885,644 
Income tax 42  (4,588,891)  (3,613,117)
Profit for the year   17,036,374</t>
  </si>
  <si>
    <t>6)  (1,493,930)
Profit before taxation   7,183,512   7,289,601 
Taxation 42  (3,557,172)  (1,035,492)
Profit after taxation   3,626,340   6,254,109 
                                                                         ---------------Rupees-----------------
Earnings  per share - basic and diluted 43  3.30   5.6</t>
  </si>
  <si>
    <t>ance cost 41 (2,750,748) (1,741,026)
Profit before taxation  9,250,667 7,183,512
Taxation 42 (4,758,998) (3,557,172)
Profit after taxation  4,491,669 3,626,340
 ------------- Rupees -------------
Earnings per share - basic and diluted 43 4.18 3.30
The annexed notes from 1 to 57 form an integral part of these unconsolidated financial stat</t>
  </si>
  <si>
    <t>7
Final taxes 42 (45,804) (12,192)
Profit before income tax  8,885,644 9,238,475
Income tax 42 (3,613,117) (4,746,806)
Profit for the year  5,272,527 4,491,669
 ------------- Rupees -------------
Earnings per share - basic and diluted 43 4.98 4.18
The annexed notes from 1 to 59 form an integral part of these unconsolidated financial stat</t>
  </si>
  <si>
    <t>42  (38,972)  (45,804)
Profit before income tax   21,625,265   8,885,644 
Income tax 42  (4,588,891)  (3,613,117)
Profit for the year   17,036,374   5,272,527 
 ------------- Rupees -------------
Earnings per share - basic and diluted 43  16.26   4.98 
The annexed notes from 1 to 59 form an integral part of these unconsolidated financia</t>
  </si>
  <si>
    <t>taxes - levy 42  (38,972)  (45,804)
Profit before income tax   21,625,265   8,885,644 
Income tax 42  (4,588,891)  (3,613,117)
Profit for the year   17,036,374   5,272,527 
 ------------- Rupees -------------
Earnings per share - basic and diluted 43  16.26   4.98 
The annexed notes from 1 to 59 form an integral part of these unconsolida</t>
  </si>
  <si>
    <t>unwinding of payable to 
    government authority   9,871   20,920 
 Interest on lease liabilities   2,377   -   
 Bank and other charges   51,001   46,652 
    1,741,026   1,493,930</t>
  </si>
  <si>
    <t>terest on unwinding of payable to 
    government authority   9,871   20,920 
 Interest on lease liabilities   2,377   -   
 Bank and other charges   51,001   46,652 
    1,741,026   1,493,930</t>
  </si>
  <si>
    <t>otional interest on unwinding of payable to
  government authority  - 216
 Interest on lease liabilities  6,842 5,038
 Bank and other charges  82,866 67,573
    4,138,286 2,750,748
42. TAXATION
 Final taxes 42.1 45,804 12,192
 Income tax
  Current - for the year  1,246,468 1,940,262
  Deferred  2,366,649 2,806,544
    3,613,117 4,746,</t>
  </si>
  <si>
    <t>m borrowings   1,002,492   237,299 
     3,406,667   4,048,578 
 Interest on lease liabilities   7,287   6,842 
 Bank and other charges   140,834   82,866 
     3,554,788   4,138,286 
   2025 2024
  Note (Rupees in thousand) 
41. FINANCE INCOME   Restated
 Profit on bank deposits 41.1  226,009   117,691 
 Gain on disposal of inve</t>
  </si>
  <si>
    <t>Short term borrowings   1,002,492   237,299 
     3,406,667   4,048,578 
 Interest on lease liabilities   7,287   6,842 
 Bank and other charges   140,834   82,866 
     3,554,788   4,138,286 
   2025 2024
  Note (Rupees in thousand) 
41. FINANCE INCOME   Restated
 Profit on bank deposits 41.1  226,009   117,691 
 Gain on disposa</t>
  </si>
  <si>
    <t>186
   2022 2021
  Note (Rupees in thousand) 
CASH FLOWS FROM OPERATING ACTIVITIES   
Profit before taxation   7,183,512   7,289,601 
Adjustments for:   
   Depreciation 20.1.8  3 | Components: Depreciation; Amortization</t>
  </si>
  <si>
    <t>2512024
   2024 2023
  Note (Rupees in thousand) 
44. CASH FLOW INFORMATION
 44.1 Cash generated from operations
  Profit before final taxes and income tax  8,931,448 9,250,667
   | Components: - Depreciation on operating fixed a; - Amortization on intangible assets</t>
  </si>
  <si>
    <t>2672025
 43.3 A diluted earnings per share has not been presented as the Company does not have any 
convertible instruments in issue as at June 30, 2025, and June 30, 2024, which  | Components: - Depreciation on operating fixed a; - Depreciation on right-of-use asse; - Amortization on intangible assets</t>
  </si>
  <si>
    <t>sidiary 40  -     (3,514,000)
   Finance cost 41  1,703,327   1,447,385 
Cash generated from operations before working capital changes   12,909,174   9,013,169 
Effect on cash flows due to working capital changes   
(Increase) / decrease in current assets   
   Stores, spare parts and loose tools   (3,114,888)  (1,343,107)
   Stock-in-tr</t>
  </si>
  <si>
    <t>on bank deposits 40 (53,781) (23,391)
 Finance cost 41 2,747,741 1,703,327
Cash generated from operations before working capital changes  15,897,923 12,905,198
Effect on cash flows due to working capital changes
(Increase) / decrease in current assets
 Stores, spare parts and loose tools  2,927,753 (3,114,888)
 Stock-in-trade  (1,178,984</t>
  </si>
  <si>
    <t>YEAR ENDED JUNE 30, 2024
   2024 2023
  Note (Rupees in thousand) 
Cash flows from operating activities
Cash generated from operations 44 12,810,292 19,906,827
(Increase)/decrease in long term loans to employees  (13,139) 1,277
Decrease in long term deposits to suppliers  (5,808) (801)
(Decrease)/increase in retention money payable  (1,7</t>
  </si>
  <si>
    <t>AR ENDED JUNE 30, 2025
   2025 2024
  Note (Rupees in thousand) 
Cash flows from operating activities
Cash generated from operations 44  23,320,309   12,810,292 
Decrease / (increase) in long term loans to employees   14,618   (13,139)
Increase in long term deposits to suppliers   (3,100)  (5,808)
Decrease in retention money payable   -</t>
  </si>
  <si>
    <t>FOR THE YEAR ENDED JUNE 30, 2025
   2025 2024
  Note (Rupees in thousand) 
Cash flows from operating activities
Cash generated from operations 44  23,320,309   12,810,292 
Decrease / (increase) in long term loans to employees   14,618   (13,139)
Increase in long term deposits to suppliers   (3,100)  (5,808)
Decrease in retention money</t>
  </si>
  <si>
    <t>ers’ Welfare Fund paid   (23,185)  (161)
Taxes paid - net of refund   (586,635)  (736,571)
Net cash generated from operating activities   8,334,083   6,551,967 
CASH FLOWS FROM INVESTING ACTIVITIES   
Capital expenditure   (15,790,494)  (3,285,300)
Intangible assets acquired   (6,786)  -   
Dividend received from the subsidiary company</t>
  </si>
  <si>
    <t>kers' Welfare Fund paid  (64,844) (23,185)
Taxes paid - net of refund  (1,459,957) (586,635)
Net cash generated from operating activities  20,143,665 8,330,107
CASH FLOWS FROM INVESTING ACTIVITIES
Capital expenditure  (9,071,126) (15,790,494)
Intangible assets acquired  - (6,786)
Proceeds from disposal of property, plant and equipment  8</t>
  </si>
  <si>
    <t>fit obligations paid  (47,729) (53,879)
Income tax and final taxes paid  (1,494,385) (1,459,957)
Net cash inflow from operating activities  9,496,243 20,143,665
Cash flows from investing activities
Payments for property, plant and equipment  (3,099,319) (9,071,126)
Payments for acquisition of intangibles  (89,828) -
Dividends received  86</t>
  </si>
  <si>
    <t>and final taxes paid   (4,139,001)  (1,494,385)
Income tax refunds received   178,579   -   
Net cash inflow from operating activities   19,316,637   9,496,243 
Cash flows from investing activities
Payments for property, plant and equipment   (423,781)  (3,099,319)
Payments for acquisition of intangibles   (7,816)  (89,828)
Dividends rec</t>
  </si>
  <si>
    <t>)
Income tax and final taxes paid   (4,139,001)  (1,494,385)
Income tax refunds received   178,579   -   
Net cash inflow from operating activities   19,316,637   9,496,243 
Cash flows from investing activities
Payments for property, plant and equipment   (423,781)  (3,099,319)
Payments for acquisition of intangibles   (7,816)  (89,828)
D</t>
  </si>
  <si>
    <t>ng term loan from subsidiary company   1,000,000   (2,000,000)
Short term borrowings - net 18  490,990   (4,121,973)
Finance cost paid   (1,296,781)  (1,733,621)
Lease rentals paid during the year   (12,425)  -   
Own shares purchased for cancellation 6  (477,778)  -   
Dividend paid   (565)  (19,919)
Net cash generated from / (used in) fi</t>
  </si>
  <si>
    <t>Proceeds from long term loans from subsidiary company  - 1,000,000
Short term borrowings - net 18 (2,174,578) 490,990
Finance cost paid  (2,527,786) (1,296,781)
Lease rentals paid  (14,611) (12,425)
Own share purchased for cancellation  (194,661) (477,778)
Redemption of preference shares  (5) -
Dividend paid  (191) (565)
Net cash (used in</t>
  </si>
  <si>
    <t>20,571)
Proceeds from long term loan from a subsidiary company  2,500,000 -
Short term borrowings - net  - (2,174,578)
Finance cost paid  (4,145,538) (2,527,786)
Lease rentals paid  (18,529) (14,611)
Payments for shares bought back  (999,145) (194,661)
Redemption of preference shares  (12) (5)
Dividend paid  (122) (191)
Net cash outflow fr</t>
  </si>
  <si>
    <t>payment of long term loan from a subsidiary company   (4,500,000)  -   
Short term borrowings - net   678,765   -   
Finance cost paid   (4,093,012)  (4,145,538)
Lease rentals paid   (20,572)  (18,529)
Payments for shares bought back   -     (999,145)
Redemption of preference shares   (3)  (12)
Dividend paid   (379)  (122)
Net cash outflow</t>
  </si>
  <si>
    <t>2,500,000 
Repayment of long term loan from a subsidiary company   (4,500,000)  -   
Short term borrowings - net   678,765   -   
Finance cost paid   (4,093,012)  (4,145,538)
Lease rentals paid   (20,572)  (18,529)
Payments for shares bought back   -     (999,145)
Redemption of preference shares   (3)  (12)
Dividend paid   (379)  (122)
Net</t>
  </si>
  <si>
    <t>186
   2022 2021
  Note (Rupees in thousand) 
CASH FLOWS FROM OPERATING ACTIVITIES   
Profit before taxation   7,183,512   7,289,601 
Adjustments for:   
   Depreciation 20.1.8  3,231,589   3,284,696 
   Amortization 21</t>
  </si>
  <si>
    <t>192
UNCONSOLIDA TED STA TEMENT OF
CASH FLOWS  
FOR THE YEAR ENDED JUNE 30, 2024
   2024 2023
  Note (Rupees in thousand) 
Cash flows from operating activities
Cash generated from operations 44 12,810,292 19,906,827
(Inc</t>
  </si>
  <si>
    <t>204
UNCONSOLIDA TED STA TEMENT OF
CASH FLOWS  
FOR THE YEAR ENDED JUNE 30, 2025
   2025 2024
  Note (Rupees in thousand) 
Cash flows from operating activities
Cash generated from operations 44  23,320,309   12,810,292</t>
  </si>
  <si>
    <t>71)
Net cash generated from operating activities   8,334,083   6,551,967 
CASH FLOWS FROM INVESTING ACTIVITIES   
Capital expenditure   (15,790,494)  (3,285,300)
Intangible assets acquired   (6,786)  -   
Dividend received from the subsidiary company   -     3,514,000 
Proceeds from disposal of property, plant and equipment   30,583   53,1</t>
  </si>
  <si>
    <t>7) (586,635)
Net cash generated from operating activities  20,143,665 8,330,107
CASH FLOWS FROM INVESTING ACTIVITIES
Capital expenditure  (9,071,126) (15,790,494)
Intangible assets acquired  - (6,786)
Proceeds from disposal of property, plant and equipment  89,125 30,583
Long term investment - MLIL  (10,000) -
Short term investment 29 (3,23</t>
  </si>
  <si>
    <t>h inflow from operating activities  9,496,243 20,143,665
Cash flows from investing activities
Payments for property, plant and equipment  (3,099,319) (9,071,126)
Payments for acquisition of intangibles  (89,828) -
Dividends received  86,605 -
Proceeds from disposal of property, plant and equipment  285,654 89,125
Long term equity investmen</t>
  </si>
  <si>
    <t>flow from operating activities   19,316,637   9,496,243 
Cash flows from investing activities
Payments for property, plant and equipment   (423,781)  (3,099,319)
Payments for acquisition of intangibles   (7,816)  (89,828)
Dividends received   6,660,316   86,605 
Proceeds from disposal of property, plant and equipment   101,904   273,862 
P</t>
  </si>
  <si>
    <t>Net cash inflow from operating activities   19,316,637   9,496,243 
Cash flows from investing activities
Payments for property, plant and equipment   (423,781)  (3,099,319)
Payments for acquisition of intangibles   (7,816)  (89,828)
Dividends received   6,660,316   86,605 
Proceeds from disposal of property, plant and equipment   101,904</t>
  </si>
  <si>
    <t>t 29  (75,000)  (44,500)
Profit on bank deposits received   22,377   13,692 
Net cash (used in) / generated from investing activities   (15,819,320)  251,007 
CASH FLOWS FROM FINANCING ACTIVITIES   
Long term loans from financial institutions - secured - net   6,898,075   1,142,825 
Proceeds from / (repayments of) long term loan from s</t>
  </si>
  <si>
    <t>) -
Short term investment 29 (3,234,546) (75,000)
Profit on bank deposits received  52,064 22,377
Net cash used in investing activities  (12,174,483) (15,819,320)
CASH FLOWS FROM FINANCING ACTIVITIES
(Repayments) / Proceeds from long term loans from financial institutions
 - secured - net  (1,720,571) 6,898,075
Proceeds from long term loans</t>
  </si>
  <si>
    <t>loan to Maple Leaf Capital Limited  11,409 -
Profit received on bank deposits  94,741 52,064
Net cash outflow from investing activities  (3,030,885) (12,174,483)
Cash flows from financing activities
Repayment of long term loans from financial institutions - secured  (4,819,016) (1,720,571)
Proceeds from long term loan from a subsidiary com</t>
  </si>
  <si>
    <t>e Leaf Capital Limited   -     11,409 
Profit received on bank deposits   203,462   94,741 
Net cash outflow from investing activities   (9,999,040)  (3,030,885)
Cash flows from financing activities
Proceeds from long term loans from financial institutions - secured   4,200,000   -   
Repayment of long term loans from financial institution</t>
  </si>
  <si>
    <t>loan to Maple Leaf Capital Limited   -     11,409 
Profit received on bank deposits   203,462   94,741 
Net cash outflow from investing activities   (9,999,040)  (3,030,885)
Cash flows from financing activities
Proceeds from long term loans from financial institutions - secured   4,200,000   -   
Repayment of long term loans from financia</t>
  </si>
  <si>
    <t>urchased for cancellation 6  (477,778)  -   
Dividend paid   (565)  (19,919)
Net cash generated from / (used in) financing activities 51  6,601,516   (6,732,688)
Net (decrease) / increase in cash and cash equivalents   (883,721)  70,286 
Cash and cash equivalents at beginning of the year   279,802   209,516 
Cash and cash equivalents at en</t>
  </si>
  <si>
    <t>61) (477,778)
Redemption of preference shares  (5) -
Dividend paid  (191) (565)
Net cash (used in) / generated from financing activities  (6,632,403) 6,601,516
Net increase / (decrease) in cash and cash equivalents  1,336,779 (887,697)
Cash and cash equivalents at beginning of the year  (603,919) 279,802
Exchange Gain on cash &amp; cash equi</t>
  </si>
  <si>
    <t>ack  (999,145) (194,661)
Redemption of preference shares  (12) (5)
Dividend paid  (122) (191)
Net cash outflow from financing activities  (7,482,362) (6,632,403)
Net (decrease) / increase in cash and cash equivalents  (1,017,004) 1,336,779
Cash and cash equivalents at beginning of the year  740,707 (603,919)
Effects of exchange rate change</t>
  </si>
  <si>
    <t>-     (999,145)
Redemption of preference shares   (3)  (12)
Dividend paid   (379)  (122)
Net cash outflow from financing activities   (7,569,161)  (7,482,362)
Net increase / (decrease) in cash and cash equivalents   1,748,436   (1,017,004)
Cash and cash equivalents at beginning of the year   (273,404)  740,707 
Effects of exchange rate</t>
  </si>
  <si>
    <t>s bought back   -     (999,145)
Redemption of preference shares   (3)  (12)
Dividend paid   (379)  (122)
Net cash outflow from financing activities   (7,569,161)  (7,482,362)
Net increase / (decrease) in cash and cash equivalents   1,748,436   (1,017,004)
Cash and cash equivalents at beginning of the year   (273,404)  740,707 
Effects of e</t>
  </si>
  <si>
    <t>781)  (1,733,621)
Lease rentals paid during the year   (12,425)  -   
Own shares purchased for cancellation 6  (477,778)  -   
Dividend paid   (565)  (19,919)
Net cash generated from / (used in) financing activities 51  6,601,516   (6,732,688)
Net (decrease) / increase in cash and cash equivalents   (883,721)  70,286 
Cash and cash equi</t>
  </si>
  <si>
    <t>rentals paid  (14,611) (12,425)
Own share purchased for cancellation  (194,661) (477,778)
Redemption of preference shares  (5) -
Dividend paid  (191) (565)
Net cash (used in) / generated from financing activities  (6,632,403) 6,601,516
Net increase / (decrease) in cash and cash equivalents  1,336,779 (887,697)
Cash and cash equivalen</t>
  </si>
  <si>
    <t>e rentals paid  (18,529) (14,611)
Payments for shares bought back  (999,145) (194,661)
Redemption of preference shares  (12) (5)
Dividend paid  (122) (191)
Net cash outflow from financing activities  (7,482,362) (6,632,403)
Net (decrease) / increase in cash and cash equivalents  (1,017,004) 1,336,779
Cash and cash equivalents at begi</t>
  </si>
  <si>
    <t>entals paid   (20,572)  (18,529)
Payments for shares bought back   -     (999,145)
Redemption of preference shares   (3)  (12)
Dividend paid   (379)  (122)
Net cash outflow from financing activities   (7,569,161)  (7,482,362)
Net increase / (decrease) in cash and cash equivalents   1,748,436   (1,017,004)
Cash and cash equivalents at</t>
  </si>
  <si>
    <t>Lease rentals paid   (20,572)  (18,529)
Payments for shares bought back   -     (999,145)
Redemption of preference shares   (3)  (12)
Dividend paid   (379)  (122)
Net cash outflow from financing activities   (7,569,161)  (7,482,362)
Net increase / (decrease) in cash and cash equivalents   1,748,436   (1,017,004)
Cash and cash equival</t>
  </si>
  <si>
    <t>Restated
2021 2020
Note Rupees'000 Rupees'000
ASSETS
Non-current assets
Property, plant and equipment 14  21,422,215 22,065,172 
Right of use asset 15  89,334  60,322 
Long term deposits 16  86,601 86,601 
Advance against issue of shares  -    12,500 
Long term investment 17  15,349  -   
 21,613,499  22,2</t>
  </si>
  <si>
    <t>2022 2021
Note Rupees'000 Rupees'000
ASSETS
NON-CURRENT ASSETS
Property, plant and equipment 17 74,126,315 21,422,215 
Right of use asset 18 132,263 89,334 
Intangibles 19 11,029,756 - 
Long term deposits 20 126,274 86,601 
Long term investment in associate 21  66,657  15,349 
 85,481,265  21,613</t>
  </si>
  <si>
    <t>TY &amp; LIABILITIES ASSETS
EQUITY AND RESERVES NON-CURRENT 
ASSETS
Share capital 4  24,528,476  21,803,090 Property, plant and equipment 16  104,425,181 74,126,315 
Premium on issue of shares  15,253,134  17,978,520 Right of use asset 17  181,380  132,263 
Revenue reserve  25,394,127  17,954,446 Intangible assets and goodwill 18  10,957,737</t>
  </si>
  <si>
    <t>Note 2024 2023
  Rupees’000 Rupees’000
ASSETS  
NON-CURRENT ASSETS  
 Property, plant and equipment 16  110,845,663  104,425,181 
 Right of use asset 17  131,165   181,380 
 Intangible assets and goodwill 18  10,745,700   10,957,737 
 Long term deposits    129,700   129,700 
     121,852,228   115,693,998</t>
  </si>
  <si>
    <t>Note 2025 2024
  Rupees’000 Rupees’000
ASSETS 
NON–CURRENT ASSETS 
 Property, plant and equipment 17  109,579,089  110,845,663 
 Right of use asset 18  126,445   131,165 
 Intangible assets and goodwill 19  10,533,667   10,745,700 
 Long term deposits    133,425   129,700 
     120,372,626   121,852,228</t>
  </si>
  <si>
    <t>Note 2025 2024
  Rupees’000 Rupees’000
ASSETS 
NON–CURRENT ASSETS 
 Property, plant and equipment 17  109,579,089  110,845,663 
 Right of use asset 18  126,445   131,165 
 Intangible assets and goodwill 19  10,533,667   10,745,700 
 Long term deposits    133,425   129,700 
     120,372,626</t>
  </si>
  <si>
    <t>-    5,836  -    (572,639)  -   
Balance at 30 June 2020  360,282  6,768,444  29,897,084  33,688  19,944  91,443  121,147  46,929  237,675  27,855  2,808  37,607,299 
Balance as at 01 July 2020  360,282  6,768,444  29,897,084  33,688  19,944  91,443  121,147  46,929  237,675  27,855  2,808  37,607,299 
Additions  -    -    529,447</t>
  </si>
  <si>
    <t>(Note 
16.5)
Total
Rupees’000
As at July 01, 2021
Cost  360,282  6,768,444  30,546,353  33,688  20,497  96,724  125,980  46,075  235,990  -  27,855  202,087  38,463,975 
 Accumulated depreciation  -  (3,138,260)  (13,439,896)  (27,780)  (17,991)  (88,421)  (103,329)  (38,887)  (159,341)  -  (27,855)  -  (17,041,760)
 Net book value  3</t>
  </si>
  <si>
    <t>ts  34,308,692  28,859,605 
Solar power project  -  808,830 
Advance for capital expenditures  207,407  19,900 
Others  15,073  113,835 
 34,531,172  29,802,170 
16.6 Borrowing cost amounting to Rs. 1,644,653 thousand (2022: Rs. 567,225 thousand) is captalized 
during the year at captalization rate of 14.88% (2022: 8.98%). This includes t</t>
  </si>
  <si>
    <t>,366,781)
 Closing net book value   7,647,463   11,287,976   50,016,244   267,009   29,896   62,928   122,895   85,438   233,074   14,055   127,031   34,531,172   104,425,181 
 As at June 30, 2023 
 Cost   7,647,463   15,625,791   68,013,719   267,009   60,562   192,851   279,640   162,212   478,552   17,568   176,818   34,531,172   127</t>
  </si>
  <si>
    <t>losing net book value   7,741,642   –     19,743,268   –     81,260,206   396,629   39,213   66,673   129,856   95,454   274,473   12,298   385,798   700,153   110,845,663 
 As at June 30, 2024 
 Cost   7,741,642   –     24,777,153   –     102,118,103   396,629   76,922   232,543   317,335   192,884   564,626   17,568   455,267   700</t>
  </si>
  <si>
    <t>et book value   7,780,904   201,074   19,056,307   103,432   80,565,102   510,269   48,525   53,373   116,163   79,238   337,525   10,541   420,062   296,574   109,579,089 
 As at June 30, 2025 
 Cost   7,780,904   202,632   24,949,620   105,800   104,873,388   510,269   96,518   252,166   337,642   200,299   686,813   17,568   533,5</t>
  </si>
  <si>
    <t>021 2020
Note Rupees'000 Rupees'000
ASSETS
Non-current assets
Property, plant and equipment 14  21,422,215 22,065,172 
Right of use asset 15  89,334  60,322 
Long term deposits 16  86,601 86,601 
Advance against issue of shares  -    12,500 
Long term investment 17  15,349  -   
 21,613,499  22,224,595 
Current assets
Stores, spares a</t>
  </si>
  <si>
    <t>2022 2021
Note Rupees'000 Rupees'000
ASSETS
NON-CURRENT ASSETS
Property, plant and equipment 17 74,126,315 21,422,215 
Right of use asset 18 132,263 89,334 
Intangibles 19 11,029,756 - 
Long term deposits 20 126,274 86,601 
Long term investment in associate 21  66,657  15,349 
 85,481,265  21,613,499 
CURRENT ASSETS
Stores, spares an</t>
  </si>
  <si>
    <t>,803,090 Property, plant and equipment 16  104,425,181 74,126,315 
Premium on issue of shares  15,253,134  17,978,520 Right of use asset 17  181,380  132,263 
Revenue reserve  25,394,127  17,954,446 Intangible assets and goodwill 18  10,957,737  11,029,756 
 65,175,737  57,736,056 Long term deposits  129,700  126,274 
Long term investm</t>
  </si>
  <si>
    <t>pees’000 Rupees’000
ASSETS  
NON-CURRENT ASSETS  
 Property, plant and equipment 16  110,845,663  104,425,181 
 Right of use asset 17  131,165   181,380 
 Intangible assets and goodwill 18  10,745,700   10,957,737 
 Long term deposits    129,700   129,700 
     121,852,228   115,693,998 
CURRENT ASSETS  
 Stores, spares and lo</t>
  </si>
  <si>
    <t>Rupees’000 Rupees’000
ASSETS 
NON–CURRENT ASSETS 
 Property, plant and equipment 17  109,579,089  110,845,663 
 Right of use asset 18  126,445   131,165 
 Intangible assets and goodwill 19  10,533,667   10,745,700 
 Long term deposits    133,425   129,700 
     120,372,626   121,852,228 
CURRENT ASSETS 
 Stores, spares and loo</t>
  </si>
  <si>
    <t>025 2024
  Rupees’000 Rupees’000
ASSETS 
NON–CURRENT ASSETS 
 Property, plant and equipment 17  109,579,089  110,845,663 
 Right of use asset 18  126,445   131,165 
 Intangible assets and goodwill 19  10,533,667   10,745,700 
 Long term deposits    133,425   129,700 
     120,372,626   121,852,228 
CURRENT ASSETS 
 Stores, spar</t>
  </si>
  <si>
    <t>FAUJI CEMENT COMPANY LIMITED
FOR THE YEAR ENDED 30 JUNE 2021
162
STATEMENT OF FINANCIAL POSITION
Restated
2021 2020
Note Rupees'000 Rupees'000
EQUITY | Intangible assets</t>
  </si>
  <si>
    <t>2022 2021
Note Rupees'000 Rupees'000
ASSETS
NON-CURRENT ASSETS
Property, plant and equipment 17 74,126,315 21,422,215 
Right of use asset 18 132,263  | Intangibles</t>
  </si>
  <si>
    <t>5,253,134  17,978,520 Right of use asset 17  181,380  132,263 
Revenue reserve  25,394,127  17,954,446 Intangible assets and goodwill 18  10,957,737  11,029,756 
 65,175,737  57,736,056 Long term deposits  129,700  126,274 
Long term investment in associate  -  66,657 
NON-CURRENT LIABILITIES  115,693,998  85,481,265 
Long term loans - se</t>
  </si>
  <si>
    <t>operty, plant and equipment 16  110,845,663  104,425,181 
 Right of use asset 17  131,165   181,380 
 Intangible assets and goodwill 18  10,745,700   10,957,737 
 Long term deposits    129,700   129,700 
     121,852,228   115,693,998 
CURRENT ASSETS  
 Stores, spares and loose tools 19  9,099,130   8,011,181 
 Stock in trade 20  7,49</t>
  </si>
  <si>
    <t>operty, plant and equipment 17  109,579,089  110,845,663 
 Right of use asset 18  126,445   131,165 
 Intangible assets and goodwill 19  10,533,667   10,745,700 
 Long term deposits    133,425   129,700 
     120,372,626   121,852,228 
CURRENT ASSETS 
 Stores, spares and loose tools 20  10,377,008   9,099,130 
 Stock in trade 21  9,33</t>
  </si>
  <si>
    <t>T ASSETS 
 Property, plant and equipment 17  109,579,089  110,845,663 
 Right of use asset 18  126,445   131,165 
 Intangible assets and goodwill 19  10,533,667   10,745,700 
 Long term deposits    133,425   129,700 
     120,372,626   121,852,228 
CURRENT ASSETS 
 Stores, spares and loose tools 20  10,377,008   9,099,130 
 Stock in t</t>
  </si>
  <si>
    <t>FAUJI CEMENT COMPANY LIMITED
FOR THE YEAR ENDED 30 JUNE 2021
162
STATEMENT OF FINANCIAL POSITION
Restated
2021 2020
Note Rupees'000 Rupees'000
EQUITY | Investment property</t>
  </si>
  <si>
    <t>STATEMENT OF FINANCIAL POSITION
2022 2021
Note Rupees'000 Rupees'000
EQUITY &amp; LIABILITIES 
EQUITY AND RESERVES
Share capital 4 21,803,090 13,798,150  | Investment property</t>
  </si>
  <si>
    <t>FAUJI CEMENT COMPANY LIMITED
206
Fauji Cement Company Limited
Statement of Financial Position
As at June 30, 2023
2023 2022 2023 2022
Note Rupees’000 | Investment property</t>
  </si>
  <si>
    <t>Note 2024 2023
  Rupees’000 Rupees’000
EQUITY &amp; LIABILITIES   
EQUITY AND RESERVES  
 Share capital 4  24,528,476   24,528,476 
 Capital reserv | Investment property</t>
  </si>
  <si>
    <t>Note 2025 2024
  Rupees’000 Rupees’000
EQUITY &amp; LIABILITIES  
EQUITY AND RESERVES 
 Share capital 5  24,528,476   24,528,476 
 Capital reserve – | Investment property</t>
  </si>
  <si>
    <t>Restated
2021 2020
Note Rupees'000 Rupees'000
ASSETS
Non-current assets
Property, plant and equipment 14  21,422,215 22,065,172 
Right of use asset 1 | Long term investment</t>
  </si>
  <si>
    <t>ight of use asset 18 132,263 89,334 
Intangibles 19 11,029,756 - 
Long term deposits 20 126,274 86,601 
Long term investment in associate 21  66,657  15,349 
 85,481,265  21,613,499 
CURRENT ASSETS
Stores, spares and loose tools - net 22 11,939,147 4,250,754 
Stock in trade 23 3,697,721 1,189,198 
Trade debts - net 24 2,412,758 1,449,</t>
  </si>
  <si>
    <t>e assets and goodwill 18  10,957,737  11,029,756 
 65,175,737  57,736,056 Long term deposits  129,700  126,274 
Long term investment in associate  -  66,657 
NON-CURRENT LIABILITIES  115,693,998  85,481,265 
Long term loans - secured  5  31,777,087  19,555,997 
Employee benefits 6  211,595  179,291 
Lease liabilities 7  118,972  89,96</t>
  </si>
  <si>
    <t>Note 2024 2023
  Rupees’000 Rupees’000
EQUITY &amp; LIABILITIES   
EQUITY AND RESERVES  
 Share capital 4  24,528,476   24,528,476 
 Capital reserv | Long-term investments</t>
  </si>
  <si>
    <t>Note 2025 2024
  Rupees’000 Rupees’000
EQUITY &amp; LIABILITIES  
EQUITY AND RESERVES 
 Share capital 5  24,528,476   24,528,476 
 Capital reserve – | Long-term investments</t>
  </si>
  <si>
    <t>Restated
2021 2020
Note Rupees'000 Rupees'000
ASSETS
Non-current assets
Property, plant and equipment 14  21,422,215 22,065,172 
Right of use asset 15  89,334  60,322 
Long term d | Components: Advance against issue of shares; Long term deposits</t>
  </si>
  <si>
    <t>perty, plant and equipment 17 74,126,315 21,422,215 
Right of use asset 18 132,263 89,334 
Intangibles 19 11,029,756 - 
Long term deposits 20 126,274 86,601 
Long term investment in associate 21  66,657  15,349 
 85,481,265  21,613,499 
CURRENT ASSETS
Stores, spares and loose tools - net 22 11,939,147 4,250,754 
Stock in trade 23 3,69</t>
  </si>
  <si>
    <t>venue reserve  25,394,127  17,954,446 Intangible assets and goodwill 18  10,957,737  11,029,756 
 65,175,737  57,736,056 Long term deposits  129,700  126,274 
Long term investment in associate  -  66,657 
NON-CURRENT LIABILITIES  115,693,998  85,481,265 
Long term loans - secured  5  31,777,087  19,555,997 
Employee benefits 6  211,595</t>
  </si>
  <si>
    <t>,845,663  104,425,181 
 Right of use asset 17  131,165   181,380 
 Intangible assets and goodwill 18  10,745,700   10,957,737 
 Long term deposits    129,700   129,700 
     121,852,228   115,693,998 
CURRENT ASSETS  
 Stores, spares and loose tools 19  9,099,130   8,011,181 
 Stock in trade 20  7,495,705   7,112,327 
 Trade debts</t>
  </si>
  <si>
    <t>110,845,663 
 Right of use asset 18  126,445   131,165 
 Intangible assets and goodwill 19  10,533,667   10,745,700 
 Long term deposits    133,425   129,700 
     120,372,626   121,852,228 
CURRENT ASSETS 
 Stores, spares and loose tools 20  10,377,008   9,099,130 
 Stock in trade 21  9,337,617   7,495,705 
 Trade debts 22  6,911,</t>
  </si>
  <si>
    <t>,579,089  110,845,663 
 Right of use asset 18  126,445   131,165 
 Intangible assets and goodwill 19  10,533,667   10,745,700 
 Long term deposits    133,425   129,700 
     120,372,626   121,852,228 
CURRENT ASSETS 
 Stores, spares and loose tools 20  10,377,008   9,099,130 
 Stock in trade 21  9,337,617   7,495,705 
 Trade debts</t>
  </si>
  <si>
    <t>e of shares  -    12,500 
Long term investment 17  15,349  -   
 21,613,499  22,224,595 
Current assets
Stores, spares and loose tools 18  4,250,754  3,505,809 
Stock in trade 19  1,189,198  1,187,752 
Trade debts 20  1,449,600  1,050,640 
Advances 21  45,593  73,695 
Trade deposits and short term prepayments 22  26,147  19,843 
Advance</t>
  </si>
  <si>
    <t>601 
Long term investment in associate 21  66,657  15,349 
 85,481,265  21,613,499 
CURRENT ASSETS
Stores, spares and loose tools - net 22 11,939,147 4,250,754 
Stock in trade 23 3,697,721 1,189,198 
Trade debts - net 24 2,412,758 1,449,600 
Advances 25 193,629 45,593 
Sales tax refundable-net 26 2,650,804 - 
Trade deposits and short ter</t>
  </si>
  <si>
    <t>oan from Parent - unsecured 10  7,387,000  7,387,000 
Trade and other payables 11  6,516,462  6,917,149 Stores, spares and loose tools 19  8,011,181  11,939,147 
Accrued liabilities  4,022,396  4,321,163 Stock in trade 20  7,112,327  3,697,721 
Security deposits payable 12  455,052  461,712 Trade debts 21  3,572,445  2,412,758 
Contract l</t>
  </si>
  <si>
    <t>7,737 
 Long term deposits    129,700   129,700 
     121,852,228   115,693,998 
CURRENT ASSETS  
 Stores, spares and loose tools 19  9,099,130   8,011,181 
 Stock in trade 20  7,495,705   7,112,327 
 Trade debts 21  5,545,241   3,572,445 
 Advances 22  145,244   366,231 
 Sales tax refundable-net  –   1,820,851 
 Trade deposits and</t>
  </si>
  <si>
    <t>5,700 
 Long term deposits    133,425   129,700 
     120,372,626   121,852,228 
CURRENT ASSETS 
 Stores, spares and loose tools 20  10,377,008   9,099,130 
 Stock in trade 21  9,337,617   7,495,705 
 Trade debts 22  6,911,322   5,545,241 
 Advances 23  305,685   145,244 
 Sales tax refundable – net   526,868  –  
 Trade deposits and</t>
  </si>
  <si>
    <t>3,667   10,745,700 
 Long term deposits    133,425   129,700 
     120,372,626   121,852,228 
CURRENT ASSETS 
 Stores, spares and loose tools 20  10,377,008   9,099,130 
 Stock in trade 21  9,337,617   7,495,705 
 Trade debts 22  6,911,322   5,545,241 
 Advances 23  305,685   145,244 
 Sales tax refundable – net   526,868  –  
 Trade</t>
  </si>
  <si>
    <t>tment 17  15,349  -   
 21,613,499  22,224,595 
Current assets
Stores, spares and loose tools 18  4,250,754  3,505,809 
Stock in trade 19  1,189,198  1,187,752 
Trade debts 20  1,449,600  1,050,640 
Advances 21  45,593  73,695 
Trade deposits and short term prepayments 22  26,147  19,843 
Advance tax - net   90,073  562,239 
Other receiv</t>
  </si>
  <si>
    <t>21  66,657  15,349 
 85,481,265  21,613,499 
CURRENT ASSETS
Stores, spares and loose tools - net 22 11,939,147 4,250,754 
Stock in trade 23 3,697,721 1,189,198 
Trade debts - net 24 2,412,758 1,449,600 
Advances 25 193,629 45,593 
Sales tax refundable-net 26 2,650,804 - 
Trade deposits and short term prepayments 27 22,559 26,147 
Advance</t>
  </si>
  <si>
    <t>,516,462  6,917,149 Stores, spares and loose tools 19  8,011,181  11,939,147 
Accrued liabilities  4,022,396  4,321,163 Stock in trade 20  7,112,327  3,697,721 
Security deposits payable 12  455,052  461,712 Trade debts 21  3,572,445  2,412,758 
Contract liabilities 13  584,809  862,309 Advances 22  366,231  193,629 
Employee benefits -</t>
  </si>
  <si>
    <t>,700 
     121,852,228   115,693,998 
CURRENT ASSETS  
 Stores, spares and loose tools 19  9,099,130   8,011,181 
 Stock in trade 20  7,495,705   7,112,327 
 Trade debts 21  5,545,241   3,572,445 
 Advances 22  145,244   366,231 
 Sales tax refundable-net  –   1,820,851 
 Trade deposits and short term prepayments 23  35,696   24,840</t>
  </si>
  <si>
    <t>,700 
     120,372,626   121,852,228 
CURRENT ASSETS 
 Stores, spares and loose tools 20  10,377,008   9,099,130 
 Stock in trade 21  9,337,617   7,495,705 
 Trade debts 22  6,911,322   5,545,241 
 Advances 23  305,685   145,244 
 Sales tax refundable – net   526,868  –  
 Trade deposits and short term prepayments 24  57,182   35,696</t>
  </si>
  <si>
    <t>33,425   129,700 
     120,372,626   121,852,228 
CURRENT ASSETS 
 Stores, spares and loose tools 20  10,377,008   9,099,130 
 Stock in trade 21  9,337,617   7,495,705 
 Trade debts 22  6,911,322   5,545,241 
 Advances 23  305,685   145,244 
 Sales tax refundable – net   526,868  –  
 Trade deposits and short term prepayments 24  57,</t>
  </si>
  <si>
    <t>,224,595 
Current assets
Stores, spares and loose tools 18  4,250,754  3,505,809 
Stock in trade 19  1,189,198  1,187,752 
Trade debts 20  1,449,600  1,050,640 
Advances 21  45,593  73,695 
Trade deposits and short term prepayments 22  26,147  19,843 
Advance tax - net   90,073  562,239 
Other receivables 23  88,890  22,169 
Short term i</t>
  </si>
  <si>
    <t>9 
CURRENT ASSETS
Stores, spares and loose tools - net 22 11,939,147 4,250,754 
Stock in trade 23 3,697,721 1,189,198 
Trade debts - net 24 2,412,758 1,449,600 
Advances 25 193,629 45,593 
Sales tax refundable-net 26 2,650,804 - 
Trade deposits and short term prepayments 27 22,559 26,147 
Advance tax - net 975,108 90,073 
Other receivabl</t>
  </si>
  <si>
    <t>liabilities  4,022,396  4,321,163 Stock in trade 20  7,112,327  3,697,721 
Security deposits payable 12  455,052  461,712 Trade debts 21  3,572,445  2,412,758 
Contract liabilities 13  584,809  862,309 Advances 22  366,231  193,629 
Employee benefits - current portion 6  96,468  80,756 Sales tax refundable-net 23  1,820,851  2,650,804</t>
  </si>
  <si>
    <t>CURRENT ASSETS  
 Stores, spares and loose tools 19  9,099,130   8,011,181 
 Stock in trade 20  7,495,705   7,112,327 
 Trade debts 21  5,545,241   3,572,445 
 Advances 22  145,244   366,231 
 Sales tax refundable-net  –   1,820,851 
 Trade deposits and short term prepayments 23  35,696   24,840 
 Advance tax - net    –    723,704 
 Ot</t>
  </si>
  <si>
    <t>CURRENT ASSETS 
 Stores, spares and loose tools 20  10,377,008   9,099,130 
 Stock in trade 21  9,337,617   7,495,705 
 Trade debts 22  6,911,322   5,545,241 
 Advances 23  305,685   145,244 
 Sales tax refundable – net   526,868  –  
 Trade deposits and short term prepayments 24  57,182   35,696 
 Advance tax – net     1,032,953  –</t>
  </si>
  <si>
    <t>,852,228 
CURRENT ASSETS 
 Stores, spares and loose tools 20  10,377,008   9,099,130 
 Stock in trade 21  9,337,617   7,495,705 
 Trade debts 22  6,911,322   5,545,241 
 Advances 23  305,685   145,244 
 Sales tax refundable – net   526,868  –  
 Trade deposits and short term prepayments 24  57,182   35,696 
 Advance tax – net     1,0</t>
  </si>
  <si>
    <t>Restated
2021 2020
Note Rupees'000 Rupees'000
ASSETS
Non-current assets
Property, plant and equipment 14  21,422,215 22,065,172 
Right of use asset 1 | Short term investments</t>
  </si>
  <si>
    <t>d short term prepayments 27 22,559 26,147 
Advance tax - net 975,108 90,073 
Other receivables 28 175,443 88,890 
Short term investments 29 3,843,010 4,397,699 
Cash and bank balances 30 2,306,633 900,778 
28,216,812 12,438,732 
TOTAL ASSETS 113,698,077 34,052,231 
CHIEF EXECUTIVE OFFICER CHIEF FINANCIAL OFFICERDIRECTOR
185
ANNUAL REPORT</t>
  </si>
  <si>
    <t>4,530,981  3,218,249 Other receivables 25  282,463  175,443 
Current portion of lease liability 7  50,463  68,332 Short term investments 26  250,000  3,843,010 
Current portion of long term loans 5  4,176,493  2,985,087 Cash and bank balances 27  970,457  2,306,633 
Current portion of deferred government grant 8  604,292  366,464  23,134</t>
  </si>
  <si>
    <t>hort term prepayments 23  35,696   24,840 
 Advance tax - net    –    723,704 
 Other receivables 24  280,071   282,463 
 Short term investments  25  250,000   250,000 
 Cash and bank balances 26  2,932,984   970,457 
     25,784,071   23,134,499 
TOTAL ASSETS   147,636,299   138,828,497 
Chief Executiv</t>
  </si>
  <si>
    <t>payments 24  57,182   35,696 
 Advance tax – net     1,032,953  –  
 Other receivables 25  48,492   280,071 
 Short term investments  26  9,210,100   250,000 
 Cash and bank balances 27  2,665,338   2,932,984 
     40,472,565   25,784,071 
TOTAL ASSETS   160,845,191   147,636,299 
Chief Executive Officer Direct</t>
  </si>
  <si>
    <t>ort term prepayments 24  57,182   35,696 
 Advance tax – net     1,032,953  –  
 Other receivables 25  48,492   280,071 
 Short term investments  26  9,210,100   250,000 
 Cash and bank balances 27  2,665,338   2,932,984 
     40,472,565   25,784,071 
TOTAL ASSETS   160,845,191   147,636,299 
Chief Executive Offi</t>
  </si>
  <si>
    <t>nce tax - net   90,073  562,239 
Other receivables 23  88,890  22,169 
Short term investments 24  4,397,699  -   
Cash and bank balances 25  900,778  561,174 
 12,438,732  6,983,321 
TOTAL ASSETS  34,052,231  29,207,916 
CHIEF EXECUTIVE OFFICER CHIEF FINANCIAL OFFICERDIRECTOR</t>
  </si>
  <si>
    <t>nce tax - net 975,108 90,073 
Other receivables 28 175,443 88,890 
Short term investments 29 3,843,010 4,397,699 
Cash and bank balances 30 2,306,633 900,778 
28,216,812 12,438,732 
TOTAL ASSETS 113,698,077 34,052,231 
CHIEF EXECUTIVE OFFICER CHIEF FINANCIAL OFFICERDIRECTOR
185
ANNUAL REPORT 2022</t>
  </si>
  <si>
    <t>68,332 Short term investments 26  250,000  3,843,010 
Current portion of long term loans 5  4,176,493  2,985,087 Cash and bank balances 27  970,457  2,306,633 
Current portion of deferred government grant 8  604,292  366,464  23,134,499  28,216,812 
 28,486,855  26,721,253 
TOTAL EQUITY AND LIABILITIES  138,828,497  113,698,077 TOTAL AS</t>
  </si>
  <si>
    <t>et    –    723,704 
 Other receivables 24  280,071   282,463 
 Short term investments  25  250,000   250,000 
 Cash and bank balances 26  2,932,984   970,457 
     25,784,071   23,134,499 
TOTAL ASSETS   147,636,299   138,828,497 
Chief Executive Officer Director Chief Financial Officer
Fauji Cement Com</t>
  </si>
  <si>
    <t>1,032,953  –  
 Other receivables 25  48,492   280,071 
 Short term investments  26  9,210,100   250,000 
 Cash and bank balances 27  2,665,338   2,932,984 
     40,472,565   25,784,071 
TOTAL ASSETS   160,845,191   147,636,299 
Chief Executive Officer Director Chief Financial Officer
Financial InformationFau</t>
  </si>
  <si>
    <t>e tax – net     1,032,953  –  
 Other receivables 25  48,492   280,071 
 Short term investments  26  9,210,100   250,000 
 Cash and bank balances 27  2,665,338   2,932,984 
     40,472,565   25,784,071 
TOTAL ASSETS   160,845,191   147,636,299 
Chief Executive Officer Director Chief Financial Officer
Financial In</t>
  </si>
  <si>
    <t>Restated
2021 2020
Note Rupees'000 Rupees'000
ASSETS
Non-current assets
Property, plant and equipment 14  21,422,215 22,065,172 
Right of use asset 15  89,334  60,322 
Long term d | Components: Advance tax - net; Advances; Other receivables; Trade deposits and short term prepayment</t>
  </si>
  <si>
    <t>2022 2021
Note Rupees'000 Rupees'000
ASSETS
NON-CURRENT ASSETS
Property, plant and equipment 17 74,126,315 21,422,215 
Right of use asset 18 132,263 89,334 
Intangibles 19 11,029, | Components: Advance tax - net; Advances; Other receivables; Sales tax refundable-net; Trade deposits and short term prepayment</t>
  </si>
  <si>
    <t>ANNUAL  
REPORT2023
207
2023 2022 2023 2022
Note Rupees’000 Rupees’000 Note Rupees’000 Rupees’000
EQUITY &amp; LIABILITIES ASSETS
EQUITY AND RESERVES NON-CURRENT 
ASSETS
Share capital | Components: Advance tax - net; Advances; Other receivables; Sales tax refundable-net; Trade deposits and short term prepayment</t>
  </si>
  <si>
    <t>Note 2024 2023
  Rupees’000 Rupees’000
ASSETS  
NON-CURRENT ASSETS  
 Property, plant and equipment 16  110,845,663  104,425,181 
 Right of use asset 17  131,165   181,380 
 | Components: Advance tax - net; Advances; Other receivables; Sales tax refundable-net; Trade deposits and short term prepayment</t>
  </si>
  <si>
    <t>Note 2025 2024
  Rupees’000 Rupees’000
ASSETS 
NON–CURRENT ASSETS 
 Property, plant and equipment 17  109,579,089  110,845,663 
 Right of use asset 18  126,445   131,165 
 In | Components: Advance tax - net; Advances; Other receivables; Sales tax refundable - net; Trade deposits and short term prepayment</t>
  </si>
  <si>
    <t>DED 30 JUNE 2021
162
STATEMENT OF FINANCIAL POSITION
Restated
2021 2020
Note Rupees'000 Rupees'000
EQUITY
Share capital and reserves
Share capital 4  13,798,150  13,798,150 
Discount on issue of shares  (1,364,385)  (1,364,385)
Unappropriated profits  10,841,906  7,370,555 
Total equity  23,275,671  19,804,320 
LIABILITIES
Long term loans</t>
  </si>
  <si>
    <t>STATEMENT OF FINANCIAL POSITION
2022 2021
Note Rupees'000 Rupees'000
EQUITY &amp; LIABILITIES 
EQUITY AND RESERVES
Share capital 4 21,803,090 13,798,150 
Premium/(discount) on issue of shares 5 17,978,520 (1,364,385)
Unappropriated profit 17,954,446 10,841,906 
57,736,056 23,275,671 
NON-CURRENT LIABILITIES 
Long term loans - secu</t>
  </si>
  <si>
    <t>ote Rupees’000 Rupees’000 Note Rupees’000 Rupees’000
EQUITY &amp; LIABILITIES ASSETS
EQUITY AND RESERVES NON-CURRENT 
ASSETS
Share capital 4  24,528,476  21,803,090 Property, plant and equipment 16  104,425,181 74,126,315 
Premium on issue of shares  15,253,134  17,978,520 Right of use asset 17  181,380  132,263 
Revenue reserve  25,394,127</t>
  </si>
  <si>
    <t>Note 2024 2023
  Rupees’000 Rupees’000
EQUITY &amp; LIABILITIES   
EQUITY AND RESERVES  
 Share capital 4  24,528,476   24,528,476 
 Capital reserve - Premium on issue of shares   15,253,134   15,253,134 
 Revenue reserve - Accumulated profits   33,617,243   25,394,127 
     73,398,853   65,175,7</t>
  </si>
  <si>
    <t>Note 2025 2024
  Rupees’000 Rupees’000
EQUITY &amp; LIABILITIES  
EQUITY AND RESERVES 
 Share capital 5  24,528,476   24,528,476 
 Capital reserve – Premium on issue of shares   15,253,134   15,253,134 
 Revenue reserve – Accumulated profits   44,490,598   33,617,243 
     84,272,208   73,398,8</t>
  </si>
  <si>
    <t>FAUJI CEMENT COMPANY LIMITED
FOR THE YEAR ENDED 30 JUNE 2021
162
STATEMENT OF FINANCIAL POSITION
Restated
2021 2020
Note Rupees'000 Rupees'000
EQUITY
Share capital and reserves
Sh | Components: Discount on issue of shares; Unappropriated profits</t>
  </si>
  <si>
    <t>STATEMENT OF FINANCIAL POSITION
2022 2021
Note Rupees'000 Rupees'000
EQUITY &amp; LIABILITIES 
EQUITY AND RESERVES
Share capital 4 21,803,090 13,798,150 
Premium/(discount) on issue o | Components: Premium/(discount) on issue of shares; Unappropriated profit</t>
  </si>
  <si>
    <t>FAUJI CEMENT COMPANY LIMITED
206
Fauji Cement Company Limited
Statement of Financial Position
As at June 30, 2023
2023 2022 2023 2022
Note Rupees’000 Rupees’000 Note Rupees’000 Ru | Components: Premium on issue of shares; Revenue reserve</t>
  </si>
  <si>
    <t>Note 2024 2023
  Rupees’000 Rupees’000
EQUITY &amp; LIABILITIES   
EQUITY AND RESERVES  
 Share capital 4  24,528,476   24,528,476 
 Capital reserve - Premium on issue of shares | Components: Capital reserve - Premium on issue of sh; Revenue reserve - Accumulated profits</t>
  </si>
  <si>
    <t>Note 2025 2024
  Rupees’000 Rupees’000
EQUITY &amp; LIABILITIES  
EQUITY AND RESERVES 
 Share capital 5  24,528,476   24,528,476 
 Capital reserve – Premium on issue of shares    | Components: Capital reserve - Premium on issue of sh; Revenue reserve - Accumulated profits</t>
  </si>
  <si>
    <t>(1,364,385)
Unappropriated profits  10,841,906  7,370,555 
Total equity  23,275,671  19,804,320 
LIABILITIES
Long term loans - secured  5  491,502  447,327 
Employee benefits 6  82,380  72,547 
Lease liability 7  73,593  57,656 
Deferred government grant  22,261  -   
Deferred tax liabilities - net 8  3,960,489 3,643,608 
 4,630,225</t>
  </si>
  <si>
    <t>8,520 (1,364,385)
Unappropriated profit 17,954,446 10,841,906 
57,736,056 23,275,671 
NON-CURRENT LIABILITIES 
Long term loans - secured 6 19,555,997 491,502 
Employee benefits 7 179,291 82,380 
Lease liabilities 8 89,965 73,593 
Deferred government grant 9 1,982,301 6,607 
Deferred tax liabilities - net 10 7,433,214 3,960,489 
29,240,</t>
  </si>
  <si>
    <t>0  126,274 
Long term investment in associate  -  66,657 
NON-CURRENT LIABILITIES  115,693,998  85,481,265 
Long term loans - secured  5  31,777,087  19,555,997 
Employee benefits 6  211,595  179,291 
Lease liabilities 7  118,972  89,965 
Deferred government grant 8  2,745,849  1,982,301 
Deferred tax liabilities - net 9  10,312,402  7,43</t>
  </si>
  <si>
    <t>cumulated profits   33,617,243   25,394,127 
     73,398,853   65,175,737 
NON-CURRENT LIABILITIES   
 Long term loans - secured   5  29,908,287   31,777,087 
 Employee benefits 6  250,230   211,595 
 Lease liabilities 7  117,454   118,972 
 Deferred government grant 8  2,164,959   2,745,849 
 Deferred tax liabilities - net 9  14,931,0</t>
  </si>
  <si>
    <t>– Accumulated profits   44,490,598   33,617,243 
     84,272,208   73,398,853 
NON–CURRENT LIABILITIES  
 Long term loans – secured   6  24,208,633   29,908,287 
 Employee benefits 7  283,590   250,230 
 Lease liabilities 8  101,211   117,454 
 Deferred government grant 9  1,647,630   2,164,959 
 Deferred tax liabilities – net 10  19,694,</t>
  </si>
  <si>
    <t>enue reserve – Accumulated profits   44,490,598   33,617,243 
     84,272,208   73,398,853 
NON–CURRENT LIABILITIES  
 Long term loans – secured   6  24,208,633   29,908,287 
 Employee benefits 7  283,590   250,230 
 Lease liabilities 8  101,211   117,454 
 Deferred government grant 9  1,647,630   2,164,959 
 Deferred tax liabilities – ne</t>
  </si>
  <si>
    <t>23,275,671  19,804,320 
LIABILITIES
Long term loans - secured  5  491,502  447,327 
Employee benefits 6  82,380  72,547 
Lease liability 7  73,593  57,656 
Deferred government grant  22,261  -   
Deferred tax liabilities - net 8  3,960,489 3,643,608 
 4,630,225  4,221,138 
Current liabilities
Trade and other payables 9  1,822,642  1</t>
  </si>
  <si>
    <t>6 23,275,671 
NON-CURRENT LIABILITIES 
Long term loans - secured 6 19,555,997 491,502 
Employee benefits 7 179,291 82,380 
Lease liabilities 8 89,965 73,593 
Deferred government grant 9 1,982,301 6,607 
Deferred tax liabilities - net 10 7,433,214 3,960,489 
29,240,768 4,614,571 
CURRENT LIABILITIES
Loan from Parent - unsecured 11 7,38</t>
  </si>
  <si>
    <t>115,693,998  85,481,265 
Long term loans - secured  5  31,777,087  19,555,997 
Employee benefits 6  211,595  179,291 
Lease liabilities 7  118,972  89,965 
Deferred government grant 8  2,745,849  1,982,301 
Deferred tax liabilities - net 9  10,312,402  7,433,214 
 45,165,905  29,240,768 
CURRENT LIABILITIES CURRENT ASSETS
Loan from</t>
  </si>
  <si>
    <t>RENT LIABILITIES   
 Long term loans - secured   5  29,908,287   31,777,087 
 Employee benefits 6  250,230   211,595 
 Lease liabilities 7  117,454   118,972 
 Deferred government grant 8  2,164,959   2,745,849 
 Deferred tax liabilities - net 9  14,931,049   10,312,402 
     47,371,979   45,165,905 
CURRENT LIABILITIES  
 Loan from Pa</t>
  </si>
  <si>
    <t>RRENT LIABILITIES  
 Long term loans – secured   6  24,208,633   29,908,287 
 Employee benefits 7  283,590   250,230 
 Lease liabilities 8  101,211   117,454 
 Deferred government grant 9  1,647,630   2,164,959 
 Deferred tax liabilities – net 10  19,694,422   14,931,049 
     45,935,486   47,371,979 
CURRENT LIABILITIES 
 Loan from Pa</t>
  </si>
  <si>
    <t>53 
NON–CURRENT LIABILITIES  
 Long term loans – secured   6  24,208,633   29,908,287 
 Employee benefits 7  283,590   250,230 
 Lease liabilities 8  101,211   117,454 
 Deferred government grant 9  1,647,630   2,164,959 
 Deferred tax liabilities – net 10  19,694,422   14,931,049 
     45,935,486   47,371,979 
CURRENT LIABILITIES 
 Lo</t>
  </si>
  <si>
    <t>FAUJI CEMENT COMPANY LIMITED
FOR THE YEAR ENDED 30 JUNE 2021
162
STATEMENT OF FINANCIAL POSITION
Restated
2021 2020
Note Rupees'000 Rupees'000
EQUITY | Deferred government grant</t>
  </si>
  <si>
    <t>rm loans - secured 6 19,555,997 491,502 
Employee benefits 7 179,291 82,380 
Lease liabilities 8 89,965 73,593 
Deferred government grant 9 1,982,301 6,607 
Deferred tax liabilities - net 10 7,433,214 3,960,489 
29,240,768 4,614,571 
CURRENT LIABILITIES
Loan from Parent - unsecured 11 7,387,000 - 
Trade and other payables 12 6,917,14</t>
  </si>
  <si>
    <t>ured  5  31,777,087  19,555,997 
Employee benefits 6  211,595  179,291 
Lease liabilities 7  118,972  89,965 
Deferred government grant 8  2,745,849  1,982,301 
Deferred tax liabilities - net 9  10,312,402  7,433,214 
 45,165,905  29,240,768 
CURRENT LIABILITIES CURRENT ASSETS
Loan from Parent - unsecured 10  7,387,000  7,387,000 
Trade</t>
  </si>
  <si>
    <t>29,908,287   31,777,087 
 Employee benefits 6  250,230   211,595 
 Lease liabilities 7  117,454   118,972 
 Deferred government grant 8  2,164,959   2,745,849 
 Deferred tax liabilities - net 9  14,931,049   10,312,402 
     47,371,979   45,165,905 
CURRENT LIABILITIES  
 Loan from Parent - unsecured 10  7,387,000   7,387,000 
 Trade an</t>
  </si>
  <si>
    <t>24,208,633   29,908,287 
 Employee benefits 7  283,590   250,230 
 Lease liabilities 8  101,211   117,454 
 Deferred government grant 9  1,647,630   2,164,959 
 Deferred tax liabilities – net 10  19,694,422   14,931,049 
     45,935,486   47,371,979 
CURRENT LIABILITIES 
 Loan from Parent – unsecured 11  7,572,186   7,387,000 
 Trade an</t>
  </si>
  <si>
    <t>secured   6  24,208,633   29,908,287 
 Employee benefits 7  283,590   250,230 
 Lease liabilities 8  101,211   117,454 
 Deferred government grant 9  1,647,630   2,164,959 
 Deferred tax liabilities – net 10  19,694,422   14,931,049 
     45,935,486   47,371,979 
CURRENT LIABILITIES 
 Loan from Parent – unsecured 11  7,572,186   7,387,00</t>
  </si>
  <si>
    <t>ee benefits 6  82,380  72,547 
Lease liability 7  73,593  57,656 
Deferred government grant  22,261  -   
Deferred tax liabilities - net 8  3,960,489 3,643,608 
 4,630,225  4,221,138 
Current liabilities
Trade and other payables 9  1,822,642  1,163,246 
Accrued liabilities  1,554,895  1,122,217 
Security deposits payable 10  260,652  253</t>
  </si>
  <si>
    <t>enefits 7 179,291 82,380 
Lease liabilities 8 89,965 73,593 
Deferred government grant 9 1,982,301 6,607 
Deferred tax liabilities - net 10 7,433,214 3,960,489 
29,240,768 4,614,571 
CURRENT LIABILITIES
Loan from Parent - unsecured 11 7,387,000 - 
Trade and other payables 12 6,917,149 1,822,642 
Accrued liabilities 4,321,163 1,554,895 
S</t>
  </si>
  <si>
    <t>,595  179,291 
Lease liabilities 7  118,972  89,965 
Deferred government grant 8  2,745,849  1,982,301 
Deferred tax liabilities - net 9  10,312,402  7,433,214 
 45,165,905  29,240,768 
CURRENT LIABILITIES CURRENT ASSETS
Loan from Parent - unsecured 10  7,387,000  7,387,000 
Trade and other payables 11  6,516,462  6,917,149 Stores, spare</t>
  </si>
  <si>
    <t>11,595 
 Lease liabilities 7  117,454   118,972 
 Deferred government grant 8  2,164,959   2,745,849 
 Deferred tax liabilities - net 9  14,931,049   10,312,402 
     47,371,979   45,165,905 
CURRENT LIABILITIES  
 Loan from Parent - unsecured 10  7,387,000   7,387,000 
 Trade and other payables 11  5,966,191   6,516,462 
 Accrued liabili</t>
  </si>
  <si>
    <t>0,230 
 Lease liabilities 8  101,211   117,454 
 Deferred government grant 9  1,647,630   2,164,959 
 Deferred tax liabilities – net 10  19,694,422   14,931,049 
     45,935,486   47,371,979 
CURRENT LIABILITIES 
 Loan from Parent – unsecured 11  7,572,186   7,387,000 
 Trade and other payables 12  3,934,508   6,108,790 
 Accrued liabilit</t>
  </si>
  <si>
    <t>283,590   250,230 
 Lease liabilities 8  101,211   117,454 
 Deferred government grant 9  1,647,630   2,164,959 
 Deferred tax liabilities – net 10  19,694,422   14,931,049 
     45,935,486   47,371,979 
CURRENT LIABILITIES 
 Loan from Parent – unsecured 11  7,572,186   7,387,000 
 Trade and other payables 12  3,934,508   6,108,790 
 Acc</t>
  </si>
  <si>
    <t>10,841,906  7,370,555 
Total equity  23,275,671  19,804,320 
LIABILITIES
Long term loans - secured  5  491,502  447,327 
Employee benefits 6  82,380  72,547 
Lease liability 7  73,593  57,656 
Deferred government grant  22,261  -   
Deferred tax liabilities - net 8  3,960,489 3,643,608 
 4,630,225  4,221,138 
Current liabilities
Trade</t>
  </si>
  <si>
    <t>it 17,954,446 10,841,906 
57,736,056 23,275,671 
NON-CURRENT LIABILITIES 
Long term loans - secured 6 19,555,997 491,502 
Employee benefits 7 179,291 82,380 
Lease liabilities 8 89,965 73,593 
Deferred government grant 9 1,982,301 6,607 
Deferred tax liabilities - net 10 7,433,214 3,960,489 
29,240,768 4,614,571 
CURRENT LIABILITIES
L</t>
  </si>
  <si>
    <t>ate  -  66,657 
NON-CURRENT LIABILITIES  115,693,998  85,481,265 
Long term loans - secured  5  31,777,087  19,555,997 
Employee benefits 6  211,595  179,291 
Lease liabilities 7  118,972  89,965 
Deferred government grant 8  2,745,849  1,982,301 
Deferred tax liabilities - net 9  10,312,402  7,433,214 
 45,165,905  29,240,768 
CURRENT</t>
  </si>
  <si>
    <t>73,398,853   65,175,737 
NON-CURRENT LIABILITIES   
 Long term loans - secured   5  29,908,287   31,777,087 
 Employee benefits 6  250,230   211,595 
 Lease liabilities 7  117,454   118,972 
 Deferred government grant 8  2,164,959   2,745,849 
 Deferred tax liabilities - net 9  14,931,049   10,312,402 
     47,371,979   45,165</t>
  </si>
  <si>
    <t>243 
     84,272,208   73,398,853 
NON–CURRENT LIABILITIES  
 Long term loans – secured   6  24,208,633   29,908,287 
 Employee benefits 7  283,590   250,230 
 Lease liabilities 8  101,211   117,454 
 Deferred government grant 9  1,647,630   2,164,959 
 Deferred tax liabilities – net 10  19,694,422   14,931,049 
     45,935,486   47,37</t>
  </si>
  <si>
    <t>33,617,243 
     84,272,208   73,398,853 
NON–CURRENT LIABILITIES  
 Long term loans – secured   6  24,208,633   29,908,287 
 Employee benefits 7  283,590   250,230 
 Lease liabilities 8  101,211   117,454 
 Deferred government grant 9  1,647,630   2,164,959 
 Deferred tax liabilities – net 10  19,694,422   14,931,049 
     45,935,4</t>
  </si>
  <si>
    <t>22,261  -   
Deferred tax liabilities - net 8  3,960,489 3,643,608 
 4,630,225  4,221,138 
Current liabilities
Trade and other payables 9  1,822,642  1,163,246 
Accrued liabilities  1,554,895  1,122,217 
Security deposits payable 10  260,652  253,940 
Contract liabilities 11  435,097  367,952 
Employee benefits - current portion 6  20,86</t>
  </si>
  <si>
    <t>10 7,433,214 3,960,489 
29,240,768 4,614,571 
CURRENT LIABILITIES
Loan from Parent - unsecured 11 7,387,000 - 
Trade and other payables 12 6,917,149 1,822,642 
Accrued liabilities 4,321,163 1,554,895 
Security deposits payable 13 461,712 260,652 
Contract liabilities 14 862,309 435,097 
Employee benefits - current portion 7 80,756 20,86</t>
  </si>
  <si>
    <t>65,905  29,240,768 
CURRENT LIABILITIES CURRENT ASSETS
Loan from Parent - unsecured 10  7,387,000  7,387,000 
Trade and other payables 11  6,516,462  6,917,149 Stores, spares and loose tools 19  8,011,181  11,939,147 
Accrued liabilities  4,022,396  4,321,163 Stock in trade 20  7,112,327  3,697,721 
Security deposits payable 12  455,052</t>
  </si>
  <si>
    <t>47,371,979   45,165,905 
CURRENT LIABILITIES  
 Loan from Parent - unsecured 10  7,387,000   7,387,000 
 Trade and other payables 11  5,966,191   6,516,462 
 Accrued liabilities   5,154,131   4,022,396 
 Security deposits payable  12  545,487   455,052 
 Contract liabilities 13  432,704   584,809 
 Employee benefits - current portion</t>
  </si>
  <si>
    <t>45,935,486   47,371,979 
CURRENT LIABILITIES 
 Loan from Parent – unsecured 11  7,572,186   7,387,000 
 Trade and other payables 12  3,934,508   6,108,790 
 Accrued liabilities 13  9,076,142   5,154,131 
 Security deposits payable  14  570,602   545,487 
 Contract liabilities   588,076   432,704 
 Unclaimed dividend   41,182   35,64</t>
  </si>
  <si>
    <t>14,931,049 
     45,935,486   47,371,979 
CURRENT LIABILITIES 
 Loan from Parent – unsecured 11  7,572,186   7,387,000 
 Trade and other payables 12  3,934,508   6,108,790 
 Accrued liabilities 13  9,076,142   5,154,131 
 Security deposits payable  14  570,602   545,487 
 Contract liabilities   588,076   432,704 
 Unclaimed dividend   41</t>
  </si>
  <si>
    <t>of profit or loss.
8.2 For detail of restatement refer note 43.3.
2021 2020
Note Rupees'000 Rupees'000
9 TRADE AND OTHER PAYABLES
Creditors  863,038  354,586 
Retention money  32,691  38,883 
Workers' (Profit) Participation Fund (WPPF) 9.1  24,049  -   
Workers' Welfare Fund (WWF)  120,177  24,027 
Federal excise duty payable  307,090</t>
  </si>
  <si>
    <t>e term of the agreement at mutally agreed terms and conditions. 
2022 2021
Note Rupees'000 Rupees'000
12 TRADE AND OTHER PAYABLES
Creditors 2,683,210 863,038 
Retention money 2,549,004 32,691 
Workers' (Profit) Participation Fund (WPPF) 12.1 91,113 24,049 
Workers' Welfare Fund (WWF) 206,326 120,177 
Federal excise duty payable 803,166</t>
  </si>
  <si>
    <t>term of the agreement at mutally agreed terms and conditions. 
2023 2022
Note Rupees’000 Rupees’000
11 TRADE AND OTHER PAYABLES
Creditors  2,623,342  2,683,210 
Retention money  3,045,172  2,549,004 
Workers’ (Profit) Participation Fund (WPPF) 11.1  78,167  91,113 
Workers’ Welfare Fund (WWF)  83,774  206,326 
Federal excise duty payable</t>
  </si>
  <si>
    <t>the agreement at mutually agreed terms and 
conditions.
 Note 2024 2023
  Rupees’000 Rupees’000
11 TRADE AND OTHER PAYABLES
 Creditors   2,726,664   2,623,342 
 Retention money   1,392,312   3,045,172 
 Workers’ Profit Participation Fund (WPPF) payable  11.1  148,859   78,167 
 Workers’ Welfare Fund (WWF) payable    8,897   83,774 
 Sal</t>
  </si>
  <si>
    <t>t for charging mark–up at the rate of 10% per annum.  
 Note 2025 2024
  Rupees’000 Rupees’000
12 TRADE AND OTHER PAYABLES
 Creditors   2,034,141   2,726,664 
 Retention money   479,895   1,392,312 
 Sales tax payable  –    718,951 
 Federal excise duty payable   122,953   601,230 
 Workers’ Profit Participation Fund (WPPF) payable  12</t>
  </si>
  <si>
    <t>n arrangement for charging mark–up at the rate of 10% per annum.  
 Note 2025 2024
  Rupees’000 Rupees’000
12 TRADE AND OTHER PAYABLES
 Creditors   2,034,141   2,726,664 
 Retention money   479,895   1,392,312 
 Sales tax payable  –    718,951 
 Federal excise duty payable   122,953   601,230 
 Workers’ Profit Participation Fund (WPPF)</t>
  </si>
  <si>
    <t>9  1,822,642  1,163,246 
Accrued liabilities  1,554,895  1,122,217 
Security deposits payable 10  260,652  253,940 
Contract liabilities 11  435,097  367,952 
Employee benefits - current portion 6  20,862  24,708 
Payable to employees' provident fund trust  10,714  13,528 
Unclaimed dividend  38,479  40,051 
Short term borrowings - sec</t>
  </si>
  <si>
    <t>yables 12 6,917,149 1,822,642 
Accrued liabilities 4,321,163 1,554,895 
Security deposits payable 13 461,712 260,652 
Contract liabilities 14 862,309 435,097 
Employee benefits - current portion 7 80,756 20,862 
Payable to employees' provident fund trust 15,875 10,714 
Unclaimed dividend 37,157 38,479 
Short term borrowings - secured 1</t>
  </si>
  <si>
    <t>rade 20  7,112,327  3,697,721 
Security deposits payable 12  455,052  461,712 Trade debts 21  3,572,445  2,412,758 
Contract liabilities 13  584,809  862,309 Advances 22  366,231  193,629 
Employee benefits - current portion 6  96,468  80,756 Sales tax refundable-net 23  1,820,851  2,650,804 
Payable to employees’ provident fund trust</t>
  </si>
  <si>
    <t>191   6,516,462 
 Accrued liabilities   5,154,131   4,022,396 
 Security deposits payable  12  545,487   455,052 
 Contract liabilities 13  432,704   584,809 
 Employee benefits - current portion 6  112,697   96,468 
 Payable to employees’ provident fund trust   29,902   26,438 
 Unclaimed dividend   35,646   36,001 
 Short term runnin</t>
  </si>
  <si>
    <t>508   6,108,790 
 Accrued liabilities 13  9,076,142   5,154,131 
 Security deposits payable  14  570,602   545,487 
 Contract liabilities   588,076   432,704 
 Unclaimed dividend   41,182   35,646 
 Short term running finance – secured  15  2,192,462   1,450,934 
 Provision for tax – net  –     56,810 
 Current portion of long term loa</t>
  </si>
  <si>
    <t>12  3,934,508   6,108,790 
 Accrued liabilities 13  9,076,142   5,154,131 
 Security deposits payable  14  570,602   545,487 
 Contract liabilities   588,076   432,704 
 Unclaimed dividend   41,182   35,646 
 Short term running finance – secured  15  2,192,462   1,450,934 
 Provision for tax – net  –     56,810 
 Current portion of lon</t>
  </si>
  <si>
    <t>FAUJI CEMENT COMPANY LIMITED
FOR THE YEAR ENDED 30 JUNE 2021
162
STATEMENT OF FINANCIAL POSITION
Restated
2021 2020
Note Rupees'000 Rupees'000
EQUITY | Accrued mark-up / interest</t>
  </si>
  <si>
    <t>STATEMENT OF FINANCIAL POSITION
2022 2021
Note Rupees'000 Rupees'000
EQUITY &amp; LIABILITIES 
EQUITY AND RESERVES
Share capital 4 21,803,090 13,798,150  | Accrued mark-up / interest</t>
  </si>
  <si>
    <t>FAUJI CEMENT COMPANY LIMITED
206
Fauji Cement Company Limited
Statement of Financial Position
As at June 30, 2023
2023 2022 2023 2022
Note Rupees’000 | Accrued mark-up / interest</t>
  </si>
  <si>
    <t>Note 2024 2023
  Rupees’000 Rupees’000
EQUITY &amp; LIABILITIES   
EQUITY AND RESERVES  
 Share capital 4  24,528,476   24,528,476 
 Capital reserv | Accrued mark-up / interest</t>
  </si>
  <si>
    <t>Note 2025 2024
  Rupees’000 Rupees’000
EQUITY &amp; LIABILITIES  
EQUITY AND RESERVES 
 Share capital 5  24,528,476   24,528,476 
 Capital reserve – | Accrued mark-up / interest</t>
  </si>
  <si>
    <t>4,708 
Payable to employees' provident fund trust  10,714  13,528 
Unclaimed dividend  38,479  40,051 
Short term borrowings - secured 12  1,616,787  1,869,167 
Current portion of lease liability 7  24,686  23,737 
Current portion of long term loans 5  361,521  303,912 
 6,146,335  5,182,458 
TOTAL EQUITY AND LIABILITIES  34,052,231  29,</t>
  </si>
  <si>
    <t>,756 20,862 
Payable to employees' provident fund trust 15,875 10,714 
Unclaimed dividend 37,157 38,479 
Short term borrowings - secured 15 3,218,249 1,616,787 
Current portion of lease liability 8 68,332 24,686 
Current portion of long term loans 6 2,985,087 361,521 
Current portion of deferred government grant 9 366,464 15,654 
26,721,</t>
  </si>
  <si>
    <t>FAUJI CEMENT COMPANY LIMITED
206
Fauji Cement Company Limited
Statement of Financial Position
As at June 30, 2023
2023 2022 2023 2022
Note Rupees’000 Rupees’000 Note Rupees’000 Ru | Components: Loan from Parent - unsecured; Short term running finance - secured</t>
  </si>
  <si>
    <t>Note 2024 2023
  Rupees’000 Rupees’000
EQUITY &amp; LIABILITIES   
EQUITY AND RESERVES  
 Share capital 4  24,528,476   24,528,476 
 Capital reserve - Premium on issue of shares | Components: Loan from Parent - unsecured; Short term running finance - secured</t>
  </si>
  <si>
    <t>Note 2025 2024
  Rupees’000 Rupees’000
EQUITY &amp; LIABILITIES  
EQUITY AND RESERVES 
 Share capital 5  24,528,476   24,528,476 
 Capital reserve – Premium on issue of shares    | Components: Loan from Parent - unsecured; Short term running finance - secured</t>
  </si>
  <si>
    <t>m borrowings - secured 12  1,616,787  1,869,167 
Current portion of lease liability 7  24,686  23,737 
Current portion of long term loans 5  361,521  303,912 
 6,146,335  5,182,458 
TOTAL EQUITY AND LIABILITIES  34,052,231  29,207,916 
CONTINGENCIES AND COMMITMENTS 13
The annexed notes 1 to 43 form an integral part of these financial s</t>
  </si>
  <si>
    <t>term borrowings - secured 15 3,218,249 1,616,787 
Current portion of lease liability 8 68,332 24,686 
Current portion of long term loans 6 2,985,087 361,521 
Current portion of deferred government grant 9 366,464 15,654 
26,721,253 6,161,989 
TOTAL EQUITY AND LIABILITIES 113,698,077 34,052,231 
CONTINGENCIES AND COMMITMENTS 16
The ann</t>
  </si>
  <si>
    <t>Current portion of lease liability 7  50,463  68,332 Short term investments 26  250,000  3,843,010 
Current portion of long term loans 5  4,176,493  2,985,087 Cash and bank balances 27  970,457  2,306,633 
Current portion of deferred government grant 8  604,292  366,464  23,134,499  28,216,812 
 28,486,855  26,721,253 
TOTAL EQUITY AND</t>
  </si>
  <si>
    <t>81 
 Provision for tax-net   56,810   –   
 Current portion of lease liability 7  46,206   50,463 
 Current portion of long term loans 5  5,066,868   4,176,493 
 Current portion of deferred government grant 8  580,891   604,292 
     26,865,467   28,486,855 
TOTAL EQUITY AND LIABILITIES    147,636,299   138,828,497 
CONTINGENCIES AND</t>
  </si>
  <si>
    <t>term running finance – secured  15  2,192,462   1,450,934 
 Provision for tax – net  –     56,810 
 Current portion of long term loans 6  6,104,065   5,066,868 
 Current portion of lease liability 8  43,099   46,206 
 Current portion of deferred government grant 9  515,175   580,891 
     30,637,497   26,865,467 
TOTAL EQUITY AND LIABI</t>
  </si>
  <si>
    <t>646 
 Short term running finance – secured  15  2,192,462   1,450,934 
 Provision for tax – net  –     56,810 
 Current portion of long term loans 6  6,104,065   5,066,868 
 Current portion of lease liability 8  43,099   46,206 
 Current portion of deferred government grant 9  515,175   580,891 
     30,637,497   26,865,467 
TOTAL EQUI</t>
  </si>
  <si>
    <t>13,528 
Unclaimed dividend  38,479  40,051 
Short term borrowings - secured 12  1,616,787  1,869,167 
Current portion of lease liability 7  24,686  23,737 
Current portion of long term loans 5  361,521  303,912 
 6,146,335  5,182,458 
TOTAL EQUITY AND LIABILITIES  34,052,231  29,207,916 
CONTINGENCIES AND COMMITMENTS 13
The annexed</t>
  </si>
  <si>
    <t>15,875 10,714 
Unclaimed dividend 37,157 38,479 
Short term borrowings - secured 15 3,218,249 1,616,787 
Current portion of lease liability 8 68,332 24,686 
Current portion of long term loans 6 2,985,087 361,521 
Current portion of deferred government grant 9 366,464 15,654 
26,721,253 6,161,989 
TOTAL EQUITY AND LIABILITIES 113,698,</t>
  </si>
  <si>
    <t>Short term running finance - secured 14  4,530,981  3,218,249 Other receivables 25  282,463  175,443 
Current portion of lease liability 7  50,463  68,332 Short term investments 26  250,000  3,843,010 
Current portion of long term loans 5  4,176,493  2,985,087 Cash and bank balances 27  970,457  2,306,633 
Current portion of deferre</t>
  </si>
  <si>
    <t>ort term running finance - secured  14  1,450,934   4,530,981 
 Provision for tax-net   56,810   –   
 Current portion of lease liability 7  46,206   50,463 
 Current portion of long term loans 5  5,066,868   4,176,493 
 Current portion of deferred government grant 8  580,891   604,292 
     26,865,467   28,486,855 
TOTAL EQUITY AN</t>
  </si>
  <si>
    <t>Provision for tax – net  –     56,810 
 Current portion of long term loans 6  6,104,065   5,066,868 
 Current portion of lease liability 8  43,099   46,206 
 Current portion of deferred government grant 9  515,175   580,891 
     30,637,497   26,865,467 
TOTAL EQUITY AND LIABILITIES    160,845,191   147,636,299 
CONTINGENCIES AND C</t>
  </si>
  <si>
    <t>450,934 
 Provision for tax – net  –     56,810 
 Current portion of long term loans 6  6,104,065   5,066,868 
 Current portion of lease liability 8  43,099   46,206 
 Current portion of deferred government grant 9  515,175   580,891 
     30,637,497   26,865,467 
TOTAL EQUITY AND LIABILITIES    160,845,191   147,636,299 
CONTINGENC</t>
  </si>
  <si>
    <t>FAUJI CEMENT COMPANY LIMITED
FOR THE YEAR ENDED 30 JUNE 2021
162
STATEMENT OF FINANCIAL POSITION
Restated
2021 2020
Note Rupees'000 Rupees'000
EQUITY | Current portion of deferred government grant</t>
  </si>
  <si>
    <t>on of lease liability 8 68,332 24,686 
Current portion of long term loans 6 2,985,087 361,521 
Current portion of deferred government grant 9 366,464 15,654 
26,721,253 6,161,989 
TOTAL EQUITY AND LIABILITIES 113,698,077 34,052,231 
CONTINGENCIES AND COMMITMENTS 16
The annexed notes 1 to 49 form an integral part of these financial sta</t>
  </si>
  <si>
    <t>on of long term loans 5  4,176,493  2,985,087 Cash and bank balances 27  970,457  2,306,633 
Current portion of deferred government grant 8  604,292  366,464  23,134,499  28,216,812 
 28,486,855  26,721,253 
TOTAL EQUITY AND LIABILITIES  138,828,497  113,698,077 TOTAL ASSETS  138,828,497  113,698,077 
CONTINGENCIES AND COMMITMENTS 15
T</t>
  </si>
  <si>
    <t>iability 7  46,206   50,463 
 Current portion of long term loans 5  5,066,868   4,176,493 
 Current portion of deferred government grant 8  580,891   604,292 
     26,865,467   28,486,855 
TOTAL EQUITY AND LIABILITIES    147,636,299   138,828,497 
CONTINGENCIES AND COMMITMENTS 15  
The annexed notes 1 to 45 form an integral pa</t>
  </si>
  <si>
    <t>rm loans 6  6,104,065   5,066,868 
 Current portion of lease liability 8  43,099   46,206 
 Current portion of deferred government grant 9  515,175   580,891 
     30,637,497   26,865,467 
TOTAL EQUITY AND LIABILITIES    160,845,191   147,636,299 
CONTINGENCIES AND COMMITMENTS 16
The annexed notes 1 to 47 form an integral part of</t>
  </si>
  <si>
    <t>of long term loans 6  6,104,065   5,066,868 
 Current portion of lease liability 8  43,099   46,206 
 Current portion of deferred government grant 9  515,175   580,891 
     30,637,497   26,865,467 
TOTAL EQUITY AND LIABILITIES    160,845,191   147,636,299 
CONTINGENCIES AND COMMITMENTS 16
The annexed notes 1 to 47 form an integra</t>
  </si>
  <si>
    <t>7,952 
Employee benefits - current portion 6  20,862  24,708 
Payable to employees' provident fund trust  10,714  13,528 
Unclaimed dividend  38,479  40,051 
Short term borrowings - secured 12  1,616,787  1,869,167 
Current portion of lease liability 7  24,686  23,737 
Current portion of long term loans 5  361,521  303,912 
 6,146,335</t>
  </si>
  <si>
    <t>309 435,097 
Employee benefits - current portion 7 80,756 20,862 
Payable to employees' provident fund trust 15,875 10,714 
Unclaimed dividend 37,157 38,479 
Short term borrowings - secured 15 3,218,249 1,616,787 
Current portion of lease liability 8 68,332 24,686 
Current portion of long term loans 6 2,985,087 361,521 
Current portio</t>
  </si>
  <si>
    <t>Payable to employees’ provident fund trust  26,438  15,875 Trade deposits and short term prepayments 24  24,840  22,559 
Unclaimed dividend  36,001  37,157 Advance tax - net   723,704  975,108 
Short term running finance - secured 14  4,530,981  3,218,249 Other receivables 25  282,463  175,443 
Current portion of lease liability 7  5</t>
  </si>
  <si>
    <t>mployee benefits - current portion 6  112,697   96,468 
 Payable to employees’ provident fund trust   29,902   26,438 
 Unclaimed dividend   35,646   36,001 
 Short term running finance - secured  14  1,450,934   4,530,981 
 Provision for tax-net   56,810   –   
 Current portion of lease liability 7  46,206   50,463 
 Current portion</t>
  </si>
  <si>
    <t>9,076,142   5,154,131 
 Security deposits payable  14  570,602   545,487 
 Contract liabilities   588,076   432,704 
 Unclaimed dividend   41,182   35,646 
 Short term running finance – secured  15  2,192,462   1,450,934 
 Provision for tax – net  –     56,810 
 Current portion of long term loans 6  6,104,065   5,066,868 
 Current p</t>
  </si>
  <si>
    <t>lities 13  9,076,142   5,154,131 
 Security deposits payable  14  570,602   545,487 
 Contract liabilities   588,076   432,704 
 Unclaimed dividend   41,182   35,646 
 Short term running finance – secured  15  2,192,462   1,450,934 
 Provision for tax – net  –     56,810 
 Current portion of long term loans 6  6,104,065   5,066,868</t>
  </si>
  <si>
    <t>FAUJI CEMENT COMPANY LIMITED
FOR THE YEAR ENDED 30 JUNE 2021
162
STATEMENT OF FINANCIAL POSITION
Restated
2021 2020
Note Rupees'000 Rupees'000
EQUITY | Taxation payable (net)</t>
  </si>
  <si>
    <t>STATEMENT OF FINANCIAL POSITION
2022 2021
Note Rupees'000 Rupees'000
EQUITY &amp; LIABILITIES 
EQUITY AND RESERVES
Share capital 4 21,803,090 13,798,150  | Taxation payable (net)</t>
  </si>
  <si>
    <t>FAUJI CEMENT COMPANY LIMITED
206
Fauji Cement Company Limited
Statement of Financial Position
As at June 30, 2023
2023 2022 2023 2022
Note Rupees’000 | Taxation payable (net)</t>
  </si>
  <si>
    <t>Note 2024 2023
  Rupees’000 Rupees’000
EQUITY &amp; LIABILITIES   
EQUITY AND RESERVES  
 Share capital 4  24,528,476   24,528,476 
 Capital reserv | Provision for tax-net</t>
  </si>
  <si>
    <t>6   432,704 
 Unclaimed dividend   41,182   35,646 
 Short term running finance – secured  15  2,192,462   1,450,934 
 Provision for tax – net  –     56,810 
 Current portion of long term loans 6  6,104,065   5,066,868 
 Current portion of lease liability 8  43,099   46,206 
 Current portion of deferred government grant 9  515,175   5</t>
  </si>
  <si>
    <t>Note 2025 2024
  Rupees’000 Rupees’000
EQUITY &amp; LIABILITIES  
EQUITY AND RESERVES 
 Share capital 5  24,528,476   24,528,476 
 Capital reserve – | Provision for tax - net</t>
  </si>
  <si>
    <t>FAUJI CEMENT COMPANY LIMITED
FOR THE YEAR ENDED 30 JUNE 2021
162
STATEMENT OF FINANCIAL POSITION
Restated
2021 2020
Note Rupees'000 Rupees'000
EQUITY
Share capital and reserves
Sh | Components: Accrued liabilities; Employee benefits - current portion; Payable to employees' provident fund tru; Security deposits pa</t>
  </si>
  <si>
    <t>STATEMENT OF FINANCIAL POSITION
2022 2021
Note Rupees'000 Rupees'000
EQUITY &amp; LIABILITIES 
EQUITY AND RESERVES
Share capital 4 21,803,090 13,798,150 
Premium/(discount) on issue o | Components: Accrued liabilities; Employee benefits - current portion; Payable to employees' provident fund tru; Security deposits pa</t>
  </si>
  <si>
    <t>FAUJI CEMENT COMPANY LIMITED
206
Fauji Cement Company Limited
Statement of Financial Position
As at June 30, 2023
2023 2022 2023 2022
Note Rupees’000 Rupees’000 Note Rupees’000 Ru | Components: Accrued liabilities; Employee benefits - current portion; Payable to employees' provident fund tru; Security deposits pa</t>
  </si>
  <si>
    <t>Note 2024 2023
  Rupees’000 Rupees’000
EQUITY &amp; LIABILITIES   
EQUITY AND RESERVES  
 Share capital 4  24,528,476   24,528,476 
 Capital reserve - Premium on issue of shares | Components: Accrued liabilities; Employee benefits - current portion; Payable to employees' provident fund tru; Security deposits pa</t>
  </si>
  <si>
    <t>Note 2025 2024
  Rupees’000 Rupees’000
EQUITY &amp; LIABILITIES  
EQUITY AND RESERVES 
 Share capital 5  24,528,476   24,528,476 
 Capital reserve – Premium on issue of shares    | Components: Accrued liabilities; Security deposits payable</t>
  </si>
  <si>
    <t>90  22,169 
Short term investments 24  4,397,699  -   
Cash and bank balances 25  900,778  561,174 
 12,438,732  6,983,321 
TOTAL ASSETS  34,052,231  29,207,916 
CHIEF EXECUTIVE OFFICER CHIEF FINANCIAL OFFICERDIRECTOR</t>
  </si>
  <si>
    <t>3 88,890 
Short term investments 29 3,843,010 4,397,699 
Cash and bank balances 30 2,306,633 900,778 
28,216,812 12,438,732 
TOTAL ASSETS 113,698,077 34,052,231 
CHIEF EXECUTIVE OFFICER CHIEF FINANCIAL OFFICERDIRECTOR
185
ANNUAL REPORT 2022</t>
  </si>
  <si>
    <t>portion of deferred government grant 8  604,292  366,464  23,134,499  28,216,812 
 28,486,855  26,721,253 
TOTAL EQUITY AND LIABILITIES  138,828,497  113,698,077 TOTAL ASSETS  138,828,497  113,698,077 
CONTINGENCIES AND COMMITMENTS 15
The annexed notes 1 to 45 form an integral part of these financial statements.
CHIEF EXECUTIVE OFFICER DIR</t>
  </si>
  <si>
    <t>250,000 
 Cash and bank balances 26  2,932,984   970,457 
     25,784,071   23,134,499 
TOTAL ASSETS   147,636,299   138,828,497 
Chief Executive Officer Director Chief Financial Officer
Fauji Cement Company Limited
Financial Information
189</t>
  </si>
  <si>
    <t>100   250,000 
 Cash and bank balances 27  2,665,338   2,932,984 
     40,472,565   25,784,071 
TOTAL ASSETS   160,845,191   147,636,299 
Chief Executive Officer Director Chief Financial Officer
Financial InformationFauji Cement Company Limited
239</t>
  </si>
  <si>
    <t>ts  26  9,210,100   250,000 
 Cash and bank balances 27  2,665,338   2,932,984 
     40,472,565   25,784,071 
TOTAL ASSETS   160,845,191   147,636,299 
Chief Executive Officer Director Chief Financial Officer
Financial InformationFauji Cement Company Limited
239</t>
  </si>
  <si>
    <t>3,798,150  13,798,150 
Discount on issue of shares  (1,364,385)  (1,364,385)
Unappropriated profits  10,841,906  7,370,555 
Total equity  23,275,671  19,804,320 
LIABILITIES
Long term loans - secured  5  491,502  447,327 
Employee benefits 6  82,380  72,547 
Lease liability 7  73,593  57,656 
Deferred government grant  22,261  -   
Deferr</t>
  </si>
  <si>
    <t>pital 4 21,803,090 13,798,150 
Premium/(discount) on issue of shares 5 17,978,520 (1,364,385)
Unappropriated profit 17,954,446 10,841,906 
57,736,056 23,275,671 
NON-CURRENT LIABILITIES 
Long term loans - secured 6 19,555,997 491,502 
Employee benefits 7 179,291 82,380 
Lease liabilities 8 89,965 73,593 
Deferred government grant 9 1,982,</t>
  </si>
  <si>
    <t>ht of use asset 17  181,380  132,263 
Revenue reserve  25,394,127  17,954,446 Intangible assets and goodwill 18  10,957,737  11,029,756 
 65,175,737  57,736,056 Long term deposits  129,700  126,274 
Long term investment in associate  -  66,657 
NON-CURRENT LIABILITIES  115,693,998  85,481,265 
Long term loans - secured  5  31,777,087  19,</t>
  </si>
  <si>
    <t>l reserve - Premium on issue of shares   15,253,134   15,253,134 
 Revenue reserve - Accumulated profits   33,617,243   25,394,127 
     73,398,853   65,175,737 
NON-CURRENT LIABILITIES   
 Long term loans - secured   5  29,908,287   31,777,087 
 Employee benefits 6  250,230   211,595 
 Lease liabilities 7  117,454   118,972 
 Deferred</t>
  </si>
  <si>
    <t>l reserve – Premium on issue of shares   15,253,134   15,253,134 
 Revenue reserve – Accumulated profits   44,490,598   33,617,243 
     84,272,208   73,398,853 
NON–CURRENT LIABILITIES  
 Long term loans – secured   6  24,208,633   29,908,287 
 Employee benefits 7  283,590   250,230 
 Lease liabilities 8  101,211   117,454 
 Deferred gov</t>
  </si>
  <si>
    <t>,476 
 Capital reserve – Premium on issue of shares   15,253,134   15,253,134 
 Revenue reserve – Accumulated profits   44,490,598   33,617,243 
     84,272,208   73,398,853 
NON–CURRENT LIABILITIES  
 Long term loans – secured   6  24,208,633   29,908,287 
 Employee benefits 7  283,590   250,230 
 Lease liabilities 8  101,211   117,454</t>
  </si>
  <si>
    <t>562,239 
Other receivables 23  88,890  22,169 
Short term investments 24  4,397,699  -   
Cash and bank balances 25  900,778  561,174 
 12,438,732  6,983,321 
TOTAL ASSETS  34,052,231  29,207,916 
CHIEF EXECUTIVE OFFICER CHIEF FINANCIAL OFFICERDIRECTOR</t>
  </si>
  <si>
    <t>8 90,073 
Other receivables 28 175,443 88,890 
Short term investments 29 3,843,010 4,397,699 
Cash and bank balances 30 2,306,633 900,778 
28,216,812 12,438,732 
TOTAL ASSETS 113,698,077 34,052,231 
CHIEF EXECUTIVE OFFICER CHIEF FINANCIAL OFFICERDIRECTOR
185
ANNUAL REPORT 2022</t>
  </si>
  <si>
    <t>5  4,176,493  2,985,087 Cash and bank balances 27  970,457  2,306,633 
Current portion of deferred government grant 8  604,292  366,464  23,134,499  28,216,812 
 28,486,855  26,721,253 
TOTAL EQUITY AND LIABILITIES  138,828,497  113,698,077 TOTAL ASSETS  138,828,497  113,698,077 
CONTINGENCIES AND COMMITMENTS 15
The annexed notes 1 to 45</t>
  </si>
  <si>
    <t>receivables 24  280,071   282,463 
 Short term investments  25  250,000   250,000 
 Cash and bank balances 26  2,932,984   970,457 
     25,784,071   23,134,499 
TOTAL ASSETS   147,636,299   138,828,497 
Chief Executive Officer Director Chief Financial Officer
Fauji Cement Company Limited
Financial Informa</t>
  </si>
  <si>
    <t>eivables 25  48,492   280,071 
 Short term investments  26  9,210,100   250,000 
 Cash and bank balances 27  2,665,338   2,932,984 
     40,472,565   25,784,071 
TOTAL ASSETS   160,845,191   147,636,299 
Chief Executive Officer Director Chief Financial Officer
Financial InformationFauji Cement Company Limited
239</t>
  </si>
  <si>
    <t>Other receivables 25  48,492   280,071 
 Short term investments  26  9,210,100   250,000 
 Cash and bank balances 27  2,665,338   2,932,984 
     40,472,565   25,784,071 
TOTAL ASSETS   160,845,191   147,636,299 
Chief Executive Officer Director Chief Financial Officer
Financial InformationFauji Cement Company</t>
  </si>
  <si>
    <t>d 12  1,616,787  1,869,167 
Current portion of lease liability 7  24,686  23,737 
Current portion of long term loans 5  361,521  303,912 
 6,146,335  5,182,458 
TOTAL EQUITY AND LIABILITIES  34,052,231  29,207,916 
CONTINGENCIES AND COMMITMENTS 13
The annexed notes 1 to 43 form an integral part of these financial statements.</t>
  </si>
  <si>
    <t>ty 8 68,332 24,686 
Current portion of long term loans 6 2,985,087 361,521 
Current portion of deferred government grant 9 366,464 15,654 
26,721,253 6,161,989 
TOTAL EQUITY AND LIABILITIES 113,698,077 34,052,231 
CONTINGENCIES AND COMMITMENTS 16
The annexed notes 1 to 49 form an integral part of these financial statements.
184
Fauji Cem</t>
  </si>
  <si>
    <t>Cash and bank balances 27  970,457  2,306,633 
Current portion of deferred government grant 8  604,292  366,464  23,134,499  28,216,812 
 28,486,855  26,721,253 
TOTAL EQUITY AND LIABILITIES  138,828,497  113,698,077 TOTAL ASSETS  138,828,497  113,698,077 
CONTINGENCIES AND COMMITMENTS 15
The annexed notes 1 to 45 form an integral part of</t>
  </si>
  <si>
    <t>Current portion of long term loans 5  5,066,868   4,176,493 
 Current portion of deferred government grant 8  580,891   604,292 
     26,865,467   28,486,855 
TOTAL EQUITY AND LIABILITIES    147,636,299   138,828,497 
CONTINGENCIES AND COMMITMENTS 15  
The annexed notes 1 to 45 form an integral part of these financial statemen</t>
  </si>
  <si>
    <t>66,868 
 Current portion of lease liability 8  43,099   46,206 
 Current portion of deferred government grant 9  515,175   580,891 
     30,637,497   26,865,467 
TOTAL EQUITY AND LIABILITIES    160,845,191   147,636,299 
CONTINGENCIES AND COMMITMENTS 16
The annexed notes 1 to 47 form an integral part of these financial statements.</t>
  </si>
  <si>
    <t>104,065   5,066,868 
 Current portion of lease liability 8  43,099   46,206 
 Current portion of deferred government grant 9  515,175   580,891 
     30,637,497   26,865,467 
TOTAL EQUITY AND LIABILITIES    160,845,191   147,636,299 
CONTINGENCIES AND COMMITMENTS 16
The annexed notes 1 to 47 form an integral part of these financial s</t>
  </si>
  <si>
    <t>STATEMENT OF PROFIT OR LOSS
2022 2021
Note Rupees'000 Rupees'000
Revenue - net 31 54,243,118 24,271,285 
Cost of sales 32 (39,843,851) (18,206,880)
Gross profit 14,399,267 6,064,405 
Other income 33 230,695 81,710 
Selling and distribution expenses 34 (539,014) (189,537)
Administrat</t>
  </si>
  <si>
    <t>Cement Company Limited
Statement of Profit or Loss
For the year ended June 30, 2023
2023 2022
Note Rupees’000 Rupees’000
Revenue - net 28 68,069,282 54,243,118 
Cost of sales 29 (47,650,809) (38,779,542)
Gross profit 20,418,473 15,463,576 
Other income 30 436,173 230,695 
Selling and distribution expenses 31 (2,705,263) (1,603,323)
Admin</t>
  </si>
  <si>
    <t>Note 2024 2023
  Rupees’000 Rupees’000
Revenue - net 27 80,026,226  68,069,282 
Cost of sales 28 (54,345,821) (47,650,809)
Gross profit  25,680,405  20,418,473 
Other income 29 540,373  436,173 
Selling and distribution expenses 30 (3,285,923) (2,705,263)</t>
  </si>
  <si>
    <t>Note 2025 2024
  Rupees’000 Rupees’000
Revenue – net 28 88,956,328  80,026,226 
Cost of sales 29 (57,384,978) (54,345,821)
Gross profit  31,571,350  25,680,405 
Other income 30 760,772  540,373 
Selling and distribution expenses 31 (2,935,139) (3,285,923)</t>
  </si>
  <si>
    <t>Note 2025 2024
  Rupees’000 Rupees’000
Revenue – net 28 88,956,328  80,026,226 
Cost of sales 29 (57,384,978) (54,345,821)
Gross profit  31,571,350  25,680,405 
Other income 30 760,772  540,373 
Selling and distribution expenses 31 (2,935,139)</t>
  </si>
  <si>
    <t>STATEMENT OF PROFIT OR LOSS
2022 2021
Note Rupees'000 Rupees'000
Revenue - net 31 54,243,118 24,271,285 
Cost of sales 32 (39,843,851) (18,206,880)
Gross profit 14,399,267 6,064,405 
Other income 33 230,695 81,710 
Selling and distribution expenses 34 (539,014) (189,537)
Administrative expenses 35 (1,299,439) (524,709)
Other</t>
  </si>
  <si>
    <t>t or Loss
For the year ended June 30, 2023
2023 2022
Note Rupees’000 Rupees’000
Revenue - net 28 68,069,282 54,243,118 
Cost of sales 29 (47,650,809) (38,779,542)
Gross profit 20,418,473 15,463,576 
Other income 30 436,173 230,695 
Selling and distribution expenses 31 (2,705,263) (1,603,323)
Administrative expenses 32 (1,381,633) (1,299,439</t>
  </si>
  <si>
    <t>Note 2024 2023
  Rupees’000 Rupees’000
Revenue - net 27 80,026,226  68,069,282 
Cost of sales 28 (54,345,821) (47,650,809)
Gross profit  25,680,405  20,418,473 
Other income 29 540,373  436,173 
Selling and distribution expenses 30 (3,285,923) (2,705,263)
Administrative expenses 31 (1,516,046) (1,38</t>
  </si>
  <si>
    <t>Note 2025 2024
  Rupees’000 Rupees’000
Revenue – net 28 88,956,328  80,026,226 
Cost of sales 29 (57,384,978) (54,345,821)
Gross profit  31,571,350  25,680,405 
Other income 30 760,772  540,373 
Selling and distribution expenses 31 (2,935,139) (3,285,923)
Administrative expenses 32 (1,688,886) (1,51</t>
  </si>
  <si>
    <t>Note 2025 2024
  Rupees’000 Rupees’000
Revenue – net 28 88,956,328  80,026,226 
Cost of sales 29 (57,384,978) (54,345,821)
Gross profit  31,571,350  25,680,405 
Other income 30 760,772  540,373 
Selling and distribution expenses 31 (2,935,139) (3,285,923)
Administrative expenses 32 (1,6</t>
  </si>
  <si>
    <t>sales 32 (39,843,851) (18,206,880)
Gross profit 14,399,267 6,064,405 
Other income 33 230,695 81,710 
Selling and distribution expenses 34 (539,014) (189,537)
Administrative expenses 35 (1,299,439) (524,709)
Other expenses 36 (808,964) (377,946)
Operating profit 11,982,545 5,053,923 
Finance cost 37 (1,201,612) (109,623)
Finance income</t>
  </si>
  <si>
    <t>es 29 (47,650,809) (38,779,542)
Gross profit 20,418,473 15,463,576 
Other income 30 436,173 230,695 
Selling and distribution expenses 31 (2,705,263) (1,603,323)
Administrative expenses 32 (1,381,633) (1,299,439)
Other expenses 33 (750,078) (808,964)
Operating profit 16,017,672 11,982,545 
Finance cost 34 (3,645,265) (1,201,612)
Finance in</t>
  </si>
  <si>
    <t>(54,345,821) (47,650,809)
Gross profit  25,680,405  20,418,473 
Other income 29 540,373  436,173 
Selling and distribution expenses 30 (3,285,923) (2,705,263)
Administrative expenses 31 (1,516,046) (1,381,633)
Other expenses 32 (826,875) (750,078)
Operating profit  20,591,934  16,017,672 
Finance cost 33 (5,536,298) (3,645,265)
Financ</t>
  </si>
  <si>
    <t>(57,384,978) (54,345,821)
Gross profit  31,571,350  25,680,405 
Other income 30 760,772  540,373 
Selling and distribution expenses 31 (2,935,139) (3,285,923)
Administrative expenses 32 (1,688,886) (1,516,046)
Other expenses 33 (1,479,276) (826,875)
Operating profit  26,228,821  20,591,934 
Finance cost 34 (5,772,132) (5,536,298)
Fina</t>
  </si>
  <si>
    <t>of sales 29 (57,384,978) (54,345,821)
Gross profit  31,571,350  25,680,405 
Other income 30 760,772  540,373 
Selling and distribution expenses 31 (2,935,139) (3,285,923)
Administrative expenses 32 (1,688,886) (1,516,046)
Other expenses 33 (1,479,276) (826,875)
Operating profit  26,228,821  20,591,934 
Finance cost 34 (5,772,132) (5,5</t>
  </si>
  <si>
    <t>14,399,267 6,064,405 
Other income 33 230,695 81,710 
Selling and distribution expenses 34 (539,014) (189,537)
Administrative expenses 35 (1,299,439) (524,709)
Other expenses 36 (808,964) (377,946)
Operating profit 11,982,545 5,053,923 
Finance cost 37 (1,201,612) (109,623)
Finance income 38 745,852 160,543 
Net finance (cost)/ income (4</t>
  </si>
  <si>
    <t>,473 15,463,576 
Other income 30 436,173 230,695 
Selling and distribution expenses 31 (2,705,263) (1,603,323)
Administrative expenses 32 (1,381,633) (1,299,439)
Other expenses 33 (750,078) (808,964)
Operating profit 16,017,672 11,982,545 
Finance cost 34 (3,645,265) (1,201,612)
Finance income 35 527,702 745,852 
Net finance cost (3,117,56</t>
  </si>
  <si>
    <t>20,418,473 
Other income 29 540,373  436,173 
Selling and distribution expenses 30 (3,285,923) (2,705,263)
Administrative expenses 31 (1,516,046) (1,381,633)
Other expenses 32 (826,875) (750,078)
Operating profit  20,591,934  16,017,672 
Finance cost 33 (5,536,298) (3,645,265)
Finance income 34 299,318  527,702 
Net finance cost  (5,</t>
  </si>
  <si>
    <t>25,680,405 
Other income 30 760,772  540,373 
Selling and distribution expenses 31 (2,935,139) (3,285,923)
Administrative expenses 32 (1,688,886) (1,516,046)
Other expenses 33 (1,479,276) (826,875)
Operating profit  26,228,821  20,591,934 
Finance cost 34 (5,772,132) (5,536,298)
Finance income 35 1,068,831  299,318 
Net finance cost</t>
  </si>
  <si>
    <t>31,571,350  25,680,405 
Other income 30 760,772  540,373 
Selling and distribution expenses 31 (2,935,139) (3,285,923)
Administrative expenses 32 (1,688,886) (1,516,046)
Other expenses 33 (1,479,276) (826,875)
Operating profit  26,228,821  20,591,934 
Finance cost 34 (5,772,132) (5,536,298)
Finance income 35 1,068,831  299,318 
Net f</t>
  </si>
  <si>
    <t>STATEMENT OF PROFIT OR LOSS
2022 2021
Note Rupees'000 Rupees'000
Revenue - net 31 54,243,118 24,271,285 
Cost of sales 32 (39,843,851) (18,206,880)
G | Impairment / expected credit loss on financial assets</t>
  </si>
  <si>
    <t>FAUJI CEMENT COMPANY LIMITED
208
Fauji Cement Company Limited
Statement of Profit or Loss
For the year ended June 30, 2023
2023 2022
Note Rupees’000  | Impairment / expected credit loss on financial assets</t>
  </si>
  <si>
    <t>Note 2024 2023
  Rupees’000 Rupees’000
Revenue - net 27 80,026,226  68,069,282 
Cost of sales 28 (54,345,821) (47,650,809)
Gross profit  25,680,40 | Impairment / expected credit loss on financial assets</t>
  </si>
  <si>
    <t>Note 2025 2024
  Rupees’000 Rupees’000
Revenue – net 28 88,956,328  80,026,226 
Cost of sales 29 (57,384,978) (54,345,821)
Gross profit  31,571,35 | Impairment / expected credit loss on financial assets</t>
  </si>
  <si>
    <t>230,695 81,710 
Selling and distribution expenses 34 (539,014) (189,537)
Administrative expenses 35 (1,299,439) (524,709)
Other expenses 36 (808,964) (377,946)
Operating profit 11,982,545 5,053,923 
Finance cost 37 (1,201,612) (109,623)
Finance income 38 745,852 160,543 
Net finance (cost)/ income (455,760) 50,920 
Share of profit of ass</t>
  </si>
  <si>
    <t>230,695 
Selling and distribution expenses 31 (2,705,263) (1,603,323)
Administrative expenses 32 (1,381,633) (1,299,439)
Other expenses 33 (750,078) (808,964)
Operating profit 16,017,672 11,982,545 
Finance cost 34 (3,645,265) (1,201,612)
Finance income 35 527,702 745,852 
Net finance cost (3,117,563) (455,760)
Share of profit of associ</t>
  </si>
  <si>
    <t>436,173 
Selling and distribution expenses 30 (3,285,923) (2,705,263)
Administrative expenses 31 (1,516,046) (1,381,633)
Other expenses 32 (826,875) (750,078)
Operating profit  20,591,934  16,017,672 
Finance cost 33 (5,536,298) (3,645,265)
Finance income 34 299,318  527,702 
Net finance cost  (5,236,980) (3,117,563)
Profit before inc</t>
  </si>
  <si>
    <t>40,373 
Selling and distribution expenses 31 (2,935,139) (3,285,923)
Administrative expenses 32 (1,688,886) (1,516,046)
Other expenses 33 (1,479,276) (826,875)
Operating profit  26,228,821  20,591,934 
Finance cost 34 (5,772,132) (5,536,298)
Finance income 35 1,068,831  299,318 
Net finance cost  (4,703,301) (5,236,980)
Profit before i</t>
  </si>
  <si>
    <t>0 760,772  540,373 
Selling and distribution expenses 31 (2,935,139) (3,285,923)
Administrative expenses 32 (1,688,886) (1,516,046)
Other expenses 33 (1,479,276) (826,875)
Operating profit  26,228,821  20,591,934 
Finance cost 34 (5,772,132) (5,536,298)
Finance income 35 1,068,831  299,318 
Net finance cost  (4,703,301) (5,236,980)
Profi</t>
  </si>
  <si>
    <t>ees'000
Revenue - net 31 54,243,118 24,271,285 
Cost of sales 32 (39,843,851) (18,206,880)
Gross profit 14,399,267 6,064,405 
Other income 33 230,695 81,710 
Selling and distribution expenses 34 (539,014) (189,537)
Administrative expenses 35 (1,299,439) (524,709)
Other expenses 36 (808,964) (377,946)
Operating profit 11,982,545 5,053,</t>
  </si>
  <si>
    <t>es’000
Revenue - net 28 68,069,282 54,243,118 
Cost of sales 29 (47,650,809) (38,779,542)
Gross profit 20,418,473 15,463,576 
Other income 30 436,173 230,695 
Selling and distribution expenses 31 (2,705,263) (1,603,323)
Administrative expenses 32 (1,381,633) (1,299,439)
Other expenses 33 (750,078) (808,964)
Operating profit 16,017,672</t>
  </si>
  <si>
    <t>Revenue - net 27 80,026,226  68,069,282 
Cost of sales 28 (54,345,821) (47,650,809)
Gross profit  25,680,405  20,418,473 
Other income 29 540,373  436,173 
Selling and distribution expenses 30 (3,285,923) (2,705,263)
Administrative expenses 31 (1,516,046) (1,381,633)
Other expenses 32 (826,875) (750,078)
Operating profit  20,591,934</t>
  </si>
  <si>
    <t>Revenue – net 28 88,956,328  80,026,226 
Cost of sales 29 (57,384,978) (54,345,821)
Gross profit  31,571,350  25,680,405 
Other income 30 760,772  540,373 
Selling and distribution expenses 31 (2,935,139) (3,285,923)
Administrative expenses 32 (1,688,886) (1,516,046)
Other expenses 33 (1,479,276) (826,875)
Operating profit  26,228,8</t>
  </si>
  <si>
    <t>ees’000
Revenue – net 28 88,956,328  80,026,226 
Cost of sales 29 (57,384,978) (54,345,821)
Gross profit  31,571,350  25,680,405 
Other income 30 760,772  540,373 
Selling and distribution expenses 31 (2,935,139) (3,285,923)
Administrative expenses 32 (1,688,886) (1,516,046)
Other expenses 33 (1,479,276) (826,875)
Operating profit</t>
  </si>
  <si>
    <t>524,709)
Other expenses 36 (808,964) (377,946)
Operating profit 11,982,545 5,053,923 
Finance cost 37 (1,201,612) (109,623)
Finance income 38 745,852 160,543 
Net finance (cost)/ income (455,760) 50,920 
Share of profit of associate 21 1,308 2,849 
Profit before taxation 11,528,093 5,107,692 
Income tax expense 39 (4,415,553) (1,636,34</t>
  </si>
  <si>
    <t>,439)
Other expenses 33 (750,078) (808,964)
Operating profit 16,017,672 11,982,545 
Finance cost 34 (3,645,265) (1,201,612)
Finance income 35 527,702 745,852 
Net finance cost (3,117,563) (455,760)
Share of profit of associate  -  1,308 
Profit before taxation 12,900,109 11,528,093 
Income tax expense 36 (5,460,428) (4,415,553)
Profit</t>
  </si>
  <si>
    <t>Other expenses 32 (826,875) (750,078)
Operating profit  20,591,934  16,017,672 
Finance cost 33 (5,536,298) (3,645,265)
Finance income 34 299,318  527,702 
Net finance cost  (5,236,980) (3,117,563)
Profit before income tax and final tax  15,354,954  12,900,109 
Final tax - levy  35 (55,223)  (45,660)
Profit before income tax   15,29</t>
  </si>
  <si>
    <t>er expenses 33 (1,479,276) (826,875)
Operating profit  26,228,821  20,591,934 
Finance cost 34 (5,772,132) (5,536,298)
Finance income 35 1,068,831  299,318 
Net finance cost  (4,703,301) (5,236,980)
Profit before income tax and final tax  21,525,520  15,354,954 
Final tax – levy  36 –   (55,223)
Profit before income tax   21,525,520</t>
  </si>
  <si>
    <t>16,046)
Other expenses 33 (1,479,276) (826,875)
Operating profit  26,228,821  20,591,934 
Finance cost 34 (5,772,132) (5,536,298)
Finance income 35 1,068,831  299,318 
Net finance cost  (4,703,301) (5,236,980)
Profit before income tax and final tax  21,525,520  15,354,954 
Final tax – levy  36 –   (55,223)
Profit before income tax   21</t>
  </si>
  <si>
    <t>e cost 37 (1,201,612) (109,623)
Finance income 38 745,852 160,543 
Net finance (cost)/ income (455,760) 50,920 
Share of profit of associate 21 1,308 2,849 
Profit before taxation 11,528,093 5,107,692 
Income tax expense 39 (4,415,553) (1,636,341)
Profit for the year 7,112,540 3,471,351 
Earnings per share - basic and diluted (Rupees</t>
  </si>
  <si>
    <t>5 
Finance cost 34 (3,645,265) (1,201,612)
Finance income 35 527,702 745,852 
Net finance cost (3,117,563) (455,760)
Share of profit of associate  -  1,308 
Profit before taxation 12,900,109 11,528,093 
Income tax expense 36 (5,460,428) (4,415,553)
Profit for the year 7,439,681 7,112,540 
Earnings per share - basic and diluted (Rupee</t>
  </si>
  <si>
    <t>Note 2024 2023
  Rupees’000 Rupees’000
Revenue - net 27 80,026,226  68,069,282 
Cost of sales 28 (54,345,821) (47,650,809)
Gross profit  25,680,40 | Share of profit of associate</t>
  </si>
  <si>
    <t>Note 2025 2024
  Rupees’000 Rupees’000
Revenue – net 28 88,956,328  80,026,226 
Cost of sales 29 (57,384,978) (54,345,821)
Gross profit  31,571,35 | Share of profit of associate</t>
  </si>
  <si>
    <t>nistrative expenses 35 (1,299,439) (524,709)
Other expenses 36 (808,964) (377,946)
Operating profit 11,982,545 5,053,923 
Finance cost 37 (1,201,612) (109,623)
Finance income 38 745,852 160,543 
Net finance (cost)/ income (455,760) 50,920 
Share of profit of associate 21 1,308 2,849 
Profit before taxation 11,528,093 5,107,692 
Income ta</t>
  </si>
  <si>
    <t>trative expenses 32 (1,381,633) (1,299,439)
Other expenses 33 (750,078) (808,964)
Operating profit 16,017,672 11,982,545 
Finance cost 34 (3,645,265) (1,201,612)
Finance income 35 527,702 745,852 
Net finance cost (3,117,563) (455,760)
Share of profit of associate  -  1,308 
Profit before taxation 12,900,109 11,528,093 
Income tax expense</t>
  </si>
  <si>
    <t>ive expenses 31 (1,516,046) (1,381,633)
Other expenses 32 (826,875) (750,078)
Operating profit  20,591,934  16,017,672 
Finance cost 33 (5,536,298) (3,645,265)
Finance income 34 299,318  527,702 
Net finance cost  (5,236,980) (3,117,563)
Profit before income tax and final tax  15,354,954  12,900,109 
Final tax - levy  35 (55,223)  (45,66</t>
  </si>
  <si>
    <t>e expenses 32 (1,688,886) (1,516,046)
Other expenses 33 (1,479,276) (826,875)
Operating profit  26,228,821  20,591,934 
Finance cost 34 (5,772,132) (5,536,298)
Finance income 35 1,068,831  299,318 
Net finance cost  (4,703,301) (5,236,980)
Profit before income tax and final tax  21,525,520  15,354,954 
Final tax – levy  36 –   (55,223)
P</t>
  </si>
  <si>
    <t>dministrative expenses 32 (1,688,886) (1,516,046)
Other expenses 33 (1,479,276) (826,875)
Operating profit  26,228,821  20,591,934 
Finance cost 34 (5,772,132) (5,536,298)
Finance income 35 1,068,831  299,318 
Net finance cost  (4,703,301) (5,236,980)
Profit before income tax and final tax  21,525,520  15,354,954 
Final tax – levy  36 –</t>
  </si>
  <si>
    <t>STATEMENT OF PROFIT OR LOSS
2022 2021
Note Rupees'000 Rupees'000
Revenue - net 31 54,243,118 24,271,285 
Cost of sales 32 (39,843,851) (18,206,880)
G | Levies (final / minimum taxes presented separately)</t>
  </si>
  <si>
    <t>FAUJI CEMENT COMPANY LIMITED
208
Fauji Cement Company Limited
Statement of Profit or Loss
For the year ended June 30, 2023
2023 2022
Note Rupees’000  | Levies (final / minimum taxes presented separately)</t>
  </si>
  <si>
    <t>18  527,702 
Net finance cost  (5,236,980) (3,117,563)
Profit before income tax and final tax  15,354,954  12,900,109 
Final tax - levy  35 (55,223)  (45,660)
Profit before income tax   15,299,731  12,854,449 
Income tax expense  36 (7,076,615) (5,414,768)
Profit for the year   8,223,116  7,439,681 
  Rupees Rupees
Earnings per sh</t>
  </si>
  <si>
    <t>,068,831  299,318 
Net finance cost  (4,703,301) (5,236,980)
Profit before income tax and final tax  21,525,520  15,354,954 
Final tax – levy  36 –   (55,223)
Profit before income tax   21,525,520  15,299,731 
Income tax expense  37 (8,199,318) (7,076,615)
Profit for the year   13,326,202  8,223,116 
  Rupees Rupees
Earnings per s</t>
  </si>
  <si>
    <t>Note 2025 2024
  Rupees’000 Rupees’000
Revenue – net 28 88,956,328  80,026,226 
Cost of sales 29 (57,384,978) (54,345,821)
Gross profit  31,571,35 | Final tax - levy</t>
  </si>
  <si>
    <t>income (455,760) 50,920 
Share of profit of associate 21 1,308 2,849 
Profit before taxation 11,528,093 5,107,692 
Income tax expense 39 (4,415,553) (1,636,341)
Profit for the year 7,112,540 3,471,351 
Earnings per share - basic and diluted (Rupees) 40 3.26 2.52 
The annexed notes 1 to 49 form an integral part of these financial statement</t>
  </si>
  <si>
    <t>ce cost (3,117,563) (455,760)
Share of profit of associate  -  1,308 
Profit before taxation 12,900,109 11,528,093 
Income tax expense 36 (5,460,428) (4,415,553)
Profit for the year 7,439,681 7,112,540 
Earnings per share - basic and diluted (Rupees) 37 3.16 3.02 
The annexed notes 1 to 45 form an integral part of these financial statement</t>
  </si>
  <si>
    <t>,354,954  12,900,109 
Final tax - levy  35 (55,223)  (45,660)
Profit before income tax   15,299,731  12,854,449 
Income tax expense  36 (7,076,615) (5,414,768)
Profit for the year   8,223,116  7,439,681 
  Rupees Rupees
Earnings per share - basic and diluted  37 3.35  3.16 
The annexed notes 1 to 45 form an integral part of thes</t>
  </si>
  <si>
    <t>ax  21,525,520  15,354,954 
Final tax – levy  36 –   (55,223)
Profit before income tax   21,525,520  15,299,731 
Income tax expense  37 (8,199,318) (7,076,615)
Profit for the year   13,326,202  8,223,116 
  Rupees Rupees
Earnings per share – basic and diluted  38 5.43  3.35 
The annexed notes 1 to 47 form an integral part of the</t>
  </si>
  <si>
    <t>and final tax  21,525,520  15,354,954 
Final tax – levy  36 –   (55,223)
Profit before income tax   21,525,520  15,299,731 
Income tax expense  37 (8,199,318) (7,076,615)
Profit for the year   13,326,202  8,223,116 
  Rupees Rupees
Earnings per share – basic and diluted  38 5.43  3.35 
The annexed notes 1 to 47 form an integral</t>
  </si>
  <si>
    <t>LOSS
2022 2021
Note Rupees'000 Rupees'000
Revenue - net 31 54,243,118 24,271,285 
Cost of sales 32 (39,843,851) (18,206,880)
Gross profit 14,399,267 6,064,405 
Other income 33 230,695 81,710 
Selling and distribution expenses 34 (539,014) (189,537)
Administrative expenses 35 (1,299,439) (524,709)
Other expenses 36 (808,964) (377,946)
Op</t>
  </si>
  <si>
    <t>2023
2023 2022
Note Rupees’000 Rupees’000
Revenue - net 28 68,069,282 54,243,118 
Cost of sales 29 (47,650,809) (38,779,542)
Gross profit 20,418,473 15,463,576 
Other income 30 436,173 230,695 
Selling and distribution expenses 31 (2,705,263) (1,603,323)
Administrative expenses 32 (1,381,633) (1,299,439)
Other expenses 33 (750,078) (808,</t>
  </si>
  <si>
    <t>ote 2024 2023
  Rupees’000 Rupees’000
Revenue - net 27 80,026,226  68,069,282 
Cost of sales 28 (54,345,821) (47,650,809)
Gross profit  25,680,405  20,418,473 
Other income 29 540,373  436,173 
Selling and distribution expenses 30 (3,285,923) (2,705,263)
Administrative expenses 31 (1,516,046) (1,381,633)
Other expenses 32 (826,875) (7</t>
  </si>
  <si>
    <t>ote 2025 2024
  Rupees’000 Rupees’000
Revenue – net 28 88,956,328  80,026,226 
Cost of sales 29 (57,384,978) (54,345,821)
Gross profit  31,571,350  25,680,405 
Other income 30 760,772  540,373 
Selling and distribution expenses 31 (2,935,139) (3,285,923)
Administrative expenses 32 (1,688,886) (1,516,046)
Other expenses 33 (1,479,276)</t>
  </si>
  <si>
    <t>Note 2025 2024
  Rupees’000 Rupees’000
Revenue – net 28 88,956,328  80,026,226 
Cost of sales 29 (57,384,978) (54,345,821)
Gross profit  31,571,350  25,680,405 
Other income 30 760,772  540,373 
Selling and distribution expenses 31 (2,935,139) (3,285,923)
Administrative expenses 32 (1,688,886) (1,516,046)
Other expenses 33</t>
  </si>
  <si>
    <t>ncome 38 745,852 160,543 
Net finance (cost)/ income (455,760) 50,920 
Share of profit of associate 21 1,308 2,849 
Profit before taxation 11,528,093 5,107,692 
Income tax expense 39 (4,415,553) (1,636,341)
Profit for the year 7,112,540 3,471,351 
Earnings per share - basic and diluted (Rupees) 40 3.26 2.52 
The annexed notes 1 to 49 for</t>
  </si>
  <si>
    <t>)
Finance income 35 527,702 745,852 
Net finance cost (3,117,563) (455,760)
Share of profit of associate  -  1,308 
Profit before taxation 12,900,109 11,528,093 
Income tax expense 36 (5,460,428) (4,415,553)
Profit for the year 7,439,681 7,112,540 
Earnings per share - basic and diluted (Rupees) 37 3.16 3.02 
The annexed notes 1 to 45 for</t>
  </si>
  <si>
    <t>36,298) (3,645,265)
Finance income 34 299,318  527,702 
Net finance cost  (5,236,980) (3,117,563)
Profit before income tax and final tax  15,354,954  12,900,109 
Final tax - levy  35 (55,223)  (45,660)
Profit before income tax   15,299,731  12,854,449 
Income tax expense  36 (7,076,615) (5,414,768)
Profit for the year   8,223,116  7,439</t>
  </si>
  <si>
    <t>,132) (5,536,298)
Finance income 35 1,068,831  299,318 
Net finance cost  (4,703,301) (5,236,980)
Profit before income tax and final tax  21,525,520  15,354,954 
Final tax – levy  36 –   (55,223)
Profit before income tax   21,525,520  15,299,731 
Income tax expense  37 (8,199,318) (7,076,615)
Profit for the year   13,326,202  8,223,116</t>
  </si>
  <si>
    <t>st 34 (5,772,132) (5,536,298)
Finance income 35 1,068,831  299,318 
Net finance cost  (4,703,301) (5,236,980)
Profit before income tax and final tax  21,525,520  15,354,954 
Final tax – levy  36 –   (55,223)
Profit before income tax   21,525,520  15,299,731 
Income tax expense  37 (8,199,318) (7,076,615)
Profit for the year   13,326,202</t>
  </si>
  <si>
    <t>of associate 21 1,308 2,849 
Profit before taxation 11,528,093 5,107,692 
Income tax expense 39 (4,415,553) (1,636,341)
Profit for the year 7,112,540 3,471,351 
Earnings per share - basic and diluted (Rupees) 40 3.26 2.52 
The annexed notes 1 to 49 form an integral part of these financial statements.
CHIEF EXECUTIVE OFFICER CHIEF FINANCI</t>
  </si>
  <si>
    <t>fit of associate  -  1,308 
Profit before taxation 12,900,109 11,528,093 
Income tax expense 36 (5,460,428) (4,415,553)
Profit for the year 7,439,681 7,112,540 
Earnings per share - basic and diluted (Rupees) 37 3.16 3.02 
The annexed notes 1 to 45 form an integral part of these financial statements.
CHIEF EXECUTIVE OFFICER DIRECTOR CHIE</t>
  </si>
  <si>
    <t>5,223)  (45,660)
Profit before income tax   15,299,731  12,854,449 
Income tax expense  36 (7,076,615) (5,414,768)
Profit for the year   8,223,116  7,439,681 
  Rupees Rupees
Earnings per share - basic and diluted  37 3.35  3.16 
The annexed notes 1 to 45 form an integral part of these financial statements.
STATEMENT OF PROFIT</t>
  </si>
  <si>
    <t>36 –   (55,223)
Profit before income tax   21,525,520  15,299,731 
Income tax expense  37 (8,199,318) (7,076,615)
Profit for the year   13,326,202  8,223,116 
  Rupees Rupees
Earnings per share – basic and diluted  38 5.43  3.35 
The annexed notes 1 to 47 form an integral part of these financial statements.
STATEMENT OF PROFIT</t>
  </si>
  <si>
    <t>tax – levy  36 –   (55,223)
Profit before income tax   21,525,520  15,299,731 
Income tax expense  37 (8,199,318) (7,076,615)
Profit for the year   13,326,202  8,223,116 
  Rupees Rupees
Earnings per share – basic and diluted  38 5.43  3.35 
The annexed notes 1 to 47 form an integral part of these financial statements.
STATEMEN</t>
  </si>
  <si>
    <t>Exchange Loss - net 161,412 - | Bank charges and commission - Conventional banks 44,976 17,511</t>
  </si>
  <si>
    <t>Exchange Loss - net  959,501  161,412 | Bank charges and commission - Conventional banks  60,954  44,976</t>
  </si>
  <si>
    <t>Exchange (gain)/loss - net   (43,576)  959,501 | Bank charges and commission - Conventional banks   56,137   60,954</t>
  </si>
  <si>
    <t>Exchange loss / (gain) – net   4,902   (43,576) | Bank charges and commission – Conventional banks   92,952   56,137</t>
  </si>
  <si>
    <t>STATEMENT OF CASH FLOWS
2022 2021
Note Rupees'000 Rupees'000
Cash flows from operating activities
Profit before tax 11,528,093 5,107,692 
Adjustments for:
Depreciation on property | Components: Depreciation on property, plant and; Depreciation on right of use asset; Amortization on intangibles</t>
  </si>
  <si>
    <t>FAUJI CEMENT COMPANY LIMITED
210
Fauji Cement Company Limited
Statement of Cash Flows
For the year ended June 30, 2023
2023 2022
Note Rupees’000 Rupees’000
Cash flows from operati | Components: Depreciation; Depreciation on right of use asset; Amortization on intangibles</t>
  </si>
  <si>
    <t>Note 2024 2023
  Rupees’000 Rupees’000
Cash flows from operating activities 
 Profit before income tax and levy    15,354,954  12,900,109 
Adjustments for: 
 Depreciation on  | Components: Depreciation on property, plant and; Depreciation on right of use asset; Amortization on intangibles</t>
  </si>
  <si>
    <t>Note 2025 2024
  Rupees’000 Rupees’000
Cash flows from operating activities 
 Profit before income tax and levy    21,525,520  15,354,954 
Adjustments for: 
 Provision for em | Components: Depreciation on property, plant and; Depreciation on right of use asset; Amortization on intangibles</t>
  </si>
  <si>
    <t>STATEMENT OF CASH FLOWS
2022 2021
Note Rupees'000 Rupees'000
Cash flows from operating activities
Profit before tax 11,528,093 5,107,692 
Adjustments | Cash generated from operations (before interest, tax and other items)</t>
  </si>
  <si>
    <t>FAUJI CEMENT COMPANY LIMITED
210
Fauji Cement Company Limited
Statement of Cash Flows
For the year ended June 30, 2023
2023 2022
Note Rupees’000 Rupe | Cash generated from operations (before interest, tax and other items)</t>
  </si>
  <si>
    <t>Note 2024 2023
  Rupees’000 Rupees’000
Cash flows from operating activities 
 Profit before income tax and levy    15,354,954  12,900,109 
Adjus | Cash generated from operations (before interest, tax and other items)</t>
  </si>
  <si>
    <t>Note 2025 2024
  Rupees’000 Rupees’000
Cash flows from operating activities 
 Profit before income tax and levy    21,525,520  15,354,954 
Adjus | Cash generated from operations (before interest, tax and other items)</t>
  </si>
  <si>
    <t>Workers' (Profit) Participation Fund 12.1 (549,335) (250,000)
Taxes paid (2,896,704) (836,502)
Net cash generated from operating activities 7,567,564 5,739,097 
Cash flows from investing activities
Addition in property plant and equipment - other than markup paid on Islamic mode of financing (28,425,596) (1,007,205)
Investment in associa</t>
  </si>
  <si>
    <t>(Profit) Participation Fund 11.1  (699,068)  (549,335)
Taxes paid  (2,329,836) (2,896,704)
Net cash generated from operating activities  16,200,329  7,567,564 
Cash flows from investing activities
Additions in property plant and equipment  (33,903,442) (28,425,596)
Additions in intangible  (133,329)  - 
Proceeds from disposal of / inves</t>
  </si>
  <si>
    <t>9,068)
 Payment to WWF   (88,253)  (187,310)
 T axes /levy paid   (1,732,677) (2,142,526)
Net cash generated from operating activities   21,684,607   16,030,998
STATEMENT OF CASH FLOWS
FOR THE YEAR ENDED JUNE 30, 2024
Annual Report 2024
192</t>
  </si>
  <si>
    <t>41,244)
 Payment to WWF   (11,670)  (88,253)
 Taxes / levy paid   (4,525,708) (1,732,677)
Net cash generated from operating activities   24,313,208   22,284,607
STATEMENT OF CASH FLOWS
FOR THE YEAR ENDED JUNE 30, 2025
242
Annual Report 2025
INNOVATING TOWARDS
A GREENER FUTURE</t>
  </si>
  <si>
    <t>,164,913)  (741,244)
 Payment to WWF   (11,670)  (88,253)
 Taxes / levy paid   (4,525,708) (1,732,677)
Net cash generated from operating activities   24,313,208   22,284,607
STATEMENT OF CASH FLOWS
FOR THE YEAR ENDED JUNE 30, 2025
242
Annual Report 2025
INNOVATING TOWARDS
A GREENER FUTURE</t>
  </si>
  <si>
    <t>m loans 17,059,404 625,610 
Loan from parent 6,543,000 - 
Lease payments (171,588) (50,413)
Dividend paid (1,322) (1,572)
Finance cost paid (985,172) (94,843)
Net cash generated from / (used in) financing activities 19,345,923 (5,455)
Net increase in cash and cash equivalents 848,783 591,984 
Cash and cash equivalents at beginning of th</t>
  </si>
  <si>
    <t>m parent  -  6,543,000 
Lease payments  (89,354)  (171,588)
Unclaimed dividend paid during the year  (1,156)  (1,322)
Finance cost paid  (2,562,932)  (985,172)
Net cash generated from financing activities  10,817,936  19,345,923 
Net increase in cash and cash equivalents  (2,648,908)  848,783 
Cash and cash equivalents at beginning of th</t>
  </si>
  <si>
    <t>239   15,976,605 
 Lease payments   (77,816)  (89,354)
 Unclaimed dividend paid during the year   (355)  (1,156)
 Finance cost paid     (6,993,060)   (2,483,101)
Net cash (used in) / generated from financing activities    (8,479,996)   10,897,767  
Net increase in cash and cash equivalents   5,046,575   (2,738,408)
Cash and cash equivale</t>
  </si>
  <si>
    <t>15)  (77,816)
 Dividend paid during the year   (2,447,311)  (355)
 Markup paid on loan from parent   (553,514) –  
 Finance cost paid    (5,005,937)  (6,993,060)
Net cash used in financing activities   (12,739,192)  (8,479,996)
Net increase in cash and cash equivalents   314,826   5,646,575 
Cash and cash equivalents at beginning of the</t>
  </si>
  <si>
    <t>Cash flows from investing activities 
 Additions to property, plant and equipment   (3,477,647) (8,478,876)
 Short term investments – net   (8,944,969) –   
 Proceeds from disposa | Components: Markup paid on loan from parent; Finance cost paid</t>
  </si>
  <si>
    <t>STATEMENT OF CASH FLOWS
2022 2021
Note Rupees'000 Rupees'000
Cash flows from operating activities
Profit before tax 11,528,093 5,107,692 
Adjustments for:
Depreciation on property, plant and equipment 17.2 2,705,692 1,5</t>
  </si>
  <si>
    <t>FAUJI CEMENT COMPANY LIMITED
210
Fauji Cement Company Limited
Statement of Cash Flows
For the year ended June 30, 2023
2023 2022
Note Rupees’000 Rupees’000
Cash flows from operating activities
Profit before tax  12,900,</t>
  </si>
  <si>
    <t>Cash flows from investing activities 
 Additions to property, plant and equipment   (8,478,876) (33,903,442)
 Additions to intangible  –   (133,329)
 Proceeds from disposal of associated company  –   128,126 
 Short ter</t>
  </si>
  <si>
    <t>Cash flows from investing activities 
 Additions to property, plant and equipment   (3,477,647) (8,478,876)
 Short term investments – net   (8,944,969) –   
 Proceeds from disposal of property, plant and equipment 17.1</t>
  </si>
  <si>
    <t>097 
Cash flows from investing activities
Addition in property plant and equipment - other than markup paid on Islamic mode of financing (28,425,596) (1,007,205)
Investment in associate (50,000) - 
Short term investments - net 1,758,221 (4,284,022)
Proceeds from disposal of property, plant and equipment 17.1 23,250 103,243 
Income received</t>
  </si>
  <si>
    <t>erated from operating activities  16,200,329  7,567,564 
Cash flows from investing activities
Additions in property plant and equipment  (33,903,442) (28,425,596)
Additions in intangible  (133,329)  - 
Proceeds from disposal of / investment (made) in associate  128,126  (50,000)
Short term investments - net  3,593,010  1,758,221 
Proceeds f</t>
  </si>
  <si>
    <t>Cash flows from investing activities 
 Additions to property, plant and equipment   (8,478,876) (33,903,442)
 Additions to intangible  –   (133,329)
 Proceeds from disposal of associated company  –   128,126 
 Short term investments - net  –   3,593,010 
 Proceeds from disposal of proper</t>
  </si>
  <si>
    <t>Cash flows from investing activities 
 Additions to property, plant and equipment   (3,477,647) (8,478,876)
 Short term investments – net   (8,944,969) –   
 Proceeds from disposal of property, plant and equipment 17.1  109,726  21,522 
 Income received against deposits and investments</t>
  </si>
  <si>
    <t>Cash flows from investing activities 
 Additions to property, plant and equipment   (3,477,647) (8,478,876)
 Short term investments – net   (8,944,969) –   
 Proceeds from disposal of property, plant and equipment 17.1  109,726  21,522 
 Income received against deposits and</t>
  </si>
  <si>
    <t>50 103,243 
Income received against income deposits and investments - conventional 629,421 46,326 
Net cash used in investing activities (26,064,704) (5,141,658)
Cash flows from financing activities
Repayment of long term loans (3,098,399) (484,237)
Disbursements from new long term loans 17,059,404 625,610 
Loan from parent 6,543,000 - 
Le</t>
  </si>
  <si>
    <t>16.1  116,244 23,250 
Income received against income deposits and investments  532,218 629,421 
Net cash used in investing activities  (29,667,173)  (26,064,704)
Cash flows from financing activities
Repayment of long term loans  (2,505,227)  (3,098,399)
Long term loans received during the year  15,976,605  17,059,404 
Loan from parent  -</t>
  </si>
  <si>
    <t>ent 16.1  21,522  116,244 
 Income received against deposits and investments   299,318  532,218 
Net cash used in investing activities   (8,158,037)  (29,667,173)
Cash flows from financing activities 
 Repayment of long term loans   (2,053,004)  (2,505,227)
 Long term loans received during the year   644,239   15,976,605 
 Lease payments</t>
  </si>
  <si>
    <t>17.1  109,726  21,522 
 Income received against deposits and investments   1,053,700  299,318 
Net cash used in investing activities   (11,259,190)  (8,158,036)
Cash flows from financing activities 
 Repayment of long term loans   (4,657,115)  (2,053,004)
 Long term loans received during the year  –  644,239 
 Lease payments   (75,315)</t>
  </si>
  <si>
    <t>and equipment 17.1  109,726  21,522 
 Income received against deposits and investments   1,053,700  299,318 
Net cash used in investing activities   (11,259,190)  (8,158,036)
Cash flows from financing activities 
 Repayment of long term loans   (4,657,115)  (2,053,004)
 Long term loans received during the year  –  644,239 
 Lease payment</t>
  </si>
  <si>
    <t>,588) (50,413)
Dividend paid (1,322) (1,572)
Finance cost paid (985,172) (94,843)
Net cash generated from / (used in) financing activities 19,345,923 (5,455)
Net increase in cash and cash equivalents 848,783 591,984 
Cash and cash equivalents at beginning of the year (716,009) (1,307,993)
Cash and cash equivalents acquired through busi</t>
  </si>
  <si>
    <t>d dividend paid during the year  (1,156)  (1,322)
Finance cost paid  (2,562,932)  (985,172)
Net cash generated from financing activities  10,817,936  19,345,923 
Net increase in cash and cash equivalents  (2,648,908)  848,783 
Cash and cash equivalents at beginning of the year  (911,616)  (716,009)
Cash and cash equivalents acquired throu</t>
  </si>
  <si>
    <t>the year   (355)  (1,156)
 Finance cost paid     (6,993,060)   (2,483,101)
Net cash (used in) / generated from financing activities    (8,479,996)   10,897,767  
Net increase in cash and cash equivalents   5,046,575   (2,738,408)
Cash and cash equivalents at beginning of the year   (3,650,024)  (911,616)
Cash and cash equivalents at en</t>
  </si>
  <si>
    <t>Markup paid on loan from parent   (553,514) –  
 Finance cost paid    (5,005,937)  (6,993,060)
Net cash used in financing activities   (12,739,192)  (8,479,996)
Net increase in cash and cash equivalents   314,826   5,646,575 
Cash and cash equivalents at beginning of the year   1,996,550   (3,650,025)
Cash and cash equivalents at end of</t>
  </si>
  <si>
    <t>7,311)  (355)
 Markup paid on loan from parent   (553,514) –  
 Finance cost paid    (5,005,937)  (6,993,060)
Net cash used in financing activities   (12,739,192)  (8,479,996)
Net increase in cash and cash equivalents   314,826   5,646,575 
Cash and cash equivalents at beginning of the year   1,996,550   (3,650,025)
Cash and cash equivale</t>
  </si>
  <si>
    <t>237)
Disbursements from new long term loans 17,059,404 625,610 
Loan from parent 6,543,000 - 
Lease payments (171,588) (50,413)
Dividend paid (1,322) (1,572)
Finance cost paid (985,172) (94,843)
Net cash generated from / (used in) financing activities 19,345,923 (5,455)
Net increase in cash and cash equivalents 848,783 591,984 
Cash an</t>
  </si>
  <si>
    <t>e year  15,976,605  17,059,404 
Loan from parent  -  6,543,000 
Lease payments  (89,354)  (171,588)
Unclaimed dividend paid during the year  (1,156)  (1,322)
Finance cost paid  (2,562,932)  (985,172)
Net cash generated from financing activities  10,817,936  19,345,923 
Net increase in cash and cash equivalents  (2,648,908)  848,783 
Ca</t>
  </si>
  <si>
    <t>ng term loans received during the year   644,239   15,976,605 
 Lease payments   (77,816)  (89,354)
 Unclaimed dividend paid during the year   (355)  (1,156)
 Finance cost paid     (6,993,060)   (2,483,101)
Net cash (used in) / generated from financing activities    (8,479,996)   10,897,767  
Net increase in cash and cash equivalents</t>
  </si>
  <si>
    <t>(2,053,004)
 Long term loans received during the year  –  644,239 
 Lease payments   (75,315)  (77,816)
 Dividend paid during the year   (2,447,311)  (355)
 Markup paid on loan from parent   (553,514) –  
 Finance cost paid    (5,005,937)  (6,993,060)
Net cash used in financing activities   (12,739,192)  (8,479,996)
Net increase in</t>
  </si>
  <si>
    <t>(4,657,115)  (2,053,004)
 Long term loans received during the year  –  644,239 
 Lease payments   (75,315)  (77,816)
 Dividend paid during the year   (2,447,311)  (355)
 Markup paid on loan from parent   (553,514) –  
 Finance cost paid    (5,005,937)  (6,993,060)
Net cash used in financing activities   (12,739,192)  (8,479,996)
Net incr</t>
  </si>
  <si>
    <t>LUCK|cash_equiv_published|2021</t>
  </si>
  <si>
    <t>Cash equivalents for published cash ratio</t>
  </si>
  <si>
    <t>Note / current or comparative</t>
  </si>
  <si>
    <t>Official note classification</t>
  </si>
  <si>
    <t>Added explicit note component; no change to signed gross statement presentation.</t>
  </si>
  <si>
    <t>Audited cash-flow closing cash and cash equivalents; FY2023-25 comparatives/current series 26,001,579;32,382,131;64,088,375 thousand. Used for company-published cash-ratio reconstruction only.</t>
  </si>
  <si>
    <t>LUCK|cash_equiv_published|2022</t>
  </si>
  <si>
    <t>LUCK|cash_equiv_published|2023</t>
  </si>
  <si>
    <t>LUCK|cash_equiv_published|2024</t>
  </si>
  <si>
    <t>LUCK|cash_equiv_published|2025</t>
  </si>
  <si>
    <t>FCCL|bank_interest_published|2023</t>
  </si>
  <si>
    <t>Bank interest for published coverage</t>
  </si>
  <si>
    <t>Conventional plus Islamic bank interest; excludes separately disclosed WPPF and lease interest, FX and bank charges.</t>
  </si>
  <si>
    <t>FCCL|bank_interest_published|2024</t>
  </si>
  <si>
    <t>FCCL|bank_interest_published|2025</t>
  </si>
  <si>
    <t>KOHC|contractors_published|2020</t>
  </si>
  <si>
    <t>Contractors bills in company DPO</t>
  </si>
  <si>
    <t>Contractors bills are a separate line in note9; used only to reconstruct company closing-payable convention. Excluded from unallocated operating supplier balance.</t>
  </si>
  <si>
    <t>KOHC|contractors_published|2021</t>
  </si>
  <si>
    <t>KOHC|contractors_published|2022</t>
  </si>
  <si>
    <t>KOHC|contractors_published|2023</t>
  </si>
  <si>
    <t>KOHC|contractors_published|2024</t>
  </si>
  <si>
    <t>KOHC|contractors_published|2025</t>
  </si>
  <si>
    <t>FCCL|noninterest_parent|2022</t>
  </si>
  <si>
    <t>Interest-free parent financing</t>
  </si>
  <si>
    <t>Note10: principal7,387,000 thousand; unsecured, interest-free and payable on demand subject to lender approval. FY2025 note11 confirms markup begins July1,2024.</t>
  </si>
  <si>
    <t>FCCL|noninterest_parent|2023</t>
  </si>
  <si>
    <t>FCCL|noninterest_parent|2024</t>
  </si>
  <si>
    <t>KOHC|embedded_markup|2024</t>
  </si>
  <si>
    <t>Accrued markup within current financing</t>
  </si>
  <si>
    <t>Note6.1 current maturity splits principal and markup: FY2025 markup47,420,397;FY2024 markup134,939,770 rupees. Excluded from interest-bearing principal; gross statement balance retained.</t>
  </si>
  <si>
    <t>KOHC|embedded_markup|2025</t>
  </si>
  <si>
    <t>FCCL|embedded_markup|2025</t>
  </si>
  <si>
    <t>Accrued markup within parent financing</t>
  </si>
  <si>
    <t>Note11: principal7,387,000 + accrued markup185,186 = parent-loan balance7,572,186 thousand.</t>
  </si>
  <si>
    <t>FCCL|gross_parent_published|2022</t>
  </si>
  <si>
    <t>Gross parent loan for published liquidity</t>
  </si>
  <si>
    <t>Published liquidity excludes this separately presented on-demand parent balance; uniform current liabilities include it.</t>
  </si>
  <si>
    <t>FCCL|gross_parent_published|2023</t>
  </si>
  <si>
    <t>FCCL|gross_parent_published|2024</t>
  </si>
  <si>
    <t>FCCL|gross_parent_published|2025</t>
  </si>
  <si>
    <t>MLCF|related_operating_supplier|2020</t>
  </si>
  <si>
    <t>Current payable to power subsidiary</t>
  </si>
  <si>
    <t>Due to Maple Leaf Power Ltd. (subsidiary); trade-payable note15/16 and related-party note46 disclose operating electricity purchases. Excludes separately reported interest-bearing financing loan and holding-company balances.</t>
  </si>
  <si>
    <t>MLCF|related_operating_supplier|2021</t>
  </si>
  <si>
    <t>MLCF|related_operating_supplier|2022</t>
  </si>
  <si>
    <t>MLCF|related_operating_supplier|2023</t>
  </si>
  <si>
    <t>MLCF|related_operating_supplier|2024</t>
  </si>
  <si>
    <t>MLCF|related_operating_supplier|2025</t>
  </si>
  <si>
    <t>DGKC|published_quick_exclusion|2021</t>
  </si>
  <si>
    <t>Loans, advances, deposits, prepayments and other receivables</t>
  </si>
  <si>
    <t>Official asset-statement component</t>
  </si>
  <si>
    <t>Published quick ratio subtracts this whole separately disclosed group; main standardized quick formula remains CA less inventories over all CL.</t>
  </si>
  <si>
    <t>Printed ADP / other receivables caption: FY2021 488,566 thousand.</t>
  </si>
  <si>
    <t>DGKC|published_quick_exclusion|2022</t>
  </si>
  <si>
    <t>Printed ADP / other receivables caption: FY2022 1,430,613 thousand.</t>
  </si>
  <si>
    <t>DGKC|published_quick_exclusion|2023</t>
  </si>
  <si>
    <t>Printed ADP / other receivables caption: FY2023 926,047 thousand.</t>
  </si>
  <si>
    <t>DGKC|published_quick_exclusion|2024</t>
  </si>
  <si>
    <t>Printed ADP / other receivables caption: FY2024 160,289 thousand.</t>
  </si>
  <si>
    <t>DGKC|published_quick_exclusion|2025</t>
  </si>
  <si>
    <t>Printed ADP / other receivables caption: FY2025 1,345,673 thousand.</t>
  </si>
  <si>
    <t>FY2020 opening balances and FY2021 average denominators</t>
  </si>
  <si>
    <t>All opening balances are sourced from the FY2021 audited comparative statements and notes; source keys and excerpts are on Input Review.</t>
  </si>
  <si>
    <t>Balance</t>
  </si>
  <si>
    <t>FY2020 closing</t>
  </si>
  <si>
    <t>FY2021 closing</t>
  </si>
  <si>
    <t>FY2021 average</t>
  </si>
  <si>
    <t>Source convention</t>
  </si>
  <si>
    <t>Scope</t>
  </si>
  <si>
    <t>Inventory</t>
  </si>
  <si>
    <t>FY2021 audited comparative; FY2021 closing uses subsequent audited comparative where available.</t>
  </si>
  <si>
    <t>FY2020 opening only; no sixth analysis year.</t>
  </si>
  <si>
    <t>Trade receivables</t>
  </si>
  <si>
    <t>Operating supplier payables</t>
  </si>
  <si>
    <t>Operating PPE</t>
  </si>
  <si>
    <t>Total assets</t>
  </si>
  <si>
    <t>Interest-bearing debt</t>
  </si>
  <si>
    <t>Invested capital</t>
  </si>
  <si>
    <t>Material discrepancies — external leads and official conclusions</t>
  </si>
  <si>
    <t>Secondary sources are investigative only. No secondary financial values or references appear in the submission workbook. Exact numeric reproduction is separated from an officially disclosed definition.</t>
  </si>
  <si>
    <t>Issue</t>
  </si>
  <si>
    <t>Research source</t>
  </si>
  <si>
    <t>Link</t>
  </si>
  <si>
    <t>Investigative finding / hypothesis</t>
  </si>
  <si>
    <t>Official cross-check</t>
  </si>
  <si>
    <t>Conclusion</t>
  </si>
  <si>
    <t>Inventory / supplier payables</t>
  </si>
  <si>
    <t>PACRA Jan2026 rating report</t>
  </si>
  <si>
    <t>https://www.pacra.com/api/rating-report/MTU0MTQ%3D</t>
  </si>
  <si>
    <t>Secondary analysis separates stock-in-trade inventory and supplier payables. Used to investigate component definitions only.</t>
  </si>
  <si>
    <t>Official note 9 confirms contractors bills separate from local/import creditors. Published DPO includes those bills and closing rather than average balance.</t>
  </si>
  <si>
    <t>Reconstructed published convention; standardized formula preserved.</t>
  </si>
  <si>
    <t>Interest coverage / operating numerator</t>
  </si>
  <si>
    <t>Arif Habib Pakistan Strategy2025</t>
  </si>
  <si>
    <t>https://www.arifhabibltd.com/api/research/open?path=178%2F6737dbd54a3785058cc20a7c.pdf</t>
  </si>
  <si>
    <t>Research uses operating profit before other expenses/income and distinguishes consolidated metrics.</t>
  </si>
  <si>
    <t>Audited GP less distribution/admin reproduces published coverage with all finance cost. No analyst amounts used as inputs.</t>
  </si>
  <si>
    <t>Published-method difference reconstructed from official statements; exact formula not expressly disclosed.</t>
  </si>
  <si>
    <t>Interest / parent financing</t>
  </si>
  <si>
    <t>HMFS FY2025 result review</t>
  </si>
  <si>
    <t>https://hmfs.com.pk/uploads/files/Result_Review_FCCL___MLCF_-_FY25.pdf</t>
  </si>
  <si>
    <t>Search result narrows interest discussion to conventional banking expense; full report retrieval was unavailable. Hypothesis only.</t>
  </si>
  <si>
    <t>Official note 34 separately discloses conventional/Islamic/WPPF/lease/FX/bank charges. Note 11 confirms parent interest starts July2024.</t>
  </si>
  <si>
    <t>Corrected interest-free parent and accrued markup classification; published FY2025 coverage rounding remains unresolved.</t>
  </si>
  <si>
    <t>Large payable-days and quick-ratio gaps</t>
  </si>
  <si>
    <t>External targeted investigation</t>
  </si>
  <si>
    <t>Targeted searches did not find a reputable explanation identifying the exact company formula. Purchases/COGS, total payables, averaging and asset exclusions were tested.</t>
  </si>
  <si>
    <t>Official asset statements disclose the excluded ADP/other-receivables group. Subtracting it from CA less inventories reproduces all five quick ratios. Note12 still provides no common DPO definition that reproduces FY2021/22/24/25.</t>
  </si>
  <si>
    <t>Quick: published-method difference reconstructed for all five years. DPO: four original discrepancies remain officially unresolved.</t>
  </si>
  <si>
    <t>Historic DIO / DSO / DPO revisions</t>
  </si>
  <si>
    <t>No reputable external source found an explanation for changed historical days. Reclassification, stock-only inventory, rounded turnover and related supplier hypotheses investigated.</t>
  </si>
  <si>
    <t>Own-year reports and FY2024/FY2025 summaries show conflicting historical figures. Notes 15/16 and46 support power-subsidiary trade payable inclusion.</t>
  </si>
  <si>
    <t>Confirmed supplier omission corrected; unexplained official summary revisions remain unresolved.</t>
  </si>
  <si>
    <t>KOHC / FCCL</t>
  </si>
  <si>
    <t>10 original unresolved market comparisons</t>
  </si>
  <si>
    <t>Official-only price and corporate-action review</t>
  </si>
  <si>
    <t>No secondary price used. An official PSX annual-average hypothesis was tested for FY2025 using all247 sessions.</t>
  </si>
  <si>
    <t>FY2025 arithmetic mean35.080121 divided by audited report-basis EPS gives6.456916, versus published6.69. Thus a simple annual-mean close does not explain the discrepancy; the actual FY-end close44.67 remains unchanged. See PSX Price Probe.</t>
  </si>
  <si>
    <t>All10 original P/E/P-B discrepancies remain officially unresolved. KOHC tangible-asset diagnostic and FCCL annual-mean hypothesis are recorded without changing standardized calculations.</t>
  </si>
  <si>
    <t>ROIC taxation</t>
  </si>
  <si>
    <t>Official tax reconciliation</t>
  </si>
  <si>
    <t>Secondary tax assumptions were not needed.</t>
  </si>
  <si>
    <t>Audited PDF p205 confirms FY2023/24 ETR214.97%/80.89%, including super tax, prior-year tax and deferred-asset writeoffs.</t>
  </si>
  <si>
    <t>Removed unsupported 60% cap/statutory fallback consistently for all companies.</t>
  </si>
  <si>
    <t>Liquidity and asset-turnover series</t>
  </si>
  <si>
    <t>Official annual report cross-check</t>
  </si>
  <si>
    <t>Broader searches found no reputable explanation reconciling the turnover table. Parent-loan exclusion and monthly/annual scaling were investigated.</t>
  </si>
  <si>
    <t>Note11 confirms on-demand parent financing. Excluding it reproduces company liquidity; standardized CL includes it. DuPont PDF p212 prints sales/assets48%-55%, contradicting p214/p215 turnover0.07-0.08.</t>
  </si>
  <si>
    <t>Published liquidity definition reconstructed; turnover series is an official within-report inconsistency.</t>
  </si>
  <si>
    <t>Uniform formula basis</t>
  </si>
  <si>
    <t>Project Guidelines / supplied formula list</t>
  </si>
  <si>
    <t>Project Guidelines.pdf, PDF p6</t>
  </si>
  <si>
    <t>The TA instruction is supplied by the user. No separate lecture-note file or independent TA correspondence was present in the ZIP.</t>
  </si>
  <si>
    <t>All 33 definitions retained consistently. Project guidelines require negative/not-meaningful displays as n/m; signed raw figures preserved.</t>
  </si>
  <si>
    <t>Methodology limitation disclosed; no claim of separate TA approval.</t>
  </si>
  <si>
    <t>Bonus denominator timing</t>
  </si>
  <si>
    <t>PSX credit notice and IAS33</t>
  </si>
  <si>
    <t>The prior reported weighted-count gap now has a numerical explanation.</t>
  </si>
  <si>
    <t>Electronic credit10-Nov-2022 after hours;232days from11-Nov to30-Jun. Opening2,180.309m + bonus272.5386m x232/365 =2,353.539m. IAS33.26-28 instead requires retrospective bonus weighting.</t>
  </si>
  <si>
    <t>Calendar-weighted report count reconstructed; official policy rationale unresolved. Standardized full-bonus count unchanged.</t>
  </si>
  <si>
    <t>LUCK / KOHC</t>
  </si>
  <si>
    <t>Fixed assets and BVPS scopes</t>
  </si>
  <si>
    <t>Official asset and share notes</t>
  </si>
  <si>
    <t>Exact official subtotal and share-scope tests, without changing main definitions.</t>
  </si>
  <si>
    <t>LUCK fixed assets include intangibles; note19 identifies FY2023 treasury held for cancellation. KOHC published BVPS reconstructs using report weighted shares.</t>
  </si>
  <si>
    <t>Published numeric conventions reconstructed separately; standardized operating PPE and treasury-net closing shares retained.</t>
  </si>
  <si>
    <t>Historical COGS / gross margin</t>
  </si>
  <si>
    <t>Abbasi and Company 1HFY2023 result review</t>
  </si>
  <si>
    <t>https://abbasiandcompany.com/assets/file_data/MLCF%20-%201HFY23%20Result%20Review%3B%20BUY%20Stance%20Maintained.pdf</t>
  </si>
  <si>
    <t>Older analyst margin presentation suggested a reporting-vintage comparison. No analyst amounts enter the model.</t>
  </si>
  <si>
    <t>Audited FY2022 freight 543.688/699.664m and FY2023 freight 1749.597m exactly bridge later company cost/distribution presentation.</t>
  </si>
  <si>
    <t>Official reclassification bridge established independently.</t>
  </si>
  <si>
    <t>FY2024 creditor classification</t>
  </si>
  <si>
    <t>PACRA February2026 report</t>
  </si>
  <si>
    <t>https://pacra.com/api/rating-report/MTUzODI%3D</t>
  </si>
  <si>
    <t>Older creditor presentation led to checking infrastructure cess.</t>
  </si>
  <si>
    <t>DGAnnual2025 PDF p227 reclassifies1187.248m from FY2024 trade creditors to cess. Total payables unchanged.</t>
  </si>
  <si>
    <t>Confirms a vintage classification difference; does not explain published DPO series.</t>
  </si>
  <si>
    <t>Published payable days</t>
  </si>
  <si>
    <t>PACRA March2023 report</t>
  </si>
  <si>
    <t>https://www.pacra.com/summary_report/RR_1514_11126_03-Mar-23.pdf</t>
  </si>
  <si>
    <t>Analyst working-capital measures use different scopes. No exact issuer DPO worksheet identified.</t>
  </si>
  <si>
    <t>Tested official note scopes, purchase proxies, consolidated reports and15 official interims.</t>
  </si>
  <si>
    <t>No supported common reconstruction.</t>
  </si>
  <si>
    <t>Merger / creditor scope</t>
  </si>
  <si>
    <t>PACRA March2025 report</t>
  </si>
  <si>
    <t>https://www.pacra.com/api/rating-report/MTQxMzQ%3D</t>
  </si>
  <si>
    <t>Merger and capacity timeline suggested quarter-period and creditor-scope checks.</t>
  </si>
  <si>
    <t>Audited FCCL reports show Askari merger and separate retention/accrual balances. Q4FY2022 includes pre-merger Askari performance.</t>
  </si>
  <si>
    <t>Quarter annualization is diagnostic only; not a valid substitute annual input.</t>
  </si>
  <si>
    <t>Receivable-day history</t>
  </si>
  <si>
    <t>PACRA March2022 report</t>
  </si>
  <si>
    <t>https://www.pacra.com/summary_report/RR_2255_9833_15-Mar-22.pdf</t>
  </si>
  <si>
    <t>Earlier receivable-day discussion supports testing averaging conventions, but does not explain FY2023â€“25 published series.</t>
  </si>
  <si>
    <t>Official net/gross opening/closing/average receivables and quarterly sales tested.</t>
  </si>
  <si>
    <t>Monthly issuer balances and credit-sales definition still needed.</t>
  </si>
  <si>
    <t>Comprehensive income and EPS</t>
  </si>
  <si>
    <t>IAS1 official standard</t>
  </si>
  <si>
    <t>https://www.ifrs.org/content/dam/ifrs/publications/pdf-standards/english/2024/issued/part-a/ias-1-presentation-of-financial-statements.pdf?bypass=on</t>
  </si>
  <si>
    <t>TCI includes profit and OCI and is conceptually distinct from PAT.</t>
  </si>
  <si>
    <t>Official LUCK TCI / closing equity reproduces all five published ROEs.</t>
  </si>
  <si>
    <t>Numerical reconstruction supported by audited components; no claim issuer expressly disclosed ROE formula.</t>
  </si>
  <si>
    <t>LUCK / FCCL</t>
  </si>
  <si>
    <t>Weighted shares and bonus basis</t>
  </si>
  <si>
    <t>IAS33 official standard</t>
  </si>
  <si>
    <t>https://www.ifrs.org/issued-standards/list-of-standards/ias-33-earnings-per-share.html/</t>
  </si>
  <si>
    <t>EPS weighting, share repurchases and bonus/split treatment require distinct period and basis checks.</t>
  </si>
  <si>
    <t>LUCK FY2023 summary uses opening-capital equivalent; FCCL later report uses revised FY2022 EPS denominator. Standardized native share bases retained.</t>
  </si>
  <si>
    <t>No unsupported adjustment to financial inputs or PSX prices.</t>
  </si>
  <si>
    <t>Targeted brokerage searches</t>
  </si>
  <si>
    <t>AKD / Topline / AHL / VIS research searches</t>
  </si>
  <si>
    <t>Targeted searches did not identify a document explaining the exact remaining issuer formulas.</t>
  </si>
  <si>
    <t>Official numerical tests remain the basis for conclusions.</t>
  </si>
  <si>
    <t>Absence of a search result is not evidence that a company formula is wrong.</t>
  </si>
  <si>
    <t>19 mandatory + 14 additional measures; 825 formula results. Source disagreements are disclosed separately from implementation verification.</t>
  </si>
  <si>
    <t>Expected observations</t>
  </si>
  <si>
    <t>Checks passed</t>
  </si>
  <si>
    <t>Checks failed</t>
  </si>
  <si>
    <t>Uniform formula</t>
  </si>
  <si>
    <t>Evidence</t>
  </si>
  <si>
    <t>Audit finding</t>
  </si>
  <si>
    <t>Input Review; Opening Balances; source register</t>
  </si>
  <si>
    <t>Uniform method independently recomputed from official source inputs.</t>
  </si>
  <si>
    <t>Related operating suppliers included; taxes, broad accruals and contractor retentions excluded.</t>
  </si>
  <si>
    <t>Actual uncapped ETR; signed negative DGKC FY2023 NOPAT retained.</t>
  </si>
  <si>
    <t>Official PSX prices and share bases preserved. Published-source conflicts remain documented.</t>
  </si>
  <si>
    <t>Implementation scope</t>
  </si>
  <si>
    <t>33 measures;19 mandatory;14 additional;5 companies;5 years.</t>
  </si>
  <si>
    <t>Independent result checks</t>
  </si>
  <si>
    <t>Sample-average checks</t>
  </si>
  <si>
    <t>165 independently recomputed sample means agree; n/m excluded.</t>
  </si>
  <si>
    <t>Input records</t>
  </si>
  <si>
    <t>1,675 original financial records reviewed +35 explicit note components.</t>
  </si>
  <si>
    <t>Published comparisons</t>
  </si>
  <si>
    <t>544 observations; exact numeric reproduction does not establish an expressly disclosed definition.</t>
  </si>
  <si>
    <t>44 original financial failures</t>
  </si>
  <si>
    <t>33 now reproduce to official precision;11 remain unresolved.</t>
  </si>
  <si>
    <t>10 original market failures</t>
  </si>
  <si>
    <t>All10 remain official-source discrepancies; verified PSX closes retained.</t>
  </si>
  <si>
    <t>Official control exceptions</t>
  </si>
  <si>
    <t>KOHC FY2020 one-rupee footing;LUCK FY2020 PKR0.400m printed-NCL/component conflict. No balancing plugs.</t>
  </si>
  <si>
    <t>Material corrections</t>
  </si>
  <si>
    <t>MLCF related supplier payables;FCCL interest-free parent loan;KOHC/FCCL embedded markup;DGKC uncapped audited ETR.</t>
  </si>
  <si>
    <t>Formula-source limit</t>
  </si>
  <si>
    <t>No separate lecture-note file or TA correspondence in ZIP; supplied agreed formulas and guidelines used with explicit uniform definitions.</t>
  </si>
  <si>
    <t>Published reconstruction results</t>
  </si>
  <si>
    <t>FCCL bonus denominator - source reconstruction</t>
  </si>
  <si>
    <t>Opening FY2023 shares (million)</t>
  </si>
  <si>
    <t>Bonus shares (million)</t>
  </si>
  <si>
    <t>First day after after-hours credit</t>
  </si>
  <si>
    <t>Calendar days (inclusive)</t>
  </si>
  <si>
    <t>Financial-year days</t>
  </si>
  <si>
    <t>Calendar-weighted bonus denominator</t>
  </si>
  <si>
    <t>Published weighted shares (million)</t>
  </si>
  <si>
    <t>Difference (individual shares)</t>
  </si>
  <si>
    <t>Standardized full-bonus denominator</t>
  </si>
  <si>
    <t>The PSX notice confirms electronic credit on10-Nov-2022 after business hours. Weighting the bonus from11-Nov produces2,353.539m at source precision. This is a numerical timing reconstruction; IAS33 requires retrospective bonus treatment, so the standardized2,452.8476m denominator remains.</t>
  </si>
  <si>
    <t>https://www.ifrs.org/content/dam/ifrs/publications/pdf-standards/english/2021/issued/part-a/ias-33-earnings-per-share.pdf</t>
  </si>
  <si>
    <t>FCCL FY2025 - test of the annual-average-price hypothesis</t>
  </si>
  <si>
    <t>Official session-close mean</t>
  </si>
  <si>
    <t>Report-basis unrounded EPS</t>
  </si>
  <si>
    <t>Mean-close / EPS</t>
  </si>
  <si>
    <t>Company-published P/E</t>
  </si>
  <si>
    <t>Verified FY-end closing price</t>
  </si>
  <si>
    <t>All247 sessions retrieved from official PSX. Arithmetic annual mean does not reproduce6.69. This test does not establish another company price convention; no mean price is used in the submission.</t>
  </si>
  <si>
    <t>Actual CLOSE</t>
  </si>
  <si>
    <t>Volume</t>
  </si>
  <si>
    <t>Calendar year</t>
  </si>
  <si>
    <t>Month</t>
  </si>
  <si>
    <t>Official source</t>
  </si>
  <si>
    <t>POST request</t>
  </si>
  <si>
    <t>Response SHA256</t>
  </si>
  <si>
    <t>{"symbol":"FCCL","year":"2024","month":"7"}</t>
  </si>
  <si>
    <t>7ab633f8df8cf5684c0224c214e5ef3e3c3f5ce527f3a4b139fdb61f7aa39b1c</t>
  </si>
  <si>
    <t>Jul 1, 2024 | 22.75 | 23.30 | 22.53 | 22.70 | 4,678,019</t>
  </si>
  <si>
    <t>Jul 2, 2024 | 22.85 | 23.01 | 22.60 | 22.70 | 5,383,770</t>
  </si>
  <si>
    <t>Jul 3, 2024 | 22.77 | 23.15 | 22.73 | 22.96 | 10,260,542</t>
  </si>
  <si>
    <t>Jul 4, 2024 | 23.00 | 23.18 | 22.73 | 22.88 | 6,437,128</t>
  </si>
  <si>
    <t>Jul 5, 2024 | 22.90 | 22.96 | 22.34 | 22.39 | 5,017,052</t>
  </si>
  <si>
    <t>Jul 8, 2024 | 22.34 | 23.70 | 22.01 | 22.99 | 6,651,536</t>
  </si>
  <si>
    <t>Jul 9, 2024 | 23.02 | 23.54 | 22.66 | 23.12 | 8,230,699</t>
  </si>
  <si>
    <t>Jul 10, 2024 | 23.30 | 23.30 | 22.75 | 22.89 | 4,698,564</t>
  </si>
  <si>
    <t>Jul 11, 2024 | 22.71 | 23.00 | 22.50 | 22.71 | 4,448,771</t>
  </si>
  <si>
    <t>Jul 12, 2024 | 22.71 | 22.97 | 22.00 | 22.73 | 6,163,472</t>
  </si>
  <si>
    <t>Jul 15, 2024 | 23.00 | 23.50 | 22.91 | 23.11 | 8,398,923</t>
  </si>
  <si>
    <t>Jul 18, 2024 | 23.10 | 23.15 | 22.85 | 22.99 | 4,937,769</t>
  </si>
  <si>
    <t>Jul 19, 2024 | 23.01 | 23.05 | 22.55 | 22.68 | 4,964,181</t>
  </si>
  <si>
    <t>Jul 22, 2024 | 22.68 | 22.90 | 21.80 | 22.00 | 4,887,748</t>
  </si>
  <si>
    <t>Jul 23, 2024 | 22.20 | 22.70 | 21.90 | 22.01 | 3,843,991</t>
  </si>
  <si>
    <t>Jul 24, 2024 | 22.20 | 22.25 | 21.81 | 22.00 | 5,279,016</t>
  </si>
  <si>
    <t>Jul 25, 2024 | 22.00 | 22.42 | 21.70 | 21.83 | 4,371,610</t>
  </si>
  <si>
    <t>Jul 26, 2024 | 22.00 | 22.00 | 21.45 | 21.74 | 4,790,816</t>
  </si>
  <si>
    <t>Jul 29, 2024 | 21.95 | 22.66 | 21.55 | 22.52 | 12,762,187</t>
  </si>
  <si>
    <t>Jul 30, 2024 | 22.75 | 22.75 | 21.53 | 21.63 | 15,819,905</t>
  </si>
  <si>
    <t>Jul 31, 2024 | 21.65 | 21.71 | 20.50 | 20.77 | 4,792,998</t>
  </si>
  <si>
    <t>{"symbol":"FCCL","year":"2024","month":"8"}</t>
  </si>
  <si>
    <t>4b26fbaed8bbc764d39ed3ac4e622ef5bbeba3f74f8b5b81da5dd5190af066aa</t>
  </si>
  <si>
    <t>Aug 1, 2024 | 20.95 | 21.30 | 20.25 | 20.83 | 11,547,096</t>
  </si>
  <si>
    <t>Aug 2, 2024 | 21.08 | 21.48 | 20.31 | 20.97 | 12,922,634</t>
  </si>
  <si>
    <t>Aug 5, 2024 | 20.70 | 20.75 | 19.82 | 20.16 | 6,752,143</t>
  </si>
  <si>
    <t>Aug 6, 2024 | 20.25 | 20.55 | 19.55 | 20.01 | 7,426,543</t>
  </si>
  <si>
    <t>Aug 7, 2024 | 20.01 | 20.58 | 19.95 | 20.02 | 4,182,365</t>
  </si>
  <si>
    <t>Aug 8, 2024 | 20.25 | 20.94 | 20.13 | 20.76 | 6,366,489</t>
  </si>
  <si>
    <t>Aug 9, 2024 | 20.91 | 21.00 | 20.62 | 20.93 | 2,668,758</t>
  </si>
  <si>
    <t>Aug 12, 2024 | 21.00 | 21.15 | 19.75 | 20.30 | 5,324,084</t>
  </si>
  <si>
    <t>Aug 13, 2024 | 20.15 | 20.35 | 20.00 | 20.09 | 2,975,141</t>
  </si>
  <si>
    <t>Aug 15, 2024 | 20.05 | 20.35 | 19.95 | 20.11 | 2,827,773</t>
  </si>
  <si>
    <t>Aug 16, 2024 | 20.15 | 21.70 | 20.11 | 20.74 | 9,760,736</t>
  </si>
  <si>
    <t>Aug 19, 2024 | 20.84 | 21.17 | 20.54 | 20.69 | 4,684,994</t>
  </si>
  <si>
    <t>Aug 20, 2024 | 20.70 | 20.80 | 20.45 | 20.61 | 5,469,571</t>
  </si>
  <si>
    <t>Aug 21, 2024 | 20.61 | 21.66 | 20.60 | 21.41 | 5,608,753</t>
  </si>
  <si>
    <t>Aug 22, 2024 | 21.59 | 23.05 | 21.59 | 22.38 | 15,855,662</t>
  </si>
  <si>
    <t>Aug 23, 2024 | 22.48 | 22.49 | 22.02 | 22.08 | 1,840,749</t>
  </si>
  <si>
    <t>Aug 26, 2024 | 22.11 | 22.39 | 21.61 | 21.72 | 1,266,818</t>
  </si>
  <si>
    <t>Aug 27, 2024 | 21.95 | 23.48 | 21.25 | 22.31 | 26,082,389</t>
  </si>
  <si>
    <t>Aug 28, 2024 | 22.40 | 22.45 | 21.90 | 22.17 | 2,615,792</t>
  </si>
  <si>
    <t>Aug 29, 2024 | 22.20 | 22.29 | 22.00 | 22.15 | 1,104,352</t>
  </si>
  <si>
    <t>Aug 30, 2024 | 22.35 | 22.35 | 21.80 | 21.88 | 2,248,429</t>
  </si>
  <si>
    <t>{"symbol":"FCCL","year":"2024","month":"9"}</t>
  </si>
  <si>
    <t>83ce1b7ccea7acc3313c715a849facce0bb0881514dd9937e9a852c0647430af</t>
  </si>
  <si>
    <t>Sep 2, 2024 | 22.00 | 22.20 | 21.65 | 21.81 | 6,942,410</t>
  </si>
  <si>
    <t>Sep 3, 2024 | 22.15 | 22.28 | 21.90 | 22.21 | 2,009,980</t>
  </si>
  <si>
    <t>Sep 4, 2024 | 22.29 | 23.36 | 22.22 | 23.15 | 8,472,327</t>
  </si>
  <si>
    <t>Sep 5, 2024 | 23.21 | 23.49 | 22.76 | 22.95 | 4,139,302</t>
  </si>
  <si>
    <t>Sep 6, 2024 | 23.13 | 23.20 | 22.70 | 22.76 | 676,236</t>
  </si>
  <si>
    <t>Sep 9, 2024 | 22.80 | 23.05 | 22.59 | 22.81 | 4,789,894</t>
  </si>
  <si>
    <t>Sep 10, 2024 | 22.73 | 23.74 | 22.60 | 23.50 | 11,195,443</t>
  </si>
  <si>
    <t>Sep 11, 2024 | 23.60 | 23.87 | 23.28 | 23.42 | 6,433,421</t>
  </si>
  <si>
    <t>Sep 12, 2024 | 23.60 | 24.90 | 23.05 | 24.54 | 15,550,470</t>
  </si>
  <si>
    <t>Sep 13, 2024 | 25.50 | 25.70 | 24.25 | 24.37 | 18,725,243</t>
  </si>
  <si>
    <t>Sep 16, 2024 | 24.45 | 24.48 | 23.60 | 24.20 | 5,116,039</t>
  </si>
  <si>
    <t>Sep 18, 2024 | 24.52 | 24.56 | 24.15 | 24.29 | 3,719,105</t>
  </si>
  <si>
    <t>Sep 19, 2024 | 24.30 | 24.89 | 24.18 | 24.72 | 7,720,188</t>
  </si>
  <si>
    <t>Sep 20, 2024 | 24.78 | 25.39 | 24.31 | 25.07 | 7,206,462</t>
  </si>
  <si>
    <t>Sep 23, 2024 | 25.05 | 25.10 | 24.21 | 24.35 | 2,663,090</t>
  </si>
  <si>
    <t>Sep 24, 2024 | 24.48 | 24.48 | 23.80 | 24.04 | 2,351,216</t>
  </si>
  <si>
    <t>Sep 25, 2024 | 24.16 | 25.15 | 23.84 | 24.99 | 7,657,647</t>
  </si>
  <si>
    <t>Sep 26, 2024 | 25.25 | 25.80 | 24.95 | 25.35 | 11,949,523</t>
  </si>
  <si>
    <t>Sep 27, 2024 | 25.48 | 25.48 | 25.00 | 25.22 | 2,804,892</t>
  </si>
  <si>
    <t>Sep 30, 2024 | 25.26 | 25.40 | 24.75 | 25.28 | 5,176,568</t>
  </si>
  <si>
    <t>{"symbol":"FCCL","year":"2024","month":"10"}</t>
  </si>
  <si>
    <t>28d9cb44dae9325cd2bdb67f7f6dfdab31ecf7ee822b0d73af80a23bdd7f8bd7</t>
  </si>
  <si>
    <t>Oct 1, 2024 | 25.12 | 27.19 | 25.12 | 26.62 | 29,125,856</t>
  </si>
  <si>
    <t>Oct 2, 2024 | 26.47 | 27.69 | 26.22 | 27.41 | 20,045,582</t>
  </si>
  <si>
    <t>Oct 3, 2024 | 27.40 | 28.10 | 26.72 | 27.15 | 21,628,458</t>
  </si>
  <si>
    <t>Oct 4, 2024 | 26.22 | 27.09 | 25.75 | 26.95 | 12,420,908</t>
  </si>
  <si>
    <t>Oct 7, 2024 | 26.90 | 28.39 | 26.60 | 28.00 | 23,127,553</t>
  </si>
  <si>
    <t>Oct 8, 2024 | 28.30 | 28.30 | 27.00 | 27.39 | 13,160,387</t>
  </si>
  <si>
    <t>Oct 9, 2024 | 27.55 | 27.98 | 26.95 | 27.52 | 13,879,905</t>
  </si>
  <si>
    <t>Oct 10, 2024 | 27.60 | 28.08 | 27.13 | 27.97 | 10,495,306</t>
  </si>
  <si>
    <t>Oct 11, 2024 | 28.19 | 28.80 | 27.87 | 28.62 | 12,389,794</t>
  </si>
  <si>
    <t>Oct 14, 2024 | 28.41 | 29.85 | 28.41 | 29.08 | 15,742,751</t>
  </si>
  <si>
    <t>Oct 15, 2024 | 29.11 | 29.85 | 28.85 | 29.34 | 5,406,017</t>
  </si>
  <si>
    <t>Oct 16, 2024 | 29.49 | 29.59 | 28.59 | 28.98 | 10,861,086</t>
  </si>
  <si>
    <t>Oct 17, 2024 | 29.23 | 29.54 | 28.60 | 29.04 | 5,794,011</t>
  </si>
  <si>
    <t>Oct 18, 2024 | 29.11 | 29.20 | 28.50 | 28.58 | 4,146,394</t>
  </si>
  <si>
    <t>Oct 21, 2024 | 28.45 | 29.29 | 28.45 | 28.91 | 4,144,445</t>
  </si>
  <si>
    <t>Oct 22, 2024 | 28.99 | 30.45 | 28.80 | 29.54 | 8,669,206</t>
  </si>
  <si>
    <t>Oct 23, 2024 | 29.60 | 30.48 | 29.50 | 30.33 | 10,211,012</t>
  </si>
  <si>
    <t>Oct 24, 2024 | 30.40 | 32.05 | 30.39 | 31.46 | 23,272,920</t>
  </si>
  <si>
    <t>Oct 25, 2024 | 31.95 | 34.40 | 30.91 | 33.99 | 31,553,452</t>
  </si>
  <si>
    <t>Oct 28, 2024 | 34.10 | 34.70 | 32.51 | 32.94 | 13,143,264</t>
  </si>
  <si>
    <t>Oct 29, 2024 | 33.20 | 34.15 | 32.56 | 33.26 | 10,346,413</t>
  </si>
  <si>
    <t>Oct 30, 2024 | 33.50 | 33.60 | 32.49 | 32.71 | 10,289,422</t>
  </si>
  <si>
    <t>Oct 31, 2024 | 33.05 | 33.38 | 32.35 | 32.56 | 9,095,443</t>
  </si>
  <si>
    <t>{"symbol":"FCCL","year":"2024","month":"11"}</t>
  </si>
  <si>
    <t>d4fa65b8b3b612bb920d35b39636629155fefa72080f312dc54330ab381ce3cb</t>
  </si>
  <si>
    <t>Nov 1, 2024 | 32.82 | 34.10 | 32.56 | 33.91 | 10,837,347</t>
  </si>
  <si>
    <t>Nov 4, 2024 | 34.41 | 35.30 | 34.11 | 35.06 | 20,330,341</t>
  </si>
  <si>
    <t>Nov 5, 2024 | 35.74 | 36.10 | 34.31 | 34.93 | 21,425,572</t>
  </si>
  <si>
    <t>Nov 6, 2024 | 35.20 | 35.39 | 32.75 | 34.04 | 9,078,138</t>
  </si>
  <si>
    <t>Nov 7, 2024 | 34.94 | 34.94 | 33.09 | 33.44 | 5,642,812</t>
  </si>
  <si>
    <t>Nov 8, 2024 | 33.60 | 34.00 | 33.28 | 33.93 | 5,865,737</t>
  </si>
  <si>
    <t>Nov 11, 2024 | 34.17 | 34.17 | 33.25 | 33.39 | 5,944,855</t>
  </si>
  <si>
    <t>Nov 12, 2024 | 33.30 | 33.40 | 31.79 | 32.14 | 10,432,174</t>
  </si>
  <si>
    <t>Nov 13, 2024 | 32.24 | 32.92 | 31.85 | 32.28 | 7,421,599</t>
  </si>
  <si>
    <t>Nov 14, 2024 | 32.59 | 33.44 | 32.30 | 32.49 | 8,823,324</t>
  </si>
  <si>
    <t>Nov 15, 2024 | 32.80 | 32.94 | 32.39 | 32.56 | 5,607,498</t>
  </si>
  <si>
    <t>Nov 18, 2024 | 32.57 | 33.37 | 32.40 | 33.11 | 9,074,361</t>
  </si>
  <si>
    <t>Nov 19, 2024 | 33.15 | 33.59 | 32.80 | 33.00 | 5,261,737</t>
  </si>
  <si>
    <t>Nov 20, 2024 | 32.83 | 33.20 | 32.20 | 32.34 | 6,363,684</t>
  </si>
  <si>
    <t>Nov 21, 2024 | 32.41 | 32.98 | 31.92 | 32.77 | 3,565,126</t>
  </si>
  <si>
    <t>Nov 22, 2024 | 32.98 | 33.40 | 32.51 | 32.77 | 9,451,848</t>
  </si>
  <si>
    <t>Nov 25, 2024 | 32.80 | 33.37 | 32.30 | 33.10 | 5,176,449</t>
  </si>
  <si>
    <t>Nov 26, 2024 | 33.20 | 33.20 | 30.12 | 30.58 | 9,143,779</t>
  </si>
  <si>
    <t>Nov 27, 2024 | 31.98 | 33.64 | 31.75 | 33.42 | 11,368,314</t>
  </si>
  <si>
    <t>Nov 28, 2024 | 33.93 | 35.40 | 33.82 | 34.90 | 26,132,552</t>
  </si>
  <si>
    <t>Nov 29, 2024 | 35.15 | 35.48 | 34.50 | 35.15 | 7,585,077</t>
  </si>
  <si>
    <t>{"symbol":"FCCL","year":"2024","month":"12"}</t>
  </si>
  <si>
    <t>7a319d37ed0d346f2709b87cf959dc468ecec3d24b3240de990898ea21a0f079</t>
  </si>
  <si>
    <t>Dec 2, 2024 | 35.30 | 38.67 | 35.16 | 38.54 | 31,910,059</t>
  </si>
  <si>
    <t>Dec 3, 2024 | 39.00 | 39.50 | 37.70 | 38.38 | 22,761,941</t>
  </si>
  <si>
    <t>Dec 4, 2024 | 38.91 | 38.92 | 37.72 | 37.92 | 9,292,648</t>
  </si>
  <si>
    <t>Dec 5, 2024 | 37.60 | 39.49 | 37.60 | 39.31 | 17,562,657</t>
  </si>
  <si>
    <t>Dec 6, 2024 | 39.49 | 39.70 | 37.80 | 38.07 | 9,434,859</t>
  </si>
  <si>
    <t>Dec 9, 2024 | 38.10 | 40.02 | 37.51 | 39.60 | 17,445,156</t>
  </si>
  <si>
    <t>Dec 10, 2024 | 39.50 | 40.73 | 38.25 | 39.03 | 20,938,494</t>
  </si>
  <si>
    <t>Dec 11, 2024 | 39.20 | 39.88 | 38.78 | 39.00 | 7,262,545</t>
  </si>
  <si>
    <t>Dec 12, 2024 | 39.21 | 39.44 | 37.26 | 38.59 | 23,461,133</t>
  </si>
  <si>
    <t>Dec 13, 2024 | 38.55 | 38.85 | 37.50 | 37.72 | 10,159,846</t>
  </si>
  <si>
    <t>Dec 16, 2024 | 38.25 | 39.20 | 37.55 | 38.16 | 20,184,050</t>
  </si>
  <si>
    <t>Dec 17, 2024 | 38.50 | 38.50 | 36.00 | 36.35 | 11,437,746</t>
  </si>
  <si>
    <t>Dec 18, 2024 | 36.50 | 37.30 | 34.60 | 34.96 | 12,956,402</t>
  </si>
  <si>
    <t>Dec 19, 2024 | 34.98 | 35.90 | 33.48 | 33.97 | 14,557,490</t>
  </si>
  <si>
    <t>Dec 20, 2024 | 34.00 | 36.00 | 33.45 | 35.25 | 14,129,184</t>
  </si>
  <si>
    <t>Dec 23, 2024 | 35.25 | 37.50 | 34.50 | 36.70 | 24,838,416</t>
  </si>
  <si>
    <t>Dec 24, 2024 | 36.89 | 38.30 | 36.08 | 36.40 | 16,315,345</t>
  </si>
  <si>
    <t>Dec 26, 2024 | 36.11 | 36.30 | 34.75 | 35.19 | 16,189,868</t>
  </si>
  <si>
    <t>Dec 27, 2024 | 35.22 | 36.50 | 34.77 | 36.34 | 11,842,530</t>
  </si>
  <si>
    <t>Dec 30, 2024 | 36.63 | 37.83 | 36.63 | 37.52 | 15,473,765</t>
  </si>
  <si>
    <t>Dec 31, 2024 | 37.52 | 37.79 | 36.35 | 36.58 | 8,059,089</t>
  </si>
  <si>
    <t>{"symbol":"FCCL","year":"2025","month":"1"}</t>
  </si>
  <si>
    <t>1cce227af2c55325c0601494dc355adefb6ffe8abc7a02c83ff3d7fed6c29e6f</t>
  </si>
  <si>
    <t>Jan 1, 2025 | 36.40 | 38.34 | 36.04 | 38.06 | 22,877,376</t>
  </si>
  <si>
    <t>Jan 2, 2025 | 38.16 | 38.20 | 36.90 | 37.07 | 10,793,762</t>
  </si>
  <si>
    <t>Jan 3, 2025 | 37.07 | 37.07 | 33.60 | 34.83 | 54,376,196</t>
  </si>
  <si>
    <t>Jan 6, 2025 | 35.49 | 35.49 | 33.40 | 33.57 | 18,931,152</t>
  </si>
  <si>
    <t>Jan 7, 2025 | 33.80 | 34.85 | 33.20 | 34.39 | 16,236,008</t>
  </si>
  <si>
    <t>Jan 8, 2025 | 34.65 | 34.90 | 33.01 | 33.47 | 8,102,971</t>
  </si>
  <si>
    <t>Jan 9, 2025 | 33.47 | 33.80 | 32.93 | 33.02 | 5,258,627</t>
  </si>
  <si>
    <t>Jan 10, 2025 | 33.05 | 34.48 | 32.83 | 34.14 | 10,044,375</t>
  </si>
  <si>
    <t>Jan 13, 2025 | 34.36 | 34.90 | 34.07 | 34.42 | 7,321,157</t>
  </si>
  <si>
    <t>Jan 14, 2025 | 34.75 | 35.41 | 34.32 | 34.94 | 10,515,007</t>
  </si>
  <si>
    <t>Jan 15, 2025 | 35.45 | 35.49 | 34.55 | 34.66 | 7,102,217</t>
  </si>
  <si>
    <t>Jan 16, 2025 | 34.82 | 34.82 | 34.00 | 34.09 | 3,481,558</t>
  </si>
  <si>
    <t>Jan 17, 2025 | 33.81 | 35.35 | 33.81 | 34.83 | 8,393,064</t>
  </si>
  <si>
    <t>Jan 20, 2025 | 35.00 | 35.80 | 35.00 | 35.36 | 8,642,985</t>
  </si>
  <si>
    <t>Jan 21, 2025 | 35.36 | 37.40 | 35.21 | 36.00 | 53,698,225</t>
  </si>
  <si>
    <t>Jan 22, 2025 | 36.20 | 39.58 | 36.01 | 38.58 | 83,552,040</t>
  </si>
  <si>
    <t>Jan 23, 2025 | 40.00 | 41.15 | 39.50 | 40.65 | 47,170,217</t>
  </si>
  <si>
    <t>Jan 24, 2025 | 41.00 | 41.65 | 39.25 | 40.06 | 20,797,108</t>
  </si>
  <si>
    <t>Jan 27, 2025 | 40.69 | 40.69 | 38.82 | 39.41 | 14,398,992</t>
  </si>
  <si>
    <t>Jan 28, 2025 | 39.74 | 40.20 | 38.25 | 38.77 | 18,743,736</t>
  </si>
  <si>
    <t>Jan 29, 2025 | 38.50 | 39.30 | 37.50 | 37.70 | 13,308,955</t>
  </si>
  <si>
    <t>Jan 30, 2025 | 37.95 | 38.30 | 36.00 | 37.86 | 8,607,638</t>
  </si>
  <si>
    <t>Jan 31, 2025 | 37.98 | 38.65 | 37.51 | 38.10 | 7,199,999</t>
  </si>
  <si>
    <t>{"symbol":"FCCL","year":"2025","month":"2"}</t>
  </si>
  <si>
    <t>cd6d9f89a384199456b24e37a40f5ae3f0eb7c879d4bc413e228ae400c721d74</t>
  </si>
  <si>
    <t>Feb 3, 2025 | 38.51 | 39.20 | 37.80 | 38.10 | 16,213,883</t>
  </si>
  <si>
    <t>Feb 4, 2025 | 38.15 | 39.20 | 37.41 | 37.64 | 12,847,614</t>
  </si>
  <si>
    <t>Feb 6, 2025 | 37.90 | 38.00 | 36.50 | 36.64 | 6,409,796</t>
  </si>
  <si>
    <t>Feb 7, 2025 | 36.88 | 37.05 | 36.00 | 36.43 | 7,154,487</t>
  </si>
  <si>
    <t>Feb 10, 2025 | 36.43 | 37.20 | 36.01 | 37.01 | 6,810,172</t>
  </si>
  <si>
    <t>Feb 11, 2025 | 37.12 | 38.90 | 37.00 | 38.70 | 16,404,789</t>
  </si>
  <si>
    <t>Feb 12, 2025 | 38.79 | 39.15 | 38.00 | 38.43 | 10,549,752</t>
  </si>
  <si>
    <t>Feb 13, 2025 | 38.48 | 38.80 | 37.70 | 37.79 | 3,081,599</t>
  </si>
  <si>
    <t>Feb 14, 2025 | 37.99 | 38.85 | 36.43 | 36.65 | 17,068,146</t>
  </si>
  <si>
    <t>Feb 17, 2025 | 36.05 | 37.60 | 36.05 | 37.08 | 4,960,195</t>
  </si>
  <si>
    <t>Feb 18, 2025 | 37.25 | 38.85 | 36.90 | 38.71 | 9,074,209</t>
  </si>
  <si>
    <t>Feb 19, 2025 | 39.00 | 40.91 | 38.60 | 40.55 | 38,112,842</t>
  </si>
  <si>
    <t>Feb 20, 2025 | 41.15 | 44.41 | 40.75 | 43.41 | 73,707,472</t>
  </si>
  <si>
    <t>Feb 21, 2025 | 43.55 | 43.90 | 41.75 | 42.12 | 18,578,608</t>
  </si>
  <si>
    <t>Feb 24, 2025 | 42.34 | 43.00 | 41.01 | 42.47 | 25,755,312</t>
  </si>
  <si>
    <t>Feb 25, 2025 | 42.94 | 43.75 | 40.70 | 41.46 | 61,091,991</t>
  </si>
  <si>
    <t>Feb 26, 2025 | 41.40 | 42.15 | 40.90 | 41.20 | 14,678,381</t>
  </si>
  <si>
    <t>Feb 27, 2025 | 41.44 | 41.44 | 40.75 | 40.84 | 3,388,887</t>
  </si>
  <si>
    <t>Feb 28, 2025 | 40.99 | 41.00 | 40.00 | 40.42 | 5,124,646</t>
  </si>
  <si>
    <t>{"symbol":"FCCL","year":"2025","month":"3"}</t>
  </si>
  <si>
    <t>6e5e1aa7dfe29f358ecca5fb7e6bc139b98a01b5b35e27970dc2d58016aa34c2</t>
  </si>
  <si>
    <t>Mar 3, 2025 | 40.25 | 40.48 | 39.35 | 39.77 | 4,361,796</t>
  </si>
  <si>
    <t>Mar 4, 2025 | 39.70 | 40.08 | 39.01 | 39.99 | 9,732,825</t>
  </si>
  <si>
    <t>Mar 5, 2025 | 40.18 | 40.85 | 39.80 | 39.93 | 8,501,133</t>
  </si>
  <si>
    <t>Mar 6, 2025 | 39.82 | 42.82 | 39.82 | 42.02 | 28,192,754</t>
  </si>
  <si>
    <t>Mar 7, 2025 | 42.50 | 46.22 | 42.11 | 45.99 | 57,215,949</t>
  </si>
  <si>
    <t>Mar 10, 2025 | 45.44 | 46.24 | 42.90 | 43.91 | 22,194,869</t>
  </si>
  <si>
    <t>Mar 11, 2025 | 43.00 | 43.85 | 42.45 | 43.53 | 12,170,796</t>
  </si>
  <si>
    <t>Mar 12, 2025 | 43.80 | 44.60 | 43.36 | 43.87 | 9,505,277</t>
  </si>
  <si>
    <t>Mar 13, 2025 | 44.00 | 45.60 | 43.50 | 45.29 | 19,660,929</t>
  </si>
  <si>
    <t>Mar 14, 2025 | 45.50 | 46.46 | 44.65 | 45.18 | 18,756,398</t>
  </si>
  <si>
    <t>Mar 17, 2025 | 45.20 | 46.35 | 44.91 | 46.07 | 18,478,652</t>
  </si>
  <si>
    <t>Mar 18, 2025 | 46.00 | 47.80 | 45.30 | 46.38 | 24,985,777</t>
  </si>
  <si>
    <t>Mar 19, 2025 | 46.51 | 48.85 | 46.38 | 47.52 | 29,042,128</t>
  </si>
  <si>
    <t>Mar 20, 2025 | 47.60 | 48.50 | 46.90 | 47.17 | 9,735,067</t>
  </si>
  <si>
    <t>Mar 21, 2025 | 47.01 | 47.55 | 46.30 | 46.62 | 4,271,629</t>
  </si>
  <si>
    <t>Mar 24, 2025 | 46.65 | 47.00 | 44.90 | 45.41 | 8,148,237</t>
  </si>
  <si>
    <t>Mar 25, 2025 | 45.00 | 45.48 | 44.61 | 44.94 | 3,806,966</t>
  </si>
  <si>
    <t>Mar 26, 2025 | 45.45 | 46.45 | 45.00 | 46.12 | 10,182,878</t>
  </si>
  <si>
    <t>Mar 27, 2025 | 46.47 | 47.15 | 46.09 | 46.41 | 14,246,294</t>
  </si>
  <si>
    <t>{"symbol":"FCCL","year":"2025","month":"4"}</t>
  </si>
  <si>
    <t>5e75ef9fbe6cac70a374e6195871c34a929b8ad9cc56fa6291d10d2d910bae84</t>
  </si>
  <si>
    <t>Apr 3, 2025 | 46.39 | 47.60 | 46.10 | 47.32 | 13,679,198</t>
  </si>
  <si>
    <t>Apr 4, 2025 | 47.80 | 48.94 | 47.00 | 47.23 | 18,559,323</t>
  </si>
  <si>
    <t>Apr 7, 2025 | 46.00 | 46.20 | 42.52 | 45.65 | 16,903,951</t>
  </si>
  <si>
    <t>Apr 8, 2025 | 46.40 | 47.41 | 46.00 | 46.94 | 14,674,396</t>
  </si>
  <si>
    <t>Apr 9, 2025 | 46.45 | 47.49 | 46.06 | 46.73 | 11,129,492</t>
  </si>
  <si>
    <t>Apr 10, 2025 | 48.65 | 49.00 | 46.80 | 47.25 | 19,242,425</t>
  </si>
  <si>
    <t>Apr 11, 2025 | 46.89 | 46.89 | 46.20 | 46.60 | 4,969,994</t>
  </si>
  <si>
    <t>Apr 14, 2025 | 46.61 | 47.29 | 46.25 | 46.94 | 5,573,315</t>
  </si>
  <si>
    <t>Apr 15, 2025 | 47.00 | 47.23 | 45.60 | 45.96 | 4,496,401</t>
  </si>
  <si>
    <t>Apr 16, 2025 | 45.96 | 46.38 | 44.80 | 44.98 | 5,223,762</t>
  </si>
  <si>
    <t>Apr 17, 2025 | 45.03 | 46.80 | 45.03 | 46.17 | 16,949,781</t>
  </si>
  <si>
    <t>Apr 18, 2025 | 46.48 | 46.62 | 45.94 | 46.18 | 7,881,960</t>
  </si>
  <si>
    <t>Apr 21, 2025 | 46.57 | 47.75 | 45.50 | 46.52 | 16,149,277</t>
  </si>
  <si>
    <t>Apr 22, 2025 | 46.50 | 47.10 | 46.20 | 46.28 | 6,397,163</t>
  </si>
  <si>
    <t>Apr 23, 2025 | 46.90 | 47.20 | 45.51 | 45.77 | 3,763,581</t>
  </si>
  <si>
    <t>Apr 24, 2025 | 44.00 | 45.60 | 43.25 | 43.93 | 12,426,119</t>
  </si>
  <si>
    <t>Apr 25, 2025 | 43.55 | 45.00 | 43.00 | 44.58 | 6,749,144</t>
  </si>
  <si>
    <t>Apr 28, 2025 | 44.26 | 45.50 | 42.24 | 42.97 | 4,730,860</t>
  </si>
  <si>
    <t>Apr 29, 2025 | 43.31 | 44.50 | 42.40 | 43.73 | 7,326,812</t>
  </si>
  <si>
    <t>Apr 30, 2025 | 43.10 | 43.48 | 41.75 | 42.81 | 13,723,423</t>
  </si>
  <si>
    <t>{"symbol":"FCCL","year":"2025","month":"5"}</t>
  </si>
  <si>
    <t>ffd2b82d463214f2b475fe0efa93309b4a043147a4db69c61e35c3398dbab6a5</t>
  </si>
  <si>
    <t>May 2, 2025 | 43.45 | 44.30 | 43.20 | 43.44 | 11,208,268</t>
  </si>
  <si>
    <t>May 5, 2025 | 43.50 | 45.40 | 42.25 | 44.65 | 14,618,227</t>
  </si>
  <si>
    <t>May 6, 2025 | 45.51 | 45.51 | 43.87 | 44.04 | 5,827,716</t>
  </si>
  <si>
    <t>May 7, 2025 | 40.01 | 43.95 | 40.01 | 42.85 | 16,433,479</t>
  </si>
  <si>
    <t>May 8, 2025 | 43.29 | 43.65 | 38.57 | 39.86 | 19,664,828</t>
  </si>
  <si>
    <t>May 9, 2025 | 39.50 | 42.80 | 38.85 | 41.55 | 8,256,394</t>
  </si>
  <si>
    <t>May 12, 2025 | 45.71 | 45.71 | 45.00 | 45.71 | 6,714,721</t>
  </si>
  <si>
    <t>May 13, 2025 | 47.50 | 47.87 | 44.51 | 47.53 | 20,681,855</t>
  </si>
  <si>
    <t>May 14, 2025 | 47.53 | 49.85 | 47.20 | 47.86 | 36,170,971</t>
  </si>
  <si>
    <t>May 15, 2025 | 47.10 | 49.10 | 47.10 | 48.54 | 15,159,381</t>
  </si>
  <si>
    <t>May 16, 2025 | 48.85 | 49.09 | 47.80 | 47.94 | 5,932,968</t>
  </si>
  <si>
    <t>May 19, 2025 | 48.00 | 48.33 | 46.70 | 47.11 | 4,058,330</t>
  </si>
  <si>
    <t>May 20, 2025 | 47.10 | 47.99 | 46.50 | 46.99 | 8,954,504</t>
  </si>
  <si>
    <t>May 21, 2025 | 47.00 | 47.51 | 46.45 | 46.96 | 11,788,320</t>
  </si>
  <si>
    <t>May 22, 2025 | 47.00 | 47.40 | 46.25 | 46.49 | 15,031,496</t>
  </si>
  <si>
    <t>May 23, 2025 | 46.49 | 46.60 | 45.52 | 46.00 | 3,059,560</t>
  </si>
  <si>
    <t>May 26, 2025 | 46.00 | 46.19 | 45.50 | 45.63 | 1,862,833</t>
  </si>
  <si>
    <t>May 27, 2025 | 45.63 | 46.45 | 45.60 | 45.93 | 12,876,337</t>
  </si>
  <si>
    <t>May 29, 2025 | 46.29 | 47.24 | 46.00 | 46.36 | 16,496,094</t>
  </si>
  <si>
    <t>May 30, 2025 | 46.60 | 46.65 | 46.00 | 46.11 | 5,679,803</t>
  </si>
  <si>
    <t>{"symbol":"FCCL","year":"2025","month":"6"}</t>
  </si>
  <si>
    <t>3052d50d0b71a07af18a2b2f9257d4a22134b0573881456ffe90624ad62c55b0</t>
  </si>
  <si>
    <t>Jun 2, 2025 | 46.49 | 46.50 | 45.00 | 45.29 | 4,159,799</t>
  </si>
  <si>
    <t>Jun 3, 2025 | 45.31 | 46.50 | 45.04 | 45.74 | 4,752,616</t>
  </si>
  <si>
    <t>Jun 4, 2025 | 45.98 | 46.08 | 45.10 | 45.37 | 8,043,365</t>
  </si>
  <si>
    <t>Jun 5, 2025 | 45.64 | 45.85 | 44.85 | 44.98 | 5,670,833</t>
  </si>
  <si>
    <t>Jun 10, 2025 | 45.35 | 45.79 | 44.98 | 45.16 | 3,535,058</t>
  </si>
  <si>
    <t>Jun 11, 2025 | 45.99 | 47.39 | 45.68 | 46.87 | 33,471,965</t>
  </si>
  <si>
    <t>Jun 12, 2025 | 47.19 | 50.00 | 46.71 | 47.36 | 50,597,576</t>
  </si>
  <si>
    <t>Jun 13, 2025 | 46.30 | 46.97 | 45.50 | 46.57 | 16,701,558</t>
  </si>
  <si>
    <t>Jun 16, 2025 | 46.48 | 47.75 | 45.85 | 46.42 | 9,229,863</t>
  </si>
  <si>
    <t>Jun 17, 2025 | 46.48 | 46.62 | 45.50 | 45.58 | 7,520,246</t>
  </si>
  <si>
    <t>Jun 18, 2025 | 45.68 | 45.85 | 45.00 | 45.11 | 7,583,014</t>
  </si>
  <si>
    <t>Jun 19, 2025 | 45.39 | 45.87 | 44.60 | 44.81 | 4,332,018</t>
  </si>
  <si>
    <t>Jun 20, 2025 | 44.98 | 45.29 | 44.50 | 44.71 | 5,231,042</t>
  </si>
  <si>
    <t>Jun 23, 2025 | 42.26 | 44.00 | 40.24 | 40.55 | 16,264,731</t>
  </si>
  <si>
    <t>Jun 24, 2025 | 44.00 | 44.61 | 42.01 | 44.61 | 20,582,081</t>
  </si>
  <si>
    <t>Jun 25, 2025 | 45.00 | 45.90 | 44.62 | 45.17 | 4,454,110</t>
  </si>
  <si>
    <t>Jun 26, 2025 | 45.65 | 45.65 | 44.45 | 44.77 | 4,724,221</t>
  </si>
  <si>
    <t>Jun 27, 2025 | 44.90 | 46.50 | 44.53 | 45.27 | 6,158,788</t>
  </si>
  <si>
    <t>Jun 30, 2025 | 45.47 | 45.55 | 44.52 | 44.67 | 3,494,330</t>
  </si>
  <si>
    <t>Forensic reconciliation of 63 original comparisons</t>
  </si>
  <si>
    <t>Published-source inconsistency</t>
  </si>
  <si>
    <t>All original cases</t>
  </si>
  <si>
    <t>Reconstructed convention</t>
  </si>
  <si>
    <t>Mandatory / optional</t>
  </si>
  <si>
    <t>36 / 27</t>
  </si>
  <si>
    <t>Insufficient evidence</t>
  </si>
  <si>
    <t>Numerically reproduced</t>
  </si>
  <si>
    <t>Prior comparison false positive</t>
  </si>
  <si>
    <t>Cause still not conclusive</t>
  </si>
  <si>
    <t>Dependent on unresolved component</t>
  </si>
  <si>
    <t>Standardized corrections</t>
  </si>
  <si>
    <t>32 numerical reconstructions include source inconsistencies and two prior comparison errors. A numeric fit is not confirmation of an issuer method.</t>
  </si>
  <si>
    <t>Original reconciliation statuses remain as historical evidence. This sheet records the current findings. No submission or existing ratio-model cells changed.</t>
  </si>
  <si>
    <t>Case ID</t>
  </si>
  <si>
    <t>Company / FY</t>
  </si>
  <si>
    <t>Measure / requirement</t>
  </si>
  <si>
    <t>Native standardized</t>
  </si>
  <si>
    <t>Comparable standardized</t>
  </si>
  <si>
    <t>Standardized numerator</t>
  </si>
  <si>
    <t>Standardized denominator</t>
  </si>
  <si>
    <t>Implied input definition</t>
  </si>
  <si>
    <t>Implied input</t>
  </si>
  <si>
    <t>Candidate tested</t>
  </si>
  <si>
    <t>Diagnostic numerator</t>
  </si>
  <si>
    <t>Diagnostic denominator</t>
  </si>
  <si>
    <t>Diagnostic result</t>
  </si>
  <si>
    <t>Numeric fit only</t>
  </si>
  <si>
    <t>Official evidence</t>
  </si>
  <si>
    <t>Information still required</t>
  </si>
  <si>
    <t>Tests performed</t>
  </si>
  <si>
    <t>Exact standardized Excel formula</t>
  </si>
  <si>
    <t>F001</t>
  </si>
  <si>
    <t>KOHC FY2021</t>
  </si>
  <si>
    <t>Price to book ratio (mandatory)</t>
  </si>
  <si>
    <t>Price required using standardized equity BVPS</t>
  </si>
  <si>
    <t>Extra historical fivefold reduction in report tangible-asset diagnostic</t>
  </si>
  <si>
    <t>KOHC_AR_2021.pdf PDF p29; Kohat_Cement_AR_2022.pdf PDF p37; Financial_Statements-30-06-2023.pdf PDF p37; Kohat_Cement_Annual_Report-2024.pdf PDF p43; Kohat_Cement_Annual_Report_2025.pdf PDF pp53â€“54.
Kohat_Cement_AR_2022.pdf, PDF p53
Kohat_Cement_AR_2022.pdf, PDF p52</t>
  </si>
  <si>
    <t>The FY2025 glossary refers to assets less intangibles rather than net equity. Report price multiplied by report weighted shares divided by tangible assets reproduces FY2024â€“25. FY2021â€“23 require a further division by five. Earlier reports printed approximately 1.15, 0.60 and 0.70 without that extra division. A dimensionless ratio should not be reduced merely for a split. This demonstrates inconsistent source presentation; the inferred tangible-asset/share convention is a numerical reconstruction, not an expressly confirmed issuer formula.</t>
  </si>
  <si>
    <t>Issuer worksheet defining tangible-asset per-share conversion and the selective historical fivefold change.</t>
  </si>
  <si>
    <t>=(KOHC!D130)/(KOHC!D41/KOHC!D128)</t>
  </si>
  <si>
    <t>F002</t>
  </si>
  <si>
    <t>KOHC FY2022</t>
  </si>
  <si>
    <t>KOHC_AR_2021.pdf PDF p29; Kohat_Cement_AR_2022.pdf PDF p37; Financial_Statements-30-06-2023.pdf PDF p37; Kohat_Cement_Annual_Report-2024.pdf PDF p43; Kohat_Cement_Annual_Report_2025.pdf PDF pp53â€“54.
Financial_Statements-30-06-2023.pdf, PDF p53
Financial_Statements-30-06-2023.pdf, PDF p52</t>
  </si>
  <si>
    <t>=(KOHC!E130)/(KOHC!E41/KOHC!E128)</t>
  </si>
  <si>
    <t>F003</t>
  </si>
  <si>
    <t>KOHC FY2023</t>
  </si>
  <si>
    <t>KOHC_AR_2021.pdf PDF p29; Kohat_Cement_AR_2022.pdf PDF p37; Financial_Statements-30-06-2023.pdf PDF p37; Kohat_Cement_Annual_Report-2024.pdf PDF p43; Kohat_Cement_Annual_Report_2025.pdf PDF pp53â€“54.
Kohat_Cement_Annual_Report-2024.pdf, PDF p59
Kohat_Cement_Annual_Report-2024.pdf, PDF p58</t>
  </si>
  <si>
    <t>=(KOHC!F130)/(KOHC!F41/KOHC!F128)</t>
  </si>
  <si>
    <t>F004</t>
  </si>
  <si>
    <t>KOHC FY2024</t>
  </si>
  <si>
    <t>Report price x weighted shares / tangible assets</t>
  </si>
  <si>
    <t>KOHC_AR_2021.pdf PDF p29; Kohat_Cement_AR_2022.pdf PDF p37; Financial_Statements-30-06-2023.pdf PDF p37; Kohat_Cement_Annual_Report-2024.pdf PDF p43; Kohat_Cement_Annual_Report_2025.pdf PDF pp53â€“54.
Kohat_Cement_Annual_Report_2025.pdf, PDF p69
Kohat_Cement_Annual_Report_2025.pdf, PDF p68</t>
  </si>
  <si>
    <t>=(KOHC!G130)/(KOHC!G41/KOHC!G128)</t>
  </si>
  <si>
    <t>F005</t>
  </si>
  <si>
    <t>KOHC FY2025</t>
  </si>
  <si>
    <t>=(KOHC!H130)/(KOHC!H41/KOHC!H128)</t>
  </si>
  <si>
    <t>F006</t>
  </si>
  <si>
    <t>LUCK FY2025</t>
  </si>
  <si>
    <t>No. of days in receivables (mandatory)</t>
  </si>
  <si>
    <t>Average trade receivables required under 365-day sales method</t>
  </si>
  <si>
    <t>365 / debtor turnover rounded to two decimals</t>
  </si>
  <si>
    <t>lucky/2025.pdf PDF p166.
2025.pdf, PDF p241
2025.pdf, PDF p240</t>
  </si>
  <si>
    <t>365 divided by debtor turnover rounded first to two decimals reproduces all five published day observations. The standardized calculation divides by unrounded turnover. This is a reproducible intermediate-rounding convention, with no change to accounting inputs.</t>
  </si>
  <si>
    <t>No further input needed for the supported numerical reconstruction.</t>
  </si>
  <si>
    <t>=(365*AVERAGE(LUCK!G32,LUCK!H32))/(LUCK!H84)</t>
  </si>
  <si>
    <t>F007</t>
  </si>
  <si>
    <t>LUCK FY2023</t>
  </si>
  <si>
    <t>EPS (FY2025 share basis) (mandatory)</t>
  </si>
  <si>
    <t>Weighted shares required on published EPS basis (million)</t>
  </si>
  <si>
    <t>Opening issued-share denominator, ignoring intra-year buyback weights</t>
  </si>
  <si>
    <t>lucky/2023.pdf PDF p266; lucky/2024.pdf PDF pp162,271; lucky/2025.pdf PDF p166.
2024.pdf, PDF p239
2023.pdf, PDF p234</t>
  </si>
  <si>
    <t>FY2023 PAT / opening issued shares = 13,725.814 / 323.375 = 42.445501353. Dividing by five gives 8.489100271, which rounds to 8.49. Audited weighted shares are 318.749m, giving 43.061512350 or 8.612302470 after the split. The opening-capital convention also reproduces FY2023 payout. It fails FY2024 because that year uses weighted buyback-adjusted shares. The historical EPS summary conflicts with the audited FY2023 EPS note; no uniform alternative EPS policy is established.</t>
  </si>
  <si>
    <t>Issuer explanation for the FY2023 historical EPS using opening capital while FY2024 uses weighted shares.</t>
  </si>
  <si>
    <t>=(LUCK!F99)/(LUCK!F129)</t>
  </si>
  <si>
    <t>F008</t>
  </si>
  <si>
    <t>DGKC FY2021</t>
  </si>
  <si>
    <t>No. of days in payables (optional)</t>
  </si>
  <si>
    <t>Average suppliers required under 365-day COGS method</t>
  </si>
  <si>
    <t>365 x average total trade-and-other-payables / COGS</t>
  </si>
  <si>
    <t>DG_Annual_Report_2021.pdf PDF pp105â€“106,135,168; DG_Annual_Report_2022.pdf PDF pp155,173,190,197,199; DGAnnual2024.pdf PDF pp182,200,219,225,227; DGAnnual2025.pdf PDF pp108,183,205,224,227,233,235. Fifteen official quarterly disclosures are registered separately.
DG_Annual_Report_2021.pdf, PDF p105
DG_Annual_Report_2022.pdf, PDF p125
DG_Annual_Report_2022.pdf, PDF p127
DG_Annual_Report_2021.pdf, PDF p135
DG_Annual_Report_2022.pdf, PDF p155</t>
  </si>
  <si>
    <t>No common tested payable scope, averaging date or cost denominator reproduces the published series. Tests include narrow creditors; creditors plus accruals; total trade and other payables; financial payables; payables excluding customer advances; non-borrowing current liabilities; opening/closing averages; COGS, manufactured cost and inventory-change purchase proxies; consolidated balances; four quarter-end means; and five-date trapezoidal averages. Isolated fits change definitions across years and are rejected. FY2024 creditor reclassification to infrastructure cess is official but does not change total payables or resolve the series.</t>
  </si>
  <si>
    <t>Issuer credit-purchases definition, payable account mapping, monthly or other averaging dates, and calculation worksheet.</t>
  </si>
  <si>
    <t>=(365*AVERAGE(DGKC!C51,DGKC!D51))/(-DGKC!D85)</t>
  </si>
  <si>
    <t>F009</t>
  </si>
  <si>
    <t>DGKC FY2022</t>
  </si>
  <si>
    <t>DG_Annual_Report_2021.pdf PDF pp105â€“106,135,168; DG_Annual_Report_2022.pdf PDF pp155,173,190,197,199; DGAnnual2024.pdf PDF pp182,200,219,225,227; DGAnnual2025.pdf PDF pp108,183,205,224,227,233,235. Fifteen official quarterly disclosures are registered separately.
DG_Annual_Report_2022.pdf, PDF p125
DGAnnual2023.pdf, PDF p151
DGAnnual2023.pdf, PDF p153
DG_Annual_Report_2022.pdf, PDF p155
DGAnnual2023.pdf, PDF p180</t>
  </si>
  <si>
    <t>=(365*AVERAGE(DGKC!D51,DGKC!E51))/(-DGKC!E85)</t>
  </si>
  <si>
    <t>F010</t>
  </si>
  <si>
    <t>DGKC FY2024</t>
  </si>
  <si>
    <t>DG_Annual_Report_2021.pdf PDF pp105â€“106,135,168; DG_Annual_Report_2022.pdf PDF pp155,173,190,197,199; DGAnnual2024.pdf PDF pp182,200,219,225,227; DGAnnual2025.pdf PDF pp108,183,205,224,227,233,235. Fifteen official quarterly disclosures are registered separately.
DGAnnual2024.pdf, PDF p151
DGAnnual2025.pdf, PDF p153
DGAnnual2025.pdf, PDF p155
DGAnnual2024.pdf, PDF p182
DGAnnual2025.pdf, PDF p183</t>
  </si>
  <si>
    <t>=(365*AVERAGE(DGKC!F51,DGKC!G51))/(-DGKC!G85)</t>
  </si>
  <si>
    <t>F011</t>
  </si>
  <si>
    <t>DGKC FY2025</t>
  </si>
  <si>
    <t>DG_Annual_Report_2021.pdf PDF pp105â€“106,135,168; DG_Annual_Report_2022.pdf PDF pp155,173,190,197,199; DGAnnual2024.pdf PDF pp182,200,219,225,227; DGAnnual2025.pdf PDF pp108,183,205,224,227,233,235. Fifteen official quarterly disclosures are registered separately.
DGAnnual2025.pdf, PDF p153
DGAnnual2025.pdf, PDF p155
DGAnnual2025.pdf, PDF p183</t>
  </si>
  <si>
    <t>=(365*AVERAGE(DGKC!G51,DGKC!H51))/(-DGKC!H85)</t>
  </si>
  <si>
    <t>F012</t>
  </si>
  <si>
    <t>MLCF FY2021</t>
  </si>
  <si>
    <t>No. of days in inventory (stock-in-trade) (optional)</t>
  </si>
  <si>
    <t>COGS required with average stock-in-trade and 365 days</t>
  </si>
  <si>
    <t>Actual fiscal days x average stock-in-trade / freight-recast COGS</t>
  </si>
  <si>
    <t>maple/2022.pdf PDF p239; maple/2023.pdf PDF pp99,127â€“128; maple/2024.pdf comparative statements; maple/2025.pdf PDF pp169,175. Input Review and source rows identify stock, supplier and opening-balance pages.
2021.pdf, PDF p163
2022.pdf, PDF p184
2022.pdf, PDF p185
maple\2022.pdf, PDF p239</t>
  </si>
  <si>
    <t>The published series uses stock-in-trade excluding stores, and supplier balances excluding the separately identified ML Power operating payable. Original FY2021â€“22 COGS is recast by moving audited freight to distribution cost, with an equal opposite expense shift. The five-year reconstruction uses 366 days for FY2024 inventory/receivable days but 365 for payable days. This mixed day convention is demonstrated numerically over the requested years, not expressly disclosed as an issuer policy. The standardized model retains total inventory, all operating supplier credit and a common 365 days.</t>
  </si>
  <si>
    <t>=(365*AVERAGE(MLCF!C65,MLCF!D65))/(-MLCF!D85)</t>
  </si>
  <si>
    <t>F013</t>
  </si>
  <si>
    <t>MLCF FY2022</t>
  </si>
  <si>
    <t>maple/2022.pdf PDF p239; maple/2023.pdf PDF pp99,127â€“128; maple/2024.pdf comparative statements; maple/2025.pdf PDF pp169,175. Input Review and source rows identify stock, supplier and opening-balance pages.
2022.pdf, PDF p184
2023.pdf, PDF p98
2023.pdf, PDF p99
maple\2022.pdf, PDF p239</t>
  </si>
  <si>
    <t>=(365*AVERAGE(MLCF!D65,MLCF!E65))/(-MLCF!E85)</t>
  </si>
  <si>
    <t>F014</t>
  </si>
  <si>
    <t>MLCF FY2024</t>
  </si>
  <si>
    <t>maple/2022.pdf PDF p239; maple/2023.pdf PDF pp99,127â€“128; maple/2024.pdf comparative statements; maple/2025.pdf PDF pp169,175. Input Review and source rows identify stock, supplier and opening-balance pages.
2024.pdf, PDF p190
2025.pdf, PDF p202
2025.pdf, PDF p203</t>
  </si>
  <si>
    <t>=(365*AVERAGE(MLCF!F65,MLCF!G65))/(-MLCF!G85)</t>
  </si>
  <si>
    <t>F015</t>
  </si>
  <si>
    <t>366 x average net trade receivables / net sales</t>
  </si>
  <si>
    <t>=(365*AVERAGE(MLCF!F32,MLCF!G32))/(MLCF!G84)</t>
  </si>
  <si>
    <t>F016</t>
  </si>
  <si>
    <t>No. of days in creditors (optional)</t>
  </si>
  <si>
    <t>365 x company-scope average suppliers / freight-recast COGS</t>
  </si>
  <si>
    <t>maple/2022.pdf PDF p239; maple/2023.pdf PDF pp99,127â€“128; maple/2024.pdf comparative statements; maple/2025.pdf PDF pp169,175. Input Review and source rows identify stock, supplier and opening-balance pages.
2021.pdf, PDF p198
2022.pdf, PDF p220
2022.pdf, PDF p185
maple\2022.pdf, PDF p239</t>
  </si>
  <si>
    <t>=(365*AVERAGE(MLCF!C51,MLCF!D51))/(-MLCF!D85)</t>
  </si>
  <si>
    <t>F017</t>
  </si>
  <si>
    <t>maple/2022.pdf PDF p239; maple/2023.pdf PDF pp99,127â€“128; maple/2024.pdf comparative statements; maple/2025.pdf PDF pp169,175. Input Review and source rows identify stock, supplier and opening-balance pages.
2022.pdf, PDF p220
2023.pdf, PDF p116
2023.pdf, PDF p99
maple\2022.pdf, PDF p239</t>
  </si>
  <si>
    <t>=(365*AVERAGE(MLCF!D51,MLCF!E51))/(-MLCF!E85)</t>
  </si>
  <si>
    <t>F018</t>
  </si>
  <si>
    <t>FCCL FY2025</t>
  </si>
  <si>
    <t>Interest cover ratio (mandatory)</t>
  </si>
  <si>
    <t>Interest denominator required using audited EBIT</t>
  </si>
  <si>
    <t>PBT plus all finance cost / bank interest only</t>
  </si>
  <si>
    <t>FCCL-Annual-Report-2022.pdf PDF p229; FCCL-Annual-Report-2024.pdf PDF p228; FCCL-Annual-Report-2025.pdf PDF pp216,246,283.
FCCL-Annual-Report-2025.pdf, PDF p246
FCCL-Annual-Report-2025.pdf, PDF p283
fauji\FCCL-Annual-Report-2025.pdf, PDF p283</t>
  </si>
  <si>
    <t>EBIT 27,297.652 / expensed interest 5,674.278 = 4.810770991. Bank-only interest 5,646.343 gives 4.834572041, which rounds to 4.83, not 4.84. Exact 4.84 would require 5,640.010744 interest, 6.332256 less than bank interest. Tested operating EBIT, core operating profit, EBITDA, PBT plus bank interest and net/full finance cost do not provide a supported 4.84. Earlier years switch from total finance cost (FY2021â€“22) to bank interest (FY2023â€“24); the FY2025 rounding residual persists.</t>
  </si>
  <si>
    <t>Issuer precise EBIT and interest inclusion schedule or corrected performance-table rounding.</t>
  </si>
  <si>
    <t>=(FCCL!H108)/(FCCL!H106)</t>
  </si>
  <si>
    <t>F019</t>
  </si>
  <si>
    <t>FCCL FY2021</t>
  </si>
  <si>
    <t>Price earnings ratio (mandatory)</t>
  </si>
  <si>
    <t>Price required using unrounded report EPS</t>
  </si>
  <si>
    <t>Year-end PSX price / unrounded report-basis EPS</t>
  </si>
  <si>
    <t>FCCL-Annual-Report-2022.pdf PDF pp230,260â€“266; FCCL-Annual-Report-2023.pdf PDF p251; FCCL-Annual-Report-2025.pdf PDF pp216,285; official PSX historical sessions in Forensic Prices and preserved PSX Prices/Price Evidence.
FCCL-Annual-Report-2022.pdf, PDF p188
fauji\FCCL-Annual-Report-2022.pdf, PDF p230</t>
  </si>
  <si>
    <t>Official PSX year-end closes, printed and unrounded report EPS, closing-share EPS, before-tax EPS and cash EPS were tested. Full-year official daily close/open/high/low means, median, volume weighting, month-end means and quarterly means were also tested. Annual mean only fits FY2022; median only fits FY2025. No common observed calendar-date rule fits all five. FY2023 raw price statistics cross a 12.5% bonus issue; no unverified ex-bonus cutoff or adjusted mean is asserted. The exact price/earnings convention remains unidentified.</t>
  </si>
  <si>
    <t>Issuer valuation date or averaging window, exact EPS series and corporate-action basis. The bonus credit letter does not establish the PSX ex-bonus trading date.</t>
  </si>
  <si>
    <t>=(FCCL!D130)/(FCCL!D99/FCCL!D129)</t>
  </si>
  <si>
    <t>F020</t>
  </si>
  <si>
    <t>FCCL FY2022</t>
  </si>
  <si>
    <t>FCCL-Annual-Report-2022.pdf PDF pp230,260â€“266; FCCL-Annual-Report-2023.pdf PDF p251; FCCL-Annual-Report-2025.pdf PDF pp216,285; official PSX historical sessions in Forensic Prices and preserved PSX Prices/Price Evidence.
FCCL-Annual-Report-2023.pdf, PDF p210
fauji\FCCL-Annual-Report-2023.pdf, PDF p251</t>
  </si>
  <si>
    <t>=(FCCL!E130)/(FCCL!E99/FCCL!E129)</t>
  </si>
  <si>
    <t>F021</t>
  </si>
  <si>
    <t>FCCL FY2023</t>
  </si>
  <si>
    <t>FCCL-Annual-Report-2022.pdf PDF pp230,260â€“266; FCCL-Annual-Report-2023.pdf PDF p251; FCCL-Annual-Report-2025.pdf PDF pp216,285; official PSX historical sessions in Forensic Prices and preserved PSX Prices/Price Evidence.
FCCL-Annual-Report-2024.pdf, PDF p192
fauji\FCCL-Annual-Report-2023.pdf, PDF p251</t>
  </si>
  <si>
    <t>=(FCCL!F130)/(FCCL!F99/FCCL!F129)</t>
  </si>
  <si>
    <t>F022</t>
  </si>
  <si>
    <t>FCCL FY2024</t>
  </si>
  <si>
    <t>FCCL-Annual-Report-2022.pdf PDF pp230,260â€“266; FCCL-Annual-Report-2023.pdf PDF p251; FCCL-Annual-Report-2025.pdf PDF pp216,285; official PSX historical sessions in Forensic Prices and preserved PSX Prices/Price Evidence.
FCCL-Annual-Report-2025.pdf, PDF p246
fauji\FCCL-Annual-Report-2025.pdf, PDF p285</t>
  </si>
  <si>
    <t>=(FCCL!G130)/(FCCL!G99/FCCL!G129)</t>
  </si>
  <si>
    <t>F023</t>
  </si>
  <si>
    <t>=(FCCL!H130)/(FCCL!H99/FCCL!H129)</t>
  </si>
  <si>
    <t>F024</t>
  </si>
  <si>
    <t>Earnings per share (Rs) (mandatory)</t>
  </si>
  <si>
    <t>FY2025 note 33.1 top-line comparative share count</t>
  </si>
  <si>
    <t>Kohat_Cement_Annual_Report-2024.pdf PDF p101; Kohat_Cement_Annual_Report_2025.pdf PDF pp53,109, notes33.1 and33.1.1.
Kohat_Cement_Annual_Report_2025.pdf, PDF p70
kohat\Kohat_Cement_Annual_Report_2025.pdf, PDF p109</t>
  </si>
  <si>
    <t>FY2025 note 33.1 uses 982.114704m split-restated weighted shares and rounds FY2024 EPS to 9.06. Its detailed note 33.1.1 uses 196.436639m pre-split or 982.183197m split shares, giving 9.05. The counts differ by 68,493 split shares. The prior FY2024 audited weighted count is 196.435067m, giving native EPS 45.274272679 and split EPS 9.054854536. The discrepancy is an official within-note share-count inconsistency and rounding boundary, not a reason to alter the verified PSX close.</t>
  </si>
  <si>
    <t>Issuer correction reconciling the top-line and detailed weighted share counts.</t>
  </si>
  <si>
    <t>=(KOHC!G99)/(KOHC!G129)</t>
  </si>
  <si>
    <t>F025</t>
  </si>
  <si>
    <t>LUCK FY2021</t>
  </si>
  <si>
    <t>Return on equity (mandatory)</t>
  </si>
  <si>
    <t>Income required using closing equity</t>
  </si>
  <si>
    <t>Total comprehensive income / closing equity</t>
  </si>
  <si>
    <t>lucky/2022.pdf PDF p228; lucky/2023.pdf PDF p236; lucky/2025.pdf PDF pp242,244; ratio series PDF p166.
2022.pdf, PDF p226
2022.pdf, PDF p227
2021.pdf, PDF p191
lucky\2022.pdf, PDF p228</t>
  </si>
  <si>
    <t>Total comprehensive income divided by closing equity reproduces all five published ROEs, including OCI. PAT divided by average equity remains the standardized method. The income and equity amounts are official. The resulting five-year numerical convention is strongly supported, but the issuer has not expressly identified this as its ROE formula.</t>
  </si>
  <si>
    <t>=(LUCK!D99)/(AVERAGE(LUCK!C41,LUCK!D41))</t>
  </si>
  <si>
    <t>F026</t>
  </si>
  <si>
    <t>LUCK FY2022</t>
  </si>
  <si>
    <t>lucky/2022.pdf PDF p228; lucky/2023.pdf PDF p236; lucky/2025.pdf PDF pp242,244; ratio series PDF p166.
2023.pdf, PDF p234
2023.pdf, PDF p235
2022.pdf, PDF p226
lucky\2022.pdf, PDF p228</t>
  </si>
  <si>
    <t>=(LUCK!E99)/(AVERAGE(LUCK!D41,LUCK!E41))</t>
  </si>
  <si>
    <t>F027</t>
  </si>
  <si>
    <t>lucky/2022.pdf PDF p228; lucky/2023.pdf PDF p236; lucky/2025.pdf PDF pp242,244; ratio series PDF p166.
2024.pdf, PDF p238
2024.pdf, PDF p239
2023.pdf, PDF p234
lucky\2023.pdf, PDF p236</t>
  </si>
  <si>
    <t>=(LUCK!F99)/(AVERAGE(LUCK!E41,LUCK!F41))</t>
  </si>
  <si>
    <t>F028</t>
  </si>
  <si>
    <t>LUCK FY2024</t>
  </si>
  <si>
    <t>lucky/2022.pdf PDF p228; lucky/2023.pdf PDF p236; lucky/2025.pdf PDF pp242,244; ratio series PDF p166.
2025.pdf, PDF p240
2025.pdf, PDF p241
2024.pdf, PDF p238
lucky\2025.pdf, PDF p244</t>
  </si>
  <si>
    <t>=(LUCK!G99)/(AVERAGE(LUCK!F41,LUCK!G41))</t>
  </si>
  <si>
    <t>F029</t>
  </si>
  <si>
    <t>lucky/2022.pdf PDF p228; lucky/2023.pdf PDF p236; lucky/2025.pdf PDF pp242,244; ratio series PDF p166.
2025.pdf, PDF p240
2025.pdf, PDF p241
lucky\2025.pdf, PDF p244</t>
  </si>
  <si>
    <t>=(LUCK!H99)/(AVERAGE(LUCK!G41,LUCK!H41))</t>
  </si>
  <si>
    <t>F030</t>
  </si>
  <si>
    <t>Dividend payout ratio (optional)</t>
  </si>
  <si>
    <t>EPS required on native DPS basis</t>
  </si>
  <si>
    <t>DPS / earnings using opening issued capital</t>
  </si>
  <si>
    <t>DPS 18 / (PAT 13,725.814 / opening issued shares 323.375) = 0.424073213, rounding to 42.41%. The same opening-share EPS reconstructs the FY2023 historical EPS discrepancy. The standardized payout uses audited weighted EPS and remains unchanged. Opening shares fail the FY2024 series test; no universal policy is claimed.</t>
  </si>
  <si>
    <t>Issuer explanation for the year-specific EPS denominator.</t>
  </si>
  <si>
    <t>=(LUCK!F131)/(LUCK!F99/LUCK!F129)</t>
  </si>
  <si>
    <t>F031</t>
  </si>
  <si>
    <t>Unchanged standardized calculation</t>
  </si>
  <si>
    <t>2025.pdf, PDF p241</t>
  </si>
  <si>
    <t>The unchanged standardized value already rounds to the published result at the report precision. The previous Not reproduced flag was a comparison/precision error. No financial formula, input, price or share-count correction is needed.</t>
  </si>
  <si>
    <t>=(LUCK!G131)/(LUCK!G99/LUCK!G129)</t>
  </si>
  <si>
    <t>F032</t>
  </si>
  <si>
    <t>Cash ratio (mandatory)</t>
  </si>
  <si>
    <t>Liquid numerator required using all current liabilities</t>
  </si>
  <si>
    <t>Cash plus all short-term investments / closing liabilities</t>
  </si>
  <si>
    <t>DG_Annual_Report_2021.pdf PDF pp105â€“106,149â€“150; DGAnnual2025.pdf PDF p108.
DG_Annual_Report_2022.pdf, PDF p126
DG_Annual_Report_2022.pdf, PDF p125
DG_Annual_Report_2022.pdf, PDF p144
DG_Annual_Report_2022.pdf, PDF p150
DG_Annual_Report_2022.pdf, PDF p153</t>
  </si>
  <si>
    <t>Cash 806.373 / current liabilities 40,295.520 = 0.020011480. Adding short-term investments 12,946.786 gives 0.341307395, which rounds to 0.34 rather than 0.33. The investments are quoted related-company equity holdings rather than cash equivalents. The implied liquid numerator is 13,297.5216, leaving an unexplained 455.6374 exclusion from cash plus investments. Average balance and investment-only tests also fail. No unsupported reclassification is applied.</t>
  </si>
  <si>
    <t>Issuer eligible-liquid-asset definition and reconciled exclusions or alternate liability denominator.</t>
  </si>
  <si>
    <t>=(DGKC!D34)/(DGKC!D61)</t>
  </si>
  <si>
    <t>F033</t>
  </si>
  <si>
    <t>Cash conversion cycle (days) (optional)</t>
  </si>
  <si>
    <t>Payable days required using standardized DIO and DSO</t>
  </si>
  <si>
    <t>Printed rounded company day components</t>
  </si>
  <si>
    <t>DGAnnual2025.pdf PDF p108; audited inventory, receivable, cost and revenue pages in Input Review.
DG_Annual_Report_2021.pdf, PDF p106
DG_Annual_Report_2022.pdf, PDF p126
DG_Annual_Report_2022.pdf, PDF p127
DG_Annual_Report_2021.pdf, PDF p135
DG_Annual_Report_2022.pdf, PDF p155</t>
  </si>
  <si>
    <t>Printed inventory days plus receivable days less payable days reproduce FY2021 and FY2022 exactly. FY2024 and FY2025 differ by one day if rounded printed components are used, which is feasible within the underlying rounding intervals. Closing-balance inventory/receivable diagnostics plus an inferred unrounded DPO are shown. This does not independently verify the unresolved company DPO numerator or denominator.</t>
  </si>
  <si>
    <t>Unrounded published DIO, DSO and DPO and the unresolved DPO accounting worksheet.</t>
  </si>
  <si>
    <t>=(365*AVERAGE(DGKC!C65,DGKC!D65)/(-DGKC!D85)+365*AVERAGE(DGKC!C32,DGKC!D32)/DGKC!D84-365*AVERAGE(DGKC!C51,DGKC!D51)/(-DGKC!D85))/(1)</t>
  </si>
  <si>
    <t>F034</t>
  </si>
  <si>
    <t>DGAnnual2025.pdf PDF p108; audited inventory, receivable, cost and revenue pages in Input Review.
DG_Annual_Report_2022.pdf, PDF p126
DGAnnual2023.pdf, PDF p152
DGAnnual2023.pdf, PDF p153
DG_Annual_Report_2022.pdf, PDF p155
DGAnnual2023.pdf, PDF p180</t>
  </si>
  <si>
    <t>=(365*AVERAGE(DGKC!D65,DGKC!E65)/(-DGKC!E85)+365*AVERAGE(DGKC!D32,DGKC!E32)/DGKC!E84-365*AVERAGE(DGKC!D51,DGKC!E51)/(-DGKC!E85))/(1)</t>
  </si>
  <si>
    <t>F035</t>
  </si>
  <si>
    <t>DGAnnual2025.pdf PDF p108; audited inventory, receivable, cost and revenue pages in Input Review.
DGAnnual2024.pdf, PDF p152
DGAnnual2025.pdf, PDF p154
DGAnnual2025.pdf, PDF p155
DGAnnual2024.pdf, PDF p182
DGAnnual2025.pdf, PDF p183</t>
  </si>
  <si>
    <t>=(365*AVERAGE(DGKC!F65,DGKC!G65)/(-DGKC!G85)+365*AVERAGE(DGKC!F32,DGKC!G32)/DGKC!G84-365*AVERAGE(DGKC!F51,DGKC!G51)/(-DGKC!G85))/(1)</t>
  </si>
  <si>
    <t>F036</t>
  </si>
  <si>
    <t>DGAnnual2025.pdf PDF p108; audited inventory, receivable, cost and revenue pages in Input Review.
DGAnnual2025.pdf, PDF p154
DGAnnual2025.pdf, PDF p155
DGAnnual2025.pdf, PDF p183</t>
  </si>
  <si>
    <t>=(365*AVERAGE(DGKC!G65,DGKC!H65)/(-DGKC!H85)+365*AVERAGE(DGKC!G32,DGKC!H32)/DGKC!H84-365*AVERAGE(DGKC!G51,DGKC!H51)/(-DGKC!H85))/(1)</t>
  </si>
  <si>
    <t>F037</t>
  </si>
  <si>
    <t>Inventory turnover (mandatory)</t>
  </si>
  <si>
    <t>COGS required with average stock-in-trade</t>
  </si>
  <si>
    <t>Freight-recast COGS / average stock-in-trade</t>
  </si>
  <si>
    <t>maple/2022.pdf PDF p239; maple/2023.pdf PDF pp99,127â€“128; maple/2024.pdf comparative statements; maple/2025.pdf PDF pp169,175. Input Review and source rows identify stock, supplier and opening-balance pages.
2022.pdf, PDF p185
2021.pdf, PDF p163
2022.pdf, PDF p184
maple\2022.pdf, PDF p239</t>
  </si>
  <si>
    <t>=(-MLCF!D85)/(AVERAGE(MLCF!C65,MLCF!D65))</t>
  </si>
  <si>
    <t>F038</t>
  </si>
  <si>
    <t>maple/2022.pdf PDF p239; maple/2023.pdf PDF pp99,127â€“128; maple/2024.pdf comparative statements; maple/2025.pdf PDF pp169,175. Input Review and source rows identify stock, supplier and opening-balance pages.
2023.pdf, PDF p99
2022.pdf, PDF p184
2023.pdf, PDF p98
maple\2022.pdf, PDF p239</t>
  </si>
  <si>
    <t>=(-MLCF!E85)/(AVERAGE(MLCF!D65,MLCF!E65))</t>
  </si>
  <si>
    <t>F039</t>
  </si>
  <si>
    <t>Payables turnover (optional)</t>
  </si>
  <si>
    <t>COGS required with company-scope average suppliers</t>
  </si>
  <si>
    <t>Freight-recast COGS / company-scope average suppliers</t>
  </si>
  <si>
    <t>maple/2022.pdf PDF p239; maple/2023.pdf PDF pp99,127â€“128; maple/2024.pdf comparative statements; maple/2025.pdf PDF pp169,175. Input Review and source rows identify stock, supplier and opening-balance pages.
2022.pdf, PDF p185
2021.pdf, PDF p198
2022.pdf, PDF p220
maple\2022.pdf, PDF p239</t>
  </si>
  <si>
    <t>=(-MLCF!D85)/(AVERAGE(MLCF!C51,MLCF!D51))</t>
  </si>
  <si>
    <t>F040</t>
  </si>
  <si>
    <t>maple/2022.pdf PDF p239; maple/2023.pdf PDF pp99,127â€“128; maple/2024.pdf comparative statements; maple/2025.pdf PDF pp169,175. Input Review and source rows identify stock, supplier and opening-balance pages.
2023.pdf, PDF p99
2022.pdf, PDF p220
2023.pdf, PDF p116
maple\2022.pdf, PDF p239</t>
  </si>
  <si>
    <t>=(-MLCF!E85)/(AVERAGE(MLCF!D51,MLCF!E51))</t>
  </si>
  <si>
    <t>F041</t>
  </si>
  <si>
    <t>Freight-recast stock-only cycle; actual fiscal days for assets, 365 for payables</t>
  </si>
  <si>
    <t>maple/2022.pdf PDF p239; maple/2023.pdf PDF pp99,127â€“128; maple/2024.pdf comparative statements; maple/2025.pdf PDF pp169,175. Input Review and source rows identify stock, supplier and opening-balance pages.
2021.pdf, PDF p163
2022.pdf, PDF p184
2022.pdf, PDF p185
2021.pdf, PDF p198
2022.pdf, PDF p220
maple\2022.pdf, PDF p239</t>
  </si>
  <si>
    <t>=(365*AVERAGE(MLCF!C65,MLCF!D65)/(-MLCF!D85)+365*AVERAGE(MLCF!C32,MLCF!D32)/MLCF!D84-365*AVERAGE(MLCF!C51,MLCF!D51)/(-MLCF!D85))/(1)</t>
  </si>
  <si>
    <t>F042</t>
  </si>
  <si>
    <t>maple/2022.pdf PDF p239; maple/2023.pdf PDF pp99,127â€“128; maple/2024.pdf comparative statements; maple/2025.pdf PDF pp169,175. Input Review and source rows identify stock, supplier and opening-balance pages.
2022.pdf, PDF p184
2023.pdf, PDF p98
2023.pdf, PDF p99
2022.pdf, PDF p220
2023.pdf, PDF p116
maple\2022.pdf, PDF p239</t>
  </si>
  <si>
    <t>=(365*AVERAGE(MLCF!D65,MLCF!E65)/(-MLCF!E85)+365*AVERAGE(MLCF!D32,MLCF!E32)/MLCF!E84-365*AVERAGE(MLCF!D51,MLCF!E51)/(-MLCF!E85))/(1)</t>
  </si>
  <si>
    <t>F043</t>
  </si>
  <si>
    <t>maple/2022.pdf PDF p239; maple/2023.pdf PDF pp99,127â€“128; maple/2024.pdf comparative statements; maple/2025.pdf PDF pp169,175. Input Review and source rows identify stock, supplier and opening-balance pages.
2024.pdf, PDF p190
2025.pdf, PDF p202
2025.pdf, PDF p203
2024.pdf, PDF p226
2025.pdf, PDF p240</t>
  </si>
  <si>
    <t>=(365*AVERAGE(MLCF!F65,MLCF!G65)/(-MLCF!G85)+365*AVERAGE(MLCF!F32,MLCF!G32)/MLCF!G84-365*AVERAGE(MLCF!F51,MLCF!G51)/(-MLCF!G85))/(1)</t>
  </si>
  <si>
    <t>F044</t>
  </si>
  <si>
    <t>Gross profit margin (mandatory)</t>
  </si>
  <si>
    <t>COGS required by published gross margin</t>
  </si>
  <si>
    <t>Gross margin after exact audited freight reclassification</t>
  </si>
  <si>
    <t>maple/2022.pdf PDF p239; maple/2023.pdf PDF pp99,127â€“128; maple/2024.pdf comparative statements; maple/2025.pdf PDF pp169,175. Input Review and source rows identify stock, supplier and opening-balance pages.
2022.pdf, PDF p185
maple\2022.pdf, PDF p239</t>
  </si>
  <si>
    <t>=(MLCF!D86)/(MLCF!D84)</t>
  </si>
  <si>
    <t>F045</t>
  </si>
  <si>
    <t>maple/2022.pdf PDF p239; maple/2023.pdf PDF pp99,127â€“128; maple/2024.pdf comparative statements; maple/2025.pdf PDF pp169,175. Input Review and source rows identify stock, supplier and opening-balance pages.
2023.pdf, PDF p99
maple\2022.pdf, PDF p239</t>
  </si>
  <si>
    <t>=(MLCF!E86)/(MLCF!E84)</t>
  </si>
  <si>
    <t>F046</t>
  </si>
  <si>
    <t>Book value per share (Rs) (optional)</t>
  </si>
  <si>
    <t>Share count required (million shares)</t>
  </si>
  <si>
    <t>Equity / weighted average shares</t>
  </si>
  <si>
    <t>maple/2025.pdf PDF pp175,179,267; maple/2022.pdf financial statements and share capital notes.
2025.pdf, PDF p201</t>
  </si>
  <si>
    <t>FY2024 closing equity 52,615.908 / weighted shares 1,058.911m = 49.688697162, rounding to 49.69. Standard BVPS uses closing shares 1,047.5626m, giving 50.226982139. The weighted-share rule fails FY2022, which reproduces published 36.93 using issued capital including treasury shares. This is a year-specific share-convention reconstruction, not a confirmed uniform BVPS policy.</t>
  </si>
  <si>
    <t>Issuer policy identifying why the equity-per-share denominator changes between years.</t>
  </si>
  <si>
    <t>=(MLCF!G41)/(MLCF!G128)</t>
  </si>
  <si>
    <t>F047</t>
  </si>
  <si>
    <t>Days sales outstanding (mandatory)</t>
  </si>
  <si>
    <t>365 x closing gross trade receivables / net sales</t>
  </si>
  <si>
    <t>FCCL-Annual-Report-2023.pdf PDF pp208,244; FCCL-Annual-Report-2025.pdf PDF pp210,214,244,278; annual revenue and FY2020â€“25 opening balances in Input Review.
FCCL-Annual-Report-2024.pdf, PDF p191
FCCL-Annual-Report-2024.pdf, PDF p192
FCCL-Annual-Report-2023.pdf, PDF p209
fauji\FCCL-Annual-Report-2023.pdf, PDF p244</t>
  </si>
  <si>
    <t>Opening, closing and average net receivables with 360/365/366 days; gross receivables including audited ECL 3.281; COGS versus sales; rounded debtor turnover; and fourth-quarter annualization were tested. FY2023 quarter-sales and FY2025 opening-receivable variants fit individually but fail across years. No supported common convention reproduces 18/26/23 days.</t>
  </si>
  <si>
    <t>Unrounded monthly receivable averages, credit-sales definition and the company performance-table worksheet.</t>
  </si>
  <si>
    <t>=(365*AVERAGE(FCCL!E32,FCCL!F32))/(FCCL!F84)</t>
  </si>
  <si>
    <t>F048</t>
  </si>
  <si>
    <t>FCCL-Annual-Report-2023.pdf PDF pp208,244; FCCL-Annual-Report-2025.pdf PDF pp210,214,244,278; annual revenue and FY2020â€“25 opening balances in Input Review.
FCCL-Annual-Report-2025.pdf, PDF p245
FCCL-Annual-Report-2025.pdf, PDF p246
FCCL-Annual-Report-2024.pdf, PDF p191
fauji\FCCL-Annual-Report-2025.pdf, PDF p278</t>
  </si>
  <si>
    <t>=(365*AVERAGE(FCCL!F32,FCCL!G32))/(FCCL!G84)</t>
  </si>
  <si>
    <t>F049</t>
  </si>
  <si>
    <t>FCCL-Annual-Report-2023.pdf PDF pp208,244; FCCL-Annual-Report-2025.pdf PDF pp210,214,244,278; annual revenue and FY2020â€“25 opening balances in Input Review.
FCCL-Annual-Report-2025.pdf, PDF p245
FCCL-Annual-Report-2025.pdf, PDF p246
fauji\FCCL-Annual-Report-2025.pdf, PDF p278</t>
  </si>
  <si>
    <t>=(365*AVERAGE(FCCL!G32,FCCL!H32))/(FCCL!H84)</t>
  </si>
  <si>
    <t>F050</t>
  </si>
  <si>
    <t>Days payables outstanding (optional)</t>
  </si>
  <si>
    <t>FCCL-Annual-Report-2021.pdf PDF pp164,189; FCCL-Annual-Report-2022.pdf PDF pp186,215; FCCL-Annual-Report-2023.pdf PDF pp208,234; FCCL-Annual-Report-2025.pdf PDF pp210,214,244,268; source pages for audited annual COGS in Input Review.
FCCL-Annual-Report-2021.pdf, PDF p164
FCCL-Annual-Report-2022.pdf, PDF p186
FCCL-Annual-Report-2022.pdf, PDF p188
FCCL-Annual-Report-2021.pdf, PDF p189
FCCL-Annual-Report-2022.pdf, PDF p215</t>
  </si>
  <si>
    <t>Tested creditors alone, creditors plus separately disclosed retention, creditors plus accruals, total TAP plus accruals and non-borrowing current liabilities. Each was tested on closing/average bases against COGS, net sales and inventory-change purchase proxies. Quarter-cost tests were added. Isolated matches require changing scope and denominator across years, so they are not accepted as a published method. FY2022 already agrees at whole-day precision and is separately corrected in the audit comparison.</t>
  </si>
  <si>
    <t>Issuer credit-purchases definition, included payable classes, balance averaging dates and unrounded computation.</t>
  </si>
  <si>
    <t>=(365*AVERAGE(FCCL!C51,FCCL!D51))/(-FCCL!D85)</t>
  </si>
  <si>
    <t>F051</t>
  </si>
  <si>
    <t>FCCL-Annual-Report-2022.pdf, PDF p215
FCCL-Annual-Report-2023.pdf, PDF p234
FCCL-Annual-Report-2023.pdf, PDF p210</t>
  </si>
  <si>
    <t>=(365*AVERAGE(FCCL!D51,FCCL!E51))/(-FCCL!E85)</t>
  </si>
  <si>
    <t>F052</t>
  </si>
  <si>
    <t>FCCL-Annual-Report-2021.pdf PDF pp164,189; FCCL-Annual-Report-2022.pdf PDF pp186,215; FCCL-Annual-Report-2023.pdf PDF pp208,234; FCCL-Annual-Report-2025.pdf PDF pp210,214,244,268; source pages for audited annual COGS in Input Review.
FCCL-Annual-Report-2023.pdf, PDF p208
FCCL-Annual-Report-2024.pdf, PDF p190
FCCL-Annual-Report-2024.pdf, PDF p192
FCCL-Annual-Report-2023.pdf, PDF p234
FCCL-Annual-Report-2024.pdf, PDF p214</t>
  </si>
  <si>
    <t>=(365*AVERAGE(FCCL!E51,FCCL!F51))/(-FCCL!F85)</t>
  </si>
  <si>
    <t>F053</t>
  </si>
  <si>
    <t>FCCL-Annual-Report-2021.pdf PDF pp164,189; FCCL-Annual-Report-2022.pdf PDF pp186,215; FCCL-Annual-Report-2023.pdf PDF pp208,234; FCCL-Annual-Report-2025.pdf PDF pp210,214,244,268; source pages for audited annual COGS in Input Review.
FCCL-Annual-Report-2024.pdf, PDF p190
FCCL-Annual-Report-2025.pdf, PDF p244
FCCL-Annual-Report-2025.pdf, PDF p246
FCCL-Annual-Report-2024.pdf, PDF p214
FCCL-Annual-Report-2025.pdf, PDF p268</t>
  </si>
  <si>
    <t>=(365*AVERAGE(FCCL!F51,FCCL!G51))/(-FCCL!G85)</t>
  </si>
  <si>
    <t>F054</t>
  </si>
  <si>
    <t>FCCL-Annual-Report-2021.pdf PDF pp164,189; FCCL-Annual-Report-2022.pdf PDF pp186,215; FCCL-Annual-Report-2023.pdf PDF pp208,234; FCCL-Annual-Report-2025.pdf PDF pp210,214,244,268; source pages for audited annual COGS in Input Review.
FCCL-Annual-Report-2025.pdf, PDF p244
FCCL-Annual-Report-2025.pdf, PDF p246
FCCL-Annual-Report-2025.pdf, PDF p268</t>
  </si>
  <si>
    <t>=(365*AVERAGE(FCCL!G51,FCCL!H51))/(-FCCL!H85)</t>
  </si>
  <si>
    <t>F055</t>
  </si>
  <si>
    <t>Operating cycle (days) (optional)</t>
  </si>
  <si>
    <t>Receivable plus payable days required after raw stock-only DIO</t>
  </si>
  <si>
    <t>Raw stock-only inventory days plus printed receivable and payable days</t>
  </si>
  <si>
    <t>FCCL-Annual-Report-2025.pdf PDF p214; audited stock, COGS, sales and receivables in Input Review.
FCCL-Annual-Report-2023.pdf, PDF p209
FCCL-Annual-Report-2024.pdf, PDF p191
FCCL-Annual-Report-2024.pdf, PDF p192</t>
  </si>
  <si>
    <t>The company appears to add inventory, receivable and payable days, while the standardized operating cycle is DIO + DSO and CCC separately subtracts DPO. Printed company components 41 + 18 + 30 = 89, compared with 90 published. Their combined rounding intervals permit a result rounding to 90, so a source error is not proved. Stock-only raw DIO plus printed DSO/DPO also fails to round to 90. Exact component calculations are required.</t>
  </si>
  <si>
    <t>Unrounded component days and the precise sign/convention used for published operating cycle.</t>
  </si>
  <si>
    <t>=(365*AVERAGE(FCCL!E65,FCCL!F65)/(-FCCL!F85)+365*AVERAGE(FCCL!E32,FCCL!F32)/FCCL!F84)/(1)</t>
  </si>
  <si>
    <t>F056</t>
  </si>
  <si>
    <t>Total asset turnover (mandatory)</t>
  </si>
  <si>
    <t>Asset denominator required for annual net sales</t>
  </si>
  <si>
    <t>annual net sales / closing total assets</t>
  </si>
  <si>
    <t>FCCL-Annual-Report-2022.pdf historical ratio table and audited statements; FCCL-Annual-Report-2023.pdf historical ratios and PDF p239 PPE; FCCL-Annual-Report-2025.pdf PDF pp212,214,244,246,273â€“274.
FCCL-Annual-Report-2023.pdf, PDF p210
FCCL-Annual-Report-2023.pdf, PDF p209
FCCL-Annual-Report-2023.pdf, PDF p208
FCCL-Annual-Report-2022.pdf, PDF p187
FCCL-Annual-Report-2022.pdf, PDF p186</t>
  </si>
  <si>
    <t>Annual sales divided by closing assets is approximately 0.48/0.49/0.54/0.55 for FY2022â€“25 and agrees with the same report DuPont turnover/assets percentages 48/49/54/55. It does not agree with the table labelled total asset turnover 0.08/0.07/0.07/0.08. FY2021 follows a sales denominator convention; later report vintages also change historical FY2022 ratios. Sales, PAT, PBT, EBIT and core profit were tested against gross/net PPE, CWIP-adjusted PPE, total and non-current assets on closing/average bases. Profit numerators reproduce some years, but no consistent formula explains all eight labels. Official source inconsistency is established; the issuer private algorithm is not.</t>
  </si>
  <si>
    <t>Issuer correction or documented definition of the turnover table, with historical revision reconciliation.</t>
  </si>
  <si>
    <t>=(FCCL!E84)/(AVERAGE(FCCL!D37,FCCL!E37))</t>
  </si>
  <si>
    <t>F057</t>
  </si>
  <si>
    <t>FCCL-Annual-Report-2022.pdf historical ratio table and audited statements; FCCL-Annual-Report-2023.pdf historical ratios and PDF p239 PPE; FCCL-Annual-Report-2025.pdf PDF pp212,214,244,246,273â€“274.
FCCL-Annual-Report-2024.pdf, PDF p192
FCCL-Annual-Report-2024.pdf, PDF p191
FCCL-Annual-Report-2024.pdf, PDF p190
FCCL-Annual-Report-2023.pdf, PDF p209
FCCL-Annual-Report-2023.pdf, PDF p208</t>
  </si>
  <si>
    <t>=(FCCL!F84)/(AVERAGE(FCCL!E37,FCCL!F37))</t>
  </si>
  <si>
    <t>F058</t>
  </si>
  <si>
    <t>FCCL-Annual-Report-2022.pdf historical ratio table and audited statements; FCCL-Annual-Report-2023.pdf historical ratios and PDF p239 PPE; FCCL-Annual-Report-2025.pdf PDF pp212,214,244,246,273â€“274.
FCCL-Annual-Report-2025.pdf, PDF p246
FCCL-Annual-Report-2025.pdf, PDF p245
FCCL-Annual-Report-2025.pdf, PDF p244
FCCL-Annual-Report-2024.pdf, PDF p191
FCCL-Annual-Report-2024.pdf, PDF p190</t>
  </si>
  <si>
    <t>=(FCCL!G84)/(AVERAGE(FCCL!F37,FCCL!G37))</t>
  </si>
  <si>
    <t>F059</t>
  </si>
  <si>
    <t>FCCL-Annual-Report-2022.pdf historical ratio table and audited statements; FCCL-Annual-Report-2023.pdf historical ratios and PDF p239 PPE; FCCL-Annual-Report-2025.pdf PDF pp212,214,244,246,273â€“274.
FCCL-Annual-Report-2025.pdf, PDF p246
FCCL-Annual-Report-2025.pdf, PDF p245
FCCL-Annual-Report-2025.pdf, PDF p244</t>
  </si>
  <si>
    <t>=(FCCL!H84)/(AVERAGE(FCCL!G37,FCCL!H37))</t>
  </si>
  <si>
    <t>F060</t>
  </si>
  <si>
    <t>Fixed asset turnover (mandatory)</t>
  </si>
  <si>
    <t>annual net sales / closing total PPE</t>
  </si>
  <si>
    <t>FCCL-Annual-Report-2022.pdf historical ratio table and audited statements; FCCL-Annual-Report-2023.pdf historical ratios and PDF p239 PPE; FCCL-Annual-Report-2025.pdf PDF pp212,214,244,246,273â€“274.
FCCL-Annual-Report-2023.pdf, PDF p210
FCCL-Annual-Report-2023.pdf, PDF p209
FCCL-Annual-Report-2022.pdf, PDF p187
FCCL-Annual-Report-2023.pdf, PDF p239
FCCL-Annual-Report-2023.pdf, PDF p241</t>
  </si>
  <si>
    <t>=(FCCL!E84)/(AVERAGE(FCCL!D22,FCCL!E22))</t>
  </si>
  <si>
    <t>F061</t>
  </si>
  <si>
    <t>FCCL-Annual-Report-2022.pdf historical ratio table and audited statements; FCCL-Annual-Report-2023.pdf historical ratios and PDF p239 PPE; FCCL-Annual-Report-2025.pdf PDF pp212,214,244,246,273â€“274.
FCCL-Annual-Report-2024.pdf, PDF p192
FCCL-Annual-Report-2024.pdf, PDF p191
FCCL-Annual-Report-2023.pdf, PDF p209
FCCL-Annual-Report-2023.pdf, PDF p241
FCCL-Annual-Report-2024.pdf, PDF p219</t>
  </si>
  <si>
    <t>=(FCCL!F84)/(AVERAGE(FCCL!E22,FCCL!F22))</t>
  </si>
  <si>
    <t>F062</t>
  </si>
  <si>
    <t>FCCL-Annual-Report-2022.pdf historical ratio table and audited statements; FCCL-Annual-Report-2023.pdf historical ratios and PDF p239 PPE; FCCL-Annual-Report-2025.pdf PDF pp212,214,244,246,273â€“274.
FCCL-Annual-Report-2025.pdf, PDF p246
FCCL-Annual-Report-2025.pdf, PDF p245
FCCL-Annual-Report-2024.pdf, PDF p191
FCCL-Annual-Report-2024.pdf, PDF p219
FCCL-Annual-Report-2025.pdf, PDF p273</t>
  </si>
  <si>
    <t>=(FCCL!G84)/(AVERAGE(FCCL!F22,FCCL!G22))</t>
  </si>
  <si>
    <t>F063</t>
  </si>
  <si>
    <t>FCCL-Annual-Report-2022.pdf historical ratio table and audited statements; FCCL-Annual-Report-2023.pdf historical ratios and PDF p239 PPE; FCCL-Annual-Report-2025.pdf PDF pp212,214,244,246,273â€“274.
FCCL-Annual-Report-2025.pdf, PDF p246
FCCL-Annual-Report-2025.pdf, PDF p245
FCCL-Annual-Report-2025.pdf, PDF p273
FCCL-Annual-Report-2025.pdf, PDF p274</t>
  </si>
  <si>
    <t>=(FCCL!H84)/(AVERAGE(FCCL!G22,FCCL!H22))</t>
  </si>
  <si>
    <t>Numerator and denominator investigations</t>
  </si>
  <si>
    <t>Test ID</t>
  </si>
  <si>
    <t>Candidate convention</t>
  </si>
  <si>
    <t>Numerator</t>
  </si>
  <si>
    <t>Denominator</t>
  </si>
  <si>
    <t>Excel result</t>
  </si>
  <si>
    <t>Independent Python</t>
  </si>
  <si>
    <t>Excel - Python</t>
  </si>
  <si>
    <t>Decimal places</t>
  </si>
  <si>
    <t>Matches displayed precision</t>
  </si>
  <si>
    <t>Official evidence / input trace</t>
  </si>
  <si>
    <t>Interpretation</t>
  </si>
  <si>
    <t>T0001</t>
  </si>
  <si>
    <t>Independent official-input recomputation; Independent official-input recomputation</t>
  </si>
  <si>
    <t>A one-year match alone does not establish the issuer convention.</t>
  </si>
  <si>
    <t>T0002</t>
  </si>
  <si>
    <t>Report price / report BVPS</t>
  </si>
  <si>
    <t>KOHC 2025 report PDF p53; 2025 report PDF p53</t>
  </si>
  <si>
    <t>T0003</t>
  </si>
  <si>
    <t>PSX price / closing equity BVPS</t>
  </si>
  <si>
    <t>KOHC audited model row 130; Input Review gives exact source; KOHC audited model row 41; Input Review gives exact source; KOHC audited model row 128; Input Review gives exact source</t>
  </si>
  <si>
    <t>T0004</t>
  </si>
  <si>
    <t>KOHC 2025 report PDF p53; Report-basis weighted shares, from PSX Prices source register; KOHC audited model row 37; Input Review gives exact source; KOHC audited model row 24; Input Review gives exact source</t>
  </si>
  <si>
    <t>T0005</t>
  </si>
  <si>
    <t>KOHC 2025 report PDF p53; Report-basis weighted shares, from PSX Prices source register; KOHC audited model row 37; Input Review gives exact source; KOHC audited model row 24; Input Review gives exact source; Mathematical/day-count diagnostic constant</t>
  </si>
  <si>
    <t>T0006</t>
  </si>
  <si>
    <t>T0007</t>
  </si>
  <si>
    <t>T0008</t>
  </si>
  <si>
    <t>T0009</t>
  </si>
  <si>
    <t>T0010</t>
  </si>
  <si>
    <t>T0011</t>
  </si>
  <si>
    <t>T0012</t>
  </si>
  <si>
    <t>T0013</t>
  </si>
  <si>
    <t>T0014</t>
  </si>
  <si>
    <t>T0015</t>
  </si>
  <si>
    <t>T0016</t>
  </si>
  <si>
    <t>T0017</t>
  </si>
  <si>
    <t>T0018</t>
  </si>
  <si>
    <t>T0019</t>
  </si>
  <si>
    <t>T0020</t>
  </si>
  <si>
    <t>T0021</t>
  </si>
  <si>
    <t>T0022</t>
  </si>
  <si>
    <t>T0023</t>
  </si>
  <si>
    <t>T0024</t>
  </si>
  <si>
    <t>T0025</t>
  </si>
  <si>
    <t>T0026</t>
  </si>
  <si>
    <t>T0027</t>
  </si>
  <si>
    <t>365 x average net trade receivables / net sales</t>
  </si>
  <si>
    <t>Mathematical/day-count diagnostic constant; LUCK audited model row 32; Input Review gives exact source; LUCK audited model row 32; Input Review gives exact source; LUCK audited model row 84; Input Review gives exact source</t>
  </si>
  <si>
    <t>T0028</t>
  </si>
  <si>
    <t>T0029</t>
  </si>
  <si>
    <t>360 x average net trade receivables / net sales</t>
  </si>
  <si>
    <t>T0030</t>
  </si>
  <si>
    <t>365 x closing net trade receivables / net sales</t>
  </si>
  <si>
    <t>Mathematical/day-count diagnostic constant; LUCK audited model row 32; Input Review gives exact source; LUCK audited model row 84; Input Review gives exact source</t>
  </si>
  <si>
    <t>T0031</t>
  </si>
  <si>
    <t>366 x closing net trade receivables / net sales</t>
  </si>
  <si>
    <t>T0032</t>
  </si>
  <si>
    <t>360 x closing net trade receivables / net sales</t>
  </si>
  <si>
    <t>T0033</t>
  </si>
  <si>
    <t>365 x opening net trade receivables / net sales</t>
  </si>
  <si>
    <t>T0034</t>
  </si>
  <si>
    <t>366 x opening net trade receivables / net sales</t>
  </si>
  <si>
    <t>T0035</t>
  </si>
  <si>
    <t>360 x opening net trade receivables / net sales</t>
  </si>
  <si>
    <t>T0036</t>
  </si>
  <si>
    <t>Mathematical/day-count diagnostic constant; LUCK audited model row 84; Input Review gives exact source; LUCK audited model row 32; Input Review gives exact source; LUCK audited model row 32; Input Review gives exact source</t>
  </si>
  <si>
    <t>T0037</t>
  </si>
  <si>
    <t>T0038</t>
  </si>
  <si>
    <t>Audited weighted EPS converted to FY2025 split basis</t>
  </si>
  <si>
    <t>LUCK audited model row 99; Input Review gives exact source; LUCK audited model row 129; Input Review gives exact source; Mathematical/day-count diagnostic constant</t>
  </si>
  <si>
    <t>T0039</t>
  </si>
  <si>
    <t>Closing-share EPS converted to FY2025 split basis</t>
  </si>
  <si>
    <t>LUCK audited model row 99; Input Review gives exact source; LUCK audited model row 128; Input Review gives exact source; Mathematical/day-count diagnostic constant</t>
  </si>
  <si>
    <t>T0040</t>
  </si>
  <si>
    <t>LUCK audited model row 99; Input Review gives exact source; LUCK audited model row 39; Input Review gives exact source; LUCK audited model row 127; Input Review gives exact source; Mathematical/day-count diagnostic constant</t>
  </si>
  <si>
    <t>T0041</t>
  </si>
  <si>
    <t>T0042</t>
  </si>
  <si>
    <t>365 x closing supplier creditors / COGS</t>
  </si>
  <si>
    <t>Mathematical/day-count diagnostic constant; DGKC audited model row 51; Input Review gives exact source; DGKC audited model row 85; Input Review gives exact source; Mathematical/day-count diagnostic constant</t>
  </si>
  <si>
    <t>T0043</t>
  </si>
  <si>
    <t>365 x closing supplier creditors / net sales</t>
  </si>
  <si>
    <t>Mathematical/day-count diagnostic constant; DGKC audited model row 51; Input Review gives exact source; DGKC audited model row 84; Input Review gives exact source</t>
  </si>
  <si>
    <t>T0044</t>
  </si>
  <si>
    <t>365 x closing supplier creditors / COGS plus change in total inventory</t>
  </si>
  <si>
    <t>Mathematical/day-count diagnostic constant; DGKC audited model row 51; Input Review gives exact source; DGKC audited model row 85; Input Review gives exact source; Mathematical/day-count diagnostic constant; DGKC audited model row 65; Input Review gives exact source; DGKC audited model row 65; Input Review gives exact source</t>
  </si>
  <si>
    <t>T0045</t>
  </si>
  <si>
    <t>365 x closing supplier creditors / COGS plus change in stock-in-trade</t>
  </si>
  <si>
    <t>Mathematical/day-count diagnostic constant; DGKC audited model row 51; Input Review gives exact source; DGKC audited model row 85; Input Review gives exact source; Mathematical/day-count diagnostic constant; DGKC audited model row 31; Input Review gives exact source; DGKC audited model row 31; Input Review gives exact source</t>
  </si>
  <si>
    <t>T0046</t>
  </si>
  <si>
    <t>365 x average supplier creditors / COGS</t>
  </si>
  <si>
    <t>Mathematical/day-count diagnostic constant; DGKC audited model row 51; Input Review gives exact source; DGKC audited model row 51; Input Review gives exact source; DGKC audited model row 85; Input Review gives exact source; Mathematical/day-count diagnostic constant</t>
  </si>
  <si>
    <t>T0047</t>
  </si>
  <si>
    <t>365 x average supplier creditors / net sales</t>
  </si>
  <si>
    <t>Mathematical/day-count diagnostic constant; DGKC audited model row 51; Input Review gives exact source; DGKC audited model row 51; Input Review gives exact source; DGKC audited model row 84; Input Review gives exact source</t>
  </si>
  <si>
    <t>T0048</t>
  </si>
  <si>
    <t>365 x average supplier creditors / COGS plus change in total inventory</t>
  </si>
  <si>
    <t>Mathematical/day-count diagnostic constant; DGKC audited model row 51; Input Review gives exact source; DGKC audited model row 51; Input Review gives exact source; DGKC audited model row 85; Input Review gives exact source; Mathematical/day-count diagnostic constant; DGKC audited model row 65; Input Review gives exact source; DGKC audited model row 65; Input Review gives exact source</t>
  </si>
  <si>
    <t>T0049</t>
  </si>
  <si>
    <t>365 x average supplier creditors / COGS plus change in stock-in-trade</t>
  </si>
  <si>
    <t>Mathematical/day-count diagnostic constant; DGKC audited model row 51; Input Review gives exact source; DGKC audited model row 51; Input Review gives exact source; DGKC audited model row 85; Input Review gives exact source; Mathematical/day-count diagnostic constant; DGKC audited model row 31; Input Review gives exact source; DGKC audited model row 31; Input Review gives exact source</t>
  </si>
  <si>
    <t>T0050</t>
  </si>
  <si>
    <t>365 x closing total trade-and-other-payables / COGS</t>
  </si>
  <si>
    <t>Mathematical/day-count diagnostic constant; DGKC audited model row 50; Input Review gives exact source; DGKC audited model row 85; Input Review gives exact source; Mathematical/day-count diagnostic constant</t>
  </si>
  <si>
    <t>T0051</t>
  </si>
  <si>
    <t>365 x closing total trade-and-other-payables / net sales</t>
  </si>
  <si>
    <t>Mathematical/day-count diagnostic constant; DGKC audited model row 50; Input Review gives exact source; DGKC audited model row 84; Input Review gives exact source</t>
  </si>
  <si>
    <t>T0052</t>
  </si>
  <si>
    <t>365 x closing total trade-and-other-payables / COGS plus change in total inventory</t>
  </si>
  <si>
    <t>Mathematical/day-count diagnostic constant; DGKC audited model row 50; Input Review gives exact source; DGKC audited model row 85; Input Review gives exact source; Mathematical/day-count diagnostic constant; DGKC audited model row 65; Input Review gives exact source; DGKC audited model row 65; Input Review gives exact source</t>
  </si>
  <si>
    <t>T0053</t>
  </si>
  <si>
    <t>365 x closing total trade-and-other-payables / COGS plus change in stock-in-trade</t>
  </si>
  <si>
    <t>Mathematical/day-count diagnostic constant; DGKC audited model row 50; Input Review gives exact source; DGKC audited model row 85; Input Review gives exact source; Mathematical/day-count diagnostic constant; DGKC audited model row 31; Input Review gives exact source; DGKC audited model row 31; Input Review gives exact source</t>
  </si>
  <si>
    <t>T0054</t>
  </si>
  <si>
    <t>Mathematical/day-count diagnostic constant; DGKC audited model row 50; Input Review gives exact source; DGKC audited model row 50; Input Review gives exact source; DGKC audited model row 85; Input Review gives exact source; Mathematical/day-count diagnostic constant</t>
  </si>
  <si>
    <t>T0055</t>
  </si>
  <si>
    <t>365 x average total trade-and-other-payables / net sales</t>
  </si>
  <si>
    <t>Mathematical/day-count diagnostic constant; DGKC audited model row 50; Input Review gives exact source; DGKC audited model row 50; Input Review gives exact source; DGKC audited model row 84; Input Review gives exact source</t>
  </si>
  <si>
    <t>T0056</t>
  </si>
  <si>
    <t>365 x average total trade-and-other-payables / COGS plus change in total inventory</t>
  </si>
  <si>
    <t>Mathematical/day-count diagnostic constant; DGKC audited model row 50; Input Review gives exact source; DGKC audited model row 50; Input Review gives exact source; DGKC audited model row 85; Input Review gives exact source; Mathematical/day-count diagnostic constant; DGKC audited model row 65; Input Review gives exact source; DGKC audited model row 65; Input Review gives exact source</t>
  </si>
  <si>
    <t>T0057</t>
  </si>
  <si>
    <t>365 x average total trade-and-other-payables / COGS plus change in stock-in-trade</t>
  </si>
  <si>
    <t>Mathematical/day-count diagnostic constant; DGKC audited model row 50; Input Review gives exact source; DGKC audited model row 50; Input Review gives exact source; DGKC audited model row 85; Input Review gives exact source; Mathematical/day-count diagnostic constant; DGKC audited model row 31; Input Review gives exact source; DGKC audited model row 31; Input Review gives exact source</t>
  </si>
  <si>
    <t>T0058</t>
  </si>
  <si>
    <t>365 x average non-borrowing current liabilities / COGS</t>
  </si>
  <si>
    <t>Mathematical/day-count diagnostic constant; DGKC audited model row 61; Input Review gives exact source; DGKC audited model row 54; Input Review gives exact source; DGKC audited model row 55; Input Review gives exact source; DGKC audited model row 56; Input Review gives exact source; DGKC audited model row 61; Input Review gives exact source; DGKC audited model row 54; Input Review gives exact source; DGKC audited model row 55; Input Review gives exact source; DGKC audited model row 56; Input Review gives exact source; DGKC audited model row 85; Input Review gives exact source; Mathematical/day-count diagnostic constant</t>
  </si>
  <si>
    <t>T0059</t>
  </si>
  <si>
    <t>365 x average non-borrowing current liabilities / net sales</t>
  </si>
  <si>
    <t>Mathematical/day-count diagnostic constant; DGKC audited model row 61; Input Review gives exact source; DGKC audited model row 54; Input Review gives exact source; DGKC audited model row 55; Input Review gives exact source; DGKC audited model row 56; Input Review gives exact source; DGKC audited model row 61; Input Review gives exact source; DGKC audited model row 54; Input Review gives exact source; DGKC audited model row 55; Input Review gives exact source; DGKC audited model row 56; Input Review gives exact source; DGKC audited model row 84; Input Review gives exact source</t>
  </si>
  <si>
    <t>T0060</t>
  </si>
  <si>
    <t>365 x average non-borrowing current liabilities / COGS plus change in total inventory</t>
  </si>
  <si>
    <t>Mathematical/day-count diagnostic constant; DGKC audited model row 61; Input Review gives exact source; DGKC audited model row 54; Input Review gives exact source; DGKC audited model row 55; Input Review gives exact source; DGKC audited model row 56; Input Review gives exact source; DGKC audited model row 61; Input Review gives exact source; DGKC audited model row 54; Input Review gives exact source; DGKC audited model row 55; Input Review gives exact source; DGKC audited model row 56; Input Review gives exact source; DGKC audited model row 85; Input Review gives exact source; Mathematical/day-count diagnostic constant; DGKC audited model row 65; Input Review gives exact source; DGKC audited model row 65; Input Review gives exact source</t>
  </si>
  <si>
    <t>T0061</t>
  </si>
  <si>
    <t>365 x average non-borrowing current liabilities / COGS plus change in stock-in-trade</t>
  </si>
  <si>
    <t>Mathematical/day-count diagnostic constant; DGKC audited model row 61; Input Review gives exact source; DGKC audited model row 54; Input Review gives exact source; DGKC audited model row 55; Input Review gives exact source; DGKC audited model row 56; Input Review gives exact source; DGKC audited model row 61; Input Review gives exact source; DGKC audited model row 54; Input Review gives exact source; DGKC audited model row 55; Input Review gives exact source; DGKC audited model row 56; Input Review gives exact source; DGKC audited model row 85; Input Review gives exact source; Mathematical/day-count diagnostic constant; DGKC audited model row 31; Input Review gives exact source; DGKC audited model row 31; Input Review gives exact source</t>
  </si>
  <si>
    <t>T0062</t>
  </si>
  <si>
    <t>365 x closing creditors plus accrued liabilities / COGS</t>
  </si>
  <si>
    <t>Mathematical/day-count diagnostic constant; DGKC audited model row 51; Input Review gives exact source; dg khan\DG_Annual_Report_2022.pdf, PDF p155; DGKC audited model row 85; Input Review gives exact source; Mathematical/day-count diagnostic constant</t>
  </si>
  <si>
    <t>T0063</t>
  </si>
  <si>
    <t>365 x closing creditors plus accrued liabilities / net sales</t>
  </si>
  <si>
    <t>Mathematical/day-count diagnostic constant; DGKC audited model row 51; Input Review gives exact source; dg khan\DG_Annual_Report_2022.pdf, PDF p155; DGKC audited model row 84; Input Review gives exact source</t>
  </si>
  <si>
    <t>T0064</t>
  </si>
  <si>
    <t>365 x closing creditors plus accrued liabilities / COGS plus change in total inventory</t>
  </si>
  <si>
    <t>Mathematical/day-count diagnostic constant; DGKC audited model row 51; Input Review gives exact source; dg khan\DG_Annual_Report_2022.pdf, PDF p155; DGKC audited model row 85; Input Review gives exact source; Mathematical/day-count diagnostic constant; DGKC audited model row 65; Input Review gives exact source; DGKC audited model row 65; Input Review gives exact source</t>
  </si>
  <si>
    <t>T0065</t>
  </si>
  <si>
    <t>365 x closing creditors plus accrued liabilities / COGS plus change in stock-in-trade</t>
  </si>
  <si>
    <t>Mathematical/day-count diagnostic constant; DGKC audited model row 51; Input Review gives exact source; dg khan\DG_Annual_Report_2022.pdf, PDF p155; DGKC audited model row 85; Input Review gives exact source; Mathematical/day-count diagnostic constant; DGKC audited model row 31; Input Review gives exact source; DGKC audited model row 31; Input Review gives exact source</t>
  </si>
  <si>
    <t>T0066</t>
  </si>
  <si>
    <t>365 x average creditors plus accrued liabilities / COGS</t>
  </si>
  <si>
    <t>Mathematical/day-count diagnostic constant; DGKC audited model row 51; Input Review gives exact source; dg khan\DG_Annual_Report_2021.pdf, PDF p135; DGKC audited model row 51; Input Review gives exact source; dg khan\DG_Annual_Report_2022.pdf, PDF p155; DGKC audited model row 85; Input Review gives exact source; Mathematical/day-count diagnostic constant</t>
  </si>
  <si>
    <t>T0067</t>
  </si>
  <si>
    <t>365 x average creditors plus accrued liabilities / net sales</t>
  </si>
  <si>
    <t>Mathematical/day-count diagnostic constant; DGKC audited model row 51; Input Review gives exact source; dg khan\DG_Annual_Report_2021.pdf, PDF p135; DGKC audited model row 51; Input Review gives exact source; dg khan\DG_Annual_Report_2022.pdf, PDF p155; DGKC audited model row 84; Input Review gives exact source</t>
  </si>
  <si>
    <t>T0068</t>
  </si>
  <si>
    <t>365 x average creditors plus accrued liabilities / COGS plus change in total inventory</t>
  </si>
  <si>
    <t>Mathematical/day-count diagnostic constant; DGKC audited model row 51; Input Review gives exact source; dg khan\DG_Annual_Report_2021.pdf, PDF p135; DGKC audited model row 51; Input Review gives exact source; dg khan\DG_Annual_Report_2022.pdf, PDF p155; DGKC audited model row 85; Input Review gives exact source; Mathematical/day-count diagnostic constant; DGKC audited model row 65; Input Review gives exact source; DGKC audited model row 65; Input Review gives exact source</t>
  </si>
  <si>
    <t>T0069</t>
  </si>
  <si>
    <t>365 x average creditors plus accrued liabilities / COGS plus change in stock-in-trade</t>
  </si>
  <si>
    <t>Mathematical/day-count diagnostic constant; DGKC audited model row 51; Input Review gives exact source; dg khan\DG_Annual_Report_2021.pdf, PDF p135; DGKC audited model row 51; Input Review gives exact source; dg khan\DG_Annual_Report_2022.pdf, PDF p155; DGKC audited model row 85; Input Review gives exact source; Mathematical/day-count diagnostic constant; DGKC audited model row 31; Input Review gives exact source; DGKC audited model row 31; Input Review gives exact source</t>
  </si>
  <si>
    <t>T0070</t>
  </si>
  <si>
    <t>365 x closing TAP excluding customer advances / COGS</t>
  </si>
  <si>
    <t>Mathematical/day-count diagnostic constant; DGKC audited model row 50; Input Review gives exact source; dg khan\DG_Annual_Report_2022.pdf, PDF p155; DGKC audited model row 85; Input Review gives exact source; Mathematical/day-count diagnostic constant</t>
  </si>
  <si>
    <t>T0071</t>
  </si>
  <si>
    <t>365 x closing TAP excluding customer advances / net sales</t>
  </si>
  <si>
    <t>Mathematical/day-count diagnostic constant; DGKC audited model row 50; Input Review gives exact source; dg khan\DG_Annual_Report_2022.pdf, PDF p155; DGKC audited model row 84; Input Review gives exact source</t>
  </si>
  <si>
    <t>T0072</t>
  </si>
  <si>
    <t>365 x closing TAP excluding customer advances / COGS plus change in total inventory</t>
  </si>
  <si>
    <t>Mathematical/day-count diagnostic constant; DGKC audited model row 50; Input Review gives exact source; dg khan\DG_Annual_Report_2022.pdf, PDF p155; DGKC audited model row 85; Input Review gives exact source; Mathematical/day-count diagnostic constant; DGKC audited model row 65; Input Review gives exact source; DGKC audited model row 65; Input Review gives exact source</t>
  </si>
  <si>
    <t>T0073</t>
  </si>
  <si>
    <t>365 x closing TAP excluding customer advances / COGS plus change in stock-in-trade</t>
  </si>
  <si>
    <t>Mathematical/day-count diagnostic constant; DGKC audited model row 50; Input Review gives exact source; dg khan\DG_Annual_Report_2022.pdf, PDF p155; DGKC audited model row 85; Input Review gives exact source; Mathematical/day-count diagnostic constant; DGKC audited model row 31; Input Review gives exact source; DGKC audited model row 31; Input Review gives exact source</t>
  </si>
  <si>
    <t>T0074</t>
  </si>
  <si>
    <t>365 x average TAP excluding customer advances / COGS</t>
  </si>
  <si>
    <t>Mathematical/day-count diagnostic constant; DGKC audited model row 50; Input Review gives exact source; dg khan\DG_Annual_Report_2021.pdf, PDF p135; DGKC audited model row 50; Input Review gives exact source; dg khan\DG_Annual_Report_2022.pdf, PDF p155; DGKC audited model row 85; Input Review gives exact source; Mathematical/day-count diagnostic constant</t>
  </si>
  <si>
    <t>T0075</t>
  </si>
  <si>
    <t>365 x average TAP excluding customer advances / net sales</t>
  </si>
  <si>
    <t>Mathematical/day-count diagnostic constant; DGKC audited model row 50; Input Review gives exact source; dg khan\DG_Annual_Report_2021.pdf, PDF p135; DGKC audited model row 50; Input Review gives exact source; dg khan\DG_Annual_Report_2022.pdf, PDF p155; DGKC audited model row 84; Input Review gives exact source</t>
  </si>
  <si>
    <t>T0076</t>
  </si>
  <si>
    <t>365 x average TAP excluding customer advances / COGS plus change in total inventory</t>
  </si>
  <si>
    <t>Mathematical/day-count diagnostic constant; DGKC audited model row 50; Input Review gives exact source; dg khan\DG_Annual_Report_2021.pdf, PDF p135; DGKC audited model row 50; Input Review gives exact source; dg khan\DG_Annual_Report_2022.pdf, PDF p155; DGKC audited model row 85; Input Review gives exact source; Mathematical/day-count diagnostic constant; DGKC audited model row 65; Input Review gives exact source; DGKC audited model row 65; Input Review gives exact source</t>
  </si>
  <si>
    <t>T0077</t>
  </si>
  <si>
    <t>365 x average TAP excluding customer advances / COGS plus change in stock-in-trade</t>
  </si>
  <si>
    <t>Mathematical/day-count diagnostic constant; DGKC audited model row 50; Input Review gives exact source; dg khan\DG_Annual_Report_2021.pdf, PDF p135; DGKC audited model row 50; Input Review gives exact source; dg khan\DG_Annual_Report_2022.pdf, PDF p155; DGKC audited model row 85; Input Review gives exact source; Mathematical/day-count diagnostic constant; DGKC audited model row 31; Input Review gives exact source; DGKC audited model row 31; Input Review gives exact source</t>
  </si>
  <si>
    <t>T0078</t>
  </si>
  <si>
    <t>365 x closing financial payable scope / COGS</t>
  </si>
  <si>
    <t>Mathematical/day-count diagnostic constant; dg khan\DG_Annual_Report_2022.pdf, PDF p190; DGKC audited model row 85; Input Review gives exact source; Mathematical/day-count diagnostic constant</t>
  </si>
  <si>
    <t>T0079</t>
  </si>
  <si>
    <t>365 x closing financial payable scope / net sales</t>
  </si>
  <si>
    <t>Mathematical/day-count diagnostic constant; dg khan\DG_Annual_Report_2022.pdf, PDF p190; DGKC audited model row 84; Input Review gives exact source</t>
  </si>
  <si>
    <t>T0080</t>
  </si>
  <si>
    <t>365 x closing financial payable scope / COGS plus change in total inventory</t>
  </si>
  <si>
    <t>Mathematical/day-count diagnostic constant; dg khan\DG_Annual_Report_2022.pdf, PDF p190; DGKC audited model row 85; Input Review gives exact source; Mathematical/day-count diagnostic constant; DGKC audited model row 65; Input Review gives exact source; DGKC audited model row 65; Input Review gives exact source</t>
  </si>
  <si>
    <t>T0081</t>
  </si>
  <si>
    <t>365 x closing financial payable scope / COGS plus change in stock-in-trade</t>
  </si>
  <si>
    <t>Mathematical/day-count diagnostic constant; dg khan\DG_Annual_Report_2022.pdf, PDF p190; DGKC audited model row 85; Input Review gives exact source; Mathematical/day-count diagnostic constant; DGKC audited model row 31; Input Review gives exact source; DGKC audited model row 31; Input Review gives exact source</t>
  </si>
  <si>
    <t>T0082</t>
  </si>
  <si>
    <t>365 x average financial payable scope / COGS</t>
  </si>
  <si>
    <t>Mathematical/day-count diagnostic constant; dg khan\DG_Annual_Report_2021.pdf, PDF p168; dg khan\DG_Annual_Report_2022.pdf, PDF p190; DGKC audited model row 85; Input Review gives exact source; Mathematical/day-count diagnostic constant</t>
  </si>
  <si>
    <t>T0083</t>
  </si>
  <si>
    <t>365 x average financial payable scope / net sales</t>
  </si>
  <si>
    <t>Mathematical/day-count diagnostic constant; dg khan\DG_Annual_Report_2021.pdf, PDF p168; dg khan\DG_Annual_Report_2022.pdf, PDF p190; DGKC audited model row 84; Input Review gives exact source</t>
  </si>
  <si>
    <t>T0084</t>
  </si>
  <si>
    <t>365 x average financial payable scope / COGS plus change in total inventory</t>
  </si>
  <si>
    <t>Mathematical/day-count diagnostic constant; dg khan\DG_Annual_Report_2021.pdf, PDF p168; dg khan\DG_Annual_Report_2022.pdf, PDF p190; DGKC audited model row 85; Input Review gives exact source; Mathematical/day-count diagnostic constant; DGKC audited model row 65; Input Review gives exact source; DGKC audited model row 65; Input Review gives exact source</t>
  </si>
  <si>
    <t>T0085</t>
  </si>
  <si>
    <t>365 x average financial payable scope / COGS plus change in stock-in-trade</t>
  </si>
  <si>
    <t>Mathematical/day-count diagnostic constant; dg khan\DG_Annual_Report_2021.pdf, PDF p168; dg khan\DG_Annual_Report_2022.pdf, PDF p190; DGKC audited model row 85; Input Review gives exact source; Mathematical/day-count diagnostic constant; DGKC audited model row 31; Input Review gives exact source; DGKC audited model row 31; Input Review gives exact source</t>
  </si>
  <si>
    <t>T0086</t>
  </si>
  <si>
    <t>365 x closing total payables / goods manufactured</t>
  </si>
  <si>
    <t>Mathematical/day-count diagnostic constant; DGKC audited model row 50; Input Review gives exact source; dg khan\DG_Annual_Report_2022.pdf, PDF p173</t>
  </si>
  <si>
    <t>T0087</t>
  </si>
  <si>
    <t>365 x average total payables / goods manufactured</t>
  </si>
  <si>
    <t>Mathematical/day-count diagnostic constant; DGKC audited model row 50; Input Review gives exact source; DGKC audited model row 50; Input Review gives exact source; dg khan\DG_Annual_Report_2022.pdf, PDF p173</t>
  </si>
  <si>
    <t>T0088</t>
  </si>
  <si>
    <t>Consolidated closing total payables / consolidated COGS x365</t>
  </si>
  <si>
    <t>Mathematical/day-count diagnostic constant; dg khan\DG_Annual_Report_2022.pdf, PDF p197; dg khan\DG_Annual_Report_2022.pdf, PDF p199</t>
  </si>
  <si>
    <t>T0089</t>
  </si>
  <si>
    <t>Consolidated average total payables / consolidated COGS x365</t>
  </si>
  <si>
    <t>Mathematical/day-count diagnostic constant; dg khan\DG_Annual_Report_2021.pdf, PDF p175; dg khan\DG_Annual_Report_2022.pdf, PDF p197; dg khan\DG_Annual_Report_2022.pdf, PDF p199</t>
  </si>
  <si>
    <t>T0090</t>
  </si>
  <si>
    <t>Four quarter-end total-payable mean / annual COGS x365</t>
  </si>
  <si>
    <t>Mathematical/day-count diagnostic constant; FY2021_Q1.pdf, PDF p13; FY2021_Q2.pdf, PDF p13; FY2021_Q3.pdf, PDF p13; DGKC audited model row 50; Input Review gives exact source; Mathematical/day-count diagnostic constant; DGKC audited model row 85; Input Review gives exact source; Mathematical/day-count diagnostic constant</t>
  </si>
  <si>
    <t>T0091</t>
  </si>
  <si>
    <t>Trapezoidal five-date total-payable average / annual COGS x365</t>
  </si>
  <si>
    <t>Mathematical/day-count diagnostic constant; FY2021_Q1.pdf, PDF p13; FY2021_Q2.pdf, PDF p13; FY2021_Q3.pdf, PDF p13; DGKC audited model row 50; Input Review gives exact source; Mathematical/day-count diagnostic constant; DGKC audited model row 50; Input Review gives exact source; Mathematical/day-count diagnostic constant; Mathematical/day-count diagnostic constant; DGKC audited model row 85; Input Review gives exact source; Mathematical/day-count diagnostic constant</t>
  </si>
  <si>
    <t>T0092</t>
  </si>
  <si>
    <t>T0093</t>
  </si>
  <si>
    <t>T0094</t>
  </si>
  <si>
    <t>T0095</t>
  </si>
  <si>
    <t>T0096</t>
  </si>
  <si>
    <t>T0097</t>
  </si>
  <si>
    <t>T0098</t>
  </si>
  <si>
    <t>T0099</t>
  </si>
  <si>
    <t>T0100</t>
  </si>
  <si>
    <t>T0101</t>
  </si>
  <si>
    <t>T0102</t>
  </si>
  <si>
    <t>T0103</t>
  </si>
  <si>
    <t>T0104</t>
  </si>
  <si>
    <t>T0105</t>
  </si>
  <si>
    <t>T0106</t>
  </si>
  <si>
    <t>T0107</t>
  </si>
  <si>
    <t>T0108</t>
  </si>
  <si>
    <t>T0109</t>
  </si>
  <si>
    <t>T0110</t>
  </si>
  <si>
    <t>T0111</t>
  </si>
  <si>
    <t>T0112</t>
  </si>
  <si>
    <t>T0113</t>
  </si>
  <si>
    <t>T0114</t>
  </si>
  <si>
    <t>T0115</t>
  </si>
  <si>
    <t>T0116</t>
  </si>
  <si>
    <t>T0117</t>
  </si>
  <si>
    <t>Mathematical/day-count diagnostic constant; DGKC audited model row 51; Input Review gives exact source; dg khan\DG_Annual_Report_2022.pdf, PDF p155; DGKC audited model row 51; Input Review gives exact source; dg khan\DG_Annual_Report_2022.pdf, PDF p155; DGKC audited model row 85; Input Review gives exact source; Mathematical/day-count diagnostic constant</t>
  </si>
  <si>
    <t>T0118</t>
  </si>
  <si>
    <t>Mathematical/day-count diagnostic constant; DGKC audited model row 51; Input Review gives exact source; dg khan\DG_Annual_Report_2022.pdf, PDF p155; DGKC audited model row 51; Input Review gives exact source; dg khan\DG_Annual_Report_2022.pdf, PDF p155; DGKC audited model row 84; Input Review gives exact source</t>
  </si>
  <si>
    <t>T0119</t>
  </si>
  <si>
    <t>Mathematical/day-count diagnostic constant; DGKC audited model row 51; Input Review gives exact source; dg khan\DG_Annual_Report_2022.pdf, PDF p155; DGKC audited model row 51; Input Review gives exact source; dg khan\DG_Annual_Report_2022.pdf, PDF p155; DGKC audited model row 85; Input Review gives exact source; Mathematical/day-count diagnostic constant; DGKC audited model row 65; Input Review gives exact source; DGKC audited model row 65; Input Review gives exact source</t>
  </si>
  <si>
    <t>T0120</t>
  </si>
  <si>
    <t>Mathematical/day-count diagnostic constant; DGKC audited model row 51; Input Review gives exact source; dg khan\DG_Annual_Report_2022.pdf, PDF p155; DGKC audited model row 51; Input Review gives exact source; dg khan\DG_Annual_Report_2022.pdf, PDF p155; DGKC audited model row 85; Input Review gives exact source; Mathematical/day-count diagnostic constant; DGKC audited model row 31; Input Review gives exact source; DGKC audited model row 31; Input Review gives exact source</t>
  </si>
  <si>
    <t>T0121</t>
  </si>
  <si>
    <t>T0122</t>
  </si>
  <si>
    <t>T0123</t>
  </si>
  <si>
    <t>T0124</t>
  </si>
  <si>
    <t>T0125</t>
  </si>
  <si>
    <t>Mathematical/day-count diagnostic constant; DGKC audited model row 50; Input Review gives exact source; dg khan\DG_Annual_Report_2022.pdf, PDF p155; DGKC audited model row 50; Input Review gives exact source; dg khan\DG_Annual_Report_2022.pdf, PDF p155; DGKC audited model row 85; Input Review gives exact source; Mathematical/day-count diagnostic constant</t>
  </si>
  <si>
    <t>T0126</t>
  </si>
  <si>
    <t>Mathematical/day-count diagnostic constant; DGKC audited model row 50; Input Review gives exact source; dg khan\DG_Annual_Report_2022.pdf, PDF p155; DGKC audited model row 50; Input Review gives exact source; dg khan\DG_Annual_Report_2022.pdf, PDF p155; DGKC audited model row 84; Input Review gives exact source</t>
  </si>
  <si>
    <t>T0127</t>
  </si>
  <si>
    <t>Mathematical/day-count diagnostic constant; DGKC audited model row 50; Input Review gives exact source; dg khan\DG_Annual_Report_2022.pdf, PDF p155; DGKC audited model row 50; Input Review gives exact source; dg khan\DG_Annual_Report_2022.pdf, PDF p155; DGKC audited model row 85; Input Review gives exact source; Mathematical/day-count diagnostic constant; DGKC audited model row 65; Input Review gives exact source; DGKC audited model row 65; Input Review gives exact source</t>
  </si>
  <si>
    <t>T0128</t>
  </si>
  <si>
    <t>Mathematical/day-count diagnostic constant; DGKC audited model row 50; Input Review gives exact source; dg khan\DG_Annual_Report_2022.pdf, PDF p155; DGKC audited model row 50; Input Review gives exact source; dg khan\DG_Annual_Report_2022.pdf, PDF p155; DGKC audited model row 85; Input Review gives exact source; Mathematical/day-count diagnostic constant; DGKC audited model row 31; Input Review gives exact source; DGKC audited model row 31; Input Review gives exact source</t>
  </si>
  <si>
    <t>T0129</t>
  </si>
  <si>
    <t>T0130</t>
  </si>
  <si>
    <t>T0131</t>
  </si>
  <si>
    <t>T0132</t>
  </si>
  <si>
    <t>T0133</t>
  </si>
  <si>
    <t>Mathematical/day-count diagnostic constant; dg khan\DG_Annual_Report_2022.pdf, PDF p190; dg khan\DG_Annual_Report_2022.pdf, PDF p190; DGKC audited model row 85; Input Review gives exact source; Mathematical/day-count diagnostic constant</t>
  </si>
  <si>
    <t>T0134</t>
  </si>
  <si>
    <t>Mathematical/day-count diagnostic constant; dg khan\DG_Annual_Report_2022.pdf, PDF p190; dg khan\DG_Annual_Report_2022.pdf, PDF p190; DGKC audited model row 84; Input Review gives exact source</t>
  </si>
  <si>
    <t>T0135</t>
  </si>
  <si>
    <t>Mathematical/day-count diagnostic constant; dg khan\DG_Annual_Report_2022.pdf, PDF p190; dg khan\DG_Annual_Report_2022.pdf, PDF p190; DGKC audited model row 85; Input Review gives exact source; Mathematical/day-count diagnostic constant; DGKC audited model row 65; Input Review gives exact source; DGKC audited model row 65; Input Review gives exact source</t>
  </si>
  <si>
    <t>T0136</t>
  </si>
  <si>
    <t>Mathematical/day-count diagnostic constant; dg khan\DG_Annual_Report_2022.pdf, PDF p190; dg khan\DG_Annual_Report_2022.pdf, PDF p190; DGKC audited model row 85; Input Review gives exact source; Mathematical/day-count diagnostic constant; DGKC audited model row 31; Input Review gives exact source; DGKC audited model row 31; Input Review gives exact source</t>
  </si>
  <si>
    <t>T0137</t>
  </si>
  <si>
    <t>T0138</t>
  </si>
  <si>
    <t>T0139</t>
  </si>
  <si>
    <t>T0140</t>
  </si>
  <si>
    <t>Mathematical/day-count diagnostic constant; dg khan\DG_Annual_Report_2022.pdf, PDF p197; dg khan\DG_Annual_Report_2022.pdf, PDF p197; dg khan\DG_Annual_Report_2022.pdf, PDF p199</t>
  </si>
  <si>
    <t>T0141</t>
  </si>
  <si>
    <t>Mathematical/day-count diagnostic constant; FY2022_Q1.pdf, PDF p13; FY2022_Q2.pdf, PDF p13; FY2022_Q3.pdf, PDF p13; DGKC audited model row 50; Input Review gives exact source; Mathematical/day-count diagnostic constant; DGKC audited model row 85; Input Review gives exact source; Mathematical/day-count diagnostic constant</t>
  </si>
  <si>
    <t>T0142</t>
  </si>
  <si>
    <t>Mathematical/day-count diagnostic constant; FY2022_Q1.pdf, PDF p13; FY2022_Q2.pdf, PDF p13; FY2022_Q3.pdf, PDF p13; DGKC audited model row 50; Input Review gives exact source; Mathematical/day-count diagnostic constant; DGKC audited model row 50; Input Review gives exact source; Mathematical/day-count diagnostic constant; Mathematical/day-count diagnostic constant; DGKC audited model row 85; Input Review gives exact source; Mathematical/day-count diagnostic constant</t>
  </si>
  <si>
    <t>T0143</t>
  </si>
  <si>
    <t>T0144</t>
  </si>
  <si>
    <t>T0145</t>
  </si>
  <si>
    <t>T0146</t>
  </si>
  <si>
    <t>T0147</t>
  </si>
  <si>
    <t>T0148</t>
  </si>
  <si>
    <t>T0149</t>
  </si>
  <si>
    <t>T0150</t>
  </si>
  <si>
    <t>T0151</t>
  </si>
  <si>
    <t>T0152</t>
  </si>
  <si>
    <t>T0153</t>
  </si>
  <si>
    <t>T0154</t>
  </si>
  <si>
    <t>T0155</t>
  </si>
  <si>
    <t>T0156</t>
  </si>
  <si>
    <t>T0157</t>
  </si>
  <si>
    <t>T0158</t>
  </si>
  <si>
    <t>T0159</t>
  </si>
  <si>
    <t>T0160</t>
  </si>
  <si>
    <t>T0161</t>
  </si>
  <si>
    <t>T0162</t>
  </si>
  <si>
    <t>T0163</t>
  </si>
  <si>
    <t>T0164</t>
  </si>
  <si>
    <t>Mathematical/day-count diagnostic constant; DGKC audited model row 51; Input Review gives exact source; dg khan\DGAnnual2025.pdf, PDF p183; DGKC audited model row 85; Input Review gives exact source; Mathematical/day-count diagnostic constant</t>
  </si>
  <si>
    <t>T0165</t>
  </si>
  <si>
    <t>Mathematical/day-count diagnostic constant; DGKC audited model row 51; Input Review gives exact source; dg khan\DGAnnual2025.pdf, PDF p183; DGKC audited model row 84; Input Review gives exact source</t>
  </si>
  <si>
    <t>T0166</t>
  </si>
  <si>
    <t>Mathematical/day-count diagnostic constant; DGKC audited model row 51; Input Review gives exact source; dg khan\DGAnnual2025.pdf, PDF p183; DGKC audited model row 85; Input Review gives exact source; Mathematical/day-count diagnostic constant; DGKC audited model row 65; Input Review gives exact source; DGKC audited model row 65; Input Review gives exact source</t>
  </si>
  <si>
    <t>T0167</t>
  </si>
  <si>
    <t>Mathematical/day-count diagnostic constant; DGKC audited model row 51; Input Review gives exact source; dg khan\DGAnnual2025.pdf, PDF p183; DGKC audited model row 85; Input Review gives exact source; Mathematical/day-count diagnostic constant; DGKC audited model row 31; Input Review gives exact source; DGKC audited model row 31; Input Review gives exact source</t>
  </si>
  <si>
    <t>T0168</t>
  </si>
  <si>
    <t>Mathematical/day-count diagnostic constant; DGKC audited model row 51; Input Review gives exact source; dg khan\DGAnnual2024.pdf, PDF p182; DGKC audited model row 51; Input Review gives exact source; dg khan\DGAnnual2025.pdf, PDF p183; DGKC audited model row 85; Input Review gives exact source; Mathematical/day-count diagnostic constant</t>
  </si>
  <si>
    <t>T0169</t>
  </si>
  <si>
    <t>Mathematical/day-count diagnostic constant; DGKC audited model row 51; Input Review gives exact source; dg khan\DGAnnual2024.pdf, PDF p182; DGKC audited model row 51; Input Review gives exact source; dg khan\DGAnnual2025.pdf, PDF p183; DGKC audited model row 84; Input Review gives exact source</t>
  </si>
  <si>
    <t>T0170</t>
  </si>
  <si>
    <t>Mathematical/day-count diagnostic constant; DGKC audited model row 51; Input Review gives exact source; dg khan\DGAnnual2024.pdf, PDF p182; DGKC audited model row 51; Input Review gives exact source; dg khan\DGAnnual2025.pdf, PDF p183; DGKC audited model row 85; Input Review gives exact source; Mathematical/day-count diagnostic constant; DGKC audited model row 65; Input Review gives exact source; DGKC audited model row 65; Input Review gives exact source</t>
  </si>
  <si>
    <t>T0171</t>
  </si>
  <si>
    <t>Mathematical/day-count diagnostic constant; DGKC audited model row 51; Input Review gives exact source; dg khan\DGAnnual2024.pdf, PDF p182; DGKC audited model row 51; Input Review gives exact source; dg khan\DGAnnual2025.pdf, PDF p183; DGKC audited model row 85; Input Review gives exact source; Mathematical/day-count diagnostic constant; DGKC audited model row 31; Input Review gives exact source; DGKC audited model row 31; Input Review gives exact source</t>
  </si>
  <si>
    <t>T0172</t>
  </si>
  <si>
    <t>Mathematical/day-count diagnostic constant; DGKC audited model row 50; Input Review gives exact source; dg khan\DGAnnual2025.pdf, PDF p183; DGKC audited model row 85; Input Review gives exact source; Mathematical/day-count diagnostic constant</t>
  </si>
  <si>
    <t>T0173</t>
  </si>
  <si>
    <t>Mathematical/day-count diagnostic constant; DGKC audited model row 50; Input Review gives exact source; dg khan\DGAnnual2025.pdf, PDF p183; DGKC audited model row 84; Input Review gives exact source</t>
  </si>
  <si>
    <t>T0174</t>
  </si>
  <si>
    <t>Mathematical/day-count diagnostic constant; DGKC audited model row 50; Input Review gives exact source; dg khan\DGAnnual2025.pdf, PDF p183; DGKC audited model row 85; Input Review gives exact source; Mathematical/day-count diagnostic constant; DGKC audited model row 65; Input Review gives exact source; DGKC audited model row 65; Input Review gives exact source</t>
  </si>
  <si>
    <t>T0175</t>
  </si>
  <si>
    <t>Mathematical/day-count diagnostic constant; DGKC audited model row 50; Input Review gives exact source; dg khan\DGAnnual2025.pdf, PDF p183; DGKC audited model row 85; Input Review gives exact source; Mathematical/day-count diagnostic constant; DGKC audited model row 31; Input Review gives exact source; DGKC audited model row 31; Input Review gives exact source</t>
  </si>
  <si>
    <t>T0176</t>
  </si>
  <si>
    <t>Mathematical/day-count diagnostic constant; DGKC audited model row 50; Input Review gives exact source; dg khan\DGAnnual2024.pdf, PDF p182; DGKC audited model row 50; Input Review gives exact source; dg khan\DGAnnual2025.pdf, PDF p183; DGKC audited model row 85; Input Review gives exact source; Mathematical/day-count diagnostic constant</t>
  </si>
  <si>
    <t>T0177</t>
  </si>
  <si>
    <t>Mathematical/day-count diagnostic constant; DGKC audited model row 50; Input Review gives exact source; dg khan\DGAnnual2024.pdf, PDF p182; DGKC audited model row 50; Input Review gives exact source; dg khan\DGAnnual2025.pdf, PDF p183; DGKC audited model row 84; Input Review gives exact source</t>
  </si>
  <si>
    <t>T0178</t>
  </si>
  <si>
    <t>Mathematical/day-count diagnostic constant; DGKC audited model row 50; Input Review gives exact source; dg khan\DGAnnual2024.pdf, PDF p182; DGKC audited model row 50; Input Review gives exact source; dg khan\DGAnnual2025.pdf, PDF p183; DGKC audited model row 85; Input Review gives exact source; Mathematical/day-count diagnostic constant; DGKC audited model row 65; Input Review gives exact source; DGKC audited model row 65; Input Review gives exact source</t>
  </si>
  <si>
    <t>T0179</t>
  </si>
  <si>
    <t>Mathematical/day-count diagnostic constant; DGKC audited model row 50; Input Review gives exact source; dg khan\DGAnnual2024.pdf, PDF p182; DGKC audited model row 50; Input Review gives exact source; dg khan\DGAnnual2025.pdf, PDF p183; DGKC audited model row 85; Input Review gives exact source; Mathematical/day-count diagnostic constant; DGKC audited model row 31; Input Review gives exact source; DGKC audited model row 31; Input Review gives exact source</t>
  </si>
  <si>
    <t>T0180</t>
  </si>
  <si>
    <t>Mathematical/day-count diagnostic constant; dg khan\DGAnnual2025.pdf, PDF p224; DGKC audited model row 85; Input Review gives exact source; Mathematical/day-count diagnostic constant</t>
  </si>
  <si>
    <t>T0181</t>
  </si>
  <si>
    <t>Mathematical/day-count diagnostic constant; dg khan\DGAnnual2025.pdf, PDF p224; DGKC audited model row 84; Input Review gives exact source</t>
  </si>
  <si>
    <t>T0182</t>
  </si>
  <si>
    <t>Mathematical/day-count diagnostic constant; dg khan\DGAnnual2025.pdf, PDF p224; DGKC audited model row 85; Input Review gives exact source; Mathematical/day-count diagnostic constant; DGKC audited model row 65; Input Review gives exact source; DGKC audited model row 65; Input Review gives exact source</t>
  </si>
  <si>
    <t>T0183</t>
  </si>
  <si>
    <t>Mathematical/day-count diagnostic constant; dg khan\DGAnnual2025.pdf, PDF p224; DGKC audited model row 85; Input Review gives exact source; Mathematical/day-count diagnostic constant; DGKC audited model row 31; Input Review gives exact source; DGKC audited model row 31; Input Review gives exact source</t>
  </si>
  <si>
    <t>T0184</t>
  </si>
  <si>
    <t>Mathematical/day-count diagnostic constant; dg khan\DGAnnual2024.pdf, PDF p219; dg khan\DGAnnual2025.pdf, PDF p224; DGKC audited model row 85; Input Review gives exact source; Mathematical/day-count diagnostic constant</t>
  </si>
  <si>
    <t>T0185</t>
  </si>
  <si>
    <t>Mathematical/day-count diagnostic constant; dg khan\DGAnnual2024.pdf, PDF p219; dg khan\DGAnnual2025.pdf, PDF p224; DGKC audited model row 84; Input Review gives exact source</t>
  </si>
  <si>
    <t>T0186</t>
  </si>
  <si>
    <t>Mathematical/day-count diagnostic constant; dg khan\DGAnnual2024.pdf, PDF p219; dg khan\DGAnnual2025.pdf, PDF p224; DGKC audited model row 85; Input Review gives exact source; Mathematical/day-count diagnostic constant; DGKC audited model row 65; Input Review gives exact source; DGKC audited model row 65; Input Review gives exact source</t>
  </si>
  <si>
    <t>T0187</t>
  </si>
  <si>
    <t>Mathematical/day-count diagnostic constant; dg khan\DGAnnual2024.pdf, PDF p219; dg khan\DGAnnual2025.pdf, PDF p224; DGKC audited model row 85; Input Review gives exact source; Mathematical/day-count diagnostic constant; DGKC audited model row 31; Input Review gives exact source; DGKC audited model row 31; Input Review gives exact source</t>
  </si>
  <si>
    <t>T0188</t>
  </si>
  <si>
    <t>Mathematical/day-count diagnostic constant; DGKC audited model row 50; Input Review gives exact source; dg khan\DGAnnual2025.pdf, PDF p205</t>
  </si>
  <si>
    <t>T0189</t>
  </si>
  <si>
    <t>Mathematical/day-count diagnostic constant; DGKC audited model row 50; Input Review gives exact source; DGKC audited model row 50; Input Review gives exact source; dg khan\DGAnnual2025.pdf, PDF p205</t>
  </si>
  <si>
    <t>T0190</t>
  </si>
  <si>
    <t>Mathematical/day-count diagnostic constant; dg khan\DGAnnual2025.pdf, PDF p233; dg khan\DGAnnual2025.pdf, PDF p235</t>
  </si>
  <si>
    <t>T0191</t>
  </si>
  <si>
    <t>Mathematical/day-count diagnostic constant; dg khan\DGAnnual2024.pdf, PDF p225; dg khan\DGAnnual2025.pdf, PDF p233; dg khan\DGAnnual2025.pdf, PDF p235</t>
  </si>
  <si>
    <t>T0192</t>
  </si>
  <si>
    <t>Mathematical/day-count diagnostic constant; FY2024_Q1.pdf, PDF p13; FY2024_Q2.pdf, PDF p13; FY2024_Q3.pdf, PDF p13; DGKC audited model row 50; Input Review gives exact source; Mathematical/day-count diagnostic constant; DGKC audited model row 85; Input Review gives exact source; Mathematical/day-count diagnostic constant</t>
  </si>
  <si>
    <t>T0193</t>
  </si>
  <si>
    <t>Mathematical/day-count diagnostic constant; FY2024_Q1.pdf, PDF p13; FY2024_Q2.pdf, PDF p13; FY2024_Q3.pdf, PDF p13; DGKC audited model row 50; Input Review gives exact source; Mathematical/day-count diagnostic constant; DGKC audited model row 50; Input Review gives exact source; Mathematical/day-count diagnostic constant; Mathematical/day-count diagnostic constant; DGKC audited model row 85; Input Review gives exact source; Mathematical/day-count diagnostic constant</t>
  </si>
  <si>
    <t>T0194</t>
  </si>
  <si>
    <t>T0195</t>
  </si>
  <si>
    <t>T0196</t>
  </si>
  <si>
    <t>T0197</t>
  </si>
  <si>
    <t>T0198</t>
  </si>
  <si>
    <t>T0199</t>
  </si>
  <si>
    <t>T0200</t>
  </si>
  <si>
    <t>T0201</t>
  </si>
  <si>
    <t>T0202</t>
  </si>
  <si>
    <t>T0203</t>
  </si>
  <si>
    <t>T0204</t>
  </si>
  <si>
    <t>T0205</t>
  </si>
  <si>
    <t>T0206</t>
  </si>
  <si>
    <t>T0207</t>
  </si>
  <si>
    <t>T0208</t>
  </si>
  <si>
    <t>T0209</t>
  </si>
  <si>
    <t>T0210</t>
  </si>
  <si>
    <t>T0211</t>
  </si>
  <si>
    <t>T0212</t>
  </si>
  <si>
    <t>T0213</t>
  </si>
  <si>
    <t>T0214</t>
  </si>
  <si>
    <t>T0215</t>
  </si>
  <si>
    <t>T0216</t>
  </si>
  <si>
    <t>T0217</t>
  </si>
  <si>
    <t>T0218</t>
  </si>
  <si>
    <t>T0219</t>
  </si>
  <si>
    <t>Mathematical/day-count diagnostic constant; DGKC audited model row 51; Input Review gives exact source; dg khan\DGAnnual2025.pdf, PDF p183; DGKC audited model row 51; Input Review gives exact source; dg khan\DGAnnual2025.pdf, PDF p183; DGKC audited model row 85; Input Review gives exact source; Mathematical/day-count diagnostic constant</t>
  </si>
  <si>
    <t>T0220</t>
  </si>
  <si>
    <t>Mathematical/day-count diagnostic constant; DGKC audited model row 51; Input Review gives exact source; dg khan\DGAnnual2025.pdf, PDF p183; DGKC audited model row 51; Input Review gives exact source; dg khan\DGAnnual2025.pdf, PDF p183; DGKC audited model row 84; Input Review gives exact source</t>
  </si>
  <si>
    <t>T0221</t>
  </si>
  <si>
    <t>Mathematical/day-count diagnostic constant; DGKC audited model row 51; Input Review gives exact source; dg khan\DGAnnual2025.pdf, PDF p183; DGKC audited model row 51; Input Review gives exact source; dg khan\DGAnnual2025.pdf, PDF p183; DGKC audited model row 85; Input Review gives exact source; Mathematical/day-count diagnostic constant; DGKC audited model row 65; Input Review gives exact source; DGKC audited model row 65; Input Review gives exact source</t>
  </si>
  <si>
    <t>T0222</t>
  </si>
  <si>
    <t>Mathematical/day-count diagnostic constant; DGKC audited model row 51; Input Review gives exact source; dg khan\DGAnnual2025.pdf, PDF p183; DGKC audited model row 51; Input Review gives exact source; dg khan\DGAnnual2025.pdf, PDF p183; DGKC audited model row 85; Input Review gives exact source; Mathematical/day-count diagnostic constant; DGKC audited model row 31; Input Review gives exact source; DGKC audited model row 31; Input Review gives exact source</t>
  </si>
  <si>
    <t>T0223</t>
  </si>
  <si>
    <t>T0224</t>
  </si>
  <si>
    <t>T0225</t>
  </si>
  <si>
    <t>T0226</t>
  </si>
  <si>
    <t>T0227</t>
  </si>
  <si>
    <t>Mathematical/day-count diagnostic constant; DGKC audited model row 50; Input Review gives exact source; dg khan\DGAnnual2025.pdf, PDF p183; DGKC audited model row 50; Input Review gives exact source; dg khan\DGAnnual2025.pdf, PDF p183; DGKC audited model row 85; Input Review gives exact source; Mathematical/day-count diagnostic constant</t>
  </si>
  <si>
    <t>T0228</t>
  </si>
  <si>
    <t>Mathematical/day-count diagnostic constant; DGKC audited model row 50; Input Review gives exact source; dg khan\DGAnnual2025.pdf, PDF p183; DGKC audited model row 50; Input Review gives exact source; dg khan\DGAnnual2025.pdf, PDF p183; DGKC audited model row 84; Input Review gives exact source</t>
  </si>
  <si>
    <t>T0229</t>
  </si>
  <si>
    <t>Mathematical/day-count diagnostic constant; DGKC audited model row 50; Input Review gives exact source; dg khan\DGAnnual2025.pdf, PDF p183; DGKC audited model row 50; Input Review gives exact source; dg khan\DGAnnual2025.pdf, PDF p183; DGKC audited model row 85; Input Review gives exact source; Mathematical/day-count diagnostic constant; DGKC audited model row 65; Input Review gives exact source; DGKC audited model row 65; Input Review gives exact source</t>
  </si>
  <si>
    <t>T0230</t>
  </si>
  <si>
    <t>Mathematical/day-count diagnostic constant; DGKC audited model row 50; Input Review gives exact source; dg khan\DGAnnual2025.pdf, PDF p183; DGKC audited model row 50; Input Review gives exact source; dg khan\DGAnnual2025.pdf, PDF p183; DGKC audited model row 85; Input Review gives exact source; Mathematical/day-count diagnostic constant; DGKC audited model row 31; Input Review gives exact source; DGKC audited model row 31; Input Review gives exact source</t>
  </si>
  <si>
    <t>T0231</t>
  </si>
  <si>
    <t>T0232</t>
  </si>
  <si>
    <t>T0233</t>
  </si>
  <si>
    <t>T0234</t>
  </si>
  <si>
    <t>T0235</t>
  </si>
  <si>
    <t>Mathematical/day-count diagnostic constant; dg khan\DGAnnual2025.pdf, PDF p224; dg khan\DGAnnual2025.pdf, PDF p224; DGKC audited model row 85; Input Review gives exact source; Mathematical/day-count diagnostic constant</t>
  </si>
  <si>
    <t>T0236</t>
  </si>
  <si>
    <t>Mathematical/day-count diagnostic constant; dg khan\DGAnnual2025.pdf, PDF p224; dg khan\DGAnnual2025.pdf, PDF p224; DGKC audited model row 84; Input Review gives exact source</t>
  </si>
  <si>
    <t>T0237</t>
  </si>
  <si>
    <t>Mathematical/day-count diagnostic constant; dg khan\DGAnnual2025.pdf, PDF p224; dg khan\DGAnnual2025.pdf, PDF p224; DGKC audited model row 85; Input Review gives exact source; Mathematical/day-count diagnostic constant; DGKC audited model row 65; Input Review gives exact source; DGKC audited model row 65; Input Review gives exact source</t>
  </si>
  <si>
    <t>T0238</t>
  </si>
  <si>
    <t>Mathematical/day-count diagnostic constant; dg khan\DGAnnual2025.pdf, PDF p224; dg khan\DGAnnual2025.pdf, PDF p224; DGKC audited model row 85; Input Review gives exact source; Mathematical/day-count diagnostic constant; DGKC audited model row 31; Input Review gives exact source; DGKC audited model row 31; Input Review gives exact source</t>
  </si>
  <si>
    <t>T0239</t>
  </si>
  <si>
    <t>T0240</t>
  </si>
  <si>
    <t>T0241</t>
  </si>
  <si>
    <t>T0242</t>
  </si>
  <si>
    <t>Mathematical/day-count diagnostic constant; dg khan\DGAnnual2025.pdf, PDF p233; dg khan\DGAnnual2025.pdf, PDF p233; dg khan\DGAnnual2025.pdf, PDF p235</t>
  </si>
  <si>
    <t>T0243</t>
  </si>
  <si>
    <t>Mathematical/day-count diagnostic constant; FY2025_Q1.pdf, PDF p13; FY2025_Q2.pdf, PDF p13; FY2025_Q3.pdf, PDF p13; DGKC audited model row 50; Input Review gives exact source; Mathematical/day-count diagnostic constant; DGKC audited model row 85; Input Review gives exact source; Mathematical/day-count diagnostic constant</t>
  </si>
  <si>
    <t>T0244</t>
  </si>
  <si>
    <t>Mathematical/day-count diagnostic constant; FY2025_Q1.pdf, PDF p13; FY2025_Q2.pdf, PDF p13; FY2025_Q3.pdf, PDF p13; DGKC audited model row 50; Input Review gives exact source; Mathematical/day-count diagnostic constant; DGKC audited model row 50; Input Review gives exact source; Mathematical/day-count diagnostic constant; Mathematical/day-count diagnostic constant; DGKC audited model row 85; Input Review gives exact source; Mathematical/day-count diagnostic constant</t>
  </si>
  <si>
    <t>T0245</t>
  </si>
  <si>
    <t>T0246</t>
  </si>
  <si>
    <t>365 x average stock-in-trade / original COGS</t>
  </si>
  <si>
    <t>Mathematical/day-count diagnostic constant; MLCF audited model row 31; Input Review gives exact source; MLCF audited model row 31; Input Review gives exact source; MLCF audited model row 85; Input Review gives exact source; Mathematical/day-count diagnostic constant</t>
  </si>
  <si>
    <t>T0247</t>
  </si>
  <si>
    <t>365 x average stock-in-trade / freight-recast COGS</t>
  </si>
  <si>
    <t>Mathematical/day-count diagnostic constant; MLCF audited model row 31; Input Review gives exact source; MLCF audited model row 31; Input Review gives exact source; MLCF audited model row 85; Input Review gives exact source; Mathematical/day-count diagnostic constant; maple\2022.pdf, PDF p239</t>
  </si>
  <si>
    <t>T0248</t>
  </si>
  <si>
    <t>T0249</t>
  </si>
  <si>
    <t>T0250</t>
  </si>
  <si>
    <t>T0251</t>
  </si>
  <si>
    <t>T0252</t>
  </si>
  <si>
    <t>T0253</t>
  </si>
  <si>
    <t>T0254</t>
  </si>
  <si>
    <t>T0255</t>
  </si>
  <si>
    <t>T0256</t>
  </si>
  <si>
    <t>T0257</t>
  </si>
  <si>
    <t>T0258</t>
  </si>
  <si>
    <t>Mathematical/day-count diagnostic constant; MLCF audited model row 32; Input Review gives exact source; MLCF audited model row 32; Input Review gives exact source; MLCF audited model row 84; Input Review gives exact source</t>
  </si>
  <si>
    <t>T0259</t>
  </si>
  <si>
    <t>T0260</t>
  </si>
  <si>
    <t>T0261</t>
  </si>
  <si>
    <t>Mathematical/day-count diagnostic constant; MLCF audited model row 32; Input Review gives exact source; MLCF audited model row 84; Input Review gives exact source</t>
  </si>
  <si>
    <t>T0262</t>
  </si>
  <si>
    <t>T0263</t>
  </si>
  <si>
    <t>T0264</t>
  </si>
  <si>
    <t>T0265</t>
  </si>
  <si>
    <t>T0266</t>
  </si>
  <si>
    <t>T0267</t>
  </si>
  <si>
    <t>Mathematical/day-count diagnostic constant; MLCF audited model row 84; Input Review gives exact source; MLCF audited model row 32; Input Review gives exact source; MLCF audited model row 32; Input Review gives exact source</t>
  </si>
  <si>
    <t>T0268</t>
  </si>
  <si>
    <t>T0269</t>
  </si>
  <si>
    <t>365 x company-scope average suppliers / original COGS</t>
  </si>
  <si>
    <t>Mathematical/day-count diagnostic constant; Identified related power supplier excluded only for company reconstruction; Identified related power supplier excluded only for company reconstruction; MLCF audited model row 85; Input Review gives exact source; Mathematical/day-count diagnostic constant</t>
  </si>
  <si>
    <t>T0270</t>
  </si>
  <si>
    <t>Mathematical/day-count diagnostic constant; Identified related power supplier excluded only for company reconstruction; Identified related power supplier excluded only for company reconstruction; MLCF audited model row 85; Input Review gives exact source; Mathematical/day-count diagnostic constant; maple\2022.pdf, PDF p239</t>
  </si>
  <si>
    <t>T0271</t>
  </si>
  <si>
    <t>366-day payable sensitivity</t>
  </si>
  <si>
    <t>T0272</t>
  </si>
  <si>
    <t>T0273</t>
  </si>
  <si>
    <t>T0274</t>
  </si>
  <si>
    <t>T0275</t>
  </si>
  <si>
    <t>T0276</t>
  </si>
  <si>
    <t>T0277</t>
  </si>
  <si>
    <t>FCCL audited model row 108; Input Review gives exact source; fauji\FCCL-Annual-Report-2025.pdf, PDF p283</t>
  </si>
  <si>
    <t>T0278</t>
  </si>
  <si>
    <t>PBT plus all finance cost / all expensed interest</t>
  </si>
  <si>
    <t>FCCL audited model row 108; Input Review gives exact source; FCCL audited model row 106; Input Review gives exact source</t>
  </si>
  <si>
    <t>T0279</t>
  </si>
  <si>
    <t>PBT plus all finance cost / total finance cost</t>
  </si>
  <si>
    <t>FCCL audited model row 108; Input Review gives exact source; FCCL audited model row 95; Input Review gives exact source; Mathematical/day-count diagnostic constant</t>
  </si>
  <si>
    <t>T0280</t>
  </si>
  <si>
    <t>PBT plus all finance cost / net finance cost</t>
  </si>
  <si>
    <t>FCCL audited model row 108; Input Review gives exact source; FCCL audited model row 95; Input Review gives exact source; Mathematical/day-count diagnostic constant; FCCL audited model row 93; Input Review gives exact source</t>
  </si>
  <si>
    <t>T0281</t>
  </si>
  <si>
    <t>Reported operating EBIT before finance income / bank interest only</t>
  </si>
  <si>
    <t>FCCL audited model row 108; Input Review gives exact source; FCCL audited model row 93; Input Review gives exact source; fauji\FCCL-Annual-Report-2025.pdf, PDF p283</t>
  </si>
  <si>
    <t>T0282</t>
  </si>
  <si>
    <t>Reported operating EBIT before finance income / all expensed interest</t>
  </si>
  <si>
    <t>FCCL audited model row 108; Input Review gives exact source; FCCL audited model row 93; Input Review gives exact source; FCCL audited model row 106; Input Review gives exact source</t>
  </si>
  <si>
    <t>T0283</t>
  </si>
  <si>
    <t>Reported operating EBIT before finance income / total finance cost</t>
  </si>
  <si>
    <t>FCCL audited model row 108; Input Review gives exact source; FCCL audited model row 93; Input Review gives exact source; FCCL audited model row 95; Input Review gives exact source; Mathematical/day-count diagnostic constant</t>
  </si>
  <si>
    <t>T0284</t>
  </si>
  <si>
    <t>Reported operating EBIT before finance income / net finance cost</t>
  </si>
  <si>
    <t>FCCL audited model row 108; Input Review gives exact source; FCCL audited model row 93; Input Review gives exact source; FCCL audited model row 95; Input Review gives exact source; Mathematical/day-count diagnostic constant; FCCL audited model row 93; Input Review gives exact source</t>
  </si>
  <si>
    <t>T0285</t>
  </si>
  <si>
    <t>Core operating profit / bank interest only</t>
  </si>
  <si>
    <t>FCCL audited model row 91; Input Review gives exact source; fauji\FCCL-Annual-Report-2025.pdf, PDF p283</t>
  </si>
  <si>
    <t>T0286</t>
  </si>
  <si>
    <t>Core operating profit / all expensed interest</t>
  </si>
  <si>
    <t>FCCL audited model row 91; Input Review gives exact source; FCCL audited model row 106; Input Review gives exact source</t>
  </si>
  <si>
    <t>T0287</t>
  </si>
  <si>
    <t>Core operating profit / total finance cost</t>
  </si>
  <si>
    <t>FCCL audited model row 91; Input Review gives exact source; FCCL audited model row 95; Input Review gives exact source; Mathematical/day-count diagnostic constant</t>
  </si>
  <si>
    <t>T0288</t>
  </si>
  <si>
    <t>Core operating profit / net finance cost</t>
  </si>
  <si>
    <t>FCCL audited model row 91; Input Review gives exact source; FCCL audited model row 95; Input Review gives exact source; Mathematical/day-count diagnostic constant; FCCL audited model row 93; Input Review gives exact source</t>
  </si>
  <si>
    <t>T0289</t>
  </si>
  <si>
    <t>EBITDA / bank interest only</t>
  </si>
  <si>
    <t>FCCL audited model row 108; Input Review gives exact source; FCCL audited model row 107; Input Review gives exact source; fauji\FCCL-Annual-Report-2025.pdf, PDF p283</t>
  </si>
  <si>
    <t>T0290</t>
  </si>
  <si>
    <t>EBITDA / all expensed interest</t>
  </si>
  <si>
    <t>FCCL audited model row 108; Input Review gives exact source; FCCL audited model row 107; Input Review gives exact source; FCCL audited model row 106; Input Review gives exact source</t>
  </si>
  <si>
    <t>T0291</t>
  </si>
  <si>
    <t>EBITDA / total finance cost</t>
  </si>
  <si>
    <t>FCCL audited model row 108; Input Review gives exact source; FCCL audited model row 107; Input Review gives exact source; FCCL audited model row 95; Input Review gives exact source; Mathematical/day-count diagnostic constant</t>
  </si>
  <si>
    <t>T0292</t>
  </si>
  <si>
    <t>EBITDA / net finance cost</t>
  </si>
  <si>
    <t>FCCL audited model row 108; Input Review gives exact source; FCCL audited model row 107; Input Review gives exact source; FCCL audited model row 95; Input Review gives exact source; Mathematical/day-count diagnostic constant; FCCL audited model row 93; Input Review gives exact source</t>
  </si>
  <si>
    <t>T0293</t>
  </si>
  <si>
    <t>PBT plus bank interest / bank interest only</t>
  </si>
  <si>
    <t>FCCL audited model row 96; Input Review gives exact source; fauji\FCCL-Annual-Report-2025.pdf, PDF p283; fauji\FCCL-Annual-Report-2025.pdf, PDF p283</t>
  </si>
  <si>
    <t>T0294</t>
  </si>
  <si>
    <t>PBT plus bank interest / all expensed interest</t>
  </si>
  <si>
    <t>FCCL audited model row 96; Input Review gives exact source; fauji\FCCL-Annual-Report-2025.pdf, PDF p283; FCCL audited model row 106; Input Review gives exact source</t>
  </si>
  <si>
    <t>T0295</t>
  </si>
  <si>
    <t>PBT plus bank interest / total finance cost</t>
  </si>
  <si>
    <t>FCCL audited model row 96; Input Review gives exact source; fauji\FCCL-Annual-Report-2025.pdf, PDF p283; FCCL audited model row 95; Input Review gives exact source; Mathematical/day-count diagnostic constant</t>
  </si>
  <si>
    <t>T0296</t>
  </si>
  <si>
    <t>PBT plus bank interest / net finance cost</t>
  </si>
  <si>
    <t>FCCL audited model row 96; Input Review gives exact source; fauji\FCCL-Annual-Report-2025.pdf, PDF p283; FCCL audited model row 95; Input Review gives exact source; Mathematical/day-count diagnostic constant; FCCL audited model row 93; Input Review gives exact source</t>
  </si>
  <si>
    <t>T0297</t>
  </si>
  <si>
    <t>T0298</t>
  </si>
  <si>
    <t>Year-end PSX price / printed historical EPS</t>
  </si>
  <si>
    <t>FCCL audited model row 130; Input Review gives exact source; FCCL latest annual-report historical EPS</t>
  </si>
  <si>
    <t>T0299</t>
  </si>
  <si>
    <t>FCCL audited model row 130; Input Review gives exact source; FCCL audited model row 99; Input Review gives exact source; fauji\FCCL-Annual-Report-2022.pdf, PDF p230</t>
  </si>
  <si>
    <t>T0300</t>
  </si>
  <si>
    <t>Year-end PSX price / closing-share EPS</t>
  </si>
  <si>
    <t>FCCL audited model row 130; Input Review gives exact source; FCCL audited model row 99; Input Review gives exact source; FCCL audited model row 128; Input Review gives exact source</t>
  </si>
  <si>
    <t>T0301</t>
  </si>
  <si>
    <t>Year-end PSX price / before-tax earnings per share</t>
  </si>
  <si>
    <t>FCCL audited model row 130; Input Review gives exact source; FCCL audited model row 96; Input Review gives exact source; fauji\FCCL-Annual-Report-2022.pdf, PDF p230</t>
  </si>
  <si>
    <t>T0302</t>
  </si>
  <si>
    <t>Year-end PSX price / cash EPS including depreciation</t>
  </si>
  <si>
    <t>FCCL audited model row 130; Input Review gives exact source; FCCL audited model row 99; Input Review gives exact source; FCCL audited model row 107; Input Review gives exact source; fauji\FCCL-Annual-Report-2022.pdf, PDF p230</t>
  </si>
  <si>
    <t>T0303</t>
  </si>
  <si>
    <t>Official PSX year_end_close / unrounded report EPS</t>
  </si>
  <si>
    <t>Official PSX full fiscal-year observations; Forensic Prices; FCCL audited model row 99; Input Review gives exact source; fauji\FCCL-Annual-Report-2022.pdf, PDF p230</t>
  </si>
  <si>
    <t>T0304</t>
  </si>
  <si>
    <t>Official PSX daily_close_mean / unrounded report EPS</t>
  </si>
  <si>
    <t>T0305</t>
  </si>
  <si>
    <t>Official PSX daily_close_median / unrounded report EPS</t>
  </si>
  <si>
    <t>T0306</t>
  </si>
  <si>
    <t>Official PSX volume_weighted_daily_close / unrounded report EPS</t>
  </si>
  <si>
    <t>T0307</t>
  </si>
  <si>
    <t>Official PSX month_end_close_mean / unrounded report EPS</t>
  </si>
  <si>
    <t>T0308</t>
  </si>
  <si>
    <t>Official PSX monthly_mean_close_equal_weight / unrounded report EPS</t>
  </si>
  <si>
    <t>T0309</t>
  </si>
  <si>
    <t>Official PSX daily_open_mean / unrounded report EPS</t>
  </si>
  <si>
    <t>T0310</t>
  </si>
  <si>
    <t>Official PSX daily_high_mean / unrounded report EPS</t>
  </si>
  <si>
    <t>T0311</t>
  </si>
  <si>
    <t>Official PSX daily_low_mean / unrounded report EPS</t>
  </si>
  <si>
    <t>T0312</t>
  </si>
  <si>
    <t>Official PSX extreme_high_low_midpoint / unrounded report EPS</t>
  </si>
  <si>
    <t>T0313</t>
  </si>
  <si>
    <t>Official PSX Q1_mean_close / unrounded report EPS</t>
  </si>
  <si>
    <t>T0314</t>
  </si>
  <si>
    <t>Official PSX Q2_mean_close / unrounded report EPS</t>
  </si>
  <si>
    <t>T0315</t>
  </si>
  <si>
    <t>Official PSX Q3_mean_close / unrounded report EPS</t>
  </si>
  <si>
    <t>T0316</t>
  </si>
  <si>
    <t>Official PSX Q4_mean_close / unrounded report EPS</t>
  </si>
  <si>
    <t>T0317</t>
  </si>
  <si>
    <t>T0318</t>
  </si>
  <si>
    <t>T0319</t>
  </si>
  <si>
    <t>FCCL audited model row 130; Input Review gives exact source; FCCL audited model row 99; Input Review gives exact source; fauji\FCCL-Annual-Report-2023.pdf, PDF p251</t>
  </si>
  <si>
    <t>T0320</t>
  </si>
  <si>
    <t>T0321</t>
  </si>
  <si>
    <t>FCCL audited model row 130; Input Review gives exact source; FCCL audited model row 96; Input Review gives exact source; fauji\FCCL-Annual-Report-2023.pdf, PDF p251</t>
  </si>
  <si>
    <t>T0322</t>
  </si>
  <si>
    <t>FCCL audited model row 130; Input Review gives exact source; FCCL audited model row 99; Input Review gives exact source; FCCL audited model row 107; Input Review gives exact source; fauji\FCCL-Annual-Report-2023.pdf, PDF p251</t>
  </si>
  <si>
    <t>T0323</t>
  </si>
  <si>
    <t>Official PSX full fiscal-year observations; Forensic Prices; FCCL audited model row 99; Input Review gives exact source; fauji\FCCL-Annual-Report-2023.pdf, PDF p251</t>
  </si>
  <si>
    <t>T0324</t>
  </si>
  <si>
    <t>T0325</t>
  </si>
  <si>
    <t>T0326</t>
  </si>
  <si>
    <t>T0327</t>
  </si>
  <si>
    <t>T0328</t>
  </si>
  <si>
    <t>T0329</t>
  </si>
  <si>
    <t>T0330</t>
  </si>
  <si>
    <t>T0331</t>
  </si>
  <si>
    <t>T0332</t>
  </si>
  <si>
    <t>T0333</t>
  </si>
  <si>
    <t>T0334</t>
  </si>
  <si>
    <t>T0335</t>
  </si>
  <si>
    <t>T0336</t>
  </si>
  <si>
    <t>T0337</t>
  </si>
  <si>
    <t>T0338</t>
  </si>
  <si>
    <t>T0339</t>
  </si>
  <si>
    <t>T0340</t>
  </si>
  <si>
    <t>T0341</t>
  </si>
  <si>
    <t>T0342</t>
  </si>
  <si>
    <t>T0343</t>
  </si>
  <si>
    <t>FY2023 raw price averages span a bonus issue. No assumed ex-bonus cutoff is used. This diagnostic is not an adjusted annual price or a model input.</t>
  </si>
  <si>
    <t>T0344</t>
  </si>
  <si>
    <t>T0345</t>
  </si>
  <si>
    <t>T0346</t>
  </si>
  <si>
    <t>T0347</t>
  </si>
  <si>
    <t>T0348</t>
  </si>
  <si>
    <t>T0349</t>
  </si>
  <si>
    <t>T0350</t>
  </si>
  <si>
    <t>T0351</t>
  </si>
  <si>
    <t>T0352</t>
  </si>
  <si>
    <t>T0353</t>
  </si>
  <si>
    <t>T0354</t>
  </si>
  <si>
    <t>T0355</t>
  </si>
  <si>
    <t>T0356</t>
  </si>
  <si>
    <t>T0357</t>
  </si>
  <si>
    <t>T0358</t>
  </si>
  <si>
    <t>T0359</t>
  </si>
  <si>
    <t>FCCL audited model row 130; Input Review gives exact source; FCCL audited model row 99; Input Review gives exact source; fauji\FCCL-Annual-Report-2025.pdf, PDF p285</t>
  </si>
  <si>
    <t>T0360</t>
  </si>
  <si>
    <t>T0361</t>
  </si>
  <si>
    <t>FCCL audited model row 130; Input Review gives exact source; FCCL audited model row 96; Input Review gives exact source; fauji\FCCL-Annual-Report-2025.pdf, PDF p285</t>
  </si>
  <si>
    <t>T0362</t>
  </si>
  <si>
    <t>FCCL audited model row 130; Input Review gives exact source; FCCL audited model row 99; Input Review gives exact source; FCCL audited model row 107; Input Review gives exact source; fauji\FCCL-Annual-Report-2025.pdf, PDF p285</t>
  </si>
  <si>
    <t>T0363</t>
  </si>
  <si>
    <t>Official PSX full fiscal-year observations; Forensic Prices; FCCL audited model row 99; Input Review gives exact source; fauji\FCCL-Annual-Report-2025.pdf, PDF p285</t>
  </si>
  <si>
    <t>T0364</t>
  </si>
  <si>
    <t>T0365</t>
  </si>
  <si>
    <t>T0366</t>
  </si>
  <si>
    <t>T0367</t>
  </si>
  <si>
    <t>T0368</t>
  </si>
  <si>
    <t>T0369</t>
  </si>
  <si>
    <t>T0370</t>
  </si>
  <si>
    <t>T0371</t>
  </si>
  <si>
    <t>T0372</t>
  </si>
  <si>
    <t>T0373</t>
  </si>
  <si>
    <t>T0374</t>
  </si>
  <si>
    <t>T0375</t>
  </si>
  <si>
    <t>T0376</t>
  </si>
  <si>
    <t>T0377</t>
  </si>
  <si>
    <t>T0378</t>
  </si>
  <si>
    <t>T0379</t>
  </si>
  <si>
    <t>T0380</t>
  </si>
  <si>
    <t>T0381</t>
  </si>
  <si>
    <t>T0382</t>
  </si>
  <si>
    <t>T0383</t>
  </si>
  <si>
    <t>T0384</t>
  </si>
  <si>
    <t>T0385</t>
  </si>
  <si>
    <t>T0386</t>
  </si>
  <si>
    <t>T0387</t>
  </si>
  <si>
    <t>T0388</t>
  </si>
  <si>
    <t>T0389</t>
  </si>
  <si>
    <t>T0390</t>
  </si>
  <si>
    <t>T0391</t>
  </si>
  <si>
    <t>T0392</t>
  </si>
  <si>
    <t>T0393</t>
  </si>
  <si>
    <t>T0394</t>
  </si>
  <si>
    <t>T0395</t>
  </si>
  <si>
    <t>T0396</t>
  </si>
  <si>
    <t>T0397</t>
  </si>
  <si>
    <t>T0398</t>
  </si>
  <si>
    <t>KOHC audited model row 99; Input Review gives exact source; KOHC audited model row 129; Input Review gives exact source; Mathematical/day-count diagnostic constant</t>
  </si>
  <si>
    <t>T0399</t>
  </si>
  <si>
    <t>KOHC audited model row 99; Input Review gives exact source; KOHC audited model row 128; Input Review gives exact source; Mathematical/day-count diagnostic constant</t>
  </si>
  <si>
    <t>T0400</t>
  </si>
  <si>
    <t>KOHC audited model row 99; Input Review gives exact source; kohat\Kohat_Cement_Annual_Report_2025.pdf, PDF p109</t>
  </si>
  <si>
    <t>T0401</t>
  </si>
  <si>
    <t>FY2025 note 33.1.1 detailed comparative split shares</t>
  </si>
  <si>
    <t>T0402</t>
  </si>
  <si>
    <t>T0403</t>
  </si>
  <si>
    <t>LUCK audited model row 99; Input Review gives exact source; LUCK audited model row 41; Input Review gives exact source</t>
  </si>
  <si>
    <t>T0404</t>
  </si>
  <si>
    <t>LUCK audited model row 99; Input Review gives exact source; LUCK audited model row 41; Input Review gives exact source; LUCK audited model row 41; Input Review gives exact source</t>
  </si>
  <si>
    <t>T0405</t>
  </si>
  <si>
    <t>lucky\2022.pdf, PDF p228; LUCK audited model row 41; Input Review gives exact source</t>
  </si>
  <si>
    <t>T0406</t>
  </si>
  <si>
    <t>Total comprehensive income / average equity</t>
  </si>
  <si>
    <t>lucky\2022.pdf, PDF p228; LUCK audited model row 41; Input Review gives exact source; LUCK audited model row 41; Input Review gives exact source</t>
  </si>
  <si>
    <t>T0407</t>
  </si>
  <si>
    <t>PAT / closing reserves excluding share capital</t>
  </si>
  <si>
    <t>LUCK audited model row 99; Input Review gives exact source; LUCK audited model row 40; Input Review gives exact source</t>
  </si>
  <si>
    <t>T0408</t>
  </si>
  <si>
    <t>T0409</t>
  </si>
  <si>
    <t>T0410</t>
  </si>
  <si>
    <t>T0411</t>
  </si>
  <si>
    <t>T0412</t>
  </si>
  <si>
    <t>T0413</t>
  </si>
  <si>
    <t>T0414</t>
  </si>
  <si>
    <t>T0415</t>
  </si>
  <si>
    <t>T0416</t>
  </si>
  <si>
    <t>T0417</t>
  </si>
  <si>
    <t>lucky\2023.pdf, PDF p236; LUCK audited model row 41; Input Review gives exact source</t>
  </si>
  <si>
    <t>T0418</t>
  </si>
  <si>
    <t>lucky\2023.pdf, PDF p236; LUCK audited model row 41; Input Review gives exact source; LUCK audited model row 41; Input Review gives exact source</t>
  </si>
  <si>
    <t>T0419</t>
  </si>
  <si>
    <t>T0420</t>
  </si>
  <si>
    <t>T0421</t>
  </si>
  <si>
    <t>T0422</t>
  </si>
  <si>
    <t>T0423</t>
  </si>
  <si>
    <t>lucky\2025.pdf, PDF p244; LUCK audited model row 41; Input Review gives exact source</t>
  </si>
  <si>
    <t>T0424</t>
  </si>
  <si>
    <t>lucky\2025.pdf, PDF p244; LUCK audited model row 41; Input Review gives exact source; LUCK audited model row 41; Input Review gives exact source</t>
  </si>
  <si>
    <t>T0425</t>
  </si>
  <si>
    <t>T0426</t>
  </si>
  <si>
    <t>T0427</t>
  </si>
  <si>
    <t>T0428</t>
  </si>
  <si>
    <t>T0429</t>
  </si>
  <si>
    <t>T0430</t>
  </si>
  <si>
    <t>T0431</t>
  </si>
  <si>
    <t>T0432</t>
  </si>
  <si>
    <t>T0433</t>
  </si>
  <si>
    <t>DPS / unrounded audited weighted EPS</t>
  </si>
  <si>
    <t>LUCK audited model row 131; Input Review gives exact source; LUCK audited model row 99; Input Review gives exact source; LUCK audited model row 129; Input Review gives exact source</t>
  </si>
  <si>
    <t>T0434</t>
  </si>
  <si>
    <t>DPS / rounded audited weighted EPS</t>
  </si>
  <si>
    <t>T0435</t>
  </si>
  <si>
    <t>LUCK audited model row 131; Input Review gives exact source; LUCK audited model row 99; Input Review gives exact source; LUCK audited model row 39; Input Review gives exact source; LUCK audited model row 127; Input Review gives exact source</t>
  </si>
  <si>
    <t>T0436</t>
  </si>
  <si>
    <t>Split-adjusted dividend / printed historical EPS</t>
  </si>
  <si>
    <t>LUCK audited model row 131; Input Review gives exact source; Mathematical/day-count diagnostic constant; Mathematical/day-count diagnostic constant</t>
  </si>
  <si>
    <t>T0437</t>
  </si>
  <si>
    <t>ROUNDUP of payout based on opening capital</t>
  </si>
  <si>
    <t>LUCK audited model row 131; Input Review gives exact source; LUCK audited model row 99; Input Review gives exact source; LUCK audited model row 39; Input Review gives exact source; LUCK audited model row 127; Input Review gives exact source; Mathematical/day-count diagnostic constant</t>
  </si>
  <si>
    <t>Unsupported rounding convention; numeric fit alone is not confirmation.</t>
  </si>
  <si>
    <t>T0438</t>
  </si>
  <si>
    <t>T0439</t>
  </si>
  <si>
    <t>T0440</t>
  </si>
  <si>
    <t>T0441</t>
  </si>
  <si>
    <t>T0442</t>
  </si>
  <si>
    <t>DGKC audited model row 34; Input Review gives exact source; DGKC audited model row 33; Input Review gives exact source; DGKC audited model row 61; Input Review gives exact source</t>
  </si>
  <si>
    <t>T0443</t>
  </si>
  <si>
    <t>Cash plus all short-term investments / average liabilities</t>
  </si>
  <si>
    <t>DGKC audited model row 34; Input Review gives exact source; DGKC audited model row 33; Input Review gives exact source; DGKC audited model row 61; Input Review gives exact source; DGKC audited model row 61; Input Review gives exact source</t>
  </si>
  <si>
    <t>T0444</t>
  </si>
  <si>
    <t>Average cash and investments / closing liabilities</t>
  </si>
  <si>
    <t>DGKC audited model row 34; Input Review gives exact source; DGKC audited model row 33; Input Review gives exact source; DGKC audited model row 34; Input Review gives exact source; DGKC audited model row 33; Input Review gives exact source; DGKC audited model row 61; Input Review gives exact source</t>
  </si>
  <si>
    <t>T0445</t>
  </si>
  <si>
    <t>Short-term investments only / closing liabilities</t>
  </si>
  <si>
    <t>DGKC audited model row 33; Input Review gives exact source; DGKC audited model row 61; Input Review gives exact source</t>
  </si>
  <si>
    <t>T0446</t>
  </si>
  <si>
    <t>T0447</t>
  </si>
  <si>
    <t>Closing inventory + closing receivable days minus published payable days</t>
  </si>
  <si>
    <t>Mathematical/day-count diagnostic constant; DGKC audited model row 65; Input Review gives exact source; DGKC audited model row 85; Input Review gives exact source; Mathematical/day-count diagnostic constant; Mathematical/day-count diagnostic constant; DGKC audited model row 32; Input Review gives exact source; DGKC audited model row 84; Input Review gives exact source; Mathematical/day-count diagnostic constant; Mathematical/day-count diagnostic constant</t>
  </si>
  <si>
    <t>T0448</t>
  </si>
  <si>
    <t>Mathematical/day-count diagnostic constant; Mathematical/day-count diagnostic constant</t>
  </si>
  <si>
    <t>Component arithmetic only; does not independently verify DPO inputs.</t>
  </si>
  <si>
    <t>T0449</t>
  </si>
  <si>
    <t>T0450</t>
  </si>
  <si>
    <t>T0451</t>
  </si>
  <si>
    <t>T0452</t>
  </si>
  <si>
    <t>T0453</t>
  </si>
  <si>
    <t>T0454</t>
  </si>
  <si>
    <t>T0455</t>
  </si>
  <si>
    <t>T0456</t>
  </si>
  <si>
    <t>T0457</t>
  </si>
  <si>
    <t>T0458</t>
  </si>
  <si>
    <t>T0459</t>
  </si>
  <si>
    <t>Original audited COGS / average stock-in-trade</t>
  </si>
  <si>
    <t>MLCF audited model row 85; Input Review gives exact source; Mathematical/day-count diagnostic constant; MLCF audited model row 31; Input Review gives exact source; MLCF audited model row 31; Input Review gives exact source</t>
  </si>
  <si>
    <t>T0460</t>
  </si>
  <si>
    <t>MLCF audited model row 85; Input Review gives exact source; Mathematical/day-count diagnostic constant; maple\2022.pdf, PDF p239; MLCF audited model row 31; Input Review gives exact source; MLCF audited model row 31; Input Review gives exact source</t>
  </si>
  <si>
    <t>T0461</t>
  </si>
  <si>
    <t>Freight-recast COGS / closing stock-in-trade</t>
  </si>
  <si>
    <t>MLCF audited model row 85; Input Review gives exact source; Mathematical/day-count diagnostic constant; maple\2022.pdf, PDF p239; MLCF audited model row 31; Input Review gives exact source</t>
  </si>
  <si>
    <t>T0462</t>
  </si>
  <si>
    <t>T0463</t>
  </si>
  <si>
    <t>T0464</t>
  </si>
  <si>
    <t>T0465</t>
  </si>
  <si>
    <t>T0466</t>
  </si>
  <si>
    <t>T0467</t>
  </si>
  <si>
    <t>Original audited COGS / company-scope average suppliers</t>
  </si>
  <si>
    <t>MLCF audited model row 85; Input Review gives exact source; Mathematical/day-count diagnostic constant; Identified related power supplier excluded only for company reconstruction; Identified related power supplier excluded only for company reconstruction</t>
  </si>
  <si>
    <t>T0468</t>
  </si>
  <si>
    <t>MLCF audited model row 85; Input Review gives exact source; Mathematical/day-count diagnostic constant; maple\2022.pdf, PDF p239; Identified related power supplier excluded only for company reconstruction; Identified related power supplier excluded only for company reconstruction</t>
  </si>
  <si>
    <t>T0469</t>
  </si>
  <si>
    <t>T0470</t>
  </si>
  <si>
    <t>T0471</t>
  </si>
  <si>
    <t>T0472</t>
  </si>
  <si>
    <t>T0473</t>
  </si>
  <si>
    <t>Mathematical/day-count diagnostic constant; MLCF audited model row 31; Input Review gives exact source; MLCF audited model row 31; Input Review gives exact source; MLCF audited model row 85; Input Review gives exact source; Mathematical/day-count diagnostic constant; maple\2022.pdf, PDF p239; Mathematical/day-count diagnostic constant; MLCF audited model row 32; Input Review gives exact source; MLCF audited model row 32; Input Review gives exact source; MLCF audited model row 84; Input Review gives exact source; Mathematical/day-count diagnostic constant; Identified related power supplier excluded only for company reconstruction; Identified related power supplier excluded only for company reconstruction; MLCF audited model row 85; Input Review gives exact source; Mathematical/day-count diagnostic constant; maple\2022.pdf, PDF p239; Mathematical/day-count diagnostic constant</t>
  </si>
  <si>
    <t>T0474</t>
  </si>
  <si>
    <t>Same company inputs but 365 for all components</t>
  </si>
  <si>
    <t>T0475</t>
  </si>
  <si>
    <t>Rounded company components before summation</t>
  </si>
  <si>
    <t>T0476</t>
  </si>
  <si>
    <t>T0477</t>
  </si>
  <si>
    <t>T0478</t>
  </si>
  <si>
    <t>T0479</t>
  </si>
  <si>
    <t>T0480</t>
  </si>
  <si>
    <t>T0481</t>
  </si>
  <si>
    <t>Mathematical/day-count diagnostic constant; MLCF audited model row 31; Input Review gives exact source; MLCF audited model row 31; Input Review gives exact source; MLCF audited model row 85; Input Review gives exact source; Mathematical/day-count diagnostic constant; Mathematical/day-count diagnostic constant; MLCF audited model row 32; Input Review gives exact source; MLCF audited model row 32; Input Review gives exact source; MLCF audited model row 84; Input Review gives exact source; Mathematical/day-count diagnostic constant; Identified related power supplier excluded only for company reconstruction; Identified related power supplier excluded only for company reconstruction; MLCF audited model row 85; Input Review gives exact source; Mathematical/day-count diagnostic constant; Mathematical/day-count diagnostic constant</t>
  </si>
  <si>
    <t>T0482</t>
  </si>
  <si>
    <t>T0483</t>
  </si>
  <si>
    <t>T0484</t>
  </si>
  <si>
    <t>T0485</t>
  </si>
  <si>
    <t>MLCF audited model row 84; Input Review gives exact source; MLCF audited model row 85; Input Review gives exact source; Mathematical/day-count diagnostic constant; maple\2022.pdf, PDF p239; MLCF audited model row 84; Input Review gives exact source</t>
  </si>
  <si>
    <t>T0486</t>
  </si>
  <si>
    <t>T0487</t>
  </si>
  <si>
    <t>T0488</t>
  </si>
  <si>
    <t>T0489</t>
  </si>
  <si>
    <t>MLCF audited model row 41; Input Review gives exact source; MLCF audited model row 129; Input Review gives exact source</t>
  </si>
  <si>
    <t>T0490</t>
  </si>
  <si>
    <t>Equity / issued shares before treasury deduction</t>
  </si>
  <si>
    <t>MLCF audited model row 41; Input Review gives exact source; MLCF audited model row 39; Input Review gives exact source; MLCF audited model row 127; Input Review gives exact source</t>
  </si>
  <si>
    <t>T0491</t>
  </si>
  <si>
    <t>Equity excluding revaluation surplus / closing shares</t>
  </si>
  <si>
    <t>MLCF audited model row 41; Input Review gives exact source; maple\2025.pdf, PDF p179; MLCF audited model row 128; Input Review gives exact source</t>
  </si>
  <si>
    <t>FY2024 revaluation surplus: MLCF 2025 PDF p179.</t>
  </si>
  <si>
    <t>T0492</t>
  </si>
  <si>
    <t>T0493</t>
  </si>
  <si>
    <t>Mathematical/day-count diagnostic constant; FCCL audited model row 32; Input Review gives exact source; FCCL audited model row 32; Input Review gives exact source; FCCL audited model row 84; Input Review gives exact source</t>
  </si>
  <si>
    <t>T0494</t>
  </si>
  <si>
    <t>T0495</t>
  </si>
  <si>
    <t>T0496</t>
  </si>
  <si>
    <t>Mathematical/day-count diagnostic constant; FCCL audited model row 32; Input Review gives exact source; FCCL audited model row 84; Input Review gives exact source</t>
  </si>
  <si>
    <t>T0497</t>
  </si>
  <si>
    <t>T0498</t>
  </si>
  <si>
    <t>T0499</t>
  </si>
  <si>
    <t>T0500</t>
  </si>
  <si>
    <t>T0501</t>
  </si>
  <si>
    <t>T0502</t>
  </si>
  <si>
    <t>Mathematical/day-count diagnostic constant; FCCL audited model row 84; Input Review gives exact source; FCCL audited model row 32; Input Review gives exact source; FCCL audited model row 32; Input Review gives exact source</t>
  </si>
  <si>
    <t>T0503</t>
  </si>
  <si>
    <t>365 x average receivables / COGS</t>
  </si>
  <si>
    <t>Mathematical/day-count diagnostic constant; FCCL audited model row 32; Input Review gives exact source; FCCL audited model row 32; Input Review gives exact source; FCCL audited model row 85; Input Review gives exact source; Mathematical/day-count diagnostic constant</t>
  </si>
  <si>
    <t>T0504</t>
  </si>
  <si>
    <t>365 x average gross trade receivables / net sales</t>
  </si>
  <si>
    <t>Mathematical/day-count diagnostic constant; FCCL audited model row 32; Input Review gives exact source; fauji\FCCL-Annual-Report-2023.pdf, PDF p244; FCCL audited model row 32; Input Review gives exact source; fauji\FCCL-Annual-Report-2023.pdf, PDF p244; FCCL audited model row 84; Input Review gives exact source</t>
  </si>
  <si>
    <t>T0505</t>
  </si>
  <si>
    <t>Mathematical/day-count diagnostic constant; FCCL audited model row 32; Input Review gives exact source; fauji\FCCL-Annual-Report-2023.pdf, PDF p244; FCCL audited model row 84; Input Review gives exact source</t>
  </si>
  <si>
    <t>T0506</t>
  </si>
  <si>
    <t>Closing receivables / annualized fourth-quarter sales x365</t>
  </si>
  <si>
    <t>Mathematical/day-count diagnostic constant; FCCL audited model row 32; Input Review gives exact source; Mathematical/day-count diagnostic constant; fauji\FCCL-Annual-Report-2023.pdf, PDF p173</t>
  </si>
  <si>
    <t>FY2022 quarterly comparability is broken by inclusion of pre-merger Askari results.</t>
  </si>
  <si>
    <t>T0507</t>
  </si>
  <si>
    <t>Closing receivables / fourth-quarter sales x90</t>
  </si>
  <si>
    <t>Mathematical/day-count diagnostic constant; FCCL audited model row 32; Input Review gives exact source; fauji\FCCL-Annual-Report-2023.pdf, PDF p173</t>
  </si>
  <si>
    <t>T0508</t>
  </si>
  <si>
    <t>Opening receivables / fourth-quarter sales x90</t>
  </si>
  <si>
    <t>T0509</t>
  </si>
  <si>
    <t>T0510</t>
  </si>
  <si>
    <t>T0511</t>
  </si>
  <si>
    <t>T0512</t>
  </si>
  <si>
    <t>T0513</t>
  </si>
  <si>
    <t>T0514</t>
  </si>
  <si>
    <t>T0515</t>
  </si>
  <si>
    <t>T0516</t>
  </si>
  <si>
    <t>T0517</t>
  </si>
  <si>
    <t>T0518</t>
  </si>
  <si>
    <t>T0519</t>
  </si>
  <si>
    <t>T0520</t>
  </si>
  <si>
    <t>T0521</t>
  </si>
  <si>
    <t>Mathematical/day-count diagnostic constant; FCCL audited model row 32; Input Review gives exact source; fauji\FCCL-Annual-Report-2023.pdf, PDF p244; FCCL audited model row 32; Input Review gives exact source; fauji\FCCL-Annual-Report-2025.pdf, PDF p278; FCCL audited model row 84; Input Review gives exact source</t>
  </si>
  <si>
    <t>T0522</t>
  </si>
  <si>
    <t>Mathematical/day-count diagnostic constant; FCCL audited model row 32; Input Review gives exact source; fauji\FCCL-Annual-Report-2025.pdf, PDF p278; FCCL audited model row 84; Input Review gives exact source</t>
  </si>
  <si>
    <t>T0523</t>
  </si>
  <si>
    <t>Mathematical/day-count diagnostic constant; FCCL audited model row 32; Input Review gives exact source; Mathematical/day-count diagnostic constant; fauji\FCCL-Annual-Report-2024.pdf, PDF p154</t>
  </si>
  <si>
    <t>T0524</t>
  </si>
  <si>
    <t>Mathematical/day-count diagnostic constant; FCCL audited model row 32; Input Review gives exact source; fauji\FCCL-Annual-Report-2024.pdf, PDF p154</t>
  </si>
  <si>
    <t>T0525</t>
  </si>
  <si>
    <t>T0526</t>
  </si>
  <si>
    <t>T0527</t>
  </si>
  <si>
    <t>T0528</t>
  </si>
  <si>
    <t>T0529</t>
  </si>
  <si>
    <t>T0530</t>
  </si>
  <si>
    <t>T0531</t>
  </si>
  <si>
    <t>T0532</t>
  </si>
  <si>
    <t>T0533</t>
  </si>
  <si>
    <t>T0534</t>
  </si>
  <si>
    <t>T0535</t>
  </si>
  <si>
    <t>T0536</t>
  </si>
  <si>
    <t>T0537</t>
  </si>
  <si>
    <t>T0538</t>
  </si>
  <si>
    <t>Mathematical/day-count diagnostic constant; FCCL audited model row 32; Input Review gives exact source; fauji\FCCL-Annual-Report-2025.pdf, PDF p278; FCCL audited model row 32; Input Review gives exact source; fauji\FCCL-Annual-Report-2025.pdf, PDF p278; FCCL audited model row 84; Input Review gives exact source</t>
  </si>
  <si>
    <t>T0539</t>
  </si>
  <si>
    <t>T0540</t>
  </si>
  <si>
    <t>Mathematical/day-count diagnostic constant; FCCL audited model row 32; Input Review gives exact source; Mathematical/day-count diagnostic constant; fauji\FCCL-Annual-Report-2025.pdf, PDF p210</t>
  </si>
  <si>
    <t>T0541</t>
  </si>
  <si>
    <t>Mathematical/day-count diagnostic constant; FCCL audited model row 32; Input Review gives exact source; fauji\FCCL-Annual-Report-2025.pdf, PDF p210</t>
  </si>
  <si>
    <t>T0542</t>
  </si>
  <si>
    <t>T0543</t>
  </si>
  <si>
    <t>T0544</t>
  </si>
  <si>
    <t>Mathematical/day-count diagnostic constant; FCCL audited model row 51; Input Review gives exact source; FCCL audited model row 85; Input Review gives exact source; Mathematical/day-count diagnostic constant</t>
  </si>
  <si>
    <t>T0545</t>
  </si>
  <si>
    <t>Mathematical/day-count diagnostic constant; FCCL audited model row 51; Input Review gives exact source; FCCL audited model row 84; Input Review gives exact source</t>
  </si>
  <si>
    <t>T0546</t>
  </si>
  <si>
    <t>Mathematical/day-count diagnostic constant; FCCL audited model row 51; Input Review gives exact source; FCCL audited model row 85; Input Review gives exact source; Mathematical/day-count diagnostic constant; FCCL audited model row 65; Input Review gives exact source; FCCL audited model row 65; Input Review gives exact source</t>
  </si>
  <si>
    <t>T0547</t>
  </si>
  <si>
    <t>Mathematical/day-count diagnostic constant; FCCL audited model row 51; Input Review gives exact source; FCCL audited model row 85; Input Review gives exact source; Mathematical/day-count diagnostic constant; FCCL audited model row 31; Input Review gives exact source; FCCL audited model row 31; Input Review gives exact source</t>
  </si>
  <si>
    <t>T0548</t>
  </si>
  <si>
    <t>Mathematical/day-count diagnostic constant; FCCL audited model row 51; Input Review gives exact source; FCCL audited model row 51; Input Review gives exact source; FCCL audited model row 85; Input Review gives exact source; Mathematical/day-count diagnostic constant</t>
  </si>
  <si>
    <t>T0549</t>
  </si>
  <si>
    <t>Mathematical/day-count diagnostic constant; FCCL audited model row 51; Input Review gives exact source; FCCL audited model row 51; Input Review gives exact source; FCCL audited model row 84; Input Review gives exact source</t>
  </si>
  <si>
    <t>T0550</t>
  </si>
  <si>
    <t>Mathematical/day-count diagnostic constant; FCCL audited model row 51; Input Review gives exact source; FCCL audited model row 51; Input Review gives exact source; FCCL audited model row 85; Input Review gives exact source; Mathematical/day-count diagnostic constant; FCCL audited model row 65; Input Review gives exact source; FCCL audited model row 65; Input Review gives exact source</t>
  </si>
  <si>
    <t>T0551</t>
  </si>
  <si>
    <t>Mathematical/day-count diagnostic constant; FCCL audited model row 51; Input Review gives exact source; FCCL audited model row 51; Input Review gives exact source; FCCL audited model row 85; Input Review gives exact source; Mathematical/day-count diagnostic constant; FCCL audited model row 31; Input Review gives exact source; FCCL audited model row 31; Input Review gives exact source</t>
  </si>
  <si>
    <t>T0552</t>
  </si>
  <si>
    <t>Mathematical/day-count diagnostic constant; FCCL audited model row 50; Input Review gives exact source; FCCL audited model row 85; Input Review gives exact source; Mathematical/day-count diagnostic constant</t>
  </si>
  <si>
    <t>T0553</t>
  </si>
  <si>
    <t>Mathematical/day-count diagnostic constant; FCCL audited model row 50; Input Review gives exact source; FCCL audited model row 84; Input Review gives exact source</t>
  </si>
  <si>
    <t>T0554</t>
  </si>
  <si>
    <t>Mathematical/day-count diagnostic constant; FCCL audited model row 50; Input Review gives exact source; FCCL audited model row 85; Input Review gives exact source; Mathematical/day-count diagnostic constant; FCCL audited model row 65; Input Review gives exact source; FCCL audited model row 65; Input Review gives exact source</t>
  </si>
  <si>
    <t>T0555</t>
  </si>
  <si>
    <t>Mathematical/day-count diagnostic constant; FCCL audited model row 50; Input Review gives exact source; FCCL audited model row 85; Input Review gives exact source; Mathematical/day-count diagnostic constant; FCCL audited model row 31; Input Review gives exact source; FCCL audited model row 31; Input Review gives exact source</t>
  </si>
  <si>
    <t>T0556</t>
  </si>
  <si>
    <t>Mathematical/day-count diagnostic constant; FCCL audited model row 50; Input Review gives exact source; FCCL audited model row 50; Input Review gives exact source; FCCL audited model row 85; Input Review gives exact source; Mathematical/day-count diagnostic constant</t>
  </si>
  <si>
    <t>T0557</t>
  </si>
  <si>
    <t>Mathematical/day-count diagnostic constant; FCCL audited model row 50; Input Review gives exact source; FCCL audited model row 50; Input Review gives exact source; FCCL audited model row 84; Input Review gives exact source</t>
  </si>
  <si>
    <t>T0558</t>
  </si>
  <si>
    <t>Mathematical/day-count diagnostic constant; FCCL audited model row 50; Input Review gives exact source; FCCL audited model row 50; Input Review gives exact source; FCCL audited model row 85; Input Review gives exact source; Mathematical/day-count diagnostic constant; FCCL audited model row 65; Input Review gives exact source; FCCL audited model row 65; Input Review gives exact source</t>
  </si>
  <si>
    <t>T0559</t>
  </si>
  <si>
    <t>Mathematical/day-count diagnostic constant; FCCL audited model row 50; Input Review gives exact source; FCCL audited model row 50; Input Review gives exact source; FCCL audited model row 85; Input Review gives exact source; Mathematical/day-count diagnostic constant; FCCL audited model row 31; Input Review gives exact source; FCCL audited model row 31; Input Review gives exact source</t>
  </si>
  <si>
    <t>T0560</t>
  </si>
  <si>
    <t>Mathematical/day-count diagnostic constant; FCCL audited model row 61; Input Review gives exact source; FCCL audited model row 54; Input Review gives exact source; FCCL audited model row 55; Input Review gives exact source; FCCL audited model row 56; Input Review gives exact source; FCCL audited model row 61; Input Review gives exact source; FCCL audited model row 54; Input Review gives exact source; FCCL audited model row 55; Input Review gives exact source; FCCL audited model row 56; Input Review gives exact source; FCCL audited model row 85; Input Review gives exact source; Mathematical/day-count diagnostic constant</t>
  </si>
  <si>
    <t>T0561</t>
  </si>
  <si>
    <t>Mathematical/day-count diagnostic constant; FCCL audited model row 61; Input Review gives exact source; FCCL audited model row 54; Input Review gives exact source; FCCL audited model row 55; Input Review gives exact source; FCCL audited model row 56; Input Review gives exact source; FCCL audited model row 61; Input Review gives exact source; FCCL audited model row 54; Input Review gives exact source; FCCL audited model row 55; Input Review gives exact source; FCCL audited model row 56; Input Review gives exact source; FCCL audited model row 84; Input Review gives exact source</t>
  </si>
  <si>
    <t>T0562</t>
  </si>
  <si>
    <t>Mathematical/day-count diagnostic constant; FCCL audited model row 61; Input Review gives exact source; FCCL audited model row 54; Input Review gives exact source; FCCL audited model row 55; Input Review gives exact source; FCCL audited model row 56; Input Review gives exact source; FCCL audited model row 61; Input Review gives exact source; FCCL audited model row 54; Input Review gives exact source; FCCL audited model row 55; Input Review gives exact source; FCCL audited model row 56; Input Review gives exact source; FCCL audited model row 85; Input Review gives exact source; Mathematical/day-count diagnostic constant; FCCL audited model row 65; Input Review gives exact source; FCCL audited model row 65; Input Review gives exact source</t>
  </si>
  <si>
    <t>T0563</t>
  </si>
  <si>
    <t>Mathematical/day-count diagnostic constant; FCCL audited model row 61; Input Review gives exact source; FCCL audited model row 54; Input Review gives exact source; FCCL audited model row 55; Input Review gives exact source; FCCL audited model row 56; Input Review gives exact source; FCCL audited model row 61; Input Review gives exact source; FCCL audited model row 54; Input Review gives exact source; FCCL audited model row 55; Input Review gives exact source; FCCL audited model row 56; Input Review gives exact source; FCCL audited model row 85; Input Review gives exact source; Mathematical/day-count diagnostic constant; FCCL audited model row 31; Input Review gives exact source; FCCL audited model row 31; Input Review gives exact source</t>
  </si>
  <si>
    <t>T0564</t>
  </si>
  <si>
    <t>365 x closing creditors plus retention / COGS</t>
  </si>
  <si>
    <t>Mathematical/day-count diagnostic constant; FCCL audited model row 51; Input Review gives exact source; fauji\FCCL-Annual-Report-2022.pdf, PDF p215; FCCL audited model row 85; Input Review gives exact source; Mathematical/day-count diagnostic constant</t>
  </si>
  <si>
    <t>T0565</t>
  </si>
  <si>
    <t>365 x closing creditors plus retention / net sales</t>
  </si>
  <si>
    <t>Mathematical/day-count diagnostic constant; FCCL audited model row 51; Input Review gives exact source; fauji\FCCL-Annual-Report-2022.pdf, PDF p215; FCCL audited model row 84; Input Review gives exact source</t>
  </si>
  <si>
    <t>T0566</t>
  </si>
  <si>
    <t>365 x closing creditors plus retention / COGS plus change in total inventory</t>
  </si>
  <si>
    <t>Mathematical/day-count diagnostic constant; FCCL audited model row 51; Input Review gives exact source; fauji\FCCL-Annual-Report-2022.pdf, PDF p215; FCCL audited model row 85; Input Review gives exact source; Mathematical/day-count diagnostic constant; FCCL audited model row 65; Input Review gives exact source; FCCL audited model row 65; Input Review gives exact source</t>
  </si>
  <si>
    <t>T0567</t>
  </si>
  <si>
    <t>365 x closing creditors plus retention / COGS plus change in stock-in-trade</t>
  </si>
  <si>
    <t>Mathematical/day-count diagnostic constant; FCCL audited model row 51; Input Review gives exact source; fauji\FCCL-Annual-Report-2022.pdf, PDF p215; FCCL audited model row 85; Input Review gives exact source; Mathematical/day-count diagnostic constant; FCCL audited model row 31; Input Review gives exact source; FCCL audited model row 31; Input Review gives exact source</t>
  </si>
  <si>
    <t>T0568</t>
  </si>
  <si>
    <t>365 x average creditors plus retention / COGS</t>
  </si>
  <si>
    <t>Mathematical/day-count diagnostic constant; FCCL audited model row 51; Input Review gives exact source; fauji\FCCL-Annual-Report-2021.pdf, PDF p189; FCCL audited model row 51; Input Review gives exact source; fauji\FCCL-Annual-Report-2022.pdf, PDF p215; FCCL audited model row 85; Input Review gives exact source; Mathematical/day-count diagnostic constant</t>
  </si>
  <si>
    <t>T0569</t>
  </si>
  <si>
    <t>365 x average creditors plus retention / net sales</t>
  </si>
  <si>
    <t>Mathematical/day-count diagnostic constant; FCCL audited model row 51; Input Review gives exact source; fauji\FCCL-Annual-Report-2021.pdf, PDF p189; FCCL audited model row 51; Input Review gives exact source; fauji\FCCL-Annual-Report-2022.pdf, PDF p215; FCCL audited model row 84; Input Review gives exact source</t>
  </si>
  <si>
    <t>T0570</t>
  </si>
  <si>
    <t>365 x average creditors plus retention / COGS plus change in total inventory</t>
  </si>
  <si>
    <t>Mathematical/day-count diagnostic constant; FCCL audited model row 51; Input Review gives exact source; fauji\FCCL-Annual-Report-2021.pdf, PDF p189; FCCL audited model row 51; Input Review gives exact source; fauji\FCCL-Annual-Report-2022.pdf, PDF p215; FCCL audited model row 85; Input Review gives exact source; Mathematical/day-count diagnostic constant; FCCL audited model row 65; Input Review gives exact source; FCCL audited model row 65; Input Review gives exact source</t>
  </si>
  <si>
    <t>T0571</t>
  </si>
  <si>
    <t>365 x average creditors plus retention / COGS plus change in stock-in-trade</t>
  </si>
  <si>
    <t>Mathematical/day-count diagnostic constant; FCCL audited model row 51; Input Review gives exact source; fauji\FCCL-Annual-Report-2021.pdf, PDF p189; FCCL audited model row 51; Input Review gives exact source; fauji\FCCL-Annual-Report-2022.pdf, PDF p215; FCCL audited model row 85; Input Review gives exact source; Mathematical/day-count diagnostic constant; FCCL audited model row 31; Input Review gives exact source; FCCL audited model row 31; Input Review gives exact source</t>
  </si>
  <si>
    <t>T0572</t>
  </si>
  <si>
    <t>365 x closing creditors plus separate accruals / COGS</t>
  </si>
  <si>
    <t>Mathematical/day-count diagnostic constant; FCCL audited model row 51; Input Review gives exact source; fauji\FCCL-Annual-Report-2022.pdf, PDF p186; FCCL audited model row 85; Input Review gives exact source; Mathematical/day-count diagnostic constant</t>
  </si>
  <si>
    <t>T0573</t>
  </si>
  <si>
    <t>365 x closing creditors plus separate accruals / net sales</t>
  </si>
  <si>
    <t>Mathematical/day-count diagnostic constant; FCCL audited model row 51; Input Review gives exact source; fauji\FCCL-Annual-Report-2022.pdf, PDF p186; FCCL audited model row 84; Input Review gives exact source</t>
  </si>
  <si>
    <t>T0574</t>
  </si>
  <si>
    <t>365 x closing creditors plus separate accruals / COGS plus change in total inventory</t>
  </si>
  <si>
    <t>Mathematical/day-count diagnostic constant; FCCL audited model row 51; Input Review gives exact source; fauji\FCCL-Annual-Report-2022.pdf, PDF p186; FCCL audited model row 85; Input Review gives exact source; Mathematical/day-count diagnostic constant; FCCL audited model row 65; Input Review gives exact source; FCCL audited model row 65; Input Review gives exact source</t>
  </si>
  <si>
    <t>T0575</t>
  </si>
  <si>
    <t>365 x closing creditors plus separate accruals / COGS plus change in stock-in-trade</t>
  </si>
  <si>
    <t>Mathematical/day-count diagnostic constant; FCCL audited model row 51; Input Review gives exact source; fauji\FCCL-Annual-Report-2022.pdf, PDF p186; FCCL audited model row 85; Input Review gives exact source; Mathematical/day-count diagnostic constant; FCCL audited model row 31; Input Review gives exact source; FCCL audited model row 31; Input Review gives exact source</t>
  </si>
  <si>
    <t>T0576</t>
  </si>
  <si>
    <t>365 x average creditors plus separate accruals / COGS</t>
  </si>
  <si>
    <t>Mathematical/day-count diagnostic constant; FCCL audited model row 51; Input Review gives exact source; fauji\FCCL-Annual-Report-2021.pdf, PDF p164; FCCL audited model row 51; Input Review gives exact source; fauji\FCCL-Annual-Report-2022.pdf, PDF p186; FCCL audited model row 85; Input Review gives exact source; Mathematical/day-count diagnostic constant</t>
  </si>
  <si>
    <t>T0577</t>
  </si>
  <si>
    <t>365 x average creditors plus separate accruals / net sales</t>
  </si>
  <si>
    <t>Mathematical/day-count diagnostic constant; FCCL audited model row 51; Input Review gives exact source; fauji\FCCL-Annual-Report-2021.pdf, PDF p164; FCCL audited model row 51; Input Review gives exact source; fauji\FCCL-Annual-Report-2022.pdf, PDF p186; FCCL audited model row 84; Input Review gives exact source</t>
  </si>
  <si>
    <t>T0578</t>
  </si>
  <si>
    <t>365 x average creditors plus separate accruals / COGS plus change in total inventory</t>
  </si>
  <si>
    <t>Mathematical/day-count diagnostic constant; FCCL audited model row 51; Input Review gives exact source; fauji\FCCL-Annual-Report-2021.pdf, PDF p164; FCCL audited model row 51; Input Review gives exact source; fauji\FCCL-Annual-Report-2022.pdf, PDF p186; FCCL audited model row 85; Input Review gives exact source; Mathematical/day-count diagnostic constant; FCCL audited model row 65; Input Review gives exact source; FCCL audited model row 65; Input Review gives exact source</t>
  </si>
  <si>
    <t>T0579</t>
  </si>
  <si>
    <t>365 x average creditors plus separate accruals / COGS plus change in stock-in-trade</t>
  </si>
  <si>
    <t>Mathematical/day-count diagnostic constant; FCCL audited model row 51; Input Review gives exact source; fauji\FCCL-Annual-Report-2021.pdf, PDF p164; FCCL audited model row 51; Input Review gives exact source; fauji\FCCL-Annual-Report-2022.pdf, PDF p186; FCCL audited model row 85; Input Review gives exact source; Mathematical/day-count diagnostic constant; FCCL audited model row 31; Input Review gives exact source; FCCL audited model row 31; Input Review gives exact source</t>
  </si>
  <si>
    <t>T0580</t>
  </si>
  <si>
    <t>365 x closing TAP plus separate accruals / COGS</t>
  </si>
  <si>
    <t>Mathematical/day-count diagnostic constant; FCCL audited model row 50; Input Review gives exact source; fauji\FCCL-Annual-Report-2022.pdf, PDF p186; FCCL audited model row 85; Input Review gives exact source; Mathematical/day-count diagnostic constant</t>
  </si>
  <si>
    <t>T0581</t>
  </si>
  <si>
    <t>365 x closing TAP plus separate accruals / net sales</t>
  </si>
  <si>
    <t>Mathematical/day-count diagnostic constant; FCCL audited model row 50; Input Review gives exact source; fauji\FCCL-Annual-Report-2022.pdf, PDF p186; FCCL audited model row 84; Input Review gives exact source</t>
  </si>
  <si>
    <t>T0582</t>
  </si>
  <si>
    <t>365 x closing TAP plus separate accruals / COGS plus change in total inventory</t>
  </si>
  <si>
    <t>Mathematical/day-count diagnostic constant; FCCL audited model row 50; Input Review gives exact source; fauji\FCCL-Annual-Report-2022.pdf, PDF p186; FCCL audited model row 85; Input Review gives exact source; Mathematical/day-count diagnostic constant; FCCL audited model row 65; Input Review gives exact source; FCCL audited model row 65; Input Review gives exact source</t>
  </si>
  <si>
    <t>T0583</t>
  </si>
  <si>
    <t>365 x closing TAP plus separate accruals / COGS plus change in stock-in-trade</t>
  </si>
  <si>
    <t>Mathematical/day-count diagnostic constant; FCCL audited model row 50; Input Review gives exact source; fauji\FCCL-Annual-Report-2022.pdf, PDF p186; FCCL audited model row 85; Input Review gives exact source; Mathematical/day-count diagnostic constant; FCCL audited model row 31; Input Review gives exact source; FCCL audited model row 31; Input Review gives exact source</t>
  </si>
  <si>
    <t>T0584</t>
  </si>
  <si>
    <t>365 x average TAP plus separate accruals / COGS</t>
  </si>
  <si>
    <t>Mathematical/day-count diagnostic constant; FCCL audited model row 50; Input Review gives exact source; fauji\FCCL-Annual-Report-2021.pdf, PDF p164; FCCL audited model row 50; Input Review gives exact source; fauji\FCCL-Annual-Report-2022.pdf, PDF p186; FCCL audited model row 85; Input Review gives exact source; Mathematical/day-count diagnostic constant</t>
  </si>
  <si>
    <t>T0585</t>
  </si>
  <si>
    <t>365 x average TAP plus separate accruals / net sales</t>
  </si>
  <si>
    <t>Mathematical/day-count diagnostic constant; FCCL audited model row 50; Input Review gives exact source; fauji\FCCL-Annual-Report-2021.pdf, PDF p164; FCCL audited model row 50; Input Review gives exact source; fauji\FCCL-Annual-Report-2022.pdf, PDF p186; FCCL audited model row 84; Input Review gives exact source</t>
  </si>
  <si>
    <t>T0586</t>
  </si>
  <si>
    <t>365 x average TAP plus separate accruals / COGS plus change in total inventory</t>
  </si>
  <si>
    <t>Mathematical/day-count diagnostic constant; FCCL audited model row 50; Input Review gives exact source; fauji\FCCL-Annual-Report-2021.pdf, PDF p164; FCCL audited model row 50; Input Review gives exact source; fauji\FCCL-Annual-Report-2022.pdf, PDF p186; FCCL audited model row 85; Input Review gives exact source; Mathematical/day-count diagnostic constant; FCCL audited model row 65; Input Review gives exact source; FCCL audited model row 65; Input Review gives exact source</t>
  </si>
  <si>
    <t>T0587</t>
  </si>
  <si>
    <t>365 x average TAP plus separate accruals / COGS plus change in stock-in-trade</t>
  </si>
  <si>
    <t>Mathematical/day-count diagnostic constant; FCCL audited model row 50; Input Review gives exact source; fauji\FCCL-Annual-Report-2021.pdf, PDF p164; FCCL audited model row 50; Input Review gives exact source; fauji\FCCL-Annual-Report-2022.pdf, PDF p186; FCCL audited model row 85; Input Review gives exact source; Mathematical/day-count diagnostic constant; FCCL audited model row 31; Input Review gives exact source; FCCL audited model row 31; Input Review gives exact source</t>
  </si>
  <si>
    <t>T0588</t>
  </si>
  <si>
    <t>90 x closing supplier creditors / fourth-quarter COGS</t>
  </si>
  <si>
    <t>Mathematical/day-count diagnostic constant; FCCL audited model row 51; Input Review gives exact source; fauji\FCCL-Annual-Report-2021.pdf, PDF p133</t>
  </si>
  <si>
    <t>FY2022 fourth quarter includes pre-merger Askari results; quarter annualization is not a valid annual input substitute.</t>
  </si>
  <si>
    <t>T0589</t>
  </si>
  <si>
    <t>90 x closing total TAP / fourth-quarter COGS</t>
  </si>
  <si>
    <t>Mathematical/day-count diagnostic constant; FCCL audited model row 50; Input Review gives exact source; fauji\FCCL-Annual-Report-2021.pdf, PDF p133</t>
  </si>
  <si>
    <t>T0590</t>
  </si>
  <si>
    <t>90 x closing creditors plus retention / fourth-quarter COGS</t>
  </si>
  <si>
    <t>Mathematical/day-count diagnostic constant; FCCL audited model row 51; Input Review gives exact source; fauji\FCCL-Annual-Report-2022.pdf, PDF p215; fauji\FCCL-Annual-Report-2021.pdf, PDF p133</t>
  </si>
  <si>
    <t>T0591</t>
  </si>
  <si>
    <t>T0592</t>
  </si>
  <si>
    <t>T0593</t>
  </si>
  <si>
    <t>T0594</t>
  </si>
  <si>
    <t>T0595</t>
  </si>
  <si>
    <t>T0596</t>
  </si>
  <si>
    <t>T0597</t>
  </si>
  <si>
    <t>T0598</t>
  </si>
  <si>
    <t>T0599</t>
  </si>
  <si>
    <t>T0600</t>
  </si>
  <si>
    <t>T0601</t>
  </si>
  <si>
    <t>T0602</t>
  </si>
  <si>
    <t>T0603</t>
  </si>
  <si>
    <t>T0604</t>
  </si>
  <si>
    <t>T0605</t>
  </si>
  <si>
    <t>T0606</t>
  </si>
  <si>
    <t>T0607</t>
  </si>
  <si>
    <t>T0608</t>
  </si>
  <si>
    <t>T0609</t>
  </si>
  <si>
    <t>T0610</t>
  </si>
  <si>
    <t>T0611</t>
  </si>
  <si>
    <t>T0612</t>
  </si>
  <si>
    <t>Mathematical/day-count diagnostic constant; FCCL audited model row 51; Input Review gives exact source; fauji\FCCL-Annual-Report-2023.pdf, PDF p234; FCCL audited model row 85; Input Review gives exact source; Mathematical/day-count diagnostic constant</t>
  </si>
  <si>
    <t>T0613</t>
  </si>
  <si>
    <t>Mathematical/day-count diagnostic constant; FCCL audited model row 51; Input Review gives exact source; fauji\FCCL-Annual-Report-2023.pdf, PDF p234; FCCL audited model row 84; Input Review gives exact source</t>
  </si>
  <si>
    <t>T0614</t>
  </si>
  <si>
    <t>Mathematical/day-count diagnostic constant; FCCL audited model row 51; Input Review gives exact source; fauji\FCCL-Annual-Report-2023.pdf, PDF p234; FCCL audited model row 85; Input Review gives exact source; Mathematical/day-count diagnostic constant; FCCL audited model row 65; Input Review gives exact source; FCCL audited model row 65; Input Review gives exact source</t>
  </si>
  <si>
    <t>T0615</t>
  </si>
  <si>
    <t>Mathematical/day-count diagnostic constant; FCCL audited model row 51; Input Review gives exact source; fauji\FCCL-Annual-Report-2023.pdf, PDF p234; FCCL audited model row 85; Input Review gives exact source; Mathematical/day-count diagnostic constant; FCCL audited model row 31; Input Review gives exact source; FCCL audited model row 31; Input Review gives exact source</t>
  </si>
  <si>
    <t>T0616</t>
  </si>
  <si>
    <t>Mathematical/day-count diagnostic constant; FCCL audited model row 51; Input Review gives exact source; fauji\FCCL-Annual-Report-2022.pdf, PDF p215; FCCL audited model row 51; Input Review gives exact source; fauji\FCCL-Annual-Report-2023.pdf, PDF p234; FCCL audited model row 85; Input Review gives exact source; Mathematical/day-count diagnostic constant</t>
  </si>
  <si>
    <t>T0617</t>
  </si>
  <si>
    <t>Mathematical/day-count diagnostic constant; FCCL audited model row 51; Input Review gives exact source; fauji\FCCL-Annual-Report-2022.pdf, PDF p215; FCCL audited model row 51; Input Review gives exact source; fauji\FCCL-Annual-Report-2023.pdf, PDF p234; FCCL audited model row 84; Input Review gives exact source</t>
  </si>
  <si>
    <t>T0618</t>
  </si>
  <si>
    <t>Mathematical/day-count diagnostic constant; FCCL audited model row 51; Input Review gives exact source; fauji\FCCL-Annual-Report-2022.pdf, PDF p215; FCCL audited model row 51; Input Review gives exact source; fauji\FCCL-Annual-Report-2023.pdf, PDF p234; FCCL audited model row 85; Input Review gives exact source; Mathematical/day-count diagnostic constant; FCCL audited model row 65; Input Review gives exact source; FCCL audited model row 65; Input Review gives exact source</t>
  </si>
  <si>
    <t>T0619</t>
  </si>
  <si>
    <t>Mathematical/day-count diagnostic constant; FCCL audited model row 51; Input Review gives exact source; fauji\FCCL-Annual-Report-2022.pdf, PDF p215; FCCL audited model row 51; Input Review gives exact source; fauji\FCCL-Annual-Report-2023.pdf, PDF p234; FCCL audited model row 85; Input Review gives exact source; Mathematical/day-count diagnostic constant; FCCL audited model row 31; Input Review gives exact source; FCCL audited model row 31; Input Review gives exact source</t>
  </si>
  <si>
    <t>T0620</t>
  </si>
  <si>
    <t>Mathematical/day-count diagnostic constant; FCCL audited model row 51; Input Review gives exact source; fauji\FCCL-Annual-Report-2023.pdf, PDF p208; FCCL audited model row 85; Input Review gives exact source; Mathematical/day-count diagnostic constant</t>
  </si>
  <si>
    <t>T0621</t>
  </si>
  <si>
    <t>Mathematical/day-count diagnostic constant; FCCL audited model row 51; Input Review gives exact source; fauji\FCCL-Annual-Report-2023.pdf, PDF p208; FCCL audited model row 84; Input Review gives exact source</t>
  </si>
  <si>
    <t>T0622</t>
  </si>
  <si>
    <t>Mathematical/day-count diagnostic constant; FCCL audited model row 51; Input Review gives exact source; fauji\FCCL-Annual-Report-2023.pdf, PDF p208; FCCL audited model row 85; Input Review gives exact source; Mathematical/day-count diagnostic constant; FCCL audited model row 65; Input Review gives exact source; FCCL audited model row 65; Input Review gives exact source</t>
  </si>
  <si>
    <t>T0623</t>
  </si>
  <si>
    <t>Mathematical/day-count diagnostic constant; FCCL audited model row 51; Input Review gives exact source; fauji\FCCL-Annual-Report-2023.pdf, PDF p208; FCCL audited model row 85; Input Review gives exact source; Mathematical/day-count diagnostic constant; FCCL audited model row 31; Input Review gives exact source; FCCL audited model row 31; Input Review gives exact source</t>
  </si>
  <si>
    <t>T0624</t>
  </si>
  <si>
    <t>Mathematical/day-count diagnostic constant; FCCL audited model row 51; Input Review gives exact source; fauji\FCCL-Annual-Report-2022.pdf, PDF p186; FCCL audited model row 51; Input Review gives exact source; fauji\FCCL-Annual-Report-2023.pdf, PDF p208; FCCL audited model row 85; Input Review gives exact source; Mathematical/day-count diagnostic constant</t>
  </si>
  <si>
    <t>T0625</t>
  </si>
  <si>
    <t>Mathematical/day-count diagnostic constant; FCCL audited model row 51; Input Review gives exact source; fauji\FCCL-Annual-Report-2022.pdf, PDF p186; FCCL audited model row 51; Input Review gives exact source; fauji\FCCL-Annual-Report-2023.pdf, PDF p208; FCCL audited model row 84; Input Review gives exact source</t>
  </si>
  <si>
    <t>T0626</t>
  </si>
  <si>
    <t>Mathematical/day-count diagnostic constant; FCCL audited model row 51; Input Review gives exact source; fauji\FCCL-Annual-Report-2022.pdf, PDF p186; FCCL audited model row 51; Input Review gives exact source; fauji\FCCL-Annual-Report-2023.pdf, PDF p208; FCCL audited model row 85; Input Review gives exact source; Mathematical/day-count diagnostic constant; FCCL audited model row 65; Input Review gives exact source; FCCL audited model row 65; Input Review gives exact source</t>
  </si>
  <si>
    <t>T0627</t>
  </si>
  <si>
    <t>Mathematical/day-count diagnostic constant; FCCL audited model row 51; Input Review gives exact source; fauji\FCCL-Annual-Report-2022.pdf, PDF p186; FCCL audited model row 51; Input Review gives exact source; fauji\FCCL-Annual-Report-2023.pdf, PDF p208; FCCL audited model row 85; Input Review gives exact source; Mathematical/day-count diagnostic constant; FCCL audited model row 31; Input Review gives exact source; FCCL audited model row 31; Input Review gives exact source</t>
  </si>
  <si>
    <t>T0628</t>
  </si>
  <si>
    <t>Mathematical/day-count diagnostic constant; FCCL audited model row 50; Input Review gives exact source; fauji\FCCL-Annual-Report-2023.pdf, PDF p208; FCCL audited model row 85; Input Review gives exact source; Mathematical/day-count diagnostic constant</t>
  </si>
  <si>
    <t>T0629</t>
  </si>
  <si>
    <t>Mathematical/day-count diagnostic constant; FCCL audited model row 50; Input Review gives exact source; fauji\FCCL-Annual-Report-2023.pdf, PDF p208; FCCL audited model row 84; Input Review gives exact source</t>
  </si>
  <si>
    <t>T0630</t>
  </si>
  <si>
    <t>Mathematical/day-count diagnostic constant; FCCL audited model row 50; Input Review gives exact source; fauji\FCCL-Annual-Report-2023.pdf, PDF p208; FCCL audited model row 85; Input Review gives exact source; Mathematical/day-count diagnostic constant; FCCL audited model row 65; Input Review gives exact source; FCCL audited model row 65; Input Review gives exact source</t>
  </si>
  <si>
    <t>T0631</t>
  </si>
  <si>
    <t>Mathematical/day-count diagnostic constant; FCCL audited model row 50; Input Review gives exact source; fauji\FCCL-Annual-Report-2023.pdf, PDF p208; FCCL audited model row 85; Input Review gives exact source; Mathematical/day-count diagnostic constant; FCCL audited model row 31; Input Review gives exact source; FCCL audited model row 31; Input Review gives exact source</t>
  </si>
  <si>
    <t>T0632</t>
  </si>
  <si>
    <t>Mathematical/day-count diagnostic constant; FCCL audited model row 50; Input Review gives exact source; fauji\FCCL-Annual-Report-2022.pdf, PDF p186; FCCL audited model row 50; Input Review gives exact source; fauji\FCCL-Annual-Report-2023.pdf, PDF p208; FCCL audited model row 85; Input Review gives exact source; Mathematical/day-count diagnostic constant</t>
  </si>
  <si>
    <t>T0633</t>
  </si>
  <si>
    <t>Mathematical/day-count diagnostic constant; FCCL audited model row 50; Input Review gives exact source; fauji\FCCL-Annual-Report-2022.pdf, PDF p186; FCCL audited model row 50; Input Review gives exact source; fauji\FCCL-Annual-Report-2023.pdf, PDF p208; FCCL audited model row 84; Input Review gives exact source</t>
  </si>
  <si>
    <t>T0634</t>
  </si>
  <si>
    <t>Mathematical/day-count diagnostic constant; FCCL audited model row 50; Input Review gives exact source; fauji\FCCL-Annual-Report-2022.pdf, PDF p186; FCCL audited model row 50; Input Review gives exact source; fauji\FCCL-Annual-Report-2023.pdf, PDF p208; FCCL audited model row 85; Input Review gives exact source; Mathematical/day-count diagnostic constant; FCCL audited model row 65; Input Review gives exact source; FCCL audited model row 65; Input Review gives exact source</t>
  </si>
  <si>
    <t>T0635</t>
  </si>
  <si>
    <t>Mathematical/day-count diagnostic constant; FCCL audited model row 50; Input Review gives exact source; fauji\FCCL-Annual-Report-2022.pdf, PDF p186; FCCL audited model row 50; Input Review gives exact source; fauji\FCCL-Annual-Report-2023.pdf, PDF p208; FCCL audited model row 85; Input Review gives exact source; Mathematical/day-count diagnostic constant; FCCL audited model row 31; Input Review gives exact source; FCCL audited model row 31; Input Review gives exact source</t>
  </si>
  <si>
    <t>T0636</t>
  </si>
  <si>
    <t>Mathematical/day-count diagnostic constant; FCCL audited model row 51; Input Review gives exact source; fauji\FCCL-Annual-Report-2022.pdf, PDF p155</t>
  </si>
  <si>
    <t>T0637</t>
  </si>
  <si>
    <t>Mathematical/day-count diagnostic constant; FCCL audited model row 50; Input Review gives exact source; fauji\FCCL-Annual-Report-2022.pdf, PDF p155</t>
  </si>
  <si>
    <t>T0638</t>
  </si>
  <si>
    <t>Mathematical/day-count diagnostic constant; FCCL audited model row 51; Input Review gives exact source; fauji\FCCL-Annual-Report-2023.pdf, PDF p234; fauji\FCCL-Annual-Report-2022.pdf, PDF p155</t>
  </si>
  <si>
    <t>T0639</t>
  </si>
  <si>
    <t>T0640</t>
  </si>
  <si>
    <t>T0641</t>
  </si>
  <si>
    <t>T0642</t>
  </si>
  <si>
    <t>T0643</t>
  </si>
  <si>
    <t>T0644</t>
  </si>
  <si>
    <t>T0645</t>
  </si>
  <si>
    <t>T0646</t>
  </si>
  <si>
    <t>T0647</t>
  </si>
  <si>
    <t>T0648</t>
  </si>
  <si>
    <t>T0649</t>
  </si>
  <si>
    <t>T0650</t>
  </si>
  <si>
    <t>T0651</t>
  </si>
  <si>
    <t>T0652</t>
  </si>
  <si>
    <t>T0653</t>
  </si>
  <si>
    <t>T0654</t>
  </si>
  <si>
    <t>T0655</t>
  </si>
  <si>
    <t>T0656</t>
  </si>
  <si>
    <t>T0657</t>
  </si>
  <si>
    <t>T0658</t>
  </si>
  <si>
    <t>T0659</t>
  </si>
  <si>
    <t>T0660</t>
  </si>
  <si>
    <t>T0661</t>
  </si>
  <si>
    <t>T0662</t>
  </si>
  <si>
    <t>T0663</t>
  </si>
  <si>
    <t>T0664</t>
  </si>
  <si>
    <t>Mathematical/day-count diagnostic constant; FCCL audited model row 51; Input Review gives exact source; fauji\FCCL-Annual-Report-2023.pdf, PDF p234; FCCL audited model row 51; Input Review gives exact source; fauji\FCCL-Annual-Report-2023.pdf, PDF p234; FCCL audited model row 85; Input Review gives exact source; Mathematical/day-count diagnostic constant</t>
  </si>
  <si>
    <t>T0665</t>
  </si>
  <si>
    <t>Mathematical/day-count diagnostic constant; FCCL audited model row 51; Input Review gives exact source; fauji\FCCL-Annual-Report-2023.pdf, PDF p234; FCCL audited model row 51; Input Review gives exact source; fauji\FCCL-Annual-Report-2023.pdf, PDF p234; FCCL audited model row 84; Input Review gives exact source</t>
  </si>
  <si>
    <t>T0666</t>
  </si>
  <si>
    <t>Mathematical/day-count diagnostic constant; FCCL audited model row 51; Input Review gives exact source; fauji\FCCL-Annual-Report-2023.pdf, PDF p234; FCCL audited model row 51; Input Review gives exact source; fauji\FCCL-Annual-Report-2023.pdf, PDF p234; FCCL audited model row 85; Input Review gives exact source; Mathematical/day-count diagnostic constant; FCCL audited model row 65; Input Review gives exact source; FCCL audited model row 65; Input Review gives exact source</t>
  </si>
  <si>
    <t>T0667</t>
  </si>
  <si>
    <t>Mathematical/day-count diagnostic constant; FCCL audited model row 51; Input Review gives exact source; fauji\FCCL-Annual-Report-2023.pdf, PDF p234; FCCL audited model row 51; Input Review gives exact source; fauji\FCCL-Annual-Report-2023.pdf, PDF p234; FCCL audited model row 85; Input Review gives exact source; Mathematical/day-count diagnostic constant; FCCL audited model row 31; Input Review gives exact source; FCCL audited model row 31; Input Review gives exact source</t>
  </si>
  <si>
    <t>T0668</t>
  </si>
  <si>
    <t>T0669</t>
  </si>
  <si>
    <t>T0670</t>
  </si>
  <si>
    <t>T0671</t>
  </si>
  <si>
    <t>T0672</t>
  </si>
  <si>
    <t>Mathematical/day-count diagnostic constant; FCCL audited model row 51; Input Review gives exact source; fauji\FCCL-Annual-Report-2023.pdf, PDF p208; FCCL audited model row 51; Input Review gives exact source; fauji\FCCL-Annual-Report-2023.pdf, PDF p208; FCCL audited model row 85; Input Review gives exact source; Mathematical/day-count diagnostic constant</t>
  </si>
  <si>
    <t>T0673</t>
  </si>
  <si>
    <t>Mathematical/day-count diagnostic constant; FCCL audited model row 51; Input Review gives exact source; fauji\FCCL-Annual-Report-2023.pdf, PDF p208; FCCL audited model row 51; Input Review gives exact source; fauji\FCCL-Annual-Report-2023.pdf, PDF p208; FCCL audited model row 84; Input Review gives exact source</t>
  </si>
  <si>
    <t>T0674</t>
  </si>
  <si>
    <t>Mathematical/day-count diagnostic constant; FCCL audited model row 51; Input Review gives exact source; fauji\FCCL-Annual-Report-2023.pdf, PDF p208; FCCL audited model row 51; Input Review gives exact source; fauji\FCCL-Annual-Report-2023.pdf, PDF p208; FCCL audited model row 85; Input Review gives exact source; Mathematical/day-count diagnostic constant; FCCL audited model row 65; Input Review gives exact source; FCCL audited model row 65; Input Review gives exact source</t>
  </si>
  <si>
    <t>T0675</t>
  </si>
  <si>
    <t>Mathematical/day-count diagnostic constant; FCCL audited model row 51; Input Review gives exact source; fauji\FCCL-Annual-Report-2023.pdf, PDF p208; FCCL audited model row 51; Input Review gives exact source; fauji\FCCL-Annual-Report-2023.pdf, PDF p208; FCCL audited model row 85; Input Review gives exact source; Mathematical/day-count diagnostic constant; FCCL audited model row 31; Input Review gives exact source; FCCL audited model row 31; Input Review gives exact source</t>
  </si>
  <si>
    <t>T0676</t>
  </si>
  <si>
    <t>T0677</t>
  </si>
  <si>
    <t>T0678</t>
  </si>
  <si>
    <t>T0679</t>
  </si>
  <si>
    <t>T0680</t>
  </si>
  <si>
    <t>Mathematical/day-count diagnostic constant; FCCL audited model row 50; Input Review gives exact source; fauji\FCCL-Annual-Report-2023.pdf, PDF p208; FCCL audited model row 50; Input Review gives exact source; fauji\FCCL-Annual-Report-2023.pdf, PDF p208; FCCL audited model row 85; Input Review gives exact source; Mathematical/day-count diagnostic constant</t>
  </si>
  <si>
    <t>T0681</t>
  </si>
  <si>
    <t>Mathematical/day-count diagnostic constant; FCCL audited model row 50; Input Review gives exact source; fauji\FCCL-Annual-Report-2023.pdf, PDF p208; FCCL audited model row 50; Input Review gives exact source; fauji\FCCL-Annual-Report-2023.pdf, PDF p208; FCCL audited model row 84; Input Review gives exact source</t>
  </si>
  <si>
    <t>T0682</t>
  </si>
  <si>
    <t>Mathematical/day-count diagnostic constant; FCCL audited model row 50; Input Review gives exact source; fauji\FCCL-Annual-Report-2023.pdf, PDF p208; FCCL audited model row 50; Input Review gives exact source; fauji\FCCL-Annual-Report-2023.pdf, PDF p208; FCCL audited model row 85; Input Review gives exact source; Mathematical/day-count diagnostic constant; FCCL audited model row 65; Input Review gives exact source; FCCL audited model row 65; Input Review gives exact source</t>
  </si>
  <si>
    <t>T0683</t>
  </si>
  <si>
    <t>Mathematical/day-count diagnostic constant; FCCL audited model row 50; Input Review gives exact source; fauji\FCCL-Annual-Report-2023.pdf, PDF p208; FCCL audited model row 50; Input Review gives exact source; fauji\FCCL-Annual-Report-2023.pdf, PDF p208; FCCL audited model row 85; Input Review gives exact source; Mathematical/day-count diagnostic constant; FCCL audited model row 31; Input Review gives exact source; FCCL audited model row 31; Input Review gives exact source</t>
  </si>
  <si>
    <t>T0684</t>
  </si>
  <si>
    <t>Mathematical/day-count diagnostic constant; FCCL audited model row 51; Input Review gives exact source; fauji\FCCL-Annual-Report-2023.pdf, PDF p173</t>
  </si>
  <si>
    <t>T0685</t>
  </si>
  <si>
    <t>Mathematical/day-count diagnostic constant; FCCL audited model row 50; Input Review gives exact source; fauji\FCCL-Annual-Report-2023.pdf, PDF p173</t>
  </si>
  <si>
    <t>T0686</t>
  </si>
  <si>
    <t>Mathematical/day-count diagnostic constant; FCCL audited model row 51; Input Review gives exact source; fauji\FCCL-Annual-Report-2023.pdf, PDF p234; fauji\FCCL-Annual-Report-2023.pdf, PDF p173</t>
  </si>
  <si>
    <t>T0687</t>
  </si>
  <si>
    <t>T0688</t>
  </si>
  <si>
    <t>T0689</t>
  </si>
  <si>
    <t>T0690</t>
  </si>
  <si>
    <t>T0691</t>
  </si>
  <si>
    <t>T0692</t>
  </si>
  <si>
    <t>T0693</t>
  </si>
  <si>
    <t>T0694</t>
  </si>
  <si>
    <t>T0695</t>
  </si>
  <si>
    <t>T0696</t>
  </si>
  <si>
    <t>T0697</t>
  </si>
  <si>
    <t>T0698</t>
  </si>
  <si>
    <t>T0699</t>
  </si>
  <si>
    <t>T0700</t>
  </si>
  <si>
    <t>T0701</t>
  </si>
  <si>
    <t>T0702</t>
  </si>
  <si>
    <t>T0703</t>
  </si>
  <si>
    <t>T0704</t>
  </si>
  <si>
    <t>T0705</t>
  </si>
  <si>
    <t>T0706</t>
  </si>
  <si>
    <t>T0707</t>
  </si>
  <si>
    <t>T0708</t>
  </si>
  <si>
    <t>Mathematical/day-count diagnostic constant; FCCL audited model row 51; Input Review gives exact source; fauji\FCCL-Annual-Report-2025.pdf, PDF p268; FCCL audited model row 85; Input Review gives exact source; Mathematical/day-count diagnostic constant</t>
  </si>
  <si>
    <t>T0709</t>
  </si>
  <si>
    <t>Mathematical/day-count diagnostic constant; FCCL audited model row 51; Input Review gives exact source; fauji\FCCL-Annual-Report-2025.pdf, PDF p268; FCCL audited model row 84; Input Review gives exact source</t>
  </si>
  <si>
    <t>T0710</t>
  </si>
  <si>
    <t>Mathematical/day-count diagnostic constant; FCCL audited model row 51; Input Review gives exact source; fauji\FCCL-Annual-Report-2025.pdf, PDF p268; FCCL audited model row 85; Input Review gives exact source; Mathematical/day-count diagnostic constant; FCCL audited model row 65; Input Review gives exact source; FCCL audited model row 65; Input Review gives exact source</t>
  </si>
  <si>
    <t>T0711</t>
  </si>
  <si>
    <t>Mathematical/day-count diagnostic constant; FCCL audited model row 51; Input Review gives exact source; fauji\FCCL-Annual-Report-2025.pdf, PDF p268; FCCL audited model row 85; Input Review gives exact source; Mathematical/day-count diagnostic constant; FCCL audited model row 31; Input Review gives exact source; FCCL audited model row 31; Input Review gives exact source</t>
  </si>
  <si>
    <t>T0712</t>
  </si>
  <si>
    <t>Mathematical/day-count diagnostic constant; FCCL audited model row 51; Input Review gives exact source; fauji\FCCL-Annual-Report-2023.pdf, PDF p234; FCCL audited model row 51; Input Review gives exact source; fauji\FCCL-Annual-Report-2025.pdf, PDF p268; FCCL audited model row 85; Input Review gives exact source; Mathematical/day-count diagnostic constant</t>
  </si>
  <si>
    <t>T0713</t>
  </si>
  <si>
    <t>Mathematical/day-count diagnostic constant; FCCL audited model row 51; Input Review gives exact source; fauji\FCCL-Annual-Report-2023.pdf, PDF p234; FCCL audited model row 51; Input Review gives exact source; fauji\FCCL-Annual-Report-2025.pdf, PDF p268; FCCL audited model row 84; Input Review gives exact source</t>
  </si>
  <si>
    <t>T0714</t>
  </si>
  <si>
    <t>Mathematical/day-count diagnostic constant; FCCL audited model row 51; Input Review gives exact source; fauji\FCCL-Annual-Report-2023.pdf, PDF p234; FCCL audited model row 51; Input Review gives exact source; fauji\FCCL-Annual-Report-2025.pdf, PDF p268; FCCL audited model row 85; Input Review gives exact source; Mathematical/day-count diagnostic constant; FCCL audited model row 65; Input Review gives exact source; FCCL audited model row 65; Input Review gives exact source</t>
  </si>
  <si>
    <t>T0715</t>
  </si>
  <si>
    <t>Mathematical/day-count diagnostic constant; FCCL audited model row 51; Input Review gives exact source; fauji\FCCL-Annual-Report-2023.pdf, PDF p234; FCCL audited model row 51; Input Review gives exact source; fauji\FCCL-Annual-Report-2025.pdf, PDF p268; FCCL audited model row 85; Input Review gives exact source; Mathematical/day-count diagnostic constant; FCCL audited model row 31; Input Review gives exact source; FCCL audited model row 31; Input Review gives exact source</t>
  </si>
  <si>
    <t>T0716</t>
  </si>
  <si>
    <t>Mathematical/day-count diagnostic constant; FCCL audited model row 51; Input Review gives exact source; fauji\FCCL-Annual-Report-2025.pdf, PDF p244; FCCL audited model row 85; Input Review gives exact source; Mathematical/day-count diagnostic constant</t>
  </si>
  <si>
    <t>T0717</t>
  </si>
  <si>
    <t>Mathematical/day-count diagnostic constant; FCCL audited model row 51; Input Review gives exact source; fauji\FCCL-Annual-Report-2025.pdf, PDF p244; FCCL audited model row 84; Input Review gives exact source</t>
  </si>
  <si>
    <t>T0718</t>
  </si>
  <si>
    <t>Mathematical/day-count diagnostic constant; FCCL audited model row 51; Input Review gives exact source; fauji\FCCL-Annual-Report-2025.pdf, PDF p244; FCCL audited model row 85; Input Review gives exact source; Mathematical/day-count diagnostic constant; FCCL audited model row 65; Input Review gives exact source; FCCL audited model row 65; Input Review gives exact source</t>
  </si>
  <si>
    <t>T0719</t>
  </si>
  <si>
    <t>Mathematical/day-count diagnostic constant; FCCL audited model row 51; Input Review gives exact source; fauji\FCCL-Annual-Report-2025.pdf, PDF p244; FCCL audited model row 85; Input Review gives exact source; Mathematical/day-count diagnostic constant; FCCL audited model row 31; Input Review gives exact source; FCCL audited model row 31; Input Review gives exact source</t>
  </si>
  <si>
    <t>T0720</t>
  </si>
  <si>
    <t>Mathematical/day-count diagnostic constant; FCCL audited model row 51; Input Review gives exact source; fauji\FCCL-Annual-Report-2023.pdf, PDF p208; FCCL audited model row 51; Input Review gives exact source; fauji\FCCL-Annual-Report-2025.pdf, PDF p244; FCCL audited model row 85; Input Review gives exact source; Mathematical/day-count diagnostic constant</t>
  </si>
  <si>
    <t>T0721</t>
  </si>
  <si>
    <t>Mathematical/day-count diagnostic constant; FCCL audited model row 51; Input Review gives exact source; fauji\FCCL-Annual-Report-2023.pdf, PDF p208; FCCL audited model row 51; Input Review gives exact source; fauji\FCCL-Annual-Report-2025.pdf, PDF p244; FCCL audited model row 84; Input Review gives exact source</t>
  </si>
  <si>
    <t>T0722</t>
  </si>
  <si>
    <t>Mathematical/day-count diagnostic constant; FCCL audited model row 51; Input Review gives exact source; fauji\FCCL-Annual-Report-2023.pdf, PDF p208; FCCL audited model row 51; Input Review gives exact source; fauji\FCCL-Annual-Report-2025.pdf, PDF p244; FCCL audited model row 85; Input Review gives exact source; Mathematical/day-count diagnostic constant; FCCL audited model row 65; Input Review gives exact source; FCCL audited model row 65; Input Review gives exact source</t>
  </si>
  <si>
    <t>T0723</t>
  </si>
  <si>
    <t>Mathematical/day-count diagnostic constant; FCCL audited model row 51; Input Review gives exact source; fauji\FCCL-Annual-Report-2023.pdf, PDF p208; FCCL audited model row 51; Input Review gives exact source; fauji\FCCL-Annual-Report-2025.pdf, PDF p244; FCCL audited model row 85; Input Review gives exact source; Mathematical/day-count diagnostic constant; FCCL audited model row 31; Input Review gives exact source; FCCL audited model row 31; Input Review gives exact source</t>
  </si>
  <si>
    <t>T0724</t>
  </si>
  <si>
    <t>Mathematical/day-count diagnostic constant; FCCL audited model row 50; Input Review gives exact source; fauji\FCCL-Annual-Report-2025.pdf, PDF p244; FCCL audited model row 85; Input Review gives exact source; Mathematical/day-count diagnostic constant</t>
  </si>
  <si>
    <t>T0725</t>
  </si>
  <si>
    <t>Mathematical/day-count diagnostic constant; FCCL audited model row 50; Input Review gives exact source; fauji\FCCL-Annual-Report-2025.pdf, PDF p244; FCCL audited model row 84; Input Review gives exact source</t>
  </si>
  <si>
    <t>T0726</t>
  </si>
  <si>
    <t>Mathematical/day-count diagnostic constant; FCCL audited model row 50; Input Review gives exact source; fauji\FCCL-Annual-Report-2025.pdf, PDF p244; FCCL audited model row 85; Input Review gives exact source; Mathematical/day-count diagnostic constant; FCCL audited model row 65; Input Review gives exact source; FCCL audited model row 65; Input Review gives exact source</t>
  </si>
  <si>
    <t>T0727</t>
  </si>
  <si>
    <t>Mathematical/day-count diagnostic constant; FCCL audited model row 50; Input Review gives exact source; fauji\FCCL-Annual-Report-2025.pdf, PDF p244; FCCL audited model row 85; Input Review gives exact source; Mathematical/day-count diagnostic constant; FCCL audited model row 31; Input Review gives exact source; FCCL audited model row 31; Input Review gives exact source</t>
  </si>
  <si>
    <t>T0728</t>
  </si>
  <si>
    <t>Mathematical/day-count diagnostic constant; FCCL audited model row 50; Input Review gives exact source; fauji\FCCL-Annual-Report-2023.pdf, PDF p208; FCCL audited model row 50; Input Review gives exact source; fauji\FCCL-Annual-Report-2025.pdf, PDF p244; FCCL audited model row 85; Input Review gives exact source; Mathematical/day-count diagnostic constant</t>
  </si>
  <si>
    <t>T0729</t>
  </si>
  <si>
    <t>Mathematical/day-count diagnostic constant; FCCL audited model row 50; Input Review gives exact source; fauji\FCCL-Annual-Report-2023.pdf, PDF p208; FCCL audited model row 50; Input Review gives exact source; fauji\FCCL-Annual-Report-2025.pdf, PDF p244; FCCL audited model row 84; Input Review gives exact source</t>
  </si>
  <si>
    <t>T0730</t>
  </si>
  <si>
    <t>Mathematical/day-count diagnostic constant; FCCL audited model row 50; Input Review gives exact source; fauji\FCCL-Annual-Report-2023.pdf, PDF p208; FCCL audited model row 50; Input Review gives exact source; fauji\FCCL-Annual-Report-2025.pdf, PDF p244; FCCL audited model row 85; Input Review gives exact source; Mathematical/day-count diagnostic constant; FCCL audited model row 65; Input Review gives exact source; FCCL audited model row 65; Input Review gives exact source</t>
  </si>
  <si>
    <t>T0731</t>
  </si>
  <si>
    <t>Mathematical/day-count diagnostic constant; FCCL audited model row 50; Input Review gives exact source; fauji\FCCL-Annual-Report-2023.pdf, PDF p208; FCCL audited model row 50; Input Review gives exact source; fauji\FCCL-Annual-Report-2025.pdf, PDF p244; FCCL audited model row 85; Input Review gives exact source; Mathematical/day-count diagnostic constant; FCCL audited model row 31; Input Review gives exact source; FCCL audited model row 31; Input Review gives exact source</t>
  </si>
  <si>
    <t>T0732</t>
  </si>
  <si>
    <t>Mathematical/day-count diagnostic constant; FCCL audited model row 51; Input Review gives exact source; fauji\FCCL-Annual-Report-2024.pdf, PDF p154</t>
  </si>
  <si>
    <t>T0733</t>
  </si>
  <si>
    <t>Mathematical/day-count diagnostic constant; FCCL audited model row 50; Input Review gives exact source; fauji\FCCL-Annual-Report-2024.pdf, PDF p154</t>
  </si>
  <si>
    <t>T0734</t>
  </si>
  <si>
    <t>Mathematical/day-count diagnostic constant; FCCL audited model row 51; Input Review gives exact source; fauji\FCCL-Annual-Report-2025.pdf, PDF p268; fauji\FCCL-Annual-Report-2024.pdf, PDF p154</t>
  </si>
  <si>
    <t>T0735</t>
  </si>
  <si>
    <t>T0736</t>
  </si>
  <si>
    <t>T0737</t>
  </si>
  <si>
    <t>T0738</t>
  </si>
  <si>
    <t>T0739</t>
  </si>
  <si>
    <t>T0740</t>
  </si>
  <si>
    <t>T0741</t>
  </si>
  <si>
    <t>T0742</t>
  </si>
  <si>
    <t>T0743</t>
  </si>
  <si>
    <t>T0744</t>
  </si>
  <si>
    <t>T0745</t>
  </si>
  <si>
    <t>T0746</t>
  </si>
  <si>
    <t>T0747</t>
  </si>
  <si>
    <t>T0748</t>
  </si>
  <si>
    <t>T0749</t>
  </si>
  <si>
    <t>T0750</t>
  </si>
  <si>
    <t>T0751</t>
  </si>
  <si>
    <t>T0752</t>
  </si>
  <si>
    <t>T0753</t>
  </si>
  <si>
    <t>T0754</t>
  </si>
  <si>
    <t>T0755</t>
  </si>
  <si>
    <t>T0756</t>
  </si>
  <si>
    <t>T0757</t>
  </si>
  <si>
    <t>T0758</t>
  </si>
  <si>
    <t>T0759</t>
  </si>
  <si>
    <t>T0760</t>
  </si>
  <si>
    <t>Mathematical/day-count diagnostic constant; FCCL audited model row 51; Input Review gives exact source; fauji\FCCL-Annual-Report-2025.pdf, PDF p268; FCCL audited model row 51; Input Review gives exact source; fauji\FCCL-Annual-Report-2025.pdf, PDF p268; FCCL audited model row 85; Input Review gives exact source; Mathematical/day-count diagnostic constant</t>
  </si>
  <si>
    <t>T0761</t>
  </si>
  <si>
    <t>Mathematical/day-count diagnostic constant; FCCL audited model row 51; Input Review gives exact source; fauji\FCCL-Annual-Report-2025.pdf, PDF p268; FCCL audited model row 51; Input Review gives exact source; fauji\FCCL-Annual-Report-2025.pdf, PDF p268; FCCL audited model row 84; Input Review gives exact source</t>
  </si>
  <si>
    <t>T0762</t>
  </si>
  <si>
    <t>Mathematical/day-count diagnostic constant; FCCL audited model row 51; Input Review gives exact source; fauji\FCCL-Annual-Report-2025.pdf, PDF p268; FCCL audited model row 51; Input Review gives exact source; fauji\FCCL-Annual-Report-2025.pdf, PDF p268; FCCL audited model row 85; Input Review gives exact source; Mathematical/day-count diagnostic constant; FCCL audited model row 65; Input Review gives exact source; FCCL audited model row 65; Input Review gives exact source</t>
  </si>
  <si>
    <t>T0763</t>
  </si>
  <si>
    <t>Mathematical/day-count diagnostic constant; FCCL audited model row 51; Input Review gives exact source; fauji\FCCL-Annual-Report-2025.pdf, PDF p268; FCCL audited model row 51; Input Review gives exact source; fauji\FCCL-Annual-Report-2025.pdf, PDF p268; FCCL audited model row 85; Input Review gives exact source; Mathematical/day-count diagnostic constant; FCCL audited model row 31; Input Review gives exact source; FCCL audited model row 31; Input Review gives exact source</t>
  </si>
  <si>
    <t>T0764</t>
  </si>
  <si>
    <t>T0765</t>
  </si>
  <si>
    <t>T0766</t>
  </si>
  <si>
    <t>T0767</t>
  </si>
  <si>
    <t>T0768</t>
  </si>
  <si>
    <t>Mathematical/day-count diagnostic constant; FCCL audited model row 51; Input Review gives exact source; fauji\FCCL-Annual-Report-2025.pdf, PDF p244; FCCL audited model row 51; Input Review gives exact source; fauji\FCCL-Annual-Report-2025.pdf, PDF p244; FCCL audited model row 85; Input Review gives exact source; Mathematical/day-count diagnostic constant</t>
  </si>
  <si>
    <t>T0769</t>
  </si>
  <si>
    <t>Mathematical/day-count diagnostic constant; FCCL audited model row 51; Input Review gives exact source; fauji\FCCL-Annual-Report-2025.pdf, PDF p244; FCCL audited model row 51; Input Review gives exact source; fauji\FCCL-Annual-Report-2025.pdf, PDF p244; FCCL audited model row 84; Input Review gives exact source</t>
  </si>
  <si>
    <t>T0770</t>
  </si>
  <si>
    <t>Mathematical/day-count diagnostic constant; FCCL audited model row 51; Input Review gives exact source; fauji\FCCL-Annual-Report-2025.pdf, PDF p244; FCCL audited model row 51; Input Review gives exact source; fauji\FCCL-Annual-Report-2025.pdf, PDF p244; FCCL audited model row 85; Input Review gives exact source; Mathematical/day-count diagnostic constant; FCCL audited model row 65; Input Review gives exact source; FCCL audited model row 65; Input Review gives exact source</t>
  </si>
  <si>
    <t>T0771</t>
  </si>
  <si>
    <t>Mathematical/day-count diagnostic constant; FCCL audited model row 51; Input Review gives exact source; fauji\FCCL-Annual-Report-2025.pdf, PDF p244; FCCL audited model row 51; Input Review gives exact source; fauji\FCCL-Annual-Report-2025.pdf, PDF p244; FCCL audited model row 85; Input Review gives exact source; Mathematical/day-count diagnostic constant; FCCL audited model row 31; Input Review gives exact source; FCCL audited model row 31; Input Review gives exact source</t>
  </si>
  <si>
    <t>T0772</t>
  </si>
  <si>
    <t>T0773</t>
  </si>
  <si>
    <t>T0774</t>
  </si>
  <si>
    <t>T0775</t>
  </si>
  <si>
    <t>T0776</t>
  </si>
  <si>
    <t>Mathematical/day-count diagnostic constant; FCCL audited model row 50; Input Review gives exact source; fauji\FCCL-Annual-Report-2025.pdf, PDF p244; FCCL audited model row 50; Input Review gives exact source; fauji\FCCL-Annual-Report-2025.pdf, PDF p244; FCCL audited model row 85; Input Review gives exact source; Mathematical/day-count diagnostic constant</t>
  </si>
  <si>
    <t>T0777</t>
  </si>
  <si>
    <t>Mathematical/day-count diagnostic constant; FCCL audited model row 50; Input Review gives exact source; fauji\FCCL-Annual-Report-2025.pdf, PDF p244; FCCL audited model row 50; Input Review gives exact source; fauji\FCCL-Annual-Report-2025.pdf, PDF p244; FCCL audited model row 84; Input Review gives exact source</t>
  </si>
  <si>
    <t>T0778</t>
  </si>
  <si>
    <t>Mathematical/day-count diagnostic constant; FCCL audited model row 50; Input Review gives exact source; fauji\FCCL-Annual-Report-2025.pdf, PDF p244; FCCL audited model row 50; Input Review gives exact source; fauji\FCCL-Annual-Report-2025.pdf, PDF p244; FCCL audited model row 85; Input Review gives exact source; Mathematical/day-count diagnostic constant; FCCL audited model row 65; Input Review gives exact source; FCCL audited model row 65; Input Review gives exact source</t>
  </si>
  <si>
    <t>T0779</t>
  </si>
  <si>
    <t>Mathematical/day-count diagnostic constant; FCCL audited model row 50; Input Review gives exact source; fauji\FCCL-Annual-Report-2025.pdf, PDF p244; FCCL audited model row 50; Input Review gives exact source; fauji\FCCL-Annual-Report-2025.pdf, PDF p244; FCCL audited model row 85; Input Review gives exact source; Mathematical/day-count diagnostic constant; FCCL audited model row 31; Input Review gives exact source; FCCL audited model row 31; Input Review gives exact source</t>
  </si>
  <si>
    <t>T0780</t>
  </si>
  <si>
    <t>Mathematical/day-count diagnostic constant; FCCL audited model row 51; Input Review gives exact source; fauji\FCCL-Annual-Report-2025.pdf, PDF p210</t>
  </si>
  <si>
    <t>T0781</t>
  </si>
  <si>
    <t>Mathematical/day-count diagnostic constant; FCCL audited model row 50; Input Review gives exact source; fauji\FCCL-Annual-Report-2025.pdf, PDF p210</t>
  </si>
  <si>
    <t>T0782</t>
  </si>
  <si>
    <t>Mathematical/day-count diagnostic constant; FCCL audited model row 51; Input Review gives exact source; fauji\FCCL-Annual-Report-2025.pdf, PDF p268; fauji\FCCL-Annual-Report-2025.pdf, PDF p210</t>
  </si>
  <si>
    <t>T0783</t>
  </si>
  <si>
    <t>T0784</t>
  </si>
  <si>
    <t>Printed inventory + receivable + payable days</t>
  </si>
  <si>
    <t>T0785</t>
  </si>
  <si>
    <t>Mathematical/day-count diagnostic constant; FCCL audited model row 31; Input Review gives exact source; FCCL audited model row 31; Input Review gives exact source; FCCL audited model row 85; Input Review gives exact source; Mathematical/day-count diagnostic constant; Mathematical/day-count diagnostic constant; Mathematical/day-count diagnostic constant</t>
  </si>
  <si>
    <t>T0786</t>
  </si>
  <si>
    <t>Standard operating-cycle identity DIO + DSO</t>
  </si>
  <si>
    <t>Mathematical/day-count diagnostic constant; FCCL audited model row 65; Input Review gives exact source; FCCL audited model row 65; Input Review gives exact source; FCCL audited model row 85; Input Review gives exact source; Mathematical/day-count diagnostic constant; Mathematical/day-count diagnostic constant; FCCL audited model row 32; Input Review gives exact source; FCCL audited model row 32; Input Review gives exact source; FCCL audited model row 84; Input Review gives exact source; Mathematical/day-count diagnostic constant</t>
  </si>
  <si>
    <t>T0787</t>
  </si>
  <si>
    <t>T0788</t>
  </si>
  <si>
    <t>FCCL audited model row 84; Input Review gives exact source; FCCL audited model row 37; Input Review gives exact source</t>
  </si>
  <si>
    <t>Whole-series candidate; a one-year fit is not accepted as a disclosed convention.</t>
  </si>
  <si>
    <t>T0789</t>
  </si>
  <si>
    <t>annual net sales / average total assets</t>
  </si>
  <si>
    <t>FCCL audited model row 84; Input Review gives exact source; FCCL audited model row 37; Input Review gives exact source; FCCL audited model row 37; Input Review gives exact source</t>
  </si>
  <si>
    <t>T0790</t>
  </si>
  <si>
    <t>FCCL audited model row 84; Input Review gives exact source; FCCL audited model row 20; Input Review gives exact source</t>
  </si>
  <si>
    <t>T0791</t>
  </si>
  <si>
    <t>annual net sales / average total PPE</t>
  </si>
  <si>
    <t>FCCL audited model row 84; Input Review gives exact source; FCCL audited model row 20; Input Review gives exact source; FCCL audited model row 20; Input Review gives exact source</t>
  </si>
  <si>
    <t>T0792</t>
  </si>
  <si>
    <t>annual net sales / closing operating PPE</t>
  </si>
  <si>
    <t>FCCL audited model row 84; Input Review gives exact source; FCCL audited model row 22; Input Review gives exact source</t>
  </si>
  <si>
    <t>T0793</t>
  </si>
  <si>
    <t>annual net sales / average operating PPE</t>
  </si>
  <si>
    <t>FCCL audited model row 84; Input Review gives exact source; FCCL audited model row 22; Input Review gives exact source; FCCL audited model row 22; Input Review gives exact source</t>
  </si>
  <si>
    <t>T0794</t>
  </si>
  <si>
    <t>annual net sales / closing non-current assets</t>
  </si>
  <si>
    <t>FCCL audited model row 84; Input Review gives exact source; FCCL audited model row 28; Input Review gives exact source</t>
  </si>
  <si>
    <t>T0795</t>
  </si>
  <si>
    <t>annual net sales / average non-current assets</t>
  </si>
  <si>
    <t>FCCL audited model row 84; Input Review gives exact source; FCCL audited model row 28; Input Review gives exact source; FCCL audited model row 28; Input Review gives exact source</t>
  </si>
  <si>
    <t>T0796</t>
  </si>
  <si>
    <t>annual net sales / closing gross PPE cost</t>
  </si>
  <si>
    <t>FCCL audited model row 84; Input Review gives exact source; fauji\FCCL-Annual-Report-2023.pdf, PDF p239</t>
  </si>
  <si>
    <t>T0797</t>
  </si>
  <si>
    <t>annual net sales / closing gross PPE cost excluding CWIP</t>
  </si>
  <si>
    <t>FCCL audited model row 84; Input Review gives exact source; fauji\FCCL-Annual-Report-2023.pdf, PDF p239; FCCL audited model row 21; Input Review gives exact source</t>
  </si>
  <si>
    <t>T0798</t>
  </si>
  <si>
    <t>annual net sales / average gross PPE cost</t>
  </si>
  <si>
    <t>FCCL audited model row 84; Input Review gives exact source; fauji\FCCL-Annual-Report-2023.pdf, PDF p239; fauji\FCCL-Annual-Report-2023.pdf, PDF p239</t>
  </si>
  <si>
    <t>T0799</t>
  </si>
  <si>
    <t>profit after tax / closing total assets</t>
  </si>
  <si>
    <t>FCCL audited model row 99; Input Review gives exact source; FCCL audited model row 37; Input Review gives exact source</t>
  </si>
  <si>
    <t>T0800</t>
  </si>
  <si>
    <t>profit after tax / average total assets</t>
  </si>
  <si>
    <t>FCCL audited model row 99; Input Review gives exact source; FCCL audited model row 37; Input Review gives exact source; FCCL audited model row 37; Input Review gives exact source</t>
  </si>
  <si>
    <t>T0801</t>
  </si>
  <si>
    <t>profit after tax / closing total PPE</t>
  </si>
  <si>
    <t>FCCL audited model row 99; Input Review gives exact source; FCCL audited model row 20; Input Review gives exact source</t>
  </si>
  <si>
    <t>T0802</t>
  </si>
  <si>
    <t>profit after tax / average total PPE</t>
  </si>
  <si>
    <t>FCCL audited model row 99; Input Review gives exact source; FCCL audited model row 20; Input Review gives exact source; FCCL audited model row 20; Input Review gives exact source</t>
  </si>
  <si>
    <t>T0803</t>
  </si>
  <si>
    <t>profit after tax / closing operating PPE</t>
  </si>
  <si>
    <t>FCCL audited model row 99; Input Review gives exact source; FCCL audited model row 22; Input Review gives exact source</t>
  </si>
  <si>
    <t>T0804</t>
  </si>
  <si>
    <t>profit after tax / average operating PPE</t>
  </si>
  <si>
    <t>FCCL audited model row 99; Input Review gives exact source; FCCL audited model row 22; Input Review gives exact source; FCCL audited model row 22; Input Review gives exact source</t>
  </si>
  <si>
    <t>T0805</t>
  </si>
  <si>
    <t>profit after tax / closing non-current assets</t>
  </si>
  <si>
    <t>FCCL audited model row 99; Input Review gives exact source; FCCL audited model row 28; Input Review gives exact source</t>
  </si>
  <si>
    <t>T0806</t>
  </si>
  <si>
    <t>profit after tax / average non-current assets</t>
  </si>
  <si>
    <t>FCCL audited model row 99; Input Review gives exact source; FCCL audited model row 28; Input Review gives exact source; FCCL audited model row 28; Input Review gives exact source</t>
  </si>
  <si>
    <t>T0807</t>
  </si>
  <si>
    <t>profit after tax / closing gross PPE cost</t>
  </si>
  <si>
    <t>FCCL audited model row 99; Input Review gives exact source; fauji\FCCL-Annual-Report-2023.pdf, PDF p239</t>
  </si>
  <si>
    <t>T0808</t>
  </si>
  <si>
    <t>profit after tax / closing gross PPE cost excluding CWIP</t>
  </si>
  <si>
    <t>FCCL audited model row 99; Input Review gives exact source; fauji\FCCL-Annual-Report-2023.pdf, PDF p239; FCCL audited model row 21; Input Review gives exact source</t>
  </si>
  <si>
    <t>T0809</t>
  </si>
  <si>
    <t>profit after tax / average gross PPE cost</t>
  </si>
  <si>
    <t>FCCL audited model row 99; Input Review gives exact source; fauji\FCCL-Annual-Report-2023.pdf, PDF p239; fauji\FCCL-Annual-Report-2023.pdf, PDF p239</t>
  </si>
  <si>
    <t>T0810</t>
  </si>
  <si>
    <t>profit before tax and levy / closing total assets</t>
  </si>
  <si>
    <t>FCCL audited model row 96; Input Review gives exact source; FCCL audited model row 37; Input Review gives exact source</t>
  </si>
  <si>
    <t>T0811</t>
  </si>
  <si>
    <t>profit before tax and levy / average total assets</t>
  </si>
  <si>
    <t>FCCL audited model row 96; Input Review gives exact source; FCCL audited model row 37; Input Review gives exact source; FCCL audited model row 37; Input Review gives exact source</t>
  </si>
  <si>
    <t>T0812</t>
  </si>
  <si>
    <t>profit before tax and levy / closing total PPE</t>
  </si>
  <si>
    <t>FCCL audited model row 96; Input Review gives exact source; FCCL audited model row 20; Input Review gives exact source</t>
  </si>
  <si>
    <t>T0813</t>
  </si>
  <si>
    <t>profit before tax and levy / average total PPE</t>
  </si>
  <si>
    <t>FCCL audited model row 96; Input Review gives exact source; FCCL audited model row 20; Input Review gives exact source; FCCL audited model row 20; Input Review gives exact source</t>
  </si>
  <si>
    <t>T0814</t>
  </si>
  <si>
    <t>profit before tax and levy / closing operating PPE</t>
  </si>
  <si>
    <t>FCCL audited model row 96; Input Review gives exact source; FCCL audited model row 22; Input Review gives exact source</t>
  </si>
  <si>
    <t>T0815</t>
  </si>
  <si>
    <t>profit before tax and levy / average operating PPE</t>
  </si>
  <si>
    <t>FCCL audited model row 96; Input Review gives exact source; FCCL audited model row 22; Input Review gives exact source; FCCL audited model row 22; Input Review gives exact source</t>
  </si>
  <si>
    <t>T0816</t>
  </si>
  <si>
    <t>profit before tax and levy / closing non-current assets</t>
  </si>
  <si>
    <t>FCCL audited model row 96; Input Review gives exact source; FCCL audited model row 28; Input Review gives exact source</t>
  </si>
  <si>
    <t>T0817</t>
  </si>
  <si>
    <t>profit before tax and levy / average non-current assets</t>
  </si>
  <si>
    <t>FCCL audited model row 96; Input Review gives exact source; FCCL audited model row 28; Input Review gives exact source; FCCL audited model row 28; Input Review gives exact source</t>
  </si>
  <si>
    <t>T0818</t>
  </si>
  <si>
    <t>profit before tax and levy / closing gross PPE cost</t>
  </si>
  <si>
    <t>FCCL audited model row 96; Input Review gives exact source; fauji\FCCL-Annual-Report-2023.pdf, PDF p239</t>
  </si>
  <si>
    <t>T0819</t>
  </si>
  <si>
    <t>profit before tax and levy / closing gross PPE cost excluding CWIP</t>
  </si>
  <si>
    <t>FCCL audited model row 96; Input Review gives exact source; fauji\FCCL-Annual-Report-2023.pdf, PDF p239; FCCL audited model row 21; Input Review gives exact source</t>
  </si>
  <si>
    <t>T0820</t>
  </si>
  <si>
    <t>profit before tax and levy / average gross PPE cost</t>
  </si>
  <si>
    <t>FCCL audited model row 96; Input Review gives exact source; fauji\FCCL-Annual-Report-2023.pdf, PDF p239; fauji\FCCL-Annual-Report-2023.pdf, PDF p239</t>
  </si>
  <si>
    <t>T0821</t>
  </si>
  <si>
    <t>EBIT / closing total assets</t>
  </si>
  <si>
    <t>FCCL audited model row 108; Input Review gives exact source; FCCL audited model row 37; Input Review gives exact source</t>
  </si>
  <si>
    <t>T0822</t>
  </si>
  <si>
    <t>EBIT / average total assets</t>
  </si>
  <si>
    <t>FCCL audited model row 108; Input Review gives exact source; FCCL audited model row 37; Input Review gives exact source; FCCL audited model row 37; Input Review gives exact source</t>
  </si>
  <si>
    <t>T0823</t>
  </si>
  <si>
    <t>EBIT / closing total PPE</t>
  </si>
  <si>
    <t>FCCL audited model row 108; Input Review gives exact source; FCCL audited model row 20; Input Review gives exact source</t>
  </si>
  <si>
    <t>T0824</t>
  </si>
  <si>
    <t>EBIT / average total PPE</t>
  </si>
  <si>
    <t>FCCL audited model row 108; Input Review gives exact source; FCCL audited model row 20; Input Review gives exact source; FCCL audited model row 20; Input Review gives exact source</t>
  </si>
  <si>
    <t>T0825</t>
  </si>
  <si>
    <t>EBIT / closing operating PPE</t>
  </si>
  <si>
    <t>FCCL audited model row 108; Input Review gives exact source; FCCL audited model row 22; Input Review gives exact source</t>
  </si>
  <si>
    <t>T0826</t>
  </si>
  <si>
    <t>EBIT / average operating PPE</t>
  </si>
  <si>
    <t>FCCL audited model row 108; Input Review gives exact source; FCCL audited model row 22; Input Review gives exact source; FCCL audited model row 22; Input Review gives exact source</t>
  </si>
  <si>
    <t>T0827</t>
  </si>
  <si>
    <t>EBIT / closing non-current assets</t>
  </si>
  <si>
    <t>FCCL audited model row 108; Input Review gives exact source; FCCL audited model row 28; Input Review gives exact source</t>
  </si>
  <si>
    <t>T0828</t>
  </si>
  <si>
    <t>EBIT / average non-current assets</t>
  </si>
  <si>
    <t>FCCL audited model row 108; Input Review gives exact source; FCCL audited model row 28; Input Review gives exact source; FCCL audited model row 28; Input Review gives exact source</t>
  </si>
  <si>
    <t>T0829</t>
  </si>
  <si>
    <t>EBIT / closing gross PPE cost</t>
  </si>
  <si>
    <t>FCCL audited model row 108; Input Review gives exact source; fauji\FCCL-Annual-Report-2023.pdf, PDF p239</t>
  </si>
  <si>
    <t>T0830</t>
  </si>
  <si>
    <t>EBIT / closing gross PPE cost excluding CWIP</t>
  </si>
  <si>
    <t>FCCL audited model row 108; Input Review gives exact source; fauji\FCCL-Annual-Report-2023.pdf, PDF p239; FCCL audited model row 21; Input Review gives exact source</t>
  </si>
  <si>
    <t>T0831</t>
  </si>
  <si>
    <t>EBIT / average gross PPE cost</t>
  </si>
  <si>
    <t>FCCL audited model row 108; Input Review gives exact source; fauji\FCCL-Annual-Report-2023.pdf, PDF p239; fauji\FCCL-Annual-Report-2023.pdf, PDF p239</t>
  </si>
  <si>
    <t>T0832</t>
  </si>
  <si>
    <t>core operating profit / closing total assets</t>
  </si>
  <si>
    <t>FCCL audited model row 91; Input Review gives exact source; FCCL audited model row 37; Input Review gives exact source</t>
  </si>
  <si>
    <t>T0833</t>
  </si>
  <si>
    <t>core operating profit / average total assets</t>
  </si>
  <si>
    <t>FCCL audited model row 91; Input Review gives exact source; FCCL audited model row 37; Input Review gives exact source; FCCL audited model row 37; Input Review gives exact source</t>
  </si>
  <si>
    <t>T0834</t>
  </si>
  <si>
    <t>core operating profit / closing total PPE</t>
  </si>
  <si>
    <t>FCCL audited model row 91; Input Review gives exact source; FCCL audited model row 20; Input Review gives exact source</t>
  </si>
  <si>
    <t>T0835</t>
  </si>
  <si>
    <t>core operating profit / average total PPE</t>
  </si>
  <si>
    <t>FCCL audited model row 91; Input Review gives exact source; FCCL audited model row 20; Input Review gives exact source; FCCL audited model row 20; Input Review gives exact source</t>
  </si>
  <si>
    <t>T0836</t>
  </si>
  <si>
    <t>core operating profit / closing operating PPE</t>
  </si>
  <si>
    <t>FCCL audited model row 91; Input Review gives exact source; FCCL audited model row 22; Input Review gives exact source</t>
  </si>
  <si>
    <t>T0837</t>
  </si>
  <si>
    <t>core operating profit / average operating PPE</t>
  </si>
  <si>
    <t>FCCL audited model row 91; Input Review gives exact source; FCCL audited model row 22; Input Review gives exact source; FCCL audited model row 22; Input Review gives exact source</t>
  </si>
  <si>
    <t>T0838</t>
  </si>
  <si>
    <t>core operating profit / closing non-current assets</t>
  </si>
  <si>
    <t>FCCL audited model row 91; Input Review gives exact source; FCCL audited model row 28; Input Review gives exact source</t>
  </si>
  <si>
    <t>T0839</t>
  </si>
  <si>
    <t>core operating profit / average non-current assets</t>
  </si>
  <si>
    <t>FCCL audited model row 91; Input Review gives exact source; FCCL audited model row 28; Input Review gives exact source; FCCL audited model row 28; Input Review gives exact source</t>
  </si>
  <si>
    <t>T0840</t>
  </si>
  <si>
    <t>core operating profit / closing gross PPE cost</t>
  </si>
  <si>
    <t>FCCL audited model row 91; Input Review gives exact source; fauji\FCCL-Annual-Report-2023.pdf, PDF p239</t>
  </si>
  <si>
    <t>T0841</t>
  </si>
  <si>
    <t>core operating profit / closing gross PPE cost excluding CWIP</t>
  </si>
  <si>
    <t>FCCL audited model row 91; Input Review gives exact source; fauji\FCCL-Annual-Report-2023.pdf, PDF p239; FCCL audited model row 21; Input Review gives exact source</t>
  </si>
  <si>
    <t>T0842</t>
  </si>
  <si>
    <t>core operating profit / average gross PPE cost</t>
  </si>
  <si>
    <t>FCCL audited model row 91; Input Review gives exact source; fauji\FCCL-Annual-Report-2023.pdf, PDF p239; fauji\FCCL-Annual-Report-2023.pdf, PDF p239</t>
  </si>
  <si>
    <t>T0843</t>
  </si>
  <si>
    <t>T0844</t>
  </si>
  <si>
    <t>T0845</t>
  </si>
  <si>
    <t>T0846</t>
  </si>
  <si>
    <t>T0847</t>
  </si>
  <si>
    <t>T0848</t>
  </si>
  <si>
    <t>T0849</t>
  </si>
  <si>
    <t>T0850</t>
  </si>
  <si>
    <t>T0851</t>
  </si>
  <si>
    <t>T0852</t>
  </si>
  <si>
    <t>FCCL audited model row 84; Input Review gives exact source; fauji\FCCL-Annual-Report-2025.pdf, PDF p273</t>
  </si>
  <si>
    <t>T0853</t>
  </si>
  <si>
    <t>FCCL audited model row 84; Input Review gives exact source; fauji\FCCL-Annual-Report-2025.pdf, PDF p273; FCCL audited model row 21; Input Review gives exact source</t>
  </si>
  <si>
    <t>T0854</t>
  </si>
  <si>
    <t>FCCL audited model row 84; Input Review gives exact source; fauji\FCCL-Annual-Report-2023.pdf, PDF p239; fauji\FCCL-Annual-Report-2025.pdf, PDF p273</t>
  </si>
  <si>
    <t>T0855</t>
  </si>
  <si>
    <t>T0856</t>
  </si>
  <si>
    <t>T0857</t>
  </si>
  <si>
    <t>T0858</t>
  </si>
  <si>
    <t>T0859</t>
  </si>
  <si>
    <t>T0860</t>
  </si>
  <si>
    <t>T0861</t>
  </si>
  <si>
    <t>T0862</t>
  </si>
  <si>
    <t>T0863</t>
  </si>
  <si>
    <t>FCCL audited model row 99; Input Review gives exact source; fauji\FCCL-Annual-Report-2025.pdf, PDF p273</t>
  </si>
  <si>
    <t>T0864</t>
  </si>
  <si>
    <t>FCCL audited model row 99; Input Review gives exact source; fauji\FCCL-Annual-Report-2025.pdf, PDF p273; FCCL audited model row 21; Input Review gives exact source</t>
  </si>
  <si>
    <t>T0865</t>
  </si>
  <si>
    <t>FCCL audited model row 99; Input Review gives exact source; fauji\FCCL-Annual-Report-2023.pdf, PDF p239; fauji\FCCL-Annual-Report-2025.pdf, PDF p273</t>
  </si>
  <si>
    <t>T0866</t>
  </si>
  <si>
    <t>T0867</t>
  </si>
  <si>
    <t>T0868</t>
  </si>
  <si>
    <t>T0869</t>
  </si>
  <si>
    <t>T0870</t>
  </si>
  <si>
    <t>T0871</t>
  </si>
  <si>
    <t>T0872</t>
  </si>
  <si>
    <t>T0873</t>
  </si>
  <si>
    <t>T0874</t>
  </si>
  <si>
    <t>FCCL audited model row 96; Input Review gives exact source; fauji\FCCL-Annual-Report-2025.pdf, PDF p273</t>
  </si>
  <si>
    <t>T0875</t>
  </si>
  <si>
    <t>FCCL audited model row 96; Input Review gives exact source; fauji\FCCL-Annual-Report-2025.pdf, PDF p273; FCCL audited model row 21; Input Review gives exact source</t>
  </si>
  <si>
    <t>T0876</t>
  </si>
  <si>
    <t>FCCL audited model row 96; Input Review gives exact source; fauji\FCCL-Annual-Report-2023.pdf, PDF p239; fauji\FCCL-Annual-Report-2025.pdf, PDF p273</t>
  </si>
  <si>
    <t>T0877</t>
  </si>
  <si>
    <t>T0878</t>
  </si>
  <si>
    <t>T0879</t>
  </si>
  <si>
    <t>T0880</t>
  </si>
  <si>
    <t>T0881</t>
  </si>
  <si>
    <t>T0882</t>
  </si>
  <si>
    <t>T0883</t>
  </si>
  <si>
    <t>T0884</t>
  </si>
  <si>
    <t>T0885</t>
  </si>
  <si>
    <t>FCCL audited model row 108; Input Review gives exact source; fauji\FCCL-Annual-Report-2025.pdf, PDF p273</t>
  </si>
  <si>
    <t>T0886</t>
  </si>
  <si>
    <t>FCCL audited model row 108; Input Review gives exact source; fauji\FCCL-Annual-Report-2025.pdf, PDF p273; FCCL audited model row 21; Input Review gives exact source</t>
  </si>
  <si>
    <t>T0887</t>
  </si>
  <si>
    <t>FCCL audited model row 108; Input Review gives exact source; fauji\FCCL-Annual-Report-2023.pdf, PDF p239; fauji\FCCL-Annual-Report-2025.pdf, PDF p273</t>
  </si>
  <si>
    <t>T0888</t>
  </si>
  <si>
    <t>T0889</t>
  </si>
  <si>
    <t>T0890</t>
  </si>
  <si>
    <t>T0891</t>
  </si>
  <si>
    <t>T0892</t>
  </si>
  <si>
    <t>T0893</t>
  </si>
  <si>
    <t>T0894</t>
  </si>
  <si>
    <t>T0895</t>
  </si>
  <si>
    <t>T0896</t>
  </si>
  <si>
    <t>FCCL audited model row 91; Input Review gives exact source; fauji\FCCL-Annual-Report-2025.pdf, PDF p273</t>
  </si>
  <si>
    <t>T0897</t>
  </si>
  <si>
    <t>FCCL audited model row 91; Input Review gives exact source; fauji\FCCL-Annual-Report-2025.pdf, PDF p273; FCCL audited model row 21; Input Review gives exact source</t>
  </si>
  <si>
    <t>T0898</t>
  </si>
  <si>
    <t>FCCL audited model row 91; Input Review gives exact source; fauji\FCCL-Annual-Report-2023.pdf, PDF p239; fauji\FCCL-Annual-Report-2025.pdf, PDF p273</t>
  </si>
  <si>
    <t>T0899</t>
  </si>
  <si>
    <t>T0900</t>
  </si>
  <si>
    <t>T0901</t>
  </si>
  <si>
    <t>T0902</t>
  </si>
  <si>
    <t>T0903</t>
  </si>
  <si>
    <t>T0904</t>
  </si>
  <si>
    <t>T0905</t>
  </si>
  <si>
    <t>T0906</t>
  </si>
  <si>
    <t>T0907</t>
  </si>
  <si>
    <t>T0908</t>
  </si>
  <si>
    <t>T0909</t>
  </si>
  <si>
    <t>T0910</t>
  </si>
  <si>
    <t>FCCL audited model row 84; Input Review gives exact source; fauji\FCCL-Annual-Report-2025.pdf, PDF p273; fauji\FCCL-Annual-Report-2025.pdf, PDF p273</t>
  </si>
  <si>
    <t>T0911</t>
  </si>
  <si>
    <t>T0912</t>
  </si>
  <si>
    <t>T0913</t>
  </si>
  <si>
    <t>T0914</t>
  </si>
  <si>
    <t>T0915</t>
  </si>
  <si>
    <t>T0916</t>
  </si>
  <si>
    <t>T0917</t>
  </si>
  <si>
    <t>T0918</t>
  </si>
  <si>
    <t>T0919</t>
  </si>
  <si>
    <t>T0920</t>
  </si>
  <si>
    <t>T0921</t>
  </si>
  <si>
    <t>FCCL audited model row 99; Input Review gives exact source; fauji\FCCL-Annual-Report-2025.pdf, PDF p273; fauji\FCCL-Annual-Report-2025.pdf, PDF p273</t>
  </si>
  <si>
    <t>T0922</t>
  </si>
  <si>
    <t>T0923</t>
  </si>
  <si>
    <t>T0924</t>
  </si>
  <si>
    <t>T0925</t>
  </si>
  <si>
    <t>T0926</t>
  </si>
  <si>
    <t>T0927</t>
  </si>
  <si>
    <t>T0928</t>
  </si>
  <si>
    <t>T0929</t>
  </si>
  <si>
    <t>T0930</t>
  </si>
  <si>
    <t>T0931</t>
  </si>
  <si>
    <t>T0932</t>
  </si>
  <si>
    <t>FCCL audited model row 96; Input Review gives exact source; fauji\FCCL-Annual-Report-2025.pdf, PDF p273; fauji\FCCL-Annual-Report-2025.pdf, PDF p273</t>
  </si>
  <si>
    <t>T0933</t>
  </si>
  <si>
    <t>T0934</t>
  </si>
  <si>
    <t>T0935</t>
  </si>
  <si>
    <t>T0936</t>
  </si>
  <si>
    <t>T0937</t>
  </si>
  <si>
    <t>T0938</t>
  </si>
  <si>
    <t>T0939</t>
  </si>
  <si>
    <t>T0940</t>
  </si>
  <si>
    <t>T0941</t>
  </si>
  <si>
    <t>T0942</t>
  </si>
  <si>
    <t>T0943</t>
  </si>
  <si>
    <t>FCCL audited model row 108; Input Review gives exact source; fauji\FCCL-Annual-Report-2025.pdf, PDF p273; fauji\FCCL-Annual-Report-2025.pdf, PDF p273</t>
  </si>
  <si>
    <t>T0944</t>
  </si>
  <si>
    <t>T0945</t>
  </si>
  <si>
    <t>T0946</t>
  </si>
  <si>
    <t>T0947</t>
  </si>
  <si>
    <t>T0948</t>
  </si>
  <si>
    <t>T0949</t>
  </si>
  <si>
    <t>T0950</t>
  </si>
  <si>
    <t>T0951</t>
  </si>
  <si>
    <t>T0952</t>
  </si>
  <si>
    <t>T0953</t>
  </si>
  <si>
    <t>T0954</t>
  </si>
  <si>
    <t>FCCL audited model row 91; Input Review gives exact source; fauji\FCCL-Annual-Report-2025.pdf, PDF p273; fauji\FCCL-Annual-Report-2025.pdf, PDF p273</t>
  </si>
  <si>
    <t>T0955</t>
  </si>
  <si>
    <t>T0956</t>
  </si>
  <si>
    <t>T0957</t>
  </si>
  <si>
    <t>T0958</t>
  </si>
  <si>
    <t>T0959</t>
  </si>
  <si>
    <t>T0960</t>
  </si>
  <si>
    <t>T0961</t>
  </si>
  <si>
    <t>T0962</t>
  </si>
  <si>
    <t>T0963</t>
  </si>
  <si>
    <t>T0964</t>
  </si>
  <si>
    <t>FCCL audited model row 84; Input Review gives exact source; fauji\FCCL-Annual-Report-2025.pdf, PDF p274</t>
  </si>
  <si>
    <t>T0965</t>
  </si>
  <si>
    <t>FCCL audited model row 84; Input Review gives exact source; fauji\FCCL-Annual-Report-2025.pdf, PDF p274; FCCL audited model row 21; Input Review gives exact source</t>
  </si>
  <si>
    <t>T0966</t>
  </si>
  <si>
    <t>FCCL audited model row 84; Input Review gives exact source; fauji\FCCL-Annual-Report-2025.pdf, PDF p273; fauji\FCCL-Annual-Report-2025.pdf, PDF p274</t>
  </si>
  <si>
    <t>T0967</t>
  </si>
  <si>
    <t>T0968</t>
  </si>
  <si>
    <t>T0969</t>
  </si>
  <si>
    <t>T0970</t>
  </si>
  <si>
    <t>T0971</t>
  </si>
  <si>
    <t>T0972</t>
  </si>
  <si>
    <t>T0973</t>
  </si>
  <si>
    <t>T0974</t>
  </si>
  <si>
    <t>T0975</t>
  </si>
  <si>
    <t>FCCL audited model row 99; Input Review gives exact source; fauji\FCCL-Annual-Report-2025.pdf, PDF p274</t>
  </si>
  <si>
    <t>T0976</t>
  </si>
  <si>
    <t>FCCL audited model row 99; Input Review gives exact source; fauji\FCCL-Annual-Report-2025.pdf, PDF p274; FCCL audited model row 21; Input Review gives exact source</t>
  </si>
  <si>
    <t>T0977</t>
  </si>
  <si>
    <t>FCCL audited model row 99; Input Review gives exact source; fauji\FCCL-Annual-Report-2025.pdf, PDF p273; fauji\FCCL-Annual-Report-2025.pdf, PDF p274</t>
  </si>
  <si>
    <t>T0978</t>
  </si>
  <si>
    <t>T0979</t>
  </si>
  <si>
    <t>T0980</t>
  </si>
  <si>
    <t>T0981</t>
  </si>
  <si>
    <t>T0982</t>
  </si>
  <si>
    <t>T0983</t>
  </si>
  <si>
    <t>T0984</t>
  </si>
  <si>
    <t>T0985</t>
  </si>
  <si>
    <t>T0986</t>
  </si>
  <si>
    <t>FCCL audited model row 96; Input Review gives exact source; fauji\FCCL-Annual-Report-2025.pdf, PDF p274</t>
  </si>
  <si>
    <t>T0987</t>
  </si>
  <si>
    <t>FCCL audited model row 96; Input Review gives exact source; fauji\FCCL-Annual-Report-2025.pdf, PDF p274; FCCL audited model row 21; Input Review gives exact source</t>
  </si>
  <si>
    <t>T0988</t>
  </si>
  <si>
    <t>FCCL audited model row 96; Input Review gives exact source; fauji\FCCL-Annual-Report-2025.pdf, PDF p273; fauji\FCCL-Annual-Report-2025.pdf, PDF p274</t>
  </si>
  <si>
    <t>T0989</t>
  </si>
  <si>
    <t>T0990</t>
  </si>
  <si>
    <t>T0991</t>
  </si>
  <si>
    <t>T0992</t>
  </si>
  <si>
    <t>T0993</t>
  </si>
  <si>
    <t>T0994</t>
  </si>
  <si>
    <t>T0995</t>
  </si>
  <si>
    <t>T0996</t>
  </si>
  <si>
    <t>T0997</t>
  </si>
  <si>
    <t>FCCL audited model row 108; Input Review gives exact source; fauji\FCCL-Annual-Report-2025.pdf, PDF p274</t>
  </si>
  <si>
    <t>T0998</t>
  </si>
  <si>
    <t>FCCL audited model row 108; Input Review gives exact source; fauji\FCCL-Annual-Report-2025.pdf, PDF p274; FCCL audited model row 21; Input Review gives exact source</t>
  </si>
  <si>
    <t>T0999</t>
  </si>
  <si>
    <t>FCCL audited model row 108; Input Review gives exact source; fauji\FCCL-Annual-Report-2025.pdf, PDF p273; fauji\FCCL-Annual-Report-2025.pdf, PDF p274</t>
  </si>
  <si>
    <t>T1000</t>
  </si>
  <si>
    <t>T1001</t>
  </si>
  <si>
    <t>T1002</t>
  </si>
  <si>
    <t>T1003</t>
  </si>
  <si>
    <t>T1004</t>
  </si>
  <si>
    <t>T1005</t>
  </si>
  <si>
    <t>T1006</t>
  </si>
  <si>
    <t>T1007</t>
  </si>
  <si>
    <t>T1008</t>
  </si>
  <si>
    <t>FCCL audited model row 91; Input Review gives exact source; fauji\FCCL-Annual-Report-2025.pdf, PDF p274</t>
  </si>
  <si>
    <t>T1009</t>
  </si>
  <si>
    <t>FCCL audited model row 91; Input Review gives exact source; fauji\FCCL-Annual-Report-2025.pdf, PDF p274; FCCL audited model row 21; Input Review gives exact source</t>
  </si>
  <si>
    <t>T1010</t>
  </si>
  <si>
    <t>FCCL audited model row 91; Input Review gives exact source; fauji\FCCL-Annual-Report-2025.pdf, PDF p273; fauji\FCCL-Annual-Report-2025.pdf, PDF p274</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</si>
  <si>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</si>
  <si>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</si>
  <si>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</si>
  <si>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</si>
  <si>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</si>
  <si>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</si>
  <si>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</si>
  <si>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</si>
  <si>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</si>
  <si>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</si>
  <si>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</si>
  <si>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</si>
  <si>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</si>
  <si>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</si>
  <si>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</si>
  <si>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</si>
  <si>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</si>
  <si>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</si>
  <si>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</si>
  <si>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</si>
  <si>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</si>
  <si>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</si>
  <si>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</si>
  <si>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</si>
  <si>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</si>
  <si>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</si>
  <si>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</si>
  <si>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</si>
  <si>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</si>
  <si>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</si>
  <si>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</si>
  <si>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</si>
  <si>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</si>
  <si>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</si>
  <si>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</si>
  <si>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</si>
  <si>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</si>
  <si>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</si>
  <si>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</si>
  <si>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</si>
  <si>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</si>
  <si>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</si>
  <si>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</si>
  <si>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</si>
  <si>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</si>
  <si>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</si>
  <si>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</si>
  <si>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</si>
  <si>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</si>
  <si>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</si>
  <si>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</si>
  <si>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</si>
  <si>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</si>
  <si>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</si>
  <si>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</si>
  <si>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</si>
  <si>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</si>
  <si>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</si>
  <si>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</si>
  <si>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</si>
  <si>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</si>
  <si>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</si>
  <si>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</si>
  <si>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</si>
  <si>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</si>
  <si>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</si>
  <si>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</si>
  <si>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</si>
  <si>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</si>
  <si>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</si>
  <si>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</si>
  <si>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</si>
  <si>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</si>
  <si>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</si>
  <si>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</si>
  <si>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</si>
  <si>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</si>
  <si>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</si>
  <si>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</si>
  <si>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</si>
  <si>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</si>
  <si>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</si>
  <si>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</si>
  <si>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</si>
  <si>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</si>
  <si>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</si>
  <si>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</si>
  <si>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</si>
  <si>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</si>
  <si>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</si>
  <si>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</si>
  <si>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</si>
  <si>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</si>
  <si>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</si>
  <si>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</si>
  <si>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</si>
  <si>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</si>
  <si>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</si>
  <si>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</si>
  <si>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</si>
  <si>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</si>
  <si>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</si>
  <si>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</si>
  <si>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</si>
  <si>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</si>
  <si>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</si>
  <si>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</si>
  <si>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</si>
  <si>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</si>
  <si>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</si>
  <si>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</si>
  <si>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</si>
  <si>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</si>
  <si>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</si>
  <si>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</si>
  <si>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</si>
  <si>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</si>
  <si>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</si>
  <si>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</si>
  <si>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</si>
  <si>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</si>
  <si>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</si>
  <si>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T1133</t>
  </si>
  <si>
    <t>T1134</t>
  </si>
  <si>
    <t>T1135</t>
  </si>
  <si>
    <t>T1136</t>
  </si>
  <si>
    <t>T1137</t>
  </si>
  <si>
    <t>T1138</t>
  </si>
  <si>
    <t>T1139</t>
  </si>
  <si>
    <t>T1140</t>
  </si>
  <si>
    <t>T1141</t>
  </si>
  <si>
    <t>T1142</t>
  </si>
  <si>
    <t>T1143</t>
  </si>
  <si>
    <t>T1144</t>
  </si>
  <si>
    <t>T1145</t>
  </si>
  <si>
    <t>T1146</t>
  </si>
  <si>
    <t>T1147</t>
  </si>
  <si>
    <t>T1148</t>
  </si>
  <si>
    <t>T1149</t>
  </si>
  <si>
    <t>T1150</t>
  </si>
  <si>
    <t>T1151</t>
  </si>
  <si>
    <t>T1152</t>
  </si>
  <si>
    <t>T1153</t>
  </si>
  <si>
    <t>T1154</t>
  </si>
  <si>
    <t>T1155</t>
  </si>
  <si>
    <t>T1156</t>
  </si>
  <si>
    <t>T1157</t>
  </si>
  <si>
    <t>T1158</t>
  </si>
  <si>
    <t>T1159</t>
  </si>
  <si>
    <t>T1160</t>
  </si>
  <si>
    <t>T1161</t>
  </si>
  <si>
    <t>T1162</t>
  </si>
  <si>
    <t>T1163</t>
  </si>
  <si>
    <t>T1164</t>
  </si>
  <si>
    <t>T1165</t>
  </si>
  <si>
    <t>T1166</t>
  </si>
  <si>
    <t>T1167</t>
  </si>
  <si>
    <t>T1168</t>
  </si>
  <si>
    <t>T1169</t>
  </si>
  <si>
    <t>T1170</t>
  </si>
  <si>
    <t>T1171</t>
  </si>
  <si>
    <t>T1172</t>
  </si>
  <si>
    <t>T1173</t>
  </si>
  <si>
    <t>T1174</t>
  </si>
  <si>
    <t>T1175</t>
  </si>
  <si>
    <t>T1176</t>
  </si>
  <si>
    <t>T1177</t>
  </si>
  <si>
    <t>T1178</t>
  </si>
  <si>
    <t>T1179</t>
  </si>
  <si>
    <t>T1180</t>
  </si>
  <si>
    <t>T1181</t>
  </si>
  <si>
    <t>T1182</t>
  </si>
  <si>
    <t>T1183</t>
  </si>
  <si>
    <t>T1184</t>
  </si>
  <si>
    <t>T1185</t>
  </si>
  <si>
    <t>T1186</t>
  </si>
  <si>
    <t>T1187</t>
  </si>
  <si>
    <t>T1188</t>
  </si>
  <si>
    <t>T1189</t>
  </si>
  <si>
    <t>T1190</t>
  </si>
  <si>
    <t>T1191</t>
  </si>
  <si>
    <t>T1192</t>
  </si>
  <si>
    <t>T1193</t>
  </si>
  <si>
    <t>T1194</t>
  </si>
  <si>
    <t>T1195</t>
  </si>
  <si>
    <t>T1196</t>
  </si>
  <si>
    <t>T1197</t>
  </si>
  <si>
    <t>T1198</t>
  </si>
  <si>
    <t>T1199</t>
  </si>
  <si>
    <t>T1200</t>
  </si>
  <si>
    <t>T1201</t>
  </si>
  <si>
    <t>T1202</t>
  </si>
  <si>
    <t>T1203</t>
  </si>
  <si>
    <t>T1204</t>
  </si>
  <si>
    <t>T1205</t>
  </si>
  <si>
    <t>T1206</t>
  </si>
  <si>
    <t>T1207</t>
  </si>
  <si>
    <t>T1208</t>
  </si>
  <si>
    <t>T1209</t>
  </si>
  <si>
    <t>T1210</t>
  </si>
  <si>
    <t>T1211</t>
  </si>
  <si>
    <t>T1212</t>
  </si>
  <si>
    <t>T1213</t>
  </si>
  <si>
    <t>T1214</t>
  </si>
  <si>
    <t>T1215</t>
  </si>
  <si>
    <t>T1216</t>
  </si>
  <si>
    <t>T1217</t>
  </si>
  <si>
    <t>T1218</t>
  </si>
  <si>
    <t>T1219</t>
  </si>
  <si>
    <t>T1220</t>
  </si>
  <si>
    <t>T1221</t>
  </si>
  <si>
    <t>T1222</t>
  </si>
  <si>
    <t>T1223</t>
  </si>
  <si>
    <t>T1224</t>
  </si>
  <si>
    <t>T1225</t>
  </si>
  <si>
    <t>T1226</t>
  </si>
  <si>
    <t>T1227</t>
  </si>
  <si>
    <t>T1228</t>
  </si>
  <si>
    <t>T1229</t>
  </si>
  <si>
    <t>T1230</t>
  </si>
  <si>
    <t>T1231</t>
  </si>
  <si>
    <t>T1232</t>
  </si>
  <si>
    <t>T1233</t>
  </si>
  <si>
    <t>T1234</t>
  </si>
  <si>
    <t>T1235</t>
  </si>
  <si>
    <t>S001</t>
  </si>
  <si>
    <t>T1236</t>
  </si>
  <si>
    <t>T1237</t>
  </si>
  <si>
    <t>T1238</t>
  </si>
  <si>
    <t>T1239</t>
  </si>
  <si>
    <t>T1240</t>
  </si>
  <si>
    <t>T1241</t>
  </si>
  <si>
    <t>T1242</t>
  </si>
  <si>
    <t>T1243</t>
  </si>
  <si>
    <t>T1244</t>
  </si>
  <si>
    <t>T1245</t>
  </si>
  <si>
    <t>T1246</t>
  </si>
  <si>
    <t>T1247</t>
  </si>
  <si>
    <t>T1248</t>
  </si>
  <si>
    <t>T1249</t>
  </si>
  <si>
    <t>T1250</t>
  </si>
  <si>
    <t>T1251</t>
  </si>
  <si>
    <t>T1252</t>
  </si>
  <si>
    <t>T1253</t>
  </si>
  <si>
    <t>T1254</t>
  </si>
  <si>
    <t>T1255</t>
  </si>
  <si>
    <t>T1256</t>
  </si>
  <si>
    <t>Mathematical/day-count diagnostic constant; DGKC audited model row 51; Input Review gives exact source; dg khan\DGAnnual2024.pdf, PDF p182; DGKC audited model row 85; Input Review gives exact source; Mathematical/day-count diagnostic constant</t>
  </si>
  <si>
    <t>T1257</t>
  </si>
  <si>
    <t>Mathematical/day-count diagnostic constant; DGKC audited model row 51; Input Review gives exact source; dg khan\DGAnnual2024.pdf, PDF p182; DGKC audited model row 84; Input Review gives exact source</t>
  </si>
  <si>
    <t>T1258</t>
  </si>
  <si>
    <t>Mathematical/day-count diagnostic constant; DGKC audited model row 51; Input Review gives exact source; dg khan\DGAnnual2024.pdf, PDF p182; DGKC audited model row 85; Input Review gives exact source; Mathematical/day-count diagnostic constant; DGKC audited model row 65; Input Review gives exact source; DGKC audited model row 65; Input Review gives exact source</t>
  </si>
  <si>
    <t>T1259</t>
  </si>
  <si>
    <t>Mathematical/day-count diagnostic constant; DGKC audited model row 51; Input Review gives exact source; dg khan\DGAnnual2024.pdf, PDF p182; DGKC audited model row 85; Input Review gives exact source; Mathematical/day-count diagnostic constant; DGKC audited model row 31; Input Review gives exact source; DGKC audited model row 31; Input Review gives exact source</t>
  </si>
  <si>
    <t>T1260</t>
  </si>
  <si>
    <t>Mathematical/day-count diagnostic constant; DGKC audited model row 51; Input Review gives exact source; dg khan\DG_Annual_Report_2022.pdf, PDF p155; DGKC audited model row 51; Input Review gives exact source; dg khan\DGAnnual2024.pdf, PDF p182; DGKC audited model row 85; Input Review gives exact source; Mathematical/day-count diagnostic constant</t>
  </si>
  <si>
    <t>T1261</t>
  </si>
  <si>
    <t>Mathematical/day-count diagnostic constant; DGKC audited model row 51; Input Review gives exact source; dg khan\DG_Annual_Report_2022.pdf, PDF p155; DGKC audited model row 51; Input Review gives exact source; dg khan\DGAnnual2024.pdf, PDF p182; DGKC audited model row 84; Input Review gives exact source</t>
  </si>
  <si>
    <t>T1262</t>
  </si>
  <si>
    <t>Mathematical/day-count diagnostic constant; DGKC audited model row 51; Input Review gives exact source; dg khan\DG_Annual_Report_2022.pdf, PDF p155; DGKC audited model row 51; Input Review gives exact source; dg khan\DGAnnual2024.pdf, PDF p182; DGKC audited model row 85; Input Review gives exact source; Mathematical/day-count diagnostic constant; DGKC audited model row 65; Input Review gives exact source; DGKC audited model row 65; Input Review gives exact source</t>
  </si>
  <si>
    <t>T1263</t>
  </si>
  <si>
    <t>Mathematical/day-count diagnostic constant; DGKC audited model row 51; Input Review gives exact source; dg khan\DG_Annual_Report_2022.pdf, PDF p155; DGKC audited model row 51; Input Review gives exact source; dg khan\DGAnnual2024.pdf, PDF p182; DGKC audited model row 85; Input Review gives exact source; Mathematical/day-count diagnostic constant; DGKC audited model row 31; Input Review gives exact source; DGKC audited model row 31; Input Review gives exact source</t>
  </si>
  <si>
    <t>T1264</t>
  </si>
  <si>
    <t>Mathematical/day-count diagnostic constant; DGKC audited model row 50; Input Review gives exact source; dg khan\DGAnnual2024.pdf, PDF p182; DGKC audited model row 85; Input Review gives exact source; Mathematical/day-count diagnostic constant</t>
  </si>
  <si>
    <t>T1265</t>
  </si>
  <si>
    <t>Mathematical/day-count diagnostic constant; DGKC audited model row 50; Input Review gives exact source; dg khan\DGAnnual2024.pdf, PDF p182; DGKC audited model row 84; Input Review gives exact source</t>
  </si>
  <si>
    <t>T1266</t>
  </si>
  <si>
    <t>Mathematical/day-count diagnostic constant; DGKC audited model row 50; Input Review gives exact source; dg khan\DGAnnual2024.pdf, PDF p182; DGKC audited model row 85; Input Review gives exact source; Mathematical/day-count diagnostic constant; DGKC audited model row 65; Input Review gives exact source; DGKC audited model row 65; Input Review gives exact source</t>
  </si>
  <si>
    <t>T1267</t>
  </si>
  <si>
    <t>Mathematical/day-count diagnostic constant; DGKC audited model row 50; Input Review gives exact source; dg khan\DGAnnual2024.pdf, PDF p182; DGKC audited model row 85; Input Review gives exact source; Mathematical/day-count diagnostic constant; DGKC audited model row 31; Input Review gives exact source; DGKC audited model row 31; Input Review gives exact source</t>
  </si>
  <si>
    <t>T1268</t>
  </si>
  <si>
    <t>Mathematical/day-count diagnostic constant; DGKC audited model row 50; Input Review gives exact source; dg khan\DG_Annual_Report_2022.pdf, PDF p155; DGKC audited model row 50; Input Review gives exact source; dg khan\DGAnnual2024.pdf, PDF p182; DGKC audited model row 85; Input Review gives exact source; Mathematical/day-count diagnostic constant</t>
  </si>
  <si>
    <t>T1269</t>
  </si>
  <si>
    <t>Mathematical/day-count diagnostic constant; DGKC audited model row 50; Input Review gives exact source; dg khan\DG_Annual_Report_2022.pdf, PDF p155; DGKC audited model row 50; Input Review gives exact source; dg khan\DGAnnual2024.pdf, PDF p182; DGKC audited model row 84; Input Review gives exact source</t>
  </si>
  <si>
    <t>T1270</t>
  </si>
  <si>
    <t>Mathematical/day-count diagnostic constant; DGKC audited model row 50; Input Review gives exact source; dg khan\DG_Annual_Report_2022.pdf, PDF p155; DGKC audited model row 50; Input Review gives exact source; dg khan\DGAnnual2024.pdf, PDF p182; DGKC audited model row 85; Input Review gives exact source; Mathematical/day-count diagnostic constant; DGKC audited model row 65; Input Review gives exact source; DGKC audited model row 65; Input Review gives exact source</t>
  </si>
  <si>
    <t>T1271</t>
  </si>
  <si>
    <t>Mathematical/day-count diagnostic constant; DGKC audited model row 50; Input Review gives exact source; dg khan\DG_Annual_Report_2022.pdf, PDF p155; DGKC audited model row 50; Input Review gives exact source; dg khan\DGAnnual2024.pdf, PDF p182; DGKC audited model row 85; Input Review gives exact source; Mathematical/day-count diagnostic constant; DGKC audited model row 31; Input Review gives exact source; DGKC audited model row 31; Input Review gives exact source</t>
  </si>
  <si>
    <t>T1272</t>
  </si>
  <si>
    <t>Mathematical/day-count diagnostic constant; dg khan\DGAnnual2024.pdf, PDF p219; DGKC audited model row 85; Input Review gives exact source; Mathematical/day-count diagnostic constant</t>
  </si>
  <si>
    <t>T1273</t>
  </si>
  <si>
    <t>Mathematical/day-count diagnostic constant; dg khan\DGAnnual2024.pdf, PDF p219; DGKC audited model row 84; Input Review gives exact source</t>
  </si>
  <si>
    <t>T1274</t>
  </si>
  <si>
    <t>Mathematical/day-count diagnostic constant; dg khan\DGAnnual2024.pdf, PDF p219; DGKC audited model row 85; Input Review gives exact source; Mathematical/day-count diagnostic constant; DGKC audited model row 65; Input Review gives exact source; DGKC audited model row 65; Input Review gives exact source</t>
  </si>
  <si>
    <t>T1275</t>
  </si>
  <si>
    <t>Mathematical/day-count diagnostic constant; dg khan\DGAnnual2024.pdf, PDF p219; DGKC audited model row 85; Input Review gives exact source; Mathematical/day-count diagnostic constant; DGKC audited model row 31; Input Review gives exact source; DGKC audited model row 31; Input Review gives exact source</t>
  </si>
  <si>
    <t>T1276</t>
  </si>
  <si>
    <t>Mathematical/day-count diagnostic constant; dg khan\DG_Annual_Report_2022.pdf, PDF p190; dg khan\DGAnnual2024.pdf, PDF p219; DGKC audited model row 85; Input Review gives exact source; Mathematical/day-count diagnostic constant</t>
  </si>
  <si>
    <t>T1277</t>
  </si>
  <si>
    <t>Mathematical/day-count diagnostic constant; dg khan\DG_Annual_Report_2022.pdf, PDF p190; dg khan\DGAnnual2024.pdf, PDF p219; DGKC audited model row 84; Input Review gives exact source</t>
  </si>
  <si>
    <t>T1278</t>
  </si>
  <si>
    <t>Mathematical/day-count diagnostic constant; dg khan\DG_Annual_Report_2022.pdf, PDF p190; dg khan\DGAnnual2024.pdf, PDF p219; DGKC audited model row 85; Input Review gives exact source; Mathematical/day-count diagnostic constant; DGKC audited model row 65; Input Review gives exact source; DGKC audited model row 65; Input Review gives exact source</t>
  </si>
  <si>
    <t>T1279</t>
  </si>
  <si>
    <t>Mathematical/day-count diagnostic constant; dg khan\DG_Annual_Report_2022.pdf, PDF p190; dg khan\DGAnnual2024.pdf, PDF p219; DGKC audited model row 85; Input Review gives exact source; Mathematical/day-count diagnostic constant; DGKC audited model row 31; Input Review gives exact source; DGKC audited model row 31; Input Review gives exact source</t>
  </si>
  <si>
    <t>T1280</t>
  </si>
  <si>
    <t>Mathematical/day-count diagnostic constant; DGKC audited model row 50; Input Review gives exact source; dg khan\DGAnnual2024.pdf, PDF p200</t>
  </si>
  <si>
    <t>T1281</t>
  </si>
  <si>
    <t>Mathematical/day-count diagnostic constant; DGKC audited model row 50; Input Review gives exact source; DGKC audited model row 50; Input Review gives exact source; dg khan\DGAnnual2024.pdf, PDF p200</t>
  </si>
  <si>
    <t>T1282</t>
  </si>
  <si>
    <t>Mathematical/day-count diagnostic constant; dg khan\DGAnnual2024.pdf, PDF p225; dg khan\DGAnnual2024.pdf, PDF p227</t>
  </si>
  <si>
    <t>T1283</t>
  </si>
  <si>
    <t>Mathematical/day-count diagnostic constant; dg khan\DG_Annual_Report_2022.pdf, PDF p197; dg khan\DGAnnual2024.pdf, PDF p225; dg khan\DGAnnual2024.pdf, PDF p227</t>
  </si>
  <si>
    <t>T1284</t>
  </si>
  <si>
    <t>Mathematical/day-count diagnostic constant; FY2023_Q1.pdf, PDF p13; FY2023_Q2.pdf, PDF p13; FY2023_Q3.pdf, PDF p13; DGKC audited model row 50; Input Review gives exact source; Mathematical/day-count diagnostic constant; DGKC audited model row 85; Input Review gives exact source; Mathematical/day-count diagnostic constant</t>
  </si>
  <si>
    <t>T1285</t>
  </si>
  <si>
    <t>Mathematical/day-count diagnostic constant; FY2023_Q1.pdf, PDF p13; FY2023_Q2.pdf, PDF p13; FY2023_Q3.pdf, PDF p13; DGKC audited model row 50; Input Review gives exact source; Mathematical/day-count diagnostic constant; DGKC audited model row 50; Input Review gives exact source; Mathematical/day-count diagnostic constant; Mathematical/day-count diagnostic constant; DGKC audited model row 85; Input Review gives exact source; Mathematical/day-count diagnostic constant</t>
  </si>
  <si>
    <t>T1286</t>
  </si>
  <si>
    <t>S002</t>
  </si>
  <si>
    <t>T1287</t>
  </si>
  <si>
    <t>T1288</t>
  </si>
  <si>
    <t>T1289</t>
  </si>
  <si>
    <t>T1290</t>
  </si>
  <si>
    <t>T1291</t>
  </si>
  <si>
    <t>T1292</t>
  </si>
  <si>
    <t>T1293</t>
  </si>
  <si>
    <t>T1294</t>
  </si>
  <si>
    <t>T1295</t>
  </si>
  <si>
    <t>T1296</t>
  </si>
  <si>
    <t>T1297</t>
  </si>
  <si>
    <t>T1298</t>
  </si>
  <si>
    <t>Mathematical/day-count diagnostic constant; FCCL audited model row 32; Input Review gives exact source; Mathematical/day-count diagnostic constant; fauji\FCCL-Annual-Report-2021.pdf, PDF p133</t>
  </si>
  <si>
    <t>T1299</t>
  </si>
  <si>
    <t>Mathematical/day-count diagnostic constant; FCCL audited model row 32; Input Review gives exact source; fauji\FCCL-Annual-Report-2021.pdf, PDF p133</t>
  </si>
  <si>
    <t>T1300</t>
  </si>
  <si>
    <t>T1301</t>
  </si>
  <si>
    <t>S003</t>
  </si>
  <si>
    <t>T1302</t>
  </si>
  <si>
    <t>T1303</t>
  </si>
  <si>
    <t>T1304</t>
  </si>
  <si>
    <t>T1305</t>
  </si>
  <si>
    <t>T1306</t>
  </si>
  <si>
    <t>T1307</t>
  </si>
  <si>
    <t>T1308</t>
  </si>
  <si>
    <t>T1309</t>
  </si>
  <si>
    <t>T1310</t>
  </si>
  <si>
    <t>T1311</t>
  </si>
  <si>
    <t>T1312</t>
  </si>
  <si>
    <t>T1313</t>
  </si>
  <si>
    <t>Mathematical/day-count diagnostic constant; FCCL audited model row 32; Input Review gives exact source; Mathematical/day-count diagnostic constant; fauji\FCCL-Annual-Report-2022.pdf, PDF p155</t>
  </si>
  <si>
    <t>T1314</t>
  </si>
  <si>
    <t>Mathematical/day-count diagnostic constant; FCCL audited model row 32; Input Review gives exact source; fauji\FCCL-Annual-Report-2022.pdf, PDF p155</t>
  </si>
  <si>
    <t>T1315</t>
  </si>
  <si>
    <t>T1316</t>
  </si>
  <si>
    <t>S004</t>
  </si>
  <si>
    <t>T1317</t>
  </si>
  <si>
    <t>FCCL audited model row 108; Input Review gives exact source; fauji\FCCL-Annual-Report-2022.pdf, PDF p229</t>
  </si>
  <si>
    <t>T1318</t>
  </si>
  <si>
    <t>T1319</t>
  </si>
  <si>
    <t>T1320</t>
  </si>
  <si>
    <t>T1321</t>
  </si>
  <si>
    <t>FCCL audited model row 108; Input Review gives exact source; FCCL audited model row 93; Input Review gives exact source; fauji\FCCL-Annual-Report-2022.pdf, PDF p229</t>
  </si>
  <si>
    <t>T1322</t>
  </si>
  <si>
    <t>T1323</t>
  </si>
  <si>
    <t>T1324</t>
  </si>
  <si>
    <t>T1325</t>
  </si>
  <si>
    <t>FCCL audited model row 91; Input Review gives exact source; fauji\FCCL-Annual-Report-2022.pdf, PDF p229</t>
  </si>
  <si>
    <t>T1326</t>
  </si>
  <si>
    <t>T1327</t>
  </si>
  <si>
    <t>T1328</t>
  </si>
  <si>
    <t>T1329</t>
  </si>
  <si>
    <t>FCCL audited model row 108; Input Review gives exact source; FCCL audited model row 107; Input Review gives exact source; fauji\FCCL-Annual-Report-2022.pdf, PDF p229</t>
  </si>
  <si>
    <t>T1330</t>
  </si>
  <si>
    <t>T1331</t>
  </si>
  <si>
    <t>T1332</t>
  </si>
  <si>
    <t>T1333</t>
  </si>
  <si>
    <t>FCCL audited model row 96; Input Review gives exact source; fauji\FCCL-Annual-Report-2022.pdf, PDF p229; fauji\FCCL-Annual-Report-2022.pdf, PDF p229</t>
  </si>
  <si>
    <t>T1334</t>
  </si>
  <si>
    <t>FCCL audited model row 96; Input Review gives exact source; fauji\FCCL-Annual-Report-2022.pdf, PDF p229; FCCL audited model row 106; Input Review gives exact source</t>
  </si>
  <si>
    <t>T1335</t>
  </si>
  <si>
    <t>FCCL audited model row 96; Input Review gives exact source; fauji\FCCL-Annual-Report-2022.pdf, PDF p229; FCCL audited model row 95; Input Review gives exact source; Mathematical/day-count diagnostic constant</t>
  </si>
  <si>
    <t>T1336</t>
  </si>
  <si>
    <t>FCCL audited model row 96; Input Review gives exact source; fauji\FCCL-Annual-Report-2022.pdf, PDF p229; FCCL audited model row 95; Input Review gives exact source; Mathematical/day-count diagnostic constant; FCCL audited model row 93; Input Review gives exact source</t>
  </si>
  <si>
    <t>T1337</t>
  </si>
  <si>
    <t>S005</t>
  </si>
  <si>
    <t>T1338</t>
  </si>
  <si>
    <t>T1339</t>
  </si>
  <si>
    <t>T1340</t>
  </si>
  <si>
    <t>T1341</t>
  </si>
  <si>
    <t>T1342</t>
  </si>
  <si>
    <t>T1343</t>
  </si>
  <si>
    <t>T1344</t>
  </si>
  <si>
    <t>T1345</t>
  </si>
  <si>
    <t>T1346</t>
  </si>
  <si>
    <t>T1347</t>
  </si>
  <si>
    <t>T1348</t>
  </si>
  <si>
    <t>T1349</t>
  </si>
  <si>
    <t>T1350</t>
  </si>
  <si>
    <t>T1351</t>
  </si>
  <si>
    <t>T1352</t>
  </si>
  <si>
    <t>T1353</t>
  </si>
  <si>
    <t>T1354</t>
  </si>
  <si>
    <t>T1355</t>
  </si>
  <si>
    <t>T1356</t>
  </si>
  <si>
    <t>T1357</t>
  </si>
  <si>
    <t>T1358</t>
  </si>
  <si>
    <t>S006</t>
  </si>
  <si>
    <t>T1359</t>
  </si>
  <si>
    <t>FCCL audited model row 108; Input Review gives exact source; fauji\FCCL-Annual-Report-2024.pdf, PDF p228</t>
  </si>
  <si>
    <t>T1360</t>
  </si>
  <si>
    <t>T1361</t>
  </si>
  <si>
    <t>T1362</t>
  </si>
  <si>
    <t>T1363</t>
  </si>
  <si>
    <t>FCCL audited model row 108; Input Review gives exact source; FCCL audited model row 93; Input Review gives exact source; fauji\FCCL-Annual-Report-2024.pdf, PDF p228</t>
  </si>
  <si>
    <t>T1364</t>
  </si>
  <si>
    <t>T1365</t>
  </si>
  <si>
    <t>T1366</t>
  </si>
  <si>
    <t>T1367</t>
  </si>
  <si>
    <t>FCCL audited model row 91; Input Review gives exact source; fauji\FCCL-Annual-Report-2024.pdf, PDF p228</t>
  </si>
  <si>
    <t>T1368</t>
  </si>
  <si>
    <t>T1369</t>
  </si>
  <si>
    <t>T1370</t>
  </si>
  <si>
    <t>T1371</t>
  </si>
  <si>
    <t>FCCL audited model row 108; Input Review gives exact source; FCCL audited model row 107; Input Review gives exact source; fauji\FCCL-Annual-Report-2024.pdf, PDF p228</t>
  </si>
  <si>
    <t>T1372</t>
  </si>
  <si>
    <t>T1373</t>
  </si>
  <si>
    <t>T1374</t>
  </si>
  <si>
    <t>T1375</t>
  </si>
  <si>
    <t>FCCL audited model row 96; Input Review gives exact source; fauji\FCCL-Annual-Report-2024.pdf, PDF p228; fauji\FCCL-Annual-Report-2024.pdf, PDF p228</t>
  </si>
  <si>
    <t>T1376</t>
  </si>
  <si>
    <t>FCCL audited model row 96; Input Review gives exact source; fauji\FCCL-Annual-Report-2024.pdf, PDF p228; FCCL audited model row 106; Input Review gives exact source</t>
  </si>
  <si>
    <t>T1377</t>
  </si>
  <si>
    <t>FCCL audited model row 96; Input Review gives exact source; fauji\FCCL-Annual-Report-2024.pdf, PDF p228; FCCL audited model row 95; Input Review gives exact source; Mathematical/day-count diagnostic constant</t>
  </si>
  <si>
    <t>T1378</t>
  </si>
  <si>
    <t>FCCL audited model row 96; Input Review gives exact source; fauji\FCCL-Annual-Report-2024.pdf, PDF p228; FCCL audited model row 95; Input Review gives exact source; Mathematical/day-count diagnostic constant; FCCL audited model row 93; Input Review gives exact source</t>
  </si>
  <si>
    <t>T1379</t>
  </si>
  <si>
    <t>S007</t>
  </si>
  <si>
    <t>T1380</t>
  </si>
  <si>
    <t>T1381</t>
  </si>
  <si>
    <t>T1382</t>
  </si>
  <si>
    <t>T1383</t>
  </si>
  <si>
    <t>T1384</t>
  </si>
  <si>
    <t>T1385</t>
  </si>
  <si>
    <t>T1386</t>
  </si>
  <si>
    <t>T1387</t>
  </si>
  <si>
    <t>T1388</t>
  </si>
  <si>
    <t>T1389</t>
  </si>
  <si>
    <t>T1390</t>
  </si>
  <si>
    <t>T1391</t>
  </si>
  <si>
    <t>T1392</t>
  </si>
  <si>
    <t>T1393</t>
  </si>
  <si>
    <t>T1394</t>
  </si>
  <si>
    <t>T1395</t>
  </si>
  <si>
    <t>T1396</t>
  </si>
  <si>
    <t>T1397</t>
  </si>
  <si>
    <t>T1398</t>
  </si>
  <si>
    <t>T1399</t>
  </si>
  <si>
    <t>T1400</t>
  </si>
  <si>
    <t>S008</t>
  </si>
  <si>
    <t>T1401</t>
  </si>
  <si>
    <t>T1402</t>
  </si>
  <si>
    <t>T1403</t>
  </si>
  <si>
    <t>T1404</t>
  </si>
  <si>
    <t>T1405</t>
  </si>
  <si>
    <t>T1406</t>
  </si>
  <si>
    <t>T1407</t>
  </si>
  <si>
    <t>T1408</t>
  </si>
  <si>
    <t>T1409</t>
  </si>
  <si>
    <t>T1410</t>
  </si>
  <si>
    <t>T1411</t>
  </si>
  <si>
    <t>T1412</t>
  </si>
  <si>
    <t>T1413</t>
  </si>
  <si>
    <t>T1414</t>
  </si>
  <si>
    <t>T1415</t>
  </si>
  <si>
    <t>T1416</t>
  </si>
  <si>
    <t>T1417</t>
  </si>
  <si>
    <t>T1418</t>
  </si>
  <si>
    <t>T1419</t>
  </si>
  <si>
    <t>T1420</t>
  </si>
  <si>
    <t>T1421</t>
  </si>
  <si>
    <t>T1422</t>
  </si>
  <si>
    <t>T1423</t>
  </si>
  <si>
    <t>T1424</t>
  </si>
  <si>
    <t>T1425</t>
  </si>
  <si>
    <t>T1426</t>
  </si>
  <si>
    <t>T1427</t>
  </si>
  <si>
    <t>T1428</t>
  </si>
  <si>
    <t>T1429</t>
  </si>
  <si>
    <t>T1430</t>
  </si>
  <si>
    <t>T1431</t>
  </si>
  <si>
    <t>T1432</t>
  </si>
  <si>
    <t>T1433</t>
  </si>
  <si>
    <t>T1434</t>
  </si>
  <si>
    <t>T1435</t>
  </si>
  <si>
    <t>T1436</t>
  </si>
  <si>
    <t>T1437</t>
  </si>
  <si>
    <t>T1438</t>
  </si>
  <si>
    <t>T1439</t>
  </si>
  <si>
    <t>T1440</t>
  </si>
  <si>
    <t>T1441</t>
  </si>
  <si>
    <t>T1442</t>
  </si>
  <si>
    <t>T1443</t>
  </si>
  <si>
    <t>T1444</t>
  </si>
  <si>
    <t>T1445</t>
  </si>
  <si>
    <t>T1446</t>
  </si>
  <si>
    <t>T1447</t>
  </si>
  <si>
    <t>T1448</t>
  </si>
  <si>
    <t>T1449</t>
  </si>
  <si>
    <t>T1450</t>
  </si>
  <si>
    <t>T1451</t>
  </si>
  <si>
    <t>S009</t>
  </si>
  <si>
    <t>T1452</t>
  </si>
  <si>
    <t>T1453</t>
  </si>
  <si>
    <t>T1454</t>
  </si>
  <si>
    <t>T1455</t>
  </si>
  <si>
    <t>T1456</t>
  </si>
  <si>
    <t>T1457</t>
  </si>
  <si>
    <t>T1458</t>
  </si>
  <si>
    <t>T1459</t>
  </si>
  <si>
    <t>T1460</t>
  </si>
  <si>
    <t>T1461</t>
  </si>
  <si>
    <t>T1462</t>
  </si>
  <si>
    <t>T1463</t>
  </si>
  <si>
    <t>T1464</t>
  </si>
  <si>
    <t>T1465</t>
  </si>
  <si>
    <t>T1466</t>
  </si>
  <si>
    <t>T1467</t>
  </si>
  <si>
    <t>T1468</t>
  </si>
  <si>
    <t>T1469</t>
  </si>
  <si>
    <t>T1470</t>
  </si>
  <si>
    <t>T1471</t>
  </si>
  <si>
    <t>T1472</t>
  </si>
  <si>
    <t>T1473</t>
  </si>
  <si>
    <t>T1474</t>
  </si>
  <si>
    <t>T1475</t>
  </si>
  <si>
    <t>T1476</t>
  </si>
  <si>
    <t>T1477</t>
  </si>
  <si>
    <t>T1478</t>
  </si>
  <si>
    <t>T1479</t>
  </si>
  <si>
    <t>T1480</t>
  </si>
  <si>
    <t>T1481</t>
  </si>
  <si>
    <t>T1482</t>
  </si>
  <si>
    <t>T1483</t>
  </si>
  <si>
    <t>T1484</t>
  </si>
  <si>
    <t>T1485</t>
  </si>
  <si>
    <t>T1486</t>
  </si>
  <si>
    <t>T1487</t>
  </si>
  <si>
    <t>T1488</t>
  </si>
  <si>
    <t>T1489</t>
  </si>
  <si>
    <t>T1490</t>
  </si>
  <si>
    <t>T1491</t>
  </si>
  <si>
    <t>T1492</t>
  </si>
  <si>
    <t>T1493</t>
  </si>
  <si>
    <t>T1494</t>
  </si>
  <si>
    <t>T1495</t>
  </si>
  <si>
    <t>T1496</t>
  </si>
  <si>
    <t>T1497</t>
  </si>
  <si>
    <t>T1498</t>
  </si>
  <si>
    <t>T1499</t>
  </si>
  <si>
    <t>T1500</t>
  </si>
  <si>
    <t>T1501</t>
  </si>
  <si>
    <t>T1502</t>
  </si>
  <si>
    <t>S010</t>
  </si>
  <si>
    <t>T1503</t>
  </si>
  <si>
    <t>T1504</t>
  </si>
  <si>
    <t>T1505</t>
  </si>
  <si>
    <t>T1506</t>
  </si>
  <si>
    <t>T1507</t>
  </si>
  <si>
    <t>T1508</t>
  </si>
  <si>
    <t>T1509</t>
  </si>
  <si>
    <t>T1510</t>
  </si>
  <si>
    <t>T1511</t>
  </si>
  <si>
    <t>T1512</t>
  </si>
  <si>
    <t>T1513</t>
  </si>
  <si>
    <t>S011</t>
  </si>
  <si>
    <t>T1514</t>
  </si>
  <si>
    <t>T1515</t>
  </si>
  <si>
    <t>T1516</t>
  </si>
  <si>
    <t>T1517</t>
  </si>
  <si>
    <t>T1518</t>
  </si>
  <si>
    <t>T1519</t>
  </si>
  <si>
    <t>T1520</t>
  </si>
  <si>
    <t>T1521</t>
  </si>
  <si>
    <t>T1522</t>
  </si>
  <si>
    <t>T1523</t>
  </si>
  <si>
    <t>T1524</t>
  </si>
  <si>
    <t>S012</t>
  </si>
  <si>
    <t>T1525</t>
  </si>
  <si>
    <t>T1526</t>
  </si>
  <si>
    <t>T1527</t>
  </si>
  <si>
    <t>T1528</t>
  </si>
  <si>
    <t>T1529</t>
  </si>
  <si>
    <t>T1530</t>
  </si>
  <si>
    <t>T1531</t>
  </si>
  <si>
    <t>T1532</t>
  </si>
  <si>
    <t>T1533</t>
  </si>
  <si>
    <t>T1534</t>
  </si>
  <si>
    <t>T1535</t>
  </si>
  <si>
    <t>S013</t>
  </si>
  <si>
    <t>T1536</t>
  </si>
  <si>
    <t>T1537</t>
  </si>
  <si>
    <t>T1538</t>
  </si>
  <si>
    <t>T1539</t>
  </si>
  <si>
    <t>T1540</t>
  </si>
  <si>
    <t>T1541</t>
  </si>
  <si>
    <t>T1542</t>
  </si>
  <si>
    <t>T1543</t>
  </si>
  <si>
    <t>T1544</t>
  </si>
  <si>
    <t>T1545</t>
  </si>
  <si>
    <t>T1546</t>
  </si>
  <si>
    <t>S014</t>
  </si>
  <si>
    <t>T1547</t>
  </si>
  <si>
    <t>T1548</t>
  </si>
  <si>
    <t>T1549</t>
  </si>
  <si>
    <t>MLCF audited model row 85; Input Review gives exact source; Mathematical/day-count diagnostic constant; MLCF audited model row 31; Input Review gives exact source</t>
  </si>
  <si>
    <t>T1550</t>
  </si>
  <si>
    <t>S015</t>
  </si>
  <si>
    <t>T1551</t>
  </si>
  <si>
    <t>T1552</t>
  </si>
  <si>
    <t>T1553</t>
  </si>
  <si>
    <t>T1554</t>
  </si>
  <si>
    <t>S016</t>
  </si>
  <si>
    <t>T1555</t>
  </si>
  <si>
    <t>T1556</t>
  </si>
  <si>
    <t>T1557</t>
  </si>
  <si>
    <t>T1558</t>
  </si>
  <si>
    <t>S017</t>
  </si>
  <si>
    <t>T1559</t>
  </si>
  <si>
    <t>T1560</t>
  </si>
  <si>
    <t>T1561</t>
  </si>
  <si>
    <t>T1562</t>
  </si>
  <si>
    <t>S018</t>
  </si>
  <si>
    <t>T1563</t>
  </si>
  <si>
    <t>T1564</t>
  </si>
  <si>
    <t>T1565</t>
  </si>
  <si>
    <t>T1566</t>
  </si>
  <si>
    <t>S019</t>
  </si>
  <si>
    <t>T1567</t>
  </si>
  <si>
    <t>T1568</t>
  </si>
  <si>
    <t>T1569</t>
  </si>
  <si>
    <t>T1570</t>
  </si>
  <si>
    <t>T1571</t>
  </si>
  <si>
    <t>T1572</t>
  </si>
  <si>
    <t>T1573</t>
  </si>
  <si>
    <t>T1574</t>
  </si>
  <si>
    <t>T1575</t>
  </si>
  <si>
    <t>T1576</t>
  </si>
  <si>
    <t>T1577</t>
  </si>
  <si>
    <t>S020</t>
  </si>
  <si>
    <t>T1578</t>
  </si>
  <si>
    <t>T1579</t>
  </si>
  <si>
    <t>T1580</t>
  </si>
  <si>
    <t>T1581</t>
  </si>
  <si>
    <t>T1582</t>
  </si>
  <si>
    <t>T1583</t>
  </si>
  <si>
    <t>T1584</t>
  </si>
  <si>
    <t>T1585</t>
  </si>
  <si>
    <t>T1586</t>
  </si>
  <si>
    <t>T1587</t>
  </si>
  <si>
    <t>T1588</t>
  </si>
  <si>
    <t>S021</t>
  </si>
  <si>
    <t>T1589</t>
  </si>
  <si>
    <t>T1590</t>
  </si>
  <si>
    <t>T1591</t>
  </si>
  <si>
    <t>T1592</t>
  </si>
  <si>
    <t>T1593</t>
  </si>
  <si>
    <t>T1594</t>
  </si>
  <si>
    <t>T1595</t>
  </si>
  <si>
    <t>T1596</t>
  </si>
  <si>
    <t>T1597</t>
  </si>
  <si>
    <t>T1598</t>
  </si>
  <si>
    <t>T1599</t>
  </si>
  <si>
    <t>S022</t>
  </si>
  <si>
    <t>T1600</t>
  </si>
  <si>
    <t>T1601</t>
  </si>
  <si>
    <t>T1602</t>
  </si>
  <si>
    <t>T1603</t>
  </si>
  <si>
    <t>T1604</t>
  </si>
  <si>
    <t>T1605</t>
  </si>
  <si>
    <t>T1606</t>
  </si>
  <si>
    <t>T1607</t>
  </si>
  <si>
    <t>T1608</t>
  </si>
  <si>
    <t>T1609</t>
  </si>
  <si>
    <t>T1610</t>
  </si>
  <si>
    <t>S023</t>
  </si>
  <si>
    <t>T1611</t>
  </si>
  <si>
    <t>T1612</t>
  </si>
  <si>
    <t>T1613</t>
  </si>
  <si>
    <t>T1614</t>
  </si>
  <si>
    <t>S024</t>
  </si>
  <si>
    <t>T1615</t>
  </si>
  <si>
    <t>T1616</t>
  </si>
  <si>
    <t>T1617</t>
  </si>
  <si>
    <t>T1618</t>
  </si>
  <si>
    <t>S025</t>
  </si>
  <si>
    <t>T1619</t>
  </si>
  <si>
    <t>T1620</t>
  </si>
  <si>
    <t>T1621</t>
  </si>
  <si>
    <t>T1622</t>
  </si>
  <si>
    <t>S026</t>
  </si>
  <si>
    <t>T1623</t>
  </si>
  <si>
    <t>T1624</t>
  </si>
  <si>
    <t>T1625</t>
  </si>
  <si>
    <t>S027</t>
  </si>
  <si>
    <t>T1626</t>
  </si>
  <si>
    <t>T1627</t>
  </si>
  <si>
    <t>T1628</t>
  </si>
  <si>
    <t>S028</t>
  </si>
  <si>
    <t>T1629</t>
  </si>
  <si>
    <t>T1630</t>
  </si>
  <si>
    <t>T1631</t>
  </si>
  <si>
    <t>S029</t>
  </si>
  <si>
    <t>T1632</t>
  </si>
  <si>
    <t>T1633</t>
  </si>
  <si>
    <t>T1634</t>
  </si>
  <si>
    <t>T1635</t>
  </si>
  <si>
    <t>S030</t>
  </si>
  <si>
    <t>T1636</t>
  </si>
  <si>
    <t>T1637</t>
  </si>
  <si>
    <t>T1638</t>
  </si>
  <si>
    <t>T1639</t>
  </si>
  <si>
    <t>S031</t>
  </si>
  <si>
    <t>T1640</t>
  </si>
  <si>
    <t>MLCF audited model row 84; Input Review gives exact source; MLCF audited model row 85; Input Review gives exact source; Mathematical/day-count diagnostic constant; MLCF audited model row 84; Input Review gives exact source</t>
  </si>
  <si>
    <t>T1641</t>
  </si>
  <si>
    <t>S032</t>
  </si>
  <si>
    <t>T1642</t>
  </si>
  <si>
    <t>T1643</t>
  </si>
  <si>
    <t>S033</t>
  </si>
  <si>
    <t>T1644</t>
  </si>
  <si>
    <t>T1645</t>
  </si>
  <si>
    <t>S034</t>
  </si>
  <si>
    <t>T1646</t>
  </si>
  <si>
    <t>T1647</t>
  </si>
  <si>
    <t>T1648</t>
  </si>
  <si>
    <t>S035</t>
  </si>
  <si>
    <t>T1649</t>
  </si>
  <si>
    <t>T1650</t>
  </si>
  <si>
    <t>T1651</t>
  </si>
  <si>
    <t>S036</t>
  </si>
  <si>
    <t>T1652</t>
  </si>
  <si>
    <t>T1653</t>
  </si>
  <si>
    <t>T1654</t>
  </si>
  <si>
    <t>S037</t>
  </si>
  <si>
    <t>T1655</t>
  </si>
  <si>
    <t>T1656</t>
  </si>
  <si>
    <t>T1657</t>
  </si>
  <si>
    <t>S038</t>
  </si>
  <si>
    <t>T1658</t>
  </si>
  <si>
    <t>T1659</t>
  </si>
  <si>
    <t>T1660</t>
  </si>
  <si>
    <t>T1661</t>
  </si>
  <si>
    <t>S039</t>
  </si>
  <si>
    <t>T1662</t>
  </si>
  <si>
    <t>T1663</t>
  </si>
  <si>
    <t>T1664</t>
  </si>
  <si>
    <t>T1665</t>
  </si>
  <si>
    <t>S040</t>
  </si>
  <si>
    <t>T1666</t>
  </si>
  <si>
    <t>T1667</t>
  </si>
  <si>
    <t>T1668</t>
  </si>
  <si>
    <t>T1669</t>
  </si>
  <si>
    <t>S041</t>
  </si>
  <si>
    <t>T1670</t>
  </si>
  <si>
    <t>T1671</t>
  </si>
  <si>
    <t>T1672</t>
  </si>
  <si>
    <t>T1673</t>
  </si>
  <si>
    <t>S042</t>
  </si>
  <si>
    <t>T1674</t>
  </si>
  <si>
    <t>T1675</t>
  </si>
  <si>
    <t>T1676</t>
  </si>
  <si>
    <t>S043</t>
  </si>
  <si>
    <t>T1677</t>
  </si>
  <si>
    <t>T1678</t>
  </si>
  <si>
    <t>T1679</t>
  </si>
  <si>
    <t>S044</t>
  </si>
  <si>
    <t>T1680</t>
  </si>
  <si>
    <t>T1681</t>
  </si>
  <si>
    <t>Additional official components and report vintages</t>
  </si>
  <si>
    <t>Official accounting item</t>
  </si>
  <si>
    <t>Source amount</t>
  </si>
  <si>
    <t>Divisor</t>
  </si>
  <si>
    <t>PKR m / million shares</t>
  </si>
  <si>
    <t>Official file</t>
  </si>
  <si>
    <t>Official source URL</t>
  </si>
  <si>
    <t>LUCK|2021|TCI</t>
  </si>
  <si>
    <t>Total comprehensive income</t>
  </si>
  <si>
    <t>lucky\2022.pdf</t>
  </si>
  <si>
    <t>Audited note</t>
  </si>
  <si>
    <t>Total comprehensive income for the year   15,340,066   14,016,397</t>
  </si>
  <si>
    <t>LUCK|2022|TCI</t>
  </si>
  <si>
    <t>LUCK|2023|TCI</t>
  </si>
  <si>
    <t>lucky\2023.pdf</t>
  </si>
  <si>
    <t>Total comprehensive income for the year   13,983,656   15,340,066</t>
  </si>
  <si>
    <t>LUCK|2024|TCI</t>
  </si>
  <si>
    <t>lucky\2025.pdf</t>
  </si>
  <si>
    <t>Total comprehensive income for the year  –     –     –     –     –     –     –     27,971,737   27,971,737   27,971,737</t>
  </si>
  <si>
    <t>LUCK|2025|TCI</t>
  </si>
  <si>
    <t>Total comprehensive income for the year  –     –     –     –     –     –     –     32,544,123   32,544,123   32,544,123</t>
  </si>
  <si>
    <t>MLCF|2021|freight</t>
  </si>
  <si>
    <t>Freight and forwarding inside original COGS</t>
  </si>
  <si>
    <t>maple\2022.pdf</t>
  </si>
  <si>
    <t>Freight and forwarding   699,664   543,688</t>
  </si>
  <si>
    <t>MLCF|2022|freight</t>
  </si>
  <si>
    <t>MLCF|2023|original_cogs</t>
  </si>
  <si>
    <t>Original FY2023 cost of sales</t>
  </si>
  <si>
    <t>maple\2023.pdf</t>
  </si>
  <si>
    <t>Cost of sales 36 (45,651,503) (36,244,156)</t>
  </si>
  <si>
    <t>MLCF|2023|original_dist</t>
  </si>
  <si>
    <t>Original FY2023 distribution cost</t>
  </si>
  <si>
    <t>Distribution cost 37 (2,001,499) (1,483,876)</t>
  </si>
  <si>
    <t>MLCF|2023|original_freight</t>
  </si>
  <si>
    <t>Freight inside original FY2023 COGS</t>
  </si>
  <si>
    <t>Freight and forwarding  1,749,597 699,664</t>
  </si>
  <si>
    <t>MLCF|2024|revaluation</t>
  </si>
  <si>
    <t>Revaluation surplus excluded in one sensitivity</t>
  </si>
  <si>
    <t>maple\2025.pdf</t>
  </si>
  <si>
    <t>Surplus on Revaluation of PPE  3,596,965   4,015,224   1,868,989   2,459,967   3,089,975   3,615,330</t>
  </si>
  <si>
    <t>FCCL|2021|report_wavg</t>
  </si>
  <si>
    <t>Weighted shares used in latest report EPS series (thousands)</t>
  </si>
  <si>
    <t>fauji\FCCL-Annual-Report-2022.pdf</t>
  </si>
  <si>
    <t>Weighted average number of ordinary shares (Numbers '000) 2,180,309 1,379,815</t>
  </si>
  <si>
    <t>FCCL|2022|report_wavg</t>
  </si>
  <si>
    <t>fauji\FCCL-Annual-Report-2023.pdf</t>
  </si>
  <si>
    <t>(Numbers ‘000) 2,353,539 2,353,539</t>
  </si>
  <si>
    <t>FCCL|2023|report_wavg</t>
  </si>
  <si>
    <t>FCCL|2024|report_wavg</t>
  </si>
  <si>
    <t>fauji\FCCL-Annual-Report-2025.pdf</t>
  </si>
  <si>
    <t>Weighted average number of ordinary shares    2,452,847  2,452,847</t>
  </si>
  <si>
    <t>FCCL|2025|report_wavg</t>
  </si>
  <si>
    <t>LUCK|2020|deftax_note</t>
  </si>
  <si>
    <t>Deferred tax liability in note24.2; resolves face-statement typo</t>
  </si>
  <si>
    <t>lucky\2021.pdf</t>
  </si>
  <si>
    <t>5,167,561</t>
  </si>
  <si>
    <t>LUCK|2020|deftax_face</t>
  </si>
  <si>
    <t>Deferred tax liability on face of financial position</t>
  </si>
  <si>
    <t>5,167,161</t>
  </si>
  <si>
    <t>MLCF|2021|recast_cogs</t>
  </si>
  <si>
    <t>Later official six-year COGS presentation</t>
  </si>
  <si>
    <t>Official historical performance table</t>
  </si>
  <si>
    <t>Cost of sales  (45,195,630)  (0.64)  (45,488,064)  3.61   (43,901,906)  23.51   (35,544,492)  28.82   (27,591,731)  (5.70)  (29,259,512)  44.73</t>
  </si>
  <si>
    <t>MLCF|2021|recast_dist</t>
  </si>
  <si>
    <t>Later official six-year distribution expense</t>
  </si>
  <si>
    <t>Distribution cost   (4,123,754)  (24.64)  (5,471,808)  45.87   (3,751,096)  71.79   (2,183,540)  40.19   (1,557,540)  11.03   (1,402,814)  (22.32)</t>
  </si>
  <si>
    <t>MLCF|2022|recast_cogs</t>
  </si>
  <si>
    <t>MLCF|2022|recast_dist</t>
  </si>
  <si>
    <t>KOHC|2024|top_wavg</t>
  </si>
  <si>
    <t>Top-line split-restated weighted shares</t>
  </si>
  <si>
    <t>kohat\Kohat_Cement_Annual_Report_2025.pdf</t>
  </si>
  <si>
    <t>outstanding during the year (note 33.1.1) (2024:Restated) Numbers  967,142,101   982,114,704</t>
  </si>
  <si>
    <t>KOHC|2024|detail_wavg</t>
  </si>
  <si>
    <t>Detailed split-restated weighted shares</t>
  </si>
  <si>
    <t>Stock Split in the ratio of 5:1 33.1.3  967,142,101   982,183,197</t>
  </si>
  <si>
    <t>KOHC|2024|pre_wavg</t>
  </si>
  <si>
    <t>Detailed pre-split weighted shares</t>
  </si>
  <si>
    <t>Weighted average number of shares outstanding during the year   193,428,420   196,436,639</t>
  </si>
  <si>
    <t>FCCL|2021|bank_interest</t>
  </si>
  <si>
    <t>Bank financing interest only</t>
  </si>
  <si>
    <t>966,473 79,344</t>
  </si>
  <si>
    <t>FCCL|2022|bank_interest</t>
  </si>
  <si>
    <t>FCCL|2023|bank_interest</t>
  </si>
  <si>
    <t>fauji\FCCL-Annual-Report-2024.pdf</t>
  </si>
  <si>
    <t>5,468,892   2,591,899</t>
  </si>
  <si>
    <t>FCCL|2024|bank_interest</t>
  </si>
  <si>
    <t>5,646,343   5,468,892</t>
  </si>
  <si>
    <t>FCCL|2025|bank_interest</t>
  </si>
  <si>
    <t>DGKC|2020|accruals</t>
  </si>
  <si>
    <t>Accrued liabilities in total payables</t>
  </si>
  <si>
    <t>dg khan\DG_Annual_Report_2021.pdf</t>
  </si>
  <si>
    <t>Accrued liabilities - note 12.3 4,451,035 4,078,887</t>
  </si>
  <si>
    <t>DGKC|2020|customer_advances</t>
  </si>
  <si>
    <t>Customer contract liabilities</t>
  </si>
  <si>
    <t>Contract liability - note 12.2 1,469,797 1,546,864</t>
  </si>
  <si>
    <t>DGKC|2020|retention</t>
  </si>
  <si>
    <t>Contractor retention payable</t>
  </si>
  <si>
    <t>Retention money payable  84,529 110,942</t>
  </si>
  <si>
    <t>DGKC|2020|export_commission</t>
  </si>
  <si>
    <t>Export commission payable</t>
  </si>
  <si>
    <t>Export commission payable   69,779  97,640</t>
  </si>
  <si>
    <t>DGKC|2020|financial_tap</t>
  </si>
  <si>
    <t>Financial trade-and-other-payables scope</t>
  </si>
  <si>
    <t>Trade and other payables  10,897,772 7,346,221</t>
  </si>
  <si>
    <t>DGKC|2021|accruals</t>
  </si>
  <si>
    <t>dg khan\DG_Annual_Report_2022.pdf</t>
  </si>
  <si>
    <t>Accrued liabilities - note 12.3 5,740,256 4,451,035</t>
  </si>
  <si>
    <t>DGKC|2021|customer_advances</t>
  </si>
  <si>
    <t>Contract liability - note 12.2 1,468,611 1,469,797</t>
  </si>
  <si>
    <t>DGKC|2021|retention</t>
  </si>
  <si>
    <t>Retention money payable  36,429  84,529</t>
  </si>
  <si>
    <t>DGKC|2021|export_commission</t>
  </si>
  <si>
    <t>Export commission payable   82,840 69,779</t>
  </si>
  <si>
    <t>DGKC|2021|financial_tap</t>
  </si>
  <si>
    <t>Trade and other payables   8,661,494 10,897,772</t>
  </si>
  <si>
    <t>DGKC|2022|accruals</t>
  </si>
  <si>
    <t>DGKC|2022|customer_advances</t>
  </si>
  <si>
    <t>DGKC|2022|retention</t>
  </si>
  <si>
    <t>DGKC|2022|export_commission</t>
  </si>
  <si>
    <t>DGKC|2022|financial_tap</t>
  </si>
  <si>
    <t>DGKC|2023|accruals</t>
  </si>
  <si>
    <t>dg khan\DGAnnual2024.pdf</t>
  </si>
  <si>
    <t>Accrued liabilities - note 12.3  3,659,335 4,192,363</t>
  </si>
  <si>
    <t>DGKC|2023|customer_advances</t>
  </si>
  <si>
    <t>Contract liability - note 12.2  1,722,828  2,393,152</t>
  </si>
  <si>
    <t>DGKC|2023|retention</t>
  </si>
  <si>
    <t>Retention money payable  37,460 31,941</t>
  </si>
  <si>
    <t>DGKC|2023|export_commission</t>
  </si>
  <si>
    <t>Export commission payable   220,506 166,256</t>
  </si>
  <si>
    <t>DGKC|2023|financial_tap</t>
  </si>
  <si>
    <t>Trade and other payables  - 9,808,485</t>
  </si>
  <si>
    <t>DGKC|2024|accruals</t>
  </si>
  <si>
    <t>dg khan\DGAnnual2025.pdf</t>
  </si>
  <si>
    <t>Accrued liabilities - note 12.3 3,377,704 3,659,335</t>
  </si>
  <si>
    <t>DGKC|2024|customer_advances</t>
  </si>
  <si>
    <t>Contract liabilities - note 12.2 3,186,488 1,722,828</t>
  </si>
  <si>
    <t>DGKC|2024|retention</t>
  </si>
  <si>
    <t>Retention money payable  34,364 37,460</t>
  </si>
  <si>
    <t>DGKC|2024|export_commission</t>
  </si>
  <si>
    <t>Export commission payable  308,695 220,506</t>
  </si>
  <si>
    <t>DGKC|2024|financial_tap</t>
  </si>
  <si>
    <t>Trade and other payables  7,915,940 9,077,431</t>
  </si>
  <si>
    <t>DGKC|2025|accruals</t>
  </si>
  <si>
    <t>DGKC|2025|customer_advances</t>
  </si>
  <si>
    <t>DGKC|2025|retention</t>
  </si>
  <si>
    <t>DGKC|2025|export_commission</t>
  </si>
  <si>
    <t>DGKC|2025|financial_tap</t>
  </si>
  <si>
    <t>DGKC|2020|con_tap</t>
  </si>
  <si>
    <t>Consolidated total trade and other payables</t>
  </si>
  <si>
    <t>Trade and other payables 12 14,747,002 11,434,927</t>
  </si>
  <si>
    <t>DGKC|2021|con_tap</t>
  </si>
  <si>
    <t>Trade and other payables 12 12,519,880 14,747,002</t>
  </si>
  <si>
    <t>DGKC|2022|con_tap</t>
  </si>
  <si>
    <t>DGKC|2023|con_tap</t>
  </si>
  <si>
    <t>Trade and other payables 12 13,319,937 14,457,666</t>
  </si>
  <si>
    <t>DGKC|2024|con_tap</t>
  </si>
  <si>
    <t>Trade and other payables 12 14,438,779 13,319,937</t>
  </si>
  <si>
    <t>DGKC|2025|con_tap</t>
  </si>
  <si>
    <t>DGKC|2021|con_cogs</t>
  </si>
  <si>
    <t>Consolidated cost of sales</t>
  </si>
  <si>
    <t>Cost of sales 33 (50,934,245) (40,067,473)</t>
  </si>
  <si>
    <t>DGKC|2022|con_cogs</t>
  </si>
  <si>
    <t>DGKC|2023|con_cogs</t>
  </si>
  <si>
    <t>Cost of sales 32 (60,276,300) (59,820,917)</t>
  </si>
  <si>
    <t>DGKC|2024|con_cogs</t>
  </si>
  <si>
    <t>Cost of sales 30  (58,834,577) (60,276,300)</t>
  </si>
  <si>
    <t>DGKC|2025|con_cogs</t>
  </si>
  <si>
    <t>DGKC|2021|manufacturing</t>
  </si>
  <si>
    <t>Cost of goods manufactured</t>
  </si>
  <si>
    <t>Cost of goods manufactured  47,819,952 37,211,212</t>
  </si>
  <si>
    <t>DGKC|2022|manufacturing</t>
  </si>
  <si>
    <t>DGKC|2023|manufacturing</t>
  </si>
  <si>
    <t>Cost of goods manufactured   55,522,916 56,332,883</t>
  </si>
  <si>
    <t>DGKC|2024|manufacturing</t>
  </si>
  <si>
    <t>Cost of goods manufactured  53,675,855 55,522,916</t>
  </si>
  <si>
    <t>DGKC|2025|manufacturing</t>
  </si>
  <si>
    <t>FCCL|2020|retention</t>
  </si>
  <si>
    <t>Retention money payable</t>
  </si>
  <si>
    <t>fauji\FCCL-Annual-Report-2021.pdf</t>
  </si>
  <si>
    <t>Retention money  32,691  38,883</t>
  </si>
  <si>
    <t>FCCL|2021|retention</t>
  </si>
  <si>
    <t>Retention money 2,549,004 32,691</t>
  </si>
  <si>
    <t>FCCL|2022|retention</t>
  </si>
  <si>
    <t>Retention money  3,045,172  2,549,004</t>
  </si>
  <si>
    <t>FCCL|2023|retention</t>
  </si>
  <si>
    <t>FCCL|2024|retention</t>
  </si>
  <si>
    <t>Retention money   479,895   1,392,312</t>
  </si>
  <si>
    <t>FCCL|2025|retention</t>
  </si>
  <si>
    <t>FCCL|2020|accruals</t>
  </si>
  <si>
    <t>Separate accrued liabilities on audited financial position</t>
  </si>
  <si>
    <t>Accrued liabilities  1,554,895  1,122,217</t>
  </si>
  <si>
    <t>FCCL|2021|accruals</t>
  </si>
  <si>
    <t>Accrued liabilities 4,321,163 1,554,895</t>
  </si>
  <si>
    <t>FCCL|2022|accruals</t>
  </si>
  <si>
    <t>Accrued liabilities  4,022,396  4,321,163 Stock in trade 20  7,112,327  3,697,721</t>
  </si>
  <si>
    <t>FCCL|2023|accruals</t>
  </si>
  <si>
    <t>FCCL|2024|accruals</t>
  </si>
  <si>
    <t>Accrued liabilities 13  9,076,142   5,154,131</t>
  </si>
  <si>
    <t>FCCL|2025|accruals</t>
  </si>
  <si>
    <t>FCCL|2022|ECL</t>
  </si>
  <si>
    <t>Trade debt impairment allowance</t>
  </si>
  <si>
    <t>Considered doubtful 3,281 3,281</t>
  </si>
  <si>
    <t>FCCL|2023|ECL</t>
  </si>
  <si>
    <t>FCCL|2024|ECL</t>
  </si>
  <si>
    <t>Considered doubtful  3,281  3,281</t>
  </si>
  <si>
    <t>FCCL|2025|ECL</t>
  </si>
  <si>
    <t>FCCL|2021|gross_PPE</t>
  </si>
  <si>
    <t>Gross PPE cost including CWIP</t>
  </si>
  <si>
    <t>Cost  360,282  6,768,444  30,546,353  33,688  20,497  96,724  125,980  46,075  235,990  -  27,855  202,087  38,463,975</t>
  </si>
  <si>
    <t>FCCL|2021|PPE_accum_dep</t>
  </si>
  <si>
    <t>Accumulated depreciation of PPE</t>
  </si>
  <si>
    <t>Accumulated depreciation  -  (3,138,260)  (13,439,896)  (27,780)  (17,991)  (88,421)  (103,329)  (38,887)  (159,341)  -  (27,855)  -  (17,041,760)</t>
  </si>
  <si>
    <t>FCCL|2022|gross_PPE</t>
  </si>
  <si>
    <t>Cost  7,270,272  11,075,129  43,800,927  564,230  58,374  141,220  260,012  159,850  455,332  93,637  176,818  29,802,170  93,857,971</t>
  </si>
  <si>
    <t>FCCL|2022|PPE_accum_dep</t>
  </si>
  <si>
    <t>Accumulated depreciation  -  (3,688,940)  (15,434,322)  (28,436)  (24,215)  (104,500)  (127,719)  (57,311)  (219,005)  (9,364)  (37,844)  -  (19,731,656)</t>
  </si>
  <si>
    <t>FCCL|2023|gross_PPE</t>
  </si>
  <si>
    <t>Cost   7,647,463   –     15,625,791   –     68,013,719   267,009   60,562   192,851   279,640   162,212   478,552   17,568   176,818   34,531,172   127,453,357</t>
  </si>
  <si>
    <t>FCCL|2023|PPE_accum_dep</t>
  </si>
  <si>
    <t>Accumulated depreciation   –     –     (4,337,815)  –     (17,997,475)  –     (30,666)  (129,923)  (156,745)  (76,774)  (245,478)  (3,513)  (49,787)  –     (23,028,176)</t>
  </si>
  <si>
    <t>FCCL|2024|gross_PPE</t>
  </si>
  <si>
    <t>Cost   7,741,642   –     24,777,153   –     102,118,103   396,629   76,922   232,543   317,335   192,884   564,626   17,568   455,267   700,153   137,590,825</t>
  </si>
  <si>
    <t>FCCL|2024|PPE_accum_dep</t>
  </si>
  <si>
    <t>Accumulated depreciation   –     –     (5,033,885)  –     (20,857,897)  –     (37,709)  (165,870)  (187,479)  (97,430)  (290,153)  (5,270)  (69,469)  –     (26,745,162)</t>
  </si>
  <si>
    <t>FCCL|2025|gross_PPE</t>
  </si>
  <si>
    <t>Cost   7,780,904   202,632   24,949,620   105,800   104,873,388   510,269   96,518   252,166   337,642   200,299   686,813   17,568   533,578   296,574   140,843,771</t>
  </si>
  <si>
    <t>FCCL|2025|PPE_accum_dep</t>
  </si>
  <si>
    <t>Accumulated depreciation   –     (1,558)  (5,893,313)  (2,368)  (24,308,286)  –     (47,993)  (198,793)  (221,479)  (121,061)  (349,288)  (7,027)  (113,516)  –     (31,264,682)</t>
  </si>
  <si>
    <t>FCCL|2021|Q4_sales</t>
  </si>
  <si>
    <t>Fourth-quarter net turnover as presented</t>
  </si>
  <si>
    <t>Official quarterly performance table; FY2022 Q4 includes pre-merger Askari results</t>
  </si>
  <si>
    <t>Turnover - net 5,500,988 6,109,741 5,917,657 6,742,899 24,271,285</t>
  </si>
  <si>
    <t>FCCL|2021|Q4_cost</t>
  </si>
  <si>
    <t>Fourth-quarter cost of sales as presented</t>
  </si>
  <si>
    <t>Cost of sales (4,312,582) (4,580,460) (4,154,868) (5,158,970) (18,206,880)</t>
  </si>
  <si>
    <t>FCCL|2022|Q4_sales</t>
  </si>
  <si>
    <t>Turnover - net 6,935,729 8,308,819 7,679,191 31,319,379 54,243,118</t>
  </si>
  <si>
    <t>FCCL|2022|Q4_cost</t>
  </si>
  <si>
    <t>Cost of sales (4,825,771) (5,951,293) (5,730,340) (23,336,448) (39,843,852)</t>
  </si>
  <si>
    <t>FCCL|2023|Q4_sales</t>
  </si>
  <si>
    <t>T urnover - net 14,329,566 18,434,826  17,601,754  17,703,136 68,069,282</t>
  </si>
  <si>
    <t>FCCL|2023|Q4_cost</t>
  </si>
  <si>
    <t>Cost of sales (10,116,118) (13,318,432)  (12,872,080)  (11,344,179) (47,650,809)</t>
  </si>
  <si>
    <t>FCCL|2024|Q4_sales</t>
  </si>
  <si>
    <t>Turnover - net  20,313,087 20,038,667  19,048,367  20,626,105 80,026,226</t>
  </si>
  <si>
    <t>FCCL|2024|Q4_cost</t>
  </si>
  <si>
    <t>Cost of sales  (13,991,877) (13,501,589)  (13,696,719)  (13,155,636) (54,345,821)</t>
  </si>
  <si>
    <t>FCCL|2025|Q4_sales</t>
  </si>
  <si>
    <t>Turnover - net  22,956,406 24,887,957  19,309,821  21,802,144 88,956,328</t>
  </si>
  <si>
    <t>FCCL|2025|Q4_cost</t>
  </si>
  <si>
    <t>Cost of sales  (15,072,575) (15,986,688)  (13,040,730)  (13,284,985) (57,384,978)</t>
  </si>
  <si>
    <t>DGKC|2021|Q1_tap</t>
  </si>
  <si>
    <t>Q1 total trade and other payables</t>
  </si>
  <si>
    <t>FY2021_Q1.pdf</t>
  </si>
  <si>
    <t>Official unaudited interim disclosure; diagnostic only</t>
  </si>
  <si>
    <t>Trade and other payables 10,758,129 11,298,187</t>
  </si>
  <si>
    <t>https://www.dgcement.com/financial-reports/1stQuarterFinancial30_09_2020.pdf</t>
  </si>
  <si>
    <t>DGKC|2021|Q2_tap</t>
  </si>
  <si>
    <t>Q2 total trade and other payables</t>
  </si>
  <si>
    <t>FY2021_Q2.pdf</t>
  </si>
  <si>
    <t>Trade and other payables 10,079,265 11,298,187</t>
  </si>
  <si>
    <t>https://www.dgcement.com/financial-reports/2021-2nd-Quarter-Report.pdf</t>
  </si>
  <si>
    <t>DGKC|2021|Q3_tap</t>
  </si>
  <si>
    <t>Q3 total trade and other payables</t>
  </si>
  <si>
    <t>FY2021_Q3.pdf</t>
  </si>
  <si>
    <t>Trade and other payables 11,435,140 11,298,187</t>
  </si>
  <si>
    <t>https://www.dgcement.com/financial-reports/2021-3rd-Quarter-Report.pdf</t>
  </si>
  <si>
    <t>DGKC|2022|Q1_tap</t>
  </si>
  <si>
    <t>FY2022_Q1.pdf</t>
  </si>
  <si>
    <t>Trade and other payables 10,415,282 14,923,151</t>
  </si>
  <si>
    <t>https://www.dgcement.com/financial-reports/2022-1st-Quarter-Report.pdf</t>
  </si>
  <si>
    <t>DGKC|2022|Q2_tap</t>
  </si>
  <si>
    <t>FY2022_Q2.pdf</t>
  </si>
  <si>
    <t>Trade and other payables 14,937,395 14,923,151</t>
  </si>
  <si>
    <t>https://www.dgcement.com/financial-reports/DGHalfYearlyReport2022.pdf</t>
  </si>
  <si>
    <t>DGKC|2022|Q3_tap</t>
  </si>
  <si>
    <t>FY2022_Q3.pdf</t>
  </si>
  <si>
    <t>Trade and other payables 13,586,880 14,923,151</t>
  </si>
  <si>
    <t>https://www.dgcement.com/financial-reports/2022-3rd-Quarter-Report.pdf</t>
  </si>
  <si>
    <t>DGKC|2023|Q1_tap</t>
  </si>
  <si>
    <t>FY2023_Q1.pdf</t>
  </si>
  <si>
    <t>Trade and other payables 14,844,910 12,591,709</t>
  </si>
  <si>
    <t>https://www.dgcement.com/financial-reports/2023-1st-Quarter-Report.pdf</t>
  </si>
  <si>
    <t>DGKC|2023|Q2_tap</t>
  </si>
  <si>
    <t>FY2023_Q2.pdf</t>
  </si>
  <si>
    <t>Trade and other payables 11,877,889 12,591,709</t>
  </si>
  <si>
    <t>https://www.dgcement.com/financial-reports/DGHalfYearlyReport2023.pdf</t>
  </si>
  <si>
    <t>DGKC|2023|Q3_tap</t>
  </si>
  <si>
    <t>FY2023_Q3.pdf</t>
  </si>
  <si>
    <t>Trade and other payables 12,736,865 12,591,709</t>
  </si>
  <si>
    <t>https://www.dgcement.com/financial-reports/DG3rdQuater2023.pdf</t>
  </si>
  <si>
    <t>DGKC|2024|Q1_tap</t>
  </si>
  <si>
    <t>FY2024_Q1.pdf</t>
  </si>
  <si>
    <t>Trade and other payables 14,706,762 13,783,299</t>
  </si>
  <si>
    <t>https://www.dgcement.com/financial-reports/DG 1st Quarterly 2023.pdf</t>
  </si>
  <si>
    <t>DGKC|2024|Q2_tap</t>
  </si>
  <si>
    <t>FY2024_Q2.pdf</t>
  </si>
  <si>
    <t>Trade and other payables 14,979,853 13,783,299</t>
  </si>
  <si>
    <t>https://www.dgcement.com/financial-reports/DG Half Yearly Report 2024.pdf</t>
  </si>
  <si>
    <t>DGKC|2024|Q3_tap</t>
  </si>
  <si>
    <t>FY2024_Q3.pdf</t>
  </si>
  <si>
    <t>Trade and other payables 12,902,548 13,783,299</t>
  </si>
  <si>
    <t>https://www.dgcement.com/financial-reports/DG 3rd Quater 2024.pdf</t>
  </si>
  <si>
    <t>DGKC|2025|Q1_tap</t>
  </si>
  <si>
    <t>FY2025_Q1.pdf</t>
  </si>
  <si>
    <t>Trade and other payables 13,907,688 12,394,455</t>
  </si>
  <si>
    <t>https://www.dgcement.com/financial-reports/DG 1st Quarterly 2025.pdf</t>
  </si>
  <si>
    <t>DGKC|2025|Q2_tap</t>
  </si>
  <si>
    <t>FY2025_Q2.pdf</t>
  </si>
  <si>
    <t>Trade and other payables 14,818,014 12,394,455</t>
  </si>
  <si>
    <t>https://www.dgcement.com/financial-reports/2025-2nd-Quarter-Report.pdf</t>
  </si>
  <si>
    <t>DGKC|2025|Q3_tap</t>
  </si>
  <si>
    <t>FY2025_Q3.pdf</t>
  </si>
  <si>
    <t>Trade and other payables 14,070,224 12,394,455</t>
  </si>
  <si>
    <t>https://www.dgcement.com/financial-reports/2025-3rd-Quarter-Report.pdf</t>
  </si>
  <si>
    <t>FCCL official PSX fiscal-year price diagnostics</t>
  </si>
  <si>
    <t>Sessions</t>
  </si>
  <si>
    <t>Year-end close</t>
  </si>
  <si>
    <t>Mean close</t>
  </si>
  <si>
    <t>Median close</t>
  </si>
  <si>
    <t>Volume-weighted close</t>
  </si>
  <si>
    <t>Mean month-end close</t>
  </si>
  <si>
    <t>Equal-month mean</t>
  </si>
  <si>
    <t>Mean open</t>
  </si>
  <si>
    <t>Mean high</t>
  </si>
  <si>
    <t>Mean low</t>
  </si>
  <si>
    <t>Extreme midpoint</t>
  </si>
  <si>
    <t>Q1 mean</t>
  </si>
  <si>
    <t>Q2 mean</t>
  </si>
  <si>
    <t>Q3 mean</t>
  </si>
  <si>
    <t>Q4 mean</t>
  </si>
  <si>
    <t>All raw observations are unadjusted official sessions. FY2023 spans a bonus issue; no unverified ex-bonus adjustment is applied.</t>
  </si>
  <si>
    <t>These price statistics are forensic tests only. The verified year-end PSX prices in the standardized model remain unchanged.</t>
  </si>
  <si>
    <t>Open</t>
  </si>
  <si>
    <t>High</t>
  </si>
  <si>
    <t>Low</t>
  </si>
  <si>
    <t>Close</t>
  </si>
  <si>
    <t>Close x volume</t>
  </si>
  <si>
    <t>Month key</t>
  </si>
  <si>
    <t>Request year</t>
  </si>
  <si>
    <t>Request month</t>
  </si>
  <si>
    <t>PSX response SHA256</t>
  </si>
  <si>
    <t>Response evidence file</t>
  </si>
  <si>
    <t>Last session</t>
  </si>
  <si>
    <t>Month-end close</t>
  </si>
  <si>
    <t>2020-07</t>
  </si>
  <si>
    <t>380e70ad205ad93d9934f5919d60dd8b26179e9b5a87321a99c8be80fe3ad687</t>
  </si>
  <si>
    <t>FCCL_2020_07.html</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</si>
  <si>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</si>
  <si>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</si>
  <si>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</si>
  <si>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</si>
  <si>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</si>
  <si>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</si>
  <si>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</si>
  <si>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</si>
  <si>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</si>
  <si>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</si>
  <si>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</si>
  <si>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</si>
  <si>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</si>
  <si>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</si>
  <si>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</si>
  <si>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</si>
  <si>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</si>
  <si>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</si>
  <si>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</si>
  <si>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</si>
  <si>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</si>
  <si>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356bddaafcde65a99c6adc4e65688392d1bc168461ebee4b4efc9583a392e0c9</t>
  </si>
  <si>
    <t>FCCL_2020_08.html</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</si>
  <si>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</si>
  <si>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</si>
  <si>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</si>
  <si>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</si>
  <si>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</si>
  <si>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</si>
  <si>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</si>
  <si>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</si>
  <si>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</si>
  <si>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</si>
  <si>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</si>
  <si>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</si>
  <si>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</si>
  <si>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</si>
  <si>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</si>
  <si>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</si>
  <si>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</si>
  <si>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</si>
  <si>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</si>
  <si>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</si>
  <si>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aa36932948c83a15a9aae0ad2e55cfb81d57f5b7c881cef30120ac0d750128e9</t>
  </si>
  <si>
    <t>FCCL_2020_09.html</t>
  </si>
  <si>
    <t>2024-01</t>
  </si>
  <si>
    <t>2024-02</t>
  </si>
  <si>
    <t>2024-03</t>
  </si>
  <si>
    <t>2024-04</t>
  </si>
  <si>
    <t>2024-05</t>
  </si>
  <si>
    <t>2024-06</t>
  </si>
  <si>
    <t>2024-07</t>
  </si>
  <si>
    <t>2024-08</t>
  </si>
  <si>
    <t>2024-09</t>
  </si>
  <si>
    <t>2024-10</t>
  </si>
  <si>
    <t>2024-11</t>
  </si>
  <si>
    <t>2024-12</t>
  </si>
  <si>
    <t>2025-01</t>
  </si>
  <si>
    <t>2025-02</t>
  </si>
  <si>
    <t>2025-03</t>
  </si>
  <si>
    <t>2025-04</t>
  </si>
  <si>
    <t>2025-05</t>
  </si>
  <si>
    <t>2025-06</t>
  </si>
  <si>
    <t>c6a1d6e09f4c5d5ff0477a0c81581c1d8037cba0e13c703c42bfe0bddc140bd6</t>
  </si>
  <si>
    <t>FCCL_2020_10.html</t>
  </si>
  <si>
    <t>73f51ec423e39899bffc63e234d3ebc7662d1bba30c53bad181c647b3688b84b</t>
  </si>
  <si>
    <t>FCCL_2020_11.html</t>
  </si>
  <si>
    <t>1ba86f700478bcae1c4ad1b54361b04b3233976eb17758e431ceb8320f48535d</t>
  </si>
  <si>
    <t>FCCL_2020_12.html</t>
  </si>
  <si>
    <t>429e9bbe1d553683f98efc50598d3da43510f9549f3a2b4436d69d7df7ddefcc</t>
  </si>
  <si>
    <t>FCCL_2021_01.html</t>
  </si>
  <si>
    <t>8e248827d8fa9e8089c051062a2ae18c421a89813caa85347485f78def72d49e</t>
  </si>
  <si>
    <t>FCCL_2021_02.html</t>
  </si>
  <si>
    <t>f13677b24745a28f8a65e32453d587192fe24fb068d8704d73a0fa79787cd6af</t>
  </si>
  <si>
    <t>FCCL_2021_03.html</t>
  </si>
  <si>
    <t>0318d8cffbe23a4f88f7f167803243825c5f2a8b9bf70f2225c4f2e5afb892f4</t>
  </si>
  <si>
    <t>FCCL_2021_04.html</t>
  </si>
  <si>
    <t>3cf5dc3bf442204887a3b0f45ae58abbecc9326cdbad549825cacdbf8e73c6d1</t>
  </si>
  <si>
    <t>FCCL_2021_05.html</t>
  </si>
  <si>
    <t>767d638325e2779443ebaf1efd0c4fd192170948f4d187ef512cf51e0a3d07c1</t>
  </si>
  <si>
    <t>FCCL_2021_06.html</t>
  </si>
  <si>
    <t>30c77fb35ee1e99bb678406a22d071de4ac5876d4f1bba3821477349a1f568fc</t>
  </si>
  <si>
    <t>FCCL_2021_07.html</t>
  </si>
  <si>
    <t>1da0da4a4a719de2fcaefabb6c18a083749612eebd20b3a16c788b4fdd3a0b25</t>
  </si>
  <si>
    <t>FCCL_2021_08.html</t>
  </si>
  <si>
    <t>4d40740cce2c0b3a33f08a66a8cc283a7457e89051d1284dbffcfbcaec629d62</t>
  </si>
  <si>
    <t>FCCL_2021_09.html</t>
  </si>
  <si>
    <t>e6f1d0b1f953fb5e3f159a4c5dac38759bf88829a9413ead7034e529e6f342cf</t>
  </si>
  <si>
    <t>FCCL_2021_10.html</t>
  </si>
  <si>
    <t>9f8c91dab81aabfb324cfa4428e3738768e6e451b5a7c728e7245d0f073a5511</t>
  </si>
  <si>
    <t>FCCL_2021_11.html</t>
  </si>
  <si>
    <t>fbbfd01d124b3cf79764656f5781ac88c9fe1cb81103ed321f3c3e8c6e5843aa</t>
  </si>
  <si>
    <t>FCCL_2021_12.html</t>
  </si>
  <si>
    <t>af23362ddb0c412cfb98e936a6b6fa71c4152a63fca587182995a9f326a8b6f0</t>
  </si>
  <si>
    <t>FCCL_2022_01.html</t>
  </si>
  <si>
    <t>5f210065006633cc11a54c13bf5eb1af75397b82d2e250451ebadcb636526df0</t>
  </si>
  <si>
    <t>FCCL_2022_02.html</t>
  </si>
  <si>
    <t>44d4d3129c782f23e9b284397943b64ef5e9724d87804d2e30a09cfe96b42ddc</t>
  </si>
  <si>
    <t>FCCL_2022_03.html</t>
  </si>
  <si>
    <t>75f8aa67f831aee5dc5f8490db8eab569226182e0beff64fb3d1df58807a7d26</t>
  </si>
  <si>
    <t>FCCL_2022_04.html</t>
  </si>
  <si>
    <t>2a77c838df52dfb6530c3e90aa2776737013ba86ed51eee9c61754123a50fe5a</t>
  </si>
  <si>
    <t>FCCL_2022_05.html</t>
  </si>
  <si>
    <t>c56237cf56bf3bfc83a5ab2dff9ff2909b5817bdb92e6552ed8a30c04e296f32</t>
  </si>
  <si>
    <t>FCCL_2022_06.html</t>
  </si>
  <si>
    <t>423a8423ff5f60da6a437d6fefb41bee282311ac35d10a6bf233873d6a1db6f7</t>
  </si>
  <si>
    <t>FCCL_2022_07.html</t>
  </si>
  <si>
    <t>c9bc30ec2244b1895f7cac42a07fc9d28eb0a9add5128414daef0be4791c6a16</t>
  </si>
  <si>
    <t>FCCL_2022_08.html</t>
  </si>
  <si>
    <t>155a31d12cd132fe494629e7f6cdcd122bb0f6bf54528e7fbbe6a5ad2cab447c</t>
  </si>
  <si>
    <t>FCCL_2022_09.html</t>
  </si>
  <si>
    <t>a8127eb7567be632a7b3ae448359a333eea0824d6cae27c3c7d9bb68d5a16905</t>
  </si>
  <si>
    <t>FCCL_2022_10.html</t>
  </si>
  <si>
    <t>168d0fc8eec98160b511e2fa993da95d071aaac20181718066aafaf3103e83cb</t>
  </si>
  <si>
    <t>FCCL_2022_11.html</t>
  </si>
  <si>
    <t>462891632164a2947f55d92423fe32c844e6cbef64c60738311eeddf087d9566</t>
  </si>
  <si>
    <t>FCCL_2022_12.html</t>
  </si>
  <si>
    <t>71c954dae9e906529815b77613fc7b415ee6103069c73928961b45027787e131</t>
  </si>
  <si>
    <t>FCCL_2023_01.html</t>
  </si>
  <si>
    <t>ceec2069b2741e6d9e0d9473b5daef8636ae677decd963889381d0cf9c117f4d</t>
  </si>
  <si>
    <t>FCCL_2023_02.html</t>
  </si>
  <si>
    <t>4e50d3cd3a8466f97145790f6167f600fc7f6e252c5c11cf58710642ea42c13f</t>
  </si>
  <si>
    <t>FCCL_2023_03.html</t>
  </si>
  <si>
    <t>33a62f690e99fd986207474b0da61e432c98c96c3652bc31c5c45a6421e0fc14</t>
  </si>
  <si>
    <t>FCCL_2023_04.html</t>
  </si>
  <si>
    <t>d251649cfd48e3edfc810599d3da23f06b059d647181993c4bbddf832b4f0ead</t>
  </si>
  <si>
    <t>FCCL_2023_05.html</t>
  </si>
  <si>
    <t>b108c46f8a37a6860f0e66970c799ad5feaa773d5e35cbdcb13637ac6c8c31dc</t>
  </si>
  <si>
    <t>FCCL_2023_06.html</t>
  </si>
  <si>
    <t>28ab37b33dc13363b115d0562211b09c3a86bf9068f72acbd0b1d7359553bd35</t>
  </si>
  <si>
    <t>FCCL_2023_07.html</t>
  </si>
  <si>
    <t>bdd5e9903ea37ae30ab459779dd03564ce63ecf1279c5cac0705e9250bef346d</t>
  </si>
  <si>
    <t>FCCL_2023_08.html</t>
  </si>
  <si>
    <t>b3c24660e91d48f4a19db9cb3f79a79dc0b9e2bb0371d9c358cd5ad2b090ee39</t>
  </si>
  <si>
    <t>FCCL_2023_09.html</t>
  </si>
  <si>
    <t>970878f0e4ea8f190dffe66e5e4a65a177cce3989c203a3d7d8ffff06cf69fbb</t>
  </si>
  <si>
    <t>FCCL_2023_10.html</t>
  </si>
  <si>
    <t>1ca381a717412d45253d9bdf4f8da05324300f2e12cdc9f1a456e6f5f86bfd1d</t>
  </si>
  <si>
    <t>FCCL_2023_11.html</t>
  </si>
  <si>
    <t>4fb75fea8c13b00d838b35efd8f321f7c17dc56bb9d9bf0c1b8f1bcea94f1823</t>
  </si>
  <si>
    <t>FCCL_2023_12.html</t>
  </si>
  <si>
    <t>a79b238febd54b690a47c8ca87a169d4dcfab7ffe1eee09612e17bb71bdd268a</t>
  </si>
  <si>
    <t>FCCL_2024_01.html</t>
  </si>
  <si>
    <t>75beb088280c6088b775a2da89fd4af64c0d082ae85d85057d047726a714dbb3</t>
  </si>
  <si>
    <t>FCCL_2024_02.html</t>
  </si>
  <si>
    <t>d404e4dab809a8aeee8099efff7825e4fadce91424a717e8910b5ea447844e2f</t>
  </si>
  <si>
    <t>FCCL_2024_03.html</t>
  </si>
  <si>
    <t>c8ea08885feca5530d4f53c0e9fb25b19fc28a6dfb21d56d23b2da92e2549f03</t>
  </si>
  <si>
    <t>FCCL_2024_04.html</t>
  </si>
  <si>
    <t>abdb73ba5cba6f84f1e20dbd1eaca477f986150e42e36ce3c9f4401df56ad47b</t>
  </si>
  <si>
    <t>FCCL_2024_05.html</t>
  </si>
  <si>
    <t>cb451efd8e86fbb97cdcd2149664f6b6db4c273b45f13b538687490a6988a0fa</t>
  </si>
  <si>
    <t>FCCL_2024_06.html</t>
  </si>
  <si>
    <t>FCCL_2024_07.html</t>
  </si>
  <si>
    <t>FCCL_2024_08.html</t>
  </si>
  <si>
    <t>FCCL_2024_09.html</t>
  </si>
  <si>
    <t>FCCL_2024_10.html</t>
  </si>
  <si>
    <t>FCCL_2024_11.html</t>
  </si>
  <si>
    <t>FCCL_2024_12.html</t>
  </si>
  <si>
    <t>FCCL_2025_01.html</t>
  </si>
  <si>
    <t>FCCL_2025_02.html</t>
  </si>
  <si>
    <t>FCCL_2025_03.html</t>
  </si>
  <si>
    <t>FCCL_2025_04.html</t>
  </si>
  <si>
    <t>FCCL_2025_05.html</t>
  </si>
  <si>
    <t>FCCL_2025_06.html</t>
  </si>
  <si>
    <t>Financial statement and reporting-vintage identities</t>
  </si>
  <si>
    <t>LUCK FY2020 deferred tax is5167.161m on the financial-position face (2021.pdf PDF p191) but5167.561m in note24.2 (PDF p216). The note figure reconciles the printed deferred-liability subtotal and assets/equity/liabilities identity. The baseline model followed the face typo, causing a0.400m opening-only identity residual. No selected FY2021–25 ratio or sample mean depends on that FY2020 tax/total-liability balance. Record a recommended mapping correction to the note figure after this investigation phase. No model cells changed.</t>
  </si>
  <si>
    <t>Identity</t>
  </si>
  <si>
    <t>Excel residual PKR m</t>
  </si>
  <si>
    <t>Reconciles within PKR0.001m</t>
  </si>
  <si>
    <t>Audited financial-position controls; original Input Review source mapping</t>
  </si>
  <si>
    <t>Calculated assets = audited assets</t>
  </si>
  <si>
    <t>Calculated equity = audited equity</t>
  </si>
  <si>
    <t>Calculated CA = audited CA</t>
  </si>
  <si>
    <t>Calculated CL = audited CL</t>
  </si>
  <si>
    <t>Gross profit = reported gross profit</t>
  </si>
  <si>
    <t>Audited financial-performance controls; signed expenses and taxes retained</t>
  </si>
  <si>
    <t>Calculated PBT = audited PBT</t>
  </si>
  <si>
    <t>PBT + signed tax/levy = audited PAT</t>
  </si>
  <si>
    <t>Official-source exception: LUCK2020 face deferred-tax typo; see note24.2 reconstruction below.</t>
  </si>
  <si>
    <t>Gross PPE - accumulated depreciation = net PPE</t>
  </si>
  <si>
    <t>fauji\FCCL-Annual-Report-2023.pdf PDF p239</t>
  </si>
  <si>
    <t>fauji\FCCL-Annual-Report-2025.pdf PDF p273</t>
  </si>
  <si>
    <t>fauji\FCCL-Annual-Report-2025.pdf PDF p274</t>
  </si>
  <si>
    <t>Freight reclassification: cost bridge</t>
  </si>
  <si>
    <t>Original audited freight note and later company comparative/historical presentation</t>
  </si>
  <si>
    <t>Freight reclassification: distribution bridge</t>
  </si>
  <si>
    <t>Equal opposite expense movement; operating profit and PAT unchanged</t>
  </si>
  <si>
    <t>Opening balance after note24.2 replaces face deferred-tax typo</t>
  </si>
  <si>
    <t>lucky/2021.pdf PDF p191 face tax5167.161m versus p216 note24.2 tax5167.561m. Face deferred-liability subtotal and note support5167.561m. None of the33 FY2021–25 formulas depends on FY2020 non-current deferred tax or total liabilities.</t>
  </si>
  <si>
    <t>ID</t>
  </si>
  <si>
    <t>Required by university</t>
  </si>
  <si>
    <t>Formula origin</t>
  </si>
  <si>
    <t>Formula</t>
  </si>
  <si>
    <t>Selected convention</t>
  </si>
  <si>
    <t>Definition / evidence</t>
  </si>
  <si>
    <t>Current Ratio</t>
  </si>
  <si>
    <t>Yes</t>
  </si>
  <si>
    <t>Table 4.2</t>
  </si>
  <si>
    <t>Current assets / Current liabilities</t>
  </si>
  <si>
    <t>Year-end balances</t>
  </si>
  <si>
    <t>Company closing/average tests and source reconstructions are kept separately.</t>
  </si>
  <si>
    <t>Quick Ratio</t>
  </si>
  <si>
    <t>(Current assets - Inventory) / Current liabilities</t>
  </si>
  <si>
    <t>Stores + stock; year-end</t>
  </si>
  <si>
    <t>Cash Ratio</t>
  </si>
  <si>
    <t>University guideline</t>
  </si>
  <si>
    <t>Cash and equivalents / Current liabilities</t>
  </si>
  <si>
    <t>Available cash; debt kept gross</t>
  </si>
  <si>
    <t>Audited cash-equivalent components before borrowing netting; pledged balances excluded.</t>
  </si>
  <si>
    <t>Net Working Capital</t>
  </si>
  <si>
    <t>Class PPT</t>
  </si>
  <si>
    <t>Current assets - Current liabilities</t>
  </si>
  <si>
    <t>Year-end; PKR million</t>
  </si>
  <si>
    <t>Inventory Turnover</t>
  </si>
  <si>
    <t>COGS / Average inventory</t>
  </si>
  <si>
    <t>Avg stores + stock</t>
  </si>
  <si>
    <t>Receivables Turnover</t>
  </si>
  <si>
    <t>Sales / Average trade receivables</t>
  </si>
  <si>
    <t>Average opening/closing</t>
  </si>
  <si>
    <t>Days Inventory Outstanding</t>
  </si>
  <si>
    <t>365 / Inventory turnover</t>
  </si>
  <si>
    <t>Same inventory basis; 365 days</t>
  </si>
  <si>
    <t>Days Sales Outstanding</t>
  </si>
  <si>
    <t>Receivables / (Annual sales / 365)</t>
  </si>
  <si>
    <t>Average receivables; 365 days</t>
  </si>
  <si>
    <t>Fixed Asset Turnover</t>
  </si>
  <si>
    <t>Sales / Net fixed assets</t>
  </si>
  <si>
    <t>Closing net PPE, incl. CWIP</t>
  </si>
  <si>
    <t>Net PPE includes CWIP. KOHC operating-PPE convention is reconstructed separately; the sample uses one net-PPE definition.</t>
  </si>
  <si>
    <t>Total Asset Turnover</t>
  </si>
  <si>
    <t>Sales / Total assets</t>
  </si>
  <si>
    <t>Closing total assets</t>
  </si>
  <si>
    <t>Debt Ratio</t>
  </si>
  <si>
    <t>Total liabilities / Total assets</t>
  </si>
  <si>
    <t>All liabilities; year-end</t>
  </si>
  <si>
    <t>Debt-to-Equity Ratio</t>
  </si>
  <si>
    <t>Interest-bearing debt / Common equity</t>
  </si>
  <si>
    <t>Financing principal + leases</t>
  </si>
  <si>
    <t>Guideline names D/E without defining debt. Interest-bearing principal and leases are used, consistent with textbook debt-to-capital.</t>
  </si>
  <si>
    <t>Total Debt-to-Total Capital</t>
  </si>
  <si>
    <t>IBD / (IBD + Common equity)</t>
  </si>
  <si>
    <t>Times Interest Earned</t>
  </si>
  <si>
    <t>EBIT / Expensed interest</t>
  </si>
  <si>
    <t>Interest only; not cash paid</t>
  </si>
  <si>
    <t>Gross Profit Margin</t>
  </si>
  <si>
    <t>Gross profit / Sales</t>
  </si>
  <si>
    <t>Audited cost classification</t>
  </si>
  <si>
    <t>Operating Margin</t>
  </si>
  <si>
    <t>EBIT / Sales</t>
  </si>
  <si>
    <t>PBT + expensed interest</t>
  </si>
  <si>
    <t>EBIT = pre-tax/pre-levy profit + expensed interest; non-interest finance charges remain expenses.</t>
  </si>
  <si>
    <t>Net Profit Margin</t>
  </si>
  <si>
    <t>Net income / Sales</t>
  </si>
  <si>
    <t>After audited tax and levy</t>
  </si>
  <si>
    <t>Return on Assets</t>
  </si>
  <si>
    <t>Net income / Total assets</t>
  </si>
  <si>
    <t>Return on Equity</t>
  </si>
  <si>
    <t>Net income / Common equity</t>
  </si>
  <si>
    <t>Closing common equity</t>
  </si>
  <si>
    <t>Return on Invested Capital</t>
  </si>
  <si>
    <t>EBIT x (1 - T) / Invested capital</t>
  </si>
  <si>
    <t>Closing IBD + equity; actual ETR</t>
  </si>
  <si>
    <t>No identical issuer ROIC series identified. Closing financed capital is the common return basis; average-capital sensitivity retained.</t>
  </si>
  <si>
    <t>Basic Earning Power</t>
  </si>
  <si>
    <t>EBIT / Total assets</t>
  </si>
  <si>
    <t>Earnings per Share</t>
  </si>
  <si>
    <t>Net income / Weighted ordinary shares</t>
  </si>
  <si>
    <t>Audited weighted shares</t>
  </si>
  <si>
    <t>Book Value per Share</t>
  </si>
  <si>
    <t>Common equity / Closing shares</t>
  </si>
  <si>
    <t>Treasury shares excluded</t>
  </si>
  <si>
    <t>Price-to-Earnings</t>
  </si>
  <si>
    <t>PSX year-end price / EPS</t>
  </si>
  <si>
    <t>Compatible FY-end share basis</t>
  </si>
  <si>
    <t>Market-to-Book</t>
  </si>
  <si>
    <t>PSX year-end price / BVPS</t>
  </si>
  <si>
    <t>Dividend Yield</t>
  </si>
  <si>
    <t>DPS / PSX year-end price</t>
  </si>
  <si>
    <t>Cash DPS on matching basis</t>
  </si>
  <si>
    <t>Enterprise Value/EBITDA</t>
  </si>
  <si>
    <t>Enterprise value / (EBIT + D&amp;A)</t>
  </si>
  <si>
    <t>Book financing proxy; year-end</t>
  </si>
  <si>
    <t>Changes implemented</t>
  </si>
  <si>
    <t>Operating margin / TIE / BEP / ROIC / EBITDA</t>
  </si>
  <si>
    <t>Use the same textbook EBIT = pre-tax/pre-levy PBT + expensed interest. Fees and exchange differences are not reversed as interest.</t>
  </si>
  <si>
    <t>Interest-bearing debt / common equity; debt ratio remains total liabilities / assets.</t>
  </si>
  <si>
    <t>Cash / EV</t>
  </si>
  <si>
    <t>Available eligible cash before borrowing netting; restricted cash excluded. Book financing and identified accrued claims are explicit approximations.</t>
  </si>
  <si>
    <t>LUCK FY2020 deferred tax</t>
  </si>
  <si>
    <t>Main opening input corrected5167.161 to5167.561m using2021.pdf PDF p216 note24.2. Historical source and forensic residual remain preserved.</t>
  </si>
  <si>
    <t>LUCK FY2021 D&amp;A</t>
  </si>
  <si>
    <t>Corrected4298.760 to4309.413m: depreciation4298.760 + intangible amortization10.653;2022.pdf PDF p258.</t>
  </si>
  <si>
    <t>Closing / average choice</t>
  </si>
  <si>
    <t>Average inventory/receivables. Closing PPE, assets, equity and invested capital. All companies normalized identically for each ratio.</t>
  </si>
  <si>
    <t>Current27-measure calculations and independent checks</t>
  </si>
  <si>
    <t>Signed raw ratio</t>
  </si>
  <si>
    <t>Guideline display</t>
  </si>
  <si>
    <t>Independent Python raw</t>
  </si>
  <si>
    <t>Selected basis</t>
  </si>
  <si>
    <t>Comparable five-company sample averages</t>
  </si>
  <si>
    <t>Arithmetic sample means exclude n/m; observations use one common definition and basis per ratio. Counts show the actual number of meaningful companies.</t>
  </si>
  <si>
    <t>N2021</t>
  </si>
  <si>
    <t>N2022</t>
  </si>
  <si>
    <t>N2023</t>
  </si>
  <si>
    <t>N2024</t>
  </si>
  <si>
    <t>N2025</t>
  </si>
  <si>
    <t>Published observations for the selected27 measures</t>
  </si>
  <si>
    <t>Only the27 selected measures are current. A reproduced numerical convention is not an expressly disclosed issuer formula. Split-restated historical EPS is compared on its reported basis.</t>
  </si>
  <si>
    <t>Official published</t>
  </si>
  <si>
    <t>Normalized display</t>
  </si>
  <si>
    <t>Company reconstruction</t>
  </si>
  <si>
    <t>Matches printed precision</t>
  </si>
  <si>
    <t>Published convention / candidate</t>
  </si>
  <si>
    <t>Finding group</t>
  </si>
  <si>
    <t>Official report reference</t>
  </si>
  <si>
    <t>Grouped explanation</t>
  </si>
  <si>
    <t>Historical source row</t>
  </si>
  <si>
    <t>Reconstructed source convention</t>
  </si>
  <si>
    <t>Closing and average balance tests</t>
  </si>
  <si>
    <t>Core definitions are held constant when testing balance timing. A failed timing test can reflect classification or numerator differences; a one-year match is not proof.</t>
  </si>
  <si>
    <t>Basis tested</t>
  </si>
  <si>
    <t>Candidate result</t>
  </si>
  <si>
    <t>Published value</t>
  </si>
  <si>
    <t>Matches precision</t>
  </si>
  <si>
    <t>Official source / limitation</t>
  </si>
  <si>
    <t>Closing</t>
  </si>
  <si>
    <t>Average</t>
  </si>
  <si>
    <t>Original audited source register; no identical company-published measure identified</t>
  </si>
  <si>
    <t>Sensitivity only</t>
  </si>
  <si>
    <t>EV, cash-equivalent and EBITDA inputs</t>
  </si>
  <si>
    <t>Book financing approximates market debt. Cash is gross of borrowing netting and excludes pledged balances. Other claims include interest-free financing and accrued interest.</t>
  </si>
  <si>
    <t>Cash source file</t>
  </si>
  <si>
    <t>Cash/bank</t>
  </si>
  <si>
    <t>Eligible investments</t>
  </si>
  <si>
    <t>Restricted cash</t>
  </si>
  <si>
    <t>Borrowings in CF netting</t>
  </si>
  <si>
    <t>Reported CF cash</t>
  </si>
  <si>
    <t>Available gross CCE</t>
  </si>
  <si>
    <t>CF reconciliation</t>
  </si>
  <si>
    <t>Depreciation PPE</t>
  </si>
  <si>
    <t>Depreciation ROU</t>
  </si>
  <si>
    <t>Amortization</t>
  </si>
  <si>
    <t>Total D&amp;A</t>
  </si>
  <si>
    <t>Historical D&amp;A</t>
  </si>
  <si>
    <t>D&amp;A correction</t>
  </si>
  <si>
    <t>Interest-bearing principal</t>
  </si>
  <si>
    <t>Interest-free financing</t>
  </si>
  <si>
    <t>Embedded interest</t>
  </si>
  <si>
    <t>Separate accrued interest</t>
  </si>
  <si>
    <t>Other financing claims</t>
  </si>
  <si>
    <t>Official PSX close</t>
  </si>
  <si>
    <t>Closing shares (m)</t>
  </si>
  <si>
    <t>Market equity value</t>
  </si>
  <si>
    <t>Enterprise value</t>
  </si>
  <si>
    <t>Textbook EBIT</t>
  </si>
  <si>
    <t>EBITDA</t>
  </si>
  <si>
    <t>EV/EBITDA</t>
  </si>
  <si>
    <t>D&amp;A source file/page</t>
  </si>
  <si>
    <t>Cash-note evidence</t>
  </si>
  <si>
    <t>D&amp;A evidence</t>
  </si>
  <si>
    <t>Kohat_Cement_AR_2022.pdf, PDF p95</t>
  </si>
  <si>
    <t>Cash and cash equivalents
 Cash and bank balances 25   480,765,632   1,197,729,351
93
NOTES TO THE 
FINANCIAL STATEMENTS
For the year ended 30 June 2022
Annual Report 2022
OUREXPANDING</t>
  </si>
  <si>
    <t>Depreciation on property, plant and equipment 15.4  1,113,065,342   1,225,807,630  |  Amortization on intangibles 29  5,044,474   4,885,071  |  Gain on disposal of property, plant and equipment 15.5  (9,411,831)  (12,589,727) |  Amortization on intangibles 29  5,044,474   4,885,071  |  Gain on disposal of property, plant and equipment 15.5  (9,411,831)  (12,589,727) |  Net change in fair value of financial assets at FVTPL   (14,408,821)  (98,877)</t>
  </si>
  <si>
    <t>Financial_Statements-30-06-2023.pdf, PDF p93</t>
  </si>
  <si>
    <t>Depreciation on property, plant and equipment 15.3  1,114,879,742   1,113,065,342  |  Amortization on intangibles 29  1,133,648   5,044,474  |  Gain on disposal of property, plant and equipment 15.4  (4,710,575)  (9,411,831) |  Amortization on intangibles 29  1,133,648   5,044,474  |  Gain on disposal of property, plant and equipment 15.4  (4,710,575)  (9,411,831) |  Net change in fair value of financial assets at FVTPL   (106,118,840)  (14,408,821)</t>
  </si>
  <si>
    <t>Kohat_Cement_Annual_Report-2024.pdf, PDF p102</t>
  </si>
  <si>
    <t>Cash and cash equivalents 
 Cash and bank balances 24   1,102,649,172   933,537,193
100</t>
  </si>
  <si>
    <t>Depreciation on property, plant and equipment 14.3  1,181,727,691   1,114,879,742  |  Amortization on intangibles 28  1,059,483   1,133,648  |  Gain on disposal of property, plant and equipment 30  (2,329,881)  (4,710,575) |  Amortization on intangibles 28  1,059,483   1,133,648  |  Gain on disposal of property, plant and equipment 30  (2,329,881)  (4,710,575) |  Profit on bank deposits and loans - Conventional 30  (188,632,658)  (48,304,294)</t>
  </si>
  <si>
    <t>Kohat_Cement_Annual_Report_2025.pdf, PDF p110</t>
  </si>
  <si>
    <t>Cash and cash equivalents
 Cash and bank balances 23   1,450,702,723   1,102,649,172
108</t>
  </si>
  <si>
    <t>Depreciation on property, plant and equipment 13.3  1,264,746,263   1,181,727,691  |  Amortization on intangibles 27  248,484   1,059,483  |  Gain on disposal of property, plant and equipment 29  (10,286,361)  (2,329,881) |  Amortization on intangibles 27  248,484   1,059,483  |  Gain on disposal of property, plant and equipment 29  (10,286,361)  (2,329,881) |  Profit on bank deposits and loans – Conventional 29  (182,229,884)  (188,632,658)</t>
  </si>
  <si>
    <t>2022.pdf, PDF p258</t>
  </si>
  <si>
    <t>CASH AND CASH EQUIVALENTS 
 Cash and bank balances 18  3,871,078   2,825,424 
 Short-term investments 17  12,733,049   16,187,615 
 Placements / balances held as lien   (1,111,111)  (322,000)
 Short-term borrowings 26  (1,000,000)  (7,050,000)
    14,493,016   11,641,039 
38. REMUNERATION OF CHIEF EXECUTIVE, DIRECTORS AND EXECUTIVES
 Particulars Chief Executive Executives T otal 
  2022 2021 2022 2021 2022 2021
 (PKR in ‘000’)
 Managerial remuneration   60,000   60,000   1,351,852   1,241,418   1,411,852   1,301,418 
 Charge for defined benefit obligation   5,000   5,000   229,943   218,904   234,943   223,904 
    65,000   65,000   1,581,795   1,460,322   1,646,795   1,525,322 
 Number of persons 1 1 426 380 427 381
38.1 In addition to the above, the Chief Executive, Directors and some Executives are provided with Company maintained 
cars and other benefits as per the Company policy. 
38.2 No remuneration has been paid to directors during the year except as disclosed in note 38.3 below. 
38.3 An amount of PKR 4.219 million was paid to 7 non executive directors and PKR 0.43</t>
  </si>
  <si>
    <t>Depreciation 5.2  4,526,876   4,298,760  |  Amortisation of intangible assets 6.2  885   10,653  |  Provision for slow moving spares  –   248,343  |  Amortisation of intangible assets 6.2  885   10,653  |  Provision for slow moving spares  –   248,343  |  Net (reversal) / creation of provision for doubtful debts 12.3  (12,048)  19,579</t>
  </si>
  <si>
    <t>2023.pdf, PDF p266</t>
  </si>
  <si>
    <t>Depreciation 5.2  5,281,220   4,526,876  |  Amortisation of intangible assets 6.2  33,542   885  |  Net reversal of provision for doubtful debts 12.3  (693)  (12,048) |  Amortisation of intangible assets 6.2  33,542   885  |  Net reversal of provision for doubtful debts 12.3  (693)  (12,048) |  Gain on disposal of property, plant and equipment 34  (215,273)  (132,368)</t>
  </si>
  <si>
    <t>2024.pdf, PDF p272</t>
  </si>
  <si>
    <t>Cash And Cash Equivalents
 Cash and bank balances
 18
  2,567,176 
  4,116,181 
 Short term investments
 17
  29,814,955 
  21,885,398 
   32,382,131 
  26,001,579 
270</t>
  </si>
  <si>
    <t>Depreciation |  5.2 |   6,054,303  |  Amortisation of intangible assets |  6.2 |   43,119</t>
  </si>
  <si>
    <t>2025.pdf, PDF p275</t>
  </si>
  <si>
    <t>Cash And Cash Equivalents 
 Cash and bank balances 17  2,790,323   2,567,176 
 Short term investments 16  61,298,052   29,814,955 
      64,088,375   32,382,131 
Transforming The
Future of 
Pakistan
273</t>
  </si>
  <si>
    <t>Depreciation 5.2  6,876,823   6,054,303  |  Amortisation of intangible assets 6.2  60,909   43,119  |  Provision for slow moving spares   118,218   (96,506) |  Amortisation of intangible assets 6.2  60,909   43,119  |  Provision for slow moving spares   118,218   (96,506) |  Net charge / (reversal) of provision for doubtful debts 11.3  100,000   (1,041)</t>
  </si>
  <si>
    <t>DG_Annual_Report_2022.pdf, PDF p179</t>
  </si>
  <si>
    <t>Cash and cash equivalents
 Cash and bank balances - note 27 410,803 806,373
 Short term borrowings - secured - note 13  (25,210,506) (18,362,050) 
    (24,799,703)  (17,555,677)
40. Transactions with related parties
 The related parties include the subsidiaries, the Investor, related parties on the basis of common directorship, group 
companies, key management personnel and post employment benefit plans. Key management personnel are those 
persons having authority and responsibility for planning, directing and controlling the activities of the Company, directly or 
indirectly, including any director (whether executive or otherwise) of that Company. The Company in the normal course of 
business carries out transactions with various related parties. Amounts due from and to related parties are shown under 
receivables and payables. Significant related party transactions have been disclosed in respective notes in these 
unconsolidated financial statements other than the following:
  2022 2021
  (Rupees in thousand)
 Relationship with the Company Nature of transactions
 i.  Subsidiary com</t>
  </si>
  <si>
    <t>-  Depreciation on operating fixed assets - note 17.1.3 3,909,107 3,580,807 |  -  Amortization of intangible assets - note 30 4,181 - |  -  Gain on disposal of operating fixed assets - note 33 (74,399) (39,735) |  -  Amortization of intangible assets - note 30 4,181 - |  -  Gain on disposal of operating fixed assets - note 33 (74,399) (39,735) |  -  Dividend income - note 33 (2,302,735) (2,197,481)</t>
  </si>
  <si>
    <t>DGAnnual2023.pdf, PDF p204</t>
  </si>
  <si>
    <t>-  Depreciation on operating fixed assets - note 17.1.3 3,936,961 3,909,107 |  -  Amortization of intangible assets - note 18 7,167 4,181 |  -  Gain on disposal of operating fixed assets - note 32 (167,077) (74,399) |  -  Amortization of intangible assets - note 18 7,167 4,181 |  -  Gain on disposal of operating fixed assets - note 32 (167,077) (74,399) |  -  Dividend income - note 32  (2,471,373) (2,302,735)</t>
  </si>
  <si>
    <t>DGAnnual2024.pdf, PDF p207</t>
  </si>
  <si>
    <t>Cash and cash equivalents
 Cash and bank balances - note 26 732,168 674,972
 Short term borrowings - secured - note 13  (13,064,718) (25,494,293) 
    (12,332,550) (24,819,321)
41. Transactions with related parties
 The related parties include the subsidiaries, the Investor, related parties on the basis of common directorship, group companies, 
key management personnel and post employment benefit plans. Key management personnel are those persons having authority 
and responsibility for planning, directing and controlling the activities of the Company, directly or indirectly, including any director 
(whether executive or otherwise) of that Company. The Company in the normal course of business carries out transactions with 
various related parties. Amounts due from and to related parties are shown under receivables and payables. Related party 
transactions carried out during the year are as follows:</t>
  </si>
  <si>
    <t>-  Depreciation on operating fixed assets - note  17.1.3 3,829,907 3,936,961 |  -  Amortization of intangible assets - note  18 23,545 7,167 |  -  Gain on disposal of operating fixed assets - note  33  (23,152) (167,077) |  -  Amortization of intangible assets - note  18 23,545 7,167 |  -  Gain on disposal of operating fixed assets - note  33  (23,152) (167,077) |  -  Dividend income - note  33 (3,623,769)  (2,471,373)</t>
  </si>
  <si>
    <t>DGAnnual2025.pdf, PDF p212</t>
  </si>
  <si>
    <t>Cash and cash equivalents
 Cash and bank balances - note 26 568,832 732,168
 Short term borrowings - secured - note 13 (9,878,499)  (13,064,718)
 Mutual funds held at fair value through profit or loss - note 24 653,520 - 
      (8,656,147)  (12,332,550)
41. Transactions with related parties
 The related parties include the subsidiaries, the Investor, related parties on the basis of common directorship, group companies, 
key management personnel and post employment benefit plans. Key management personnel are those persons having authority 
and responsibility for planning, directing and controlling the activities of the Company, directly or indirectly, including any director 
(whether executive or otherwise) of that Company. The Company in the normal course of business carries out transactions with 
various related parties. Amounts due from and to related parties are shown under receivables and payables. Related party 
transactions carried out during the year are as follows:
211
DGKC Annual Report 2025</t>
  </si>
  <si>
    <t>-  Depreciation on operating fixed assets - note  17.1.3 3,802,916 3,829,907 |  -  Amortization of intangible assets - note  18 29,686 23,545 |  -  Gain on disposal of operating fixed assets - note  33  (36,385) (23,152) |  -  Amortization of intangible assets - note  18 29,686 23,545 |  -  Gain on disposal of operating fixed assets - note  33  (36,385) (23,152) |  -  Dividend income - note  33 (3,958,258) (3,623,769)</t>
  </si>
  <si>
    <t>2022.pdf, PDF p187</t>
  </si>
  <si>
    <t>CASH AND CASH EQUIVALENTS
 Short term running finance 18.2  (1,396,990)  (207,310)
 Temporary bank overdrafts - unsecured 18.4  (505)  (3,217)
 Cash and bank balances 34  793,576   490,329 
    (603,919)  279,802</t>
  </si>
  <si>
    <t>Depreciation 20.1.8  3,231,589   3,284,696  |    Amortization 21.1  2,388   3,006  |    Provision for expected credit loss 27.1  50,049   112,703  |    Amortization 21.1  2,388   3,006  |    Provision for expected credit loss 27.1  50,049   112,703  |    Bad debts written off 39  159,871   46,355</t>
  </si>
  <si>
    <t>2024.pdf, PDF p252</t>
  </si>
  <si>
    <t>CASH AND CASH EQUIVALENTS
 Short term running finance 18.2 (1,645,316) -
 Cash and bank 34 1,133,412 740,707
 Short term investments  238,500 -
    (273,404) 740,707</t>
  </si>
  <si>
    <t>- Depreciation on operating fixed assets 20.1.1 4,508,383 3,471,880 |   - Amortization on intangible assets 21.1 11,964 3,469 |   - Provision for expected credit loss 27.1 357,000 180,000 |   - Amortization on intangible assets 21.1 11,964 3,469 |   - Provision for expected credit loss 27.1 357,000 180,000 |   - Bad debts written off 27.1 191 11,421</t>
  </si>
  <si>
    <t>2025.pdf, PDF p268</t>
  </si>
  <si>
    <t>CASH AND CASH EQUIVALENTS
 Short term running finance 17  (143,520)  (1,645,316)
 Cash and bank 33  1,615,481   1,133,412 
 Short term investments   -     238,500 
     1,471,961   (273,404)</t>
  </si>
  <si>
    <t>- Depreciation on operating fixed assets 19.1.1  4,367,948   4,494,789  |   - Depreciation on right-of-use asset 19.4.1  15,152   13,594  |   - Amortization on intangible assets 20.1  30,200   11,964  |   - Depreciation on right-of-use asset 19.4.1  15,152   13,594  |   - Amortization on intangible assets 20.1  30,200   11,964  |   - Provision for expected credit loss 26.1  510,000   357,000  |   - Amortization on intangible assets 20.1  30,200   11,964  |   - Provision for expected credit loss 26.1  510,000   357,000  |   - Bad debts written off 26.1  4,430   191</t>
  </si>
  <si>
    <t>FCCL-Annual-Report-2022.pdf, PDF p190</t>
  </si>
  <si>
    <t>CASH AND CASH EQUIVALENTS
Cash, cash equivalents and short-term borrowings (used for cash management purposes) include 
the following for the purposes of statement of cash flows.
Note 2022 2021
Rupees'000 Rupees'000
Cash and bank balances 30 2,306,633 900,778
Short term borrowings - secured 15 (3,218,249) (1,616,787)
(911,616) (716,009)
NOTES TO THE FINANCIAL STATEMENTS
FAUJI CEMENT COMPANY LIMITED
FOR THE YEAR ENDED 30 JUNE 2022
228
Fauji Cement Company Limited</t>
  </si>
  <si>
    <t>Depreciation on property, plant and equipment 17.2 2,705,692 1,574,032  | Depreciation on right of use asset 18 45,751 25,519  | Amortization on intangibles 19 198,700 -  | Depreciation on right of use asset 18 45,751 25,519  | Amortization on intangibles 19 198,700 -  | Provision for compensated absences 7 107,740 51,739  | Amortization on intangibles 19 198,700 -  | Provision for compensated absences 7 107,740 51,739  | Workers' (Profit) Participation Fund including interest 12.1 616,399 274,049</t>
  </si>
  <si>
    <t>FCCL-Annual-Report-2023.pdf, PDF p212</t>
  </si>
  <si>
    <t>Depreciation 16.2  3,395,331  2,705,692  | Depreciation on right of use asset 17  49,207  45,751  | Amortization on intangibles 18  205,348  198,700  | Depreciation on right of use asset 17  49,207  45,751  | Amortization on intangibles 18  205,348  198,700  | Provision for employee benefits 6  149,435  107,740  | Amortization on intangibles 18  205,348  198,700  | Provision for employee benefits 6  149,435  107,740  | Workers’ (Profit) Participation Fund including interest 11.1  686,122  616,399</t>
  </si>
  <si>
    <t>FCCL-Annual-Report-2024.pdf, PDF p194</t>
  </si>
  <si>
    <t>CASH AND CASH EQUIVALENTS 
 Cash, cash equivalents and short-term borrowings (used for cash management purposes) include the following for the 
purposes of statement of cash flows.
 Note 2024 2023
  Rupees’000 Rupees’000
 Cash and bank balances 26 2,932,984 970,457
 Short term running finance - secured  14 (1,450,934) (4,530,981)
 Bank balances under lien 26.2 (85,500)  (89,500)
      1,396,550   (3,650,024)
39 REMUNERATION OF CHIEF EXECUTIVE, DIRECTORS AND EXECUTIVES 
 The aggregate amounts recognized during the year on account of remuneration, including benefits and perquisites as 
per the terms of employment contract, are as follows:
Annual Report 2024
228</t>
  </si>
  <si>
    <t>Depreciation on property, plant and equipment  16.2  3,775,527   3,395,331  |  Depreciation on right of use asset 17  70,487   49,207  |  Amortization on intangibles 18  212,037   205,348  |  Depreciation on right of use asset 17  70,487   49,207  |  Amortization on intangibles 18  212,037   205,348  |  Amortization of deferred grant 29  (428,391)  (169,331) |  Amortization on intangibles 18  212,037   205,348  |  Amortization of deferred grant 29  (428,391)  (169,331) |  Spares write off during the year 19.1  (57,700) –   |  Amortization of deferred grant 29  (428,391)  (169,331) |  Spares write off during the year 19.1  (57,700) –   |  Provision for employee benefits 6  168,483   149,435</t>
  </si>
  <si>
    <t>FCCL-Annual-Report-2025.pdf, PDF p248</t>
  </si>
  <si>
    <t>CASH AND CASH EQUIVALENTS
 Cash, cash equivalents and short–term borrowings (used for cash management purposes) include the following for 
the purposes of statement of cash flows.
 Note 2025 2024
  Rupees’000 Rupees’000
 Cash and bank balances 27 2,665,338 2,932,984
 Short term running finance – secured  15 (268,462) (850,934)
 Bank balances under lien 27.3 (85,500)  (85,500)
     2,311,376   1,996,550 
40 REMUNERATION OF CHIEF EXECUTIVE, DIRECTORS AND EXECUTIVES 
 The aggregate amounts recognized during the year on account of remuneration, including benefits and perquisites 
as per the terms of employment contract, are as follows:
 Chief Executive Executives
 2025 2024 2025 2024
 Rupees’000
 Managerial remuneration  70,514   49,001   1,791,700   993,446 
 Bonus  33,320   26,492   485,484   375,930 
 Provident fund  4,219   3,213   62,386   48,418 
 Gratuity  7,159   22,214  –  –  
 Compensated absences  7,143   1,805   41,860   31,524 
 Utilities and upkeep  4,219   3,214   146,424   117,741 
   126,574   105,939   2,527,854   1,567,059 
 Number of persons 1 1  319  252
Financia</t>
  </si>
  <si>
    <t>Depreciation on property, plant and equipment  17.2  4,706,393   3,775,527  |  Depreciation on right of use asset 18  51,313   70,487  |  Amortization on intangibles 19  212,033   212,037  |  Depreciation on right of use asset 18  51,313   70,487  |  Amortization on intangibles 19  212,033   212,037  |  Spares write off during the year 20.1  25,752   (57,700) |  Amortization on intangibles 19  212,033   212,037  |  Spares write off during the year 20.1  25,752   (57,700) |  Gain on disposal of property, plant and equipment 30  (71,898) (12,182) |  Amortization of deferred grant 30  (583,045)  (428,391) |  Workers’ Welfare Fund 33  323,744   13,376  |  Finance cost excluding exchange loss and interest on WPPF 34  5,763,163   5,576,797</t>
  </si>
  <si>
    <t>Course</t>
  </si>
  <si>
    <t>Introduction to Business Finance, IBA Karachi</t>
  </si>
  <si>
    <t>Instructor</t>
  </si>
  <si>
    <t>Dr. Noureen Ayaz</t>
  </si>
  <si>
    <t>Group members / IDs</t>
  </si>
  <si>
    <t>(to be completed by students)</t>
  </si>
  <si>
    <t>Submission</t>
  </si>
  <si>
    <t>Calculation workbook supporting the final report (report prepared separately)</t>
  </si>
  <si>
    <t>Financial period</t>
  </si>
  <si>
    <t>FY2021-FY2025 (years ended 30 June). FY2020 closing balances used only as opening balances for FY2021 averages.</t>
  </si>
  <si>
    <t>Kohat Cement Company Limited (KOHC)</t>
  </si>
  <si>
    <t>Competitors</t>
  </si>
  <si>
    <t>Lucky Cement (LUCK), D.G. Khan Cement (DGKC), Maple Leaf Cement (MLCF), Fauji Cement (FCCL)</t>
  </si>
  <si>
    <t>AI-use disclosure</t>
  </si>
  <si>
    <t>Original preparation: Claude. Full financial/market audit and revision: OpenAI Codex.</t>
  </si>
  <si>
    <t>Company selection and reporting basis</t>
  </si>
  <si>
    <t>Symbol</t>
  </si>
  <si>
    <t>Role</t>
  </si>
  <si>
    <t>Basis used</t>
  </si>
  <si>
    <t>Navigate</t>
  </si>
  <si>
    <t>30 June</t>
  </si>
  <si>
    <t>Go to KOHC sheet</t>
  </si>
  <si>
    <t>Go to LUCK sheet</t>
  </si>
  <si>
    <t>Go to DGKC sheet</t>
  </si>
  <si>
    <t>Go to MLCF sheet</t>
  </si>
  <si>
    <t>Go to FCCL sheet</t>
  </si>
  <si>
    <t>Go to Industry Comparison</t>
  </si>
  <si>
    <t>Go to Sources &amp; Validation</t>
  </si>
  <si>
    <t>Calculation conventions</t>
  </si>
  <si>
    <t>Benchmark</t>
  </si>
  <si>
    <t>Five-company sample average = equally weighted arithmetic mean of the five company ratios (KOHC included). Not an all-industry average. Valid-observation count shown; n/m values excluded, never treated as zero. Median and four-competitor average shown as supplementary statistics.</t>
  </si>
  <si>
    <t>Average balances</t>
  </si>
  <si>
    <t>Average opening/closing inventory, trade receivables, operating supplier payables, operating PPE, assets, equity and invested capital. FY2020 is the opening balance only.</t>
  </si>
  <si>
    <t>Current, quick and cash ratios, NWC, NOWC, debt ratio, debt-to-equity, debt-to-capital, long-term debt ratio, BVPS.</t>
  </si>
  <si>
    <t>Market data</t>
  </si>
  <si>
    <t>Actual, unadjusted PSX historical CLOSE on 30 June 2021, 30 June 2022, 27 June 2023, 28 June 2024 and 30 June 2025. Original report prices and all PSX rows are preserved in PSX Prices and Price Evidence.</t>
  </si>
  <si>
    <t>Restatements</t>
  </si>
  <si>
    <t>Latest audited presentation used for every year (FY2020-FY2024 from the following year's comparatives). All differences against original figures are logged on Sources &amp; Validation.</t>
  </si>
  <si>
    <t>Levies</t>
  </si>
  <si>
    <t>From FY2023 comparatives onward companies present final / minimum taxes as "levies" above income tax. Profit before levies and income tax is used throughout so EBIT is comparable across years.</t>
  </si>
  <si>
    <t>EBIT / EBITDA</t>
  </si>
  <si>
    <t>EBIT = profit before levies and income tax + finance cost (includes other income). EBITDA = EBIT + depreciation and amortisation from the cash-flow reconciliation. Core operating profit excludes other income.</t>
  </si>
  <si>
    <t>Interest-bearing financing and leases, including current principal; excludes interest-free parent loans, accrued markup (including embedded amounts), grants and employee liabilities.</t>
  </si>
  <si>
    <t>Tax rate for NOPAT</t>
  </si>
  <si>
    <t>Actual audited (levies + income tax) / profit before levies and tax; no cap or statutory override. Includes deferred tax and super tax. DGKC FY2023 ETR exceeds 100%, producing negative NOPAT and n/m ROIC.</t>
  </si>
  <si>
    <t>Missing / undefined</t>
  </si>
  <si>
    <t>Negative or undefined calculated measures and growth percentages display n/m, with reasons. Signed statement inputs, raw ratio workings and absolute accounting changes remain preserved. Genuine zeros remain numeric zero.</t>
  </si>
  <si>
    <t>Full audit status</t>
  </si>
  <si>
    <t>All33 measures audited.825 independent result checks and165 means verified. Full Audit Summary records scope and remaining source exceptions.</t>
  </si>
  <si>
    <t>Published ratios</t>
  </si>
  <si>
    <t>544 official observations reviewed. Baseline44 financial failures:33 reproduced,11 unresolved;10 market discrepancies remain. See reconciliation and Investigation Log.</t>
  </si>
  <si>
    <t>Ratio definitions (formulas as implemented on company sheets)</t>
  </si>
  <si>
    <t>Current scope:27 measures,19 mandatory;675 company-year results and135 sample means. See27 Scope,27 Calculations,27 Industry and27 Published.</t>
  </si>
  <si>
    <t>Original33-measure schedules, archived company reconstructions, all PSX evidence and the full63-case forensic investigation are retained unchanged as historical evidence.</t>
  </si>
  <si>
    <t>Rs/share</t>
  </si>
  <si>
    <t>Key limitations</t>
  </si>
  <si>
    <t>- Five-company sample average is not an all-industry average; equal weights give small and large firms the same influence.</t>
  </si>
  <si>
    <t>- Standalone/unconsolidated statements exclude subsidiaries; LUCK and MLCF standalone other income includes large dividends from investees, which raises EBIT, ROA and ROIC relative to core cement operations.</t>
  </si>
  <si>
    <t>- Credit sales are not disclosed: receivables turnover uses total net revenue (proxy). Cement is sold largely on advance/cash terms, so DSO is short.</t>
  </si>
  <si>
    <t>- Purchases are not disclosed: payables turnover uses cost of sales, which includes depreciation and in-house costs, so DPO is understated relative to a purchases basis.</t>
  </si>
  <si>
    <t>- Cash-flow classification remains in the source statements; it no longer feeds an additional headline ratio.</t>
  </si>
  <si>
    <t>- Reclassifications: MLCF FY2023 and FCCL FY2022 moved freight/distribution costs out of cost of sales in restated comparatives; earlier years were not restated, creating gross-margin breaks.</t>
  </si>
  <si>
    <t>- Per-share measures are not comparable across companies (different share bases); sample averages of EPS, BVPS and DPS are descriptive only.</t>
  </si>
  <si>
    <t>- Full audit covers all 33 measures (825 results), source inputs and FY2020 averages. See Full Audit Summary, Ratio Verification, Input Review and Investigation Log.</t>
  </si>
  <si>
    <t>Financial audit - final 27 measures, FY2021-FY2025</t>
  </si>
  <si>
    <t>Course: Introduction to Business Finance, IBA Karachi. Instructor: Dr. Noureen Ayaz. Group members / IDs: to be completed by students.</t>
  </si>
  <si>
    <t>Five companies: KOHC, LUCK, DGKC, MLCF and FCCL. Official audited standalone / unconsolidated accounts. Financial amounts are PKR million unless stated.</t>
  </si>
  <si>
    <t>CURRENT: 27 Scope, 27 Calculations, 27 Industry, 27 Published, Balance Practices, EV Inputs and Reconciliation Guide. These define and verify the final submission.</t>
  </si>
  <si>
    <t>PRESERVED EVIDENCE: PSX Prices, Share Basis, Corporate Actions, Price Evidence, source register, Input Review, Opening Balances and the complete forensic investigation.</t>
  </si>
  <si>
    <t>ARCHIVED: company ratio tables and Industry Comparison use the prior 33-measure model. Published Ratio Reconciliation, Ratio Verification, Full Audit Summary and Archived Methodology retain historical results. Do not use them as current headline calculations.</t>
  </si>
  <si>
    <t>Current controls: 675 company-year results, 135 sample means, 422 balance tests and 455 published observations. 437 published values are numerically reconstructed; 18 remain unreproduced. A fit does not establish an expressly disclosed issuer formula.</t>
  </si>
  <si>
    <t>Sample means give equal weight to available numeric observations, exclude n/m and show valid counts in 27 Industry. Signed negative source amounts remain preserved. Genuine zeros remain numeric.</t>
  </si>
  <si>
    <t>Common formula and balance decisions</t>
  </si>
  <si>
    <t>Average opening/closing total inventory and net trade receivables. Closing PPE including CWIP, total assets, common equity and invested capital. FY2020 audited openings retained.</t>
  </si>
  <si>
    <t>EBIT = pre-levy/pre-tax profit + expensed interest. Non-interest finance charges stay expenses. ROIC uses actual uncapped audited ETR. Cash equivalents follow audited component notes before borrowing netting and after restricted-cash exclusions.</t>
  </si>
  <si>
    <t>Debt ratio uses all liabilities. D/E and debt-to-capital use interest-bearing principal and leases. EV adds identified other financial claims and uses book debt as an explicit market-value approximation.</t>
  </si>
  <si>
    <t>Official PSX fiscal-year-end closes and compatible share bases are preserved. KOHC split trading begins after FY2025. Full source links and dates remain in the market-evidence schedules.</t>
  </si>
  <si>
    <t>Final 27-measure definitions</t>
  </si>
  <si>
    <t>Origin</t>
  </si>
  <si>
    <t>Short method note</t>
  </si>
  <si>
    <t>Basis detail</t>
  </si>
  <si>
    <t>Closing current assets and liabilities.</t>
  </si>
  <si>
    <t>Period/share basis</t>
  </si>
  <si>
    <t>Stores and stock excluded from current assets.</t>
  </si>
  <si>
    <t>Available cash equivalents; borrowings remain in liabilities.</t>
  </si>
  <si>
    <t>Closing balances; signed working capital retained.</t>
  </si>
  <si>
    <t>Average opening and closing stores and stock.</t>
  </si>
  <si>
    <t>Average opening and closing net trade receivables.</t>
  </si>
  <si>
    <t>Average inventory; 365 days used.</t>
  </si>
  <si>
    <t>Average receivables; sales proxy; 365 days.</t>
  </si>
  <si>
    <t>Closing net PPE, including CWIP.</t>
  </si>
  <si>
    <t>Closing total assets used consistently.</t>
  </si>
  <si>
    <t>All liabilities, including operating payables.</t>
  </si>
  <si>
    <t>Interest-bearing principal and leases only.</t>
  </si>
  <si>
    <t>Interest-bearing debt plus common equity.</t>
  </si>
  <si>
    <t>Expensed interest, including lease interest.</t>
  </si>
  <si>
    <t>Audited cost-of-sales classification retained.</t>
  </si>
  <si>
    <t>EBIT includes recognized other income.</t>
  </si>
  <si>
    <t>Profit after audited levy and income tax.</t>
  </si>
  <si>
    <t>Net income over closing total assets.</t>
  </si>
  <si>
    <t>Net income over closing common equity.</t>
  </si>
  <si>
    <t>Closing financed capital; actual audited tax rate.</t>
  </si>
  <si>
    <t>EBIT over closing total assets.</t>
  </si>
  <si>
    <t>Audited weighted shares on compatible price basis.</t>
  </si>
  <si>
    <t>Closing ordinary shares; treasury shares excluded.</t>
  </si>
  <si>
    <t>Official PSX year-end price; compatible EPS.</t>
  </si>
  <si>
    <t>Official PSX year-end price; closing BVPS.</t>
  </si>
  <si>
    <t>Cash dividend on matching share basis.</t>
  </si>
  <si>
    <t>Book debt approximates market financing value.</t>
  </si>
  <si>
    <t>Grouped reconciliation explanations</t>
  </si>
  <si>
    <t>Inventory and receivables use opening/closing averages, including audited FY2020 openings for FY2021. Assets, net PPE, equity and invested capital use closing balances for every company. Company-published closing or average variants are reconstructed separately. An isolated numerical fit does not confirm an issuer policy.</t>
  </si>
  <si>
    <t>Inventory includes stores, spares and stock-in-trade. PPE includes CWIP. Cash includes only audited qualifying equivalents, excludes pledged balances, and is gross of borrowing netting. Debt ratio includes all liabilities; D/E and debt-to-capital use interest-bearing principal and leases. MLCF freight reclassification changes COGS and gross margin without changing operating profit.</t>
  </si>
  <si>
    <t>EBIT = profit before levy/tax + expensed interest. Other recognized income stays included. Non-interest finance charges stay expenses. TIE uses expensed interest, not cash paid. ROIC uses this EBIT, actual uncapped audited ETR and closing IBD + equity. LUCK published ROE is numerically reproduced using comprehensive income; this project consistently uses net income.</t>
  </si>
  <si>
    <t>Market ratios use official PSX closes at year-end or the last preceding trading day. KOHC split trading began 25-Aug-2025, after FY2025; its FY2025 price is not divided by five. LUCK split trading began 28-Apr-2025. EPS, DPS and share counts retain compatible bases. Some published ratios use different or unconfirmed prices, share denominators or tangible-asset definitions.</t>
  </si>
  <si>
    <t>437 of 455 current published observations are numerically reconstructed; this does not prove expressly disclosed issuer formulas. Eight FCCL asset-turnover observations conflict with annual sales/assets and the same report DuPont table. Five FCCL P/E, three FCCL DSO, one FCCL FY2025 TIE and one DGKC FY2021 cash ratio have unconfirmed exact published bases. All 18 remain disclosed below.</t>
  </si>
  <si>
    <t>Reconciliation Guide lists the exact numerator, denominator, project result and published value for each remaining case, with source references and confirmation status. Forensic 63 and Forensic Tests preserve every previous investigation.</t>
  </si>
  <si>
    <t>Prior confirmed input corrections are retained: LUCK FY2020 deferred tax 5,167.561m (note24.2), and FY2021 D&amp;A 4,309.413m including amortization10.653m. Historical source values remain in the archived input model.</t>
  </si>
  <si>
    <t>References: supplied Project Guidelines pp5-6; Brigham &amp; Houston Chapter4 Table4.2; class Chapter04 slides2-8; original audited annual reports and PSX disclosures. Secondary investigative material remains internal and supplies no authoritative financial input.</t>
  </si>
  <si>
    <t>ARCHIVED - original published-ratio reconstruction record</t>
  </si>
  <si>
    <t>SOURCE INPUTS retained. Ratio tables below are ARCHIVED prior-33-measure workings; use 27 Calculations for final results. Blue = audited input; black = formula.</t>
  </si>
  <si>
    <t>ARCHIVED - PRIOR 33-MEASURE RATIO MODEL</t>
  </si>
  <si>
    <t>Historical 33-measure record only. Final submission contains 27 measures; use 27 Scope and 27 Calculations.</t>
  </si>
  <si>
    <t>ARCHIVED - prior 33-measure industry comparison</t>
  </si>
  <si>
    <t>ARCHIVED - checks on the prior 33-measure model</t>
  </si>
  <si>
    <t>ARCHIVED - full audit of the prior 33-measure model</t>
  </si>
  <si>
    <t>Final 27-measure selection and method decisions</t>
  </si>
  <si>
    <t>19 mandatory measures, four further Table4.2 measures and four class-PPT additions. Historical 33-measure and forensic schedules remain archived as evidence.</t>
  </si>
  <si>
    <t>ARCHIVED - previous methodology and 33-measure definitions</t>
  </si>
  <si>
    <t>Historical record only. Current formulas are defined in 27 Scope. Prior explanatory text is retained for traceability.</t>
  </si>
  <si>
    <t>Current published-ratio reconciliation - 27 measures</t>
  </si>
  <si>
    <t>437 / 455 numerical reconstructions. Remaining 18: eight established official-table inconsistencies and ten cases whose exact published basis remains unconfirmed. No current financial formula was changed to force a match.</t>
  </si>
  <si>
    <t>A. Balance timing</t>
  </si>
  <si>
    <t>Balance Practices; 27 Scope; 27 Published</t>
  </si>
  <si>
    <t>B. Accounting classifications</t>
  </si>
  <si>
    <t>EV Inputs; Input Review; Forensic Inputs; official notes cited in 27 Published</t>
  </si>
  <si>
    <t>C. EBIT, interest and taxation</t>
  </si>
  <si>
    <t>27 Calculations; EV Inputs; 27 Published; Balance Practices</t>
  </si>
  <si>
    <t>D. Market prices and shares</t>
  </si>
  <si>
    <t>PSX Prices; Share Basis; Corporate Actions; Price Evidence; Forensic Prices</t>
  </si>
  <si>
    <t>E. Published inconsistencies and unknown bases</t>
  </si>
  <si>
    <t>27 Published; full Forensic 63 and Forensic Tests preserved</t>
  </si>
  <si>
    <t>Project result</t>
  </si>
  <si>
    <t>Exact numerator</t>
  </si>
  <si>
    <t>Exact denominator</t>
  </si>
  <si>
    <t>Raw quotient</t>
  </si>
  <si>
    <t>Numerator meaning / units</t>
  </si>
  <si>
    <t>Denominator meaning / units</t>
  </si>
  <si>
    <t>Finding status</t>
  </si>
  <si>
    <t>Official source / current inputs</t>
  </si>
  <si>
    <t>Explanation and oral defense</t>
  </si>
  <si>
    <t>PBT + expensed interest = EBIT (PKR m)</t>
  </si>
  <si>
    <t>Expensed interest (PKR m)</t>
  </si>
  <si>
    <t>Exact published basis unconfirmed</t>
  </si>
  <si>
    <t>FY2025 AR p216 "Six years at a glance"; current 27 Calculations row 615; source formulas: =(FCCL!H96+FCCL!H106) / =FCCL!H106</t>
  </si>
  <si>
    <t>The project uses expensed interest rather than full finance cost or cash interest paid. Audited PBT and interest support this result. The exact adjustment producing the published figure is unconfirmed.</t>
  </si>
  <si>
    <t>Official PSX year-end price (PKR/share)</t>
  </si>
  <si>
    <t>Compatible unrounded EPS (PKR/share)</t>
  </si>
  <si>
    <t>FY2025 AR p216 "Six years at a glance"; current 27 Calculations row 661; source formulas: =FCCL!D130 / =FCCL!D99/FCCL!D129</t>
  </si>
  <si>
    <t>The project uses the required PSX year-end price and compatible audited EPS. Tested average/median alternatives do not establish one common published pricing convention. Exact published basis unconfirmed.</t>
  </si>
  <si>
    <t>FY2025 AR p216 "Six years at a glance"; current 27 Calculations row 662; source formulas: =FCCL!E130 / =FCCL!E99/FCCL!E129</t>
  </si>
  <si>
    <t>FY2025 AR p216 "Six years at a glance"; current 27 Calculations row 663; source formulas: =FCCL!F130 / =FCCL!F99/FCCL!F129</t>
  </si>
  <si>
    <t>FY2025 AR p216 "Six years at a glance"; current 27 Calculations row 664; source formulas: =FCCL!G130 / =FCCL!G99/FCCL!G129</t>
  </si>
  <si>
    <t>FY2025 AR p216 "Six years at a glance"; current 27 Calculations row 665; source formulas: =FCCL!H130 / =FCCL!H99/FCCL!H129</t>
  </si>
  <si>
    <t>Available audited cash equivalents (PKR m)</t>
  </si>
  <si>
    <t>Closing current liabilities (PKR m)</t>
  </si>
  <si>
    <t>FY2025 AR PDF p108; current 27 Calculations row 286; source formulas: ='EV Inputs'!J16 / =DGKC!D61</t>
  </si>
  <si>
    <t>Quoted related-company equity investments are not designated cash equivalents. Adding all investments would round to 0.34, still not published 0.33. No unsupported inclusion or exclusion is made.</t>
  </si>
  <si>
    <t>365 x average net trade receivables (PKR m-days)</t>
  </si>
  <si>
    <t>Annual net sales (PKR m)</t>
  </si>
  <si>
    <t>FY2025 AR PDF p214; current 27 Calculations row 583; source formulas: =365*AVERAGE(FCCL!E32,FCCL!F32) / =FCCL!F84</t>
  </si>
  <si>
    <t>The project consistently uses 365 days and average opening/closing net trade receivables. Opening, closing, gross, day-count and quarter-sales tests do not establish a common published rule.</t>
  </si>
  <si>
    <t>FY2025 AR PDF p214; current 27 Calculations row 584; source formulas: =365*AVERAGE(FCCL!F32,FCCL!G32) / =FCCL!G84</t>
  </si>
  <si>
    <t>FY2025 AR PDF p214; current 27 Calculations row 585; source formulas: =365*AVERAGE(FCCL!G32,FCCL!H32) / =FCCL!H84</t>
  </si>
  <si>
    <t>Closing total assets (PKR m)</t>
  </si>
  <si>
    <t>Confirmed official-table inconsistency; algorithm unknown</t>
  </si>
  <si>
    <t>FY2025 AR PDF p214; current 27 Calculations row 592; source formulas: =FCCL!E84 / =FCCL!E37</t>
  </si>
  <si>
    <t>Annual sales/closing assets agree with the same annual report DuPont table, while the labelled ratios conflict. The source inconsistency is established; the issuer private calculation is unknown.</t>
  </si>
  <si>
    <t>FY2025 AR PDF p214; current 27 Calculations row 593; source formulas: =FCCL!F84 / =FCCL!F37</t>
  </si>
  <si>
    <t>FY2025 AR PDF p214; current 27 Calculations row 594; source formulas: =FCCL!G84 / =FCCL!G37</t>
  </si>
  <si>
    <t>FY2025 AR PDF p214; current 27 Calculations row 595; source formulas: =FCCL!H84 / =FCCL!H37</t>
  </si>
  <si>
    <t>Closing net PPE including CWIP (PKR m)</t>
  </si>
  <si>
    <t>FY2025 AR PDF p214; current 27 Calculations row 587; source formulas: =FCCL!E84 / =FCCL!E20</t>
  </si>
  <si>
    <t>FY2025 AR PDF p214; current 27 Calculations row 588; source formulas: =FCCL!F84 / =FCCL!F20</t>
  </si>
  <si>
    <t>FY2025 AR PDF p214; current 27 Calculations row 589; source formulas: =FCCL!G84 / =FCCL!G20</t>
  </si>
  <si>
    <t>FY2025 AR PDF p214; current 27 Calculations row 590; source formulas: =FCCL!H84 / =FCCL!H20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</si>
</sst>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0\);\-"/>
    <numFmt numFmtId="165" formatCode="0.0%"/>
    <numFmt numFmtId="166" formatCode="#,##0.000"/>
    <numFmt numFmtId="167" formatCode="0.00\x"/>
    <numFmt numFmtId="168" formatCode="dd\-mmm\-yyyy"/>
    <numFmt numFmtId="169" formatCode="#,##0.00;\(#,##0.00\);&quot;-&quot;"/>
    <numFmt numFmtId="170" formatCode="#,##0.000;\(#,##0.000\);&quot;-&quot;"/>
    <numFmt numFmtId="171" formatCode="0.00;\(0.00\);&quot;-&quot;"/>
    <numFmt numFmtId="172" formatCode="0.000"/>
    <numFmt numFmtId="173" formatCode="0.00&quot;x&quot;;\(0.00\)&quot;x&quot;;&quot;-&quot;"/>
    <numFmt numFmtId="174" formatCode="0;[Red]\(0\);&quot;-&quot;"/>
    <numFmt numFmtId="175" formatCode="0.00%;\(0.00%\);&quot;-&quot;"/>
    <numFmt numFmtId="176" formatCode="#,##0.000000;\(#,##0.000000\);&quot;-&quot;"/>
    <numFmt numFmtId="177" formatCode="#,##0.000000"/>
    <numFmt numFmtId="178" formatCode="0.000000"/>
    <numFmt numFmtId="179" formatCode="yyyy\-mm\-dd"/>
    <numFmt numFmtId="180" formatCode="#,##0.000000000"/>
    <numFmt numFmtId="181" formatCode="0.000000000000"/>
    <numFmt numFmtId="182" formatCode="0.000000000"/>
  </numFmts>
  <fonts count="37" x14ac:knownFonts="1">
    <font>
      <sz val="11"/>
      <color theme="1"/>
      <name val="Calibri"/>
      <family val="2"/>
    </font>
    <font>
      <sz val="10"/>
      <name val="Arial"/>
    </font>
    <font>
      <b/>
      <sz val="10"/>
      <name val="Calibri"/>
    </font>
    <font>
      <b/>
      <sz val="11"/>
      <color rgb="FF1F3864"/>
      <name val="Calibri"/>
    </font>
    <font>
      <b/>
      <sz val="10"/>
      <color rgb="FFFFFFFF"/>
      <name val="Calibri"/>
    </font>
    <font>
      <u/>
      <sz val="10"/>
      <color rgb="FF0563C1"/>
      <name val="Calibri"/>
    </font>
    <font>
      <sz val="10"/>
      <color rgb="FF0000FF"/>
      <name val="Calibri"/>
    </font>
    <font>
      <sz val="9"/>
      <name val="Calibri"/>
    </font>
    <font>
      <b/>
      <sz val="14"/>
      <color rgb="FF1F3864"/>
      <name val="Calibri"/>
    </font>
    <font>
      <i/>
      <sz val="10"/>
      <name val="Calibri"/>
    </font>
    <font>
      <sz val="9"/>
      <color rgb="FF595959"/>
      <name val="Calibri"/>
    </font>
    <font>
      <sz val="10"/>
      <name val="Calibri"/>
    </font>
    <font>
      <i/>
      <sz val="9"/>
      <name val="Calibri"/>
    </font>
    <font>
      <sz val="9"/>
      <color rgb="FF808080"/>
      <name val="Calibri"/>
    </font>
    <font>
      <sz val="10"/>
      <color rgb="FF008000"/>
      <name val="Calibri"/>
    </font>
    <font>
      <sz val="8"/>
      <color rgb="FF808080"/>
      <name val="Calibri"/>
    </font>
    <font>
      <sz val="8"/>
      <name val="Calibri"/>
    </font>
    <font>
      <sz val="10"/>
      <color rgb="FF172C25"/>
      <name val="Arial"/>
      <family val="2"/>
    </font>
    <font>
      <b/>
      <sz val="15"/>
      <color rgb="FF204F3D"/>
      <name val="Arial"/>
      <family val="2"/>
    </font>
    <font>
      <i/>
      <sz val="10"/>
      <color rgb="FF4A6056"/>
      <name val="Arial"/>
      <family val="2"/>
    </font>
    <font>
      <b/>
      <sz val="10"/>
      <color rgb="FFFFFFFF"/>
      <name val="Arial"/>
      <family val="2"/>
    </font>
    <font>
      <sz val="10"/>
      <color rgb="FF0000FF"/>
      <name val="Arial"/>
      <family val="2"/>
    </font>
    <font>
      <sz val="10"/>
      <color rgb="FF008000"/>
      <name val="Arial"/>
      <family val="2"/>
    </font>
    <font>
      <sz val="10"/>
      <color rgb="FF595959"/>
      <name val="Calibri"/>
    </font>
    <font>
      <b/>
      <sz val="11"/>
      <color rgb="FF204F3D"/>
      <name val="Calibri"/>
    </font>
    <font>
      <b/>
      <sz val="11"/>
      <color rgb="FF204F3D"/>
      <name val="Calibri"/>
      <family val="2"/>
    </font>
    <font>
      <i/>
      <sz val="9"/>
      <color rgb="FF58675E"/>
      <name val="Calibri"/>
      <family val="2"/>
    </font>
    <font>
      <i/>
      <sz val="10"/>
      <color rgb="FF53665C"/>
      <name val="Arial"/>
      <family val="2"/>
    </font>
    <font>
      <sz val="11"/>
      <color rgb="FF172C25"/>
      <name val="Calibri"/>
      <family val="2"/>
    </font>
    <font>
      <sz val="10"/>
      <color rgb="FF202F40"/>
      <name val="Arial"/>
      <family val="2"/>
    </font>
    <font>
      <b/>
      <sz val="15"/>
      <color rgb="FF17365D"/>
      <name val="Arial"/>
      <family val="2"/>
    </font>
    <font>
      <sz val="11"/>
      <color rgb="FFFFFFFF"/>
      <name val="Calibri"/>
      <family val="2"/>
    </font>
    <font>
      <b/>
      <sz val="15"/>
      <color rgb="FF204F3D"/>
      <name val="Calibri"/>
      <family val="2"/>
    </font>
    <font>
      <b/>
      <sz val="11"/>
      <color rgb="FFFFFFFF"/>
      <name val="Calibri"/>
      <family val="2"/>
    </font>
    <font>
      <sz val="11"/>
      <color rgb="FF008000"/>
      <name val="Calibri"/>
      <family val="2"/>
    </font>
    <font>
      <b/>
      <sz val="16"/>
      <color rgb="FF204F3D"/>
      <name val="Calibri"/>
      <family val="2"/>
    </font>
    <font>
      <b/>
      <sz val="12"/>
      <color rgb="FF204F3D"/>
      <name val="Calibri"/>
      <family val="2"/>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9E1F2"/>
      </patternFill>
    </fill>
    <fill>
      <patternFill patternType="solid">
        <fgColor rgb="FFF2F2F2"/>
      </patternFill>
    </fill>
    <fill>
      <patternFill patternType="solid">
        <fgColor rgb="FF204F3D"/>
      </patternFill>
    </fill>
    <fill>
      <patternFill patternType="solid">
        <fgColor rgb="FFF1F5F1"/>
      </patternFill>
    </fill>
    <fill>
      <patternFill patternType="solid">
        <fgColor rgb="FFEDF3EC"/>
      </patternFill>
    </fill>
    <fill>
      <patternFill patternType="solid">
        <fgColor rgb="FF204F3D"/>
      </patternFill>
    </fill>
    <fill>
      <patternFill patternType="solid">
        <fgColor rgb="FFF1F5F1"/>
      </patternFill>
    </fill>
    <fill>
      <patternFill patternType="solid">
        <fgColor rgb="FF204F3D"/>
      </patternFill>
    </fill>
    <fill>
      <patternFill patternType="solid">
        <fgColor rgb="FF204F3D"/>
      </patternFill>
    </fill>
    <fill>
      <patternFill patternType="solid">
        <fgColor rgb="FF17365D"/>
      </patternFill>
    </fill>
    <fill>
      <patternFill patternType="solid">
        <fgColor rgb="FFEAF0F6"/>
      </patternFill>
    </fill>
    <fill>
      <patternFill patternType="solid">
        <fgColor rgb="FF204F3D"/>
      </patternFill>
    </fill>
    <fill>
      <patternFill patternType="solid">
        <fgColor rgb="FFF0F5F1"/>
      </patternFill>
    </fill>
    <fill>
      <patternFill patternType="solid">
        <fgColor rgb="FFEDF3EC"/>
      </patternFill>
    </fill>
    <fill>
      <patternFill patternType="solid">
        <fgColor rgb="FF204F3D"/>
      </patternFill>
    </fill>
    <fill>
      <patternFill patternType="solid">
        <fgColor rgb="FFFFFFFF"/>
      </patternFill>
    </fill>
  </fills>
  <borders count="2">
    <border>
      <left/>
      <right/>
      <top/>
      <bottom/>
      <diagonal/>
    </border>
    <border>
      <left/>
      <right/>
      <top/>
      <bottom style="thin">
        <color rgb="FFBFBFBF"/>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221">
    <xf numFmtId="0" fontId="0" fillId="0" borderId="0" xfId="0"/>
    <xf numFmtId="0" fontId="0" fillId="0" borderId="0" xfId="0" applyAlignment="1">
      <alignment wrapText="1"/>
    </xf>
    <xf numFmtId="0" fontId="0" fillId="0" borderId="0" xfId="0" applyAlignment="1">
      <alignment vertical="top" wrapText="1"/>
    </xf>
    <xf numFmtId="0" fontId="2" fillId="0" borderId="0" xfId="0" applyFont="1"/>
    <xf numFmtId="0" fontId="3" fillId="0" borderId="0" xfId="0" applyFont="1"/>
    <xf numFmtId="0" fontId="4" fillId="2" borderId="0" xfId="0" applyFont="1" applyFill="1"/>
    <xf numFmtId="0" fontId="5" fillId="0" borderId="0" xfId="0" applyFont="1"/>
    <xf numFmtId="9" fontId="6" fillId="3" borderId="0" xfId="0" applyNumberFormat="1" applyFont="1" applyFill="1"/>
    <xf numFmtId="0" fontId="7" fillId="0" borderId="0" xfId="0" applyFont="1"/>
    <xf numFmtId="0" fontId="8" fillId="0" borderId="0" xfId="0" applyFont="1"/>
    <xf numFmtId="0" fontId="0" fillId="2" borderId="0" xfId="0" applyFill="1"/>
    <xf numFmtId="0" fontId="4" fillId="2" borderId="0" xfId="0" applyFont="1" applyFill="1" applyAlignment="1">
      <alignment horizontal="center"/>
    </xf>
    <xf numFmtId="0" fontId="2" fillId="4" borderId="0" xfId="0" applyFont="1" applyFill="1"/>
    <xf numFmtId="0" fontId="0" fillId="4" borderId="0" xfId="0" applyFill="1"/>
    <xf numFmtId="164" fontId="6" fillId="0" borderId="0" xfId="0" applyNumberFormat="1" applyFont="1"/>
    <xf numFmtId="164" fontId="11" fillId="0" borderId="0" xfId="0" applyNumberFormat="1" applyFont="1"/>
    <xf numFmtId="164" fontId="2" fillId="0" borderId="1" xfId="0" applyNumberFormat="1" applyFont="1" applyBorder="1"/>
    <xf numFmtId="0" fontId="2" fillId="0" borderId="0" xfId="0" applyFont="1" applyAlignment="1">
      <alignment horizontal="center"/>
    </xf>
    <xf numFmtId="0" fontId="0" fillId="5" borderId="0" xfId="0" applyFill="1"/>
    <xf numFmtId="0" fontId="2" fillId="5" borderId="1" xfId="0" applyFont="1" applyFill="1" applyBorder="1"/>
    <xf numFmtId="165" fontId="11" fillId="0" borderId="0" xfId="0" applyNumberFormat="1" applyFont="1"/>
    <xf numFmtId="49" fontId="6" fillId="0" borderId="0" xfId="0" applyNumberFormat="1" applyFont="1"/>
    <xf numFmtId="4" fontId="6" fillId="0" borderId="0" xfId="0" applyNumberFormat="1" applyFont="1"/>
    <xf numFmtId="4" fontId="11" fillId="0" borderId="0" xfId="0" applyNumberFormat="1" applyFont="1"/>
    <xf numFmtId="166" fontId="6" fillId="0" borderId="0" xfId="0" applyNumberFormat="1" applyFont="1"/>
    <xf numFmtId="167" fontId="0" fillId="0" borderId="0" xfId="0" applyNumberFormat="1" applyAlignment="1">
      <alignment horizontal="right"/>
    </xf>
    <xf numFmtId="1" fontId="0" fillId="0" borderId="0" xfId="0" applyNumberFormat="1" applyAlignment="1">
      <alignment horizontal="right"/>
    </xf>
    <xf numFmtId="165" fontId="0" fillId="0" borderId="0" xfId="0" applyNumberFormat="1" applyAlignment="1">
      <alignment horizontal="right"/>
    </xf>
    <xf numFmtId="4" fontId="0" fillId="0" borderId="0" xfId="0" applyNumberFormat="1" applyAlignment="1">
      <alignment horizontal="right"/>
    </xf>
    <xf numFmtId="165" fontId="0" fillId="0" borderId="0" xfId="0" applyNumberFormat="1"/>
    <xf numFmtId="0" fontId="0" fillId="0" borderId="0" xfId="0" applyAlignment="1">
      <alignment horizontal="right"/>
    </xf>
    <xf numFmtId="164" fontId="0" fillId="0" borderId="0" xfId="0" applyNumberFormat="1"/>
    <xf numFmtId="0" fontId="12" fillId="0" borderId="0" xfId="0" applyFont="1"/>
    <xf numFmtId="167" fontId="0" fillId="0" borderId="0" xfId="0" applyNumberFormat="1"/>
    <xf numFmtId="0" fontId="4" fillId="2" borderId="0" xfId="0" applyFont="1" applyFill="1" applyAlignment="1">
      <alignment horizontal="center" wrapText="1"/>
    </xf>
    <xf numFmtId="0" fontId="10" fillId="4" borderId="0" xfId="0" applyFont="1" applyFill="1"/>
    <xf numFmtId="0" fontId="7" fillId="4" borderId="0" xfId="0" applyFont="1" applyFill="1"/>
    <xf numFmtId="0" fontId="13" fillId="0" borderId="0" xfId="0" applyFont="1"/>
    <xf numFmtId="167" fontId="14" fillId="0" borderId="0" xfId="0" applyNumberFormat="1" applyFont="1"/>
    <xf numFmtId="167" fontId="2" fillId="0" borderId="0" xfId="0" applyNumberFormat="1" applyFont="1"/>
    <xf numFmtId="0" fontId="15" fillId="0" borderId="0" xfId="0" applyFont="1"/>
    <xf numFmtId="165" fontId="14" fillId="0" borderId="0" xfId="0" applyNumberFormat="1" applyFont="1"/>
    <xf numFmtId="165" fontId="2" fillId="0" borderId="0" xfId="0" applyNumberFormat="1" applyFont="1"/>
    <xf numFmtId="0" fontId="2" fillId="4" borderId="0" xfId="0" applyFont="1" applyFill="1" applyAlignment="1">
      <alignment wrapText="1"/>
    </xf>
    <xf numFmtId="0" fontId="16" fillId="0" borderId="0" xfId="0" applyFont="1"/>
    <xf numFmtId="3" fontId="16" fillId="0" borderId="0" xfId="0" applyNumberFormat="1" applyFont="1"/>
    <xf numFmtId="166" fontId="16" fillId="0" borderId="0" xfId="0" applyNumberFormat="1" applyFont="1"/>
    <xf numFmtId="164" fontId="16" fillId="0" borderId="0" xfId="0" applyNumberFormat="1" applyFont="1"/>
    <xf numFmtId="4" fontId="16" fillId="0" borderId="0" xfId="0" applyNumberFormat="1" applyFont="1"/>
    <xf numFmtId="0" fontId="17" fillId="0" borderId="0" xfId="0" applyFont="1"/>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0" fillId="6" borderId="0" xfId="0" applyFont="1" applyFill="1" applyAlignment="1">
      <alignment horizontal="center" vertical="center" wrapText="1"/>
    </xf>
    <xf numFmtId="1" fontId="17" fillId="0" borderId="0" xfId="0" applyNumberFormat="1" applyFont="1" applyAlignment="1">
      <alignment vertical="center"/>
    </xf>
    <xf numFmtId="0" fontId="17" fillId="7" borderId="0" xfId="0" applyFont="1" applyFill="1" applyAlignment="1">
      <alignment vertical="center"/>
    </xf>
    <xf numFmtId="1" fontId="17" fillId="7" borderId="0" xfId="0" applyNumberFormat="1" applyFont="1" applyFill="1" applyAlignment="1">
      <alignment vertical="center"/>
    </xf>
    <xf numFmtId="168" fontId="17" fillId="7" borderId="0" xfId="0" applyNumberFormat="1" applyFont="1" applyFill="1" applyAlignment="1">
      <alignment vertical="center"/>
    </xf>
    <xf numFmtId="168" fontId="17" fillId="0" borderId="0" xfId="0" applyNumberFormat="1" applyFont="1" applyAlignment="1">
      <alignment vertical="center"/>
    </xf>
    <xf numFmtId="169" fontId="17" fillId="7" borderId="0" xfId="0" applyNumberFormat="1" applyFont="1" applyFill="1" applyAlignment="1">
      <alignment vertical="center"/>
    </xf>
    <xf numFmtId="169" fontId="17" fillId="0" borderId="0" xfId="0" applyNumberFormat="1" applyFont="1" applyAlignment="1">
      <alignment vertical="center"/>
    </xf>
    <xf numFmtId="169" fontId="21" fillId="7" borderId="0" xfId="0" applyNumberFormat="1" applyFont="1" applyFill="1" applyAlignment="1">
      <alignment vertical="center"/>
    </xf>
    <xf numFmtId="1" fontId="21" fillId="7" borderId="0" xfId="0" applyNumberFormat="1" applyFont="1" applyFill="1" applyAlignment="1">
      <alignment vertical="center"/>
    </xf>
    <xf numFmtId="169" fontId="21" fillId="0" borderId="0" xfId="0" applyNumberFormat="1" applyFont="1" applyAlignment="1">
      <alignment vertical="center"/>
    </xf>
    <xf numFmtId="1" fontId="21" fillId="0" borderId="0" xfId="0" applyNumberFormat="1" applyFont="1" applyAlignment="1">
      <alignment vertical="center"/>
    </xf>
    <xf numFmtId="166" fontId="21" fillId="7" borderId="0" xfId="0" applyNumberFormat="1" applyFont="1" applyFill="1" applyAlignment="1">
      <alignment vertical="center"/>
    </xf>
    <xf numFmtId="166" fontId="21" fillId="0" borderId="0" xfId="0" applyNumberFormat="1" applyFont="1" applyAlignment="1">
      <alignment vertical="center"/>
    </xf>
    <xf numFmtId="0" fontId="17" fillId="7" borderId="0" xfId="0" applyFont="1" applyFill="1" applyAlignment="1">
      <alignment vertical="center" wrapText="1"/>
    </xf>
    <xf numFmtId="0" fontId="17" fillId="0" borderId="0" xfId="0" applyFont="1" applyAlignment="1">
      <alignment vertical="center" wrapText="1"/>
    </xf>
    <xf numFmtId="170" fontId="17" fillId="7" borderId="0" xfId="0" applyNumberFormat="1" applyFont="1" applyFill="1" applyAlignment="1">
      <alignment vertical="center"/>
    </xf>
    <xf numFmtId="170" fontId="22" fillId="7" borderId="0" xfId="0" applyNumberFormat="1" applyFont="1" applyFill="1" applyAlignment="1">
      <alignment vertical="center"/>
    </xf>
    <xf numFmtId="170" fontId="17" fillId="0" borderId="0" xfId="0" applyNumberFormat="1" applyFont="1" applyAlignment="1">
      <alignment vertical="center"/>
    </xf>
    <xf numFmtId="170" fontId="22" fillId="0" borderId="0" xfId="0" applyNumberFormat="1" applyFont="1" applyAlignment="1">
      <alignment vertical="center"/>
    </xf>
    <xf numFmtId="2" fontId="17" fillId="7" borderId="0" xfId="0" applyNumberFormat="1" applyFont="1" applyFill="1" applyAlignment="1">
      <alignment vertical="center"/>
    </xf>
    <xf numFmtId="2" fontId="17" fillId="0" borderId="0" xfId="0" applyNumberFormat="1" applyFont="1" applyAlignment="1">
      <alignment vertical="center"/>
    </xf>
    <xf numFmtId="171" fontId="22" fillId="7" borderId="0" xfId="0" applyNumberFormat="1" applyFont="1" applyFill="1" applyAlignment="1">
      <alignment vertical="center"/>
    </xf>
    <xf numFmtId="171" fontId="17" fillId="7" borderId="0" xfId="0" applyNumberFormat="1" applyFont="1" applyFill="1" applyAlignment="1">
      <alignment vertical="center"/>
    </xf>
    <xf numFmtId="171" fontId="22" fillId="0" borderId="0" xfId="0" applyNumberFormat="1" applyFont="1" applyAlignment="1">
      <alignment vertical="center"/>
    </xf>
    <xf numFmtId="171" fontId="17" fillId="0" borderId="0" xfId="0" applyNumberFormat="1" applyFont="1" applyAlignment="1">
      <alignment vertical="center"/>
    </xf>
    <xf numFmtId="10" fontId="22" fillId="7" borderId="0" xfId="0" applyNumberFormat="1" applyFont="1" applyFill="1" applyAlignment="1">
      <alignment vertical="center"/>
    </xf>
    <xf numFmtId="10" fontId="22" fillId="0" borderId="0" xfId="0" applyNumberFormat="1" applyFont="1" applyAlignment="1">
      <alignment vertical="center"/>
    </xf>
    <xf numFmtId="1" fontId="17" fillId="7" borderId="0" xfId="0" applyNumberFormat="1" applyFont="1" applyFill="1" applyAlignment="1">
      <alignment vertical="center" wrapText="1"/>
    </xf>
    <xf numFmtId="168" fontId="17" fillId="7" borderId="0" xfId="0" applyNumberFormat="1" applyFont="1" applyFill="1" applyAlignment="1">
      <alignment vertical="center" wrapText="1"/>
    </xf>
    <xf numFmtId="1" fontId="17" fillId="0" borderId="0" xfId="0" applyNumberFormat="1" applyFont="1" applyAlignment="1">
      <alignment vertical="center" wrapText="1"/>
    </xf>
    <xf numFmtId="168" fontId="17" fillId="0" borderId="0" xfId="0" applyNumberFormat="1" applyFont="1" applyAlignment="1">
      <alignment vertical="center" wrapText="1"/>
    </xf>
    <xf numFmtId="172" fontId="17" fillId="7" borderId="0" xfId="0" applyNumberFormat="1" applyFont="1" applyFill="1" applyAlignment="1">
      <alignment vertical="center" wrapText="1"/>
    </xf>
    <xf numFmtId="172" fontId="17" fillId="0" borderId="0" xfId="0" applyNumberFormat="1" applyFont="1" applyAlignment="1">
      <alignment vertical="center" wrapText="1"/>
    </xf>
    <xf numFmtId="173" fontId="0" fillId="0" borderId="0" xfId="0" applyNumberFormat="1" applyAlignment="1">
      <alignment horizontal="right"/>
    </xf>
    <xf numFmtId="169" fontId="0" fillId="0" borderId="0" xfId="0" applyNumberFormat="1" applyAlignment="1">
      <alignment horizontal="right"/>
    </xf>
    <xf numFmtId="174" fontId="0" fillId="0" borderId="0" xfId="0" applyNumberFormat="1" applyAlignment="1">
      <alignment horizontal="right"/>
    </xf>
    <xf numFmtId="175" fontId="0" fillId="0" borderId="0" xfId="0" applyNumberFormat="1" applyAlignment="1">
      <alignment horizontal="right"/>
    </xf>
    <xf numFmtId="171" fontId="0" fillId="0" borderId="0" xfId="0" applyNumberFormat="1" applyAlignment="1">
      <alignment horizontal="right"/>
    </xf>
    <xf numFmtId="0" fontId="26" fillId="0" borderId="0" xfId="0" applyFont="1"/>
    <xf numFmtId="170" fontId="0" fillId="0" borderId="0" xfId="0" applyNumberFormat="1"/>
    <xf numFmtId="173" fontId="14" fillId="0" borderId="0" xfId="0" applyNumberFormat="1" applyFont="1"/>
    <xf numFmtId="173" fontId="2" fillId="0" borderId="0" xfId="0" applyNumberFormat="1" applyFont="1"/>
    <xf numFmtId="173" fontId="0" fillId="0" borderId="0" xfId="0" applyNumberFormat="1"/>
    <xf numFmtId="169" fontId="14" fillId="0" borderId="0" xfId="0" applyNumberFormat="1" applyFont="1"/>
    <xf numFmtId="169" fontId="2" fillId="0" borderId="0" xfId="0" applyNumberFormat="1" applyFont="1"/>
    <xf numFmtId="169" fontId="0" fillId="0" borderId="0" xfId="0" applyNumberFormat="1"/>
    <xf numFmtId="174" fontId="14" fillId="0" borderId="0" xfId="0" applyNumberFormat="1" applyFont="1"/>
    <xf numFmtId="174" fontId="2" fillId="0" borderId="0" xfId="0" applyNumberFormat="1" applyFont="1"/>
    <xf numFmtId="174" fontId="0" fillId="0" borderId="0" xfId="0" applyNumberFormat="1"/>
    <xf numFmtId="175" fontId="14" fillId="0" borderId="0" xfId="0" applyNumberFormat="1" applyFont="1"/>
    <xf numFmtId="175" fontId="2" fillId="0" borderId="0" xfId="0" applyNumberFormat="1" applyFont="1"/>
    <xf numFmtId="175" fontId="0" fillId="0" borderId="0" xfId="0" applyNumberFormat="1"/>
    <xf numFmtId="171" fontId="14" fillId="0" borderId="0" xfId="0" applyNumberFormat="1" applyFont="1"/>
    <xf numFmtId="171" fontId="2" fillId="0" borderId="0" xfId="0" applyNumberFormat="1" applyFont="1"/>
    <xf numFmtId="171" fontId="0" fillId="0" borderId="0" xfId="0" applyNumberFormat="1"/>
    <xf numFmtId="0" fontId="20" fillId="9" borderId="0" xfId="0" applyFont="1" applyFill="1" applyAlignment="1">
      <alignment wrapText="1"/>
    </xf>
    <xf numFmtId="0" fontId="17" fillId="10" borderId="0" xfId="0" applyFont="1" applyFill="1"/>
    <xf numFmtId="2" fontId="17" fillId="10" borderId="0" xfId="0" applyNumberFormat="1" applyFont="1" applyFill="1"/>
    <xf numFmtId="2" fontId="17" fillId="0" borderId="0" xfId="0" applyNumberFormat="1" applyFont="1"/>
    <xf numFmtId="10" fontId="17" fillId="0" borderId="0" xfId="0" applyNumberFormat="1" applyFont="1"/>
    <xf numFmtId="10" fontId="17" fillId="10" borderId="0" xfId="0" applyNumberFormat="1" applyFont="1" applyFill="1"/>
    <xf numFmtId="0" fontId="17" fillId="10" borderId="0" xfId="0" applyFont="1" applyFill="1" applyAlignment="1">
      <alignment wrapText="1"/>
    </xf>
    <xf numFmtId="0" fontId="17" fillId="0" borderId="0" xfId="0" applyFont="1" applyAlignment="1">
      <alignment wrapText="1"/>
    </xf>
    <xf numFmtId="0" fontId="27" fillId="0" borderId="0" xfId="0" applyFont="1" applyAlignment="1">
      <alignment vertical="center"/>
    </xf>
    <xf numFmtId="0" fontId="20" fillId="9" borderId="0" xfId="0" applyFont="1" applyFill="1" applyAlignment="1">
      <alignment vertical="center" wrapText="1"/>
    </xf>
    <xf numFmtId="0" fontId="17" fillId="10" borderId="0" xfId="0" applyFont="1" applyFill="1" applyAlignment="1">
      <alignment vertical="center"/>
    </xf>
    <xf numFmtId="176" fontId="17" fillId="10" borderId="0" xfId="0" applyNumberFormat="1" applyFont="1" applyFill="1" applyAlignment="1">
      <alignment vertical="center"/>
    </xf>
    <xf numFmtId="176" fontId="17" fillId="0" borderId="0" xfId="0" applyNumberFormat="1" applyFont="1" applyAlignment="1">
      <alignment vertical="center"/>
    </xf>
    <xf numFmtId="0" fontId="17" fillId="10" borderId="0" xfId="0" applyFont="1" applyFill="1" applyAlignment="1">
      <alignment vertical="center" wrapText="1"/>
    </xf>
    <xf numFmtId="166" fontId="17" fillId="0" borderId="0" xfId="0" applyNumberFormat="1" applyFont="1"/>
    <xf numFmtId="176" fontId="17" fillId="7" borderId="0" xfId="0" applyNumberFormat="1" applyFont="1" applyFill="1" applyAlignment="1">
      <alignment vertical="center"/>
    </xf>
    <xf numFmtId="176" fontId="17" fillId="7" borderId="0" xfId="0" applyNumberFormat="1" applyFont="1" applyFill="1" applyAlignment="1">
      <alignment horizontal="right" vertical="center"/>
    </xf>
    <xf numFmtId="0" fontId="17" fillId="7" borderId="0" xfId="0" applyFont="1" applyFill="1" applyAlignment="1">
      <alignment horizontal="right" vertical="center"/>
    </xf>
    <xf numFmtId="176" fontId="17" fillId="0" borderId="0" xfId="0" applyNumberFormat="1" applyFont="1" applyAlignment="1">
      <alignment horizontal="right" vertical="center"/>
    </xf>
    <xf numFmtId="0" fontId="17" fillId="0" borderId="0" xfId="0" applyFont="1" applyAlignment="1">
      <alignment horizontal="right" vertical="center"/>
    </xf>
    <xf numFmtId="0" fontId="20" fillId="11" borderId="0" xfId="0" applyFont="1" applyFill="1" applyAlignment="1">
      <alignment wrapText="1"/>
    </xf>
    <xf numFmtId="2" fontId="0" fillId="0" borderId="0" xfId="0" applyNumberFormat="1"/>
    <xf numFmtId="177" fontId="0" fillId="0" borderId="0" xfId="0" applyNumberFormat="1"/>
    <xf numFmtId="168" fontId="0" fillId="0" borderId="0" xfId="0" applyNumberFormat="1"/>
    <xf numFmtId="0" fontId="18" fillId="0" borderId="0" xfId="0" applyFont="1"/>
    <xf numFmtId="178" fontId="17" fillId="0" borderId="0" xfId="0" applyNumberFormat="1" applyFont="1"/>
    <xf numFmtId="0" fontId="20" fillId="12" borderId="0" xfId="0" applyFont="1" applyFill="1" applyAlignment="1">
      <alignment wrapText="1"/>
    </xf>
    <xf numFmtId="168" fontId="17" fillId="0" borderId="0" xfId="0" applyNumberFormat="1" applyFont="1"/>
    <xf numFmtId="3" fontId="17" fillId="0" borderId="0" xfId="0" applyNumberFormat="1" applyFont="1"/>
    <xf numFmtId="49" fontId="8" fillId="0" borderId="0" xfId="0" applyNumberFormat="1" applyFont="1"/>
    <xf numFmtId="49" fontId="0" fillId="0" borderId="0" xfId="0" applyNumberFormat="1"/>
    <xf numFmtId="49" fontId="9" fillId="0" borderId="0" xfId="0" applyNumberFormat="1" applyFont="1"/>
    <xf numFmtId="49" fontId="10" fillId="0" borderId="0" xfId="0" applyNumberFormat="1" applyFont="1"/>
    <xf numFmtId="49" fontId="4" fillId="2" borderId="0" xfId="0" applyNumberFormat="1" applyFont="1" applyFill="1"/>
    <xf numFmtId="49" fontId="0" fillId="2" borderId="0" xfId="0" applyNumberFormat="1" applyFill="1"/>
    <xf numFmtId="49" fontId="2" fillId="0" borderId="0" xfId="0" applyNumberFormat="1" applyFont="1"/>
    <xf numFmtId="49" fontId="4" fillId="2" borderId="0" xfId="0" applyNumberFormat="1" applyFont="1" applyFill="1" applyAlignment="1">
      <alignment horizontal="left"/>
    </xf>
    <xf numFmtId="49" fontId="2" fillId="4" borderId="0" xfId="0" applyNumberFormat="1" applyFont="1" applyFill="1"/>
    <xf numFmtId="49" fontId="0" fillId="4" borderId="0" xfId="0" applyNumberFormat="1" applyFill="1"/>
    <xf numFmtId="49" fontId="23" fillId="0" borderId="0" xfId="0" applyNumberFormat="1" applyFont="1"/>
    <xf numFmtId="49" fontId="26" fillId="0" borderId="0" xfId="0" applyNumberFormat="1" applyFont="1"/>
    <xf numFmtId="49" fontId="28" fillId="0" borderId="0" xfId="0" applyNumberFormat="1" applyFont="1"/>
    <xf numFmtId="0" fontId="29" fillId="0" borderId="0" xfId="0" applyFont="1" applyAlignment="1">
      <alignment vertical="center"/>
    </xf>
    <xf numFmtId="0" fontId="30" fillId="0" borderId="0" xfId="0" applyFont="1" applyAlignment="1">
      <alignment vertical="center"/>
    </xf>
    <xf numFmtId="0" fontId="20" fillId="13" borderId="0" xfId="0" applyFont="1" applyFill="1" applyAlignment="1">
      <alignment vertical="center" wrapText="1"/>
    </xf>
    <xf numFmtId="0" fontId="29" fillId="14" borderId="0" xfId="0" applyFont="1" applyFill="1" applyAlignment="1">
      <alignment vertical="center"/>
    </xf>
    <xf numFmtId="177" fontId="29" fillId="14" borderId="0" xfId="0" applyNumberFormat="1" applyFont="1" applyFill="1" applyAlignment="1">
      <alignment vertical="center"/>
    </xf>
    <xf numFmtId="177" fontId="29" fillId="0" borderId="0" xfId="0" applyNumberFormat="1" applyFont="1" applyAlignment="1">
      <alignment vertical="center"/>
    </xf>
    <xf numFmtId="166" fontId="21" fillId="14" borderId="0" xfId="0" applyNumberFormat="1" applyFont="1" applyFill="1" applyAlignment="1">
      <alignment vertical="center"/>
    </xf>
    <xf numFmtId="0" fontId="31" fillId="13" borderId="0" xfId="0" applyFont="1" applyFill="1"/>
    <xf numFmtId="179" fontId="0" fillId="0" borderId="0" xfId="0" applyNumberFormat="1"/>
    <xf numFmtId="3" fontId="0" fillId="0" borderId="0" xfId="0" applyNumberFormat="1"/>
    <xf numFmtId="178" fontId="29" fillId="14" borderId="0" xfId="0" applyNumberFormat="1" applyFont="1" applyFill="1" applyAlignment="1">
      <alignment vertical="center"/>
    </xf>
    <xf numFmtId="178" fontId="29" fillId="0" borderId="0" xfId="0" applyNumberFormat="1" applyFont="1" applyAlignment="1">
      <alignment vertical="center"/>
    </xf>
    <xf numFmtId="178" fontId="0" fillId="0" borderId="0" xfId="0" applyNumberFormat="1"/>
    <xf numFmtId="180" fontId="29" fillId="14" borderId="0" xfId="0" applyNumberFormat="1" applyFont="1" applyFill="1" applyAlignment="1">
      <alignment vertical="center"/>
    </xf>
    <xf numFmtId="180" fontId="29" fillId="0" borderId="0" xfId="0" applyNumberFormat="1" applyFont="1" applyAlignment="1">
      <alignment vertical="center"/>
    </xf>
    <xf numFmtId="180" fontId="22" fillId="14" borderId="0" xfId="0" applyNumberFormat="1" applyFont="1" applyFill="1" applyAlignment="1">
      <alignment vertical="center"/>
    </xf>
    <xf numFmtId="180" fontId="22" fillId="0" borderId="0" xfId="0" applyNumberFormat="1" applyFont="1" applyAlignment="1">
      <alignment vertical="center"/>
    </xf>
    <xf numFmtId="181" fontId="29" fillId="14" borderId="0" xfId="0" applyNumberFormat="1" applyFont="1" applyFill="1" applyAlignment="1">
      <alignment vertical="center"/>
    </xf>
    <xf numFmtId="181" fontId="29" fillId="0" borderId="0" xfId="0" applyNumberFormat="1" applyFont="1" applyAlignment="1">
      <alignment vertical="center"/>
    </xf>
    <xf numFmtId="1" fontId="29" fillId="0" borderId="0" xfId="0" applyNumberFormat="1" applyFont="1" applyAlignment="1">
      <alignment vertical="center"/>
    </xf>
    <xf numFmtId="182" fontId="29" fillId="14" borderId="0" xfId="0" applyNumberFormat="1" applyFont="1" applyFill="1" applyAlignment="1">
      <alignment vertical="center"/>
    </xf>
    <xf numFmtId="182" fontId="29" fillId="0" borderId="0" xfId="0" applyNumberFormat="1" applyFont="1" applyAlignment="1">
      <alignment vertical="center"/>
    </xf>
    <xf numFmtId="0" fontId="29" fillId="14" borderId="0" xfId="0" applyFont="1" applyFill="1" applyAlignment="1">
      <alignment vertical="center" wrapText="1"/>
    </xf>
    <xf numFmtId="0" fontId="29" fillId="0" borderId="0" xfId="0" applyFont="1" applyAlignment="1">
      <alignment vertical="center" wrapText="1"/>
    </xf>
    <xf numFmtId="180" fontId="29" fillId="14" borderId="0" xfId="0" applyNumberFormat="1" applyFont="1" applyFill="1" applyAlignment="1">
      <alignment vertical="center" wrapText="1"/>
    </xf>
    <xf numFmtId="180" fontId="29" fillId="0" borderId="0" xfId="0" applyNumberFormat="1" applyFont="1" applyAlignment="1">
      <alignment vertical="center" wrapText="1"/>
    </xf>
    <xf numFmtId="0" fontId="28" fillId="0" borderId="0" xfId="0" applyFont="1" applyAlignment="1">
      <alignment vertical="center"/>
    </xf>
    <xf numFmtId="0" fontId="32" fillId="0" borderId="0" xfId="0" applyFont="1" applyAlignment="1">
      <alignment vertical="center"/>
    </xf>
    <xf numFmtId="0" fontId="33" fillId="15" borderId="0" xfId="0" applyFont="1" applyFill="1" applyAlignment="1">
      <alignment vertical="center" wrapText="1"/>
    </xf>
    <xf numFmtId="0" fontId="28" fillId="16" borderId="0" xfId="0" applyFont="1" applyFill="1" applyAlignment="1">
      <alignment vertical="center"/>
    </xf>
    <xf numFmtId="177" fontId="28" fillId="16" borderId="0" xfId="0" applyNumberFormat="1" applyFont="1" applyFill="1" applyAlignment="1">
      <alignment vertical="center"/>
    </xf>
    <xf numFmtId="177" fontId="28" fillId="0" borderId="0" xfId="0" applyNumberFormat="1" applyFont="1" applyAlignment="1">
      <alignment vertical="center"/>
    </xf>
    <xf numFmtId="0" fontId="28" fillId="16" borderId="0" xfId="0" applyFont="1" applyFill="1" applyAlignment="1">
      <alignment vertical="center" wrapText="1"/>
    </xf>
    <xf numFmtId="0" fontId="28" fillId="0" borderId="0" xfId="0" applyFont="1" applyAlignment="1">
      <alignment vertical="center" wrapText="1"/>
    </xf>
    <xf numFmtId="180" fontId="28" fillId="16" borderId="0" xfId="0" applyNumberFormat="1" applyFont="1" applyFill="1" applyAlignment="1">
      <alignment vertical="center"/>
    </xf>
    <xf numFmtId="180" fontId="28" fillId="0" borderId="0" xfId="0" applyNumberFormat="1" applyFont="1" applyAlignment="1">
      <alignment vertical="center"/>
    </xf>
    <xf numFmtId="180" fontId="34" fillId="16" borderId="0" xfId="0" applyNumberFormat="1" applyFont="1" applyFill="1" applyAlignment="1">
      <alignment vertical="center"/>
    </xf>
    <xf numFmtId="180" fontId="34" fillId="0" borderId="0" xfId="0" applyNumberFormat="1" applyFont="1" applyAlignment="1">
      <alignment vertical="center"/>
    </xf>
    <xf numFmtId="182" fontId="28" fillId="16" borderId="0" xfId="0" applyNumberFormat="1" applyFont="1" applyFill="1" applyAlignment="1">
      <alignment vertical="center"/>
    </xf>
    <xf numFmtId="182" fontId="28" fillId="0" borderId="0" xfId="0" applyNumberFormat="1" applyFont="1" applyAlignment="1">
      <alignment vertical="center"/>
    </xf>
    <xf numFmtId="0" fontId="24" fillId="0" borderId="0" xfId="0" applyFont="1" applyAlignment="1">
      <alignment wrapText="1"/>
    </xf>
    <xf numFmtId="0" fontId="25" fillId="0" borderId="0" xfId="0" applyFont="1" applyAlignment="1">
      <alignment wrapText="1"/>
    </xf>
    <xf numFmtId="0" fontId="28" fillId="17" borderId="0" xfId="0" applyFont="1" applyFill="1" applyAlignment="1">
      <alignment vertical="center" wrapText="1"/>
    </xf>
    <xf numFmtId="0" fontId="33" fillId="18" borderId="0" xfId="0" applyFont="1" applyFill="1" applyAlignment="1">
      <alignment vertical="center" wrapText="1"/>
    </xf>
    <xf numFmtId="0" fontId="28" fillId="19" borderId="0" xfId="0" applyFont="1" applyFill="1" applyAlignment="1">
      <alignment vertical="center" wrapText="1"/>
    </xf>
    <xf numFmtId="0" fontId="28" fillId="0" borderId="0" xfId="0" applyFont="1" applyAlignment="1">
      <alignment vertical="top"/>
    </xf>
    <xf numFmtId="0" fontId="28" fillId="17" borderId="0" xfId="0" applyFont="1" applyFill="1" applyAlignment="1">
      <alignment vertical="top" wrapText="1"/>
    </xf>
    <xf numFmtId="0" fontId="28" fillId="19" borderId="0" xfId="0" applyFont="1" applyFill="1" applyAlignment="1">
      <alignment vertical="top" wrapText="1"/>
    </xf>
    <xf numFmtId="0" fontId="33" fillId="18" borderId="0" xfId="0" applyFont="1" applyFill="1" applyAlignment="1">
      <alignment vertical="top" wrapText="1"/>
    </xf>
    <xf numFmtId="180" fontId="28" fillId="17" borderId="0" xfId="0" applyNumberFormat="1" applyFont="1" applyFill="1" applyAlignment="1">
      <alignment vertical="top" wrapText="1"/>
    </xf>
    <xf numFmtId="180" fontId="28" fillId="19" borderId="0" xfId="0" applyNumberFormat="1" applyFont="1" applyFill="1" applyAlignment="1">
      <alignment vertical="top" wrapText="1"/>
    </xf>
    <xf numFmtId="0" fontId="35" fillId="17" borderId="0" xfId="0" applyFont="1" applyFill="1" applyAlignment="1">
      <alignment vertical="center" wrapText="1"/>
    </xf>
    <xf numFmtId="0" fontId="28" fillId="0" borderId="0" xfId="0" applyFont="1" applyAlignment="1">
      <alignment vertical="center" wrapText="1"/>
    </xf>
    <xf numFmtId="0" fontId="36" fillId="17" borderId="0" xfId="0" applyFont="1" applyFill="1" applyAlignment="1">
      <alignment vertical="center" wrapText="1"/>
    </xf>
    <xf numFmtId="49" fontId="25" fillId="8" borderId="0" xfId="0" applyNumberFormat="1" applyFont="1" applyFill="1"/>
    <xf numFmtId="0" fontId="25" fillId="8" borderId="0" xfId="0" applyFont="1" applyFill="1"/>
    <xf numFmtId="49" fontId="24" fillId="8" borderId="0" xfId="0" applyNumberFormat="1" applyFont="1" applyFill="1"/>
    <xf numFmtId="167" fontId="25" fillId="8" borderId="0" xfId="0" applyNumberFormat="1" applyFont="1" applyFill="1" applyAlignment="1">
      <alignment horizontal="right"/>
    </xf>
    <xf numFmtId="165" fontId="25" fillId="8" borderId="0" xfId="0" applyNumberFormat="1" applyFont="1" applyFill="1" applyAlignment="1">
      <alignment horizontal="right"/>
    </xf>
    <xf numFmtId="49" fontId="11" fillId="0" borderId="0" xfId="0" applyNumberFormat="1" applyFont="1" applyAlignment="1">
      <alignment vertical="top" wrapText="1"/>
    </xf>
    <xf numFmtId="0" fontId="11" fillId="0" borderId="0" xfId="0" applyFont="1" applyAlignment="1">
      <alignment vertical="top" wrapText="1"/>
    </xf>
    <xf numFmtId="49" fontId="0" fillId="0" borderId="0" xfId="0" applyNumberFormat="1" applyAlignment="1">
      <alignment wrapText="1"/>
    </xf>
    <xf numFmtId="0" fontId="24" fillId="8" borderId="0" xfId="0" applyFont="1" applyFill="1"/>
    <xf numFmtId="0" fontId="0" fillId="0" borderId="0" xfId="0" applyAlignment="1">
      <alignment wrapText="1"/>
    </xf>
    <xf numFmtId="0" fontId="17" fillId="0" borderId="0" xfId="0" applyFont="1" applyAlignment="1">
      <alignment wrapText="1"/>
    </xf>
    <xf numFmtId="0" fontId="29" fillId="0" borderId="0" xfId="0" applyFont="1" applyAlignment="1">
      <alignment vertical="center"/>
    </xf>
    <xf numFmtId="0" fontId="35" fillId="0" borderId="0" xfId="0" applyFont="1" applyAlignment="1">
      <alignment vertical="top"/>
    </xf>
    <xf numFmtId="0" fontId="28" fillId="0" borderId="0" xfId="0" applyFont="1" applyAlignment="1">
      <alignment vertical="top" wrapText="1"/>
    </xf>
    <xf numFmtId="0" fontId="28" fillId="17" borderId="0" xfId="0" applyFont="1" applyFill="1" applyAlignment="1">
      <alignment vertical="top" wrapText="1"/>
    </xf>
    <xf numFmtId="0" fontId="28" fillId="19" borderId="0" xfId="0" applyFont="1" applyFill="1" applyAlignment="1">
      <alignment vertical="top" wrapText="1"/>
    </xf>
  </cellXfs>
  <cellStyles count="6">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Percent" xfId="5" xr:uid="{00000000-0005-0000-0000-000005000000}"/>
  </cellStyles>
  <dxfs count="1">
    <dxf>
      <font>
        <b/>
        <color rgb="FFA32121"/>
      </font>
      <fill>
        <patternFill>
          <bgColor rgb="FFFCE4D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BBB59"/>
      <rgbColor rgb="FF800080"/>
      <rgbColor rgb="FF008080"/>
      <rgbColor rgb="FFBFBFBF"/>
      <rgbColor rgb="FF808080"/>
      <rgbColor rgb="FF8EA9DB"/>
      <rgbColor rgb="FFBE4B48"/>
      <rgbColor rgb="FFFFF2CC"/>
      <rgbColor rgb="FFF2F2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8064A2"/>
      <rgbColor rgb="FFFFCC99"/>
      <rgbColor rgb="FF4A7EBB"/>
      <rgbColor rgb="FF33CCCC"/>
      <rgbColor rgb="FF98B855"/>
      <rgbColor rgb="FFFFCC00"/>
      <rgbColor rgb="FFFF9900"/>
      <rgbColor rgb="FFFF6600"/>
      <rgbColor rgb="FF7D5FA0"/>
      <rgbColor rgb="FF878787"/>
      <rgbColor rgb="FF1F3864"/>
      <rgbColor rgb="FF4F81BD"/>
      <rgbColor rgb="FF003300"/>
      <rgbColor rgb="FF333300"/>
      <rgbColor rgb="FF993300"/>
      <rgbColor rgb="FFC0504D"/>
      <rgbColor rgb="FF595959"/>
      <rgbColor rgb="FF1E4D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KOHC: revenue, gross profit and PAT (PKR m)</a:t>
            </a:r>
          </a:p>
        </c:rich>
      </c:tx>
      <c:overlay val="0"/>
    </c:title>
    <c:autoTitleDeleted val="0"/>
    <c:plotArea>
      <c:layout/>
      <c:lineChart>
        <c:grouping val="standard"/>
        <c:varyColors val="0"/>
        <c:ser>
          <c:idx val="0"/>
          <c:order val="0"/>
          <c:tx>
            <c:v>Series 1</c:v>
          </c:tx>
          <c:marker>
            <c:symbol val="none"/>
          </c:marker>
          <c:cat>
            <c:strRef>
              <c:f>KOHC!$D$17</c:f>
              <c:strCache>
                <c:ptCount val="1"/>
                <c:pt idx="0">
                  <c:v>FY2021</c:v>
                </c:pt>
              </c:strCache>
            </c:strRef>
          </c:cat>
          <c:val>
            <c:numRef>
              <c:f>KOHC!$E$17</c:f>
              <c:numCache>
                <c:formatCode>General</c:formatCode>
                <c:ptCount val="1"/>
                <c:pt idx="0">
                  <c:v>0</c:v>
                </c:pt>
              </c:numCache>
            </c:numRef>
          </c:val>
          <c:smooth val="0"/>
          <c:extLst>
            <c:ext xmlns:c16="http://schemas.microsoft.com/office/drawing/2014/chart" uri="{C3380CC4-5D6E-409C-BE32-E72D297353CC}">
              <c16:uniqueId val="{00000000-5348-4225-B11F-E9FCE5BBB259}"/>
            </c:ext>
          </c:extLst>
        </c:ser>
        <c:ser>
          <c:idx val="1"/>
          <c:order val="1"/>
          <c:tx>
            <c:v>Series 2</c:v>
          </c:tx>
          <c:marker>
            <c:symbol val="none"/>
          </c:marker>
          <c:cat>
            <c:strRef>
              <c:f>KOHC!$D$17</c:f>
              <c:strCache>
                <c:ptCount val="1"/>
                <c:pt idx="0">
                  <c:v>FY2021</c:v>
                </c:pt>
              </c:strCache>
            </c:strRef>
          </c:cat>
          <c:val>
            <c:numRef>
              <c:f>KOHC!$F$17</c:f>
              <c:numCache>
                <c:formatCode>General</c:formatCode>
                <c:ptCount val="1"/>
                <c:pt idx="0">
                  <c:v>0</c:v>
                </c:pt>
              </c:numCache>
            </c:numRef>
          </c:val>
          <c:smooth val="0"/>
          <c:extLst>
            <c:ext xmlns:c16="http://schemas.microsoft.com/office/drawing/2014/chart" uri="{C3380CC4-5D6E-409C-BE32-E72D297353CC}">
              <c16:uniqueId val="{00000001-5348-4225-B11F-E9FCE5BBB259}"/>
            </c:ext>
          </c:extLst>
        </c:ser>
        <c:ser>
          <c:idx val="2"/>
          <c:order val="2"/>
          <c:tx>
            <c:v>Series 3</c:v>
          </c:tx>
          <c:marker>
            <c:symbol val="none"/>
          </c:marker>
          <c:cat>
            <c:strRef>
              <c:f>KOHC!$D$17</c:f>
              <c:strCache>
                <c:ptCount val="1"/>
                <c:pt idx="0">
                  <c:v>FY2021</c:v>
                </c:pt>
              </c:strCache>
            </c:strRef>
          </c:cat>
          <c:val>
            <c:numRef>
              <c:f>KOHC!$G$17</c:f>
              <c:numCache>
                <c:formatCode>General</c:formatCode>
                <c:ptCount val="1"/>
                <c:pt idx="0">
                  <c:v>0</c:v>
                </c:pt>
              </c:numCache>
            </c:numRef>
          </c:val>
          <c:smooth val="0"/>
          <c:extLst>
            <c:ext xmlns:c16="http://schemas.microsoft.com/office/drawing/2014/chart" uri="{C3380CC4-5D6E-409C-BE32-E72D297353CC}">
              <c16:uniqueId val="{00000002-5348-4225-B11F-E9FCE5BBB259}"/>
            </c:ext>
          </c:extLst>
        </c:ser>
        <c:ser>
          <c:idx val="3"/>
          <c:order val="3"/>
          <c:tx>
            <c:v>Series 4</c:v>
          </c:tx>
          <c:marker>
            <c:symbol val="none"/>
          </c:marker>
          <c:cat>
            <c:strRef>
              <c:f>KOHC!$D$17</c:f>
              <c:strCache>
                <c:ptCount val="1"/>
                <c:pt idx="0">
                  <c:v>FY2021</c:v>
                </c:pt>
              </c:strCache>
            </c:strRef>
          </c:cat>
          <c:val>
            <c:numRef>
              <c:f>KOHC!$H$17</c:f>
              <c:numCache>
                <c:formatCode>General</c:formatCode>
                <c:ptCount val="1"/>
                <c:pt idx="0">
                  <c:v>0</c:v>
                </c:pt>
              </c:numCache>
            </c:numRef>
          </c:val>
          <c:smooth val="0"/>
          <c:extLst>
            <c:ext xmlns:c16="http://schemas.microsoft.com/office/drawing/2014/chart" uri="{C3380CC4-5D6E-409C-BE32-E72D297353CC}">
              <c16:uniqueId val="{00000003-5348-4225-B11F-E9FCE5BBB259}"/>
            </c:ext>
          </c:extLst>
        </c:ser>
        <c:ser>
          <c:idx val="4"/>
          <c:order val="4"/>
          <c:tx>
            <c:v>Revenue</c:v>
          </c:tx>
          <c:spPr>
            <a:ln w="22860">
              <a:solidFill>
                <a:srgbClr val="204F3D"/>
              </a:solidFill>
              <a:prstDash val="solid"/>
            </a:ln>
          </c:spPr>
          <c:marker>
            <c:symbol val="none"/>
          </c:marker>
          <c:cat>
            <c:strRef>
              <c:f>KOHC!$D$17:$H$17</c:f>
              <c:strCache>
                <c:ptCount val="5"/>
                <c:pt idx="0">
                  <c:v>FY2021</c:v>
                </c:pt>
                <c:pt idx="1">
                  <c:v>FY2022</c:v>
                </c:pt>
                <c:pt idx="2">
                  <c:v>FY2023</c:v>
                </c:pt>
                <c:pt idx="3">
                  <c:v>FY2024</c:v>
                </c:pt>
                <c:pt idx="4">
                  <c:v>FY2025</c:v>
                </c:pt>
              </c:strCache>
            </c:strRef>
          </c:cat>
          <c:val>
            <c:numRef>
              <c:f>KOHC!$D$84:$H$84</c:f>
              <c:numCache>
                <c:formatCode>#,##0.0;\(#,##0.0\);\-</c:formatCode>
                <c:ptCount val="5"/>
                <c:pt idx="0">
                  <c:v>24057.375992000001</c:v>
                </c:pt>
                <c:pt idx="1">
                  <c:v>32876.949179000003</c:v>
                </c:pt>
                <c:pt idx="2">
                  <c:v>38921.635349999997</c:v>
                </c:pt>
                <c:pt idx="3">
                  <c:v>38647.767972000001</c:v>
                </c:pt>
                <c:pt idx="4">
                  <c:v>37535.700371999999</c:v>
                </c:pt>
              </c:numCache>
            </c:numRef>
          </c:val>
          <c:smooth val="0"/>
          <c:extLst>
            <c:ext xmlns:c16="http://schemas.microsoft.com/office/drawing/2014/chart" uri="{C3380CC4-5D6E-409C-BE32-E72D297353CC}">
              <c16:uniqueId val="{00000004-5348-4225-B11F-E9FCE5BBB259}"/>
            </c:ext>
          </c:extLst>
        </c:ser>
        <c:ser>
          <c:idx val="5"/>
          <c:order val="5"/>
          <c:tx>
            <c:v>Gross profit</c:v>
          </c:tx>
          <c:spPr>
            <a:ln w="13335">
              <a:solidFill>
                <a:srgbClr val="8CB369"/>
              </a:solidFill>
              <a:prstDash val="solid"/>
            </a:ln>
          </c:spPr>
          <c:marker>
            <c:symbol val="none"/>
          </c:marker>
          <c:cat>
            <c:strRef>
              <c:f>KOHC!$D$17:$H$17</c:f>
              <c:strCache>
                <c:ptCount val="5"/>
                <c:pt idx="0">
                  <c:v>FY2021</c:v>
                </c:pt>
                <c:pt idx="1">
                  <c:v>FY2022</c:v>
                </c:pt>
                <c:pt idx="2">
                  <c:v>FY2023</c:v>
                </c:pt>
                <c:pt idx="3">
                  <c:v>FY2024</c:v>
                </c:pt>
                <c:pt idx="4">
                  <c:v>FY2025</c:v>
                </c:pt>
              </c:strCache>
            </c:strRef>
          </c:cat>
          <c:val>
            <c:numRef>
              <c:f>KOHC!$D$86:$H$86</c:f>
              <c:numCache>
                <c:formatCode>#,##0.0;\(#,##0.0\);\-</c:formatCode>
                <c:ptCount val="5"/>
                <c:pt idx="0">
                  <c:v>5965.3490590000001</c:v>
                </c:pt>
                <c:pt idx="1">
                  <c:v>9811.7685090000014</c:v>
                </c:pt>
                <c:pt idx="2">
                  <c:v>10432.694018999995</c:v>
                </c:pt>
                <c:pt idx="3">
                  <c:v>11256.491495000002</c:v>
                </c:pt>
                <c:pt idx="4">
                  <c:v>14721.606100999998</c:v>
                </c:pt>
              </c:numCache>
            </c:numRef>
          </c:val>
          <c:smooth val="0"/>
          <c:extLst>
            <c:ext xmlns:c16="http://schemas.microsoft.com/office/drawing/2014/chart" uri="{C3380CC4-5D6E-409C-BE32-E72D297353CC}">
              <c16:uniqueId val="{00000005-5348-4225-B11F-E9FCE5BBB259}"/>
            </c:ext>
          </c:extLst>
        </c:ser>
        <c:ser>
          <c:idx val="6"/>
          <c:order val="6"/>
          <c:tx>
            <c:v>Profit after tax</c:v>
          </c:tx>
          <c:spPr>
            <a:ln w="13335">
              <a:solidFill>
                <a:srgbClr val="C79A57"/>
              </a:solidFill>
              <a:prstDash val="solid"/>
            </a:ln>
          </c:spPr>
          <c:marker>
            <c:symbol val="none"/>
          </c:marker>
          <c:cat>
            <c:strRef>
              <c:f>KOHC!$D$17:$H$17</c:f>
              <c:strCache>
                <c:ptCount val="5"/>
                <c:pt idx="0">
                  <c:v>FY2021</c:v>
                </c:pt>
                <c:pt idx="1">
                  <c:v>FY2022</c:v>
                </c:pt>
                <c:pt idx="2">
                  <c:v>FY2023</c:v>
                </c:pt>
                <c:pt idx="3">
                  <c:v>FY2024</c:v>
                </c:pt>
                <c:pt idx="4">
                  <c:v>FY2025</c:v>
                </c:pt>
              </c:strCache>
            </c:strRef>
          </c:cat>
          <c:val>
            <c:numRef>
              <c:f>KOHC!$D$99:$H$99</c:f>
              <c:numCache>
                <c:formatCode>#,##0.0;\(#,##0.0\);\-</c:formatCode>
                <c:ptCount val="5"/>
                <c:pt idx="0">
                  <c:v>3497.5072470000005</c:v>
                </c:pt>
                <c:pt idx="1">
                  <c:v>5024.2802600000005</c:v>
                </c:pt>
                <c:pt idx="2">
                  <c:v>5820.7511449999965</c:v>
                </c:pt>
                <c:pt idx="3">
                  <c:v>8893.4547870000024</c:v>
                </c:pt>
                <c:pt idx="4">
                  <c:v>11575.154071000001</c:v>
                </c:pt>
              </c:numCache>
            </c:numRef>
          </c:val>
          <c:smooth val="0"/>
          <c:extLst>
            <c:ext xmlns:c16="http://schemas.microsoft.com/office/drawing/2014/chart" uri="{C3380CC4-5D6E-409C-BE32-E72D297353CC}">
              <c16:uniqueId val="{00000006-5348-4225-B11F-E9FCE5BBB25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KOHC: margins</a:t>
            </a:r>
          </a:p>
        </c:rich>
      </c:tx>
      <c:overlay val="0"/>
    </c:title>
    <c:autoTitleDeleted val="0"/>
    <c:plotArea>
      <c:layout/>
      <c:lineChart>
        <c:grouping val="standard"/>
        <c:varyColors val="0"/>
        <c:ser>
          <c:idx val="0"/>
          <c:order val="0"/>
          <c:tx>
            <c:v>Series 1</c:v>
          </c:tx>
          <c:marker>
            <c:symbol val="none"/>
          </c:marker>
          <c:cat>
            <c:strRef>
              <c:f>KOHC!$D$17</c:f>
              <c:strCache>
                <c:ptCount val="1"/>
                <c:pt idx="0">
                  <c:v>FY2021</c:v>
                </c:pt>
              </c:strCache>
            </c:strRef>
          </c:cat>
          <c:val>
            <c:numRef>
              <c:f>KOHC!$E$17</c:f>
              <c:numCache>
                <c:formatCode>General</c:formatCode>
                <c:ptCount val="1"/>
                <c:pt idx="0">
                  <c:v>0</c:v>
                </c:pt>
              </c:numCache>
            </c:numRef>
          </c:val>
          <c:smooth val="0"/>
          <c:extLst>
            <c:ext xmlns:c16="http://schemas.microsoft.com/office/drawing/2014/chart" uri="{C3380CC4-5D6E-409C-BE32-E72D297353CC}">
              <c16:uniqueId val="{00000000-C545-45C6-B39A-AA7851CD9B53}"/>
            </c:ext>
          </c:extLst>
        </c:ser>
        <c:ser>
          <c:idx val="1"/>
          <c:order val="1"/>
          <c:tx>
            <c:v>Series 2</c:v>
          </c:tx>
          <c:marker>
            <c:symbol val="none"/>
          </c:marker>
          <c:cat>
            <c:strRef>
              <c:f>KOHC!$D$17</c:f>
              <c:strCache>
                <c:ptCount val="1"/>
                <c:pt idx="0">
                  <c:v>FY2021</c:v>
                </c:pt>
              </c:strCache>
            </c:strRef>
          </c:cat>
          <c:val>
            <c:numRef>
              <c:f>KOHC!$F$17</c:f>
              <c:numCache>
                <c:formatCode>General</c:formatCode>
                <c:ptCount val="1"/>
                <c:pt idx="0">
                  <c:v>0</c:v>
                </c:pt>
              </c:numCache>
            </c:numRef>
          </c:val>
          <c:smooth val="0"/>
          <c:extLst>
            <c:ext xmlns:c16="http://schemas.microsoft.com/office/drawing/2014/chart" uri="{C3380CC4-5D6E-409C-BE32-E72D297353CC}">
              <c16:uniqueId val="{00000001-C545-45C6-B39A-AA7851CD9B53}"/>
            </c:ext>
          </c:extLst>
        </c:ser>
        <c:ser>
          <c:idx val="2"/>
          <c:order val="2"/>
          <c:tx>
            <c:v>Series 3</c:v>
          </c:tx>
          <c:marker>
            <c:symbol val="none"/>
          </c:marker>
          <c:cat>
            <c:strRef>
              <c:f>KOHC!$D$17</c:f>
              <c:strCache>
                <c:ptCount val="1"/>
                <c:pt idx="0">
                  <c:v>FY2021</c:v>
                </c:pt>
              </c:strCache>
            </c:strRef>
          </c:cat>
          <c:val>
            <c:numRef>
              <c:f>KOHC!$G$17</c:f>
              <c:numCache>
                <c:formatCode>General</c:formatCode>
                <c:ptCount val="1"/>
                <c:pt idx="0">
                  <c:v>0</c:v>
                </c:pt>
              </c:numCache>
            </c:numRef>
          </c:val>
          <c:smooth val="0"/>
          <c:extLst>
            <c:ext xmlns:c16="http://schemas.microsoft.com/office/drawing/2014/chart" uri="{C3380CC4-5D6E-409C-BE32-E72D297353CC}">
              <c16:uniqueId val="{00000002-C545-45C6-B39A-AA7851CD9B53}"/>
            </c:ext>
          </c:extLst>
        </c:ser>
        <c:ser>
          <c:idx val="3"/>
          <c:order val="3"/>
          <c:tx>
            <c:v>Series 4</c:v>
          </c:tx>
          <c:marker>
            <c:symbol val="none"/>
          </c:marker>
          <c:cat>
            <c:strRef>
              <c:f>KOHC!$D$17</c:f>
              <c:strCache>
                <c:ptCount val="1"/>
                <c:pt idx="0">
                  <c:v>FY2021</c:v>
                </c:pt>
              </c:strCache>
            </c:strRef>
          </c:cat>
          <c:val>
            <c:numRef>
              <c:f>KOHC!$H$17</c:f>
              <c:numCache>
                <c:formatCode>General</c:formatCode>
                <c:ptCount val="1"/>
                <c:pt idx="0">
                  <c:v>0</c:v>
                </c:pt>
              </c:numCache>
            </c:numRef>
          </c:val>
          <c:smooth val="0"/>
          <c:extLst>
            <c:ext xmlns:c16="http://schemas.microsoft.com/office/drawing/2014/chart" uri="{C3380CC4-5D6E-409C-BE32-E72D297353CC}">
              <c16:uniqueId val="{00000003-C545-45C6-B39A-AA7851CD9B53}"/>
            </c:ext>
          </c:extLst>
        </c:ser>
        <c:ser>
          <c:idx val="4"/>
          <c:order val="4"/>
          <c:tx>
            <c:v>Gross margin</c:v>
          </c:tx>
          <c:spPr>
            <a:ln w="22860">
              <a:solidFill>
                <a:srgbClr val="204F3D"/>
              </a:solidFill>
              <a:prstDash val="solid"/>
            </a:ln>
          </c:spPr>
          <c:marker>
            <c:symbol val="none"/>
          </c:marker>
          <c:cat>
            <c:strRef>
              <c:f>KOHC!$D$17:$H$17</c:f>
              <c:strCache>
                <c:ptCount val="5"/>
                <c:pt idx="0">
                  <c:v>FY2021</c:v>
                </c:pt>
                <c:pt idx="1">
                  <c:v>FY2022</c:v>
                </c:pt>
                <c:pt idx="2">
                  <c:v>FY2023</c:v>
                </c:pt>
                <c:pt idx="3">
                  <c:v>FY2024</c:v>
                </c:pt>
                <c:pt idx="4">
                  <c:v>FY2025</c:v>
                </c:pt>
              </c:strCache>
            </c:strRef>
          </c:cat>
          <c:val>
            <c:numRef>
              <c:f>KOHC!$D$161:$H$161</c:f>
              <c:numCache>
                <c:formatCode>0.00%;\(0.00%\);"-"</c:formatCode>
                <c:ptCount val="5"/>
                <c:pt idx="0">
                  <c:v>0.24796341300828931</c:v>
                </c:pt>
                <c:pt idx="1">
                  <c:v>0.29843914213509881</c:v>
                </c:pt>
                <c:pt idx="2">
                  <c:v>0.26804356818989611</c:v>
                </c:pt>
                <c:pt idx="3">
                  <c:v>0.29125851467425595</c:v>
                </c:pt>
                <c:pt idx="4">
                  <c:v>0.39220278175445145</c:v>
                </c:pt>
              </c:numCache>
            </c:numRef>
          </c:val>
          <c:smooth val="0"/>
          <c:extLst>
            <c:ext xmlns:c16="http://schemas.microsoft.com/office/drawing/2014/chart" uri="{C3380CC4-5D6E-409C-BE32-E72D297353CC}">
              <c16:uniqueId val="{00000004-C545-45C6-B39A-AA7851CD9B53}"/>
            </c:ext>
          </c:extLst>
        </c:ser>
        <c:ser>
          <c:idx val="5"/>
          <c:order val="5"/>
          <c:tx>
            <c:v>Operating margin</c:v>
          </c:tx>
          <c:spPr>
            <a:ln w="13335">
              <a:solidFill>
                <a:srgbClr val="8CB369"/>
              </a:solidFill>
              <a:prstDash val="solid"/>
            </a:ln>
          </c:spPr>
          <c:marker>
            <c:symbol val="none"/>
          </c:marker>
          <c:cat>
            <c:strRef>
              <c:f>KOHC!$D$17:$H$17</c:f>
              <c:strCache>
                <c:ptCount val="5"/>
                <c:pt idx="0">
                  <c:v>FY2021</c:v>
                </c:pt>
                <c:pt idx="1">
                  <c:v>FY2022</c:v>
                </c:pt>
                <c:pt idx="2">
                  <c:v>FY2023</c:v>
                </c:pt>
                <c:pt idx="3">
                  <c:v>FY2024</c:v>
                </c:pt>
                <c:pt idx="4">
                  <c:v>FY2025</c:v>
                </c:pt>
              </c:strCache>
            </c:strRef>
          </c:cat>
          <c:val>
            <c:numRef>
              <c:f>KOHC!$D$162:$H$162</c:f>
              <c:numCache>
                <c:formatCode>0.00%;\(0.00%\);"-"</c:formatCode>
                <c:ptCount val="5"/>
                <c:pt idx="0">
                  <c:v>0.21749401729182569</c:v>
                </c:pt>
                <c:pt idx="1">
                  <c:v>0.26684521417223683</c:v>
                </c:pt>
                <c:pt idx="2">
                  <c:v>0.23441531849714523</c:v>
                </c:pt>
                <c:pt idx="3">
                  <c:v>0.25877948344250634</c:v>
                </c:pt>
                <c:pt idx="4">
                  <c:v>0.34143534845456586</c:v>
                </c:pt>
              </c:numCache>
            </c:numRef>
          </c:val>
          <c:smooth val="0"/>
          <c:extLst>
            <c:ext xmlns:c16="http://schemas.microsoft.com/office/drawing/2014/chart" uri="{C3380CC4-5D6E-409C-BE32-E72D297353CC}">
              <c16:uniqueId val="{00000005-C545-45C6-B39A-AA7851CD9B53}"/>
            </c:ext>
          </c:extLst>
        </c:ser>
        <c:ser>
          <c:idx val="6"/>
          <c:order val="6"/>
          <c:tx>
            <c:v>Net margin</c:v>
          </c:tx>
          <c:spPr>
            <a:ln w="13335">
              <a:solidFill>
                <a:srgbClr val="C79A57"/>
              </a:solidFill>
              <a:prstDash val="solid"/>
            </a:ln>
          </c:spPr>
          <c:marker>
            <c:symbol val="none"/>
          </c:marker>
          <c:cat>
            <c:strRef>
              <c:f>KOHC!$D$17:$H$17</c:f>
              <c:strCache>
                <c:ptCount val="5"/>
                <c:pt idx="0">
                  <c:v>FY2021</c:v>
                </c:pt>
                <c:pt idx="1">
                  <c:v>FY2022</c:v>
                </c:pt>
                <c:pt idx="2">
                  <c:v>FY2023</c:v>
                </c:pt>
                <c:pt idx="3">
                  <c:v>FY2024</c:v>
                </c:pt>
                <c:pt idx="4">
                  <c:v>FY2025</c:v>
                </c:pt>
              </c:strCache>
            </c:strRef>
          </c:cat>
          <c:val>
            <c:numRef>
              <c:f>KOHC!$D$163:$H$163</c:f>
              <c:numCache>
                <c:formatCode>0.00%;\(0.00%\);"-"</c:formatCode>
                <c:ptCount val="5"/>
                <c:pt idx="0">
                  <c:v>0.1453819089897026</c:v>
                </c:pt>
                <c:pt idx="1">
                  <c:v>0.15282075695786385</c:v>
                </c:pt>
                <c:pt idx="2">
                  <c:v>0.14955052871384544</c:v>
                </c:pt>
                <c:pt idx="3">
                  <c:v>0.23011561219895646</c:v>
                </c:pt>
                <c:pt idx="4">
                  <c:v>0.30837719707594857</c:v>
                </c:pt>
              </c:numCache>
            </c:numRef>
          </c:val>
          <c:smooth val="0"/>
          <c:extLst>
            <c:ext xmlns:c16="http://schemas.microsoft.com/office/drawing/2014/chart" uri="{C3380CC4-5D6E-409C-BE32-E72D297353CC}">
              <c16:uniqueId val="{00000006-C545-45C6-B39A-AA7851CD9B5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KOHC: liquidity and leverage (x)</a:t>
            </a:r>
          </a:p>
        </c:rich>
      </c:tx>
      <c:overlay val="0"/>
    </c:title>
    <c:autoTitleDeleted val="0"/>
    <c:plotArea>
      <c:layout/>
      <c:lineChart>
        <c:grouping val="standard"/>
        <c:varyColors val="0"/>
        <c:ser>
          <c:idx val="0"/>
          <c:order val="0"/>
          <c:tx>
            <c:v>Series 1</c:v>
          </c:tx>
          <c:marker>
            <c:symbol val="none"/>
          </c:marker>
          <c:cat>
            <c:strRef>
              <c:f>KOHC!$D$17</c:f>
              <c:strCache>
                <c:ptCount val="1"/>
                <c:pt idx="0">
                  <c:v>FY2021</c:v>
                </c:pt>
              </c:strCache>
            </c:strRef>
          </c:cat>
          <c:val>
            <c:numRef>
              <c:f>KOHC!$E$17</c:f>
              <c:numCache>
                <c:formatCode>General</c:formatCode>
                <c:ptCount val="1"/>
                <c:pt idx="0">
                  <c:v>0</c:v>
                </c:pt>
              </c:numCache>
            </c:numRef>
          </c:val>
          <c:smooth val="0"/>
          <c:extLst>
            <c:ext xmlns:c16="http://schemas.microsoft.com/office/drawing/2014/chart" uri="{C3380CC4-5D6E-409C-BE32-E72D297353CC}">
              <c16:uniqueId val="{00000000-8C81-4954-92EE-C3C2304C462B}"/>
            </c:ext>
          </c:extLst>
        </c:ser>
        <c:ser>
          <c:idx val="1"/>
          <c:order val="1"/>
          <c:tx>
            <c:v>Series 2</c:v>
          </c:tx>
          <c:marker>
            <c:symbol val="none"/>
          </c:marker>
          <c:cat>
            <c:strRef>
              <c:f>KOHC!$D$17</c:f>
              <c:strCache>
                <c:ptCount val="1"/>
                <c:pt idx="0">
                  <c:v>FY2021</c:v>
                </c:pt>
              </c:strCache>
            </c:strRef>
          </c:cat>
          <c:val>
            <c:numRef>
              <c:f>KOHC!$F$17</c:f>
              <c:numCache>
                <c:formatCode>General</c:formatCode>
                <c:ptCount val="1"/>
                <c:pt idx="0">
                  <c:v>0</c:v>
                </c:pt>
              </c:numCache>
            </c:numRef>
          </c:val>
          <c:smooth val="0"/>
          <c:extLst>
            <c:ext xmlns:c16="http://schemas.microsoft.com/office/drawing/2014/chart" uri="{C3380CC4-5D6E-409C-BE32-E72D297353CC}">
              <c16:uniqueId val="{00000001-8C81-4954-92EE-C3C2304C462B}"/>
            </c:ext>
          </c:extLst>
        </c:ser>
        <c:ser>
          <c:idx val="2"/>
          <c:order val="2"/>
          <c:tx>
            <c:v>Series 3</c:v>
          </c:tx>
          <c:marker>
            <c:symbol val="none"/>
          </c:marker>
          <c:cat>
            <c:strRef>
              <c:f>KOHC!$D$17</c:f>
              <c:strCache>
                <c:ptCount val="1"/>
                <c:pt idx="0">
                  <c:v>FY2021</c:v>
                </c:pt>
              </c:strCache>
            </c:strRef>
          </c:cat>
          <c:val>
            <c:numRef>
              <c:f>KOHC!$G$17</c:f>
              <c:numCache>
                <c:formatCode>General</c:formatCode>
                <c:ptCount val="1"/>
                <c:pt idx="0">
                  <c:v>0</c:v>
                </c:pt>
              </c:numCache>
            </c:numRef>
          </c:val>
          <c:smooth val="0"/>
          <c:extLst>
            <c:ext xmlns:c16="http://schemas.microsoft.com/office/drawing/2014/chart" uri="{C3380CC4-5D6E-409C-BE32-E72D297353CC}">
              <c16:uniqueId val="{00000002-8C81-4954-92EE-C3C2304C462B}"/>
            </c:ext>
          </c:extLst>
        </c:ser>
        <c:ser>
          <c:idx val="3"/>
          <c:order val="3"/>
          <c:tx>
            <c:v>Series 4</c:v>
          </c:tx>
          <c:marker>
            <c:symbol val="none"/>
          </c:marker>
          <c:cat>
            <c:strRef>
              <c:f>KOHC!$D$17</c:f>
              <c:strCache>
                <c:ptCount val="1"/>
                <c:pt idx="0">
                  <c:v>FY2021</c:v>
                </c:pt>
              </c:strCache>
            </c:strRef>
          </c:cat>
          <c:val>
            <c:numRef>
              <c:f>KOHC!$H$17</c:f>
              <c:numCache>
                <c:formatCode>General</c:formatCode>
                <c:ptCount val="1"/>
                <c:pt idx="0">
                  <c:v>0</c:v>
                </c:pt>
              </c:numCache>
            </c:numRef>
          </c:val>
          <c:smooth val="0"/>
          <c:extLst>
            <c:ext xmlns:c16="http://schemas.microsoft.com/office/drawing/2014/chart" uri="{C3380CC4-5D6E-409C-BE32-E72D297353CC}">
              <c16:uniqueId val="{00000003-8C81-4954-92EE-C3C2304C462B}"/>
            </c:ext>
          </c:extLst>
        </c:ser>
        <c:ser>
          <c:idx val="4"/>
          <c:order val="4"/>
          <c:tx>
            <c:v>Current ratio</c:v>
          </c:tx>
          <c:spPr>
            <a:ln w="22860">
              <a:solidFill>
                <a:srgbClr val="204F3D"/>
              </a:solidFill>
              <a:prstDash val="solid"/>
            </a:ln>
          </c:spPr>
          <c:marker>
            <c:symbol val="none"/>
          </c:marker>
          <c:cat>
            <c:strRef>
              <c:f>KOHC!$D$17:$H$17</c:f>
              <c:strCache>
                <c:ptCount val="5"/>
                <c:pt idx="0">
                  <c:v>FY2021</c:v>
                </c:pt>
                <c:pt idx="1">
                  <c:v>FY2022</c:v>
                </c:pt>
                <c:pt idx="2">
                  <c:v>FY2023</c:v>
                </c:pt>
                <c:pt idx="3">
                  <c:v>FY2024</c:v>
                </c:pt>
                <c:pt idx="4">
                  <c:v>FY2025</c:v>
                </c:pt>
              </c:strCache>
            </c:strRef>
          </c:cat>
          <c:val>
            <c:numRef>
              <c:f>KOHC!$D$138:$H$138</c:f>
              <c:numCache>
                <c:formatCode>0.00"x";\(0.00\)"x";"-"</c:formatCode>
                <c:ptCount val="5"/>
                <c:pt idx="0">
                  <c:v>1.3006446691414961</c:v>
                </c:pt>
                <c:pt idx="1">
                  <c:v>1.8735085276109804</c:v>
                </c:pt>
                <c:pt idx="2">
                  <c:v>2.311570515459215</c:v>
                </c:pt>
                <c:pt idx="3">
                  <c:v>2.9031590530160019</c:v>
                </c:pt>
                <c:pt idx="4">
                  <c:v>3.311248687172772</c:v>
                </c:pt>
              </c:numCache>
            </c:numRef>
          </c:val>
          <c:smooth val="0"/>
          <c:extLst>
            <c:ext xmlns:c16="http://schemas.microsoft.com/office/drawing/2014/chart" uri="{C3380CC4-5D6E-409C-BE32-E72D297353CC}">
              <c16:uniqueId val="{00000004-8C81-4954-92EE-C3C2304C462B}"/>
            </c:ext>
          </c:extLst>
        </c:ser>
        <c:ser>
          <c:idx val="5"/>
          <c:order val="5"/>
          <c:tx>
            <c:v>Quick ratio</c:v>
          </c:tx>
          <c:spPr>
            <a:ln w="13335">
              <a:solidFill>
                <a:srgbClr val="8CB369"/>
              </a:solidFill>
              <a:prstDash val="solid"/>
            </a:ln>
          </c:spPr>
          <c:marker>
            <c:symbol val="none"/>
          </c:marker>
          <c:cat>
            <c:strRef>
              <c:f>KOHC!$D$17:$H$17</c:f>
              <c:strCache>
                <c:ptCount val="5"/>
                <c:pt idx="0">
                  <c:v>FY2021</c:v>
                </c:pt>
                <c:pt idx="1">
                  <c:v>FY2022</c:v>
                </c:pt>
                <c:pt idx="2">
                  <c:v>FY2023</c:v>
                </c:pt>
                <c:pt idx="3">
                  <c:v>FY2024</c:v>
                </c:pt>
                <c:pt idx="4">
                  <c:v>FY2025</c:v>
                </c:pt>
              </c:strCache>
            </c:strRef>
          </c:cat>
          <c:val>
            <c:numRef>
              <c:f>KOHC!$D$139:$H$139</c:f>
              <c:numCache>
                <c:formatCode>0.00"x";\(0.00\)"x";"-"</c:formatCode>
                <c:ptCount val="5"/>
                <c:pt idx="0">
                  <c:v>0.74816043855554903</c:v>
                </c:pt>
                <c:pt idx="1">
                  <c:v>1.2758070110452304</c:v>
                </c:pt>
                <c:pt idx="2">
                  <c:v>1.5392110300634694</c:v>
                </c:pt>
                <c:pt idx="3">
                  <c:v>2.2200593399212352</c:v>
                </c:pt>
                <c:pt idx="4">
                  <c:v>2.6677003784340947</c:v>
                </c:pt>
              </c:numCache>
            </c:numRef>
          </c:val>
          <c:smooth val="0"/>
          <c:extLst>
            <c:ext xmlns:c16="http://schemas.microsoft.com/office/drawing/2014/chart" uri="{C3380CC4-5D6E-409C-BE32-E72D297353CC}">
              <c16:uniqueId val="{00000005-8C81-4954-92EE-C3C2304C462B}"/>
            </c:ext>
          </c:extLst>
        </c:ser>
        <c:ser>
          <c:idx val="6"/>
          <c:order val="6"/>
          <c:tx>
            <c:v>Debt-to-equity</c:v>
          </c:tx>
          <c:spPr>
            <a:ln w="13335">
              <a:solidFill>
                <a:srgbClr val="C79A57"/>
              </a:solidFill>
              <a:prstDash val="solid"/>
            </a:ln>
          </c:spPr>
          <c:marker>
            <c:symbol val="none"/>
          </c:marker>
          <c:cat>
            <c:strRef>
              <c:f>KOHC!$D$17:$H$17</c:f>
              <c:strCache>
                <c:ptCount val="5"/>
                <c:pt idx="0">
                  <c:v>FY2021</c:v>
                </c:pt>
                <c:pt idx="1">
                  <c:v>FY2022</c:v>
                </c:pt>
                <c:pt idx="2">
                  <c:v>FY2023</c:v>
                </c:pt>
                <c:pt idx="3">
                  <c:v>FY2024</c:v>
                </c:pt>
                <c:pt idx="4">
                  <c:v>FY2025</c:v>
                </c:pt>
              </c:strCache>
            </c:strRef>
          </c:cat>
          <c:val>
            <c:numRef>
              <c:f>KOHC!$D$156:$H$156</c:f>
              <c:numCache>
                <c:formatCode>0.00"x";\(0.00\)"x";"-"</c:formatCode>
                <c:ptCount val="5"/>
                <c:pt idx="0">
                  <c:v>0.6238152183846396</c:v>
                </c:pt>
                <c:pt idx="1">
                  <c:v>0.59107088896964888</c:v>
                </c:pt>
                <c:pt idx="2">
                  <c:v>0.51885946761275747</c:v>
                </c:pt>
                <c:pt idx="3">
                  <c:v>0.43204813836923311</c:v>
                </c:pt>
                <c:pt idx="4">
                  <c:v>0.39284830485365951</c:v>
                </c:pt>
              </c:numCache>
            </c:numRef>
          </c:val>
          <c:smooth val="0"/>
          <c:extLst>
            <c:ext xmlns:c16="http://schemas.microsoft.com/office/drawing/2014/chart" uri="{C3380CC4-5D6E-409C-BE32-E72D297353CC}">
              <c16:uniqueId val="{00000006-8C81-4954-92EE-C3C2304C462B}"/>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KOHC: working-capital cycle (days)</a:t>
            </a:r>
          </a:p>
        </c:rich>
      </c:tx>
      <c:overlay val="0"/>
    </c:title>
    <c:autoTitleDeleted val="0"/>
    <c:plotArea>
      <c:layout/>
      <c:lineChart>
        <c:grouping val="standard"/>
        <c:varyColors val="0"/>
        <c:ser>
          <c:idx val="0"/>
          <c:order val="0"/>
          <c:tx>
            <c:v>Series 1</c:v>
          </c:tx>
          <c:marker>
            <c:symbol val="none"/>
          </c:marker>
          <c:cat>
            <c:strRef>
              <c:f>KOHC!$D$17</c:f>
              <c:strCache>
                <c:ptCount val="1"/>
                <c:pt idx="0">
                  <c:v>FY2021</c:v>
                </c:pt>
              </c:strCache>
            </c:strRef>
          </c:cat>
          <c:val>
            <c:numRef>
              <c:f>KOHC!$E$17</c:f>
              <c:numCache>
                <c:formatCode>General</c:formatCode>
                <c:ptCount val="1"/>
                <c:pt idx="0">
                  <c:v>0</c:v>
                </c:pt>
              </c:numCache>
            </c:numRef>
          </c:val>
          <c:smooth val="0"/>
          <c:extLst>
            <c:ext xmlns:c16="http://schemas.microsoft.com/office/drawing/2014/chart" uri="{C3380CC4-5D6E-409C-BE32-E72D297353CC}">
              <c16:uniqueId val="{00000000-E7A4-41B8-9529-89FB6167C6BF}"/>
            </c:ext>
          </c:extLst>
        </c:ser>
        <c:ser>
          <c:idx val="1"/>
          <c:order val="1"/>
          <c:tx>
            <c:v>Series 2</c:v>
          </c:tx>
          <c:marker>
            <c:symbol val="none"/>
          </c:marker>
          <c:cat>
            <c:strRef>
              <c:f>KOHC!$D$17</c:f>
              <c:strCache>
                <c:ptCount val="1"/>
                <c:pt idx="0">
                  <c:v>FY2021</c:v>
                </c:pt>
              </c:strCache>
            </c:strRef>
          </c:cat>
          <c:val>
            <c:numRef>
              <c:f>KOHC!$F$17</c:f>
              <c:numCache>
                <c:formatCode>General</c:formatCode>
                <c:ptCount val="1"/>
                <c:pt idx="0">
                  <c:v>0</c:v>
                </c:pt>
              </c:numCache>
            </c:numRef>
          </c:val>
          <c:smooth val="0"/>
          <c:extLst>
            <c:ext xmlns:c16="http://schemas.microsoft.com/office/drawing/2014/chart" uri="{C3380CC4-5D6E-409C-BE32-E72D297353CC}">
              <c16:uniqueId val="{00000001-E7A4-41B8-9529-89FB6167C6BF}"/>
            </c:ext>
          </c:extLst>
        </c:ser>
        <c:ser>
          <c:idx val="2"/>
          <c:order val="2"/>
          <c:tx>
            <c:v>Series 3</c:v>
          </c:tx>
          <c:marker>
            <c:symbol val="none"/>
          </c:marker>
          <c:cat>
            <c:strRef>
              <c:f>KOHC!$D$17</c:f>
              <c:strCache>
                <c:ptCount val="1"/>
                <c:pt idx="0">
                  <c:v>FY2021</c:v>
                </c:pt>
              </c:strCache>
            </c:strRef>
          </c:cat>
          <c:val>
            <c:numRef>
              <c:f>KOHC!$G$17</c:f>
              <c:numCache>
                <c:formatCode>General</c:formatCode>
                <c:ptCount val="1"/>
                <c:pt idx="0">
                  <c:v>0</c:v>
                </c:pt>
              </c:numCache>
            </c:numRef>
          </c:val>
          <c:smooth val="0"/>
          <c:extLst>
            <c:ext xmlns:c16="http://schemas.microsoft.com/office/drawing/2014/chart" uri="{C3380CC4-5D6E-409C-BE32-E72D297353CC}">
              <c16:uniqueId val="{00000002-E7A4-41B8-9529-89FB6167C6BF}"/>
            </c:ext>
          </c:extLst>
        </c:ser>
        <c:ser>
          <c:idx val="3"/>
          <c:order val="3"/>
          <c:tx>
            <c:v>Series 4</c:v>
          </c:tx>
          <c:marker>
            <c:symbol val="none"/>
          </c:marker>
          <c:cat>
            <c:strRef>
              <c:f>KOHC!$D$17</c:f>
              <c:strCache>
                <c:ptCount val="1"/>
                <c:pt idx="0">
                  <c:v>FY2021</c:v>
                </c:pt>
              </c:strCache>
            </c:strRef>
          </c:cat>
          <c:val>
            <c:numRef>
              <c:f>KOHC!$H$17</c:f>
              <c:numCache>
                <c:formatCode>General</c:formatCode>
                <c:ptCount val="1"/>
                <c:pt idx="0">
                  <c:v>0</c:v>
                </c:pt>
              </c:numCache>
            </c:numRef>
          </c:val>
          <c:smooth val="0"/>
          <c:extLst>
            <c:ext xmlns:c16="http://schemas.microsoft.com/office/drawing/2014/chart" uri="{C3380CC4-5D6E-409C-BE32-E72D297353CC}">
              <c16:uniqueId val="{00000003-E7A4-41B8-9529-89FB6167C6BF}"/>
            </c:ext>
          </c:extLst>
        </c:ser>
        <c:ser>
          <c:idx val="4"/>
          <c:order val="4"/>
          <c:tx>
            <c:v>DIO</c:v>
          </c:tx>
          <c:spPr>
            <a:ln w="22860">
              <a:solidFill>
                <a:srgbClr val="204F3D"/>
              </a:solidFill>
              <a:prstDash val="solid"/>
            </a:ln>
          </c:spPr>
          <c:marker>
            <c:symbol val="none"/>
          </c:marker>
          <c:cat>
            <c:strRef>
              <c:f>KOHC!$D$17:$H$17</c:f>
              <c:strCache>
                <c:ptCount val="5"/>
                <c:pt idx="0">
                  <c:v>FY2021</c:v>
                </c:pt>
                <c:pt idx="1">
                  <c:v>FY2022</c:v>
                </c:pt>
                <c:pt idx="2">
                  <c:v>FY2023</c:v>
                </c:pt>
                <c:pt idx="3">
                  <c:v>FY2024</c:v>
                </c:pt>
                <c:pt idx="4">
                  <c:v>FY2025</c:v>
                </c:pt>
              </c:strCache>
            </c:strRef>
          </c:cat>
          <c:val>
            <c:numRef>
              <c:f>KOHC!$D$147:$H$147</c:f>
              <c:numCache>
                <c:formatCode>0;[Red]\(0\);"-"</c:formatCode>
                <c:ptCount val="5"/>
                <c:pt idx="0">
                  <c:v>75.147743531578783</c:v>
                </c:pt>
                <c:pt idx="1">
                  <c:v>77.972597591731756</c:v>
                </c:pt>
                <c:pt idx="2">
                  <c:v>85.372545387407953</c:v>
                </c:pt>
                <c:pt idx="3">
                  <c:v>101.50909357454404</c:v>
                </c:pt>
                <c:pt idx="4">
                  <c:v>120.66591878345184</c:v>
                </c:pt>
              </c:numCache>
            </c:numRef>
          </c:val>
          <c:smooth val="0"/>
          <c:extLst>
            <c:ext xmlns:c16="http://schemas.microsoft.com/office/drawing/2014/chart" uri="{C3380CC4-5D6E-409C-BE32-E72D297353CC}">
              <c16:uniqueId val="{00000004-E7A4-41B8-9529-89FB6167C6BF}"/>
            </c:ext>
          </c:extLst>
        </c:ser>
        <c:ser>
          <c:idx val="5"/>
          <c:order val="5"/>
          <c:tx>
            <c:v>DSO</c:v>
          </c:tx>
          <c:spPr>
            <a:ln w="13335">
              <a:solidFill>
                <a:srgbClr val="8CB369"/>
              </a:solidFill>
              <a:prstDash val="solid"/>
            </a:ln>
          </c:spPr>
          <c:marker>
            <c:symbol val="none"/>
          </c:marker>
          <c:cat>
            <c:strRef>
              <c:f>KOHC!$D$17:$H$17</c:f>
              <c:strCache>
                <c:ptCount val="5"/>
                <c:pt idx="0">
                  <c:v>FY2021</c:v>
                </c:pt>
                <c:pt idx="1">
                  <c:v>FY2022</c:v>
                </c:pt>
                <c:pt idx="2">
                  <c:v>FY2023</c:v>
                </c:pt>
                <c:pt idx="3">
                  <c:v>FY2024</c:v>
                </c:pt>
                <c:pt idx="4">
                  <c:v>FY2025</c:v>
                </c:pt>
              </c:strCache>
            </c:strRef>
          </c:cat>
          <c:val>
            <c:numRef>
              <c:f>KOHC!$D$148:$H$148</c:f>
              <c:numCache>
                <c:formatCode>0;[Red]\(0\);"-"</c:formatCode>
                <c:ptCount val="5"/>
                <c:pt idx="0">
                  <c:v>11.211269503464973</c:v>
                </c:pt>
                <c:pt idx="1">
                  <c:v>10.544725482358297</c:v>
                </c:pt>
                <c:pt idx="2">
                  <c:v>9.9479554378487851</c:v>
                </c:pt>
                <c:pt idx="3">
                  <c:v>15.657663166755571</c:v>
                </c:pt>
                <c:pt idx="4">
                  <c:v>18.487732733839078</c:v>
                </c:pt>
              </c:numCache>
            </c:numRef>
          </c:val>
          <c:smooth val="0"/>
          <c:extLst>
            <c:ext xmlns:c16="http://schemas.microsoft.com/office/drawing/2014/chart" uri="{C3380CC4-5D6E-409C-BE32-E72D297353CC}">
              <c16:uniqueId val="{00000005-E7A4-41B8-9529-89FB6167C6BF}"/>
            </c:ext>
          </c:extLst>
        </c:ser>
        <c:ser>
          <c:idx val="6"/>
          <c:order val="6"/>
          <c:tx>
            <c:v>DPO</c:v>
          </c:tx>
          <c:spPr>
            <a:ln w="13335">
              <a:solidFill>
                <a:srgbClr val="C79A57"/>
              </a:solidFill>
              <a:prstDash val="solid"/>
            </a:ln>
          </c:spPr>
          <c:marker>
            <c:symbol val="none"/>
          </c:marker>
          <c:cat>
            <c:strRef>
              <c:f>KOHC!$D$17:$H$17</c:f>
              <c:strCache>
                <c:ptCount val="5"/>
                <c:pt idx="0">
                  <c:v>FY2021</c:v>
                </c:pt>
                <c:pt idx="1">
                  <c:v>FY2022</c:v>
                </c:pt>
                <c:pt idx="2">
                  <c:v>FY2023</c:v>
                </c:pt>
                <c:pt idx="3">
                  <c:v>FY2024</c:v>
                </c:pt>
                <c:pt idx="4">
                  <c:v>FY2025</c:v>
                </c:pt>
              </c:strCache>
            </c:strRef>
          </c:cat>
          <c:val>
            <c:numRef>
              <c:f>KOHC!$D$149:$H$149</c:f>
              <c:numCache>
                <c:formatCode>0;[Red]\(0\);"-"</c:formatCode>
                <c:ptCount val="5"/>
                <c:pt idx="0">
                  <c:v>26.695664391757177</c:v>
                </c:pt>
                <c:pt idx="1">
                  <c:v>22.445127238407188</c:v>
                </c:pt>
                <c:pt idx="2">
                  <c:v>12.531624662163896</c:v>
                </c:pt>
                <c:pt idx="3">
                  <c:v>16.364411171705761</c:v>
                </c:pt>
                <c:pt idx="4">
                  <c:v>31.106488864521271</c:v>
                </c:pt>
              </c:numCache>
            </c:numRef>
          </c:val>
          <c:smooth val="0"/>
          <c:extLst>
            <c:ext xmlns:c16="http://schemas.microsoft.com/office/drawing/2014/chart" uri="{C3380CC4-5D6E-409C-BE32-E72D297353CC}">
              <c16:uniqueId val="{00000006-E7A4-41B8-9529-89FB6167C6BF}"/>
            </c:ext>
          </c:extLst>
        </c:ser>
        <c:ser>
          <c:idx val="7"/>
          <c:order val="7"/>
          <c:tx>
            <c:v>Cash conversion cycle</c:v>
          </c:tx>
          <c:spPr>
            <a:ln w="13335">
              <a:solidFill>
                <a:srgbClr val="648B98"/>
              </a:solidFill>
              <a:prstDash val="solid"/>
            </a:ln>
          </c:spPr>
          <c:marker>
            <c:symbol val="none"/>
          </c:marker>
          <c:cat>
            <c:strRef>
              <c:f>KOHC!$D$17:$H$17</c:f>
              <c:strCache>
                <c:ptCount val="5"/>
                <c:pt idx="0">
                  <c:v>FY2021</c:v>
                </c:pt>
                <c:pt idx="1">
                  <c:v>FY2022</c:v>
                </c:pt>
                <c:pt idx="2">
                  <c:v>FY2023</c:v>
                </c:pt>
                <c:pt idx="3">
                  <c:v>FY2024</c:v>
                </c:pt>
                <c:pt idx="4">
                  <c:v>FY2025</c:v>
                </c:pt>
              </c:strCache>
            </c:strRef>
          </c:cat>
          <c:val>
            <c:numRef>
              <c:f>KOHC!$D$151:$H$151</c:f>
              <c:numCache>
                <c:formatCode>0;[Red]\(0\);"-"</c:formatCode>
                <c:ptCount val="5"/>
                <c:pt idx="0">
                  <c:v>59.663348643286582</c:v>
                </c:pt>
                <c:pt idx="1">
                  <c:v>66.072195835682862</c:v>
                </c:pt>
                <c:pt idx="2">
                  <c:v>82.788876163092851</c:v>
                </c:pt>
                <c:pt idx="3">
                  <c:v>100.80234556959385</c:v>
                </c:pt>
                <c:pt idx="4">
                  <c:v>108.04716265276964</c:v>
                </c:pt>
              </c:numCache>
            </c:numRef>
          </c:val>
          <c:smooth val="0"/>
          <c:extLst>
            <c:ext xmlns:c16="http://schemas.microsoft.com/office/drawing/2014/chart" uri="{C3380CC4-5D6E-409C-BE32-E72D297353CC}">
              <c16:uniqueId val="{00000007-E7A4-41B8-9529-89FB6167C6BF}"/>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LUCK: revenue, gross profit and PAT (PKR m)</a:t>
            </a:r>
          </a:p>
        </c:rich>
      </c:tx>
      <c:overlay val="0"/>
    </c:title>
    <c:autoTitleDeleted val="0"/>
    <c:plotArea>
      <c:layout/>
      <c:lineChart>
        <c:grouping val="standard"/>
        <c:varyColors val="0"/>
        <c:ser>
          <c:idx val="0"/>
          <c:order val="0"/>
          <c:tx>
            <c:v>Series 1</c:v>
          </c:tx>
          <c:marker>
            <c:symbol val="none"/>
          </c:marker>
          <c:cat>
            <c:strRef>
              <c:f>LUCK!$D$17</c:f>
              <c:strCache>
                <c:ptCount val="1"/>
                <c:pt idx="0">
                  <c:v>FY2021</c:v>
                </c:pt>
              </c:strCache>
            </c:strRef>
          </c:cat>
          <c:val>
            <c:numRef>
              <c:f>LUCK!$E$17</c:f>
              <c:numCache>
                <c:formatCode>General</c:formatCode>
                <c:ptCount val="1"/>
                <c:pt idx="0">
                  <c:v>0</c:v>
                </c:pt>
              </c:numCache>
            </c:numRef>
          </c:val>
          <c:smooth val="0"/>
          <c:extLst>
            <c:ext xmlns:c16="http://schemas.microsoft.com/office/drawing/2014/chart" uri="{C3380CC4-5D6E-409C-BE32-E72D297353CC}">
              <c16:uniqueId val="{00000000-A632-42E9-A70C-EE77E4B94A38}"/>
            </c:ext>
          </c:extLst>
        </c:ser>
        <c:ser>
          <c:idx val="1"/>
          <c:order val="1"/>
          <c:tx>
            <c:v>Series 2</c:v>
          </c:tx>
          <c:marker>
            <c:symbol val="none"/>
          </c:marker>
          <c:cat>
            <c:strRef>
              <c:f>LUCK!$D$17</c:f>
              <c:strCache>
                <c:ptCount val="1"/>
                <c:pt idx="0">
                  <c:v>FY2021</c:v>
                </c:pt>
              </c:strCache>
            </c:strRef>
          </c:cat>
          <c:val>
            <c:numRef>
              <c:f>LUCK!$F$17</c:f>
              <c:numCache>
                <c:formatCode>General</c:formatCode>
                <c:ptCount val="1"/>
                <c:pt idx="0">
                  <c:v>0</c:v>
                </c:pt>
              </c:numCache>
            </c:numRef>
          </c:val>
          <c:smooth val="0"/>
          <c:extLst>
            <c:ext xmlns:c16="http://schemas.microsoft.com/office/drawing/2014/chart" uri="{C3380CC4-5D6E-409C-BE32-E72D297353CC}">
              <c16:uniqueId val="{00000001-A632-42E9-A70C-EE77E4B94A38}"/>
            </c:ext>
          </c:extLst>
        </c:ser>
        <c:ser>
          <c:idx val="2"/>
          <c:order val="2"/>
          <c:tx>
            <c:v>Series 3</c:v>
          </c:tx>
          <c:marker>
            <c:symbol val="none"/>
          </c:marker>
          <c:cat>
            <c:strRef>
              <c:f>LUCK!$D$17</c:f>
              <c:strCache>
                <c:ptCount val="1"/>
                <c:pt idx="0">
                  <c:v>FY2021</c:v>
                </c:pt>
              </c:strCache>
            </c:strRef>
          </c:cat>
          <c:val>
            <c:numRef>
              <c:f>LUCK!$G$17</c:f>
              <c:numCache>
                <c:formatCode>General</c:formatCode>
                <c:ptCount val="1"/>
                <c:pt idx="0">
                  <c:v>0</c:v>
                </c:pt>
              </c:numCache>
            </c:numRef>
          </c:val>
          <c:smooth val="0"/>
          <c:extLst>
            <c:ext xmlns:c16="http://schemas.microsoft.com/office/drawing/2014/chart" uri="{C3380CC4-5D6E-409C-BE32-E72D297353CC}">
              <c16:uniqueId val="{00000002-A632-42E9-A70C-EE77E4B94A38}"/>
            </c:ext>
          </c:extLst>
        </c:ser>
        <c:ser>
          <c:idx val="3"/>
          <c:order val="3"/>
          <c:tx>
            <c:v>Series 4</c:v>
          </c:tx>
          <c:marker>
            <c:symbol val="none"/>
          </c:marker>
          <c:cat>
            <c:strRef>
              <c:f>LUCK!$D$17</c:f>
              <c:strCache>
                <c:ptCount val="1"/>
                <c:pt idx="0">
                  <c:v>FY2021</c:v>
                </c:pt>
              </c:strCache>
            </c:strRef>
          </c:cat>
          <c:val>
            <c:numRef>
              <c:f>LUCK!$H$17</c:f>
              <c:numCache>
                <c:formatCode>General</c:formatCode>
                <c:ptCount val="1"/>
                <c:pt idx="0">
                  <c:v>0</c:v>
                </c:pt>
              </c:numCache>
            </c:numRef>
          </c:val>
          <c:smooth val="0"/>
          <c:extLst>
            <c:ext xmlns:c16="http://schemas.microsoft.com/office/drawing/2014/chart" uri="{C3380CC4-5D6E-409C-BE32-E72D297353CC}">
              <c16:uniqueId val="{00000003-A632-42E9-A70C-EE77E4B94A38}"/>
            </c:ext>
          </c:extLst>
        </c:ser>
        <c:ser>
          <c:idx val="4"/>
          <c:order val="4"/>
          <c:tx>
            <c:v>Revenue</c:v>
          </c:tx>
          <c:spPr>
            <a:ln w="22860">
              <a:solidFill>
                <a:srgbClr val="204F3D"/>
              </a:solidFill>
              <a:prstDash val="solid"/>
            </a:ln>
          </c:spPr>
          <c:marker>
            <c:symbol val="none"/>
          </c:marker>
          <c:cat>
            <c:strRef>
              <c:f>LUCK!$D$17:$H$17</c:f>
              <c:strCache>
                <c:ptCount val="5"/>
                <c:pt idx="0">
                  <c:v>FY2021</c:v>
                </c:pt>
                <c:pt idx="1">
                  <c:v>FY2022</c:v>
                </c:pt>
                <c:pt idx="2">
                  <c:v>FY2023</c:v>
                </c:pt>
                <c:pt idx="3">
                  <c:v>FY2024</c:v>
                </c:pt>
                <c:pt idx="4">
                  <c:v>FY2025</c:v>
                </c:pt>
              </c:strCache>
            </c:strRef>
          </c:cat>
          <c:val>
            <c:numRef>
              <c:f>LUCK!$D$84:$H$84</c:f>
              <c:numCache>
                <c:formatCode>#,##0.0;\(#,##0.0\);\-</c:formatCode>
                <c:ptCount val="5"/>
                <c:pt idx="0">
                  <c:v>62940.805</c:v>
                </c:pt>
                <c:pt idx="1">
                  <c:v>81093.524999999994</c:v>
                </c:pt>
                <c:pt idx="2">
                  <c:v>95832.146999999997</c:v>
                </c:pt>
                <c:pt idx="3">
                  <c:v>115324.942</c:v>
                </c:pt>
                <c:pt idx="4">
                  <c:v>124511.74400000001</c:v>
                </c:pt>
              </c:numCache>
            </c:numRef>
          </c:val>
          <c:smooth val="0"/>
          <c:extLst>
            <c:ext xmlns:c16="http://schemas.microsoft.com/office/drawing/2014/chart" uri="{C3380CC4-5D6E-409C-BE32-E72D297353CC}">
              <c16:uniqueId val="{00000004-A632-42E9-A70C-EE77E4B94A38}"/>
            </c:ext>
          </c:extLst>
        </c:ser>
        <c:ser>
          <c:idx val="5"/>
          <c:order val="5"/>
          <c:tx>
            <c:v>Gross profit</c:v>
          </c:tx>
          <c:spPr>
            <a:ln w="13335">
              <a:solidFill>
                <a:srgbClr val="8CB369"/>
              </a:solidFill>
              <a:prstDash val="solid"/>
            </a:ln>
          </c:spPr>
          <c:marker>
            <c:symbol val="none"/>
          </c:marker>
          <c:cat>
            <c:strRef>
              <c:f>LUCK!$D$17:$H$17</c:f>
              <c:strCache>
                <c:ptCount val="5"/>
                <c:pt idx="0">
                  <c:v>FY2021</c:v>
                </c:pt>
                <c:pt idx="1">
                  <c:v>FY2022</c:v>
                </c:pt>
                <c:pt idx="2">
                  <c:v>FY2023</c:v>
                </c:pt>
                <c:pt idx="3">
                  <c:v>FY2024</c:v>
                </c:pt>
                <c:pt idx="4">
                  <c:v>FY2025</c:v>
                </c:pt>
              </c:strCache>
            </c:strRef>
          </c:cat>
          <c:val>
            <c:numRef>
              <c:f>LUCK!$D$86:$H$86</c:f>
              <c:numCache>
                <c:formatCode>#,##0.0;\(#,##0.0\);\-</c:formatCode>
                <c:ptCount val="5"/>
                <c:pt idx="0">
                  <c:v>18955.932000000001</c:v>
                </c:pt>
                <c:pt idx="1">
                  <c:v>22551.840999999993</c:v>
                </c:pt>
                <c:pt idx="2">
                  <c:v>26060.678</c:v>
                </c:pt>
                <c:pt idx="3">
                  <c:v>38804.572</c:v>
                </c:pt>
                <c:pt idx="4">
                  <c:v>42684.684000000008</c:v>
                </c:pt>
              </c:numCache>
            </c:numRef>
          </c:val>
          <c:smooth val="0"/>
          <c:extLst>
            <c:ext xmlns:c16="http://schemas.microsoft.com/office/drawing/2014/chart" uri="{C3380CC4-5D6E-409C-BE32-E72D297353CC}">
              <c16:uniqueId val="{00000005-A632-42E9-A70C-EE77E4B94A38}"/>
            </c:ext>
          </c:extLst>
        </c:ser>
        <c:ser>
          <c:idx val="6"/>
          <c:order val="6"/>
          <c:tx>
            <c:v>Profit after tax</c:v>
          </c:tx>
          <c:spPr>
            <a:ln w="13335">
              <a:solidFill>
                <a:srgbClr val="C79A57"/>
              </a:solidFill>
              <a:prstDash val="solid"/>
            </a:ln>
          </c:spPr>
          <c:marker>
            <c:symbol val="none"/>
          </c:marker>
          <c:cat>
            <c:strRef>
              <c:f>LUCK!$D$17:$H$17</c:f>
              <c:strCache>
                <c:ptCount val="5"/>
                <c:pt idx="0">
                  <c:v>FY2021</c:v>
                </c:pt>
                <c:pt idx="1">
                  <c:v>FY2022</c:v>
                </c:pt>
                <c:pt idx="2">
                  <c:v>FY2023</c:v>
                </c:pt>
                <c:pt idx="3">
                  <c:v>FY2024</c:v>
                </c:pt>
                <c:pt idx="4">
                  <c:v>FY2025</c:v>
                </c:pt>
              </c:strCache>
            </c:strRef>
          </c:cat>
          <c:val>
            <c:numRef>
              <c:f>LUCK!$D$99:$H$99</c:f>
              <c:numCache>
                <c:formatCode>#,##0.0;\(#,##0.0\);\-</c:formatCode>
                <c:ptCount val="5"/>
                <c:pt idx="0">
                  <c:v>14070.189000000004</c:v>
                </c:pt>
                <c:pt idx="1">
                  <c:v>15298.617999999993</c:v>
                </c:pt>
                <c:pt idx="2">
                  <c:v>13725.813999999998</c:v>
                </c:pt>
                <c:pt idx="3">
                  <c:v>28106.539000000004</c:v>
                </c:pt>
                <c:pt idx="4">
                  <c:v>33092.162000000004</c:v>
                </c:pt>
              </c:numCache>
            </c:numRef>
          </c:val>
          <c:smooth val="0"/>
          <c:extLst>
            <c:ext xmlns:c16="http://schemas.microsoft.com/office/drawing/2014/chart" uri="{C3380CC4-5D6E-409C-BE32-E72D297353CC}">
              <c16:uniqueId val="{00000006-A632-42E9-A70C-EE77E4B94A38}"/>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LUCK: margins</a:t>
            </a:r>
          </a:p>
        </c:rich>
      </c:tx>
      <c:overlay val="0"/>
    </c:title>
    <c:autoTitleDeleted val="0"/>
    <c:plotArea>
      <c:layout/>
      <c:lineChart>
        <c:grouping val="standard"/>
        <c:varyColors val="0"/>
        <c:ser>
          <c:idx val="0"/>
          <c:order val="0"/>
          <c:tx>
            <c:v>Series 1</c:v>
          </c:tx>
          <c:marker>
            <c:symbol val="none"/>
          </c:marker>
          <c:cat>
            <c:strRef>
              <c:f>LUCK!$D$17</c:f>
              <c:strCache>
                <c:ptCount val="1"/>
                <c:pt idx="0">
                  <c:v>FY2021</c:v>
                </c:pt>
              </c:strCache>
            </c:strRef>
          </c:cat>
          <c:val>
            <c:numRef>
              <c:f>LUCK!$E$17</c:f>
              <c:numCache>
                <c:formatCode>General</c:formatCode>
                <c:ptCount val="1"/>
                <c:pt idx="0">
                  <c:v>0</c:v>
                </c:pt>
              </c:numCache>
            </c:numRef>
          </c:val>
          <c:smooth val="0"/>
          <c:extLst>
            <c:ext xmlns:c16="http://schemas.microsoft.com/office/drawing/2014/chart" uri="{C3380CC4-5D6E-409C-BE32-E72D297353CC}">
              <c16:uniqueId val="{00000000-4676-40C4-90A3-C2A58C8E7FC7}"/>
            </c:ext>
          </c:extLst>
        </c:ser>
        <c:ser>
          <c:idx val="1"/>
          <c:order val="1"/>
          <c:tx>
            <c:v>Series 2</c:v>
          </c:tx>
          <c:marker>
            <c:symbol val="none"/>
          </c:marker>
          <c:cat>
            <c:strRef>
              <c:f>LUCK!$D$17</c:f>
              <c:strCache>
                <c:ptCount val="1"/>
                <c:pt idx="0">
                  <c:v>FY2021</c:v>
                </c:pt>
              </c:strCache>
            </c:strRef>
          </c:cat>
          <c:val>
            <c:numRef>
              <c:f>LUCK!$F$17</c:f>
              <c:numCache>
                <c:formatCode>General</c:formatCode>
                <c:ptCount val="1"/>
                <c:pt idx="0">
                  <c:v>0</c:v>
                </c:pt>
              </c:numCache>
            </c:numRef>
          </c:val>
          <c:smooth val="0"/>
          <c:extLst>
            <c:ext xmlns:c16="http://schemas.microsoft.com/office/drawing/2014/chart" uri="{C3380CC4-5D6E-409C-BE32-E72D297353CC}">
              <c16:uniqueId val="{00000001-4676-40C4-90A3-C2A58C8E7FC7}"/>
            </c:ext>
          </c:extLst>
        </c:ser>
        <c:ser>
          <c:idx val="2"/>
          <c:order val="2"/>
          <c:tx>
            <c:v>Series 3</c:v>
          </c:tx>
          <c:marker>
            <c:symbol val="none"/>
          </c:marker>
          <c:cat>
            <c:strRef>
              <c:f>LUCK!$D$17</c:f>
              <c:strCache>
                <c:ptCount val="1"/>
                <c:pt idx="0">
                  <c:v>FY2021</c:v>
                </c:pt>
              </c:strCache>
            </c:strRef>
          </c:cat>
          <c:val>
            <c:numRef>
              <c:f>LUCK!$G$17</c:f>
              <c:numCache>
                <c:formatCode>General</c:formatCode>
                <c:ptCount val="1"/>
                <c:pt idx="0">
                  <c:v>0</c:v>
                </c:pt>
              </c:numCache>
            </c:numRef>
          </c:val>
          <c:smooth val="0"/>
          <c:extLst>
            <c:ext xmlns:c16="http://schemas.microsoft.com/office/drawing/2014/chart" uri="{C3380CC4-5D6E-409C-BE32-E72D297353CC}">
              <c16:uniqueId val="{00000002-4676-40C4-90A3-C2A58C8E7FC7}"/>
            </c:ext>
          </c:extLst>
        </c:ser>
        <c:ser>
          <c:idx val="3"/>
          <c:order val="3"/>
          <c:tx>
            <c:v>Series 4</c:v>
          </c:tx>
          <c:marker>
            <c:symbol val="none"/>
          </c:marker>
          <c:cat>
            <c:strRef>
              <c:f>LUCK!$D$17</c:f>
              <c:strCache>
                <c:ptCount val="1"/>
                <c:pt idx="0">
                  <c:v>FY2021</c:v>
                </c:pt>
              </c:strCache>
            </c:strRef>
          </c:cat>
          <c:val>
            <c:numRef>
              <c:f>LUCK!$H$17</c:f>
              <c:numCache>
                <c:formatCode>General</c:formatCode>
                <c:ptCount val="1"/>
                <c:pt idx="0">
                  <c:v>0</c:v>
                </c:pt>
              </c:numCache>
            </c:numRef>
          </c:val>
          <c:smooth val="0"/>
          <c:extLst>
            <c:ext xmlns:c16="http://schemas.microsoft.com/office/drawing/2014/chart" uri="{C3380CC4-5D6E-409C-BE32-E72D297353CC}">
              <c16:uniqueId val="{00000003-4676-40C4-90A3-C2A58C8E7FC7}"/>
            </c:ext>
          </c:extLst>
        </c:ser>
        <c:ser>
          <c:idx val="4"/>
          <c:order val="4"/>
          <c:tx>
            <c:v>Gross margin</c:v>
          </c:tx>
          <c:spPr>
            <a:ln w="22860">
              <a:solidFill>
                <a:srgbClr val="204F3D"/>
              </a:solidFill>
              <a:prstDash val="solid"/>
            </a:ln>
          </c:spPr>
          <c:marker>
            <c:symbol val="none"/>
          </c:marker>
          <c:cat>
            <c:strRef>
              <c:f>LUCK!$D$17:$H$17</c:f>
              <c:strCache>
                <c:ptCount val="5"/>
                <c:pt idx="0">
                  <c:v>FY2021</c:v>
                </c:pt>
                <c:pt idx="1">
                  <c:v>FY2022</c:v>
                </c:pt>
                <c:pt idx="2">
                  <c:v>FY2023</c:v>
                </c:pt>
                <c:pt idx="3">
                  <c:v>FY2024</c:v>
                </c:pt>
                <c:pt idx="4">
                  <c:v>FY2025</c:v>
                </c:pt>
              </c:strCache>
            </c:strRef>
          </c:cat>
          <c:val>
            <c:numRef>
              <c:f>LUCK!$D$161:$H$161</c:f>
              <c:numCache>
                <c:formatCode>0.00%;\(0.00%\);"-"</c:formatCode>
                <c:ptCount val="5"/>
                <c:pt idx="0">
                  <c:v>0.30117079055471246</c:v>
                </c:pt>
                <c:pt idx="1">
                  <c:v>0.27809669144361399</c:v>
                </c:pt>
                <c:pt idx="2">
                  <c:v>0.27194087595679139</c:v>
                </c:pt>
                <c:pt idx="3">
                  <c:v>0.33648030796321582</c:v>
                </c:pt>
                <c:pt idx="4">
                  <c:v>0.34281652982067301</c:v>
                </c:pt>
              </c:numCache>
            </c:numRef>
          </c:val>
          <c:smooth val="0"/>
          <c:extLst>
            <c:ext xmlns:c16="http://schemas.microsoft.com/office/drawing/2014/chart" uri="{C3380CC4-5D6E-409C-BE32-E72D297353CC}">
              <c16:uniqueId val="{00000004-4676-40C4-90A3-C2A58C8E7FC7}"/>
            </c:ext>
          </c:extLst>
        </c:ser>
        <c:ser>
          <c:idx val="5"/>
          <c:order val="5"/>
          <c:tx>
            <c:v>Operating margin</c:v>
          </c:tx>
          <c:spPr>
            <a:ln w="13335">
              <a:solidFill>
                <a:srgbClr val="8CB369"/>
              </a:solidFill>
              <a:prstDash val="solid"/>
            </a:ln>
          </c:spPr>
          <c:marker>
            <c:symbol val="none"/>
          </c:marker>
          <c:cat>
            <c:strRef>
              <c:f>LUCK!$D$17:$H$17</c:f>
              <c:strCache>
                <c:ptCount val="5"/>
                <c:pt idx="0">
                  <c:v>FY2021</c:v>
                </c:pt>
                <c:pt idx="1">
                  <c:v>FY2022</c:v>
                </c:pt>
                <c:pt idx="2">
                  <c:v>FY2023</c:v>
                </c:pt>
                <c:pt idx="3">
                  <c:v>FY2024</c:v>
                </c:pt>
                <c:pt idx="4">
                  <c:v>FY2025</c:v>
                </c:pt>
              </c:strCache>
            </c:strRef>
          </c:cat>
          <c:val>
            <c:numRef>
              <c:f>LUCK!$D$162:$H$162</c:f>
              <c:numCache>
                <c:formatCode>0.00%;\(0.00%\);"-"</c:formatCode>
                <c:ptCount val="5"/>
                <c:pt idx="0">
                  <c:v>0.18004359810777762</c:v>
                </c:pt>
                <c:pt idx="1">
                  <c:v>0.1779173984606045</c:v>
                </c:pt>
                <c:pt idx="2">
                  <c:v>0.17181730260097375</c:v>
                </c:pt>
                <c:pt idx="3">
                  <c:v>0.22886089116784467</c:v>
                </c:pt>
                <c:pt idx="4">
                  <c:v>0.22670718514712962</c:v>
                </c:pt>
              </c:numCache>
            </c:numRef>
          </c:val>
          <c:smooth val="0"/>
          <c:extLst>
            <c:ext xmlns:c16="http://schemas.microsoft.com/office/drawing/2014/chart" uri="{C3380CC4-5D6E-409C-BE32-E72D297353CC}">
              <c16:uniqueId val="{00000005-4676-40C4-90A3-C2A58C8E7FC7}"/>
            </c:ext>
          </c:extLst>
        </c:ser>
        <c:ser>
          <c:idx val="6"/>
          <c:order val="6"/>
          <c:tx>
            <c:v>Net margin</c:v>
          </c:tx>
          <c:spPr>
            <a:ln w="13335">
              <a:solidFill>
                <a:srgbClr val="C79A57"/>
              </a:solidFill>
              <a:prstDash val="solid"/>
            </a:ln>
          </c:spPr>
          <c:marker>
            <c:symbol val="none"/>
          </c:marker>
          <c:cat>
            <c:strRef>
              <c:f>LUCK!$D$17:$H$17</c:f>
              <c:strCache>
                <c:ptCount val="5"/>
                <c:pt idx="0">
                  <c:v>FY2021</c:v>
                </c:pt>
                <c:pt idx="1">
                  <c:v>FY2022</c:v>
                </c:pt>
                <c:pt idx="2">
                  <c:v>FY2023</c:v>
                </c:pt>
                <c:pt idx="3">
                  <c:v>FY2024</c:v>
                </c:pt>
                <c:pt idx="4">
                  <c:v>FY2025</c:v>
                </c:pt>
              </c:strCache>
            </c:strRef>
          </c:cat>
          <c:val>
            <c:numRef>
              <c:f>LUCK!$D$163:$H$163</c:f>
              <c:numCache>
                <c:formatCode>0.00%;\(0.00%\);"-"</c:formatCode>
                <c:ptCount val="5"/>
                <c:pt idx="0">
                  <c:v>0.22354637821997994</c:v>
                </c:pt>
                <c:pt idx="1">
                  <c:v>0.18865400166042842</c:v>
                </c:pt>
                <c:pt idx="2">
                  <c:v>0.14322765825125466</c:v>
                </c:pt>
                <c:pt idx="3">
                  <c:v>0.24371604713228476</c:v>
                </c:pt>
                <c:pt idx="4">
                  <c:v>0.26577542757733763</c:v>
                </c:pt>
              </c:numCache>
            </c:numRef>
          </c:val>
          <c:smooth val="0"/>
          <c:extLst>
            <c:ext xmlns:c16="http://schemas.microsoft.com/office/drawing/2014/chart" uri="{C3380CC4-5D6E-409C-BE32-E72D297353CC}">
              <c16:uniqueId val="{00000006-4676-40C4-90A3-C2A58C8E7FC7}"/>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LUCK: liquidity and leverage (x)</a:t>
            </a:r>
          </a:p>
        </c:rich>
      </c:tx>
      <c:overlay val="0"/>
    </c:title>
    <c:autoTitleDeleted val="0"/>
    <c:plotArea>
      <c:layout/>
      <c:lineChart>
        <c:grouping val="standard"/>
        <c:varyColors val="0"/>
        <c:ser>
          <c:idx val="0"/>
          <c:order val="0"/>
          <c:tx>
            <c:v>Series 1</c:v>
          </c:tx>
          <c:marker>
            <c:symbol val="none"/>
          </c:marker>
          <c:cat>
            <c:strRef>
              <c:f>LUCK!$D$17</c:f>
              <c:strCache>
                <c:ptCount val="1"/>
                <c:pt idx="0">
                  <c:v>FY2021</c:v>
                </c:pt>
              </c:strCache>
            </c:strRef>
          </c:cat>
          <c:val>
            <c:numRef>
              <c:f>LUCK!$E$17</c:f>
              <c:numCache>
                <c:formatCode>General</c:formatCode>
                <c:ptCount val="1"/>
                <c:pt idx="0">
                  <c:v>0</c:v>
                </c:pt>
              </c:numCache>
            </c:numRef>
          </c:val>
          <c:smooth val="0"/>
          <c:extLst>
            <c:ext xmlns:c16="http://schemas.microsoft.com/office/drawing/2014/chart" uri="{C3380CC4-5D6E-409C-BE32-E72D297353CC}">
              <c16:uniqueId val="{00000000-2B52-418F-9D0B-68A0F57B1C63}"/>
            </c:ext>
          </c:extLst>
        </c:ser>
        <c:ser>
          <c:idx val="1"/>
          <c:order val="1"/>
          <c:tx>
            <c:v>Series 2</c:v>
          </c:tx>
          <c:marker>
            <c:symbol val="none"/>
          </c:marker>
          <c:cat>
            <c:strRef>
              <c:f>LUCK!$D$17</c:f>
              <c:strCache>
                <c:ptCount val="1"/>
                <c:pt idx="0">
                  <c:v>FY2021</c:v>
                </c:pt>
              </c:strCache>
            </c:strRef>
          </c:cat>
          <c:val>
            <c:numRef>
              <c:f>LUCK!$F$17</c:f>
              <c:numCache>
                <c:formatCode>General</c:formatCode>
                <c:ptCount val="1"/>
                <c:pt idx="0">
                  <c:v>0</c:v>
                </c:pt>
              </c:numCache>
            </c:numRef>
          </c:val>
          <c:smooth val="0"/>
          <c:extLst>
            <c:ext xmlns:c16="http://schemas.microsoft.com/office/drawing/2014/chart" uri="{C3380CC4-5D6E-409C-BE32-E72D297353CC}">
              <c16:uniqueId val="{00000001-2B52-418F-9D0B-68A0F57B1C63}"/>
            </c:ext>
          </c:extLst>
        </c:ser>
        <c:ser>
          <c:idx val="2"/>
          <c:order val="2"/>
          <c:tx>
            <c:v>Series 3</c:v>
          </c:tx>
          <c:marker>
            <c:symbol val="none"/>
          </c:marker>
          <c:cat>
            <c:strRef>
              <c:f>LUCK!$D$17</c:f>
              <c:strCache>
                <c:ptCount val="1"/>
                <c:pt idx="0">
                  <c:v>FY2021</c:v>
                </c:pt>
              </c:strCache>
            </c:strRef>
          </c:cat>
          <c:val>
            <c:numRef>
              <c:f>LUCK!$G$17</c:f>
              <c:numCache>
                <c:formatCode>General</c:formatCode>
                <c:ptCount val="1"/>
                <c:pt idx="0">
                  <c:v>0</c:v>
                </c:pt>
              </c:numCache>
            </c:numRef>
          </c:val>
          <c:smooth val="0"/>
          <c:extLst>
            <c:ext xmlns:c16="http://schemas.microsoft.com/office/drawing/2014/chart" uri="{C3380CC4-5D6E-409C-BE32-E72D297353CC}">
              <c16:uniqueId val="{00000002-2B52-418F-9D0B-68A0F57B1C63}"/>
            </c:ext>
          </c:extLst>
        </c:ser>
        <c:ser>
          <c:idx val="3"/>
          <c:order val="3"/>
          <c:tx>
            <c:v>Series 4</c:v>
          </c:tx>
          <c:marker>
            <c:symbol val="none"/>
          </c:marker>
          <c:cat>
            <c:strRef>
              <c:f>LUCK!$D$17</c:f>
              <c:strCache>
                <c:ptCount val="1"/>
                <c:pt idx="0">
                  <c:v>FY2021</c:v>
                </c:pt>
              </c:strCache>
            </c:strRef>
          </c:cat>
          <c:val>
            <c:numRef>
              <c:f>LUCK!$H$17</c:f>
              <c:numCache>
                <c:formatCode>General</c:formatCode>
                <c:ptCount val="1"/>
                <c:pt idx="0">
                  <c:v>0</c:v>
                </c:pt>
              </c:numCache>
            </c:numRef>
          </c:val>
          <c:smooth val="0"/>
          <c:extLst>
            <c:ext xmlns:c16="http://schemas.microsoft.com/office/drawing/2014/chart" uri="{C3380CC4-5D6E-409C-BE32-E72D297353CC}">
              <c16:uniqueId val="{00000003-2B52-418F-9D0B-68A0F57B1C63}"/>
            </c:ext>
          </c:extLst>
        </c:ser>
        <c:ser>
          <c:idx val="4"/>
          <c:order val="4"/>
          <c:tx>
            <c:v>Current ratio</c:v>
          </c:tx>
          <c:spPr>
            <a:ln w="22860">
              <a:solidFill>
                <a:srgbClr val="204F3D"/>
              </a:solidFill>
              <a:prstDash val="solid"/>
            </a:ln>
          </c:spPr>
          <c:marker>
            <c:symbol val="none"/>
          </c:marker>
          <c:cat>
            <c:strRef>
              <c:f>LUCK!$D$17:$H$17</c:f>
              <c:strCache>
                <c:ptCount val="5"/>
                <c:pt idx="0">
                  <c:v>FY2021</c:v>
                </c:pt>
                <c:pt idx="1">
                  <c:v>FY2022</c:v>
                </c:pt>
                <c:pt idx="2">
                  <c:v>FY2023</c:v>
                </c:pt>
                <c:pt idx="3">
                  <c:v>FY2024</c:v>
                </c:pt>
                <c:pt idx="4">
                  <c:v>FY2025</c:v>
                </c:pt>
              </c:strCache>
            </c:strRef>
          </c:cat>
          <c:val>
            <c:numRef>
              <c:f>LUCK!$D$138:$H$138</c:f>
              <c:numCache>
                <c:formatCode>0.00"x";\(0.00\)"x";"-"</c:formatCode>
                <c:ptCount val="5"/>
                <c:pt idx="0">
                  <c:v>1.3386079458938223</c:v>
                </c:pt>
                <c:pt idx="1">
                  <c:v>1.4760766300374313</c:v>
                </c:pt>
                <c:pt idx="2">
                  <c:v>1.290071633326858</c:v>
                </c:pt>
                <c:pt idx="3">
                  <c:v>1.2632222354743232</c:v>
                </c:pt>
                <c:pt idx="4">
                  <c:v>1.7146143875904156</c:v>
                </c:pt>
              </c:numCache>
            </c:numRef>
          </c:val>
          <c:smooth val="0"/>
          <c:extLst>
            <c:ext xmlns:c16="http://schemas.microsoft.com/office/drawing/2014/chart" uri="{C3380CC4-5D6E-409C-BE32-E72D297353CC}">
              <c16:uniqueId val="{00000004-2B52-418F-9D0B-68A0F57B1C63}"/>
            </c:ext>
          </c:extLst>
        </c:ser>
        <c:ser>
          <c:idx val="5"/>
          <c:order val="5"/>
          <c:tx>
            <c:v>Quick ratio</c:v>
          </c:tx>
          <c:spPr>
            <a:ln w="13335">
              <a:solidFill>
                <a:srgbClr val="8CB369"/>
              </a:solidFill>
              <a:prstDash val="solid"/>
            </a:ln>
          </c:spPr>
          <c:marker>
            <c:symbol val="none"/>
          </c:marker>
          <c:cat>
            <c:strRef>
              <c:f>LUCK!$D$17:$H$17</c:f>
              <c:strCache>
                <c:ptCount val="5"/>
                <c:pt idx="0">
                  <c:v>FY2021</c:v>
                </c:pt>
                <c:pt idx="1">
                  <c:v>FY2022</c:v>
                </c:pt>
                <c:pt idx="2">
                  <c:v>FY2023</c:v>
                </c:pt>
                <c:pt idx="3">
                  <c:v>FY2024</c:v>
                </c:pt>
                <c:pt idx="4">
                  <c:v>FY2025</c:v>
                </c:pt>
              </c:strCache>
            </c:strRef>
          </c:cat>
          <c:val>
            <c:numRef>
              <c:f>LUCK!$D$139:$H$139</c:f>
              <c:numCache>
                <c:formatCode>0.00"x";\(0.00\)"x";"-"</c:formatCode>
                <c:ptCount val="5"/>
                <c:pt idx="0">
                  <c:v>0.89000886100685095</c:v>
                </c:pt>
                <c:pt idx="1">
                  <c:v>0.87076091919208631</c:v>
                </c:pt>
                <c:pt idx="2">
                  <c:v>0.85412226562426408</c:v>
                </c:pt>
                <c:pt idx="3">
                  <c:v>0.83698311631700717</c:v>
                </c:pt>
                <c:pt idx="4">
                  <c:v>1.2939267138361998</c:v>
                </c:pt>
              </c:numCache>
            </c:numRef>
          </c:val>
          <c:smooth val="0"/>
          <c:extLst>
            <c:ext xmlns:c16="http://schemas.microsoft.com/office/drawing/2014/chart" uri="{C3380CC4-5D6E-409C-BE32-E72D297353CC}">
              <c16:uniqueId val="{00000005-2B52-418F-9D0B-68A0F57B1C63}"/>
            </c:ext>
          </c:extLst>
        </c:ser>
        <c:ser>
          <c:idx val="6"/>
          <c:order val="6"/>
          <c:tx>
            <c:v>Debt-to-equity</c:v>
          </c:tx>
          <c:spPr>
            <a:ln w="13335">
              <a:solidFill>
                <a:srgbClr val="C79A57"/>
              </a:solidFill>
              <a:prstDash val="solid"/>
            </a:ln>
          </c:spPr>
          <c:marker>
            <c:symbol val="none"/>
          </c:marker>
          <c:cat>
            <c:strRef>
              <c:f>LUCK!$D$17:$H$17</c:f>
              <c:strCache>
                <c:ptCount val="5"/>
                <c:pt idx="0">
                  <c:v>FY2021</c:v>
                </c:pt>
                <c:pt idx="1">
                  <c:v>FY2022</c:v>
                </c:pt>
                <c:pt idx="2">
                  <c:v>FY2023</c:v>
                </c:pt>
                <c:pt idx="3">
                  <c:v>FY2024</c:v>
                </c:pt>
                <c:pt idx="4">
                  <c:v>FY2025</c:v>
                </c:pt>
              </c:strCache>
            </c:strRef>
          </c:cat>
          <c:val>
            <c:numRef>
              <c:f>LUCK!$D$156:$H$156</c:f>
              <c:numCache>
                <c:formatCode>0.00"x";\(0.00\)"x";"-"</c:formatCode>
                <c:ptCount val="5"/>
                <c:pt idx="0">
                  <c:v>0.38134015560282553</c:v>
                </c:pt>
                <c:pt idx="1">
                  <c:v>0.43894431135866752</c:v>
                </c:pt>
                <c:pt idx="2">
                  <c:v>0.5511739536514938</c:v>
                </c:pt>
                <c:pt idx="3">
                  <c:v>0.58375790160503283</c:v>
                </c:pt>
                <c:pt idx="4">
                  <c:v>0.5163857850360184</c:v>
                </c:pt>
              </c:numCache>
            </c:numRef>
          </c:val>
          <c:smooth val="0"/>
          <c:extLst>
            <c:ext xmlns:c16="http://schemas.microsoft.com/office/drawing/2014/chart" uri="{C3380CC4-5D6E-409C-BE32-E72D297353CC}">
              <c16:uniqueId val="{00000006-2B52-418F-9D0B-68A0F57B1C6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LUCK: working-capital cycle (days)</a:t>
            </a:r>
          </a:p>
        </c:rich>
      </c:tx>
      <c:overlay val="0"/>
    </c:title>
    <c:autoTitleDeleted val="0"/>
    <c:plotArea>
      <c:layout/>
      <c:lineChart>
        <c:grouping val="standard"/>
        <c:varyColors val="0"/>
        <c:ser>
          <c:idx val="0"/>
          <c:order val="0"/>
          <c:tx>
            <c:v>Series 1</c:v>
          </c:tx>
          <c:marker>
            <c:symbol val="none"/>
          </c:marker>
          <c:cat>
            <c:strRef>
              <c:f>LUCK!$D$17</c:f>
              <c:strCache>
                <c:ptCount val="1"/>
                <c:pt idx="0">
                  <c:v>FY2021</c:v>
                </c:pt>
              </c:strCache>
            </c:strRef>
          </c:cat>
          <c:val>
            <c:numRef>
              <c:f>LUCK!$E$17</c:f>
              <c:numCache>
                <c:formatCode>General</c:formatCode>
                <c:ptCount val="1"/>
                <c:pt idx="0">
                  <c:v>0</c:v>
                </c:pt>
              </c:numCache>
            </c:numRef>
          </c:val>
          <c:smooth val="0"/>
          <c:extLst>
            <c:ext xmlns:c16="http://schemas.microsoft.com/office/drawing/2014/chart" uri="{C3380CC4-5D6E-409C-BE32-E72D297353CC}">
              <c16:uniqueId val="{00000000-1C8E-4F0C-AB0E-8E4ABEF7F356}"/>
            </c:ext>
          </c:extLst>
        </c:ser>
        <c:ser>
          <c:idx val="1"/>
          <c:order val="1"/>
          <c:tx>
            <c:v>Series 2</c:v>
          </c:tx>
          <c:marker>
            <c:symbol val="none"/>
          </c:marker>
          <c:cat>
            <c:strRef>
              <c:f>LUCK!$D$17</c:f>
              <c:strCache>
                <c:ptCount val="1"/>
                <c:pt idx="0">
                  <c:v>FY2021</c:v>
                </c:pt>
              </c:strCache>
            </c:strRef>
          </c:cat>
          <c:val>
            <c:numRef>
              <c:f>LUCK!$F$17</c:f>
              <c:numCache>
                <c:formatCode>General</c:formatCode>
                <c:ptCount val="1"/>
                <c:pt idx="0">
                  <c:v>0</c:v>
                </c:pt>
              </c:numCache>
            </c:numRef>
          </c:val>
          <c:smooth val="0"/>
          <c:extLst>
            <c:ext xmlns:c16="http://schemas.microsoft.com/office/drawing/2014/chart" uri="{C3380CC4-5D6E-409C-BE32-E72D297353CC}">
              <c16:uniqueId val="{00000001-1C8E-4F0C-AB0E-8E4ABEF7F356}"/>
            </c:ext>
          </c:extLst>
        </c:ser>
        <c:ser>
          <c:idx val="2"/>
          <c:order val="2"/>
          <c:tx>
            <c:v>Series 3</c:v>
          </c:tx>
          <c:marker>
            <c:symbol val="none"/>
          </c:marker>
          <c:cat>
            <c:strRef>
              <c:f>LUCK!$D$17</c:f>
              <c:strCache>
                <c:ptCount val="1"/>
                <c:pt idx="0">
                  <c:v>FY2021</c:v>
                </c:pt>
              </c:strCache>
            </c:strRef>
          </c:cat>
          <c:val>
            <c:numRef>
              <c:f>LUCK!$G$17</c:f>
              <c:numCache>
                <c:formatCode>General</c:formatCode>
                <c:ptCount val="1"/>
                <c:pt idx="0">
                  <c:v>0</c:v>
                </c:pt>
              </c:numCache>
            </c:numRef>
          </c:val>
          <c:smooth val="0"/>
          <c:extLst>
            <c:ext xmlns:c16="http://schemas.microsoft.com/office/drawing/2014/chart" uri="{C3380CC4-5D6E-409C-BE32-E72D297353CC}">
              <c16:uniqueId val="{00000002-1C8E-4F0C-AB0E-8E4ABEF7F356}"/>
            </c:ext>
          </c:extLst>
        </c:ser>
        <c:ser>
          <c:idx val="3"/>
          <c:order val="3"/>
          <c:tx>
            <c:v>Series 4</c:v>
          </c:tx>
          <c:marker>
            <c:symbol val="none"/>
          </c:marker>
          <c:cat>
            <c:strRef>
              <c:f>LUCK!$D$17</c:f>
              <c:strCache>
                <c:ptCount val="1"/>
                <c:pt idx="0">
                  <c:v>FY2021</c:v>
                </c:pt>
              </c:strCache>
            </c:strRef>
          </c:cat>
          <c:val>
            <c:numRef>
              <c:f>LUCK!$H$17</c:f>
              <c:numCache>
                <c:formatCode>General</c:formatCode>
                <c:ptCount val="1"/>
                <c:pt idx="0">
                  <c:v>0</c:v>
                </c:pt>
              </c:numCache>
            </c:numRef>
          </c:val>
          <c:smooth val="0"/>
          <c:extLst>
            <c:ext xmlns:c16="http://schemas.microsoft.com/office/drawing/2014/chart" uri="{C3380CC4-5D6E-409C-BE32-E72D297353CC}">
              <c16:uniqueId val="{00000003-1C8E-4F0C-AB0E-8E4ABEF7F356}"/>
            </c:ext>
          </c:extLst>
        </c:ser>
        <c:ser>
          <c:idx val="4"/>
          <c:order val="4"/>
          <c:tx>
            <c:v>DIO</c:v>
          </c:tx>
          <c:spPr>
            <a:ln w="22860">
              <a:solidFill>
                <a:srgbClr val="204F3D"/>
              </a:solidFill>
              <a:prstDash val="solid"/>
            </a:ln>
          </c:spPr>
          <c:marker>
            <c:symbol val="none"/>
          </c:marker>
          <c:cat>
            <c:strRef>
              <c:f>LUCK!$D$17:$H$17</c:f>
              <c:strCache>
                <c:ptCount val="5"/>
                <c:pt idx="0">
                  <c:v>FY2021</c:v>
                </c:pt>
                <c:pt idx="1">
                  <c:v>FY2022</c:v>
                </c:pt>
                <c:pt idx="2">
                  <c:v>FY2023</c:v>
                </c:pt>
                <c:pt idx="3">
                  <c:v>FY2024</c:v>
                </c:pt>
                <c:pt idx="4">
                  <c:v>FY2025</c:v>
                </c:pt>
              </c:strCache>
            </c:strRef>
          </c:cat>
          <c:val>
            <c:numRef>
              <c:f>LUCK!$D$147:$H$147</c:f>
              <c:numCache>
                <c:formatCode>0;[Red]\(0\);"-"</c:formatCode>
                <c:ptCount val="5"/>
                <c:pt idx="0">
                  <c:v>95.709906676324849</c:v>
                </c:pt>
                <c:pt idx="1">
                  <c:v>99.788581457615734</c:v>
                </c:pt>
                <c:pt idx="2">
                  <c:v>100.73184197970664</c:v>
                </c:pt>
                <c:pt idx="3">
                  <c:v>103.10239469568691</c:v>
                </c:pt>
                <c:pt idx="4">
                  <c:v>106.53528435458882</c:v>
                </c:pt>
              </c:numCache>
            </c:numRef>
          </c:val>
          <c:smooth val="0"/>
          <c:extLst>
            <c:ext xmlns:c16="http://schemas.microsoft.com/office/drawing/2014/chart" uri="{C3380CC4-5D6E-409C-BE32-E72D297353CC}">
              <c16:uniqueId val="{00000004-1C8E-4F0C-AB0E-8E4ABEF7F356}"/>
            </c:ext>
          </c:extLst>
        </c:ser>
        <c:ser>
          <c:idx val="5"/>
          <c:order val="5"/>
          <c:tx>
            <c:v>DSO</c:v>
          </c:tx>
          <c:spPr>
            <a:ln w="13335">
              <a:solidFill>
                <a:srgbClr val="8CB369"/>
              </a:solidFill>
              <a:prstDash val="solid"/>
            </a:ln>
          </c:spPr>
          <c:marker>
            <c:symbol val="none"/>
          </c:marker>
          <c:cat>
            <c:strRef>
              <c:f>LUCK!$D$17:$H$17</c:f>
              <c:strCache>
                <c:ptCount val="5"/>
                <c:pt idx="0">
                  <c:v>FY2021</c:v>
                </c:pt>
                <c:pt idx="1">
                  <c:v>FY2022</c:v>
                </c:pt>
                <c:pt idx="2">
                  <c:v>FY2023</c:v>
                </c:pt>
                <c:pt idx="3">
                  <c:v>FY2024</c:v>
                </c:pt>
                <c:pt idx="4">
                  <c:v>FY2025</c:v>
                </c:pt>
              </c:strCache>
            </c:strRef>
          </c:cat>
          <c:val>
            <c:numRef>
              <c:f>LUCK!$D$148:$H$148</c:f>
              <c:numCache>
                <c:formatCode>0;[Red]\(0\);"-"</c:formatCode>
                <c:ptCount val="5"/>
                <c:pt idx="0">
                  <c:v>17.782498333156049</c:v>
                </c:pt>
                <c:pt idx="1">
                  <c:v>14.027318333985361</c:v>
                </c:pt>
                <c:pt idx="2">
                  <c:v>16.401585315624828</c:v>
                </c:pt>
                <c:pt idx="3">
                  <c:v>19.024866667611246</c:v>
                </c:pt>
                <c:pt idx="4">
                  <c:v>19.473145621508603</c:v>
                </c:pt>
              </c:numCache>
            </c:numRef>
          </c:val>
          <c:smooth val="0"/>
          <c:extLst>
            <c:ext xmlns:c16="http://schemas.microsoft.com/office/drawing/2014/chart" uri="{C3380CC4-5D6E-409C-BE32-E72D297353CC}">
              <c16:uniqueId val="{00000005-1C8E-4F0C-AB0E-8E4ABEF7F356}"/>
            </c:ext>
          </c:extLst>
        </c:ser>
        <c:ser>
          <c:idx val="6"/>
          <c:order val="6"/>
          <c:tx>
            <c:v>DPO</c:v>
          </c:tx>
          <c:spPr>
            <a:ln w="13335">
              <a:solidFill>
                <a:srgbClr val="C79A57"/>
              </a:solidFill>
              <a:prstDash val="solid"/>
            </a:ln>
          </c:spPr>
          <c:marker>
            <c:symbol val="none"/>
          </c:marker>
          <c:cat>
            <c:strRef>
              <c:f>LUCK!$D$17:$H$17</c:f>
              <c:strCache>
                <c:ptCount val="5"/>
                <c:pt idx="0">
                  <c:v>FY2021</c:v>
                </c:pt>
                <c:pt idx="1">
                  <c:v>FY2022</c:v>
                </c:pt>
                <c:pt idx="2">
                  <c:v>FY2023</c:v>
                </c:pt>
                <c:pt idx="3">
                  <c:v>FY2024</c:v>
                </c:pt>
                <c:pt idx="4">
                  <c:v>FY2025</c:v>
                </c:pt>
              </c:strCache>
            </c:strRef>
          </c:cat>
          <c:val>
            <c:numRef>
              <c:f>LUCK!$D$149:$H$149</c:f>
              <c:numCache>
                <c:formatCode>0;[Red]\(0\);"-"</c:formatCode>
                <c:ptCount val="5"/>
                <c:pt idx="0">
                  <c:v>22.744515597441875</c:v>
                </c:pt>
                <c:pt idx="1">
                  <c:v>19.438565176908817</c:v>
                </c:pt>
                <c:pt idx="2">
                  <c:v>21.928688071624236</c:v>
                </c:pt>
                <c:pt idx="3">
                  <c:v>29.103243031888116</c:v>
                </c:pt>
                <c:pt idx="4">
                  <c:v>30.330299261637901</c:v>
                </c:pt>
              </c:numCache>
            </c:numRef>
          </c:val>
          <c:smooth val="0"/>
          <c:extLst>
            <c:ext xmlns:c16="http://schemas.microsoft.com/office/drawing/2014/chart" uri="{C3380CC4-5D6E-409C-BE32-E72D297353CC}">
              <c16:uniqueId val="{00000006-1C8E-4F0C-AB0E-8E4ABEF7F356}"/>
            </c:ext>
          </c:extLst>
        </c:ser>
        <c:ser>
          <c:idx val="7"/>
          <c:order val="7"/>
          <c:tx>
            <c:v>Cash conversion cycle</c:v>
          </c:tx>
          <c:spPr>
            <a:ln w="13335">
              <a:solidFill>
                <a:srgbClr val="648B98"/>
              </a:solidFill>
              <a:prstDash val="solid"/>
            </a:ln>
          </c:spPr>
          <c:marker>
            <c:symbol val="none"/>
          </c:marker>
          <c:cat>
            <c:strRef>
              <c:f>LUCK!$D$17:$H$17</c:f>
              <c:strCache>
                <c:ptCount val="5"/>
                <c:pt idx="0">
                  <c:v>FY2021</c:v>
                </c:pt>
                <c:pt idx="1">
                  <c:v>FY2022</c:v>
                </c:pt>
                <c:pt idx="2">
                  <c:v>FY2023</c:v>
                </c:pt>
                <c:pt idx="3">
                  <c:v>FY2024</c:v>
                </c:pt>
                <c:pt idx="4">
                  <c:v>FY2025</c:v>
                </c:pt>
              </c:strCache>
            </c:strRef>
          </c:cat>
          <c:val>
            <c:numRef>
              <c:f>LUCK!$D$151:$H$151</c:f>
              <c:numCache>
                <c:formatCode>0;[Red]\(0\);"-"</c:formatCode>
                <c:ptCount val="5"/>
                <c:pt idx="0">
                  <c:v>90.747889412039029</c:v>
                </c:pt>
                <c:pt idx="1">
                  <c:v>94.377334614692273</c:v>
                </c:pt>
                <c:pt idx="2">
                  <c:v>95.204739223707236</c:v>
                </c:pt>
                <c:pt idx="3">
                  <c:v>93.024018331410048</c:v>
                </c:pt>
                <c:pt idx="4">
                  <c:v>95.678130714459527</c:v>
                </c:pt>
              </c:numCache>
            </c:numRef>
          </c:val>
          <c:smooth val="0"/>
          <c:extLst>
            <c:ext xmlns:c16="http://schemas.microsoft.com/office/drawing/2014/chart" uri="{C3380CC4-5D6E-409C-BE32-E72D297353CC}">
              <c16:uniqueId val="{00000007-1C8E-4F0C-AB0E-8E4ABEF7F356}"/>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DGKC: revenue, gross profit and PAT (PKR m)</a:t>
            </a:r>
          </a:p>
        </c:rich>
      </c:tx>
      <c:overlay val="0"/>
    </c:title>
    <c:autoTitleDeleted val="0"/>
    <c:plotArea>
      <c:layout/>
      <c:lineChart>
        <c:grouping val="standard"/>
        <c:varyColors val="0"/>
        <c:ser>
          <c:idx val="0"/>
          <c:order val="0"/>
          <c:tx>
            <c:v>Series 1</c:v>
          </c:tx>
          <c:marker>
            <c:symbol val="none"/>
          </c:marker>
          <c:cat>
            <c:strRef>
              <c:f>DGKC!$D$17</c:f>
              <c:strCache>
                <c:ptCount val="1"/>
                <c:pt idx="0">
                  <c:v>FY2021</c:v>
                </c:pt>
              </c:strCache>
            </c:strRef>
          </c:cat>
          <c:val>
            <c:numRef>
              <c:f>DGKC!$E$17</c:f>
              <c:numCache>
                <c:formatCode>General</c:formatCode>
                <c:ptCount val="1"/>
                <c:pt idx="0">
                  <c:v>0</c:v>
                </c:pt>
              </c:numCache>
            </c:numRef>
          </c:val>
          <c:smooth val="0"/>
          <c:extLst>
            <c:ext xmlns:c16="http://schemas.microsoft.com/office/drawing/2014/chart" uri="{C3380CC4-5D6E-409C-BE32-E72D297353CC}">
              <c16:uniqueId val="{00000000-B690-4FF9-A001-2ACE6945F5FC}"/>
            </c:ext>
          </c:extLst>
        </c:ser>
        <c:ser>
          <c:idx val="1"/>
          <c:order val="1"/>
          <c:tx>
            <c:v>Series 2</c:v>
          </c:tx>
          <c:marker>
            <c:symbol val="none"/>
          </c:marker>
          <c:cat>
            <c:strRef>
              <c:f>DGKC!$D$17</c:f>
              <c:strCache>
                <c:ptCount val="1"/>
                <c:pt idx="0">
                  <c:v>FY2021</c:v>
                </c:pt>
              </c:strCache>
            </c:strRef>
          </c:cat>
          <c:val>
            <c:numRef>
              <c:f>DGKC!$F$17</c:f>
              <c:numCache>
                <c:formatCode>General</c:formatCode>
                <c:ptCount val="1"/>
                <c:pt idx="0">
                  <c:v>0</c:v>
                </c:pt>
              </c:numCache>
            </c:numRef>
          </c:val>
          <c:smooth val="0"/>
          <c:extLst>
            <c:ext xmlns:c16="http://schemas.microsoft.com/office/drawing/2014/chart" uri="{C3380CC4-5D6E-409C-BE32-E72D297353CC}">
              <c16:uniqueId val="{00000001-B690-4FF9-A001-2ACE6945F5FC}"/>
            </c:ext>
          </c:extLst>
        </c:ser>
        <c:ser>
          <c:idx val="2"/>
          <c:order val="2"/>
          <c:tx>
            <c:v>Series 3</c:v>
          </c:tx>
          <c:marker>
            <c:symbol val="none"/>
          </c:marker>
          <c:cat>
            <c:strRef>
              <c:f>DGKC!$D$17</c:f>
              <c:strCache>
                <c:ptCount val="1"/>
                <c:pt idx="0">
                  <c:v>FY2021</c:v>
                </c:pt>
              </c:strCache>
            </c:strRef>
          </c:cat>
          <c:val>
            <c:numRef>
              <c:f>DGKC!$G$17</c:f>
              <c:numCache>
                <c:formatCode>General</c:formatCode>
                <c:ptCount val="1"/>
                <c:pt idx="0">
                  <c:v>0</c:v>
                </c:pt>
              </c:numCache>
            </c:numRef>
          </c:val>
          <c:smooth val="0"/>
          <c:extLst>
            <c:ext xmlns:c16="http://schemas.microsoft.com/office/drawing/2014/chart" uri="{C3380CC4-5D6E-409C-BE32-E72D297353CC}">
              <c16:uniqueId val="{00000002-B690-4FF9-A001-2ACE6945F5FC}"/>
            </c:ext>
          </c:extLst>
        </c:ser>
        <c:ser>
          <c:idx val="3"/>
          <c:order val="3"/>
          <c:tx>
            <c:v>Series 4</c:v>
          </c:tx>
          <c:marker>
            <c:symbol val="none"/>
          </c:marker>
          <c:cat>
            <c:strRef>
              <c:f>DGKC!$D$17</c:f>
              <c:strCache>
                <c:ptCount val="1"/>
                <c:pt idx="0">
                  <c:v>FY2021</c:v>
                </c:pt>
              </c:strCache>
            </c:strRef>
          </c:cat>
          <c:val>
            <c:numRef>
              <c:f>DGKC!$H$17</c:f>
              <c:numCache>
                <c:formatCode>General</c:formatCode>
                <c:ptCount val="1"/>
                <c:pt idx="0">
                  <c:v>0</c:v>
                </c:pt>
              </c:numCache>
            </c:numRef>
          </c:val>
          <c:smooth val="0"/>
          <c:extLst>
            <c:ext xmlns:c16="http://schemas.microsoft.com/office/drawing/2014/chart" uri="{C3380CC4-5D6E-409C-BE32-E72D297353CC}">
              <c16:uniqueId val="{00000003-B690-4FF9-A001-2ACE6945F5FC}"/>
            </c:ext>
          </c:extLst>
        </c:ser>
        <c:ser>
          <c:idx val="4"/>
          <c:order val="4"/>
          <c:tx>
            <c:v>Revenue</c:v>
          </c:tx>
          <c:spPr>
            <a:ln w="22860">
              <a:solidFill>
                <a:srgbClr val="204F3D"/>
              </a:solidFill>
              <a:prstDash val="solid"/>
            </a:ln>
          </c:spPr>
          <c:marker>
            <c:symbol val="none"/>
          </c:marker>
          <c:cat>
            <c:strRef>
              <c:f>DGKC!$D$17:$H$17</c:f>
              <c:strCache>
                <c:ptCount val="5"/>
                <c:pt idx="0">
                  <c:v>FY2021</c:v>
                </c:pt>
                <c:pt idx="1">
                  <c:v>FY2022</c:v>
                </c:pt>
                <c:pt idx="2">
                  <c:v>FY2023</c:v>
                </c:pt>
                <c:pt idx="3">
                  <c:v>FY2024</c:v>
                </c:pt>
                <c:pt idx="4">
                  <c:v>FY2025</c:v>
                </c:pt>
              </c:strCache>
            </c:strRef>
          </c:cat>
          <c:val>
            <c:numRef>
              <c:f>DGKC!$D$84:$H$84</c:f>
              <c:numCache>
                <c:formatCode>#,##0.0;\(#,##0.0\);\-</c:formatCode>
                <c:ptCount val="5"/>
                <c:pt idx="0">
                  <c:v>45107.69</c:v>
                </c:pt>
                <c:pt idx="1">
                  <c:v>58043.862999999998</c:v>
                </c:pt>
                <c:pt idx="2">
                  <c:v>64983.821000000004</c:v>
                </c:pt>
                <c:pt idx="3">
                  <c:v>66038.688999999998</c:v>
                </c:pt>
                <c:pt idx="4">
                  <c:v>71892.837</c:v>
                </c:pt>
              </c:numCache>
            </c:numRef>
          </c:val>
          <c:smooth val="0"/>
          <c:extLst>
            <c:ext xmlns:c16="http://schemas.microsoft.com/office/drawing/2014/chart" uri="{C3380CC4-5D6E-409C-BE32-E72D297353CC}">
              <c16:uniqueId val="{00000004-B690-4FF9-A001-2ACE6945F5FC}"/>
            </c:ext>
          </c:extLst>
        </c:ser>
        <c:ser>
          <c:idx val="5"/>
          <c:order val="5"/>
          <c:tx>
            <c:v>Gross profit</c:v>
          </c:tx>
          <c:spPr>
            <a:ln w="13335">
              <a:solidFill>
                <a:srgbClr val="8CB369"/>
              </a:solidFill>
              <a:prstDash val="solid"/>
            </a:ln>
          </c:spPr>
          <c:marker>
            <c:symbol val="none"/>
          </c:marker>
          <c:cat>
            <c:strRef>
              <c:f>DGKC!$D$17:$H$17</c:f>
              <c:strCache>
                <c:ptCount val="5"/>
                <c:pt idx="0">
                  <c:v>FY2021</c:v>
                </c:pt>
                <c:pt idx="1">
                  <c:v>FY2022</c:v>
                </c:pt>
                <c:pt idx="2">
                  <c:v>FY2023</c:v>
                </c:pt>
                <c:pt idx="3">
                  <c:v>FY2024</c:v>
                </c:pt>
                <c:pt idx="4">
                  <c:v>FY2025</c:v>
                </c:pt>
              </c:strCache>
            </c:strRef>
          </c:cat>
          <c:val>
            <c:numRef>
              <c:f>DGKC!$D$86:$H$86</c:f>
              <c:numCache>
                <c:formatCode>#,##0.0;\(#,##0.0\);\-</c:formatCode>
                <c:ptCount val="5"/>
                <c:pt idx="0">
                  <c:v>8071.8919999999998</c:v>
                </c:pt>
                <c:pt idx="1">
                  <c:v>10428.311999999998</c:v>
                </c:pt>
                <c:pt idx="2">
                  <c:v>9555.7750000000015</c:v>
                </c:pt>
                <c:pt idx="3">
                  <c:v>10528.260000000002</c:v>
                </c:pt>
                <c:pt idx="4">
                  <c:v>18505.671000000002</c:v>
                </c:pt>
              </c:numCache>
            </c:numRef>
          </c:val>
          <c:smooth val="0"/>
          <c:extLst>
            <c:ext xmlns:c16="http://schemas.microsoft.com/office/drawing/2014/chart" uri="{C3380CC4-5D6E-409C-BE32-E72D297353CC}">
              <c16:uniqueId val="{00000005-B690-4FF9-A001-2ACE6945F5FC}"/>
            </c:ext>
          </c:extLst>
        </c:ser>
        <c:ser>
          <c:idx val="6"/>
          <c:order val="6"/>
          <c:tx>
            <c:v>Profit after tax</c:v>
          </c:tx>
          <c:spPr>
            <a:ln w="13335">
              <a:solidFill>
                <a:srgbClr val="C79A57"/>
              </a:solidFill>
              <a:prstDash val="solid"/>
            </a:ln>
          </c:spPr>
          <c:marker>
            <c:symbol val="none"/>
          </c:marker>
          <c:cat>
            <c:strRef>
              <c:f>DGKC!$D$17:$H$17</c:f>
              <c:strCache>
                <c:ptCount val="5"/>
                <c:pt idx="0">
                  <c:v>FY2021</c:v>
                </c:pt>
                <c:pt idx="1">
                  <c:v>FY2022</c:v>
                </c:pt>
                <c:pt idx="2">
                  <c:v>FY2023</c:v>
                </c:pt>
                <c:pt idx="3">
                  <c:v>FY2024</c:v>
                </c:pt>
                <c:pt idx="4">
                  <c:v>FY2025</c:v>
                </c:pt>
              </c:strCache>
            </c:strRef>
          </c:cat>
          <c:val>
            <c:numRef>
              <c:f>DGKC!$D$99:$H$99</c:f>
              <c:numCache>
                <c:formatCode>#,##0.0;\(#,##0.0\);\-</c:formatCode>
                <c:ptCount val="5"/>
                <c:pt idx="0">
                  <c:v>3721.2730000000006</c:v>
                </c:pt>
                <c:pt idx="1">
                  <c:v>2972.1319999999987</c:v>
                </c:pt>
                <c:pt idx="2">
                  <c:v>-3635.9759999999997</c:v>
                </c:pt>
                <c:pt idx="3">
                  <c:v>542.39600000000178</c:v>
                </c:pt>
                <c:pt idx="4">
                  <c:v>8675.0589999999993</c:v>
                </c:pt>
              </c:numCache>
            </c:numRef>
          </c:val>
          <c:smooth val="0"/>
          <c:extLst>
            <c:ext xmlns:c16="http://schemas.microsoft.com/office/drawing/2014/chart" uri="{C3380CC4-5D6E-409C-BE32-E72D297353CC}">
              <c16:uniqueId val="{00000006-B690-4FF9-A001-2ACE6945F5FC}"/>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DGKC: margins</a:t>
            </a:r>
          </a:p>
        </c:rich>
      </c:tx>
      <c:overlay val="0"/>
    </c:title>
    <c:autoTitleDeleted val="0"/>
    <c:plotArea>
      <c:layout/>
      <c:lineChart>
        <c:grouping val="standard"/>
        <c:varyColors val="0"/>
        <c:ser>
          <c:idx val="0"/>
          <c:order val="0"/>
          <c:tx>
            <c:v>Series 1</c:v>
          </c:tx>
          <c:marker>
            <c:symbol val="none"/>
          </c:marker>
          <c:cat>
            <c:strRef>
              <c:f>DGKC!$D$17</c:f>
              <c:strCache>
                <c:ptCount val="1"/>
                <c:pt idx="0">
                  <c:v>FY2021</c:v>
                </c:pt>
              </c:strCache>
            </c:strRef>
          </c:cat>
          <c:val>
            <c:numRef>
              <c:f>DGKC!$E$17</c:f>
              <c:numCache>
                <c:formatCode>General</c:formatCode>
                <c:ptCount val="1"/>
                <c:pt idx="0">
                  <c:v>0</c:v>
                </c:pt>
              </c:numCache>
            </c:numRef>
          </c:val>
          <c:smooth val="0"/>
          <c:extLst>
            <c:ext xmlns:c16="http://schemas.microsoft.com/office/drawing/2014/chart" uri="{C3380CC4-5D6E-409C-BE32-E72D297353CC}">
              <c16:uniqueId val="{00000000-8BE3-44F6-843B-A5A6513181D1}"/>
            </c:ext>
          </c:extLst>
        </c:ser>
        <c:ser>
          <c:idx val="1"/>
          <c:order val="1"/>
          <c:tx>
            <c:v>Series 2</c:v>
          </c:tx>
          <c:marker>
            <c:symbol val="none"/>
          </c:marker>
          <c:cat>
            <c:strRef>
              <c:f>DGKC!$D$17</c:f>
              <c:strCache>
                <c:ptCount val="1"/>
                <c:pt idx="0">
                  <c:v>FY2021</c:v>
                </c:pt>
              </c:strCache>
            </c:strRef>
          </c:cat>
          <c:val>
            <c:numRef>
              <c:f>DGKC!$F$17</c:f>
              <c:numCache>
                <c:formatCode>General</c:formatCode>
                <c:ptCount val="1"/>
                <c:pt idx="0">
                  <c:v>0</c:v>
                </c:pt>
              </c:numCache>
            </c:numRef>
          </c:val>
          <c:smooth val="0"/>
          <c:extLst>
            <c:ext xmlns:c16="http://schemas.microsoft.com/office/drawing/2014/chart" uri="{C3380CC4-5D6E-409C-BE32-E72D297353CC}">
              <c16:uniqueId val="{00000001-8BE3-44F6-843B-A5A6513181D1}"/>
            </c:ext>
          </c:extLst>
        </c:ser>
        <c:ser>
          <c:idx val="2"/>
          <c:order val="2"/>
          <c:tx>
            <c:v>Series 3</c:v>
          </c:tx>
          <c:marker>
            <c:symbol val="none"/>
          </c:marker>
          <c:cat>
            <c:strRef>
              <c:f>DGKC!$D$17</c:f>
              <c:strCache>
                <c:ptCount val="1"/>
                <c:pt idx="0">
                  <c:v>FY2021</c:v>
                </c:pt>
              </c:strCache>
            </c:strRef>
          </c:cat>
          <c:val>
            <c:numRef>
              <c:f>DGKC!$G$17</c:f>
              <c:numCache>
                <c:formatCode>General</c:formatCode>
                <c:ptCount val="1"/>
                <c:pt idx="0">
                  <c:v>0</c:v>
                </c:pt>
              </c:numCache>
            </c:numRef>
          </c:val>
          <c:smooth val="0"/>
          <c:extLst>
            <c:ext xmlns:c16="http://schemas.microsoft.com/office/drawing/2014/chart" uri="{C3380CC4-5D6E-409C-BE32-E72D297353CC}">
              <c16:uniqueId val="{00000002-8BE3-44F6-843B-A5A6513181D1}"/>
            </c:ext>
          </c:extLst>
        </c:ser>
        <c:ser>
          <c:idx val="3"/>
          <c:order val="3"/>
          <c:tx>
            <c:v>Series 4</c:v>
          </c:tx>
          <c:marker>
            <c:symbol val="none"/>
          </c:marker>
          <c:cat>
            <c:strRef>
              <c:f>DGKC!$D$17</c:f>
              <c:strCache>
                <c:ptCount val="1"/>
                <c:pt idx="0">
                  <c:v>FY2021</c:v>
                </c:pt>
              </c:strCache>
            </c:strRef>
          </c:cat>
          <c:val>
            <c:numRef>
              <c:f>DGKC!$H$17</c:f>
              <c:numCache>
                <c:formatCode>General</c:formatCode>
                <c:ptCount val="1"/>
                <c:pt idx="0">
                  <c:v>0</c:v>
                </c:pt>
              </c:numCache>
            </c:numRef>
          </c:val>
          <c:smooth val="0"/>
          <c:extLst>
            <c:ext xmlns:c16="http://schemas.microsoft.com/office/drawing/2014/chart" uri="{C3380CC4-5D6E-409C-BE32-E72D297353CC}">
              <c16:uniqueId val="{00000003-8BE3-44F6-843B-A5A6513181D1}"/>
            </c:ext>
          </c:extLst>
        </c:ser>
        <c:ser>
          <c:idx val="4"/>
          <c:order val="4"/>
          <c:tx>
            <c:v>Gross margin</c:v>
          </c:tx>
          <c:spPr>
            <a:ln w="22860">
              <a:solidFill>
                <a:srgbClr val="204F3D"/>
              </a:solidFill>
              <a:prstDash val="solid"/>
            </a:ln>
          </c:spPr>
          <c:marker>
            <c:symbol val="none"/>
          </c:marker>
          <c:cat>
            <c:strRef>
              <c:f>DGKC!$D$17:$H$17</c:f>
              <c:strCache>
                <c:ptCount val="5"/>
                <c:pt idx="0">
                  <c:v>FY2021</c:v>
                </c:pt>
                <c:pt idx="1">
                  <c:v>FY2022</c:v>
                </c:pt>
                <c:pt idx="2">
                  <c:v>FY2023</c:v>
                </c:pt>
                <c:pt idx="3">
                  <c:v>FY2024</c:v>
                </c:pt>
                <c:pt idx="4">
                  <c:v>FY2025</c:v>
                </c:pt>
              </c:strCache>
            </c:strRef>
          </c:cat>
          <c:val>
            <c:numRef>
              <c:f>DGKC!$D$161:$H$161</c:f>
              <c:numCache>
                <c:formatCode>0.00%;\(0.00%\);"-"</c:formatCode>
                <c:ptCount val="5"/>
                <c:pt idx="0">
                  <c:v>0.17894713739497631</c:v>
                </c:pt>
                <c:pt idx="1">
                  <c:v>0.17966261135996409</c:v>
                </c:pt>
                <c:pt idx="2">
                  <c:v>0.14704852458583501</c:v>
                </c:pt>
                <c:pt idx="3">
                  <c:v>0.15942563608432631</c:v>
                </c:pt>
                <c:pt idx="4">
                  <c:v>0.25740632547300923</c:v>
                </c:pt>
              </c:numCache>
            </c:numRef>
          </c:val>
          <c:smooth val="0"/>
          <c:extLst>
            <c:ext xmlns:c16="http://schemas.microsoft.com/office/drawing/2014/chart" uri="{C3380CC4-5D6E-409C-BE32-E72D297353CC}">
              <c16:uniqueId val="{00000004-8BE3-44F6-843B-A5A6513181D1}"/>
            </c:ext>
          </c:extLst>
        </c:ser>
        <c:ser>
          <c:idx val="5"/>
          <c:order val="5"/>
          <c:tx>
            <c:v>Operating margin</c:v>
          </c:tx>
          <c:spPr>
            <a:ln w="13335">
              <a:solidFill>
                <a:srgbClr val="8CB369"/>
              </a:solidFill>
              <a:prstDash val="solid"/>
            </a:ln>
          </c:spPr>
          <c:marker>
            <c:symbol val="none"/>
          </c:marker>
          <c:cat>
            <c:strRef>
              <c:f>DGKC!$D$17:$H$17</c:f>
              <c:strCache>
                <c:ptCount val="5"/>
                <c:pt idx="0">
                  <c:v>FY2021</c:v>
                </c:pt>
                <c:pt idx="1">
                  <c:v>FY2022</c:v>
                </c:pt>
                <c:pt idx="2">
                  <c:v>FY2023</c:v>
                </c:pt>
                <c:pt idx="3">
                  <c:v>FY2024</c:v>
                </c:pt>
                <c:pt idx="4">
                  <c:v>FY2025</c:v>
                </c:pt>
              </c:strCache>
            </c:strRef>
          </c:cat>
          <c:val>
            <c:numRef>
              <c:f>DGKC!$D$162:$H$162</c:f>
              <c:numCache>
                <c:formatCode>0.00%;\(0.00%\);"-"</c:formatCode>
                <c:ptCount val="5"/>
                <c:pt idx="0">
                  <c:v>0.11451399971933833</c:v>
                </c:pt>
                <c:pt idx="1">
                  <c:v>0.11847261096319517</c:v>
                </c:pt>
                <c:pt idx="2">
                  <c:v>0.10245374767974941</c:v>
                </c:pt>
                <c:pt idx="3">
                  <c:v>0.10002042893371189</c:v>
                </c:pt>
                <c:pt idx="4">
                  <c:v>0.17530880023555062</c:v>
                </c:pt>
              </c:numCache>
            </c:numRef>
          </c:val>
          <c:smooth val="0"/>
          <c:extLst>
            <c:ext xmlns:c16="http://schemas.microsoft.com/office/drawing/2014/chart" uri="{C3380CC4-5D6E-409C-BE32-E72D297353CC}">
              <c16:uniqueId val="{00000005-8BE3-44F6-843B-A5A6513181D1}"/>
            </c:ext>
          </c:extLst>
        </c:ser>
        <c:ser>
          <c:idx val="6"/>
          <c:order val="6"/>
          <c:tx>
            <c:v>Net margin</c:v>
          </c:tx>
          <c:spPr>
            <a:ln w="13335">
              <a:solidFill>
                <a:srgbClr val="C79A57"/>
              </a:solidFill>
              <a:prstDash val="solid"/>
            </a:ln>
          </c:spPr>
          <c:marker>
            <c:symbol val="none"/>
          </c:marker>
          <c:cat>
            <c:strRef>
              <c:f>DGKC!$D$17:$H$17</c:f>
              <c:strCache>
                <c:ptCount val="5"/>
                <c:pt idx="0">
                  <c:v>FY2021</c:v>
                </c:pt>
                <c:pt idx="1">
                  <c:v>FY2022</c:v>
                </c:pt>
                <c:pt idx="2">
                  <c:v>FY2023</c:v>
                </c:pt>
                <c:pt idx="3">
                  <c:v>FY2024</c:v>
                </c:pt>
                <c:pt idx="4">
                  <c:v>FY2025</c:v>
                </c:pt>
              </c:strCache>
            </c:strRef>
          </c:cat>
          <c:val>
            <c:numRef>
              <c:f>DGKC!$D$163:$H$163</c:f>
              <c:numCache>
                <c:formatCode>0.00%;\(0.00%\);"-"</c:formatCode>
                <c:ptCount val="5"/>
                <c:pt idx="0">
                  <c:v>8.2497529800351119E-2</c:v>
                </c:pt>
                <c:pt idx="1">
                  <c:v>5.120493100192175E-2</c:v>
                </c:pt>
                <c:pt idx="2">
                  <c:v>0</c:v>
                </c:pt>
                <c:pt idx="3">
                  <c:v>8.2133065966830711E-3</c:v>
                </c:pt>
                <c:pt idx="4">
                  <c:v>0.12066652759857006</c:v>
                </c:pt>
              </c:numCache>
            </c:numRef>
          </c:val>
          <c:smooth val="0"/>
          <c:extLst>
            <c:ext xmlns:c16="http://schemas.microsoft.com/office/drawing/2014/chart" uri="{C3380CC4-5D6E-409C-BE32-E72D297353CC}">
              <c16:uniqueId val="{00000006-8BE3-44F6-843B-A5A6513181D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DGKC: liquidity and leverage (x)</a:t>
            </a:r>
          </a:p>
        </c:rich>
      </c:tx>
      <c:overlay val="0"/>
    </c:title>
    <c:autoTitleDeleted val="0"/>
    <c:plotArea>
      <c:layout/>
      <c:lineChart>
        <c:grouping val="standard"/>
        <c:varyColors val="0"/>
        <c:ser>
          <c:idx val="0"/>
          <c:order val="0"/>
          <c:tx>
            <c:v>Series 1</c:v>
          </c:tx>
          <c:marker>
            <c:symbol val="none"/>
          </c:marker>
          <c:cat>
            <c:strRef>
              <c:f>DGKC!$D$17</c:f>
              <c:strCache>
                <c:ptCount val="1"/>
                <c:pt idx="0">
                  <c:v>FY2021</c:v>
                </c:pt>
              </c:strCache>
            </c:strRef>
          </c:cat>
          <c:val>
            <c:numRef>
              <c:f>DGKC!$E$17</c:f>
              <c:numCache>
                <c:formatCode>General</c:formatCode>
                <c:ptCount val="1"/>
                <c:pt idx="0">
                  <c:v>0</c:v>
                </c:pt>
              </c:numCache>
            </c:numRef>
          </c:val>
          <c:smooth val="0"/>
          <c:extLst>
            <c:ext xmlns:c16="http://schemas.microsoft.com/office/drawing/2014/chart" uri="{C3380CC4-5D6E-409C-BE32-E72D297353CC}">
              <c16:uniqueId val="{00000000-9303-4D79-A8EE-BDBF79560828}"/>
            </c:ext>
          </c:extLst>
        </c:ser>
        <c:ser>
          <c:idx val="1"/>
          <c:order val="1"/>
          <c:tx>
            <c:v>Series 2</c:v>
          </c:tx>
          <c:marker>
            <c:symbol val="none"/>
          </c:marker>
          <c:cat>
            <c:strRef>
              <c:f>DGKC!$D$17</c:f>
              <c:strCache>
                <c:ptCount val="1"/>
                <c:pt idx="0">
                  <c:v>FY2021</c:v>
                </c:pt>
              </c:strCache>
            </c:strRef>
          </c:cat>
          <c:val>
            <c:numRef>
              <c:f>DGKC!$F$17</c:f>
              <c:numCache>
                <c:formatCode>General</c:formatCode>
                <c:ptCount val="1"/>
                <c:pt idx="0">
                  <c:v>0</c:v>
                </c:pt>
              </c:numCache>
            </c:numRef>
          </c:val>
          <c:smooth val="0"/>
          <c:extLst>
            <c:ext xmlns:c16="http://schemas.microsoft.com/office/drawing/2014/chart" uri="{C3380CC4-5D6E-409C-BE32-E72D297353CC}">
              <c16:uniqueId val="{00000001-9303-4D79-A8EE-BDBF79560828}"/>
            </c:ext>
          </c:extLst>
        </c:ser>
        <c:ser>
          <c:idx val="2"/>
          <c:order val="2"/>
          <c:tx>
            <c:v>Series 3</c:v>
          </c:tx>
          <c:marker>
            <c:symbol val="none"/>
          </c:marker>
          <c:cat>
            <c:strRef>
              <c:f>DGKC!$D$17</c:f>
              <c:strCache>
                <c:ptCount val="1"/>
                <c:pt idx="0">
                  <c:v>FY2021</c:v>
                </c:pt>
              </c:strCache>
            </c:strRef>
          </c:cat>
          <c:val>
            <c:numRef>
              <c:f>DGKC!$G$17</c:f>
              <c:numCache>
                <c:formatCode>General</c:formatCode>
                <c:ptCount val="1"/>
                <c:pt idx="0">
                  <c:v>0</c:v>
                </c:pt>
              </c:numCache>
            </c:numRef>
          </c:val>
          <c:smooth val="0"/>
          <c:extLst>
            <c:ext xmlns:c16="http://schemas.microsoft.com/office/drawing/2014/chart" uri="{C3380CC4-5D6E-409C-BE32-E72D297353CC}">
              <c16:uniqueId val="{00000002-9303-4D79-A8EE-BDBF79560828}"/>
            </c:ext>
          </c:extLst>
        </c:ser>
        <c:ser>
          <c:idx val="3"/>
          <c:order val="3"/>
          <c:tx>
            <c:v>Series 4</c:v>
          </c:tx>
          <c:marker>
            <c:symbol val="none"/>
          </c:marker>
          <c:cat>
            <c:strRef>
              <c:f>DGKC!$D$17</c:f>
              <c:strCache>
                <c:ptCount val="1"/>
                <c:pt idx="0">
                  <c:v>FY2021</c:v>
                </c:pt>
              </c:strCache>
            </c:strRef>
          </c:cat>
          <c:val>
            <c:numRef>
              <c:f>DGKC!$H$17</c:f>
              <c:numCache>
                <c:formatCode>General</c:formatCode>
                <c:ptCount val="1"/>
                <c:pt idx="0">
                  <c:v>0</c:v>
                </c:pt>
              </c:numCache>
            </c:numRef>
          </c:val>
          <c:smooth val="0"/>
          <c:extLst>
            <c:ext xmlns:c16="http://schemas.microsoft.com/office/drawing/2014/chart" uri="{C3380CC4-5D6E-409C-BE32-E72D297353CC}">
              <c16:uniqueId val="{00000003-9303-4D79-A8EE-BDBF79560828}"/>
            </c:ext>
          </c:extLst>
        </c:ser>
        <c:ser>
          <c:idx val="4"/>
          <c:order val="4"/>
          <c:tx>
            <c:v>Current ratio</c:v>
          </c:tx>
          <c:spPr>
            <a:ln w="22860">
              <a:solidFill>
                <a:srgbClr val="204F3D"/>
              </a:solidFill>
              <a:prstDash val="solid"/>
            </a:ln>
          </c:spPr>
          <c:marker>
            <c:symbol val="none"/>
          </c:marker>
          <c:cat>
            <c:strRef>
              <c:f>DGKC!$D$17:$H$17</c:f>
              <c:strCache>
                <c:ptCount val="5"/>
                <c:pt idx="0">
                  <c:v>FY2021</c:v>
                </c:pt>
                <c:pt idx="1">
                  <c:v>FY2022</c:v>
                </c:pt>
                <c:pt idx="2">
                  <c:v>FY2023</c:v>
                </c:pt>
                <c:pt idx="3">
                  <c:v>FY2024</c:v>
                </c:pt>
                <c:pt idx="4">
                  <c:v>FY2025</c:v>
                </c:pt>
              </c:strCache>
            </c:strRef>
          </c:cat>
          <c:val>
            <c:numRef>
              <c:f>DGKC!$D$138:$H$138</c:f>
              <c:numCache>
                <c:formatCode>0.00"x";\(0.00\)"x";"-"</c:formatCode>
                <c:ptCount val="5"/>
                <c:pt idx="0">
                  <c:v>0.91452508864509019</c:v>
                </c:pt>
                <c:pt idx="1">
                  <c:v>0.88552877147710041</c:v>
                </c:pt>
                <c:pt idx="2">
                  <c:v>0.80176749057385621</c:v>
                </c:pt>
                <c:pt idx="3">
                  <c:v>1.296185931254842</c:v>
                </c:pt>
                <c:pt idx="4">
                  <c:v>1.8489517932979607</c:v>
                </c:pt>
              </c:numCache>
            </c:numRef>
          </c:val>
          <c:smooth val="0"/>
          <c:extLst>
            <c:ext xmlns:c16="http://schemas.microsoft.com/office/drawing/2014/chart" uri="{C3380CC4-5D6E-409C-BE32-E72D297353CC}">
              <c16:uniqueId val="{00000004-9303-4D79-A8EE-BDBF79560828}"/>
            </c:ext>
          </c:extLst>
        </c:ser>
        <c:ser>
          <c:idx val="5"/>
          <c:order val="5"/>
          <c:tx>
            <c:v>Quick ratio</c:v>
          </c:tx>
          <c:spPr>
            <a:ln w="13335">
              <a:solidFill>
                <a:srgbClr val="8CB369"/>
              </a:solidFill>
              <a:prstDash val="solid"/>
            </a:ln>
          </c:spPr>
          <c:marker>
            <c:symbol val="none"/>
          </c:marker>
          <c:cat>
            <c:strRef>
              <c:f>DGKC!$D$17:$H$17</c:f>
              <c:strCache>
                <c:ptCount val="5"/>
                <c:pt idx="0">
                  <c:v>FY2021</c:v>
                </c:pt>
                <c:pt idx="1">
                  <c:v>FY2022</c:v>
                </c:pt>
                <c:pt idx="2">
                  <c:v>FY2023</c:v>
                </c:pt>
                <c:pt idx="3">
                  <c:v>FY2024</c:v>
                </c:pt>
                <c:pt idx="4">
                  <c:v>FY2025</c:v>
                </c:pt>
              </c:strCache>
            </c:strRef>
          </c:cat>
          <c:val>
            <c:numRef>
              <c:f>DGKC!$D$139:$H$139</c:f>
              <c:numCache>
                <c:formatCode>0.00"x";\(0.00\)"x";"-"</c:formatCode>
                <c:ptCount val="5"/>
                <c:pt idx="0">
                  <c:v>0.52718830778210601</c:v>
                </c:pt>
                <c:pt idx="1">
                  <c:v>0.39093390789665328</c:v>
                </c:pt>
                <c:pt idx="2">
                  <c:v>0.33489936167445872</c:v>
                </c:pt>
                <c:pt idx="3">
                  <c:v>0.66771764923027133</c:v>
                </c:pt>
                <c:pt idx="4">
                  <c:v>1.0579587679634685</c:v>
                </c:pt>
              </c:numCache>
            </c:numRef>
          </c:val>
          <c:smooth val="0"/>
          <c:extLst>
            <c:ext xmlns:c16="http://schemas.microsoft.com/office/drawing/2014/chart" uri="{C3380CC4-5D6E-409C-BE32-E72D297353CC}">
              <c16:uniqueId val="{00000005-9303-4D79-A8EE-BDBF79560828}"/>
            </c:ext>
          </c:extLst>
        </c:ser>
        <c:ser>
          <c:idx val="6"/>
          <c:order val="6"/>
          <c:tx>
            <c:v>Debt-to-equity</c:v>
          </c:tx>
          <c:spPr>
            <a:ln w="13335">
              <a:solidFill>
                <a:srgbClr val="C79A57"/>
              </a:solidFill>
              <a:prstDash val="solid"/>
            </a:ln>
          </c:spPr>
          <c:marker>
            <c:symbol val="none"/>
          </c:marker>
          <c:cat>
            <c:strRef>
              <c:f>DGKC!$D$17:$H$17</c:f>
              <c:strCache>
                <c:ptCount val="5"/>
                <c:pt idx="0">
                  <c:v>FY2021</c:v>
                </c:pt>
                <c:pt idx="1">
                  <c:v>FY2022</c:v>
                </c:pt>
                <c:pt idx="2">
                  <c:v>FY2023</c:v>
                </c:pt>
                <c:pt idx="3">
                  <c:v>FY2024</c:v>
                </c:pt>
                <c:pt idx="4">
                  <c:v>FY2025</c:v>
                </c:pt>
              </c:strCache>
            </c:strRef>
          </c:cat>
          <c:val>
            <c:numRef>
              <c:f>DGKC!$D$156:$H$156</c:f>
              <c:numCache>
                <c:formatCode>0.00"x";\(0.00\)"x";"-"</c:formatCode>
                <c:ptCount val="5"/>
                <c:pt idx="0">
                  <c:v>0.87668329756905172</c:v>
                </c:pt>
                <c:pt idx="1">
                  <c:v>0.95317105432867721</c:v>
                </c:pt>
                <c:pt idx="2">
                  <c:v>1.0985897415665749</c:v>
                </c:pt>
                <c:pt idx="3">
                  <c:v>0.82452532605606788</c:v>
                </c:pt>
                <c:pt idx="4">
                  <c:v>0.54143997582781278</c:v>
                </c:pt>
              </c:numCache>
            </c:numRef>
          </c:val>
          <c:smooth val="0"/>
          <c:extLst>
            <c:ext xmlns:c16="http://schemas.microsoft.com/office/drawing/2014/chart" uri="{C3380CC4-5D6E-409C-BE32-E72D297353CC}">
              <c16:uniqueId val="{00000006-9303-4D79-A8EE-BDBF79560828}"/>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DGKC: working-capital cycle (days)</a:t>
            </a:r>
          </a:p>
        </c:rich>
      </c:tx>
      <c:overlay val="0"/>
    </c:title>
    <c:autoTitleDeleted val="0"/>
    <c:plotArea>
      <c:layout/>
      <c:lineChart>
        <c:grouping val="standard"/>
        <c:varyColors val="0"/>
        <c:ser>
          <c:idx val="0"/>
          <c:order val="0"/>
          <c:tx>
            <c:v>Series 1</c:v>
          </c:tx>
          <c:marker>
            <c:symbol val="none"/>
          </c:marker>
          <c:cat>
            <c:strRef>
              <c:f>DGKC!$D$17</c:f>
              <c:strCache>
                <c:ptCount val="1"/>
                <c:pt idx="0">
                  <c:v>FY2021</c:v>
                </c:pt>
              </c:strCache>
            </c:strRef>
          </c:cat>
          <c:val>
            <c:numRef>
              <c:f>DGKC!$E$17</c:f>
              <c:numCache>
                <c:formatCode>General</c:formatCode>
                <c:ptCount val="1"/>
                <c:pt idx="0">
                  <c:v>0</c:v>
                </c:pt>
              </c:numCache>
            </c:numRef>
          </c:val>
          <c:smooth val="0"/>
          <c:extLst>
            <c:ext xmlns:c16="http://schemas.microsoft.com/office/drawing/2014/chart" uri="{C3380CC4-5D6E-409C-BE32-E72D297353CC}">
              <c16:uniqueId val="{00000000-9301-487E-83AC-D79EFA8E2B6F}"/>
            </c:ext>
          </c:extLst>
        </c:ser>
        <c:ser>
          <c:idx val="1"/>
          <c:order val="1"/>
          <c:tx>
            <c:v>Series 2</c:v>
          </c:tx>
          <c:marker>
            <c:symbol val="none"/>
          </c:marker>
          <c:cat>
            <c:strRef>
              <c:f>DGKC!$D$17</c:f>
              <c:strCache>
                <c:ptCount val="1"/>
                <c:pt idx="0">
                  <c:v>FY2021</c:v>
                </c:pt>
              </c:strCache>
            </c:strRef>
          </c:cat>
          <c:val>
            <c:numRef>
              <c:f>DGKC!$F$17</c:f>
              <c:numCache>
                <c:formatCode>General</c:formatCode>
                <c:ptCount val="1"/>
                <c:pt idx="0">
                  <c:v>0</c:v>
                </c:pt>
              </c:numCache>
            </c:numRef>
          </c:val>
          <c:smooth val="0"/>
          <c:extLst>
            <c:ext xmlns:c16="http://schemas.microsoft.com/office/drawing/2014/chart" uri="{C3380CC4-5D6E-409C-BE32-E72D297353CC}">
              <c16:uniqueId val="{00000001-9301-487E-83AC-D79EFA8E2B6F}"/>
            </c:ext>
          </c:extLst>
        </c:ser>
        <c:ser>
          <c:idx val="2"/>
          <c:order val="2"/>
          <c:tx>
            <c:v>Series 3</c:v>
          </c:tx>
          <c:marker>
            <c:symbol val="none"/>
          </c:marker>
          <c:cat>
            <c:strRef>
              <c:f>DGKC!$D$17</c:f>
              <c:strCache>
                <c:ptCount val="1"/>
                <c:pt idx="0">
                  <c:v>FY2021</c:v>
                </c:pt>
              </c:strCache>
            </c:strRef>
          </c:cat>
          <c:val>
            <c:numRef>
              <c:f>DGKC!$G$17</c:f>
              <c:numCache>
                <c:formatCode>General</c:formatCode>
                <c:ptCount val="1"/>
                <c:pt idx="0">
                  <c:v>0</c:v>
                </c:pt>
              </c:numCache>
            </c:numRef>
          </c:val>
          <c:smooth val="0"/>
          <c:extLst>
            <c:ext xmlns:c16="http://schemas.microsoft.com/office/drawing/2014/chart" uri="{C3380CC4-5D6E-409C-BE32-E72D297353CC}">
              <c16:uniqueId val="{00000002-9301-487E-83AC-D79EFA8E2B6F}"/>
            </c:ext>
          </c:extLst>
        </c:ser>
        <c:ser>
          <c:idx val="3"/>
          <c:order val="3"/>
          <c:tx>
            <c:v>Series 4</c:v>
          </c:tx>
          <c:marker>
            <c:symbol val="none"/>
          </c:marker>
          <c:cat>
            <c:strRef>
              <c:f>DGKC!$D$17</c:f>
              <c:strCache>
                <c:ptCount val="1"/>
                <c:pt idx="0">
                  <c:v>FY2021</c:v>
                </c:pt>
              </c:strCache>
            </c:strRef>
          </c:cat>
          <c:val>
            <c:numRef>
              <c:f>DGKC!$H$17</c:f>
              <c:numCache>
                <c:formatCode>General</c:formatCode>
                <c:ptCount val="1"/>
                <c:pt idx="0">
                  <c:v>0</c:v>
                </c:pt>
              </c:numCache>
            </c:numRef>
          </c:val>
          <c:smooth val="0"/>
          <c:extLst>
            <c:ext xmlns:c16="http://schemas.microsoft.com/office/drawing/2014/chart" uri="{C3380CC4-5D6E-409C-BE32-E72D297353CC}">
              <c16:uniqueId val="{00000003-9301-487E-83AC-D79EFA8E2B6F}"/>
            </c:ext>
          </c:extLst>
        </c:ser>
        <c:ser>
          <c:idx val="4"/>
          <c:order val="4"/>
          <c:tx>
            <c:v>DIO</c:v>
          </c:tx>
          <c:spPr>
            <a:ln w="22860">
              <a:solidFill>
                <a:srgbClr val="204F3D"/>
              </a:solidFill>
              <a:prstDash val="solid"/>
            </a:ln>
          </c:spPr>
          <c:marker>
            <c:symbol val="none"/>
          </c:marker>
          <c:cat>
            <c:strRef>
              <c:f>DGKC!$D$17:$H$17</c:f>
              <c:strCache>
                <c:ptCount val="5"/>
                <c:pt idx="0">
                  <c:v>FY2021</c:v>
                </c:pt>
                <c:pt idx="1">
                  <c:v>FY2022</c:v>
                </c:pt>
                <c:pt idx="2">
                  <c:v>FY2023</c:v>
                </c:pt>
                <c:pt idx="3">
                  <c:v>FY2024</c:v>
                </c:pt>
                <c:pt idx="4">
                  <c:v>FY2025</c:v>
                </c:pt>
              </c:strCache>
            </c:strRef>
          </c:cat>
          <c:val>
            <c:numRef>
              <c:f>DGKC!$D$147:$H$147</c:f>
              <c:numCache>
                <c:formatCode>0;[Red]\(0\);"-"</c:formatCode>
                <c:ptCount val="5"/>
                <c:pt idx="0">
                  <c:v>138.95483675010863</c:v>
                </c:pt>
                <c:pt idx="1">
                  <c:v>147.19158951872677</c:v>
                </c:pt>
                <c:pt idx="2">
                  <c:v>149.87908057411946</c:v>
                </c:pt>
                <c:pt idx="3">
                  <c:v>141.29755545575051</c:v>
                </c:pt>
                <c:pt idx="4">
                  <c:v>139.29464124392746</c:v>
                </c:pt>
              </c:numCache>
            </c:numRef>
          </c:val>
          <c:smooth val="0"/>
          <c:extLst>
            <c:ext xmlns:c16="http://schemas.microsoft.com/office/drawing/2014/chart" uri="{C3380CC4-5D6E-409C-BE32-E72D297353CC}">
              <c16:uniqueId val="{00000004-9301-487E-83AC-D79EFA8E2B6F}"/>
            </c:ext>
          </c:extLst>
        </c:ser>
        <c:ser>
          <c:idx val="5"/>
          <c:order val="5"/>
          <c:tx>
            <c:v>DSO</c:v>
          </c:tx>
          <c:spPr>
            <a:ln w="13335">
              <a:solidFill>
                <a:srgbClr val="8CB369"/>
              </a:solidFill>
              <a:prstDash val="solid"/>
            </a:ln>
          </c:spPr>
          <c:marker>
            <c:symbol val="none"/>
          </c:marker>
          <c:cat>
            <c:strRef>
              <c:f>DGKC!$D$17:$H$17</c:f>
              <c:strCache>
                <c:ptCount val="5"/>
                <c:pt idx="0">
                  <c:v>FY2021</c:v>
                </c:pt>
                <c:pt idx="1">
                  <c:v>FY2022</c:v>
                </c:pt>
                <c:pt idx="2">
                  <c:v>FY2023</c:v>
                </c:pt>
                <c:pt idx="3">
                  <c:v>FY2024</c:v>
                </c:pt>
                <c:pt idx="4">
                  <c:v>FY2025</c:v>
                </c:pt>
              </c:strCache>
            </c:strRef>
          </c:cat>
          <c:val>
            <c:numRef>
              <c:f>DGKC!$D$148:$H$148</c:f>
              <c:numCache>
                <c:formatCode>0;[Red]\(0\);"-"</c:formatCode>
                <c:ptCount val="5"/>
                <c:pt idx="0">
                  <c:v>16.031081230273596</c:v>
                </c:pt>
                <c:pt idx="1">
                  <c:v>9.8856192169704489</c:v>
                </c:pt>
                <c:pt idx="2">
                  <c:v>7.4739774843341396</c:v>
                </c:pt>
                <c:pt idx="3">
                  <c:v>5.6629790909386459</c:v>
                </c:pt>
                <c:pt idx="4">
                  <c:v>5.9624857341490083</c:v>
                </c:pt>
              </c:numCache>
            </c:numRef>
          </c:val>
          <c:smooth val="0"/>
          <c:extLst>
            <c:ext xmlns:c16="http://schemas.microsoft.com/office/drawing/2014/chart" uri="{C3380CC4-5D6E-409C-BE32-E72D297353CC}">
              <c16:uniqueId val="{00000005-9301-487E-83AC-D79EFA8E2B6F}"/>
            </c:ext>
          </c:extLst>
        </c:ser>
        <c:ser>
          <c:idx val="6"/>
          <c:order val="6"/>
          <c:tx>
            <c:v>DPO</c:v>
          </c:tx>
          <c:spPr>
            <a:ln w="13335">
              <a:solidFill>
                <a:srgbClr val="C79A57"/>
              </a:solidFill>
              <a:prstDash val="solid"/>
            </a:ln>
          </c:spPr>
          <c:marker>
            <c:symbol val="none"/>
          </c:marker>
          <c:cat>
            <c:strRef>
              <c:f>DGKC!$D$17:$H$17</c:f>
              <c:strCache>
                <c:ptCount val="5"/>
                <c:pt idx="0">
                  <c:v>FY2021</c:v>
                </c:pt>
                <c:pt idx="1">
                  <c:v>FY2022</c:v>
                </c:pt>
                <c:pt idx="2">
                  <c:v>FY2023</c:v>
                </c:pt>
                <c:pt idx="3">
                  <c:v>FY2024</c:v>
                </c:pt>
                <c:pt idx="4">
                  <c:v>FY2025</c:v>
                </c:pt>
              </c:strCache>
            </c:strRef>
          </c:cat>
          <c:val>
            <c:numRef>
              <c:f>DGKC!$D$149:$H$149</c:f>
              <c:numCache>
                <c:formatCode>0;[Red]\(0\);"-"</c:formatCode>
                <c:ptCount val="5"/>
                <c:pt idx="0">
                  <c:v>57.658360027776368</c:v>
                </c:pt>
                <c:pt idx="1">
                  <c:v>43.106668082030595</c:v>
                </c:pt>
                <c:pt idx="2">
                  <c:v>34.246728091407007</c:v>
                </c:pt>
                <c:pt idx="3">
                  <c:v>38.06068085872657</c:v>
                </c:pt>
                <c:pt idx="4">
                  <c:v>30.584254931231971</c:v>
                </c:pt>
              </c:numCache>
            </c:numRef>
          </c:val>
          <c:smooth val="0"/>
          <c:extLst>
            <c:ext xmlns:c16="http://schemas.microsoft.com/office/drawing/2014/chart" uri="{C3380CC4-5D6E-409C-BE32-E72D297353CC}">
              <c16:uniqueId val="{00000006-9301-487E-83AC-D79EFA8E2B6F}"/>
            </c:ext>
          </c:extLst>
        </c:ser>
        <c:ser>
          <c:idx val="7"/>
          <c:order val="7"/>
          <c:tx>
            <c:v>Cash conversion cycle</c:v>
          </c:tx>
          <c:spPr>
            <a:ln w="13335">
              <a:solidFill>
                <a:srgbClr val="648B98"/>
              </a:solidFill>
              <a:prstDash val="solid"/>
            </a:ln>
          </c:spPr>
          <c:marker>
            <c:symbol val="none"/>
          </c:marker>
          <c:cat>
            <c:strRef>
              <c:f>DGKC!$D$17:$H$17</c:f>
              <c:strCache>
                <c:ptCount val="5"/>
                <c:pt idx="0">
                  <c:v>FY2021</c:v>
                </c:pt>
                <c:pt idx="1">
                  <c:v>FY2022</c:v>
                </c:pt>
                <c:pt idx="2">
                  <c:v>FY2023</c:v>
                </c:pt>
                <c:pt idx="3">
                  <c:v>FY2024</c:v>
                </c:pt>
                <c:pt idx="4">
                  <c:v>FY2025</c:v>
                </c:pt>
              </c:strCache>
            </c:strRef>
          </c:cat>
          <c:val>
            <c:numRef>
              <c:f>DGKC!$D$151:$H$151</c:f>
              <c:numCache>
                <c:formatCode>0;[Red]\(0\);"-"</c:formatCode>
                <c:ptCount val="5"/>
                <c:pt idx="0">
                  <c:v>97.327557952605858</c:v>
                </c:pt>
                <c:pt idx="1">
                  <c:v>113.97054065366662</c:v>
                </c:pt>
                <c:pt idx="2">
                  <c:v>123.10632996704659</c:v>
                </c:pt>
                <c:pt idx="3">
                  <c:v>108.89985368796259</c:v>
                </c:pt>
                <c:pt idx="4">
                  <c:v>114.67287204684449</c:v>
                </c:pt>
              </c:numCache>
            </c:numRef>
          </c:val>
          <c:smooth val="0"/>
          <c:extLst>
            <c:ext xmlns:c16="http://schemas.microsoft.com/office/drawing/2014/chart" uri="{C3380CC4-5D6E-409C-BE32-E72D297353CC}">
              <c16:uniqueId val="{00000007-9301-487E-83AC-D79EFA8E2B6F}"/>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MLCF: revenue, gross profit and PAT (PKR m)</a:t>
            </a:r>
          </a:p>
        </c:rich>
      </c:tx>
      <c:overlay val="0"/>
    </c:title>
    <c:autoTitleDeleted val="0"/>
    <c:plotArea>
      <c:layout/>
      <c:lineChart>
        <c:grouping val="standard"/>
        <c:varyColors val="0"/>
        <c:ser>
          <c:idx val="0"/>
          <c:order val="0"/>
          <c:tx>
            <c:v>Series 1</c:v>
          </c:tx>
          <c:marker>
            <c:symbol val="none"/>
          </c:marker>
          <c:cat>
            <c:strRef>
              <c:f>MLCF!$D$17</c:f>
              <c:strCache>
                <c:ptCount val="1"/>
                <c:pt idx="0">
                  <c:v>FY2021</c:v>
                </c:pt>
              </c:strCache>
            </c:strRef>
          </c:cat>
          <c:val>
            <c:numRef>
              <c:f>MLCF!$E$17</c:f>
              <c:numCache>
                <c:formatCode>General</c:formatCode>
                <c:ptCount val="1"/>
                <c:pt idx="0">
                  <c:v>0</c:v>
                </c:pt>
              </c:numCache>
            </c:numRef>
          </c:val>
          <c:smooth val="0"/>
          <c:extLst>
            <c:ext xmlns:c16="http://schemas.microsoft.com/office/drawing/2014/chart" uri="{C3380CC4-5D6E-409C-BE32-E72D297353CC}">
              <c16:uniqueId val="{00000000-19B3-4A44-83C9-A8FFE23535E0}"/>
            </c:ext>
          </c:extLst>
        </c:ser>
        <c:ser>
          <c:idx val="1"/>
          <c:order val="1"/>
          <c:tx>
            <c:v>Series 2</c:v>
          </c:tx>
          <c:marker>
            <c:symbol val="none"/>
          </c:marker>
          <c:cat>
            <c:strRef>
              <c:f>MLCF!$D$17</c:f>
              <c:strCache>
                <c:ptCount val="1"/>
                <c:pt idx="0">
                  <c:v>FY2021</c:v>
                </c:pt>
              </c:strCache>
            </c:strRef>
          </c:cat>
          <c:val>
            <c:numRef>
              <c:f>MLCF!$F$17</c:f>
              <c:numCache>
                <c:formatCode>General</c:formatCode>
                <c:ptCount val="1"/>
                <c:pt idx="0">
                  <c:v>0</c:v>
                </c:pt>
              </c:numCache>
            </c:numRef>
          </c:val>
          <c:smooth val="0"/>
          <c:extLst>
            <c:ext xmlns:c16="http://schemas.microsoft.com/office/drawing/2014/chart" uri="{C3380CC4-5D6E-409C-BE32-E72D297353CC}">
              <c16:uniqueId val="{00000001-19B3-4A44-83C9-A8FFE23535E0}"/>
            </c:ext>
          </c:extLst>
        </c:ser>
        <c:ser>
          <c:idx val="2"/>
          <c:order val="2"/>
          <c:tx>
            <c:v>Series 3</c:v>
          </c:tx>
          <c:marker>
            <c:symbol val="none"/>
          </c:marker>
          <c:cat>
            <c:strRef>
              <c:f>MLCF!$D$17</c:f>
              <c:strCache>
                <c:ptCount val="1"/>
                <c:pt idx="0">
                  <c:v>FY2021</c:v>
                </c:pt>
              </c:strCache>
            </c:strRef>
          </c:cat>
          <c:val>
            <c:numRef>
              <c:f>MLCF!$G$17</c:f>
              <c:numCache>
                <c:formatCode>General</c:formatCode>
                <c:ptCount val="1"/>
                <c:pt idx="0">
                  <c:v>0</c:v>
                </c:pt>
              </c:numCache>
            </c:numRef>
          </c:val>
          <c:smooth val="0"/>
          <c:extLst>
            <c:ext xmlns:c16="http://schemas.microsoft.com/office/drawing/2014/chart" uri="{C3380CC4-5D6E-409C-BE32-E72D297353CC}">
              <c16:uniqueId val="{00000002-19B3-4A44-83C9-A8FFE23535E0}"/>
            </c:ext>
          </c:extLst>
        </c:ser>
        <c:ser>
          <c:idx val="3"/>
          <c:order val="3"/>
          <c:tx>
            <c:v>Series 4</c:v>
          </c:tx>
          <c:marker>
            <c:symbol val="none"/>
          </c:marker>
          <c:cat>
            <c:strRef>
              <c:f>MLCF!$D$17</c:f>
              <c:strCache>
                <c:ptCount val="1"/>
                <c:pt idx="0">
                  <c:v>FY2021</c:v>
                </c:pt>
              </c:strCache>
            </c:strRef>
          </c:cat>
          <c:val>
            <c:numRef>
              <c:f>MLCF!$H$17</c:f>
              <c:numCache>
                <c:formatCode>General</c:formatCode>
                <c:ptCount val="1"/>
                <c:pt idx="0">
                  <c:v>0</c:v>
                </c:pt>
              </c:numCache>
            </c:numRef>
          </c:val>
          <c:smooth val="0"/>
          <c:extLst>
            <c:ext xmlns:c16="http://schemas.microsoft.com/office/drawing/2014/chart" uri="{C3380CC4-5D6E-409C-BE32-E72D297353CC}">
              <c16:uniqueId val="{00000003-19B3-4A44-83C9-A8FFE23535E0}"/>
            </c:ext>
          </c:extLst>
        </c:ser>
        <c:ser>
          <c:idx val="4"/>
          <c:order val="4"/>
          <c:tx>
            <c:v>Revenue</c:v>
          </c:tx>
          <c:spPr>
            <a:ln w="22860">
              <a:solidFill>
                <a:srgbClr val="204F3D"/>
              </a:solidFill>
              <a:prstDash val="solid"/>
            </a:ln>
          </c:spPr>
          <c:marker>
            <c:symbol val="none"/>
          </c:marker>
          <c:cat>
            <c:strRef>
              <c:f>MLCF!$D$17:$H$17</c:f>
              <c:strCache>
                <c:ptCount val="5"/>
                <c:pt idx="0">
                  <c:v>FY2021</c:v>
                </c:pt>
                <c:pt idx="1">
                  <c:v>FY2022</c:v>
                </c:pt>
                <c:pt idx="2">
                  <c:v>FY2023</c:v>
                </c:pt>
                <c:pt idx="3">
                  <c:v>FY2024</c:v>
                </c:pt>
                <c:pt idx="4">
                  <c:v>FY2025</c:v>
                </c:pt>
              </c:strCache>
            </c:strRef>
          </c:cat>
          <c:val>
            <c:numRef>
              <c:f>MLCF!$D$84:$H$84</c:f>
              <c:numCache>
                <c:formatCode>#,##0.0;\(#,##0.0\);\-</c:formatCode>
                <c:ptCount val="5"/>
                <c:pt idx="0">
                  <c:v>35538.300999999999</c:v>
                </c:pt>
                <c:pt idx="1">
                  <c:v>48519.622000000003</c:v>
                </c:pt>
                <c:pt idx="2">
                  <c:v>62075.258999999998</c:v>
                </c:pt>
                <c:pt idx="3">
                  <c:v>66452.347999999998</c:v>
                </c:pt>
                <c:pt idx="4">
                  <c:v>68942.445999999996</c:v>
                </c:pt>
              </c:numCache>
            </c:numRef>
          </c:val>
          <c:smooth val="0"/>
          <c:extLst>
            <c:ext xmlns:c16="http://schemas.microsoft.com/office/drawing/2014/chart" uri="{C3380CC4-5D6E-409C-BE32-E72D297353CC}">
              <c16:uniqueId val="{00000004-19B3-4A44-83C9-A8FFE23535E0}"/>
            </c:ext>
          </c:extLst>
        </c:ser>
        <c:ser>
          <c:idx val="5"/>
          <c:order val="5"/>
          <c:tx>
            <c:v>Gross profit</c:v>
          </c:tx>
          <c:spPr>
            <a:ln w="13335">
              <a:solidFill>
                <a:srgbClr val="8CB369"/>
              </a:solidFill>
              <a:prstDash val="solid"/>
            </a:ln>
          </c:spPr>
          <c:marker>
            <c:symbol val="none"/>
          </c:marker>
          <c:cat>
            <c:strRef>
              <c:f>MLCF!$D$17:$H$17</c:f>
              <c:strCache>
                <c:ptCount val="5"/>
                <c:pt idx="0">
                  <c:v>FY2021</c:v>
                </c:pt>
                <c:pt idx="1">
                  <c:v>FY2022</c:v>
                </c:pt>
                <c:pt idx="2">
                  <c:v>FY2023</c:v>
                </c:pt>
                <c:pt idx="3">
                  <c:v>FY2024</c:v>
                </c:pt>
                <c:pt idx="4">
                  <c:v>FY2025</c:v>
                </c:pt>
              </c:strCache>
            </c:strRef>
          </c:cat>
          <c:val>
            <c:numRef>
              <c:f>MLCF!$D$86:$H$86</c:f>
              <c:numCache>
                <c:formatCode>#,##0.0;\(#,##0.0\);\-</c:formatCode>
                <c:ptCount val="5"/>
                <c:pt idx="0">
                  <c:v>7402.8819999999978</c:v>
                </c:pt>
                <c:pt idx="1">
                  <c:v>12275.466</c:v>
                </c:pt>
                <c:pt idx="2">
                  <c:v>18173.352999999996</c:v>
                </c:pt>
                <c:pt idx="3">
                  <c:v>20964.284</c:v>
                </c:pt>
                <c:pt idx="4">
                  <c:v>23746.815999999999</c:v>
                </c:pt>
              </c:numCache>
            </c:numRef>
          </c:val>
          <c:smooth val="0"/>
          <c:extLst>
            <c:ext xmlns:c16="http://schemas.microsoft.com/office/drawing/2014/chart" uri="{C3380CC4-5D6E-409C-BE32-E72D297353CC}">
              <c16:uniqueId val="{00000005-19B3-4A44-83C9-A8FFE23535E0}"/>
            </c:ext>
          </c:extLst>
        </c:ser>
        <c:ser>
          <c:idx val="6"/>
          <c:order val="6"/>
          <c:tx>
            <c:v>Profit after tax</c:v>
          </c:tx>
          <c:spPr>
            <a:ln w="13335">
              <a:solidFill>
                <a:srgbClr val="C79A57"/>
              </a:solidFill>
              <a:prstDash val="solid"/>
            </a:ln>
          </c:spPr>
          <c:marker>
            <c:symbol val="none"/>
          </c:marker>
          <c:cat>
            <c:strRef>
              <c:f>MLCF!$D$17:$H$17</c:f>
              <c:strCache>
                <c:ptCount val="5"/>
                <c:pt idx="0">
                  <c:v>FY2021</c:v>
                </c:pt>
                <c:pt idx="1">
                  <c:v>FY2022</c:v>
                </c:pt>
                <c:pt idx="2">
                  <c:v>FY2023</c:v>
                </c:pt>
                <c:pt idx="3">
                  <c:v>FY2024</c:v>
                </c:pt>
                <c:pt idx="4">
                  <c:v>FY2025</c:v>
                </c:pt>
              </c:strCache>
            </c:strRef>
          </c:cat>
          <c:val>
            <c:numRef>
              <c:f>MLCF!$D$99:$H$99</c:f>
              <c:numCache>
                <c:formatCode>#,##0.0;\(#,##0.0\);\-</c:formatCode>
                <c:ptCount val="5"/>
                <c:pt idx="0">
                  <c:v>6254.1089999999967</c:v>
                </c:pt>
                <c:pt idx="1">
                  <c:v>3626.3400000000006</c:v>
                </c:pt>
                <c:pt idx="2">
                  <c:v>4491.668999999999</c:v>
                </c:pt>
                <c:pt idx="3">
                  <c:v>5272.5269999999982</c:v>
                </c:pt>
                <c:pt idx="4">
                  <c:v>17036.373999999996</c:v>
                </c:pt>
              </c:numCache>
            </c:numRef>
          </c:val>
          <c:smooth val="0"/>
          <c:extLst>
            <c:ext xmlns:c16="http://schemas.microsoft.com/office/drawing/2014/chart" uri="{C3380CC4-5D6E-409C-BE32-E72D297353CC}">
              <c16:uniqueId val="{00000006-19B3-4A44-83C9-A8FFE23535E0}"/>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MLCF: margins</a:t>
            </a:r>
          </a:p>
        </c:rich>
      </c:tx>
      <c:overlay val="0"/>
    </c:title>
    <c:autoTitleDeleted val="0"/>
    <c:plotArea>
      <c:layout/>
      <c:lineChart>
        <c:grouping val="standard"/>
        <c:varyColors val="0"/>
        <c:ser>
          <c:idx val="0"/>
          <c:order val="0"/>
          <c:tx>
            <c:v>Series 1</c:v>
          </c:tx>
          <c:marker>
            <c:symbol val="none"/>
          </c:marker>
          <c:cat>
            <c:strRef>
              <c:f>MLCF!$D$17</c:f>
              <c:strCache>
                <c:ptCount val="1"/>
                <c:pt idx="0">
                  <c:v>FY2021</c:v>
                </c:pt>
              </c:strCache>
            </c:strRef>
          </c:cat>
          <c:val>
            <c:numRef>
              <c:f>MLCF!$E$17</c:f>
              <c:numCache>
                <c:formatCode>General</c:formatCode>
                <c:ptCount val="1"/>
                <c:pt idx="0">
                  <c:v>0</c:v>
                </c:pt>
              </c:numCache>
            </c:numRef>
          </c:val>
          <c:smooth val="0"/>
          <c:extLst>
            <c:ext xmlns:c16="http://schemas.microsoft.com/office/drawing/2014/chart" uri="{C3380CC4-5D6E-409C-BE32-E72D297353CC}">
              <c16:uniqueId val="{00000000-DC29-414F-9E5C-FD76126661C6}"/>
            </c:ext>
          </c:extLst>
        </c:ser>
        <c:ser>
          <c:idx val="1"/>
          <c:order val="1"/>
          <c:tx>
            <c:v>Series 2</c:v>
          </c:tx>
          <c:marker>
            <c:symbol val="none"/>
          </c:marker>
          <c:cat>
            <c:strRef>
              <c:f>MLCF!$D$17</c:f>
              <c:strCache>
                <c:ptCount val="1"/>
                <c:pt idx="0">
                  <c:v>FY2021</c:v>
                </c:pt>
              </c:strCache>
            </c:strRef>
          </c:cat>
          <c:val>
            <c:numRef>
              <c:f>MLCF!$F$17</c:f>
              <c:numCache>
                <c:formatCode>General</c:formatCode>
                <c:ptCount val="1"/>
                <c:pt idx="0">
                  <c:v>0</c:v>
                </c:pt>
              </c:numCache>
            </c:numRef>
          </c:val>
          <c:smooth val="0"/>
          <c:extLst>
            <c:ext xmlns:c16="http://schemas.microsoft.com/office/drawing/2014/chart" uri="{C3380CC4-5D6E-409C-BE32-E72D297353CC}">
              <c16:uniqueId val="{00000001-DC29-414F-9E5C-FD76126661C6}"/>
            </c:ext>
          </c:extLst>
        </c:ser>
        <c:ser>
          <c:idx val="2"/>
          <c:order val="2"/>
          <c:tx>
            <c:v>Series 3</c:v>
          </c:tx>
          <c:marker>
            <c:symbol val="none"/>
          </c:marker>
          <c:cat>
            <c:strRef>
              <c:f>MLCF!$D$17</c:f>
              <c:strCache>
                <c:ptCount val="1"/>
                <c:pt idx="0">
                  <c:v>FY2021</c:v>
                </c:pt>
              </c:strCache>
            </c:strRef>
          </c:cat>
          <c:val>
            <c:numRef>
              <c:f>MLCF!$G$17</c:f>
              <c:numCache>
                <c:formatCode>General</c:formatCode>
                <c:ptCount val="1"/>
                <c:pt idx="0">
                  <c:v>0</c:v>
                </c:pt>
              </c:numCache>
            </c:numRef>
          </c:val>
          <c:smooth val="0"/>
          <c:extLst>
            <c:ext xmlns:c16="http://schemas.microsoft.com/office/drawing/2014/chart" uri="{C3380CC4-5D6E-409C-BE32-E72D297353CC}">
              <c16:uniqueId val="{00000002-DC29-414F-9E5C-FD76126661C6}"/>
            </c:ext>
          </c:extLst>
        </c:ser>
        <c:ser>
          <c:idx val="3"/>
          <c:order val="3"/>
          <c:tx>
            <c:v>Series 4</c:v>
          </c:tx>
          <c:marker>
            <c:symbol val="none"/>
          </c:marker>
          <c:cat>
            <c:strRef>
              <c:f>MLCF!$D$17</c:f>
              <c:strCache>
                <c:ptCount val="1"/>
                <c:pt idx="0">
                  <c:v>FY2021</c:v>
                </c:pt>
              </c:strCache>
            </c:strRef>
          </c:cat>
          <c:val>
            <c:numRef>
              <c:f>MLCF!$H$17</c:f>
              <c:numCache>
                <c:formatCode>General</c:formatCode>
                <c:ptCount val="1"/>
                <c:pt idx="0">
                  <c:v>0</c:v>
                </c:pt>
              </c:numCache>
            </c:numRef>
          </c:val>
          <c:smooth val="0"/>
          <c:extLst>
            <c:ext xmlns:c16="http://schemas.microsoft.com/office/drawing/2014/chart" uri="{C3380CC4-5D6E-409C-BE32-E72D297353CC}">
              <c16:uniqueId val="{00000003-DC29-414F-9E5C-FD76126661C6}"/>
            </c:ext>
          </c:extLst>
        </c:ser>
        <c:ser>
          <c:idx val="4"/>
          <c:order val="4"/>
          <c:tx>
            <c:v>Gross margin</c:v>
          </c:tx>
          <c:spPr>
            <a:ln w="22860">
              <a:solidFill>
                <a:srgbClr val="204F3D"/>
              </a:solidFill>
              <a:prstDash val="solid"/>
            </a:ln>
          </c:spPr>
          <c:marker>
            <c:symbol val="none"/>
          </c:marker>
          <c:cat>
            <c:strRef>
              <c:f>MLCF!$D$17:$H$17</c:f>
              <c:strCache>
                <c:ptCount val="5"/>
                <c:pt idx="0">
                  <c:v>FY2021</c:v>
                </c:pt>
                <c:pt idx="1">
                  <c:v>FY2022</c:v>
                </c:pt>
                <c:pt idx="2">
                  <c:v>FY2023</c:v>
                </c:pt>
                <c:pt idx="3">
                  <c:v>FY2024</c:v>
                </c:pt>
                <c:pt idx="4">
                  <c:v>FY2025</c:v>
                </c:pt>
              </c:strCache>
            </c:strRef>
          </c:cat>
          <c:val>
            <c:numRef>
              <c:f>MLCF!$D$161:$H$161</c:f>
              <c:numCache>
                <c:formatCode>0.00%;\(0.00%\);"-"</c:formatCode>
                <c:ptCount val="5"/>
                <c:pt idx="0">
                  <c:v>0.20830714445240356</c:v>
                </c:pt>
                <c:pt idx="1">
                  <c:v>0.25300003367709667</c:v>
                </c:pt>
                <c:pt idx="2">
                  <c:v>0.29276322471727417</c:v>
                </c:pt>
                <c:pt idx="3">
                  <c:v>0.31547845382378364</c:v>
                </c:pt>
                <c:pt idx="4">
                  <c:v>0.34444405990469212</c:v>
                </c:pt>
              </c:numCache>
            </c:numRef>
          </c:val>
          <c:smooth val="0"/>
          <c:extLst>
            <c:ext xmlns:c16="http://schemas.microsoft.com/office/drawing/2014/chart" uri="{C3380CC4-5D6E-409C-BE32-E72D297353CC}">
              <c16:uniqueId val="{00000004-DC29-414F-9E5C-FD76126661C6}"/>
            </c:ext>
          </c:extLst>
        </c:ser>
        <c:ser>
          <c:idx val="5"/>
          <c:order val="5"/>
          <c:tx>
            <c:v>Operating margin</c:v>
          </c:tx>
          <c:spPr>
            <a:ln w="13335">
              <a:solidFill>
                <a:srgbClr val="8CB369"/>
              </a:solidFill>
              <a:prstDash val="solid"/>
            </a:ln>
          </c:spPr>
          <c:marker>
            <c:symbol val="none"/>
          </c:marker>
          <c:cat>
            <c:strRef>
              <c:f>MLCF!$D$17:$H$17</c:f>
              <c:strCache>
                <c:ptCount val="5"/>
                <c:pt idx="0">
                  <c:v>FY2021</c:v>
                </c:pt>
                <c:pt idx="1">
                  <c:v>FY2022</c:v>
                </c:pt>
                <c:pt idx="2">
                  <c:v>FY2023</c:v>
                </c:pt>
                <c:pt idx="3">
                  <c:v>FY2024</c:v>
                </c:pt>
                <c:pt idx="4">
                  <c:v>FY2025</c:v>
                </c:pt>
              </c:strCache>
            </c:strRef>
          </c:cat>
          <c:val>
            <c:numRef>
              <c:f>MLCF!$D$162:$H$162</c:f>
              <c:numCache>
                <c:formatCode>0.00%;\(0.00%\);"-"</c:formatCode>
                <c:ptCount val="5"/>
                <c:pt idx="0">
                  <c:v>0.14213957498981164</c:v>
                </c:pt>
                <c:pt idx="1">
                  <c:v>0.18277011721154793</c:v>
                </c:pt>
                <c:pt idx="2">
                  <c:v>0.19097413673296146</c:v>
                </c:pt>
                <c:pt idx="3">
                  <c:v>0.19131892826420518</c:v>
                </c:pt>
                <c:pt idx="4">
                  <c:v>0.22809306765820289</c:v>
                </c:pt>
              </c:numCache>
            </c:numRef>
          </c:val>
          <c:smooth val="0"/>
          <c:extLst>
            <c:ext xmlns:c16="http://schemas.microsoft.com/office/drawing/2014/chart" uri="{C3380CC4-5D6E-409C-BE32-E72D297353CC}">
              <c16:uniqueId val="{00000005-DC29-414F-9E5C-FD76126661C6}"/>
            </c:ext>
          </c:extLst>
        </c:ser>
        <c:ser>
          <c:idx val="6"/>
          <c:order val="6"/>
          <c:tx>
            <c:v>Net margin</c:v>
          </c:tx>
          <c:spPr>
            <a:ln w="13335">
              <a:solidFill>
                <a:srgbClr val="C79A57"/>
              </a:solidFill>
              <a:prstDash val="solid"/>
            </a:ln>
          </c:spPr>
          <c:marker>
            <c:symbol val="none"/>
          </c:marker>
          <c:cat>
            <c:strRef>
              <c:f>MLCF!$D$17:$H$17</c:f>
              <c:strCache>
                <c:ptCount val="5"/>
                <c:pt idx="0">
                  <c:v>FY2021</c:v>
                </c:pt>
                <c:pt idx="1">
                  <c:v>FY2022</c:v>
                </c:pt>
                <c:pt idx="2">
                  <c:v>FY2023</c:v>
                </c:pt>
                <c:pt idx="3">
                  <c:v>FY2024</c:v>
                </c:pt>
                <c:pt idx="4">
                  <c:v>FY2025</c:v>
                </c:pt>
              </c:strCache>
            </c:strRef>
          </c:cat>
          <c:val>
            <c:numRef>
              <c:f>MLCF!$D$163:$H$163</c:f>
              <c:numCache>
                <c:formatCode>0.00%;\(0.00%\);"-"</c:formatCode>
                <c:ptCount val="5"/>
                <c:pt idx="0">
                  <c:v>0.1759822170452098</c:v>
                </c:pt>
                <c:pt idx="1">
                  <c:v>7.4739658936337147E-2</c:v>
                </c:pt>
                <c:pt idx="2">
                  <c:v>7.2358441549152441E-2</c:v>
                </c:pt>
                <c:pt idx="3">
                  <c:v>7.9342975209845082E-2</c:v>
                </c:pt>
                <c:pt idx="4">
                  <c:v>0.24711008947956384</c:v>
                </c:pt>
              </c:numCache>
            </c:numRef>
          </c:val>
          <c:smooth val="0"/>
          <c:extLst>
            <c:ext xmlns:c16="http://schemas.microsoft.com/office/drawing/2014/chart" uri="{C3380CC4-5D6E-409C-BE32-E72D297353CC}">
              <c16:uniqueId val="{00000006-DC29-414F-9E5C-FD76126661C6}"/>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MLCF: liquidity and leverage (x)</a:t>
            </a:r>
          </a:p>
        </c:rich>
      </c:tx>
      <c:overlay val="0"/>
    </c:title>
    <c:autoTitleDeleted val="0"/>
    <c:plotArea>
      <c:layout/>
      <c:lineChart>
        <c:grouping val="standard"/>
        <c:varyColors val="0"/>
        <c:ser>
          <c:idx val="0"/>
          <c:order val="0"/>
          <c:tx>
            <c:v>Series 1</c:v>
          </c:tx>
          <c:marker>
            <c:symbol val="none"/>
          </c:marker>
          <c:cat>
            <c:strRef>
              <c:f>MLCF!$D$17</c:f>
              <c:strCache>
                <c:ptCount val="1"/>
                <c:pt idx="0">
                  <c:v>FY2021</c:v>
                </c:pt>
              </c:strCache>
            </c:strRef>
          </c:cat>
          <c:val>
            <c:numRef>
              <c:f>MLCF!$E$17</c:f>
              <c:numCache>
                <c:formatCode>General</c:formatCode>
                <c:ptCount val="1"/>
                <c:pt idx="0">
                  <c:v>0</c:v>
                </c:pt>
              </c:numCache>
            </c:numRef>
          </c:val>
          <c:smooth val="0"/>
          <c:extLst>
            <c:ext xmlns:c16="http://schemas.microsoft.com/office/drawing/2014/chart" uri="{C3380CC4-5D6E-409C-BE32-E72D297353CC}">
              <c16:uniqueId val="{00000000-9E3D-4F56-837C-D085ECDE8811}"/>
            </c:ext>
          </c:extLst>
        </c:ser>
        <c:ser>
          <c:idx val="1"/>
          <c:order val="1"/>
          <c:tx>
            <c:v>Series 2</c:v>
          </c:tx>
          <c:marker>
            <c:symbol val="none"/>
          </c:marker>
          <c:cat>
            <c:strRef>
              <c:f>MLCF!$D$17</c:f>
              <c:strCache>
                <c:ptCount val="1"/>
                <c:pt idx="0">
                  <c:v>FY2021</c:v>
                </c:pt>
              </c:strCache>
            </c:strRef>
          </c:cat>
          <c:val>
            <c:numRef>
              <c:f>MLCF!$F$17</c:f>
              <c:numCache>
                <c:formatCode>General</c:formatCode>
                <c:ptCount val="1"/>
                <c:pt idx="0">
                  <c:v>0</c:v>
                </c:pt>
              </c:numCache>
            </c:numRef>
          </c:val>
          <c:smooth val="0"/>
          <c:extLst>
            <c:ext xmlns:c16="http://schemas.microsoft.com/office/drawing/2014/chart" uri="{C3380CC4-5D6E-409C-BE32-E72D297353CC}">
              <c16:uniqueId val="{00000001-9E3D-4F56-837C-D085ECDE8811}"/>
            </c:ext>
          </c:extLst>
        </c:ser>
        <c:ser>
          <c:idx val="2"/>
          <c:order val="2"/>
          <c:tx>
            <c:v>Series 3</c:v>
          </c:tx>
          <c:marker>
            <c:symbol val="none"/>
          </c:marker>
          <c:cat>
            <c:strRef>
              <c:f>MLCF!$D$17</c:f>
              <c:strCache>
                <c:ptCount val="1"/>
                <c:pt idx="0">
                  <c:v>FY2021</c:v>
                </c:pt>
              </c:strCache>
            </c:strRef>
          </c:cat>
          <c:val>
            <c:numRef>
              <c:f>MLCF!$G$17</c:f>
              <c:numCache>
                <c:formatCode>General</c:formatCode>
                <c:ptCount val="1"/>
                <c:pt idx="0">
                  <c:v>0</c:v>
                </c:pt>
              </c:numCache>
            </c:numRef>
          </c:val>
          <c:smooth val="0"/>
          <c:extLst>
            <c:ext xmlns:c16="http://schemas.microsoft.com/office/drawing/2014/chart" uri="{C3380CC4-5D6E-409C-BE32-E72D297353CC}">
              <c16:uniqueId val="{00000002-9E3D-4F56-837C-D085ECDE8811}"/>
            </c:ext>
          </c:extLst>
        </c:ser>
        <c:ser>
          <c:idx val="3"/>
          <c:order val="3"/>
          <c:tx>
            <c:v>Series 4</c:v>
          </c:tx>
          <c:marker>
            <c:symbol val="none"/>
          </c:marker>
          <c:cat>
            <c:strRef>
              <c:f>MLCF!$D$17</c:f>
              <c:strCache>
                <c:ptCount val="1"/>
                <c:pt idx="0">
                  <c:v>FY2021</c:v>
                </c:pt>
              </c:strCache>
            </c:strRef>
          </c:cat>
          <c:val>
            <c:numRef>
              <c:f>MLCF!$H$17</c:f>
              <c:numCache>
                <c:formatCode>General</c:formatCode>
                <c:ptCount val="1"/>
                <c:pt idx="0">
                  <c:v>0</c:v>
                </c:pt>
              </c:numCache>
            </c:numRef>
          </c:val>
          <c:smooth val="0"/>
          <c:extLst>
            <c:ext xmlns:c16="http://schemas.microsoft.com/office/drawing/2014/chart" uri="{C3380CC4-5D6E-409C-BE32-E72D297353CC}">
              <c16:uniqueId val="{00000003-9E3D-4F56-837C-D085ECDE8811}"/>
            </c:ext>
          </c:extLst>
        </c:ser>
        <c:ser>
          <c:idx val="4"/>
          <c:order val="4"/>
          <c:tx>
            <c:v>Current ratio</c:v>
          </c:tx>
          <c:spPr>
            <a:ln w="22860">
              <a:solidFill>
                <a:srgbClr val="204F3D"/>
              </a:solidFill>
              <a:prstDash val="solid"/>
            </a:ln>
          </c:spPr>
          <c:marker>
            <c:symbol val="none"/>
          </c:marker>
          <c:cat>
            <c:strRef>
              <c:f>MLCF!$D$17:$H$17</c:f>
              <c:strCache>
                <c:ptCount val="5"/>
                <c:pt idx="0">
                  <c:v>FY2021</c:v>
                </c:pt>
                <c:pt idx="1">
                  <c:v>FY2022</c:v>
                </c:pt>
                <c:pt idx="2">
                  <c:v>FY2023</c:v>
                </c:pt>
                <c:pt idx="3">
                  <c:v>FY2024</c:v>
                </c:pt>
                <c:pt idx="4">
                  <c:v>FY2025</c:v>
                </c:pt>
              </c:strCache>
            </c:strRef>
          </c:cat>
          <c:val>
            <c:numRef>
              <c:f>MLCF!$D$138:$H$138</c:f>
              <c:numCache>
                <c:formatCode>0.00"x";\(0.00\)"x";"-"</c:formatCode>
                <c:ptCount val="5"/>
                <c:pt idx="0">
                  <c:v>1.4780988568182505</c:v>
                </c:pt>
                <c:pt idx="1">
                  <c:v>1.2549557408945418</c:v>
                </c:pt>
                <c:pt idx="2">
                  <c:v>1.3715472215546312</c:v>
                </c:pt>
                <c:pt idx="3">
                  <c:v>1.4446782415124371</c:v>
                </c:pt>
                <c:pt idx="4">
                  <c:v>1.5324411303645513</c:v>
                </c:pt>
              </c:numCache>
            </c:numRef>
          </c:val>
          <c:smooth val="0"/>
          <c:extLst>
            <c:ext xmlns:c16="http://schemas.microsoft.com/office/drawing/2014/chart" uri="{C3380CC4-5D6E-409C-BE32-E72D297353CC}">
              <c16:uniqueId val="{00000004-9E3D-4F56-837C-D085ECDE8811}"/>
            </c:ext>
          </c:extLst>
        </c:ser>
        <c:ser>
          <c:idx val="5"/>
          <c:order val="5"/>
          <c:tx>
            <c:v>Quick ratio</c:v>
          </c:tx>
          <c:spPr>
            <a:ln w="13335">
              <a:solidFill>
                <a:srgbClr val="8CB369"/>
              </a:solidFill>
              <a:prstDash val="solid"/>
            </a:ln>
          </c:spPr>
          <c:marker>
            <c:symbol val="none"/>
          </c:marker>
          <c:cat>
            <c:strRef>
              <c:f>MLCF!$D$17:$H$17</c:f>
              <c:strCache>
                <c:ptCount val="5"/>
                <c:pt idx="0">
                  <c:v>FY2021</c:v>
                </c:pt>
                <c:pt idx="1">
                  <c:v>FY2022</c:v>
                </c:pt>
                <c:pt idx="2">
                  <c:v>FY2023</c:v>
                </c:pt>
                <c:pt idx="3">
                  <c:v>FY2024</c:v>
                </c:pt>
                <c:pt idx="4">
                  <c:v>FY2025</c:v>
                </c:pt>
              </c:strCache>
            </c:strRef>
          </c:cat>
          <c:val>
            <c:numRef>
              <c:f>MLCF!$D$139:$H$139</c:f>
              <c:numCache>
                <c:formatCode>0.00"x";\(0.00\)"x";"-"</c:formatCode>
                <c:ptCount val="5"/>
                <c:pt idx="0">
                  <c:v>0.43971691910387301</c:v>
                </c:pt>
                <c:pt idx="1">
                  <c:v>0.29473524106223353</c:v>
                </c:pt>
                <c:pt idx="2">
                  <c:v>0.5204561252187091</c:v>
                </c:pt>
                <c:pt idx="3">
                  <c:v>0.60942670638462615</c:v>
                </c:pt>
                <c:pt idx="4">
                  <c:v>0.80788282595509864</c:v>
                </c:pt>
              </c:numCache>
            </c:numRef>
          </c:val>
          <c:smooth val="0"/>
          <c:extLst>
            <c:ext xmlns:c16="http://schemas.microsoft.com/office/drawing/2014/chart" uri="{C3380CC4-5D6E-409C-BE32-E72D297353CC}">
              <c16:uniqueId val="{00000005-9E3D-4F56-837C-D085ECDE8811}"/>
            </c:ext>
          </c:extLst>
        </c:ser>
        <c:ser>
          <c:idx val="6"/>
          <c:order val="6"/>
          <c:tx>
            <c:v>Debt-to-equity</c:v>
          </c:tx>
          <c:spPr>
            <a:ln w="13335">
              <a:solidFill>
                <a:srgbClr val="C79A57"/>
              </a:solidFill>
              <a:prstDash val="solid"/>
            </a:ln>
          </c:spPr>
          <c:marker>
            <c:symbol val="none"/>
          </c:marker>
          <c:cat>
            <c:strRef>
              <c:f>MLCF!$D$17:$H$17</c:f>
              <c:strCache>
                <c:ptCount val="5"/>
                <c:pt idx="0">
                  <c:v>FY2021</c:v>
                </c:pt>
                <c:pt idx="1">
                  <c:v>FY2022</c:v>
                </c:pt>
                <c:pt idx="2">
                  <c:v>FY2023</c:v>
                </c:pt>
                <c:pt idx="3">
                  <c:v>FY2024</c:v>
                </c:pt>
                <c:pt idx="4">
                  <c:v>FY2025</c:v>
                </c:pt>
              </c:strCache>
            </c:strRef>
          </c:cat>
          <c:val>
            <c:numRef>
              <c:f>MLCF!$D$156:$H$156</c:f>
              <c:numCache>
                <c:formatCode>0.00"x";\(0.00\)"x";"-"</c:formatCode>
                <c:ptCount val="5"/>
                <c:pt idx="0">
                  <c:v>0.76437918786583992</c:v>
                </c:pt>
                <c:pt idx="1">
                  <c:v>1.0270267904681609</c:v>
                </c:pt>
                <c:pt idx="2">
                  <c:v>0.99736119388203615</c:v>
                </c:pt>
                <c:pt idx="3">
                  <c:v>0.88851025815234452</c:v>
                </c:pt>
                <c:pt idx="4">
                  <c:v>0.66671729059716445</c:v>
                </c:pt>
              </c:numCache>
            </c:numRef>
          </c:val>
          <c:smooth val="0"/>
          <c:extLst>
            <c:ext xmlns:c16="http://schemas.microsoft.com/office/drawing/2014/chart" uri="{C3380CC4-5D6E-409C-BE32-E72D297353CC}">
              <c16:uniqueId val="{00000006-9E3D-4F56-837C-D085ECDE881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MLCF: working-capital cycle (days)</a:t>
            </a:r>
          </a:p>
        </c:rich>
      </c:tx>
      <c:overlay val="0"/>
    </c:title>
    <c:autoTitleDeleted val="0"/>
    <c:plotArea>
      <c:layout/>
      <c:lineChart>
        <c:grouping val="standard"/>
        <c:varyColors val="0"/>
        <c:ser>
          <c:idx val="0"/>
          <c:order val="0"/>
          <c:tx>
            <c:v>Series 1</c:v>
          </c:tx>
          <c:marker>
            <c:symbol val="none"/>
          </c:marker>
          <c:cat>
            <c:strRef>
              <c:f>MLCF!$D$17</c:f>
              <c:strCache>
                <c:ptCount val="1"/>
                <c:pt idx="0">
                  <c:v>FY2021</c:v>
                </c:pt>
              </c:strCache>
            </c:strRef>
          </c:cat>
          <c:val>
            <c:numRef>
              <c:f>MLCF!$E$17</c:f>
              <c:numCache>
                <c:formatCode>General</c:formatCode>
                <c:ptCount val="1"/>
                <c:pt idx="0">
                  <c:v>0</c:v>
                </c:pt>
              </c:numCache>
            </c:numRef>
          </c:val>
          <c:smooth val="0"/>
          <c:extLst>
            <c:ext xmlns:c16="http://schemas.microsoft.com/office/drawing/2014/chart" uri="{C3380CC4-5D6E-409C-BE32-E72D297353CC}">
              <c16:uniqueId val="{00000000-D4C6-4332-A8DC-0D372C37342B}"/>
            </c:ext>
          </c:extLst>
        </c:ser>
        <c:ser>
          <c:idx val="1"/>
          <c:order val="1"/>
          <c:tx>
            <c:v>Series 2</c:v>
          </c:tx>
          <c:marker>
            <c:symbol val="none"/>
          </c:marker>
          <c:cat>
            <c:strRef>
              <c:f>MLCF!$D$17</c:f>
              <c:strCache>
                <c:ptCount val="1"/>
                <c:pt idx="0">
                  <c:v>FY2021</c:v>
                </c:pt>
              </c:strCache>
            </c:strRef>
          </c:cat>
          <c:val>
            <c:numRef>
              <c:f>MLCF!$F$17</c:f>
              <c:numCache>
                <c:formatCode>General</c:formatCode>
                <c:ptCount val="1"/>
                <c:pt idx="0">
                  <c:v>0</c:v>
                </c:pt>
              </c:numCache>
            </c:numRef>
          </c:val>
          <c:smooth val="0"/>
          <c:extLst>
            <c:ext xmlns:c16="http://schemas.microsoft.com/office/drawing/2014/chart" uri="{C3380CC4-5D6E-409C-BE32-E72D297353CC}">
              <c16:uniqueId val="{00000001-D4C6-4332-A8DC-0D372C37342B}"/>
            </c:ext>
          </c:extLst>
        </c:ser>
        <c:ser>
          <c:idx val="2"/>
          <c:order val="2"/>
          <c:tx>
            <c:v>Series 3</c:v>
          </c:tx>
          <c:marker>
            <c:symbol val="none"/>
          </c:marker>
          <c:cat>
            <c:strRef>
              <c:f>MLCF!$D$17</c:f>
              <c:strCache>
                <c:ptCount val="1"/>
                <c:pt idx="0">
                  <c:v>FY2021</c:v>
                </c:pt>
              </c:strCache>
            </c:strRef>
          </c:cat>
          <c:val>
            <c:numRef>
              <c:f>MLCF!$G$17</c:f>
              <c:numCache>
                <c:formatCode>General</c:formatCode>
                <c:ptCount val="1"/>
                <c:pt idx="0">
                  <c:v>0</c:v>
                </c:pt>
              </c:numCache>
            </c:numRef>
          </c:val>
          <c:smooth val="0"/>
          <c:extLst>
            <c:ext xmlns:c16="http://schemas.microsoft.com/office/drawing/2014/chart" uri="{C3380CC4-5D6E-409C-BE32-E72D297353CC}">
              <c16:uniqueId val="{00000002-D4C6-4332-A8DC-0D372C37342B}"/>
            </c:ext>
          </c:extLst>
        </c:ser>
        <c:ser>
          <c:idx val="3"/>
          <c:order val="3"/>
          <c:tx>
            <c:v>Series 4</c:v>
          </c:tx>
          <c:marker>
            <c:symbol val="none"/>
          </c:marker>
          <c:cat>
            <c:strRef>
              <c:f>MLCF!$D$17</c:f>
              <c:strCache>
                <c:ptCount val="1"/>
                <c:pt idx="0">
                  <c:v>FY2021</c:v>
                </c:pt>
              </c:strCache>
            </c:strRef>
          </c:cat>
          <c:val>
            <c:numRef>
              <c:f>MLCF!$H$17</c:f>
              <c:numCache>
                <c:formatCode>General</c:formatCode>
                <c:ptCount val="1"/>
                <c:pt idx="0">
                  <c:v>0</c:v>
                </c:pt>
              </c:numCache>
            </c:numRef>
          </c:val>
          <c:smooth val="0"/>
          <c:extLst>
            <c:ext xmlns:c16="http://schemas.microsoft.com/office/drawing/2014/chart" uri="{C3380CC4-5D6E-409C-BE32-E72D297353CC}">
              <c16:uniqueId val="{00000003-D4C6-4332-A8DC-0D372C37342B}"/>
            </c:ext>
          </c:extLst>
        </c:ser>
        <c:ser>
          <c:idx val="4"/>
          <c:order val="4"/>
          <c:tx>
            <c:v>DIO</c:v>
          </c:tx>
          <c:spPr>
            <a:ln w="22860">
              <a:solidFill>
                <a:srgbClr val="204F3D"/>
              </a:solidFill>
              <a:prstDash val="solid"/>
            </a:ln>
          </c:spPr>
          <c:marker>
            <c:symbol val="none"/>
          </c:marker>
          <c:cat>
            <c:strRef>
              <c:f>MLCF!$D$17:$H$17</c:f>
              <c:strCache>
                <c:ptCount val="5"/>
                <c:pt idx="0">
                  <c:v>FY2021</c:v>
                </c:pt>
                <c:pt idx="1">
                  <c:v>FY2022</c:v>
                </c:pt>
                <c:pt idx="2">
                  <c:v>FY2023</c:v>
                </c:pt>
                <c:pt idx="3">
                  <c:v>FY2024</c:v>
                </c:pt>
                <c:pt idx="4">
                  <c:v>FY2025</c:v>
                </c:pt>
              </c:strCache>
            </c:strRef>
          </c:cat>
          <c:val>
            <c:numRef>
              <c:f>MLCF!$D$147:$H$147</c:f>
              <c:numCache>
                <c:formatCode>0;[Red]\(0\);"-"</c:formatCode>
                <c:ptCount val="5"/>
                <c:pt idx="0">
                  <c:v>143.11726813096334</c:v>
                </c:pt>
                <c:pt idx="1">
                  <c:v>138.1590454196257</c:v>
                </c:pt>
                <c:pt idx="2">
                  <c:v>122.0064954583065</c:v>
                </c:pt>
                <c:pt idx="3">
                  <c:v>117.69043264844159</c:v>
                </c:pt>
                <c:pt idx="4">
                  <c:v>130.98525045452405</c:v>
                </c:pt>
              </c:numCache>
            </c:numRef>
          </c:val>
          <c:smooth val="0"/>
          <c:extLst>
            <c:ext xmlns:c16="http://schemas.microsoft.com/office/drawing/2014/chart" uri="{C3380CC4-5D6E-409C-BE32-E72D297353CC}">
              <c16:uniqueId val="{00000004-D4C6-4332-A8DC-0D372C37342B}"/>
            </c:ext>
          </c:extLst>
        </c:ser>
        <c:ser>
          <c:idx val="5"/>
          <c:order val="5"/>
          <c:tx>
            <c:v>DSO</c:v>
          </c:tx>
          <c:spPr>
            <a:ln w="13335">
              <a:solidFill>
                <a:srgbClr val="8CB369"/>
              </a:solidFill>
              <a:prstDash val="solid"/>
            </a:ln>
          </c:spPr>
          <c:marker>
            <c:symbol val="none"/>
          </c:marker>
          <c:cat>
            <c:strRef>
              <c:f>MLCF!$D$17:$H$17</c:f>
              <c:strCache>
                <c:ptCount val="5"/>
                <c:pt idx="0">
                  <c:v>FY2021</c:v>
                </c:pt>
                <c:pt idx="1">
                  <c:v>FY2022</c:v>
                </c:pt>
                <c:pt idx="2">
                  <c:v>FY2023</c:v>
                </c:pt>
                <c:pt idx="3">
                  <c:v>FY2024</c:v>
                </c:pt>
                <c:pt idx="4">
                  <c:v>FY2025</c:v>
                </c:pt>
              </c:strCache>
            </c:strRef>
          </c:cat>
          <c:val>
            <c:numRef>
              <c:f>MLCF!$D$148:$H$148</c:f>
              <c:numCache>
                <c:formatCode>0;[Red]\(0\);"-"</c:formatCode>
                <c:ptCount val="5"/>
                <c:pt idx="0">
                  <c:v>24.299408826550263</c:v>
                </c:pt>
                <c:pt idx="1">
                  <c:v>14.089756717395696</c:v>
                </c:pt>
                <c:pt idx="2">
                  <c:v>13.72146433573479</c:v>
                </c:pt>
                <c:pt idx="3">
                  <c:v>18.646831335440545</c:v>
                </c:pt>
                <c:pt idx="4">
                  <c:v>23.291952500495849</c:v>
                </c:pt>
              </c:numCache>
            </c:numRef>
          </c:val>
          <c:smooth val="0"/>
          <c:extLst>
            <c:ext xmlns:c16="http://schemas.microsoft.com/office/drawing/2014/chart" uri="{C3380CC4-5D6E-409C-BE32-E72D297353CC}">
              <c16:uniqueId val="{00000005-D4C6-4332-A8DC-0D372C37342B}"/>
            </c:ext>
          </c:extLst>
        </c:ser>
        <c:ser>
          <c:idx val="6"/>
          <c:order val="6"/>
          <c:tx>
            <c:v>DPO</c:v>
          </c:tx>
          <c:spPr>
            <a:ln w="13335">
              <a:solidFill>
                <a:srgbClr val="C79A57"/>
              </a:solidFill>
              <a:prstDash val="solid"/>
            </a:ln>
          </c:spPr>
          <c:marker>
            <c:symbol val="none"/>
          </c:marker>
          <c:cat>
            <c:strRef>
              <c:f>MLCF!$D$17:$H$17</c:f>
              <c:strCache>
                <c:ptCount val="5"/>
                <c:pt idx="0">
                  <c:v>FY2021</c:v>
                </c:pt>
                <c:pt idx="1">
                  <c:v>FY2022</c:v>
                </c:pt>
                <c:pt idx="2">
                  <c:v>FY2023</c:v>
                </c:pt>
                <c:pt idx="3">
                  <c:v>FY2024</c:v>
                </c:pt>
                <c:pt idx="4">
                  <c:v>FY2025</c:v>
                </c:pt>
              </c:strCache>
            </c:strRef>
          </c:cat>
          <c:val>
            <c:numRef>
              <c:f>MLCF!$D$149:$H$149</c:f>
              <c:numCache>
                <c:formatCode>0;[Red]\(0\);"-"</c:formatCode>
                <c:ptCount val="5"/>
                <c:pt idx="0">
                  <c:v>50.273995830664546</c:v>
                </c:pt>
                <c:pt idx="1">
                  <c:v>38.695931214400467</c:v>
                </c:pt>
                <c:pt idx="2">
                  <c:v>44.831228056476625</c:v>
                </c:pt>
                <c:pt idx="3">
                  <c:v>48.436678795562727</c:v>
                </c:pt>
                <c:pt idx="4">
                  <c:v>51.360901706647297</c:v>
                </c:pt>
              </c:numCache>
            </c:numRef>
          </c:val>
          <c:smooth val="0"/>
          <c:extLst>
            <c:ext xmlns:c16="http://schemas.microsoft.com/office/drawing/2014/chart" uri="{C3380CC4-5D6E-409C-BE32-E72D297353CC}">
              <c16:uniqueId val="{00000006-D4C6-4332-A8DC-0D372C37342B}"/>
            </c:ext>
          </c:extLst>
        </c:ser>
        <c:ser>
          <c:idx val="7"/>
          <c:order val="7"/>
          <c:tx>
            <c:v>Cash conversion cycle</c:v>
          </c:tx>
          <c:spPr>
            <a:ln w="13335">
              <a:solidFill>
                <a:srgbClr val="648B98"/>
              </a:solidFill>
              <a:prstDash val="solid"/>
            </a:ln>
          </c:spPr>
          <c:marker>
            <c:symbol val="none"/>
          </c:marker>
          <c:cat>
            <c:strRef>
              <c:f>MLCF!$D$17:$H$17</c:f>
              <c:strCache>
                <c:ptCount val="5"/>
                <c:pt idx="0">
                  <c:v>FY2021</c:v>
                </c:pt>
                <c:pt idx="1">
                  <c:v>FY2022</c:v>
                </c:pt>
                <c:pt idx="2">
                  <c:v>FY2023</c:v>
                </c:pt>
                <c:pt idx="3">
                  <c:v>FY2024</c:v>
                </c:pt>
                <c:pt idx="4">
                  <c:v>FY2025</c:v>
                </c:pt>
              </c:strCache>
            </c:strRef>
          </c:cat>
          <c:val>
            <c:numRef>
              <c:f>MLCF!$D$151:$H$151</c:f>
              <c:numCache>
                <c:formatCode>0;[Red]\(0\);"-"</c:formatCode>
                <c:ptCount val="5"/>
                <c:pt idx="0">
                  <c:v>117.14268112684906</c:v>
                </c:pt>
                <c:pt idx="1">
                  <c:v>113.55287092262091</c:v>
                </c:pt>
                <c:pt idx="2">
                  <c:v>90.896731737564664</c:v>
                </c:pt>
                <c:pt idx="3">
                  <c:v>87.900585188319411</c:v>
                </c:pt>
                <c:pt idx="4">
                  <c:v>102.9163012483726</c:v>
                </c:pt>
              </c:numCache>
            </c:numRef>
          </c:val>
          <c:smooth val="0"/>
          <c:extLst>
            <c:ext xmlns:c16="http://schemas.microsoft.com/office/drawing/2014/chart" uri="{C3380CC4-5D6E-409C-BE32-E72D297353CC}">
              <c16:uniqueId val="{00000007-D4C6-4332-A8DC-0D372C37342B}"/>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FCCL: revenue, gross profit and PAT (PKR m)</a:t>
            </a:r>
          </a:p>
        </c:rich>
      </c:tx>
      <c:overlay val="0"/>
    </c:title>
    <c:autoTitleDeleted val="0"/>
    <c:plotArea>
      <c:layout/>
      <c:lineChart>
        <c:grouping val="standard"/>
        <c:varyColors val="0"/>
        <c:ser>
          <c:idx val="0"/>
          <c:order val="0"/>
          <c:tx>
            <c:v>Series 1</c:v>
          </c:tx>
          <c:marker>
            <c:symbol val="none"/>
          </c:marker>
          <c:cat>
            <c:strRef>
              <c:f>FCCL!$D$17</c:f>
              <c:strCache>
                <c:ptCount val="1"/>
                <c:pt idx="0">
                  <c:v>FY2021</c:v>
                </c:pt>
              </c:strCache>
            </c:strRef>
          </c:cat>
          <c:val>
            <c:numRef>
              <c:f>FCCL!$E$17</c:f>
              <c:numCache>
                <c:formatCode>General</c:formatCode>
                <c:ptCount val="1"/>
                <c:pt idx="0">
                  <c:v>0</c:v>
                </c:pt>
              </c:numCache>
            </c:numRef>
          </c:val>
          <c:smooth val="0"/>
          <c:extLst>
            <c:ext xmlns:c16="http://schemas.microsoft.com/office/drawing/2014/chart" uri="{C3380CC4-5D6E-409C-BE32-E72D297353CC}">
              <c16:uniqueId val="{00000000-466D-46FB-8702-7366E3A37DC9}"/>
            </c:ext>
          </c:extLst>
        </c:ser>
        <c:ser>
          <c:idx val="1"/>
          <c:order val="1"/>
          <c:tx>
            <c:v>Series 2</c:v>
          </c:tx>
          <c:marker>
            <c:symbol val="none"/>
          </c:marker>
          <c:cat>
            <c:strRef>
              <c:f>FCCL!$D$17</c:f>
              <c:strCache>
                <c:ptCount val="1"/>
                <c:pt idx="0">
                  <c:v>FY2021</c:v>
                </c:pt>
              </c:strCache>
            </c:strRef>
          </c:cat>
          <c:val>
            <c:numRef>
              <c:f>FCCL!$F$17</c:f>
              <c:numCache>
                <c:formatCode>General</c:formatCode>
                <c:ptCount val="1"/>
                <c:pt idx="0">
                  <c:v>0</c:v>
                </c:pt>
              </c:numCache>
            </c:numRef>
          </c:val>
          <c:smooth val="0"/>
          <c:extLst>
            <c:ext xmlns:c16="http://schemas.microsoft.com/office/drawing/2014/chart" uri="{C3380CC4-5D6E-409C-BE32-E72D297353CC}">
              <c16:uniqueId val="{00000001-466D-46FB-8702-7366E3A37DC9}"/>
            </c:ext>
          </c:extLst>
        </c:ser>
        <c:ser>
          <c:idx val="2"/>
          <c:order val="2"/>
          <c:tx>
            <c:v>Series 3</c:v>
          </c:tx>
          <c:marker>
            <c:symbol val="none"/>
          </c:marker>
          <c:cat>
            <c:strRef>
              <c:f>FCCL!$D$17</c:f>
              <c:strCache>
                <c:ptCount val="1"/>
                <c:pt idx="0">
                  <c:v>FY2021</c:v>
                </c:pt>
              </c:strCache>
            </c:strRef>
          </c:cat>
          <c:val>
            <c:numRef>
              <c:f>FCCL!$G$17</c:f>
              <c:numCache>
                <c:formatCode>General</c:formatCode>
                <c:ptCount val="1"/>
                <c:pt idx="0">
                  <c:v>0</c:v>
                </c:pt>
              </c:numCache>
            </c:numRef>
          </c:val>
          <c:smooth val="0"/>
          <c:extLst>
            <c:ext xmlns:c16="http://schemas.microsoft.com/office/drawing/2014/chart" uri="{C3380CC4-5D6E-409C-BE32-E72D297353CC}">
              <c16:uniqueId val="{00000002-466D-46FB-8702-7366E3A37DC9}"/>
            </c:ext>
          </c:extLst>
        </c:ser>
        <c:ser>
          <c:idx val="3"/>
          <c:order val="3"/>
          <c:tx>
            <c:v>Series 4</c:v>
          </c:tx>
          <c:marker>
            <c:symbol val="none"/>
          </c:marker>
          <c:cat>
            <c:strRef>
              <c:f>FCCL!$D$17</c:f>
              <c:strCache>
                <c:ptCount val="1"/>
                <c:pt idx="0">
                  <c:v>FY2021</c:v>
                </c:pt>
              </c:strCache>
            </c:strRef>
          </c:cat>
          <c:val>
            <c:numRef>
              <c:f>FCCL!$H$17</c:f>
              <c:numCache>
                <c:formatCode>General</c:formatCode>
                <c:ptCount val="1"/>
                <c:pt idx="0">
                  <c:v>0</c:v>
                </c:pt>
              </c:numCache>
            </c:numRef>
          </c:val>
          <c:smooth val="0"/>
          <c:extLst>
            <c:ext xmlns:c16="http://schemas.microsoft.com/office/drawing/2014/chart" uri="{C3380CC4-5D6E-409C-BE32-E72D297353CC}">
              <c16:uniqueId val="{00000003-466D-46FB-8702-7366E3A37DC9}"/>
            </c:ext>
          </c:extLst>
        </c:ser>
        <c:ser>
          <c:idx val="4"/>
          <c:order val="4"/>
          <c:tx>
            <c:v>Revenue</c:v>
          </c:tx>
          <c:spPr>
            <a:ln w="22860">
              <a:solidFill>
                <a:srgbClr val="204F3D"/>
              </a:solidFill>
              <a:prstDash val="solid"/>
            </a:ln>
          </c:spPr>
          <c:marker>
            <c:symbol val="none"/>
          </c:marker>
          <c:cat>
            <c:strRef>
              <c:f>FCCL!$D$17:$H$17</c:f>
              <c:strCache>
                <c:ptCount val="5"/>
                <c:pt idx="0">
                  <c:v>FY2021</c:v>
                </c:pt>
                <c:pt idx="1">
                  <c:v>FY2022</c:v>
                </c:pt>
                <c:pt idx="2">
                  <c:v>FY2023</c:v>
                </c:pt>
                <c:pt idx="3">
                  <c:v>FY2024</c:v>
                </c:pt>
                <c:pt idx="4">
                  <c:v>FY2025</c:v>
                </c:pt>
              </c:strCache>
            </c:strRef>
          </c:cat>
          <c:val>
            <c:numRef>
              <c:f>FCCL!$D$84:$H$84</c:f>
              <c:numCache>
                <c:formatCode>#,##0.0;\(#,##0.0\);\-</c:formatCode>
                <c:ptCount val="5"/>
                <c:pt idx="0">
                  <c:v>24271.285</c:v>
                </c:pt>
                <c:pt idx="1">
                  <c:v>54243.118000000002</c:v>
                </c:pt>
                <c:pt idx="2">
                  <c:v>68069.282000000007</c:v>
                </c:pt>
                <c:pt idx="3">
                  <c:v>80026.225999999995</c:v>
                </c:pt>
                <c:pt idx="4">
                  <c:v>88956.327999999994</c:v>
                </c:pt>
              </c:numCache>
            </c:numRef>
          </c:val>
          <c:smooth val="0"/>
          <c:extLst>
            <c:ext xmlns:c16="http://schemas.microsoft.com/office/drawing/2014/chart" uri="{C3380CC4-5D6E-409C-BE32-E72D297353CC}">
              <c16:uniqueId val="{00000004-466D-46FB-8702-7366E3A37DC9}"/>
            </c:ext>
          </c:extLst>
        </c:ser>
        <c:ser>
          <c:idx val="5"/>
          <c:order val="5"/>
          <c:tx>
            <c:v>Gross profit</c:v>
          </c:tx>
          <c:spPr>
            <a:ln w="13335">
              <a:solidFill>
                <a:srgbClr val="8CB369"/>
              </a:solidFill>
              <a:prstDash val="solid"/>
            </a:ln>
          </c:spPr>
          <c:marker>
            <c:symbol val="none"/>
          </c:marker>
          <c:cat>
            <c:strRef>
              <c:f>FCCL!$D$17:$H$17</c:f>
              <c:strCache>
                <c:ptCount val="5"/>
                <c:pt idx="0">
                  <c:v>FY2021</c:v>
                </c:pt>
                <c:pt idx="1">
                  <c:v>FY2022</c:v>
                </c:pt>
                <c:pt idx="2">
                  <c:v>FY2023</c:v>
                </c:pt>
                <c:pt idx="3">
                  <c:v>FY2024</c:v>
                </c:pt>
                <c:pt idx="4">
                  <c:v>FY2025</c:v>
                </c:pt>
              </c:strCache>
            </c:strRef>
          </c:cat>
          <c:val>
            <c:numRef>
              <c:f>FCCL!$D$86:$H$86</c:f>
              <c:numCache>
                <c:formatCode>#,##0.0;\(#,##0.0\);\-</c:formatCode>
                <c:ptCount val="5"/>
                <c:pt idx="0">
                  <c:v>6064.4049999999988</c:v>
                </c:pt>
                <c:pt idx="1">
                  <c:v>15463.576000000001</c:v>
                </c:pt>
                <c:pt idx="2">
                  <c:v>20418.473000000005</c:v>
                </c:pt>
                <c:pt idx="3">
                  <c:v>25680.404999999992</c:v>
                </c:pt>
                <c:pt idx="4">
                  <c:v>31571.349999999991</c:v>
                </c:pt>
              </c:numCache>
            </c:numRef>
          </c:val>
          <c:smooth val="0"/>
          <c:extLst>
            <c:ext xmlns:c16="http://schemas.microsoft.com/office/drawing/2014/chart" uri="{C3380CC4-5D6E-409C-BE32-E72D297353CC}">
              <c16:uniqueId val="{00000005-466D-46FB-8702-7366E3A37DC9}"/>
            </c:ext>
          </c:extLst>
        </c:ser>
        <c:ser>
          <c:idx val="6"/>
          <c:order val="6"/>
          <c:tx>
            <c:v>Profit after tax</c:v>
          </c:tx>
          <c:spPr>
            <a:ln w="13335">
              <a:solidFill>
                <a:srgbClr val="C79A57"/>
              </a:solidFill>
              <a:prstDash val="solid"/>
            </a:ln>
          </c:spPr>
          <c:marker>
            <c:symbol val="none"/>
          </c:marker>
          <c:cat>
            <c:strRef>
              <c:f>FCCL!$D$17:$H$17</c:f>
              <c:strCache>
                <c:ptCount val="5"/>
                <c:pt idx="0">
                  <c:v>FY2021</c:v>
                </c:pt>
                <c:pt idx="1">
                  <c:v>FY2022</c:v>
                </c:pt>
                <c:pt idx="2">
                  <c:v>FY2023</c:v>
                </c:pt>
                <c:pt idx="3">
                  <c:v>FY2024</c:v>
                </c:pt>
                <c:pt idx="4">
                  <c:v>FY2025</c:v>
                </c:pt>
              </c:strCache>
            </c:strRef>
          </c:cat>
          <c:val>
            <c:numRef>
              <c:f>FCCL!$D$99:$H$99</c:f>
              <c:numCache>
                <c:formatCode>#,##0.0;\(#,##0.0\);\-</c:formatCode>
                <c:ptCount val="5"/>
                <c:pt idx="0">
                  <c:v>3471.3509999999992</c:v>
                </c:pt>
                <c:pt idx="1">
                  <c:v>7112.5400000000009</c:v>
                </c:pt>
                <c:pt idx="2">
                  <c:v>7439.6810000000078</c:v>
                </c:pt>
                <c:pt idx="3">
                  <c:v>8223.1159999999945</c:v>
                </c:pt>
                <c:pt idx="4">
                  <c:v>13326.20199999999</c:v>
                </c:pt>
              </c:numCache>
            </c:numRef>
          </c:val>
          <c:smooth val="0"/>
          <c:extLst>
            <c:ext xmlns:c16="http://schemas.microsoft.com/office/drawing/2014/chart" uri="{C3380CC4-5D6E-409C-BE32-E72D297353CC}">
              <c16:uniqueId val="{00000006-466D-46FB-8702-7366E3A37DC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FCCL: margins</a:t>
            </a:r>
          </a:p>
        </c:rich>
      </c:tx>
      <c:overlay val="0"/>
    </c:title>
    <c:autoTitleDeleted val="0"/>
    <c:plotArea>
      <c:layout/>
      <c:lineChart>
        <c:grouping val="standard"/>
        <c:varyColors val="0"/>
        <c:ser>
          <c:idx val="0"/>
          <c:order val="0"/>
          <c:tx>
            <c:v>Series 1</c:v>
          </c:tx>
          <c:marker>
            <c:symbol val="none"/>
          </c:marker>
          <c:cat>
            <c:strRef>
              <c:f>FCCL!$D$17</c:f>
              <c:strCache>
                <c:ptCount val="1"/>
                <c:pt idx="0">
                  <c:v>FY2021</c:v>
                </c:pt>
              </c:strCache>
            </c:strRef>
          </c:cat>
          <c:val>
            <c:numRef>
              <c:f>FCCL!$E$17</c:f>
              <c:numCache>
                <c:formatCode>General</c:formatCode>
                <c:ptCount val="1"/>
                <c:pt idx="0">
                  <c:v>0</c:v>
                </c:pt>
              </c:numCache>
            </c:numRef>
          </c:val>
          <c:smooth val="0"/>
          <c:extLst>
            <c:ext xmlns:c16="http://schemas.microsoft.com/office/drawing/2014/chart" uri="{C3380CC4-5D6E-409C-BE32-E72D297353CC}">
              <c16:uniqueId val="{00000000-2C14-4563-A10F-D2A889DD8D15}"/>
            </c:ext>
          </c:extLst>
        </c:ser>
        <c:ser>
          <c:idx val="1"/>
          <c:order val="1"/>
          <c:tx>
            <c:v>Series 2</c:v>
          </c:tx>
          <c:marker>
            <c:symbol val="none"/>
          </c:marker>
          <c:cat>
            <c:strRef>
              <c:f>FCCL!$D$17</c:f>
              <c:strCache>
                <c:ptCount val="1"/>
                <c:pt idx="0">
                  <c:v>FY2021</c:v>
                </c:pt>
              </c:strCache>
            </c:strRef>
          </c:cat>
          <c:val>
            <c:numRef>
              <c:f>FCCL!$F$17</c:f>
              <c:numCache>
                <c:formatCode>General</c:formatCode>
                <c:ptCount val="1"/>
                <c:pt idx="0">
                  <c:v>0</c:v>
                </c:pt>
              </c:numCache>
            </c:numRef>
          </c:val>
          <c:smooth val="0"/>
          <c:extLst>
            <c:ext xmlns:c16="http://schemas.microsoft.com/office/drawing/2014/chart" uri="{C3380CC4-5D6E-409C-BE32-E72D297353CC}">
              <c16:uniqueId val="{00000001-2C14-4563-A10F-D2A889DD8D15}"/>
            </c:ext>
          </c:extLst>
        </c:ser>
        <c:ser>
          <c:idx val="2"/>
          <c:order val="2"/>
          <c:tx>
            <c:v>Series 3</c:v>
          </c:tx>
          <c:marker>
            <c:symbol val="none"/>
          </c:marker>
          <c:cat>
            <c:strRef>
              <c:f>FCCL!$D$17</c:f>
              <c:strCache>
                <c:ptCount val="1"/>
                <c:pt idx="0">
                  <c:v>FY2021</c:v>
                </c:pt>
              </c:strCache>
            </c:strRef>
          </c:cat>
          <c:val>
            <c:numRef>
              <c:f>FCCL!$G$17</c:f>
              <c:numCache>
                <c:formatCode>General</c:formatCode>
                <c:ptCount val="1"/>
                <c:pt idx="0">
                  <c:v>0</c:v>
                </c:pt>
              </c:numCache>
            </c:numRef>
          </c:val>
          <c:smooth val="0"/>
          <c:extLst>
            <c:ext xmlns:c16="http://schemas.microsoft.com/office/drawing/2014/chart" uri="{C3380CC4-5D6E-409C-BE32-E72D297353CC}">
              <c16:uniqueId val="{00000002-2C14-4563-A10F-D2A889DD8D15}"/>
            </c:ext>
          </c:extLst>
        </c:ser>
        <c:ser>
          <c:idx val="3"/>
          <c:order val="3"/>
          <c:tx>
            <c:v>Series 4</c:v>
          </c:tx>
          <c:marker>
            <c:symbol val="none"/>
          </c:marker>
          <c:cat>
            <c:strRef>
              <c:f>FCCL!$D$17</c:f>
              <c:strCache>
                <c:ptCount val="1"/>
                <c:pt idx="0">
                  <c:v>FY2021</c:v>
                </c:pt>
              </c:strCache>
            </c:strRef>
          </c:cat>
          <c:val>
            <c:numRef>
              <c:f>FCCL!$H$17</c:f>
              <c:numCache>
                <c:formatCode>General</c:formatCode>
                <c:ptCount val="1"/>
                <c:pt idx="0">
                  <c:v>0</c:v>
                </c:pt>
              </c:numCache>
            </c:numRef>
          </c:val>
          <c:smooth val="0"/>
          <c:extLst>
            <c:ext xmlns:c16="http://schemas.microsoft.com/office/drawing/2014/chart" uri="{C3380CC4-5D6E-409C-BE32-E72D297353CC}">
              <c16:uniqueId val="{00000003-2C14-4563-A10F-D2A889DD8D15}"/>
            </c:ext>
          </c:extLst>
        </c:ser>
        <c:ser>
          <c:idx val="4"/>
          <c:order val="4"/>
          <c:tx>
            <c:v>Gross margin</c:v>
          </c:tx>
          <c:spPr>
            <a:ln w="22860">
              <a:solidFill>
                <a:srgbClr val="204F3D"/>
              </a:solidFill>
              <a:prstDash val="solid"/>
            </a:ln>
          </c:spPr>
          <c:marker>
            <c:symbol val="none"/>
          </c:marker>
          <c:cat>
            <c:strRef>
              <c:f>FCCL!$D$17:$H$17</c:f>
              <c:strCache>
                <c:ptCount val="5"/>
                <c:pt idx="0">
                  <c:v>FY2021</c:v>
                </c:pt>
                <c:pt idx="1">
                  <c:v>FY2022</c:v>
                </c:pt>
                <c:pt idx="2">
                  <c:v>FY2023</c:v>
                </c:pt>
                <c:pt idx="3">
                  <c:v>FY2024</c:v>
                </c:pt>
                <c:pt idx="4">
                  <c:v>FY2025</c:v>
                </c:pt>
              </c:strCache>
            </c:strRef>
          </c:cat>
          <c:val>
            <c:numRef>
              <c:f>FCCL!$D$161:$H$161</c:f>
              <c:numCache>
                <c:formatCode>0.00%;\(0.00%\);"-"</c:formatCode>
                <c:ptCount val="5"/>
                <c:pt idx="0">
                  <c:v>0.24985924725452316</c:v>
                </c:pt>
                <c:pt idx="1">
                  <c:v>0.28507903988852556</c:v>
                </c:pt>
                <c:pt idx="2">
                  <c:v>0.29996604048210768</c:v>
                </c:pt>
                <c:pt idx="3">
                  <c:v>0.32089986350224731</c:v>
                </c:pt>
                <c:pt idx="4">
                  <c:v>0.35490842202929052</c:v>
                </c:pt>
              </c:numCache>
            </c:numRef>
          </c:val>
          <c:smooth val="0"/>
          <c:extLst>
            <c:ext xmlns:c16="http://schemas.microsoft.com/office/drawing/2014/chart" uri="{C3380CC4-5D6E-409C-BE32-E72D297353CC}">
              <c16:uniqueId val="{00000004-2C14-4563-A10F-D2A889DD8D15}"/>
            </c:ext>
          </c:extLst>
        </c:ser>
        <c:ser>
          <c:idx val="5"/>
          <c:order val="5"/>
          <c:tx>
            <c:v>Operating margin</c:v>
          </c:tx>
          <c:spPr>
            <a:ln w="13335">
              <a:solidFill>
                <a:srgbClr val="8CB369"/>
              </a:solidFill>
              <a:prstDash val="solid"/>
            </a:ln>
          </c:spPr>
          <c:marker>
            <c:symbol val="none"/>
          </c:marker>
          <c:cat>
            <c:strRef>
              <c:f>FCCL!$D$17:$H$17</c:f>
              <c:strCache>
                <c:ptCount val="5"/>
                <c:pt idx="0">
                  <c:v>FY2021</c:v>
                </c:pt>
                <c:pt idx="1">
                  <c:v>FY2022</c:v>
                </c:pt>
                <c:pt idx="2">
                  <c:v>FY2023</c:v>
                </c:pt>
                <c:pt idx="3">
                  <c:v>FY2024</c:v>
                </c:pt>
                <c:pt idx="4">
                  <c:v>FY2025</c:v>
                </c:pt>
              </c:strCache>
            </c:strRef>
          </c:cat>
          <c:val>
            <c:numRef>
              <c:f>FCCL!$D$162:$H$162</c:f>
              <c:numCache>
                <c:formatCode>0.00%;\(0.00%\);"-"</c:formatCode>
                <c:ptCount val="5"/>
                <c:pt idx="0">
                  <c:v>0.20485989925955708</c:v>
                </c:pt>
                <c:pt idx="1">
                  <c:v>0.21665144691719232</c:v>
                </c:pt>
                <c:pt idx="2">
                  <c:v>0.22890646914712581</c:v>
                </c:pt>
                <c:pt idx="3">
                  <c:v>0.25056237189043495</c:v>
                </c:pt>
                <c:pt idx="4">
                  <c:v>0.28629833956275708</c:v>
                </c:pt>
              </c:numCache>
            </c:numRef>
          </c:val>
          <c:smooth val="0"/>
          <c:extLst>
            <c:ext xmlns:c16="http://schemas.microsoft.com/office/drawing/2014/chart" uri="{C3380CC4-5D6E-409C-BE32-E72D297353CC}">
              <c16:uniqueId val="{00000005-2C14-4563-A10F-D2A889DD8D15}"/>
            </c:ext>
          </c:extLst>
        </c:ser>
        <c:ser>
          <c:idx val="6"/>
          <c:order val="6"/>
          <c:tx>
            <c:v>Net margin</c:v>
          </c:tx>
          <c:spPr>
            <a:ln w="13335">
              <a:solidFill>
                <a:srgbClr val="C79A57"/>
              </a:solidFill>
              <a:prstDash val="solid"/>
            </a:ln>
          </c:spPr>
          <c:marker>
            <c:symbol val="none"/>
          </c:marker>
          <c:cat>
            <c:strRef>
              <c:f>FCCL!$D$17:$H$17</c:f>
              <c:strCache>
                <c:ptCount val="5"/>
                <c:pt idx="0">
                  <c:v>FY2021</c:v>
                </c:pt>
                <c:pt idx="1">
                  <c:v>FY2022</c:v>
                </c:pt>
                <c:pt idx="2">
                  <c:v>FY2023</c:v>
                </c:pt>
                <c:pt idx="3">
                  <c:v>FY2024</c:v>
                </c:pt>
                <c:pt idx="4">
                  <c:v>FY2025</c:v>
                </c:pt>
              </c:strCache>
            </c:strRef>
          </c:cat>
          <c:val>
            <c:numRef>
              <c:f>FCCL!$D$163:$H$163</c:f>
              <c:numCache>
                <c:formatCode>0.00%;\(0.00%\);"-"</c:formatCode>
                <c:ptCount val="5"/>
                <c:pt idx="0">
                  <c:v>0.14302295902338913</c:v>
                </c:pt>
                <c:pt idx="1">
                  <c:v>0.13112336204567002</c:v>
                </c:pt>
                <c:pt idx="2">
                  <c:v>0.10929571726641699</c:v>
                </c:pt>
                <c:pt idx="3">
                  <c:v>0.10275526425549537</c:v>
                </c:pt>
                <c:pt idx="4">
                  <c:v>0.14980611609777766</c:v>
                </c:pt>
              </c:numCache>
            </c:numRef>
          </c:val>
          <c:smooth val="0"/>
          <c:extLst>
            <c:ext xmlns:c16="http://schemas.microsoft.com/office/drawing/2014/chart" uri="{C3380CC4-5D6E-409C-BE32-E72D297353CC}">
              <c16:uniqueId val="{00000006-2C14-4563-A10F-D2A889DD8D1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FCCL: liquidity and leverage (x)</a:t>
            </a:r>
          </a:p>
        </c:rich>
      </c:tx>
      <c:overlay val="0"/>
    </c:title>
    <c:autoTitleDeleted val="0"/>
    <c:plotArea>
      <c:layout/>
      <c:lineChart>
        <c:grouping val="standard"/>
        <c:varyColors val="0"/>
        <c:ser>
          <c:idx val="0"/>
          <c:order val="0"/>
          <c:tx>
            <c:v>Series 1</c:v>
          </c:tx>
          <c:marker>
            <c:symbol val="none"/>
          </c:marker>
          <c:cat>
            <c:strRef>
              <c:f>FCCL!$D$17</c:f>
              <c:strCache>
                <c:ptCount val="1"/>
                <c:pt idx="0">
                  <c:v>FY2021</c:v>
                </c:pt>
              </c:strCache>
            </c:strRef>
          </c:cat>
          <c:val>
            <c:numRef>
              <c:f>FCCL!$E$17</c:f>
              <c:numCache>
                <c:formatCode>General</c:formatCode>
                <c:ptCount val="1"/>
                <c:pt idx="0">
                  <c:v>0</c:v>
                </c:pt>
              </c:numCache>
            </c:numRef>
          </c:val>
          <c:smooth val="0"/>
          <c:extLst>
            <c:ext xmlns:c16="http://schemas.microsoft.com/office/drawing/2014/chart" uri="{C3380CC4-5D6E-409C-BE32-E72D297353CC}">
              <c16:uniqueId val="{00000000-71E8-47BA-BBCF-ADB00C08C895}"/>
            </c:ext>
          </c:extLst>
        </c:ser>
        <c:ser>
          <c:idx val="1"/>
          <c:order val="1"/>
          <c:tx>
            <c:v>Series 2</c:v>
          </c:tx>
          <c:marker>
            <c:symbol val="none"/>
          </c:marker>
          <c:cat>
            <c:strRef>
              <c:f>FCCL!$D$17</c:f>
              <c:strCache>
                <c:ptCount val="1"/>
                <c:pt idx="0">
                  <c:v>FY2021</c:v>
                </c:pt>
              </c:strCache>
            </c:strRef>
          </c:cat>
          <c:val>
            <c:numRef>
              <c:f>FCCL!$F$17</c:f>
              <c:numCache>
                <c:formatCode>General</c:formatCode>
                <c:ptCount val="1"/>
                <c:pt idx="0">
                  <c:v>0</c:v>
                </c:pt>
              </c:numCache>
            </c:numRef>
          </c:val>
          <c:smooth val="0"/>
          <c:extLst>
            <c:ext xmlns:c16="http://schemas.microsoft.com/office/drawing/2014/chart" uri="{C3380CC4-5D6E-409C-BE32-E72D297353CC}">
              <c16:uniqueId val="{00000001-71E8-47BA-BBCF-ADB00C08C895}"/>
            </c:ext>
          </c:extLst>
        </c:ser>
        <c:ser>
          <c:idx val="2"/>
          <c:order val="2"/>
          <c:tx>
            <c:v>Series 3</c:v>
          </c:tx>
          <c:marker>
            <c:symbol val="none"/>
          </c:marker>
          <c:cat>
            <c:strRef>
              <c:f>FCCL!$D$17</c:f>
              <c:strCache>
                <c:ptCount val="1"/>
                <c:pt idx="0">
                  <c:v>FY2021</c:v>
                </c:pt>
              </c:strCache>
            </c:strRef>
          </c:cat>
          <c:val>
            <c:numRef>
              <c:f>FCCL!$G$17</c:f>
              <c:numCache>
                <c:formatCode>General</c:formatCode>
                <c:ptCount val="1"/>
                <c:pt idx="0">
                  <c:v>0</c:v>
                </c:pt>
              </c:numCache>
            </c:numRef>
          </c:val>
          <c:smooth val="0"/>
          <c:extLst>
            <c:ext xmlns:c16="http://schemas.microsoft.com/office/drawing/2014/chart" uri="{C3380CC4-5D6E-409C-BE32-E72D297353CC}">
              <c16:uniqueId val="{00000002-71E8-47BA-BBCF-ADB00C08C895}"/>
            </c:ext>
          </c:extLst>
        </c:ser>
        <c:ser>
          <c:idx val="3"/>
          <c:order val="3"/>
          <c:tx>
            <c:v>Series 4</c:v>
          </c:tx>
          <c:marker>
            <c:symbol val="none"/>
          </c:marker>
          <c:cat>
            <c:strRef>
              <c:f>FCCL!$D$17</c:f>
              <c:strCache>
                <c:ptCount val="1"/>
                <c:pt idx="0">
                  <c:v>FY2021</c:v>
                </c:pt>
              </c:strCache>
            </c:strRef>
          </c:cat>
          <c:val>
            <c:numRef>
              <c:f>FCCL!$H$17</c:f>
              <c:numCache>
                <c:formatCode>General</c:formatCode>
                <c:ptCount val="1"/>
                <c:pt idx="0">
                  <c:v>0</c:v>
                </c:pt>
              </c:numCache>
            </c:numRef>
          </c:val>
          <c:smooth val="0"/>
          <c:extLst>
            <c:ext xmlns:c16="http://schemas.microsoft.com/office/drawing/2014/chart" uri="{C3380CC4-5D6E-409C-BE32-E72D297353CC}">
              <c16:uniqueId val="{00000003-71E8-47BA-BBCF-ADB00C08C895}"/>
            </c:ext>
          </c:extLst>
        </c:ser>
        <c:ser>
          <c:idx val="4"/>
          <c:order val="4"/>
          <c:tx>
            <c:v>Current ratio</c:v>
          </c:tx>
          <c:spPr>
            <a:ln w="22860">
              <a:solidFill>
                <a:srgbClr val="204F3D"/>
              </a:solidFill>
              <a:prstDash val="solid"/>
            </a:ln>
          </c:spPr>
          <c:marker>
            <c:symbol val="none"/>
          </c:marker>
          <c:cat>
            <c:strRef>
              <c:f>FCCL!$D$17:$H$17</c:f>
              <c:strCache>
                <c:ptCount val="5"/>
                <c:pt idx="0">
                  <c:v>FY2021</c:v>
                </c:pt>
                <c:pt idx="1">
                  <c:v>FY2022</c:v>
                </c:pt>
                <c:pt idx="2">
                  <c:v>FY2023</c:v>
                </c:pt>
                <c:pt idx="3">
                  <c:v>FY2024</c:v>
                </c:pt>
                <c:pt idx="4">
                  <c:v>FY2025</c:v>
                </c:pt>
              </c:strCache>
            </c:strRef>
          </c:cat>
          <c:val>
            <c:numRef>
              <c:f>FCCL!$D$138:$H$138</c:f>
              <c:numCache>
                <c:formatCode>0.00"x";\(0.00\)"x";"-"</c:formatCode>
                <c:ptCount val="5"/>
                <c:pt idx="0">
                  <c:v>2.01862288296847</c:v>
                </c:pt>
                <c:pt idx="1">
                  <c:v>1.0559688948718087</c:v>
                </c:pt>
                <c:pt idx="2">
                  <c:v>0.81211137558007007</c:v>
                </c:pt>
                <c:pt idx="3">
                  <c:v>0.95974773116730094</c:v>
                </c:pt>
                <c:pt idx="4">
                  <c:v>1.3210140828410366</c:v>
                </c:pt>
              </c:numCache>
            </c:numRef>
          </c:val>
          <c:smooth val="0"/>
          <c:extLst>
            <c:ext xmlns:c16="http://schemas.microsoft.com/office/drawing/2014/chart" uri="{C3380CC4-5D6E-409C-BE32-E72D297353CC}">
              <c16:uniqueId val="{00000004-71E8-47BA-BBCF-ADB00C08C895}"/>
            </c:ext>
          </c:extLst>
        </c:ser>
        <c:ser>
          <c:idx val="5"/>
          <c:order val="5"/>
          <c:tx>
            <c:v>Quick ratio</c:v>
          </c:tx>
          <c:spPr>
            <a:ln w="13335">
              <a:solidFill>
                <a:srgbClr val="8CB369"/>
              </a:solidFill>
              <a:prstDash val="solid"/>
            </a:ln>
          </c:spPr>
          <c:marker>
            <c:symbol val="none"/>
          </c:marker>
          <c:cat>
            <c:strRef>
              <c:f>FCCL!$D$17:$H$17</c:f>
              <c:strCache>
                <c:ptCount val="5"/>
                <c:pt idx="0">
                  <c:v>FY2021</c:v>
                </c:pt>
                <c:pt idx="1">
                  <c:v>FY2022</c:v>
                </c:pt>
                <c:pt idx="2">
                  <c:v>FY2023</c:v>
                </c:pt>
                <c:pt idx="3">
                  <c:v>FY2024</c:v>
                </c:pt>
                <c:pt idx="4">
                  <c:v>FY2025</c:v>
                </c:pt>
              </c:strCache>
            </c:strRef>
          </c:cat>
          <c:val>
            <c:numRef>
              <c:f>FCCL!$D$139:$H$139</c:f>
              <c:numCache>
                <c:formatCode>0.00"x";\(0.00\)"x";"-"</c:formatCode>
                <c:ptCount val="5"/>
                <c:pt idx="0">
                  <c:v>1.1357988467684703</c:v>
                </c:pt>
                <c:pt idx="1">
                  <c:v>0.47078421060569281</c:v>
                </c:pt>
                <c:pt idx="2">
                  <c:v>0.28121710873313321</c:v>
                </c:pt>
                <c:pt idx="3">
                  <c:v>0.3420463898878065</c:v>
                </c:pt>
                <c:pt idx="4">
                  <c:v>0.67753380767364924</c:v>
                </c:pt>
              </c:numCache>
            </c:numRef>
          </c:val>
          <c:smooth val="0"/>
          <c:extLst>
            <c:ext xmlns:c16="http://schemas.microsoft.com/office/drawing/2014/chart" uri="{C3380CC4-5D6E-409C-BE32-E72D297353CC}">
              <c16:uniqueId val="{00000005-71E8-47BA-BBCF-ADB00C08C895}"/>
            </c:ext>
          </c:extLst>
        </c:ser>
        <c:ser>
          <c:idx val="6"/>
          <c:order val="6"/>
          <c:tx>
            <c:v>Debt-to-equity</c:v>
          </c:tx>
          <c:spPr>
            <a:ln w="13335">
              <a:solidFill>
                <a:srgbClr val="C79A57"/>
              </a:solidFill>
              <a:prstDash val="solid"/>
            </a:ln>
          </c:spPr>
          <c:marker>
            <c:symbol val="none"/>
          </c:marker>
          <c:cat>
            <c:strRef>
              <c:f>FCCL!$D$17:$H$17</c:f>
              <c:strCache>
                <c:ptCount val="5"/>
                <c:pt idx="0">
                  <c:v>FY2021</c:v>
                </c:pt>
                <c:pt idx="1">
                  <c:v>FY2022</c:v>
                </c:pt>
                <c:pt idx="2">
                  <c:v>FY2023</c:v>
                </c:pt>
                <c:pt idx="3">
                  <c:v>FY2024</c:v>
                </c:pt>
                <c:pt idx="4">
                  <c:v>FY2025</c:v>
                </c:pt>
              </c:strCache>
            </c:strRef>
          </c:cat>
          <c:val>
            <c:numRef>
              <c:f>FCCL!$D$156:$H$156</c:f>
              <c:numCache>
                <c:formatCode>0.00"x";\(0.00\)"x";"-"</c:formatCode>
                <c:ptCount val="5"/>
                <c:pt idx="0">
                  <c:v>0.46299674883701519</c:v>
                </c:pt>
                <c:pt idx="1">
                  <c:v>0.96927336013391707</c:v>
                </c:pt>
                <c:pt idx="2">
                  <c:v>1.130064091181662</c:v>
                </c:pt>
                <c:pt idx="3">
                  <c:v>1.0114251512894896</c:v>
                </c:pt>
                <c:pt idx="4">
                  <c:v>0.90863862259310912</c:v>
                </c:pt>
              </c:numCache>
            </c:numRef>
          </c:val>
          <c:smooth val="0"/>
          <c:extLst>
            <c:ext xmlns:c16="http://schemas.microsoft.com/office/drawing/2014/chart" uri="{C3380CC4-5D6E-409C-BE32-E72D297353CC}">
              <c16:uniqueId val="{00000006-71E8-47BA-BBCF-ADB00C08C89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FCCL: working-capital cycle (days)</a:t>
            </a:r>
          </a:p>
        </c:rich>
      </c:tx>
      <c:overlay val="0"/>
    </c:title>
    <c:autoTitleDeleted val="0"/>
    <c:plotArea>
      <c:layout/>
      <c:lineChart>
        <c:grouping val="standard"/>
        <c:varyColors val="0"/>
        <c:ser>
          <c:idx val="0"/>
          <c:order val="0"/>
          <c:tx>
            <c:v>Series 1</c:v>
          </c:tx>
          <c:marker>
            <c:symbol val="none"/>
          </c:marker>
          <c:cat>
            <c:strRef>
              <c:f>FCCL!$D$17</c:f>
              <c:strCache>
                <c:ptCount val="1"/>
                <c:pt idx="0">
                  <c:v>FY2021</c:v>
                </c:pt>
              </c:strCache>
            </c:strRef>
          </c:cat>
          <c:val>
            <c:numRef>
              <c:f>FCCL!$E$17</c:f>
              <c:numCache>
                <c:formatCode>General</c:formatCode>
                <c:ptCount val="1"/>
                <c:pt idx="0">
                  <c:v>0</c:v>
                </c:pt>
              </c:numCache>
            </c:numRef>
          </c:val>
          <c:smooth val="0"/>
          <c:extLst>
            <c:ext xmlns:c16="http://schemas.microsoft.com/office/drawing/2014/chart" uri="{C3380CC4-5D6E-409C-BE32-E72D297353CC}">
              <c16:uniqueId val="{00000000-E3B7-4ADF-8D14-D8DAC8AF0DDC}"/>
            </c:ext>
          </c:extLst>
        </c:ser>
        <c:ser>
          <c:idx val="1"/>
          <c:order val="1"/>
          <c:tx>
            <c:v>Series 2</c:v>
          </c:tx>
          <c:marker>
            <c:symbol val="none"/>
          </c:marker>
          <c:cat>
            <c:strRef>
              <c:f>FCCL!$D$17</c:f>
              <c:strCache>
                <c:ptCount val="1"/>
                <c:pt idx="0">
                  <c:v>FY2021</c:v>
                </c:pt>
              </c:strCache>
            </c:strRef>
          </c:cat>
          <c:val>
            <c:numRef>
              <c:f>FCCL!$F$17</c:f>
              <c:numCache>
                <c:formatCode>General</c:formatCode>
                <c:ptCount val="1"/>
                <c:pt idx="0">
                  <c:v>0</c:v>
                </c:pt>
              </c:numCache>
            </c:numRef>
          </c:val>
          <c:smooth val="0"/>
          <c:extLst>
            <c:ext xmlns:c16="http://schemas.microsoft.com/office/drawing/2014/chart" uri="{C3380CC4-5D6E-409C-BE32-E72D297353CC}">
              <c16:uniqueId val="{00000001-E3B7-4ADF-8D14-D8DAC8AF0DDC}"/>
            </c:ext>
          </c:extLst>
        </c:ser>
        <c:ser>
          <c:idx val="2"/>
          <c:order val="2"/>
          <c:tx>
            <c:v>Series 3</c:v>
          </c:tx>
          <c:marker>
            <c:symbol val="none"/>
          </c:marker>
          <c:cat>
            <c:strRef>
              <c:f>FCCL!$D$17</c:f>
              <c:strCache>
                <c:ptCount val="1"/>
                <c:pt idx="0">
                  <c:v>FY2021</c:v>
                </c:pt>
              </c:strCache>
            </c:strRef>
          </c:cat>
          <c:val>
            <c:numRef>
              <c:f>FCCL!$G$17</c:f>
              <c:numCache>
                <c:formatCode>General</c:formatCode>
                <c:ptCount val="1"/>
                <c:pt idx="0">
                  <c:v>0</c:v>
                </c:pt>
              </c:numCache>
            </c:numRef>
          </c:val>
          <c:smooth val="0"/>
          <c:extLst>
            <c:ext xmlns:c16="http://schemas.microsoft.com/office/drawing/2014/chart" uri="{C3380CC4-5D6E-409C-BE32-E72D297353CC}">
              <c16:uniqueId val="{00000002-E3B7-4ADF-8D14-D8DAC8AF0DDC}"/>
            </c:ext>
          </c:extLst>
        </c:ser>
        <c:ser>
          <c:idx val="3"/>
          <c:order val="3"/>
          <c:tx>
            <c:v>Series 4</c:v>
          </c:tx>
          <c:marker>
            <c:symbol val="none"/>
          </c:marker>
          <c:cat>
            <c:strRef>
              <c:f>FCCL!$D$17</c:f>
              <c:strCache>
                <c:ptCount val="1"/>
                <c:pt idx="0">
                  <c:v>FY2021</c:v>
                </c:pt>
              </c:strCache>
            </c:strRef>
          </c:cat>
          <c:val>
            <c:numRef>
              <c:f>FCCL!$H$17</c:f>
              <c:numCache>
                <c:formatCode>General</c:formatCode>
                <c:ptCount val="1"/>
                <c:pt idx="0">
                  <c:v>0</c:v>
                </c:pt>
              </c:numCache>
            </c:numRef>
          </c:val>
          <c:smooth val="0"/>
          <c:extLst>
            <c:ext xmlns:c16="http://schemas.microsoft.com/office/drawing/2014/chart" uri="{C3380CC4-5D6E-409C-BE32-E72D297353CC}">
              <c16:uniqueId val="{00000003-E3B7-4ADF-8D14-D8DAC8AF0DDC}"/>
            </c:ext>
          </c:extLst>
        </c:ser>
        <c:ser>
          <c:idx val="4"/>
          <c:order val="4"/>
          <c:tx>
            <c:v>DIO</c:v>
          </c:tx>
          <c:spPr>
            <a:ln w="22860">
              <a:solidFill>
                <a:srgbClr val="204F3D"/>
              </a:solidFill>
              <a:prstDash val="solid"/>
            </a:ln>
          </c:spPr>
          <c:marker>
            <c:symbol val="none"/>
          </c:marker>
          <c:cat>
            <c:strRef>
              <c:f>FCCL!$D$17:$H$17</c:f>
              <c:strCache>
                <c:ptCount val="5"/>
                <c:pt idx="0">
                  <c:v>FY2021</c:v>
                </c:pt>
                <c:pt idx="1">
                  <c:v>FY2022</c:v>
                </c:pt>
                <c:pt idx="2">
                  <c:v>FY2023</c:v>
                </c:pt>
                <c:pt idx="3">
                  <c:v>FY2024</c:v>
                </c:pt>
                <c:pt idx="4">
                  <c:v>FY2025</c:v>
                </c:pt>
              </c:strCache>
            </c:strRef>
          </c:cat>
          <c:val>
            <c:numRef>
              <c:f>FCCL!$D$147:$H$147</c:f>
              <c:numCache>
                <c:formatCode>0;[Red]\(0\);"-"</c:formatCode>
                <c:ptCount val="5"/>
                <c:pt idx="0">
                  <c:v>101.57512558439446</c:v>
                </c:pt>
                <c:pt idx="1">
                  <c:v>99.189403784088</c:v>
                </c:pt>
                <c:pt idx="2">
                  <c:v>117.81056267061489</c:v>
                </c:pt>
                <c:pt idx="3">
                  <c:v>106.51412548353994</c:v>
                </c:pt>
                <c:pt idx="4">
                  <c:v>115.47406099903009</c:v>
                </c:pt>
              </c:numCache>
            </c:numRef>
          </c:val>
          <c:smooth val="0"/>
          <c:extLst>
            <c:ext xmlns:c16="http://schemas.microsoft.com/office/drawing/2014/chart" uri="{C3380CC4-5D6E-409C-BE32-E72D297353CC}">
              <c16:uniqueId val="{00000004-E3B7-4ADF-8D14-D8DAC8AF0DDC}"/>
            </c:ext>
          </c:extLst>
        </c:ser>
        <c:ser>
          <c:idx val="5"/>
          <c:order val="5"/>
          <c:tx>
            <c:v>DSO</c:v>
          </c:tx>
          <c:spPr>
            <a:ln w="13335">
              <a:solidFill>
                <a:srgbClr val="8CB369"/>
              </a:solidFill>
              <a:prstDash val="solid"/>
            </a:ln>
          </c:spPr>
          <c:marker>
            <c:symbol val="none"/>
          </c:marker>
          <c:cat>
            <c:strRef>
              <c:f>FCCL!$D$17:$H$17</c:f>
              <c:strCache>
                <c:ptCount val="5"/>
                <c:pt idx="0">
                  <c:v>FY2021</c:v>
                </c:pt>
                <c:pt idx="1">
                  <c:v>FY2022</c:v>
                </c:pt>
                <c:pt idx="2">
                  <c:v>FY2023</c:v>
                </c:pt>
                <c:pt idx="3">
                  <c:v>FY2024</c:v>
                </c:pt>
                <c:pt idx="4">
                  <c:v>FY2025</c:v>
                </c:pt>
              </c:strCache>
            </c:strRef>
          </c:cat>
          <c:val>
            <c:numRef>
              <c:f>FCCL!$D$148:$H$148</c:f>
              <c:numCache>
                <c:formatCode>0;[Red]\(0\);"-"</c:formatCode>
                <c:ptCount val="5"/>
                <c:pt idx="0">
                  <c:v>18.799738044359827</c:v>
                </c:pt>
                <c:pt idx="1">
                  <c:v>12.994834386179642</c:v>
                </c:pt>
                <c:pt idx="2">
                  <c:v>16.046879229606091</c:v>
                </c:pt>
                <c:pt idx="3">
                  <c:v>20.792904753499183</c:v>
                </c:pt>
                <c:pt idx="4">
                  <c:v>25.555492212987932</c:v>
                </c:pt>
              </c:numCache>
            </c:numRef>
          </c:val>
          <c:smooth val="0"/>
          <c:extLst>
            <c:ext xmlns:c16="http://schemas.microsoft.com/office/drawing/2014/chart" uri="{C3380CC4-5D6E-409C-BE32-E72D297353CC}">
              <c16:uniqueId val="{00000005-E3B7-4ADF-8D14-D8DAC8AF0DDC}"/>
            </c:ext>
          </c:extLst>
        </c:ser>
        <c:ser>
          <c:idx val="6"/>
          <c:order val="6"/>
          <c:tx>
            <c:v>DPO</c:v>
          </c:tx>
          <c:spPr>
            <a:ln w="13335">
              <a:solidFill>
                <a:srgbClr val="C79A57"/>
              </a:solidFill>
              <a:prstDash val="solid"/>
            </a:ln>
          </c:spPr>
          <c:marker>
            <c:symbol val="none"/>
          </c:marker>
          <c:cat>
            <c:strRef>
              <c:f>FCCL!$D$17:$H$17</c:f>
              <c:strCache>
                <c:ptCount val="5"/>
                <c:pt idx="0">
                  <c:v>FY2021</c:v>
                </c:pt>
                <c:pt idx="1">
                  <c:v>FY2022</c:v>
                </c:pt>
                <c:pt idx="2">
                  <c:v>FY2023</c:v>
                </c:pt>
                <c:pt idx="3">
                  <c:v>FY2024</c:v>
                </c:pt>
                <c:pt idx="4">
                  <c:v>FY2025</c:v>
                </c:pt>
              </c:strCache>
            </c:strRef>
          </c:cat>
          <c:val>
            <c:numRef>
              <c:f>FCCL!$D$149:$H$149</c:f>
              <c:numCache>
                <c:formatCode>0;[Red]\(0\);"-"</c:formatCode>
                <c:ptCount val="5"/>
                <c:pt idx="0">
                  <c:v>12.205077421282503</c:v>
                </c:pt>
                <c:pt idx="1">
                  <c:v>16.688960895928066</c:v>
                </c:pt>
                <c:pt idx="2">
                  <c:v>20.323804785769745</c:v>
                </c:pt>
                <c:pt idx="3">
                  <c:v>17.96598297778959</c:v>
                </c:pt>
                <c:pt idx="4">
                  <c:v>15.14066821634052</c:v>
                </c:pt>
              </c:numCache>
            </c:numRef>
          </c:val>
          <c:smooth val="0"/>
          <c:extLst>
            <c:ext xmlns:c16="http://schemas.microsoft.com/office/drawing/2014/chart" uri="{C3380CC4-5D6E-409C-BE32-E72D297353CC}">
              <c16:uniqueId val="{00000006-E3B7-4ADF-8D14-D8DAC8AF0DDC}"/>
            </c:ext>
          </c:extLst>
        </c:ser>
        <c:ser>
          <c:idx val="7"/>
          <c:order val="7"/>
          <c:tx>
            <c:v>Cash conversion cycle</c:v>
          </c:tx>
          <c:spPr>
            <a:ln w="13335">
              <a:solidFill>
                <a:srgbClr val="648B98"/>
              </a:solidFill>
              <a:prstDash val="solid"/>
            </a:ln>
          </c:spPr>
          <c:marker>
            <c:symbol val="none"/>
          </c:marker>
          <c:cat>
            <c:strRef>
              <c:f>FCCL!$D$17:$H$17</c:f>
              <c:strCache>
                <c:ptCount val="5"/>
                <c:pt idx="0">
                  <c:v>FY2021</c:v>
                </c:pt>
                <c:pt idx="1">
                  <c:v>FY2022</c:v>
                </c:pt>
                <c:pt idx="2">
                  <c:v>FY2023</c:v>
                </c:pt>
                <c:pt idx="3">
                  <c:v>FY2024</c:v>
                </c:pt>
                <c:pt idx="4">
                  <c:v>FY2025</c:v>
                </c:pt>
              </c:strCache>
            </c:strRef>
          </c:cat>
          <c:val>
            <c:numRef>
              <c:f>FCCL!$D$151:$H$151</c:f>
              <c:numCache>
                <c:formatCode>0;[Red]\(0\);"-"</c:formatCode>
                <c:ptCount val="5"/>
                <c:pt idx="0">
                  <c:v>108.16978620747179</c:v>
                </c:pt>
                <c:pt idx="1">
                  <c:v>95.495277274339585</c:v>
                </c:pt>
                <c:pt idx="2">
                  <c:v>113.53363711445124</c:v>
                </c:pt>
                <c:pt idx="3">
                  <c:v>109.34104725924954</c:v>
                </c:pt>
                <c:pt idx="4">
                  <c:v>125.8888849956775</c:v>
                </c:pt>
              </c:numCache>
            </c:numRef>
          </c:val>
          <c:smooth val="0"/>
          <c:extLst>
            <c:ext xmlns:c16="http://schemas.microsoft.com/office/drawing/2014/chart" uri="{C3380CC4-5D6E-409C-BE32-E72D297353CC}">
              <c16:uniqueId val="{00000007-E3B7-4ADF-8D14-D8DAC8AF0DDC}"/>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Liquidity: current ratio (x)</a:t>
            </a:r>
          </a:p>
        </c:rich>
      </c:tx>
      <c:overlay val="0"/>
    </c:title>
    <c:autoTitleDeleted val="0"/>
    <c:plotArea>
      <c:layout/>
      <c:lineChart>
        <c:grouping val="standard"/>
        <c:varyColors val="0"/>
        <c:ser>
          <c:idx val="0"/>
          <c:order val="0"/>
          <c:tx>
            <c:v>FY2021</c:v>
          </c:tx>
          <c:marker>
            <c:symbol val="none"/>
          </c:marker>
          <c:cat>
            <c:strLit>
              <c:ptCount val="4"/>
              <c:pt idx="0">
                <c:v>Item 1</c:v>
              </c:pt>
              <c:pt idx="1">
                <c:v>Item 2</c:v>
              </c:pt>
              <c:pt idx="2">
                <c:v>Item 3</c:v>
              </c:pt>
              <c:pt idx="3">
                <c:v>Item 4</c:v>
              </c:pt>
            </c:strLit>
          </c:cat>
          <c:val>
            <c:numRef>
              <c:f>'Industry Comparison'!$D$8:$D$11</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0-48E8-4B43-BDCE-C007E684A085}"/>
            </c:ext>
          </c:extLst>
        </c:ser>
        <c:ser>
          <c:idx val="1"/>
          <c:order val="1"/>
          <c:tx>
            <c:v>KOHC</c:v>
          </c:tx>
          <c:spPr>
            <a:ln w="22860">
              <a:solidFill>
                <a:srgbClr val="204F3D"/>
              </a:solidFill>
              <a:prstDash val="solid"/>
            </a:ln>
          </c:spPr>
          <c:marker>
            <c:symbol val="none"/>
          </c:marker>
          <c:cat>
            <c:strRef>
              <c:f>'Industry Comparison'!$D$7:$D$11</c:f>
              <c:strCache>
                <c:ptCount val="5"/>
                <c:pt idx="0">
                  <c:v>FY2021</c:v>
                </c:pt>
                <c:pt idx="1">
                  <c:v>FY2022</c:v>
                </c:pt>
                <c:pt idx="2">
                  <c:v>FY2023</c:v>
                </c:pt>
                <c:pt idx="3">
                  <c:v>FY2024</c:v>
                </c:pt>
                <c:pt idx="4">
                  <c:v>FY2025</c:v>
                </c:pt>
              </c:strCache>
            </c:strRef>
          </c:cat>
          <c:val>
            <c:numRef>
              <c:f>'Industry Comparison'!$E$7:$E$11</c:f>
              <c:numCache>
                <c:formatCode>0.00"x";\(0.00\)"x";"-"</c:formatCode>
                <c:ptCount val="5"/>
                <c:pt idx="0">
                  <c:v>1.3006446691414961</c:v>
                </c:pt>
                <c:pt idx="1">
                  <c:v>1.8735085276109804</c:v>
                </c:pt>
                <c:pt idx="2">
                  <c:v>2.311570515459215</c:v>
                </c:pt>
                <c:pt idx="3">
                  <c:v>2.9031590530160019</c:v>
                </c:pt>
                <c:pt idx="4">
                  <c:v>3.311248687172772</c:v>
                </c:pt>
              </c:numCache>
            </c:numRef>
          </c:val>
          <c:smooth val="0"/>
          <c:extLst>
            <c:ext xmlns:c16="http://schemas.microsoft.com/office/drawing/2014/chart" uri="{C3380CC4-5D6E-409C-BE32-E72D297353CC}">
              <c16:uniqueId val="{00000001-48E8-4B43-BDCE-C007E684A085}"/>
            </c:ext>
          </c:extLst>
        </c:ser>
        <c:ser>
          <c:idx val="2"/>
          <c:order val="2"/>
          <c:tx>
            <c:v>Five-company sample average</c:v>
          </c:tx>
          <c:spPr>
            <a:ln w="13335">
              <a:solidFill>
                <a:srgbClr val="8CB369"/>
              </a:solidFill>
              <a:prstDash val="solid"/>
            </a:ln>
          </c:spPr>
          <c:marker>
            <c:symbol val="none"/>
          </c:marker>
          <c:cat>
            <c:strRef>
              <c:f>'Industry Comparison'!$D$7:$D$11</c:f>
              <c:strCache>
                <c:ptCount val="5"/>
                <c:pt idx="0">
                  <c:v>FY2021</c:v>
                </c:pt>
                <c:pt idx="1">
                  <c:v>FY2022</c:v>
                </c:pt>
                <c:pt idx="2">
                  <c:v>FY2023</c:v>
                </c:pt>
                <c:pt idx="3">
                  <c:v>FY2024</c:v>
                </c:pt>
                <c:pt idx="4">
                  <c:v>FY2025</c:v>
                </c:pt>
              </c:strCache>
            </c:strRef>
          </c:cat>
          <c:val>
            <c:numRef>
              <c:f>'Industry Comparison'!$J$7:$J$11</c:f>
              <c:numCache>
                <c:formatCode>0.00"x";\(0.00\)"x";"-"</c:formatCode>
                <c:ptCount val="5"/>
                <c:pt idx="0">
                  <c:v>1.410099888693426</c:v>
                </c:pt>
                <c:pt idx="1">
                  <c:v>1.3092077129783726</c:v>
                </c:pt>
                <c:pt idx="2">
                  <c:v>1.3174136472989262</c:v>
                </c:pt>
                <c:pt idx="3">
                  <c:v>1.5733986384849812</c:v>
                </c:pt>
                <c:pt idx="4">
                  <c:v>1.9456540162533476</c:v>
                </c:pt>
              </c:numCache>
            </c:numRef>
          </c:val>
          <c:smooth val="0"/>
          <c:extLst>
            <c:ext xmlns:c16="http://schemas.microsoft.com/office/drawing/2014/chart" uri="{C3380CC4-5D6E-409C-BE32-E72D297353CC}">
              <c16:uniqueId val="{00000002-48E8-4B43-BDCE-C007E684A085}"/>
            </c:ext>
          </c:extLst>
        </c:ser>
        <c:ser>
          <c:idx val="3"/>
          <c:order val="3"/>
          <c:tx>
            <c:v>Four-competitor average</c:v>
          </c:tx>
          <c:spPr>
            <a:ln w="13335">
              <a:solidFill>
                <a:srgbClr val="C79A57"/>
              </a:solidFill>
              <a:prstDash val="solid"/>
            </a:ln>
          </c:spPr>
          <c:marker>
            <c:symbol val="none"/>
          </c:marker>
          <c:cat>
            <c:strRef>
              <c:f>'Industry Comparison'!$D$7:$D$11</c:f>
              <c:strCache>
                <c:ptCount val="5"/>
                <c:pt idx="0">
                  <c:v>FY2021</c:v>
                </c:pt>
                <c:pt idx="1">
                  <c:v>FY2022</c:v>
                </c:pt>
                <c:pt idx="2">
                  <c:v>FY2023</c:v>
                </c:pt>
                <c:pt idx="3">
                  <c:v>FY2024</c:v>
                </c:pt>
                <c:pt idx="4">
                  <c:v>FY2025</c:v>
                </c:pt>
              </c:strCache>
            </c:strRef>
          </c:cat>
          <c:val>
            <c:numRef>
              <c:f>'Industry Comparison'!$M$7:$M$11</c:f>
              <c:numCache>
                <c:formatCode>0.00"x";\(0.00\)"x";"-"</c:formatCode>
                <c:ptCount val="5"/>
                <c:pt idx="0">
                  <c:v>1.437463693581408</c:v>
                </c:pt>
                <c:pt idx="1">
                  <c:v>1.1681325093202206</c:v>
                </c:pt>
                <c:pt idx="2">
                  <c:v>1.068874430258854</c:v>
                </c:pt>
                <c:pt idx="3">
                  <c:v>1.2409585348522258</c:v>
                </c:pt>
                <c:pt idx="4">
                  <c:v>1.6042553485234912</c:v>
                </c:pt>
              </c:numCache>
            </c:numRef>
          </c:val>
          <c:smooth val="0"/>
          <c:extLst>
            <c:ext xmlns:c16="http://schemas.microsoft.com/office/drawing/2014/chart" uri="{C3380CC4-5D6E-409C-BE32-E72D297353CC}">
              <c16:uniqueId val="{00000003-48E8-4B43-BDCE-C007E684A08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Asset efficiency: total asset turnover (x)</a:t>
            </a:r>
          </a:p>
        </c:rich>
      </c:tx>
      <c:overlay val="0"/>
    </c:title>
    <c:autoTitleDeleted val="0"/>
    <c:plotArea>
      <c:layout/>
      <c:lineChart>
        <c:grouping val="standard"/>
        <c:varyColors val="0"/>
        <c:ser>
          <c:idx val="0"/>
          <c:order val="0"/>
          <c:tx>
            <c:v>FY2021</c:v>
          </c:tx>
          <c:marker>
            <c:symbol val="none"/>
          </c:marker>
          <c:cat>
            <c:strLit>
              <c:ptCount val="4"/>
              <c:pt idx="0">
                <c:v>Item 1</c:v>
              </c:pt>
              <c:pt idx="1">
                <c:v>Item 2</c:v>
              </c:pt>
              <c:pt idx="2">
                <c:v>Item 3</c:v>
              </c:pt>
              <c:pt idx="3">
                <c:v>Item 4</c:v>
              </c:pt>
            </c:strLit>
          </c:cat>
          <c:val>
            <c:numRef>
              <c:f>'Industry Comparison'!$D$87:$D$90</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0-3115-416E-A5DC-4BBB0C40C77C}"/>
            </c:ext>
          </c:extLst>
        </c:ser>
        <c:ser>
          <c:idx val="1"/>
          <c:order val="1"/>
          <c:tx>
            <c:v>KOHC</c:v>
          </c:tx>
          <c:spPr>
            <a:ln w="22860">
              <a:solidFill>
                <a:srgbClr val="204F3D"/>
              </a:solidFill>
              <a:prstDash val="solid"/>
            </a:ln>
          </c:spPr>
          <c:marker>
            <c:symbol val="none"/>
          </c:marker>
          <c:cat>
            <c:strRef>
              <c:f>'Industry Comparison'!$D$86:$D$90</c:f>
              <c:strCache>
                <c:ptCount val="5"/>
                <c:pt idx="0">
                  <c:v>FY2021</c:v>
                </c:pt>
                <c:pt idx="1">
                  <c:v>FY2022</c:v>
                </c:pt>
                <c:pt idx="2">
                  <c:v>FY2023</c:v>
                </c:pt>
                <c:pt idx="3">
                  <c:v>FY2024</c:v>
                </c:pt>
                <c:pt idx="4">
                  <c:v>FY2025</c:v>
                </c:pt>
              </c:strCache>
            </c:strRef>
          </c:cat>
          <c:val>
            <c:numRef>
              <c:f>'Industry Comparison'!$E$86:$E$90</c:f>
              <c:numCache>
                <c:formatCode>0.00"x";\(0.00\)"x";"-"</c:formatCode>
                <c:ptCount val="5"/>
                <c:pt idx="0">
                  <c:v>0.70920116218432216</c:v>
                </c:pt>
                <c:pt idx="1">
                  <c:v>0.82774287277782643</c:v>
                </c:pt>
                <c:pt idx="2">
                  <c:v>0.83809913508098699</c:v>
                </c:pt>
                <c:pt idx="3">
                  <c:v>0.71323366076722194</c:v>
                </c:pt>
                <c:pt idx="4">
                  <c:v>0.59752332567837996</c:v>
                </c:pt>
              </c:numCache>
            </c:numRef>
          </c:val>
          <c:smooth val="0"/>
          <c:extLst>
            <c:ext xmlns:c16="http://schemas.microsoft.com/office/drawing/2014/chart" uri="{C3380CC4-5D6E-409C-BE32-E72D297353CC}">
              <c16:uniqueId val="{00000001-3115-416E-A5DC-4BBB0C40C77C}"/>
            </c:ext>
          </c:extLst>
        </c:ser>
        <c:ser>
          <c:idx val="2"/>
          <c:order val="2"/>
          <c:tx>
            <c:v>Five-company sample average</c:v>
          </c:tx>
          <c:spPr>
            <a:ln w="13335">
              <a:solidFill>
                <a:srgbClr val="8CB369"/>
              </a:solidFill>
              <a:prstDash val="solid"/>
            </a:ln>
          </c:spPr>
          <c:marker>
            <c:symbol val="none"/>
          </c:marker>
          <c:cat>
            <c:strRef>
              <c:f>'Industry Comparison'!$D$86:$D$90</c:f>
              <c:strCache>
                <c:ptCount val="5"/>
                <c:pt idx="0">
                  <c:v>FY2021</c:v>
                </c:pt>
                <c:pt idx="1">
                  <c:v>FY2022</c:v>
                </c:pt>
                <c:pt idx="2">
                  <c:v>FY2023</c:v>
                </c:pt>
                <c:pt idx="3">
                  <c:v>FY2024</c:v>
                </c:pt>
                <c:pt idx="4">
                  <c:v>FY2025</c:v>
                </c:pt>
              </c:strCache>
            </c:strRef>
          </c:cat>
          <c:val>
            <c:numRef>
              <c:f>'Industry Comparison'!$J$86:$J$90</c:f>
              <c:numCache>
                <c:formatCode>0.00"x";\(0.00\)"x";"-"</c:formatCode>
                <c:ptCount val="5"/>
                <c:pt idx="0">
                  <c:v>0.5564137285108437</c:v>
                </c:pt>
                <c:pt idx="1">
                  <c:v>0.62275972619698128</c:v>
                </c:pt>
                <c:pt idx="2">
                  <c:v>0.61199107513283491</c:v>
                </c:pt>
                <c:pt idx="3">
                  <c:v>0.59487675301144927</c:v>
                </c:pt>
                <c:pt idx="4">
                  <c:v>0.56168279074324179</c:v>
                </c:pt>
              </c:numCache>
            </c:numRef>
          </c:val>
          <c:smooth val="0"/>
          <c:extLst>
            <c:ext xmlns:c16="http://schemas.microsoft.com/office/drawing/2014/chart" uri="{C3380CC4-5D6E-409C-BE32-E72D297353CC}">
              <c16:uniqueId val="{00000002-3115-416E-A5DC-4BBB0C40C77C}"/>
            </c:ext>
          </c:extLst>
        </c:ser>
        <c:ser>
          <c:idx val="3"/>
          <c:order val="3"/>
          <c:tx>
            <c:v>Four-competitor average</c:v>
          </c:tx>
          <c:spPr>
            <a:ln w="13335">
              <a:solidFill>
                <a:srgbClr val="C79A57"/>
              </a:solidFill>
              <a:prstDash val="solid"/>
            </a:ln>
          </c:spPr>
          <c:marker>
            <c:symbol val="none"/>
          </c:marker>
          <c:cat>
            <c:strRef>
              <c:f>'Industry Comparison'!$D$86:$D$90</c:f>
              <c:strCache>
                <c:ptCount val="5"/>
                <c:pt idx="0">
                  <c:v>FY2021</c:v>
                </c:pt>
                <c:pt idx="1">
                  <c:v>FY2022</c:v>
                </c:pt>
                <c:pt idx="2">
                  <c:v>FY2023</c:v>
                </c:pt>
                <c:pt idx="3">
                  <c:v>FY2024</c:v>
                </c:pt>
                <c:pt idx="4">
                  <c:v>FY2025</c:v>
                </c:pt>
              </c:strCache>
            </c:strRef>
          </c:cat>
          <c:val>
            <c:numRef>
              <c:f>'Industry Comparison'!$M$86:$M$90</c:f>
              <c:numCache>
                <c:formatCode>0.00"x";\(0.00\)"x";"-"</c:formatCode>
                <c:ptCount val="5"/>
                <c:pt idx="0">
                  <c:v>0.51821687009247408</c:v>
                </c:pt>
                <c:pt idx="1">
                  <c:v>0.57151393955176999</c:v>
                </c:pt>
                <c:pt idx="2">
                  <c:v>0.55546406014579686</c:v>
                </c:pt>
                <c:pt idx="3">
                  <c:v>0.5652875260725061</c:v>
                </c:pt>
                <c:pt idx="4">
                  <c:v>0.55272265700945722</c:v>
                </c:pt>
              </c:numCache>
            </c:numRef>
          </c:val>
          <c:smooth val="0"/>
          <c:extLst>
            <c:ext xmlns:c16="http://schemas.microsoft.com/office/drawing/2014/chart" uri="{C3380CC4-5D6E-409C-BE32-E72D297353CC}">
              <c16:uniqueId val="{00000003-3115-416E-A5DC-4BBB0C40C77C}"/>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Working capital: cash conversion cycle (days)</a:t>
            </a:r>
          </a:p>
        </c:rich>
      </c:tx>
      <c:overlay val="0"/>
    </c:title>
    <c:autoTitleDeleted val="0"/>
    <c:plotArea>
      <c:layout/>
      <c:lineChart>
        <c:grouping val="standard"/>
        <c:varyColors val="0"/>
        <c:ser>
          <c:idx val="0"/>
          <c:order val="0"/>
          <c:tx>
            <c:v>FY2021</c:v>
          </c:tx>
          <c:marker>
            <c:symbol val="none"/>
          </c:marker>
          <c:cat>
            <c:strLit>
              <c:ptCount val="4"/>
              <c:pt idx="0">
                <c:v>Item 1</c:v>
              </c:pt>
              <c:pt idx="1">
                <c:v>Item 2</c:v>
              </c:pt>
              <c:pt idx="2">
                <c:v>Item 3</c:v>
              </c:pt>
              <c:pt idx="3">
                <c:v>Item 4</c:v>
              </c:pt>
            </c:strLit>
          </c:cat>
          <c:val>
            <c:numRef>
              <c:f>'Industry Comparison'!$D$81:$D$84</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0-314A-4EF7-A076-4F71A284A642}"/>
            </c:ext>
          </c:extLst>
        </c:ser>
        <c:ser>
          <c:idx val="1"/>
          <c:order val="1"/>
          <c:tx>
            <c:v>KOHC</c:v>
          </c:tx>
          <c:spPr>
            <a:ln w="22860">
              <a:solidFill>
                <a:srgbClr val="204F3D"/>
              </a:solidFill>
              <a:prstDash val="solid"/>
            </a:ln>
          </c:spPr>
          <c:marker>
            <c:symbol val="none"/>
          </c:marker>
          <c:cat>
            <c:strRef>
              <c:f>'Industry Comparison'!$D$80:$D$84</c:f>
              <c:strCache>
                <c:ptCount val="5"/>
                <c:pt idx="0">
                  <c:v>FY2021</c:v>
                </c:pt>
                <c:pt idx="1">
                  <c:v>FY2022</c:v>
                </c:pt>
                <c:pt idx="2">
                  <c:v>FY2023</c:v>
                </c:pt>
                <c:pt idx="3">
                  <c:v>FY2024</c:v>
                </c:pt>
                <c:pt idx="4">
                  <c:v>FY2025</c:v>
                </c:pt>
              </c:strCache>
            </c:strRef>
          </c:cat>
          <c:val>
            <c:numRef>
              <c:f>'Industry Comparison'!$E$80:$E$84</c:f>
              <c:numCache>
                <c:formatCode>0;[Red]\(0\);"-"</c:formatCode>
                <c:ptCount val="5"/>
                <c:pt idx="0">
                  <c:v>59.663348643286582</c:v>
                </c:pt>
                <c:pt idx="1">
                  <c:v>66.072195835682862</c:v>
                </c:pt>
                <c:pt idx="2">
                  <c:v>82.788876163092851</c:v>
                </c:pt>
                <c:pt idx="3">
                  <c:v>100.80234556959385</c:v>
                </c:pt>
                <c:pt idx="4">
                  <c:v>108.04716265276964</c:v>
                </c:pt>
              </c:numCache>
            </c:numRef>
          </c:val>
          <c:smooth val="0"/>
          <c:extLst>
            <c:ext xmlns:c16="http://schemas.microsoft.com/office/drawing/2014/chart" uri="{C3380CC4-5D6E-409C-BE32-E72D297353CC}">
              <c16:uniqueId val="{00000001-314A-4EF7-A076-4F71A284A642}"/>
            </c:ext>
          </c:extLst>
        </c:ser>
        <c:ser>
          <c:idx val="2"/>
          <c:order val="2"/>
          <c:tx>
            <c:v>Five-company sample average</c:v>
          </c:tx>
          <c:spPr>
            <a:ln w="13335">
              <a:solidFill>
                <a:srgbClr val="8CB369"/>
              </a:solidFill>
              <a:prstDash val="solid"/>
            </a:ln>
          </c:spPr>
          <c:marker>
            <c:symbol val="none"/>
          </c:marker>
          <c:cat>
            <c:strRef>
              <c:f>'Industry Comparison'!$D$80:$D$84</c:f>
              <c:strCache>
                <c:ptCount val="5"/>
                <c:pt idx="0">
                  <c:v>FY2021</c:v>
                </c:pt>
                <c:pt idx="1">
                  <c:v>FY2022</c:v>
                </c:pt>
                <c:pt idx="2">
                  <c:v>FY2023</c:v>
                </c:pt>
                <c:pt idx="3">
                  <c:v>FY2024</c:v>
                </c:pt>
                <c:pt idx="4">
                  <c:v>FY2025</c:v>
                </c:pt>
              </c:strCache>
            </c:strRef>
          </c:cat>
          <c:val>
            <c:numRef>
              <c:f>'Industry Comparison'!$J$80:$J$84</c:f>
              <c:numCache>
                <c:formatCode>0;[Red]\(0\);"-"</c:formatCode>
                <c:ptCount val="5"/>
                <c:pt idx="0">
                  <c:v>94.610252668450471</c:v>
                </c:pt>
                <c:pt idx="1">
                  <c:v>96.693643860200453</c:v>
                </c:pt>
                <c:pt idx="2">
                  <c:v>101.10606284117253</c:v>
                </c:pt>
                <c:pt idx="3">
                  <c:v>99.993570007307085</c:v>
                </c:pt>
                <c:pt idx="4">
                  <c:v>109.44067033162476</c:v>
                </c:pt>
              </c:numCache>
            </c:numRef>
          </c:val>
          <c:smooth val="0"/>
          <c:extLst>
            <c:ext xmlns:c16="http://schemas.microsoft.com/office/drawing/2014/chart" uri="{C3380CC4-5D6E-409C-BE32-E72D297353CC}">
              <c16:uniqueId val="{00000002-314A-4EF7-A076-4F71A284A642}"/>
            </c:ext>
          </c:extLst>
        </c:ser>
        <c:ser>
          <c:idx val="3"/>
          <c:order val="3"/>
          <c:tx>
            <c:v>Four-competitor average</c:v>
          </c:tx>
          <c:spPr>
            <a:ln w="13335">
              <a:solidFill>
                <a:srgbClr val="C79A57"/>
              </a:solidFill>
              <a:prstDash val="solid"/>
            </a:ln>
          </c:spPr>
          <c:marker>
            <c:symbol val="none"/>
          </c:marker>
          <c:cat>
            <c:strRef>
              <c:f>'Industry Comparison'!$D$80:$D$84</c:f>
              <c:strCache>
                <c:ptCount val="5"/>
                <c:pt idx="0">
                  <c:v>FY2021</c:v>
                </c:pt>
                <c:pt idx="1">
                  <c:v>FY2022</c:v>
                </c:pt>
                <c:pt idx="2">
                  <c:v>FY2023</c:v>
                </c:pt>
                <c:pt idx="3">
                  <c:v>FY2024</c:v>
                </c:pt>
                <c:pt idx="4">
                  <c:v>FY2025</c:v>
                </c:pt>
              </c:strCache>
            </c:strRef>
          </c:cat>
          <c:val>
            <c:numRef>
              <c:f>'Industry Comparison'!$M$80:$M$84</c:f>
              <c:numCache>
                <c:formatCode>0;[Red]\(0\);"-"</c:formatCode>
                <c:ptCount val="5"/>
                <c:pt idx="0">
                  <c:v>103.34697867474145</c:v>
                </c:pt>
                <c:pt idx="1">
                  <c:v>104.34900586632985</c:v>
                </c:pt>
                <c:pt idx="2">
                  <c:v>105.68535951069242</c:v>
                </c:pt>
                <c:pt idx="3">
                  <c:v>99.791376116735393</c:v>
                </c:pt>
                <c:pt idx="4">
                  <c:v>109.78904725133853</c:v>
                </c:pt>
              </c:numCache>
            </c:numRef>
          </c:val>
          <c:smooth val="0"/>
          <c:extLst>
            <c:ext xmlns:c16="http://schemas.microsoft.com/office/drawing/2014/chart" uri="{C3380CC4-5D6E-409C-BE32-E72D297353CC}">
              <c16:uniqueId val="{00000003-314A-4EF7-A076-4F71A284A642}"/>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Leverage: debt ratio (TL/TA)</a:t>
            </a:r>
          </a:p>
        </c:rich>
      </c:tx>
      <c:overlay val="0"/>
    </c:title>
    <c:autoTitleDeleted val="0"/>
    <c:plotArea>
      <c:layout/>
      <c:lineChart>
        <c:grouping val="standard"/>
        <c:varyColors val="0"/>
        <c:ser>
          <c:idx val="0"/>
          <c:order val="0"/>
          <c:tx>
            <c:v>FY2021</c:v>
          </c:tx>
          <c:marker>
            <c:symbol val="none"/>
          </c:marker>
          <c:cat>
            <c:strLit>
              <c:ptCount val="4"/>
              <c:pt idx="0">
                <c:v>Item 1</c:v>
              </c:pt>
              <c:pt idx="1">
                <c:v>Item 2</c:v>
              </c:pt>
              <c:pt idx="2">
                <c:v>Item 3</c:v>
              </c:pt>
              <c:pt idx="3">
                <c:v>Item 4</c:v>
              </c:pt>
            </c:strLit>
          </c:cat>
          <c:val>
            <c:numRef>
              <c:f>'Industry Comparison'!$D$100:$D$103</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0-BF4A-4FAD-B2C1-F89DFB2DE75B}"/>
            </c:ext>
          </c:extLst>
        </c:ser>
        <c:ser>
          <c:idx val="1"/>
          <c:order val="1"/>
          <c:tx>
            <c:v>KOHC</c:v>
          </c:tx>
          <c:spPr>
            <a:ln w="22860">
              <a:solidFill>
                <a:srgbClr val="204F3D"/>
              </a:solidFill>
              <a:prstDash val="solid"/>
            </a:ln>
          </c:spPr>
          <c:marker>
            <c:symbol val="none"/>
          </c:marker>
          <c:cat>
            <c:strRef>
              <c:f>'Industry Comparison'!$D$99:$D$103</c:f>
              <c:strCache>
                <c:ptCount val="5"/>
                <c:pt idx="0">
                  <c:v>FY2021</c:v>
                </c:pt>
                <c:pt idx="1">
                  <c:v>FY2022</c:v>
                </c:pt>
                <c:pt idx="2">
                  <c:v>FY2023</c:v>
                </c:pt>
                <c:pt idx="3">
                  <c:v>FY2024</c:v>
                </c:pt>
                <c:pt idx="4">
                  <c:v>FY2025</c:v>
                </c:pt>
              </c:strCache>
            </c:strRef>
          </c:cat>
          <c:val>
            <c:numRef>
              <c:f>'Industry Comparison'!$E$99:$E$103</c:f>
              <c:numCache>
                <c:formatCode>0.00%;\(0.00%\);"-"</c:formatCode>
                <c:ptCount val="5"/>
                <c:pt idx="0">
                  <c:v>0.38416638255503399</c:v>
                </c:pt>
                <c:pt idx="1">
                  <c:v>0.37149249167170456</c:v>
                </c:pt>
                <c:pt idx="2">
                  <c:v>0.34161124098483342</c:v>
                </c:pt>
                <c:pt idx="3">
                  <c:v>0.30169945185029512</c:v>
                </c:pt>
                <c:pt idx="4">
                  <c:v>0.28204672647028445</c:v>
                </c:pt>
              </c:numCache>
            </c:numRef>
          </c:val>
          <c:smooth val="0"/>
          <c:extLst>
            <c:ext xmlns:c16="http://schemas.microsoft.com/office/drawing/2014/chart" uri="{C3380CC4-5D6E-409C-BE32-E72D297353CC}">
              <c16:uniqueId val="{00000001-BF4A-4FAD-B2C1-F89DFB2DE75B}"/>
            </c:ext>
          </c:extLst>
        </c:ser>
        <c:ser>
          <c:idx val="2"/>
          <c:order val="2"/>
          <c:tx>
            <c:v>Five-company sample average</c:v>
          </c:tx>
          <c:spPr>
            <a:ln w="13335">
              <a:solidFill>
                <a:srgbClr val="8CB369"/>
              </a:solidFill>
              <a:prstDash val="solid"/>
            </a:ln>
          </c:spPr>
          <c:marker>
            <c:symbol val="none"/>
          </c:marker>
          <c:cat>
            <c:strRef>
              <c:f>'Industry Comparison'!$D$99:$D$103</c:f>
              <c:strCache>
                <c:ptCount val="5"/>
                <c:pt idx="0">
                  <c:v>FY2021</c:v>
                </c:pt>
                <c:pt idx="1">
                  <c:v>FY2022</c:v>
                </c:pt>
                <c:pt idx="2">
                  <c:v>FY2023</c:v>
                </c:pt>
                <c:pt idx="3">
                  <c:v>FY2024</c:v>
                </c:pt>
                <c:pt idx="4">
                  <c:v>FY2025</c:v>
                </c:pt>
              </c:strCache>
            </c:strRef>
          </c:cat>
          <c:val>
            <c:numRef>
              <c:f>'Industry Comparison'!$J$99:$J$103</c:f>
              <c:numCache>
                <c:formatCode>0.00%;\(0.00%\);"-"</c:formatCode>
                <c:ptCount val="5"/>
                <c:pt idx="0">
                  <c:v>0.37541533325762799</c:v>
                </c:pt>
                <c:pt idx="1">
                  <c:v>0.43268314582304657</c:v>
                </c:pt>
                <c:pt idx="2">
                  <c:v>0.45005954533660519</c:v>
                </c:pt>
                <c:pt idx="3">
                  <c:v>0.41910484235226975</c:v>
                </c:pt>
                <c:pt idx="4">
                  <c:v>0.36998489383571476</c:v>
                </c:pt>
              </c:numCache>
            </c:numRef>
          </c:val>
          <c:smooth val="0"/>
          <c:extLst>
            <c:ext xmlns:c16="http://schemas.microsoft.com/office/drawing/2014/chart" uri="{C3380CC4-5D6E-409C-BE32-E72D297353CC}">
              <c16:uniqueId val="{00000002-BF4A-4FAD-B2C1-F89DFB2DE75B}"/>
            </c:ext>
          </c:extLst>
        </c:ser>
        <c:ser>
          <c:idx val="3"/>
          <c:order val="3"/>
          <c:tx>
            <c:v>Four-competitor average</c:v>
          </c:tx>
          <c:spPr>
            <a:ln w="13335">
              <a:solidFill>
                <a:srgbClr val="C79A57"/>
              </a:solidFill>
              <a:prstDash val="solid"/>
            </a:ln>
          </c:spPr>
          <c:marker>
            <c:symbol val="none"/>
          </c:marker>
          <c:cat>
            <c:strRef>
              <c:f>'Industry Comparison'!$D$99:$D$103</c:f>
              <c:strCache>
                <c:ptCount val="5"/>
                <c:pt idx="0">
                  <c:v>FY2021</c:v>
                </c:pt>
                <c:pt idx="1">
                  <c:v>FY2022</c:v>
                </c:pt>
                <c:pt idx="2">
                  <c:v>FY2023</c:v>
                </c:pt>
                <c:pt idx="3">
                  <c:v>FY2024</c:v>
                </c:pt>
                <c:pt idx="4">
                  <c:v>FY2025</c:v>
                </c:pt>
              </c:strCache>
            </c:strRef>
          </c:cat>
          <c:val>
            <c:numRef>
              <c:f>'Industry Comparison'!$M$99:$M$103</c:f>
              <c:numCache>
                <c:formatCode>0.00%;\(0.00%\);"-"</c:formatCode>
                <c:ptCount val="5"/>
                <c:pt idx="0">
                  <c:v>0.37322757093327652</c:v>
                </c:pt>
                <c:pt idx="1">
                  <c:v>0.44798080936088208</c:v>
                </c:pt>
                <c:pt idx="2">
                  <c:v>0.47717162142454816</c:v>
                </c:pt>
                <c:pt idx="3">
                  <c:v>0.44845618997776338</c:v>
                </c:pt>
                <c:pt idx="4">
                  <c:v>0.39196943567707232</c:v>
                </c:pt>
              </c:numCache>
            </c:numRef>
          </c:val>
          <c:smooth val="0"/>
          <c:extLst>
            <c:ext xmlns:c16="http://schemas.microsoft.com/office/drawing/2014/chart" uri="{C3380CC4-5D6E-409C-BE32-E72D297353CC}">
              <c16:uniqueId val="{00000003-BF4A-4FAD-B2C1-F89DFB2DE75B}"/>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Debt service: times interest earned (x)</a:t>
            </a:r>
          </a:p>
        </c:rich>
      </c:tx>
      <c:overlay val="0"/>
    </c:title>
    <c:autoTitleDeleted val="0"/>
    <c:plotArea>
      <c:layout/>
      <c:lineChart>
        <c:grouping val="standard"/>
        <c:varyColors val="0"/>
        <c:ser>
          <c:idx val="0"/>
          <c:order val="0"/>
          <c:tx>
            <c:v>FY2021</c:v>
          </c:tx>
          <c:marker>
            <c:symbol val="none"/>
          </c:marker>
          <c:cat>
            <c:strLit>
              <c:ptCount val="4"/>
              <c:pt idx="0">
                <c:v>Item 1</c:v>
              </c:pt>
              <c:pt idx="1">
                <c:v>Item 2</c:v>
              </c:pt>
              <c:pt idx="2">
                <c:v>Item 3</c:v>
              </c:pt>
              <c:pt idx="3">
                <c:v>Item 4</c:v>
              </c:pt>
            </c:strLit>
          </c:cat>
          <c:val>
            <c:numRef>
              <c:f>'Industry Comparison'!$D$124:$D$127</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0-6BD0-4AE7-870C-5200A872700D}"/>
            </c:ext>
          </c:extLst>
        </c:ser>
        <c:ser>
          <c:idx val="1"/>
          <c:order val="1"/>
          <c:tx>
            <c:v>KOHC</c:v>
          </c:tx>
          <c:spPr>
            <a:ln w="22860">
              <a:solidFill>
                <a:srgbClr val="204F3D"/>
              </a:solidFill>
              <a:prstDash val="solid"/>
            </a:ln>
          </c:spPr>
          <c:marker>
            <c:symbol val="none"/>
          </c:marker>
          <c:cat>
            <c:strRef>
              <c:f>'Industry Comparison'!$D$123:$D$127</c:f>
              <c:strCache>
                <c:ptCount val="5"/>
                <c:pt idx="0">
                  <c:v>FY2021</c:v>
                </c:pt>
                <c:pt idx="1">
                  <c:v>FY2022</c:v>
                </c:pt>
                <c:pt idx="2">
                  <c:v>FY2023</c:v>
                </c:pt>
                <c:pt idx="3">
                  <c:v>FY2024</c:v>
                </c:pt>
                <c:pt idx="4">
                  <c:v>FY2025</c:v>
                </c:pt>
              </c:strCache>
            </c:strRef>
          </c:cat>
          <c:val>
            <c:numRef>
              <c:f>'Industry Comparison'!$E$123:$E$127</c:f>
              <c:numCache>
                <c:formatCode>0.00"x";\(0.00\)"x";"-"</c:formatCode>
                <c:ptCount val="5"/>
                <c:pt idx="0">
                  <c:v>11.019706901181747</c:v>
                </c:pt>
                <c:pt idx="1">
                  <c:v>18.36315245249661</c:v>
                </c:pt>
                <c:pt idx="2">
                  <c:v>16.398825279873954</c:v>
                </c:pt>
                <c:pt idx="3">
                  <c:v>22.367720224205137</c:v>
                </c:pt>
                <c:pt idx="4">
                  <c:v>59.098953198372307</c:v>
                </c:pt>
              </c:numCache>
            </c:numRef>
          </c:val>
          <c:smooth val="0"/>
          <c:extLst>
            <c:ext xmlns:c16="http://schemas.microsoft.com/office/drawing/2014/chart" uri="{C3380CC4-5D6E-409C-BE32-E72D297353CC}">
              <c16:uniqueId val="{00000001-6BD0-4AE7-870C-5200A872700D}"/>
            </c:ext>
          </c:extLst>
        </c:ser>
        <c:ser>
          <c:idx val="2"/>
          <c:order val="2"/>
          <c:tx>
            <c:v>Five-company sample average</c:v>
          </c:tx>
          <c:spPr>
            <a:ln w="13335">
              <a:solidFill>
                <a:srgbClr val="8CB369"/>
              </a:solidFill>
              <a:prstDash val="solid"/>
            </a:ln>
          </c:spPr>
          <c:marker>
            <c:symbol val="none"/>
          </c:marker>
          <c:cat>
            <c:strRef>
              <c:f>'Industry Comparison'!$D$123:$D$127</c:f>
              <c:strCache>
                <c:ptCount val="5"/>
                <c:pt idx="0">
                  <c:v>FY2021</c:v>
                </c:pt>
                <c:pt idx="1">
                  <c:v>FY2022</c:v>
                </c:pt>
                <c:pt idx="2">
                  <c:v>FY2023</c:v>
                </c:pt>
                <c:pt idx="3">
                  <c:v>FY2024</c:v>
                </c:pt>
                <c:pt idx="4">
                  <c:v>FY2025</c:v>
                </c:pt>
              </c:strCache>
            </c:strRef>
          </c:cat>
          <c:val>
            <c:numRef>
              <c:f>'Industry Comparison'!$J$123:$J$127</c:f>
              <c:numCache>
                <c:formatCode>0.00"x";\(0.00\)"x";"-"</c:formatCode>
                <c:ptCount val="5"/>
                <c:pt idx="0">
                  <c:v>25.68744083064653</c:v>
                </c:pt>
                <c:pt idx="1">
                  <c:v>18.887553758740463</c:v>
                </c:pt>
                <c:pt idx="2">
                  <c:v>9.6161158697668299</c:v>
                </c:pt>
                <c:pt idx="3">
                  <c:v>11.65500675691597</c:v>
                </c:pt>
                <c:pt idx="4">
                  <c:v>22.487796039763474</c:v>
                </c:pt>
              </c:numCache>
            </c:numRef>
          </c:val>
          <c:smooth val="0"/>
          <c:extLst>
            <c:ext xmlns:c16="http://schemas.microsoft.com/office/drawing/2014/chart" uri="{C3380CC4-5D6E-409C-BE32-E72D297353CC}">
              <c16:uniqueId val="{00000002-6BD0-4AE7-870C-5200A872700D}"/>
            </c:ext>
          </c:extLst>
        </c:ser>
        <c:ser>
          <c:idx val="3"/>
          <c:order val="3"/>
          <c:tx>
            <c:v>Four-competitor average</c:v>
          </c:tx>
          <c:spPr>
            <a:ln w="13335">
              <a:solidFill>
                <a:srgbClr val="C79A57"/>
              </a:solidFill>
              <a:prstDash val="solid"/>
            </a:ln>
          </c:spPr>
          <c:marker>
            <c:symbol val="none"/>
          </c:marker>
          <c:cat>
            <c:strRef>
              <c:f>'Industry Comparison'!$D$123:$D$127</c:f>
              <c:strCache>
                <c:ptCount val="5"/>
                <c:pt idx="0">
                  <c:v>FY2021</c:v>
                </c:pt>
                <c:pt idx="1">
                  <c:v>FY2022</c:v>
                </c:pt>
                <c:pt idx="2">
                  <c:v>FY2023</c:v>
                </c:pt>
                <c:pt idx="3">
                  <c:v>FY2024</c:v>
                </c:pt>
                <c:pt idx="4">
                  <c:v>FY2025</c:v>
                </c:pt>
              </c:strCache>
            </c:strRef>
          </c:cat>
          <c:val>
            <c:numRef>
              <c:f>'Industry Comparison'!$M$123:$M$127</c:f>
              <c:numCache>
                <c:formatCode>0.00"x";\(0.00\)"x";"-"</c:formatCode>
                <c:ptCount val="5"/>
                <c:pt idx="0">
                  <c:v>29.35437431301272</c:v>
                </c:pt>
                <c:pt idx="1">
                  <c:v>19.018654085301428</c:v>
                </c:pt>
                <c:pt idx="2">
                  <c:v>7.920438517240048</c:v>
                </c:pt>
                <c:pt idx="3">
                  <c:v>8.9768283900936758</c:v>
                </c:pt>
                <c:pt idx="4">
                  <c:v>13.335006750111265</c:v>
                </c:pt>
              </c:numCache>
            </c:numRef>
          </c:val>
          <c:smooth val="0"/>
          <c:extLst>
            <c:ext xmlns:c16="http://schemas.microsoft.com/office/drawing/2014/chart" uri="{C3380CC4-5D6E-409C-BE32-E72D297353CC}">
              <c16:uniqueId val="{00000003-6BD0-4AE7-870C-5200A872700D}"/>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Profitability: net profit margin</a:t>
            </a:r>
          </a:p>
        </c:rich>
      </c:tx>
      <c:overlay val="0"/>
    </c:title>
    <c:autoTitleDeleted val="0"/>
    <c:plotArea>
      <c:layout/>
      <c:lineChart>
        <c:grouping val="standard"/>
        <c:varyColors val="0"/>
        <c:ser>
          <c:idx val="0"/>
          <c:order val="0"/>
          <c:tx>
            <c:v>FY2021</c:v>
          </c:tx>
          <c:marker>
            <c:symbol val="none"/>
          </c:marker>
          <c:cat>
            <c:strLit>
              <c:ptCount val="4"/>
              <c:pt idx="0">
                <c:v>Item 1</c:v>
              </c:pt>
              <c:pt idx="1">
                <c:v>Item 2</c:v>
              </c:pt>
              <c:pt idx="2">
                <c:v>Item 3</c:v>
              </c:pt>
              <c:pt idx="3">
                <c:v>Item 4</c:v>
              </c:pt>
            </c:strLit>
          </c:cat>
          <c:val>
            <c:numRef>
              <c:f>'Industry Comparison'!$D$143:$D$146</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0-DA87-4E35-AD17-DCE5C7E17886}"/>
            </c:ext>
          </c:extLst>
        </c:ser>
        <c:ser>
          <c:idx val="1"/>
          <c:order val="1"/>
          <c:tx>
            <c:v>KOHC</c:v>
          </c:tx>
          <c:spPr>
            <a:ln w="22860">
              <a:solidFill>
                <a:srgbClr val="204F3D"/>
              </a:solidFill>
              <a:prstDash val="solid"/>
            </a:ln>
          </c:spPr>
          <c:marker>
            <c:symbol val="none"/>
          </c:marker>
          <c:cat>
            <c:strRef>
              <c:f>'Industry Comparison'!$D$142:$D$146</c:f>
              <c:strCache>
                <c:ptCount val="5"/>
                <c:pt idx="0">
                  <c:v>FY2021</c:v>
                </c:pt>
                <c:pt idx="1">
                  <c:v>FY2022</c:v>
                </c:pt>
                <c:pt idx="2">
                  <c:v>FY2023</c:v>
                </c:pt>
                <c:pt idx="3">
                  <c:v>FY2024</c:v>
                </c:pt>
                <c:pt idx="4">
                  <c:v>FY2025</c:v>
                </c:pt>
              </c:strCache>
            </c:strRef>
          </c:cat>
          <c:val>
            <c:numRef>
              <c:f>'Industry Comparison'!$E$142:$E$146</c:f>
              <c:numCache>
                <c:formatCode>0.00%;\(0.00%\);"-"</c:formatCode>
                <c:ptCount val="5"/>
                <c:pt idx="0">
                  <c:v>0.1453819089897026</c:v>
                </c:pt>
                <c:pt idx="1">
                  <c:v>0.15282075695786385</c:v>
                </c:pt>
                <c:pt idx="2">
                  <c:v>0.14955052871384544</c:v>
                </c:pt>
                <c:pt idx="3">
                  <c:v>0.23011561219895646</c:v>
                </c:pt>
                <c:pt idx="4">
                  <c:v>0.30837719707594857</c:v>
                </c:pt>
              </c:numCache>
            </c:numRef>
          </c:val>
          <c:smooth val="0"/>
          <c:extLst>
            <c:ext xmlns:c16="http://schemas.microsoft.com/office/drawing/2014/chart" uri="{C3380CC4-5D6E-409C-BE32-E72D297353CC}">
              <c16:uniqueId val="{00000001-DA87-4E35-AD17-DCE5C7E17886}"/>
            </c:ext>
          </c:extLst>
        </c:ser>
        <c:ser>
          <c:idx val="2"/>
          <c:order val="2"/>
          <c:tx>
            <c:v>Five-company sample average</c:v>
          </c:tx>
          <c:spPr>
            <a:ln w="13335">
              <a:solidFill>
                <a:srgbClr val="8CB369"/>
              </a:solidFill>
              <a:prstDash val="solid"/>
            </a:ln>
          </c:spPr>
          <c:marker>
            <c:symbol val="none"/>
          </c:marker>
          <c:cat>
            <c:strRef>
              <c:f>'Industry Comparison'!$D$142:$D$146</c:f>
              <c:strCache>
                <c:ptCount val="5"/>
                <c:pt idx="0">
                  <c:v>FY2021</c:v>
                </c:pt>
                <c:pt idx="1">
                  <c:v>FY2022</c:v>
                </c:pt>
                <c:pt idx="2">
                  <c:v>FY2023</c:v>
                </c:pt>
                <c:pt idx="3">
                  <c:v>FY2024</c:v>
                </c:pt>
                <c:pt idx="4">
                  <c:v>FY2025</c:v>
                </c:pt>
              </c:strCache>
            </c:strRef>
          </c:cat>
          <c:val>
            <c:numRef>
              <c:f>'Industry Comparison'!$J$142:$J$146</c:f>
              <c:numCache>
                <c:formatCode>0.00%;\(0.00%\);"-"</c:formatCode>
                <c:ptCount val="5"/>
                <c:pt idx="0">
                  <c:v>0.15408619861572653</c:v>
                </c:pt>
                <c:pt idx="1">
                  <c:v>0.11970854212044424</c:v>
                </c:pt>
                <c:pt idx="2">
                  <c:v>0.11860808644516738</c:v>
                </c:pt>
                <c:pt idx="3">
                  <c:v>0.13282864107865294</c:v>
                </c:pt>
                <c:pt idx="4">
                  <c:v>0.21834707156583955</c:v>
                </c:pt>
              </c:numCache>
            </c:numRef>
          </c:val>
          <c:smooth val="0"/>
          <c:extLst>
            <c:ext xmlns:c16="http://schemas.microsoft.com/office/drawing/2014/chart" uri="{C3380CC4-5D6E-409C-BE32-E72D297353CC}">
              <c16:uniqueId val="{00000002-DA87-4E35-AD17-DCE5C7E17886}"/>
            </c:ext>
          </c:extLst>
        </c:ser>
        <c:ser>
          <c:idx val="3"/>
          <c:order val="3"/>
          <c:tx>
            <c:v>Four-competitor average</c:v>
          </c:tx>
          <c:spPr>
            <a:ln w="13335">
              <a:solidFill>
                <a:srgbClr val="C79A57"/>
              </a:solidFill>
              <a:prstDash val="solid"/>
            </a:ln>
          </c:spPr>
          <c:marker>
            <c:symbol val="none"/>
          </c:marker>
          <c:cat>
            <c:strRef>
              <c:f>'Industry Comparison'!$D$142:$D$146</c:f>
              <c:strCache>
                <c:ptCount val="5"/>
                <c:pt idx="0">
                  <c:v>FY2021</c:v>
                </c:pt>
                <c:pt idx="1">
                  <c:v>FY2022</c:v>
                </c:pt>
                <c:pt idx="2">
                  <c:v>FY2023</c:v>
                </c:pt>
                <c:pt idx="3">
                  <c:v>FY2024</c:v>
                </c:pt>
                <c:pt idx="4">
                  <c:v>FY2025</c:v>
                </c:pt>
              </c:strCache>
            </c:strRef>
          </c:cat>
          <c:val>
            <c:numRef>
              <c:f>'Industry Comparison'!$M$142:$M$146</c:f>
              <c:numCache>
                <c:formatCode>0.00%;\(0.00%\);"-"</c:formatCode>
                <c:ptCount val="5"/>
                <c:pt idx="0">
                  <c:v>0.1562622710222325</c:v>
                </c:pt>
                <c:pt idx="1">
                  <c:v>0.11143048841108932</c:v>
                </c:pt>
                <c:pt idx="2">
                  <c:v>0.10829393902227469</c:v>
                </c:pt>
                <c:pt idx="3">
                  <c:v>0.10850689829857707</c:v>
                </c:pt>
                <c:pt idx="4">
                  <c:v>0.19583954018831229</c:v>
                </c:pt>
              </c:numCache>
            </c:numRef>
          </c:val>
          <c:smooth val="0"/>
          <c:extLst>
            <c:ext xmlns:c16="http://schemas.microsoft.com/office/drawing/2014/chart" uri="{C3380CC4-5D6E-409C-BE32-E72D297353CC}">
              <c16:uniqueId val="{00000003-DA87-4E35-AD17-DCE5C7E17886}"/>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Profitability: return on equity</a:t>
            </a:r>
          </a:p>
        </c:rich>
      </c:tx>
      <c:overlay val="0"/>
    </c:title>
    <c:autoTitleDeleted val="0"/>
    <c:plotArea>
      <c:layout/>
      <c:lineChart>
        <c:grouping val="standard"/>
        <c:varyColors val="0"/>
        <c:ser>
          <c:idx val="0"/>
          <c:order val="0"/>
          <c:tx>
            <c:v>FY2021</c:v>
          </c:tx>
          <c:marker>
            <c:symbol val="none"/>
          </c:marker>
          <c:cat>
            <c:strLit>
              <c:ptCount val="4"/>
              <c:pt idx="0">
                <c:v>Item 1</c:v>
              </c:pt>
              <c:pt idx="1">
                <c:v>Item 2</c:v>
              </c:pt>
              <c:pt idx="2">
                <c:v>Item 3</c:v>
              </c:pt>
              <c:pt idx="3">
                <c:v>Item 4</c:v>
              </c:pt>
            </c:strLit>
          </c:cat>
          <c:val>
            <c:numRef>
              <c:f>'Industry Comparison'!$D$155:$D$158</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0-3129-4A05-A371-0D0B826AB26E}"/>
            </c:ext>
          </c:extLst>
        </c:ser>
        <c:ser>
          <c:idx val="1"/>
          <c:order val="1"/>
          <c:tx>
            <c:v>KOHC</c:v>
          </c:tx>
          <c:spPr>
            <a:ln w="22860">
              <a:solidFill>
                <a:srgbClr val="204F3D"/>
              </a:solidFill>
              <a:prstDash val="solid"/>
            </a:ln>
          </c:spPr>
          <c:marker>
            <c:symbol val="none"/>
          </c:marker>
          <c:cat>
            <c:strRef>
              <c:f>'Industry Comparison'!$D$154:$D$158</c:f>
              <c:strCache>
                <c:ptCount val="5"/>
                <c:pt idx="0">
                  <c:v>FY2021</c:v>
                </c:pt>
                <c:pt idx="1">
                  <c:v>FY2022</c:v>
                </c:pt>
                <c:pt idx="2">
                  <c:v>FY2023</c:v>
                </c:pt>
                <c:pt idx="3">
                  <c:v>FY2024</c:v>
                </c:pt>
                <c:pt idx="4">
                  <c:v>FY2025</c:v>
                </c:pt>
              </c:strCache>
            </c:strRef>
          </c:cat>
          <c:val>
            <c:numRef>
              <c:f>'Industry Comparison'!$E$154:$E$158</c:f>
              <c:numCache>
                <c:formatCode>0.00%;\(0.00%\);"-"</c:formatCode>
                <c:ptCount val="5"/>
                <c:pt idx="0">
                  <c:v>0.17081753753269491</c:v>
                </c:pt>
                <c:pt idx="1">
                  <c:v>0.20312531536122019</c:v>
                </c:pt>
                <c:pt idx="2">
                  <c:v>0.19449095680324069</c:v>
                </c:pt>
                <c:pt idx="3">
                  <c:v>0.24134090965005384</c:v>
                </c:pt>
                <c:pt idx="4">
                  <c:v>0.25998290898160303</c:v>
                </c:pt>
              </c:numCache>
            </c:numRef>
          </c:val>
          <c:smooth val="0"/>
          <c:extLst>
            <c:ext xmlns:c16="http://schemas.microsoft.com/office/drawing/2014/chart" uri="{C3380CC4-5D6E-409C-BE32-E72D297353CC}">
              <c16:uniqueId val="{00000001-3129-4A05-A371-0D0B826AB26E}"/>
            </c:ext>
          </c:extLst>
        </c:ser>
        <c:ser>
          <c:idx val="2"/>
          <c:order val="2"/>
          <c:tx>
            <c:v>Five-company sample average</c:v>
          </c:tx>
          <c:spPr>
            <a:ln w="13335">
              <a:solidFill>
                <a:srgbClr val="8CB369"/>
              </a:solidFill>
              <a:prstDash val="solid"/>
            </a:ln>
          </c:spPr>
          <c:marker>
            <c:symbol val="none"/>
          </c:marker>
          <c:cat>
            <c:strRef>
              <c:f>'Industry Comparison'!$D$154:$D$158</c:f>
              <c:strCache>
                <c:ptCount val="5"/>
                <c:pt idx="0">
                  <c:v>FY2021</c:v>
                </c:pt>
                <c:pt idx="1">
                  <c:v>FY2022</c:v>
                </c:pt>
                <c:pt idx="2">
                  <c:v>FY2023</c:v>
                </c:pt>
                <c:pt idx="3">
                  <c:v>FY2024</c:v>
                </c:pt>
                <c:pt idx="4">
                  <c:v>FY2025</c:v>
                </c:pt>
              </c:strCache>
            </c:strRef>
          </c:cat>
          <c:val>
            <c:numRef>
              <c:f>'Industry Comparison'!$J$154:$J$158</c:f>
              <c:numCache>
                <c:formatCode>0.00%;\(0.00%\);"-"</c:formatCode>
                <c:ptCount val="5"/>
                <c:pt idx="0">
                  <c:v>0.13984528440811456</c:v>
                </c:pt>
                <c:pt idx="1">
                  <c:v>0.12792087361313845</c:v>
                </c:pt>
                <c:pt idx="2">
                  <c:v>0.13097214357987796</c:v>
                </c:pt>
                <c:pt idx="3">
                  <c:v>0.13460829557813808</c:v>
                </c:pt>
                <c:pt idx="4">
                  <c:v>0.2019721198591761</c:v>
                </c:pt>
              </c:numCache>
            </c:numRef>
          </c:val>
          <c:smooth val="0"/>
          <c:extLst>
            <c:ext xmlns:c16="http://schemas.microsoft.com/office/drawing/2014/chart" uri="{C3380CC4-5D6E-409C-BE32-E72D297353CC}">
              <c16:uniqueId val="{00000002-3129-4A05-A371-0D0B826AB26E}"/>
            </c:ext>
          </c:extLst>
        </c:ser>
        <c:ser>
          <c:idx val="3"/>
          <c:order val="3"/>
          <c:tx>
            <c:v>Four-competitor average</c:v>
          </c:tx>
          <c:spPr>
            <a:ln w="13335">
              <a:solidFill>
                <a:srgbClr val="C79A57"/>
              </a:solidFill>
              <a:prstDash val="solid"/>
            </a:ln>
          </c:spPr>
          <c:marker>
            <c:symbol val="none"/>
          </c:marker>
          <c:cat>
            <c:strRef>
              <c:f>'Industry Comparison'!$D$154:$D$158</c:f>
              <c:strCache>
                <c:ptCount val="5"/>
                <c:pt idx="0">
                  <c:v>FY2021</c:v>
                </c:pt>
                <c:pt idx="1">
                  <c:v>FY2022</c:v>
                </c:pt>
                <c:pt idx="2">
                  <c:v>FY2023</c:v>
                </c:pt>
                <c:pt idx="3">
                  <c:v>FY2024</c:v>
                </c:pt>
                <c:pt idx="4">
                  <c:v>FY2025</c:v>
                </c:pt>
              </c:strCache>
            </c:strRef>
          </c:cat>
          <c:val>
            <c:numRef>
              <c:f>'Industry Comparison'!$M$154:$M$158</c:f>
              <c:numCache>
                <c:formatCode>0.00%;\(0.00%\);"-"</c:formatCode>
                <c:ptCount val="5"/>
                <c:pt idx="0">
                  <c:v>0.13210222112696945</c:v>
                </c:pt>
                <c:pt idx="1">
                  <c:v>0.10911976317611802</c:v>
                </c:pt>
                <c:pt idx="2">
                  <c:v>0.10979920583875709</c:v>
                </c:pt>
                <c:pt idx="3">
                  <c:v>0.10792514206015913</c:v>
                </c:pt>
                <c:pt idx="4">
                  <c:v>0.18746942257856938</c:v>
                </c:pt>
              </c:numCache>
            </c:numRef>
          </c:val>
          <c:smooth val="0"/>
          <c:extLst>
            <c:ext xmlns:c16="http://schemas.microsoft.com/office/drawing/2014/chart" uri="{C3380CC4-5D6E-409C-BE32-E72D297353CC}">
              <c16:uniqueId val="{00000003-3129-4A05-A371-0D0B826AB26E}"/>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Market valuation: market-to-book (x)</a:t>
            </a:r>
          </a:p>
        </c:rich>
      </c:tx>
      <c:overlay val="0"/>
    </c:title>
    <c:autoTitleDeleted val="0"/>
    <c:plotArea>
      <c:layout/>
      <c:lineChart>
        <c:grouping val="standard"/>
        <c:varyColors val="0"/>
        <c:ser>
          <c:idx val="0"/>
          <c:order val="0"/>
          <c:tx>
            <c:v>FY2021</c:v>
          </c:tx>
          <c:marker>
            <c:symbol val="none"/>
          </c:marker>
          <c:cat>
            <c:strLit>
              <c:ptCount val="4"/>
              <c:pt idx="0">
                <c:v>Item 1</c:v>
              </c:pt>
              <c:pt idx="1">
                <c:v>Item 2</c:v>
              </c:pt>
              <c:pt idx="2">
                <c:v>Item 3</c:v>
              </c:pt>
              <c:pt idx="3">
                <c:v>Item 4</c:v>
              </c:pt>
            </c:strLit>
          </c:cat>
          <c:val>
            <c:numRef>
              <c:f>'Industry Comparison'!$D$180:$D$183</c:f>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0-FC13-48EA-97D4-55DA133DB8D8}"/>
            </c:ext>
          </c:extLst>
        </c:ser>
        <c:ser>
          <c:idx val="1"/>
          <c:order val="1"/>
          <c:tx>
            <c:v>KOHC</c:v>
          </c:tx>
          <c:spPr>
            <a:ln w="22860">
              <a:solidFill>
                <a:srgbClr val="204F3D"/>
              </a:solidFill>
              <a:prstDash val="solid"/>
            </a:ln>
          </c:spPr>
          <c:marker>
            <c:symbol val="none"/>
          </c:marker>
          <c:cat>
            <c:strRef>
              <c:f>'Industry Comparison'!$D$179:$D$183</c:f>
              <c:strCache>
                <c:ptCount val="5"/>
                <c:pt idx="0">
                  <c:v>FY2021</c:v>
                </c:pt>
                <c:pt idx="1">
                  <c:v>FY2022</c:v>
                </c:pt>
                <c:pt idx="2">
                  <c:v>FY2023</c:v>
                </c:pt>
                <c:pt idx="3">
                  <c:v>FY2024</c:v>
                </c:pt>
                <c:pt idx="4">
                  <c:v>FY2025</c:v>
                </c:pt>
              </c:strCache>
            </c:strRef>
          </c:cat>
          <c:val>
            <c:numRef>
              <c:f>'Industry Comparison'!$E$179:$E$183</c:f>
              <c:numCache>
                <c:formatCode>0.00"x";\(0.00\)"x";"-"</c:formatCode>
                <c:ptCount val="5"/>
                <c:pt idx="0">
                  <c:v>1.8663025958706099</c:v>
                </c:pt>
                <c:pt idx="1">
                  <c:v>0.95932868328175702</c:v>
                </c:pt>
                <c:pt idx="2">
                  <c:v>1.0684870021034203</c:v>
                </c:pt>
                <c:pt idx="3">
                  <c:v>1.1937011482475723</c:v>
                </c:pt>
                <c:pt idx="4">
                  <c:v>1.4544747850514033</c:v>
                </c:pt>
              </c:numCache>
            </c:numRef>
          </c:val>
          <c:smooth val="0"/>
          <c:extLst>
            <c:ext xmlns:c16="http://schemas.microsoft.com/office/drawing/2014/chart" uri="{C3380CC4-5D6E-409C-BE32-E72D297353CC}">
              <c16:uniqueId val="{00000001-FC13-48EA-97D4-55DA133DB8D8}"/>
            </c:ext>
          </c:extLst>
        </c:ser>
        <c:ser>
          <c:idx val="2"/>
          <c:order val="2"/>
          <c:tx>
            <c:v>Five-company sample average</c:v>
          </c:tx>
          <c:spPr>
            <a:ln w="13335">
              <a:solidFill>
                <a:srgbClr val="8CB369"/>
              </a:solidFill>
              <a:prstDash val="solid"/>
            </a:ln>
          </c:spPr>
          <c:marker>
            <c:symbol val="none"/>
          </c:marker>
          <c:cat>
            <c:strRef>
              <c:f>'Industry Comparison'!$D$179:$D$183</c:f>
              <c:strCache>
                <c:ptCount val="5"/>
                <c:pt idx="0">
                  <c:v>FY2021</c:v>
                </c:pt>
                <c:pt idx="1">
                  <c:v>FY2022</c:v>
                </c:pt>
                <c:pt idx="2">
                  <c:v>FY2023</c:v>
                </c:pt>
                <c:pt idx="3">
                  <c:v>FY2024</c:v>
                </c:pt>
                <c:pt idx="4">
                  <c:v>FY2025</c:v>
                </c:pt>
              </c:strCache>
            </c:strRef>
          </c:cat>
          <c:val>
            <c:numRef>
              <c:f>'Industry Comparison'!$J$179:$J$183</c:f>
              <c:numCache>
                <c:formatCode>0.00"x";\(0.00\)"x";"-"</c:formatCode>
                <c:ptCount val="5"/>
                <c:pt idx="0">
                  <c:v>1.5547782415406979</c:v>
                </c:pt>
                <c:pt idx="1">
                  <c:v>0.75380772922120132</c:v>
                </c:pt>
                <c:pt idx="2">
                  <c:v>0.74468849034083984</c:v>
                </c:pt>
                <c:pt idx="3">
                  <c:v>1.0070565373969065</c:v>
                </c:pt>
                <c:pt idx="4">
                  <c:v>1.5429606718953519</c:v>
                </c:pt>
              </c:numCache>
            </c:numRef>
          </c:val>
          <c:smooth val="0"/>
          <c:extLst>
            <c:ext xmlns:c16="http://schemas.microsoft.com/office/drawing/2014/chart" uri="{C3380CC4-5D6E-409C-BE32-E72D297353CC}">
              <c16:uniqueId val="{00000002-FC13-48EA-97D4-55DA133DB8D8}"/>
            </c:ext>
          </c:extLst>
        </c:ser>
        <c:ser>
          <c:idx val="3"/>
          <c:order val="3"/>
          <c:tx>
            <c:v>Four-competitor average</c:v>
          </c:tx>
          <c:spPr>
            <a:ln w="13335">
              <a:solidFill>
                <a:srgbClr val="C79A57"/>
              </a:solidFill>
              <a:prstDash val="solid"/>
            </a:ln>
          </c:spPr>
          <c:marker>
            <c:symbol val="none"/>
          </c:marker>
          <c:cat>
            <c:strRef>
              <c:f>'Industry Comparison'!$D$179:$D$183</c:f>
              <c:strCache>
                <c:ptCount val="5"/>
                <c:pt idx="0">
                  <c:v>FY2021</c:v>
                </c:pt>
                <c:pt idx="1">
                  <c:v>FY2022</c:v>
                </c:pt>
                <c:pt idx="2">
                  <c:v>FY2023</c:v>
                </c:pt>
                <c:pt idx="3">
                  <c:v>FY2024</c:v>
                </c:pt>
                <c:pt idx="4">
                  <c:v>FY2025</c:v>
                </c:pt>
              </c:strCache>
            </c:strRef>
          </c:cat>
          <c:val>
            <c:numRef>
              <c:f>'Industry Comparison'!$M$179:$M$183</c:f>
              <c:numCache>
                <c:formatCode>0.00"x";\(0.00\)"x";"-"</c:formatCode>
                <c:ptCount val="5"/>
                <c:pt idx="0">
                  <c:v>1.4768971529582196</c:v>
                </c:pt>
                <c:pt idx="1">
                  <c:v>0.70242749070606236</c:v>
                </c:pt>
                <c:pt idx="2">
                  <c:v>0.66373886240019475</c:v>
                </c:pt>
                <c:pt idx="3">
                  <c:v>0.96039538468424013</c:v>
                </c:pt>
                <c:pt idx="4">
                  <c:v>1.5650821436063391</c:v>
                </c:pt>
              </c:numCache>
            </c:numRef>
          </c:val>
          <c:smooth val="0"/>
          <c:extLst>
            <c:ext xmlns:c16="http://schemas.microsoft.com/office/drawing/2014/chart" uri="{C3380CC4-5D6E-409C-BE32-E72D297353CC}">
              <c16:uniqueId val="{00000003-FC13-48EA-97D4-55DA133DB8D8}"/>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FY2025 peer snapshot: ROE</a:t>
            </a:r>
          </a:p>
        </c:rich>
      </c:tx>
      <c:overlay val="0"/>
    </c:title>
    <c:autoTitleDeleted val="0"/>
    <c:plotArea>
      <c:layout/>
      <c:barChart>
        <c:barDir val="col"/>
        <c:grouping val="clustered"/>
        <c:varyColors val="0"/>
        <c:ser>
          <c:idx val="0"/>
          <c:order val="0"/>
          <c:tx>
            <c:v>Series 1</c:v>
          </c:tx>
          <c:invertIfNegative val="0"/>
          <c:cat>
            <c:strRef>
              <c:f>'Industry Comparison'!$E$4</c:f>
              <c:strCache>
                <c:ptCount val="1"/>
                <c:pt idx="0">
                  <c:v>KOHC</c:v>
                </c:pt>
              </c:strCache>
            </c:strRef>
          </c:cat>
          <c:val>
            <c:numRef>
              <c:f>'Industry Comparison'!$F$4</c:f>
              <c:numCache>
                <c:formatCode>General</c:formatCode>
                <c:ptCount val="1"/>
                <c:pt idx="0">
                  <c:v>0</c:v>
                </c:pt>
              </c:numCache>
            </c:numRef>
          </c:val>
          <c:extLst>
            <c:ext xmlns:c16="http://schemas.microsoft.com/office/drawing/2014/chart" uri="{C3380CC4-5D6E-409C-BE32-E72D297353CC}">
              <c16:uniqueId val="{00000000-E883-457F-9214-A4125AFEE7BA}"/>
            </c:ext>
          </c:extLst>
        </c:ser>
        <c:ser>
          <c:idx val="1"/>
          <c:order val="1"/>
          <c:tx>
            <c:v>Series 2</c:v>
          </c:tx>
          <c:invertIfNegative val="0"/>
          <c:cat>
            <c:strRef>
              <c:f>'Industry Comparison'!$E$4</c:f>
              <c:strCache>
                <c:ptCount val="1"/>
                <c:pt idx="0">
                  <c:v>KOHC</c:v>
                </c:pt>
              </c:strCache>
            </c:strRef>
          </c:cat>
          <c:val>
            <c:numRef>
              <c:f>'Industry Comparison'!$G$4</c:f>
              <c:numCache>
                <c:formatCode>General</c:formatCode>
                <c:ptCount val="1"/>
                <c:pt idx="0">
                  <c:v>0</c:v>
                </c:pt>
              </c:numCache>
            </c:numRef>
          </c:val>
          <c:extLst>
            <c:ext xmlns:c16="http://schemas.microsoft.com/office/drawing/2014/chart" uri="{C3380CC4-5D6E-409C-BE32-E72D297353CC}">
              <c16:uniqueId val="{00000001-E883-457F-9214-A4125AFEE7BA}"/>
            </c:ext>
          </c:extLst>
        </c:ser>
        <c:ser>
          <c:idx val="2"/>
          <c:order val="2"/>
          <c:tx>
            <c:v>Series 3</c:v>
          </c:tx>
          <c:invertIfNegative val="0"/>
          <c:cat>
            <c:strRef>
              <c:f>'Industry Comparison'!$E$4</c:f>
              <c:strCache>
                <c:ptCount val="1"/>
                <c:pt idx="0">
                  <c:v>KOHC</c:v>
                </c:pt>
              </c:strCache>
            </c:strRef>
          </c:cat>
          <c:val>
            <c:numRef>
              <c:f>'Industry Comparison'!$H$4</c:f>
              <c:numCache>
                <c:formatCode>General</c:formatCode>
                <c:ptCount val="1"/>
                <c:pt idx="0">
                  <c:v>0</c:v>
                </c:pt>
              </c:numCache>
            </c:numRef>
          </c:val>
          <c:extLst>
            <c:ext xmlns:c16="http://schemas.microsoft.com/office/drawing/2014/chart" uri="{C3380CC4-5D6E-409C-BE32-E72D297353CC}">
              <c16:uniqueId val="{00000002-E883-457F-9214-A4125AFEE7BA}"/>
            </c:ext>
          </c:extLst>
        </c:ser>
        <c:ser>
          <c:idx val="3"/>
          <c:order val="3"/>
          <c:tx>
            <c:v>Series 4</c:v>
          </c:tx>
          <c:invertIfNegative val="0"/>
          <c:cat>
            <c:strRef>
              <c:f>'Industry Comparison'!$E$4</c:f>
              <c:strCache>
                <c:ptCount val="1"/>
                <c:pt idx="0">
                  <c:v>KOHC</c:v>
                </c:pt>
              </c:strCache>
            </c:strRef>
          </c:cat>
          <c:val>
            <c:numRef>
              <c:f>'Industry Comparison'!$I$4</c:f>
              <c:numCache>
                <c:formatCode>General</c:formatCode>
                <c:ptCount val="1"/>
                <c:pt idx="0">
                  <c:v>0</c:v>
                </c:pt>
              </c:numCache>
            </c:numRef>
          </c:val>
          <c:extLst>
            <c:ext xmlns:c16="http://schemas.microsoft.com/office/drawing/2014/chart" uri="{C3380CC4-5D6E-409C-BE32-E72D297353CC}">
              <c16:uniqueId val="{00000003-E883-457F-9214-A4125AFEE7BA}"/>
            </c:ext>
          </c:extLst>
        </c:ser>
        <c:ser>
          <c:idx val="4"/>
          <c:order val="4"/>
          <c:tx>
            <c:v>Series 5</c:v>
          </c:tx>
          <c:invertIfNegative val="0"/>
          <c:cat>
            <c:strRef>
              <c:f>'Industry Comparison'!$E$4</c:f>
              <c:strCache>
                <c:ptCount val="1"/>
                <c:pt idx="0">
                  <c:v>KOHC</c:v>
                </c:pt>
              </c:strCache>
            </c:strRef>
          </c:cat>
          <c:val>
            <c:numRef>
              <c:f>'Industry Comparison'!$J$4</c:f>
              <c:numCache>
                <c:formatCode>General</c:formatCode>
                <c:ptCount val="1"/>
                <c:pt idx="0">
                  <c:v>0</c:v>
                </c:pt>
              </c:numCache>
            </c:numRef>
          </c:val>
          <c:extLst>
            <c:ext xmlns:c16="http://schemas.microsoft.com/office/drawing/2014/chart" uri="{C3380CC4-5D6E-409C-BE32-E72D297353CC}">
              <c16:uniqueId val="{00000004-E883-457F-9214-A4125AFEE7BA}"/>
            </c:ext>
          </c:extLst>
        </c:ser>
        <c:ser>
          <c:idx val="5"/>
          <c:order val="5"/>
          <c:tx>
            <c:v>FY2025</c:v>
          </c:tx>
          <c:spPr>
            <a:solidFill>
              <a:srgbClr val="204F3D"/>
            </a:solidFill>
            <a:ln w="22860">
              <a:solidFill>
                <a:srgbClr val="204F3D"/>
              </a:solidFill>
              <a:prstDash val="solid"/>
            </a:ln>
          </c:spPr>
          <c:invertIfNegative val="0"/>
          <c:cat>
            <c:strRef>
              <c:f>'Industry Comparison'!$E$4:$J$4</c:f>
              <c:strCache>
                <c:ptCount val="6"/>
                <c:pt idx="0">
                  <c:v>KOHC</c:v>
                </c:pt>
                <c:pt idx="1">
                  <c:v>LUCK</c:v>
                </c:pt>
                <c:pt idx="2">
                  <c:v>DGKC</c:v>
                </c:pt>
                <c:pt idx="3">
                  <c:v>MLCF</c:v>
                </c:pt>
                <c:pt idx="4">
                  <c:v>FCCL</c:v>
                </c:pt>
                <c:pt idx="5">
                  <c:v>Sample avg (5)</c:v>
                </c:pt>
              </c:strCache>
            </c:strRef>
          </c:cat>
          <c:val>
            <c:numRef>
              <c:f>'Industry Comparison'!$E$158:$J$158</c:f>
              <c:numCache>
                <c:formatCode>0.00%;\(0.00%\);"-"</c:formatCode>
                <c:ptCount val="6"/>
                <c:pt idx="0">
                  <c:v>0.25998290898160303</c:v>
                </c:pt>
                <c:pt idx="1">
                  <c:v>0.2044798130421526</c:v>
                </c:pt>
                <c:pt idx="2">
                  <c:v>0.10175126160150023</c:v>
                </c:pt>
                <c:pt idx="3">
                  <c:v>0.2746085954343051</c:v>
                </c:pt>
                <c:pt idx="4">
                  <c:v>0.16903802023631961</c:v>
                </c:pt>
                <c:pt idx="5">
                  <c:v>0.2019721198591761</c:v>
                </c:pt>
              </c:numCache>
            </c:numRef>
          </c:val>
          <c:extLst>
            <c:ext xmlns:c16="http://schemas.microsoft.com/office/drawing/2014/chart" uri="{C3380CC4-5D6E-409C-BE32-E72D297353CC}">
              <c16:uniqueId val="{00000005-E883-457F-9214-A4125AFEE7B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050">
                <a:latin typeface="Calibri"/>
                <a:ea typeface="Calibri"/>
                <a:cs typeface="Calibri"/>
              </a:rPr>
              <a:t>FY2025 peer snapshot: gross margin</a:t>
            </a:r>
          </a:p>
        </c:rich>
      </c:tx>
      <c:overlay val="0"/>
    </c:title>
    <c:autoTitleDeleted val="0"/>
    <c:plotArea>
      <c:layout/>
      <c:barChart>
        <c:barDir val="col"/>
        <c:grouping val="clustered"/>
        <c:varyColors val="0"/>
        <c:ser>
          <c:idx val="0"/>
          <c:order val="0"/>
          <c:tx>
            <c:v>Series 1</c:v>
          </c:tx>
          <c:invertIfNegative val="0"/>
          <c:cat>
            <c:strRef>
              <c:f>'Industry Comparison'!$E$4</c:f>
              <c:strCache>
                <c:ptCount val="1"/>
                <c:pt idx="0">
                  <c:v>KOHC</c:v>
                </c:pt>
              </c:strCache>
            </c:strRef>
          </c:cat>
          <c:val>
            <c:numRef>
              <c:f>'Industry Comparison'!$F$4</c:f>
              <c:numCache>
                <c:formatCode>General</c:formatCode>
                <c:ptCount val="1"/>
                <c:pt idx="0">
                  <c:v>0</c:v>
                </c:pt>
              </c:numCache>
            </c:numRef>
          </c:val>
          <c:extLst>
            <c:ext xmlns:c16="http://schemas.microsoft.com/office/drawing/2014/chart" uri="{C3380CC4-5D6E-409C-BE32-E72D297353CC}">
              <c16:uniqueId val="{00000000-F451-4BBA-890E-1E6FB422B150}"/>
            </c:ext>
          </c:extLst>
        </c:ser>
        <c:ser>
          <c:idx val="1"/>
          <c:order val="1"/>
          <c:tx>
            <c:v>Series 2</c:v>
          </c:tx>
          <c:invertIfNegative val="0"/>
          <c:cat>
            <c:strRef>
              <c:f>'Industry Comparison'!$E$4</c:f>
              <c:strCache>
                <c:ptCount val="1"/>
                <c:pt idx="0">
                  <c:v>KOHC</c:v>
                </c:pt>
              </c:strCache>
            </c:strRef>
          </c:cat>
          <c:val>
            <c:numRef>
              <c:f>'Industry Comparison'!$G$4</c:f>
              <c:numCache>
                <c:formatCode>General</c:formatCode>
                <c:ptCount val="1"/>
                <c:pt idx="0">
                  <c:v>0</c:v>
                </c:pt>
              </c:numCache>
            </c:numRef>
          </c:val>
          <c:extLst>
            <c:ext xmlns:c16="http://schemas.microsoft.com/office/drawing/2014/chart" uri="{C3380CC4-5D6E-409C-BE32-E72D297353CC}">
              <c16:uniqueId val="{00000001-F451-4BBA-890E-1E6FB422B150}"/>
            </c:ext>
          </c:extLst>
        </c:ser>
        <c:ser>
          <c:idx val="2"/>
          <c:order val="2"/>
          <c:tx>
            <c:v>Series 3</c:v>
          </c:tx>
          <c:invertIfNegative val="0"/>
          <c:cat>
            <c:strRef>
              <c:f>'Industry Comparison'!$E$4</c:f>
              <c:strCache>
                <c:ptCount val="1"/>
                <c:pt idx="0">
                  <c:v>KOHC</c:v>
                </c:pt>
              </c:strCache>
            </c:strRef>
          </c:cat>
          <c:val>
            <c:numRef>
              <c:f>'Industry Comparison'!$H$4</c:f>
              <c:numCache>
                <c:formatCode>General</c:formatCode>
                <c:ptCount val="1"/>
                <c:pt idx="0">
                  <c:v>0</c:v>
                </c:pt>
              </c:numCache>
            </c:numRef>
          </c:val>
          <c:extLst>
            <c:ext xmlns:c16="http://schemas.microsoft.com/office/drawing/2014/chart" uri="{C3380CC4-5D6E-409C-BE32-E72D297353CC}">
              <c16:uniqueId val="{00000002-F451-4BBA-890E-1E6FB422B150}"/>
            </c:ext>
          </c:extLst>
        </c:ser>
        <c:ser>
          <c:idx val="3"/>
          <c:order val="3"/>
          <c:tx>
            <c:v>Series 4</c:v>
          </c:tx>
          <c:invertIfNegative val="0"/>
          <c:cat>
            <c:strRef>
              <c:f>'Industry Comparison'!$E$4</c:f>
              <c:strCache>
                <c:ptCount val="1"/>
                <c:pt idx="0">
                  <c:v>KOHC</c:v>
                </c:pt>
              </c:strCache>
            </c:strRef>
          </c:cat>
          <c:val>
            <c:numRef>
              <c:f>'Industry Comparison'!$I$4</c:f>
              <c:numCache>
                <c:formatCode>General</c:formatCode>
                <c:ptCount val="1"/>
                <c:pt idx="0">
                  <c:v>0</c:v>
                </c:pt>
              </c:numCache>
            </c:numRef>
          </c:val>
          <c:extLst>
            <c:ext xmlns:c16="http://schemas.microsoft.com/office/drawing/2014/chart" uri="{C3380CC4-5D6E-409C-BE32-E72D297353CC}">
              <c16:uniqueId val="{00000003-F451-4BBA-890E-1E6FB422B150}"/>
            </c:ext>
          </c:extLst>
        </c:ser>
        <c:ser>
          <c:idx val="4"/>
          <c:order val="4"/>
          <c:tx>
            <c:v>Series 5</c:v>
          </c:tx>
          <c:invertIfNegative val="0"/>
          <c:cat>
            <c:strRef>
              <c:f>'Industry Comparison'!$E$4</c:f>
              <c:strCache>
                <c:ptCount val="1"/>
                <c:pt idx="0">
                  <c:v>KOHC</c:v>
                </c:pt>
              </c:strCache>
            </c:strRef>
          </c:cat>
          <c:val>
            <c:numRef>
              <c:f>'Industry Comparison'!$J$4</c:f>
              <c:numCache>
                <c:formatCode>General</c:formatCode>
                <c:ptCount val="1"/>
                <c:pt idx="0">
                  <c:v>0</c:v>
                </c:pt>
              </c:numCache>
            </c:numRef>
          </c:val>
          <c:extLst>
            <c:ext xmlns:c16="http://schemas.microsoft.com/office/drawing/2014/chart" uri="{C3380CC4-5D6E-409C-BE32-E72D297353CC}">
              <c16:uniqueId val="{00000004-F451-4BBA-890E-1E6FB422B150}"/>
            </c:ext>
          </c:extLst>
        </c:ser>
        <c:ser>
          <c:idx val="5"/>
          <c:order val="5"/>
          <c:tx>
            <c:v>FY2025</c:v>
          </c:tx>
          <c:spPr>
            <a:solidFill>
              <a:srgbClr val="204F3D"/>
            </a:solidFill>
            <a:ln w="22860">
              <a:solidFill>
                <a:srgbClr val="204F3D"/>
              </a:solidFill>
              <a:prstDash val="solid"/>
            </a:ln>
          </c:spPr>
          <c:invertIfNegative val="0"/>
          <c:cat>
            <c:strRef>
              <c:f>'Industry Comparison'!$E$4:$J$4</c:f>
              <c:strCache>
                <c:ptCount val="6"/>
                <c:pt idx="0">
                  <c:v>KOHC</c:v>
                </c:pt>
                <c:pt idx="1">
                  <c:v>LUCK</c:v>
                </c:pt>
                <c:pt idx="2">
                  <c:v>DGKC</c:v>
                </c:pt>
                <c:pt idx="3">
                  <c:v>MLCF</c:v>
                </c:pt>
                <c:pt idx="4">
                  <c:v>FCCL</c:v>
                </c:pt>
                <c:pt idx="5">
                  <c:v>Sample avg (5)</c:v>
                </c:pt>
              </c:strCache>
            </c:strRef>
          </c:cat>
          <c:val>
            <c:numRef>
              <c:f>'Industry Comparison'!$E$134:$J$134</c:f>
              <c:numCache>
                <c:formatCode>0.00%;\(0.00%\);"-"</c:formatCode>
                <c:ptCount val="6"/>
                <c:pt idx="0">
                  <c:v>0.39220278175445145</c:v>
                </c:pt>
                <c:pt idx="1">
                  <c:v>0.34281652982067301</c:v>
                </c:pt>
                <c:pt idx="2">
                  <c:v>0.25740632547300923</c:v>
                </c:pt>
                <c:pt idx="3">
                  <c:v>0.34444405990469212</c:v>
                </c:pt>
                <c:pt idx="4">
                  <c:v>0.35490842202929052</c:v>
                </c:pt>
                <c:pt idx="5">
                  <c:v>0.33835562379642325</c:v>
                </c:pt>
              </c:numCache>
            </c:numRef>
          </c:val>
          <c:extLst>
            <c:ext xmlns:c16="http://schemas.microsoft.com/office/drawing/2014/chart" uri="{C3380CC4-5D6E-409C-BE32-E72D297353CC}">
              <c16:uniqueId val="{00000005-F451-4BBA-890E-1E6FB422B15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750">
                <a:latin typeface="Calibri"/>
                <a:ea typeface="Calibri"/>
                <a:cs typeface="Calibri"/>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ickLblPos val="nextTo"/>
        <c:txPr>
          <a:bodyPr anchorCtr="1"/>
          <a:lstStyle/>
          <a:p>
            <a:pPr>
              <a:defRPr sz="750">
                <a:latin typeface="Calibri"/>
                <a:ea typeface="Calibri"/>
                <a:cs typeface="Calibri"/>
              </a:defRPr>
            </a:pPr>
            <a:endParaRPr lang="en-US"/>
          </a:p>
        </c:txPr>
        <c:crossAx val="48650112"/>
        <c:crosses val="autoZero"/>
        <c:crossBetween val="between"/>
      </c:valAx>
    </c:plotArea>
    <c:legend>
      <c:legendPos val="b"/>
      <c:overlay val="0"/>
      <c:txPr>
        <a:bodyPr anchorCtr="1"/>
        <a:lstStyle/>
        <a:p>
          <a:pPr>
            <a:defRPr sz="750">
              <a:latin typeface="Calibri"/>
              <a:ea typeface="Calibri"/>
              <a:cs typeface="Calibri"/>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10"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11</xdr:col>
      <xdr:colOff>0</xdr:colOff>
      <xdr:row>16</xdr:row>
      <xdr:rowOff>0</xdr:rowOff>
    </xdr:from>
    <xdr:to>
      <xdr:col>22</xdr:col>
      <xdr:colOff>0</xdr:colOff>
      <xdr:row>33</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30</xdr:row>
      <xdr:rowOff>0</xdr:rowOff>
    </xdr:from>
    <xdr:to>
      <xdr:col>22</xdr:col>
      <xdr:colOff>0</xdr:colOff>
      <xdr:row>47</xdr:row>
      <xdr:rowOff>0</xdr:rowOff>
    </xdr:to>
    <xdr:graphicFrame macro="">
      <xdr:nvGraphicFramePr>
        <xdr:cNvPr id="3" nam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46</xdr:row>
      <xdr:rowOff>0</xdr:rowOff>
    </xdr:from>
    <xdr:to>
      <xdr:col>22</xdr:col>
      <xdr:colOff>0</xdr:colOff>
      <xdr:row>63</xdr:row>
      <xdr:rowOff>0</xdr:rowOff>
    </xdr:to>
    <xdr:graphicFrame macro="">
      <xdr:nvGraphicFramePr>
        <xdr:cNvPr id="4" nam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62</xdr:row>
      <xdr:rowOff>0</xdr:rowOff>
    </xdr:from>
    <xdr:to>
      <xdr:col>22</xdr:col>
      <xdr:colOff>0</xdr:colOff>
      <xdr:row>79</xdr:row>
      <xdr:rowOff>0</xdr:rowOff>
    </xdr:to>
    <xdr:graphicFrame macro="">
      <xdr:nvGraphicFramePr>
        <xdr:cNvPr id="5" name="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16</xdr:row>
      <xdr:rowOff>0</xdr:rowOff>
    </xdr:from>
    <xdr:to>
      <xdr:col>22</xdr:col>
      <xdr:colOff>0</xdr:colOff>
      <xdr:row>33</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30</xdr:row>
      <xdr:rowOff>0</xdr:rowOff>
    </xdr:from>
    <xdr:to>
      <xdr:col>22</xdr:col>
      <xdr:colOff>0</xdr:colOff>
      <xdr:row>47</xdr:row>
      <xdr:rowOff>0</xdr:rowOff>
    </xdr:to>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46</xdr:row>
      <xdr:rowOff>0</xdr:rowOff>
    </xdr:from>
    <xdr:to>
      <xdr:col>22</xdr:col>
      <xdr:colOff>0</xdr:colOff>
      <xdr:row>63</xdr:row>
      <xdr:rowOff>0</xdr:rowOff>
    </xdr:to>
    <xdr:graphicFrame macro="">
      <xdr:nvGraphicFramePr>
        <xdr:cNvPr id="4" nam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62</xdr:row>
      <xdr:rowOff>0</xdr:rowOff>
    </xdr:from>
    <xdr:to>
      <xdr:col>22</xdr:col>
      <xdr:colOff>0</xdr:colOff>
      <xdr:row>79</xdr:row>
      <xdr:rowOff>0</xdr:rowOff>
    </xdr:to>
    <xdr:graphicFrame macro="">
      <xdr:nvGraphicFramePr>
        <xdr:cNvPr id="5" nam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16</xdr:row>
      <xdr:rowOff>0</xdr:rowOff>
    </xdr:from>
    <xdr:to>
      <xdr:col>22</xdr:col>
      <xdr:colOff>0</xdr:colOff>
      <xdr:row>33</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30</xdr:row>
      <xdr:rowOff>0</xdr:rowOff>
    </xdr:from>
    <xdr:to>
      <xdr:col>22</xdr:col>
      <xdr:colOff>0</xdr:colOff>
      <xdr:row>47</xdr:row>
      <xdr:rowOff>0</xdr:rowOff>
    </xdr:to>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46</xdr:row>
      <xdr:rowOff>0</xdr:rowOff>
    </xdr:from>
    <xdr:to>
      <xdr:col>22</xdr:col>
      <xdr:colOff>0</xdr:colOff>
      <xdr:row>63</xdr:row>
      <xdr:rowOff>0</xdr:rowOff>
    </xdr:to>
    <xdr:graphicFrame macro="">
      <xdr:nvGraphicFramePr>
        <xdr:cNvPr id="4" nam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62</xdr:row>
      <xdr:rowOff>0</xdr:rowOff>
    </xdr:from>
    <xdr:to>
      <xdr:col>22</xdr:col>
      <xdr:colOff>0</xdr:colOff>
      <xdr:row>79</xdr:row>
      <xdr:rowOff>0</xdr:rowOff>
    </xdr:to>
    <xdr:graphicFrame macro="">
      <xdr:nvGraphicFramePr>
        <xdr:cNvPr id="5" name="Chart">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16</xdr:row>
      <xdr:rowOff>0</xdr:rowOff>
    </xdr:from>
    <xdr:to>
      <xdr:col>22</xdr:col>
      <xdr:colOff>0</xdr:colOff>
      <xdr:row>33</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30</xdr:row>
      <xdr:rowOff>0</xdr:rowOff>
    </xdr:from>
    <xdr:to>
      <xdr:col>22</xdr:col>
      <xdr:colOff>0</xdr:colOff>
      <xdr:row>47</xdr:row>
      <xdr:rowOff>0</xdr:rowOff>
    </xdr:to>
    <xdr:graphicFrame macro="">
      <xdr:nvGraphicFramePr>
        <xdr:cNvPr id="3" nam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46</xdr:row>
      <xdr:rowOff>0</xdr:rowOff>
    </xdr:from>
    <xdr:to>
      <xdr:col>22</xdr:col>
      <xdr:colOff>0</xdr:colOff>
      <xdr:row>63</xdr:row>
      <xdr:rowOff>0</xdr:rowOff>
    </xdr:to>
    <xdr:graphicFrame macro="">
      <xdr:nvGraphicFramePr>
        <xdr:cNvPr id="4" name="Chart">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62</xdr:row>
      <xdr:rowOff>0</xdr:rowOff>
    </xdr:from>
    <xdr:to>
      <xdr:col>22</xdr:col>
      <xdr:colOff>0</xdr:colOff>
      <xdr:row>79</xdr:row>
      <xdr:rowOff>0</xdr:rowOff>
    </xdr:to>
    <xdr:graphicFrame macro="">
      <xdr:nvGraphicFramePr>
        <xdr:cNvPr id="5" name="Chart">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0</xdr:colOff>
      <xdr:row>16</xdr:row>
      <xdr:rowOff>0</xdr:rowOff>
    </xdr:from>
    <xdr:to>
      <xdr:col>22</xdr:col>
      <xdr:colOff>0</xdr:colOff>
      <xdr:row>33</xdr:row>
      <xdr:rowOff>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30</xdr:row>
      <xdr:rowOff>0</xdr:rowOff>
    </xdr:from>
    <xdr:to>
      <xdr:col>22</xdr:col>
      <xdr:colOff>0</xdr:colOff>
      <xdr:row>47</xdr:row>
      <xdr:rowOff>0</xdr:rowOff>
    </xdr:to>
    <xdr:graphicFrame macro="">
      <xdr:nvGraphicFramePr>
        <xdr:cNvPr id="3" name="Chart">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46</xdr:row>
      <xdr:rowOff>0</xdr:rowOff>
    </xdr:from>
    <xdr:to>
      <xdr:col>22</xdr:col>
      <xdr:colOff>0</xdr:colOff>
      <xdr:row>63</xdr:row>
      <xdr:rowOff>0</xdr:rowOff>
    </xdr:to>
    <xdr:graphicFrame macro="">
      <xdr:nvGraphicFramePr>
        <xdr:cNvPr id="4" name="Chart">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62</xdr:row>
      <xdr:rowOff>0</xdr:rowOff>
    </xdr:from>
    <xdr:to>
      <xdr:col>22</xdr:col>
      <xdr:colOff>0</xdr:colOff>
      <xdr:row>79</xdr:row>
      <xdr:rowOff>0</xdr:rowOff>
    </xdr:to>
    <xdr:graphicFrame macro="">
      <xdr:nvGraphicFramePr>
        <xdr:cNvPr id="5" name="Chart">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19</xdr:col>
      <xdr:colOff>0</xdr:colOff>
      <xdr:row>3</xdr:row>
      <xdr:rowOff>0</xdr:rowOff>
    </xdr:from>
    <xdr:to>
      <xdr:col>29</xdr:col>
      <xdr:colOff>0</xdr:colOff>
      <xdr:row>19</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18</xdr:row>
      <xdr:rowOff>0</xdr:rowOff>
    </xdr:from>
    <xdr:to>
      <xdr:col>29</xdr:col>
      <xdr:colOff>0</xdr:colOff>
      <xdr:row>34</xdr:row>
      <xdr:rowOff>0</xdr:rowOff>
    </xdr:to>
    <xdr:graphicFrame macro="">
      <xdr:nvGraphicFramePr>
        <xdr:cNvPr id="3" nam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33</xdr:row>
      <xdr:rowOff>0</xdr:rowOff>
    </xdr:from>
    <xdr:to>
      <xdr:col>29</xdr:col>
      <xdr:colOff>0</xdr:colOff>
      <xdr:row>49</xdr:row>
      <xdr:rowOff>0</xdr:rowOff>
    </xdr:to>
    <xdr:graphicFrame macro="">
      <xdr:nvGraphicFramePr>
        <xdr:cNvPr id="4" name="Chart">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48</xdr:row>
      <xdr:rowOff>0</xdr:rowOff>
    </xdr:from>
    <xdr:to>
      <xdr:col>29</xdr:col>
      <xdr:colOff>0</xdr:colOff>
      <xdr:row>64</xdr:row>
      <xdr:rowOff>0</xdr:rowOff>
    </xdr:to>
    <xdr:graphicFrame macro="">
      <xdr:nvGraphicFramePr>
        <xdr:cNvPr id="5" name="Chart">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63</xdr:row>
      <xdr:rowOff>0</xdr:rowOff>
    </xdr:from>
    <xdr:to>
      <xdr:col>29</xdr:col>
      <xdr:colOff>0</xdr:colOff>
      <xdr:row>79</xdr:row>
      <xdr:rowOff>0</xdr:rowOff>
    </xdr:to>
    <xdr:graphicFrame macro="">
      <xdr:nvGraphicFramePr>
        <xdr:cNvPr id="6" name="Chart">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78</xdr:row>
      <xdr:rowOff>0</xdr:rowOff>
    </xdr:from>
    <xdr:to>
      <xdr:col>29</xdr:col>
      <xdr:colOff>0</xdr:colOff>
      <xdr:row>94</xdr:row>
      <xdr:rowOff>0</xdr:rowOff>
    </xdr:to>
    <xdr:graphicFrame macro="">
      <xdr:nvGraphicFramePr>
        <xdr:cNvPr id="7" name="Chart">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93</xdr:row>
      <xdr:rowOff>0</xdr:rowOff>
    </xdr:from>
    <xdr:to>
      <xdr:col>29</xdr:col>
      <xdr:colOff>0</xdr:colOff>
      <xdr:row>109</xdr:row>
      <xdr:rowOff>0</xdr:rowOff>
    </xdr:to>
    <xdr:graphicFrame macro="">
      <xdr:nvGraphicFramePr>
        <xdr:cNvPr id="8" name="Chart">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0</xdr:colOff>
      <xdr:row>108</xdr:row>
      <xdr:rowOff>0</xdr:rowOff>
    </xdr:from>
    <xdr:to>
      <xdr:col>29</xdr:col>
      <xdr:colOff>0</xdr:colOff>
      <xdr:row>124</xdr:row>
      <xdr:rowOff>0</xdr:rowOff>
    </xdr:to>
    <xdr:graphicFrame macro="">
      <xdr:nvGraphicFramePr>
        <xdr:cNvPr id="9" name="Chart">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0</xdr:colOff>
      <xdr:row>3</xdr:row>
      <xdr:rowOff>0</xdr:rowOff>
    </xdr:from>
    <xdr:to>
      <xdr:col>39</xdr:col>
      <xdr:colOff>0</xdr:colOff>
      <xdr:row>19</xdr:row>
      <xdr:rowOff>0</xdr:rowOff>
    </xdr:to>
    <xdr:graphicFrame macro="">
      <xdr:nvGraphicFramePr>
        <xdr:cNvPr id="10" name="Chart">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0</xdr:colOff>
      <xdr:row>18</xdr:row>
      <xdr:rowOff>0</xdr:rowOff>
    </xdr:from>
    <xdr:to>
      <xdr:col>39</xdr:col>
      <xdr:colOff>0</xdr:colOff>
      <xdr:row>34</xdr:row>
      <xdr:rowOff>0</xdr:rowOff>
    </xdr:to>
    <xdr:graphicFrame macro="">
      <xdr:nvGraphicFramePr>
        <xdr:cNvPr id="11" name="Chart">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KOHC_Financial_Analysis_Audit.xlsx" TargetMode="External"/><Relationship Id="rId7" Type="http://schemas.openxmlformats.org/officeDocument/2006/relationships/hyperlink" Target="KOHC_Financial_Analysis_Audit.xlsx" TargetMode="External"/><Relationship Id="rId2" Type="http://schemas.openxmlformats.org/officeDocument/2006/relationships/hyperlink" Target="KOHC_Financial_Analysis_Audit.xlsx" TargetMode="External"/><Relationship Id="rId1" Type="http://schemas.openxmlformats.org/officeDocument/2006/relationships/hyperlink" Target="KOHC_Financial_Analysis_Audit.xlsx" TargetMode="External"/><Relationship Id="rId6" Type="http://schemas.openxmlformats.org/officeDocument/2006/relationships/hyperlink" Target="KOHC_Financial_Analysis_Audit.xlsx" TargetMode="External"/><Relationship Id="rId5" Type="http://schemas.openxmlformats.org/officeDocument/2006/relationships/hyperlink" Target="KOHC_Financial_Analysis_Audit.xlsx" TargetMode="External"/><Relationship Id="rId4" Type="http://schemas.openxmlformats.org/officeDocument/2006/relationships/hyperlink" Target="KOHC_Financial_Analysis_Audit.xls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1.xml.rels><?xml version="1.0" encoding="UTF-8" standalone="yes"?>
<Relationships xmlns="http://schemas.openxmlformats.org/package/2006/relationships"><Relationship Id="rId3" Type="http://schemas.openxmlformats.org/officeDocument/2006/relationships/hyperlink" Target="KOHC_Financial_Analysis_Audit.xlsx" TargetMode="External"/><Relationship Id="rId7" Type="http://schemas.openxmlformats.org/officeDocument/2006/relationships/hyperlink" Target="KOHC_Financial_Analysis_Audit.xlsx" TargetMode="External"/><Relationship Id="rId2" Type="http://schemas.openxmlformats.org/officeDocument/2006/relationships/hyperlink" Target="KOHC_Financial_Analysis_Audit.xlsx" TargetMode="External"/><Relationship Id="rId1" Type="http://schemas.openxmlformats.org/officeDocument/2006/relationships/hyperlink" Target="KOHC_Financial_Analysis_Audit.xlsx" TargetMode="External"/><Relationship Id="rId6" Type="http://schemas.openxmlformats.org/officeDocument/2006/relationships/hyperlink" Target="KOHC_Financial_Analysis_Audit.xlsx" TargetMode="External"/><Relationship Id="rId5" Type="http://schemas.openxmlformats.org/officeDocument/2006/relationships/hyperlink" Target="KOHC_Financial_Analysis_Audit.xlsx" TargetMode="External"/><Relationship Id="rId4" Type="http://schemas.openxmlformats.org/officeDocument/2006/relationships/hyperlink" Target="KOHC_Financial_Analysis_Audit.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7"/>
  <sheetViews>
    <sheetView showGridLines="0" tabSelected="1" workbookViewId="0">
      <selection sqref="A1:H1"/>
    </sheetView>
  </sheetViews>
  <sheetFormatPr defaultColWidth="8.6640625" defaultRowHeight="14.4" x14ac:dyDescent="0.3"/>
  <cols>
    <col min="1" max="1" width="11" customWidth="1"/>
    <col min="2" max="2" width="25" customWidth="1"/>
    <col min="3" max="3" width="39" customWidth="1"/>
    <col min="4" max="4" width="21" customWidth="1"/>
    <col min="5" max="5" width="24" customWidth="1"/>
    <col min="6" max="6" width="48" customWidth="1"/>
    <col min="7" max="7" width="43" customWidth="1"/>
    <col min="8" max="8" width="66" customWidth="1"/>
  </cols>
  <sheetData>
    <row r="1" spans="1:8" ht="30" customHeight="1" x14ac:dyDescent="0.3">
      <c r="A1" s="202" t="s">
        <v>9300</v>
      </c>
      <c r="B1" s="202"/>
      <c r="C1" s="202"/>
      <c r="D1" s="202"/>
      <c r="E1" s="202"/>
      <c r="F1" s="202"/>
      <c r="G1" s="202"/>
      <c r="H1" s="202"/>
    </row>
    <row r="2" spans="1:8" ht="25.95" customHeight="1" x14ac:dyDescent="0.3">
      <c r="A2" s="177"/>
      <c r="B2" s="177"/>
      <c r="C2" s="177"/>
      <c r="D2" s="177"/>
      <c r="E2" s="177"/>
      <c r="F2" s="177"/>
      <c r="G2" s="177"/>
      <c r="H2" s="177"/>
    </row>
    <row r="3" spans="1:8" ht="30" customHeight="1" x14ac:dyDescent="0.3">
      <c r="A3" s="203" t="s">
        <v>9301</v>
      </c>
      <c r="B3" s="203"/>
      <c r="C3" s="203"/>
      <c r="D3" s="203"/>
      <c r="E3" s="203"/>
      <c r="F3" s="203"/>
      <c r="G3" s="203"/>
      <c r="H3" s="203"/>
    </row>
    <row r="4" spans="1:8" ht="30" customHeight="1" x14ac:dyDescent="0.3">
      <c r="A4" s="203" t="s">
        <v>9302</v>
      </c>
      <c r="B4" s="203"/>
      <c r="C4" s="203"/>
      <c r="D4" s="203"/>
      <c r="E4" s="203"/>
      <c r="F4" s="203"/>
      <c r="G4" s="203"/>
      <c r="H4" s="203"/>
    </row>
    <row r="5" spans="1:8" ht="25.95" customHeight="1" x14ac:dyDescent="0.3">
      <c r="A5" s="177"/>
      <c r="B5" s="177"/>
      <c r="C5" s="177"/>
      <c r="D5" s="177"/>
      <c r="E5" s="177"/>
      <c r="F5" s="177"/>
      <c r="G5" s="177"/>
      <c r="H5" s="177"/>
    </row>
    <row r="6" spans="1:8" ht="30" customHeight="1" x14ac:dyDescent="0.3">
      <c r="A6" s="203" t="s">
        <v>9303</v>
      </c>
      <c r="B6" s="203"/>
      <c r="C6" s="203"/>
      <c r="D6" s="203"/>
      <c r="E6" s="203"/>
      <c r="F6" s="203"/>
      <c r="G6" s="203"/>
      <c r="H6" s="203"/>
    </row>
    <row r="7" spans="1:8" ht="30" customHeight="1" x14ac:dyDescent="0.3">
      <c r="A7" s="203" t="s">
        <v>9304</v>
      </c>
      <c r="B7" s="203"/>
      <c r="C7" s="203"/>
      <c r="D7" s="203"/>
      <c r="E7" s="203"/>
      <c r="F7" s="203"/>
      <c r="G7" s="203"/>
      <c r="H7" s="203"/>
    </row>
    <row r="8" spans="1:8" ht="37.950000000000003" customHeight="1" x14ac:dyDescent="0.3">
      <c r="A8" s="203" t="s">
        <v>9305</v>
      </c>
      <c r="B8" s="203"/>
      <c r="C8" s="203"/>
      <c r="D8" s="203"/>
      <c r="E8" s="203"/>
      <c r="F8" s="203"/>
      <c r="G8" s="203"/>
      <c r="H8" s="203"/>
    </row>
    <row r="9" spans="1:8" ht="25.95" customHeight="1" x14ac:dyDescent="0.3">
      <c r="A9" s="177"/>
      <c r="B9" s="177"/>
      <c r="C9" s="177"/>
      <c r="D9" s="177"/>
      <c r="E9" s="177"/>
      <c r="F9" s="177"/>
      <c r="G9" s="177"/>
      <c r="H9" s="177"/>
    </row>
    <row r="10" spans="1:8" ht="37.950000000000003" customHeight="1" x14ac:dyDescent="0.3">
      <c r="A10" s="203" t="s">
        <v>9306</v>
      </c>
      <c r="B10" s="203"/>
      <c r="C10" s="203"/>
      <c r="D10" s="203"/>
      <c r="E10" s="203"/>
      <c r="F10" s="203"/>
      <c r="G10" s="203"/>
      <c r="H10" s="203"/>
    </row>
    <row r="11" spans="1:8" ht="30" customHeight="1" x14ac:dyDescent="0.3">
      <c r="A11" s="203" t="s">
        <v>9307</v>
      </c>
      <c r="B11" s="203"/>
      <c r="C11" s="203"/>
      <c r="D11" s="203"/>
      <c r="E11" s="203"/>
      <c r="F11" s="203"/>
      <c r="G11" s="203"/>
      <c r="H11" s="203"/>
    </row>
    <row r="12" spans="1:8" ht="25.95" customHeight="1" x14ac:dyDescent="0.3">
      <c r="A12" s="177"/>
      <c r="B12" s="177"/>
      <c r="C12" s="177"/>
      <c r="D12" s="177"/>
      <c r="E12" s="177"/>
      <c r="F12" s="177"/>
      <c r="G12" s="177"/>
      <c r="H12" s="177"/>
    </row>
    <row r="13" spans="1:8" ht="30" customHeight="1" x14ac:dyDescent="0.3">
      <c r="A13" s="204" t="s">
        <v>9308</v>
      </c>
      <c r="B13" s="204"/>
      <c r="C13" s="204"/>
      <c r="D13" s="204"/>
      <c r="E13" s="204"/>
      <c r="F13" s="204"/>
      <c r="G13" s="204"/>
      <c r="H13" s="204"/>
    </row>
    <row r="14" spans="1:8" ht="30" customHeight="1" x14ac:dyDescent="0.3">
      <c r="A14" s="203" t="s">
        <v>9309</v>
      </c>
      <c r="B14" s="203"/>
      <c r="C14" s="203"/>
      <c r="D14" s="203"/>
      <c r="E14" s="203"/>
      <c r="F14" s="203"/>
      <c r="G14" s="203"/>
      <c r="H14" s="203"/>
    </row>
    <row r="15" spans="1:8" ht="37.950000000000003" customHeight="1" x14ac:dyDescent="0.3">
      <c r="A15" s="203" t="s">
        <v>9310</v>
      </c>
      <c r="B15" s="203"/>
      <c r="C15" s="203"/>
      <c r="D15" s="203"/>
      <c r="E15" s="203"/>
      <c r="F15" s="203"/>
      <c r="G15" s="203"/>
      <c r="H15" s="203"/>
    </row>
    <row r="16" spans="1:8" ht="30" customHeight="1" x14ac:dyDescent="0.3">
      <c r="A16" s="203" t="s">
        <v>9311</v>
      </c>
      <c r="B16" s="203"/>
      <c r="C16" s="203"/>
      <c r="D16" s="203"/>
      <c r="E16" s="203"/>
      <c r="F16" s="203"/>
      <c r="G16" s="203"/>
      <c r="H16" s="203"/>
    </row>
    <row r="17" spans="1:8" ht="30" customHeight="1" x14ac:dyDescent="0.3">
      <c r="A17" s="203" t="s">
        <v>9312</v>
      </c>
      <c r="B17" s="203"/>
      <c r="C17" s="203"/>
      <c r="D17" s="203"/>
      <c r="E17" s="203"/>
      <c r="F17" s="203"/>
      <c r="G17" s="203"/>
      <c r="H17" s="203"/>
    </row>
    <row r="18" spans="1:8" ht="25.95" customHeight="1" x14ac:dyDescent="0.3">
      <c r="A18" s="177"/>
      <c r="B18" s="177"/>
      <c r="C18" s="177"/>
      <c r="D18" s="177"/>
      <c r="E18" s="177"/>
      <c r="F18" s="177"/>
      <c r="G18" s="177"/>
      <c r="H18" s="177"/>
    </row>
    <row r="19" spans="1:8" ht="30" customHeight="1" x14ac:dyDescent="0.3">
      <c r="A19" s="204" t="s">
        <v>9313</v>
      </c>
      <c r="B19" s="204"/>
      <c r="C19" s="204"/>
      <c r="D19" s="204"/>
      <c r="E19" s="204"/>
      <c r="F19" s="204"/>
      <c r="G19" s="204"/>
      <c r="H19" s="204"/>
    </row>
    <row r="20" spans="1:8" ht="25.95" customHeight="1" x14ac:dyDescent="0.3">
      <c r="A20" s="177"/>
      <c r="B20" s="177"/>
      <c r="C20" s="177"/>
      <c r="D20" s="177"/>
      <c r="E20" s="177"/>
      <c r="F20" s="177"/>
      <c r="G20" s="177"/>
      <c r="H20" s="177"/>
    </row>
    <row r="21" spans="1:8" ht="31.95" customHeight="1" x14ac:dyDescent="0.3">
      <c r="A21" s="194" t="s">
        <v>9012</v>
      </c>
      <c r="B21" s="194" t="s">
        <v>906</v>
      </c>
      <c r="C21" s="194" t="s">
        <v>908</v>
      </c>
      <c r="D21" s="194" t="s">
        <v>3534</v>
      </c>
      <c r="E21" s="194" t="s">
        <v>9314</v>
      </c>
      <c r="F21" s="194" t="s">
        <v>9015</v>
      </c>
      <c r="G21" s="194" t="s">
        <v>9315</v>
      </c>
      <c r="H21" s="194" t="s">
        <v>9316</v>
      </c>
    </row>
    <row r="22" spans="1:8" ht="48" customHeight="1" x14ac:dyDescent="0.3">
      <c r="A22" s="195">
        <v>1</v>
      </c>
      <c r="B22" s="195" t="s">
        <v>459</v>
      </c>
      <c r="C22" s="195" t="s">
        <v>9018</v>
      </c>
      <c r="D22" s="195" t="s">
        <v>3544</v>
      </c>
      <c r="E22" s="195" t="s">
        <v>9020</v>
      </c>
      <c r="F22" s="195" t="s">
        <v>9021</v>
      </c>
      <c r="G22" s="195" t="s">
        <v>9317</v>
      </c>
      <c r="H22" s="195" t="s">
        <v>9318</v>
      </c>
    </row>
    <row r="23" spans="1:8" ht="48" customHeight="1" x14ac:dyDescent="0.3">
      <c r="A23" s="193">
        <v>2</v>
      </c>
      <c r="B23" s="193" t="s">
        <v>459</v>
      </c>
      <c r="C23" s="193" t="s">
        <v>9024</v>
      </c>
      <c r="D23" s="193" t="s">
        <v>3544</v>
      </c>
      <c r="E23" s="193" t="s">
        <v>9020</v>
      </c>
      <c r="F23" s="193" t="s">
        <v>9025</v>
      </c>
      <c r="G23" s="193" t="s">
        <v>9319</v>
      </c>
      <c r="H23" s="193" t="s">
        <v>9318</v>
      </c>
    </row>
    <row r="24" spans="1:8" ht="48" customHeight="1" x14ac:dyDescent="0.3">
      <c r="A24" s="195">
        <v>3</v>
      </c>
      <c r="B24" s="195" t="s">
        <v>459</v>
      </c>
      <c r="C24" s="195" t="s">
        <v>9027</v>
      </c>
      <c r="D24" s="195" t="s">
        <v>3544</v>
      </c>
      <c r="E24" s="195" t="s">
        <v>9028</v>
      </c>
      <c r="F24" s="195" t="s">
        <v>9029</v>
      </c>
      <c r="G24" s="195" t="s">
        <v>9320</v>
      </c>
      <c r="H24" s="195" t="s">
        <v>9318</v>
      </c>
    </row>
    <row r="25" spans="1:8" ht="48" customHeight="1" x14ac:dyDescent="0.3">
      <c r="A25" s="193">
        <v>4</v>
      </c>
      <c r="B25" s="193" t="s">
        <v>459</v>
      </c>
      <c r="C25" s="193" t="s">
        <v>9032</v>
      </c>
      <c r="D25" s="193" t="s">
        <v>3545</v>
      </c>
      <c r="E25" s="193" t="s">
        <v>9033</v>
      </c>
      <c r="F25" s="193" t="s">
        <v>9034</v>
      </c>
      <c r="G25" s="193" t="s">
        <v>9321</v>
      </c>
      <c r="H25" s="193" t="s">
        <v>9318</v>
      </c>
    </row>
    <row r="26" spans="1:8" ht="48" customHeight="1" x14ac:dyDescent="0.3">
      <c r="A26" s="195">
        <v>5</v>
      </c>
      <c r="B26" s="195" t="s">
        <v>471</v>
      </c>
      <c r="C26" s="195" t="s">
        <v>9036</v>
      </c>
      <c r="D26" s="195" t="s">
        <v>3544</v>
      </c>
      <c r="E26" s="195" t="s">
        <v>9020</v>
      </c>
      <c r="F26" s="195" t="s">
        <v>9037</v>
      </c>
      <c r="G26" s="195" t="s">
        <v>9322</v>
      </c>
      <c r="H26" s="195" t="s">
        <v>9149</v>
      </c>
    </row>
    <row r="27" spans="1:8" ht="48" customHeight="1" x14ac:dyDescent="0.3">
      <c r="A27" s="193">
        <v>6</v>
      </c>
      <c r="B27" s="193" t="s">
        <v>471</v>
      </c>
      <c r="C27" s="193" t="s">
        <v>9039</v>
      </c>
      <c r="D27" s="193" t="s">
        <v>3545</v>
      </c>
      <c r="E27" s="193" t="s">
        <v>9033</v>
      </c>
      <c r="F27" s="193" t="s">
        <v>9040</v>
      </c>
      <c r="G27" s="193" t="s">
        <v>9323</v>
      </c>
      <c r="H27" s="193" t="s">
        <v>9149</v>
      </c>
    </row>
    <row r="28" spans="1:8" ht="48" customHeight="1" x14ac:dyDescent="0.3">
      <c r="A28" s="195">
        <v>7</v>
      </c>
      <c r="B28" s="195" t="s">
        <v>471</v>
      </c>
      <c r="C28" s="195" t="s">
        <v>9042</v>
      </c>
      <c r="D28" s="195" t="s">
        <v>3545</v>
      </c>
      <c r="E28" s="195" t="s">
        <v>9033</v>
      </c>
      <c r="F28" s="195" t="s">
        <v>9043</v>
      </c>
      <c r="G28" s="195" t="s">
        <v>9324</v>
      </c>
      <c r="H28" s="195" t="s">
        <v>9149</v>
      </c>
    </row>
    <row r="29" spans="1:8" ht="48" customHeight="1" x14ac:dyDescent="0.3">
      <c r="A29" s="193">
        <v>8</v>
      </c>
      <c r="B29" s="193" t="s">
        <v>471</v>
      </c>
      <c r="C29" s="193" t="s">
        <v>9045</v>
      </c>
      <c r="D29" s="193" t="s">
        <v>3544</v>
      </c>
      <c r="E29" s="193" t="s">
        <v>9020</v>
      </c>
      <c r="F29" s="193" t="s">
        <v>9046</v>
      </c>
      <c r="G29" s="193" t="s">
        <v>9325</v>
      </c>
      <c r="H29" s="193" t="s">
        <v>9149</v>
      </c>
    </row>
    <row r="30" spans="1:8" ht="48" customHeight="1" x14ac:dyDescent="0.3">
      <c r="A30" s="195">
        <v>9</v>
      </c>
      <c r="B30" s="195" t="s">
        <v>471</v>
      </c>
      <c r="C30" s="195" t="s">
        <v>9048</v>
      </c>
      <c r="D30" s="195" t="s">
        <v>3544</v>
      </c>
      <c r="E30" s="195" t="s">
        <v>9020</v>
      </c>
      <c r="F30" s="195" t="s">
        <v>9049</v>
      </c>
      <c r="G30" s="195" t="s">
        <v>9326</v>
      </c>
      <c r="H30" s="195" t="s">
        <v>9148</v>
      </c>
    </row>
    <row r="31" spans="1:8" ht="48" customHeight="1" x14ac:dyDescent="0.3">
      <c r="A31" s="193">
        <v>10</v>
      </c>
      <c r="B31" s="193" t="s">
        <v>471</v>
      </c>
      <c r="C31" s="193" t="s">
        <v>9052</v>
      </c>
      <c r="D31" s="193" t="s">
        <v>3544</v>
      </c>
      <c r="E31" s="193" t="s">
        <v>9020</v>
      </c>
      <c r="F31" s="193" t="s">
        <v>9053</v>
      </c>
      <c r="G31" s="193" t="s">
        <v>9327</v>
      </c>
      <c r="H31" s="193" t="s">
        <v>9148</v>
      </c>
    </row>
    <row r="32" spans="1:8" ht="48" customHeight="1" x14ac:dyDescent="0.3">
      <c r="A32" s="195">
        <v>11</v>
      </c>
      <c r="B32" s="195" t="s">
        <v>493</v>
      </c>
      <c r="C32" s="195" t="s">
        <v>9055</v>
      </c>
      <c r="D32" s="195" t="s">
        <v>3544</v>
      </c>
      <c r="E32" s="195" t="s">
        <v>9028</v>
      </c>
      <c r="F32" s="195" t="s">
        <v>9056</v>
      </c>
      <c r="G32" s="195" t="s">
        <v>9328</v>
      </c>
      <c r="H32" s="195" t="s">
        <v>9148</v>
      </c>
    </row>
    <row r="33" spans="1:8" ht="48" customHeight="1" x14ac:dyDescent="0.3">
      <c r="A33" s="193">
        <v>12</v>
      </c>
      <c r="B33" s="193" t="s">
        <v>493</v>
      </c>
      <c r="C33" s="193" t="s">
        <v>9058</v>
      </c>
      <c r="D33" s="193" t="s">
        <v>3544</v>
      </c>
      <c r="E33" s="193" t="s">
        <v>9028</v>
      </c>
      <c r="F33" s="193" t="s">
        <v>9059</v>
      </c>
      <c r="G33" s="193" t="s">
        <v>9329</v>
      </c>
      <c r="H33" s="193" t="s">
        <v>9148</v>
      </c>
    </row>
    <row r="34" spans="1:8" ht="48" customHeight="1" x14ac:dyDescent="0.3">
      <c r="A34" s="195">
        <v>13</v>
      </c>
      <c r="B34" s="195" t="s">
        <v>493</v>
      </c>
      <c r="C34" s="195" t="s">
        <v>9062</v>
      </c>
      <c r="D34" s="195" t="s">
        <v>3545</v>
      </c>
      <c r="E34" s="195" t="s">
        <v>9020</v>
      </c>
      <c r="F34" s="195" t="s">
        <v>9063</v>
      </c>
      <c r="G34" s="195" t="s">
        <v>9330</v>
      </c>
      <c r="H34" s="195" t="s">
        <v>9148</v>
      </c>
    </row>
    <row r="35" spans="1:8" ht="48" customHeight="1" x14ac:dyDescent="0.3">
      <c r="A35" s="193">
        <v>14</v>
      </c>
      <c r="B35" s="193" t="s">
        <v>493</v>
      </c>
      <c r="C35" s="193" t="s">
        <v>9064</v>
      </c>
      <c r="D35" s="193" t="s">
        <v>3544</v>
      </c>
      <c r="E35" s="193" t="s">
        <v>9020</v>
      </c>
      <c r="F35" s="193" t="s">
        <v>9065</v>
      </c>
      <c r="G35" s="193" t="s">
        <v>9331</v>
      </c>
      <c r="H35" s="193" t="s">
        <v>9318</v>
      </c>
    </row>
    <row r="36" spans="1:8" ht="48" customHeight="1" x14ac:dyDescent="0.3">
      <c r="A36" s="195">
        <v>15</v>
      </c>
      <c r="B36" s="195" t="s">
        <v>504</v>
      </c>
      <c r="C36" s="195" t="s">
        <v>9067</v>
      </c>
      <c r="D36" s="195" t="s">
        <v>3544</v>
      </c>
      <c r="E36" s="195" t="s">
        <v>9028</v>
      </c>
      <c r="F36" s="195" t="s">
        <v>9068</v>
      </c>
      <c r="G36" s="195" t="s">
        <v>9332</v>
      </c>
      <c r="H36" s="195" t="s">
        <v>9318</v>
      </c>
    </row>
    <row r="37" spans="1:8" ht="48" customHeight="1" x14ac:dyDescent="0.3">
      <c r="A37" s="193">
        <v>16</v>
      </c>
      <c r="B37" s="193" t="s">
        <v>504</v>
      </c>
      <c r="C37" s="193" t="s">
        <v>9070</v>
      </c>
      <c r="D37" s="193" t="s">
        <v>3544</v>
      </c>
      <c r="E37" s="193" t="s">
        <v>9020</v>
      </c>
      <c r="F37" s="193" t="s">
        <v>9071</v>
      </c>
      <c r="G37" s="193" t="s">
        <v>9333</v>
      </c>
      <c r="H37" s="193" t="s">
        <v>9318</v>
      </c>
    </row>
    <row r="38" spans="1:8" ht="48" customHeight="1" x14ac:dyDescent="0.3">
      <c r="A38" s="195">
        <v>17</v>
      </c>
      <c r="B38" s="195" t="s">
        <v>504</v>
      </c>
      <c r="C38" s="195" t="s">
        <v>9074</v>
      </c>
      <c r="D38" s="195" t="s">
        <v>3544</v>
      </c>
      <c r="E38" s="195" t="s">
        <v>9020</v>
      </c>
      <c r="F38" s="195" t="s">
        <v>9075</v>
      </c>
      <c r="G38" s="195" t="s">
        <v>9334</v>
      </c>
      <c r="H38" s="195" t="s">
        <v>9318</v>
      </c>
    </row>
    <row r="39" spans="1:8" ht="48" customHeight="1" x14ac:dyDescent="0.3">
      <c r="A39" s="193">
        <v>18</v>
      </c>
      <c r="B39" s="193" t="s">
        <v>504</v>
      </c>
      <c r="C39" s="193" t="s">
        <v>9077</v>
      </c>
      <c r="D39" s="193" t="s">
        <v>3544</v>
      </c>
      <c r="E39" s="193" t="s">
        <v>9020</v>
      </c>
      <c r="F39" s="193" t="s">
        <v>9078</v>
      </c>
      <c r="G39" s="193" t="s">
        <v>9335</v>
      </c>
      <c r="H39" s="193" t="s">
        <v>9148</v>
      </c>
    </row>
    <row r="40" spans="1:8" ht="48" customHeight="1" x14ac:dyDescent="0.3">
      <c r="A40" s="195">
        <v>19</v>
      </c>
      <c r="B40" s="195" t="s">
        <v>504</v>
      </c>
      <c r="C40" s="195" t="s">
        <v>9079</v>
      </c>
      <c r="D40" s="195" t="s">
        <v>3544</v>
      </c>
      <c r="E40" s="195" t="s">
        <v>9020</v>
      </c>
      <c r="F40" s="195" t="s">
        <v>9080</v>
      </c>
      <c r="G40" s="195" t="s">
        <v>9336</v>
      </c>
      <c r="H40" s="195" t="s">
        <v>9148</v>
      </c>
    </row>
    <row r="41" spans="1:8" ht="48" customHeight="1" x14ac:dyDescent="0.3">
      <c r="A41" s="193">
        <v>20</v>
      </c>
      <c r="B41" s="193" t="s">
        <v>504</v>
      </c>
      <c r="C41" s="193" t="s">
        <v>9082</v>
      </c>
      <c r="D41" s="193" t="s">
        <v>3545</v>
      </c>
      <c r="E41" s="193" t="s">
        <v>9020</v>
      </c>
      <c r="F41" s="193" t="s">
        <v>9083</v>
      </c>
      <c r="G41" s="193" t="s">
        <v>9337</v>
      </c>
      <c r="H41" s="193" t="s">
        <v>9148</v>
      </c>
    </row>
    <row r="42" spans="1:8" ht="48" customHeight="1" x14ac:dyDescent="0.3">
      <c r="A42" s="195">
        <v>21</v>
      </c>
      <c r="B42" s="195" t="s">
        <v>504</v>
      </c>
      <c r="C42" s="195" t="s">
        <v>9086</v>
      </c>
      <c r="D42" s="195" t="s">
        <v>3545</v>
      </c>
      <c r="E42" s="195" t="s">
        <v>9020</v>
      </c>
      <c r="F42" s="195" t="s">
        <v>9087</v>
      </c>
      <c r="G42" s="195" t="s">
        <v>9338</v>
      </c>
      <c r="H42" s="195" t="s">
        <v>9148</v>
      </c>
    </row>
    <row r="43" spans="1:8" ht="48" customHeight="1" x14ac:dyDescent="0.3">
      <c r="A43" s="193">
        <v>22</v>
      </c>
      <c r="B43" s="193" t="s">
        <v>519</v>
      </c>
      <c r="C43" s="193" t="s">
        <v>9088</v>
      </c>
      <c r="D43" s="193" t="s">
        <v>3544</v>
      </c>
      <c r="E43" s="193" t="s">
        <v>9028</v>
      </c>
      <c r="F43" s="193" t="s">
        <v>9089</v>
      </c>
      <c r="G43" s="193" t="s">
        <v>9339</v>
      </c>
      <c r="H43" s="193" t="s">
        <v>9318</v>
      </c>
    </row>
    <row r="44" spans="1:8" ht="48" customHeight="1" x14ac:dyDescent="0.3">
      <c r="A44" s="195">
        <v>23</v>
      </c>
      <c r="B44" s="195" t="s">
        <v>519</v>
      </c>
      <c r="C44" s="195" t="s">
        <v>9091</v>
      </c>
      <c r="D44" s="195" t="s">
        <v>3545</v>
      </c>
      <c r="E44" s="195" t="s">
        <v>9033</v>
      </c>
      <c r="F44" s="195" t="s">
        <v>9092</v>
      </c>
      <c r="G44" s="195" t="s">
        <v>9340</v>
      </c>
      <c r="H44" s="195" t="s">
        <v>9148</v>
      </c>
    </row>
    <row r="45" spans="1:8" ht="48" customHeight="1" x14ac:dyDescent="0.3">
      <c r="A45" s="193">
        <v>24</v>
      </c>
      <c r="B45" s="193" t="s">
        <v>519</v>
      </c>
      <c r="C45" s="193" t="s">
        <v>9094</v>
      </c>
      <c r="D45" s="193" t="s">
        <v>3544</v>
      </c>
      <c r="E45" s="193" t="s">
        <v>9020</v>
      </c>
      <c r="F45" s="193" t="s">
        <v>9095</v>
      </c>
      <c r="G45" s="193" t="s">
        <v>9341</v>
      </c>
      <c r="H45" s="193" t="s">
        <v>9318</v>
      </c>
    </row>
    <row r="46" spans="1:8" ht="48" customHeight="1" x14ac:dyDescent="0.3">
      <c r="A46" s="195">
        <v>25</v>
      </c>
      <c r="B46" s="195" t="s">
        <v>519</v>
      </c>
      <c r="C46" s="195" t="s">
        <v>9097</v>
      </c>
      <c r="D46" s="195" t="s">
        <v>3544</v>
      </c>
      <c r="E46" s="195" t="s">
        <v>9020</v>
      </c>
      <c r="F46" s="195" t="s">
        <v>9098</v>
      </c>
      <c r="G46" s="195" t="s">
        <v>9342</v>
      </c>
      <c r="H46" s="195" t="s">
        <v>9318</v>
      </c>
    </row>
    <row r="47" spans="1:8" ht="48" customHeight="1" x14ac:dyDescent="0.3">
      <c r="A47" s="193">
        <v>26</v>
      </c>
      <c r="B47" s="193" t="s">
        <v>519</v>
      </c>
      <c r="C47" s="193" t="s">
        <v>9099</v>
      </c>
      <c r="D47" s="193" t="s">
        <v>3544</v>
      </c>
      <c r="E47" s="193" t="s">
        <v>9028</v>
      </c>
      <c r="F47" s="193" t="s">
        <v>9100</v>
      </c>
      <c r="G47" s="193" t="s">
        <v>9343</v>
      </c>
      <c r="H47" s="193" t="s">
        <v>9318</v>
      </c>
    </row>
    <row r="48" spans="1:8" ht="48" customHeight="1" x14ac:dyDescent="0.3">
      <c r="A48" s="195">
        <v>27</v>
      </c>
      <c r="B48" s="195" t="s">
        <v>519</v>
      </c>
      <c r="C48" s="195" t="s">
        <v>9102</v>
      </c>
      <c r="D48" s="195" t="s">
        <v>3545</v>
      </c>
      <c r="E48" s="195" t="s">
        <v>9020</v>
      </c>
      <c r="F48" s="195" t="s">
        <v>9103</v>
      </c>
      <c r="G48" s="195" t="s">
        <v>9344</v>
      </c>
      <c r="H48" s="195" t="s">
        <v>9318</v>
      </c>
    </row>
    <row r="49" spans="1:8" ht="25.95" customHeight="1" x14ac:dyDescent="0.3">
      <c r="A49" s="177"/>
      <c r="B49" s="177"/>
      <c r="C49" s="177"/>
      <c r="D49" s="177"/>
      <c r="E49" s="177"/>
      <c r="F49" s="177"/>
      <c r="G49" s="177"/>
      <c r="H49" s="177"/>
    </row>
    <row r="50" spans="1:8" ht="25.95" customHeight="1" x14ac:dyDescent="0.3">
      <c r="A50" s="177"/>
      <c r="B50" s="177"/>
      <c r="C50" s="177"/>
      <c r="D50" s="177"/>
      <c r="E50" s="177"/>
      <c r="F50" s="177"/>
      <c r="G50" s="177"/>
      <c r="H50" s="177"/>
    </row>
    <row r="51" spans="1:8" ht="25.95" customHeight="1" x14ac:dyDescent="0.3">
      <c r="A51" s="177"/>
      <c r="B51" s="177"/>
      <c r="C51" s="177"/>
      <c r="D51" s="177"/>
      <c r="E51" s="177"/>
      <c r="F51" s="177"/>
      <c r="G51" s="177"/>
      <c r="H51" s="177"/>
    </row>
    <row r="52" spans="1:8" ht="30" customHeight="1" x14ac:dyDescent="0.3">
      <c r="A52" s="204" t="s">
        <v>9345</v>
      </c>
      <c r="B52" s="204"/>
      <c r="C52" s="204"/>
      <c r="D52" s="204"/>
      <c r="E52" s="204"/>
      <c r="F52" s="204"/>
      <c r="G52" s="204"/>
      <c r="H52" s="204"/>
    </row>
    <row r="53" spans="1:8" ht="37.950000000000003" customHeight="1" x14ac:dyDescent="0.3">
      <c r="A53" s="203" t="s">
        <v>9346</v>
      </c>
      <c r="B53" s="203"/>
      <c r="C53" s="203"/>
      <c r="D53" s="203"/>
      <c r="E53" s="203"/>
      <c r="F53" s="203"/>
      <c r="G53" s="203"/>
      <c r="H53" s="203"/>
    </row>
    <row r="54" spans="1:8" ht="48" customHeight="1" x14ac:dyDescent="0.3">
      <c r="A54" s="203" t="s">
        <v>9347</v>
      </c>
      <c r="B54" s="203"/>
      <c r="C54" s="203"/>
      <c r="D54" s="203"/>
      <c r="E54" s="203"/>
      <c r="F54" s="203"/>
      <c r="G54" s="203"/>
      <c r="H54" s="203"/>
    </row>
    <row r="55" spans="1:8" ht="48" customHeight="1" x14ac:dyDescent="0.3">
      <c r="A55" s="203" t="s">
        <v>9348</v>
      </c>
      <c r="B55" s="203"/>
      <c r="C55" s="203"/>
      <c r="D55" s="203"/>
      <c r="E55" s="203"/>
      <c r="F55" s="203"/>
      <c r="G55" s="203"/>
      <c r="H55" s="203"/>
    </row>
    <row r="56" spans="1:8" ht="48" customHeight="1" x14ac:dyDescent="0.3">
      <c r="A56" s="203" t="s">
        <v>9349</v>
      </c>
      <c r="B56" s="203"/>
      <c r="C56" s="203"/>
      <c r="D56" s="203"/>
      <c r="E56" s="203"/>
      <c r="F56" s="203"/>
      <c r="G56" s="203"/>
      <c r="H56" s="203"/>
    </row>
    <row r="57" spans="1:8" ht="48" customHeight="1" x14ac:dyDescent="0.3">
      <c r="A57" s="203" t="s">
        <v>9350</v>
      </c>
      <c r="B57" s="203"/>
      <c r="C57" s="203"/>
      <c r="D57" s="203"/>
      <c r="E57" s="203"/>
      <c r="F57" s="203"/>
      <c r="G57" s="203"/>
      <c r="H57" s="203"/>
    </row>
    <row r="58" spans="1:8" ht="25.95" customHeight="1" x14ac:dyDescent="0.3">
      <c r="A58" s="177"/>
      <c r="B58" s="177"/>
      <c r="C58" s="177"/>
      <c r="D58" s="177"/>
      <c r="E58" s="177"/>
      <c r="F58" s="177"/>
      <c r="G58" s="177"/>
      <c r="H58" s="177"/>
    </row>
    <row r="59" spans="1:8" ht="25.95" customHeight="1" x14ac:dyDescent="0.3">
      <c r="A59" s="177"/>
      <c r="B59" s="177"/>
      <c r="C59" s="177"/>
      <c r="D59" s="177"/>
      <c r="E59" s="177"/>
      <c r="F59" s="177"/>
      <c r="G59" s="177"/>
      <c r="H59" s="177"/>
    </row>
    <row r="60" spans="1:8" ht="37.950000000000003" customHeight="1" x14ac:dyDescent="0.3">
      <c r="A60" s="203" t="s">
        <v>9351</v>
      </c>
      <c r="B60" s="203"/>
      <c r="C60" s="203"/>
      <c r="D60" s="203"/>
      <c r="E60" s="203"/>
      <c r="F60" s="203"/>
      <c r="G60" s="203"/>
      <c r="H60" s="203"/>
    </row>
    <row r="61" spans="1:8" ht="25.95" customHeight="1" x14ac:dyDescent="0.3">
      <c r="A61" s="177"/>
      <c r="B61" s="177"/>
      <c r="C61" s="177"/>
      <c r="D61" s="177"/>
      <c r="E61" s="177"/>
      <c r="F61" s="177"/>
      <c r="G61" s="177"/>
      <c r="H61" s="177"/>
    </row>
    <row r="62" spans="1:8" ht="30" customHeight="1" x14ac:dyDescent="0.3">
      <c r="A62" s="203" t="s">
        <v>9352</v>
      </c>
      <c r="B62" s="203"/>
      <c r="C62" s="203"/>
      <c r="D62" s="203"/>
      <c r="E62" s="203"/>
      <c r="F62" s="203"/>
      <c r="G62" s="203"/>
      <c r="H62" s="203"/>
    </row>
    <row r="63" spans="1:8" ht="25.95" customHeight="1" x14ac:dyDescent="0.3">
      <c r="A63" s="177"/>
      <c r="B63" s="177"/>
      <c r="C63" s="177"/>
      <c r="D63" s="177"/>
      <c r="E63" s="177"/>
      <c r="F63" s="177"/>
      <c r="G63" s="177"/>
      <c r="H63" s="177"/>
    </row>
    <row r="64" spans="1:8" ht="37.950000000000003" customHeight="1" x14ac:dyDescent="0.3">
      <c r="A64" s="203" t="s">
        <v>9353</v>
      </c>
      <c r="B64" s="203"/>
      <c r="C64" s="203"/>
      <c r="D64" s="203"/>
      <c r="E64" s="203"/>
      <c r="F64" s="203"/>
      <c r="G64" s="203"/>
      <c r="H64" s="203"/>
    </row>
    <row r="65" spans="1:8" ht="25.95" customHeight="1" x14ac:dyDescent="0.3">
      <c r="A65" s="177"/>
      <c r="B65" s="177"/>
      <c r="C65" s="177"/>
      <c r="D65" s="177"/>
      <c r="E65" s="177"/>
      <c r="F65" s="177"/>
      <c r="G65" s="177"/>
      <c r="H65" s="177"/>
    </row>
    <row r="66" spans="1:8" ht="25.95" customHeight="1" x14ac:dyDescent="0.3">
      <c r="A66" s="177"/>
      <c r="B66" s="177"/>
      <c r="C66" s="177"/>
      <c r="D66" s="177"/>
      <c r="E66" s="177"/>
      <c r="F66" s="177"/>
      <c r="G66" s="177"/>
      <c r="H66" s="177"/>
    </row>
    <row r="67" spans="1:8" ht="25.95" customHeight="1" x14ac:dyDescent="0.3">
      <c r="A67" s="177"/>
      <c r="B67" s="177"/>
      <c r="C67" s="177"/>
      <c r="D67" s="177"/>
      <c r="E67" s="177"/>
      <c r="F67" s="177"/>
      <c r="G67" s="177"/>
      <c r="H67" s="177"/>
    </row>
    <row r="68" spans="1:8" ht="25.95" customHeight="1" x14ac:dyDescent="0.3">
      <c r="A68" s="177"/>
      <c r="B68" s="177"/>
      <c r="C68" s="177"/>
      <c r="D68" s="177"/>
      <c r="E68" s="177"/>
      <c r="F68" s="177"/>
      <c r="G68" s="177"/>
      <c r="H68" s="177"/>
    </row>
    <row r="69" spans="1:8" ht="25.95" customHeight="1" x14ac:dyDescent="0.3">
      <c r="A69" s="177"/>
      <c r="B69" s="177"/>
      <c r="C69" s="177"/>
      <c r="D69" s="177"/>
      <c r="E69" s="177"/>
      <c r="F69" s="177"/>
      <c r="G69" s="177"/>
      <c r="H69" s="177"/>
    </row>
    <row r="70" spans="1:8" ht="25.95" customHeight="1" x14ac:dyDescent="0.3">
      <c r="A70" s="177"/>
      <c r="B70" s="177"/>
      <c r="C70" s="177"/>
      <c r="D70" s="177"/>
      <c r="E70" s="177"/>
      <c r="F70" s="177"/>
      <c r="G70" s="177"/>
      <c r="H70" s="177"/>
    </row>
    <row r="71" spans="1:8" ht="25.95" customHeight="1" x14ac:dyDescent="0.3">
      <c r="A71" s="177"/>
      <c r="B71" s="177"/>
      <c r="C71" s="177"/>
      <c r="D71" s="177"/>
      <c r="E71" s="177"/>
      <c r="F71" s="177"/>
      <c r="G71" s="177"/>
      <c r="H71" s="177"/>
    </row>
    <row r="72" spans="1:8" ht="25.95" customHeight="1" x14ac:dyDescent="0.3">
      <c r="A72" s="177"/>
      <c r="B72" s="177"/>
      <c r="C72" s="177"/>
      <c r="D72" s="177"/>
      <c r="E72" s="177"/>
      <c r="F72" s="177"/>
      <c r="G72" s="177"/>
      <c r="H72" s="177"/>
    </row>
    <row r="73" spans="1:8" ht="25.95" customHeight="1" x14ac:dyDescent="0.3">
      <c r="A73" s="177"/>
      <c r="B73" s="177"/>
      <c r="C73" s="177"/>
      <c r="D73" s="177"/>
      <c r="E73" s="177"/>
      <c r="F73" s="177"/>
      <c r="G73" s="177"/>
      <c r="H73" s="177"/>
    </row>
    <row r="74" spans="1:8" ht="25.95" customHeight="1" x14ac:dyDescent="0.3">
      <c r="A74" s="177"/>
      <c r="B74" s="177"/>
      <c r="C74" s="177"/>
      <c r="D74" s="177"/>
      <c r="E74" s="177"/>
      <c r="F74" s="177"/>
      <c r="G74" s="177"/>
      <c r="H74" s="177"/>
    </row>
    <row r="75" spans="1:8" ht="25.95" customHeight="1" x14ac:dyDescent="0.3">
      <c r="A75" s="177"/>
      <c r="B75" s="177"/>
      <c r="C75" s="177"/>
      <c r="D75" s="177"/>
      <c r="E75" s="177"/>
      <c r="F75" s="177"/>
      <c r="G75" s="177"/>
      <c r="H75" s="177"/>
    </row>
    <row r="76" spans="1:8" ht="25.95" customHeight="1" x14ac:dyDescent="0.3">
      <c r="A76" s="177"/>
      <c r="B76" s="177"/>
      <c r="C76" s="177"/>
      <c r="D76" s="177"/>
      <c r="E76" s="177"/>
      <c r="F76" s="177"/>
      <c r="G76" s="177"/>
      <c r="H76" s="177"/>
    </row>
    <row r="77" spans="1:8" ht="15" customHeight="1" x14ac:dyDescent="0.3"/>
    <row r="80" spans="1:8" ht="27.75" customHeight="1" x14ac:dyDescent="0.3"/>
    <row r="81" ht="27.75" customHeight="1" x14ac:dyDescent="0.3"/>
    <row r="82" ht="27.75" customHeight="1" x14ac:dyDescent="0.3"/>
    <row r="83" ht="27.75" customHeight="1" x14ac:dyDescent="0.3"/>
    <row r="84" ht="27.75" customHeight="1" x14ac:dyDescent="0.3"/>
    <row r="85" ht="27.75" customHeight="1" x14ac:dyDescent="0.3"/>
    <row r="86" ht="27.75" customHeight="1" x14ac:dyDescent="0.3"/>
    <row r="87" ht="27.75" customHeight="1" x14ac:dyDescent="0.3"/>
  </sheetData>
  <mergeCells count="23">
    <mergeCell ref="A60:H60"/>
    <mergeCell ref="A62:H62"/>
    <mergeCell ref="A64:H64"/>
    <mergeCell ref="A53:H53"/>
    <mergeCell ref="A54:H54"/>
    <mergeCell ref="A55:H55"/>
    <mergeCell ref="A56:H56"/>
    <mergeCell ref="A57:H57"/>
    <mergeCell ref="A15:H15"/>
    <mergeCell ref="A16:H16"/>
    <mergeCell ref="A17:H17"/>
    <mergeCell ref="A19:H19"/>
    <mergeCell ref="A52:H52"/>
    <mergeCell ref="A8:H8"/>
    <mergeCell ref="A10:H10"/>
    <mergeCell ref="A11:H11"/>
    <mergeCell ref="A13:H13"/>
    <mergeCell ref="A14:H14"/>
    <mergeCell ref="A1:H1"/>
    <mergeCell ref="A3:H3"/>
    <mergeCell ref="A4:H4"/>
    <mergeCell ref="A6:H6"/>
    <mergeCell ref="A7:H7"/>
  </mergeCells>
  <hyperlinks>
    <hyperlink ref="G14" r:id="rId1" display="KOHC_Financial_Analysis_Audit.xlsx" xr:uid="{00000000-0004-0000-0000-000000000000}"/>
    <hyperlink ref="G15" r:id="rId2" display="KOHC_Financial_Analysis_Audit.xlsx" xr:uid="{00000000-0004-0000-0000-000001000000}"/>
    <hyperlink ref="G16" r:id="rId3" display="KOHC_Financial_Analysis_Audit.xlsx" xr:uid="{00000000-0004-0000-0000-000002000000}"/>
    <hyperlink ref="G17" r:id="rId4" display="KOHC_Financial_Analysis_Audit.xlsx" xr:uid="{00000000-0004-0000-0000-000003000000}"/>
    <hyperlink ref="G18" r:id="rId5" display="KOHC_Financial_Analysis_Audit.xlsx" xr:uid="{00000000-0004-0000-0000-000004000000}"/>
    <hyperlink ref="G19" r:id="rId6" display="KOHC_Financial_Analysis_Audit.xlsx" xr:uid="{00000000-0004-0000-0000-000005000000}"/>
    <hyperlink ref="G20" r:id="rId7" display="KOHC_Financial_Analysis_Audit.xlsx"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48"/>
  <sheetViews>
    <sheetView showGridLines="0" workbookViewId="0">
      <pane ySplit="4" topLeftCell="A5" activePane="bottomLeft" state="frozen"/>
      <selection pane="bottomLeft"/>
    </sheetView>
  </sheetViews>
  <sheetFormatPr defaultColWidth="8.6640625" defaultRowHeight="14.4" x14ac:dyDescent="0.3"/>
  <cols>
    <col min="1" max="1" width="10" customWidth="1"/>
    <col min="2" max="2" width="38" customWidth="1"/>
    <col min="3" max="3" width="11" customWidth="1"/>
    <col min="4" max="4" width="15" customWidth="1"/>
    <col min="5" max="5" width="17" customWidth="1"/>
    <col min="6" max="6" width="18" customWidth="1"/>
    <col min="7" max="7" width="63" customWidth="1"/>
    <col min="8" max="8" width="27" customWidth="1"/>
    <col min="9" max="9" width="125" customWidth="1"/>
    <col min="10" max="10" width="50" customWidth="1"/>
    <col min="11" max="11" width="32" customWidth="1"/>
    <col min="12" max="12" width="55" customWidth="1"/>
    <col min="13" max="14" width="18" customWidth="1"/>
    <col min="15" max="15" width="10" customWidth="1"/>
    <col min="16" max="16" width="27" customWidth="1"/>
    <col min="17" max="17" width="115" customWidth="1"/>
  </cols>
  <sheetData>
    <row r="1" spans="1:17" x14ac:dyDescent="0.3">
      <c r="A1" s="49" t="s">
        <v>9354</v>
      </c>
      <c r="B1" s="49"/>
      <c r="C1" s="49"/>
      <c r="D1" s="49"/>
      <c r="E1" s="49"/>
      <c r="F1" s="49"/>
      <c r="G1" s="49"/>
      <c r="H1" s="49"/>
      <c r="I1" s="49"/>
      <c r="J1" s="49"/>
      <c r="K1" s="49"/>
      <c r="L1" s="49"/>
      <c r="M1" s="49"/>
      <c r="N1" s="49"/>
      <c r="O1" s="49"/>
    </row>
    <row r="2" spans="1:17" x14ac:dyDescent="0.3">
      <c r="A2" s="49" t="s">
        <v>0</v>
      </c>
      <c r="B2" s="49"/>
      <c r="C2" s="49"/>
      <c r="D2" s="49"/>
      <c r="E2" s="49"/>
      <c r="F2" s="49"/>
      <c r="G2" s="49"/>
      <c r="H2" s="49"/>
      <c r="I2" s="49"/>
      <c r="J2" s="49"/>
      <c r="K2" s="49"/>
      <c r="L2" s="49"/>
      <c r="M2" s="49"/>
      <c r="N2" s="49"/>
      <c r="O2" s="49"/>
    </row>
    <row r="3" spans="1:17" x14ac:dyDescent="0.3">
      <c r="A3" s="49"/>
      <c r="B3" s="49"/>
      <c r="C3" s="49"/>
      <c r="D3" s="49"/>
      <c r="E3" s="49"/>
      <c r="F3" s="49"/>
      <c r="G3" s="49"/>
      <c r="H3" s="49"/>
      <c r="I3" s="49"/>
      <c r="J3" s="49"/>
      <c r="K3" s="49"/>
      <c r="L3" s="49"/>
      <c r="M3" s="49"/>
      <c r="N3" s="49"/>
      <c r="O3" s="49"/>
    </row>
    <row r="4" spans="1:17" ht="43.95" customHeight="1" x14ac:dyDescent="0.3">
      <c r="A4" s="109" t="s">
        <v>1</v>
      </c>
      <c r="B4" s="109" t="s">
        <v>2</v>
      </c>
      <c r="C4" s="109" t="s">
        <v>3</v>
      </c>
      <c r="D4" s="109" t="s">
        <v>4</v>
      </c>
      <c r="E4" s="109" t="s">
        <v>5</v>
      </c>
      <c r="F4" s="109" t="s">
        <v>6</v>
      </c>
      <c r="G4" s="109" t="s">
        <v>7</v>
      </c>
      <c r="H4" s="109" t="s">
        <v>8</v>
      </c>
      <c r="I4" s="109" t="s">
        <v>9</v>
      </c>
      <c r="J4" s="109" t="s">
        <v>10</v>
      </c>
      <c r="K4" s="109" t="s">
        <v>11</v>
      </c>
      <c r="L4" s="109" t="s">
        <v>12</v>
      </c>
      <c r="M4" s="109" t="s">
        <v>13</v>
      </c>
      <c r="N4" s="109" t="s">
        <v>14</v>
      </c>
      <c r="O4" s="109" t="s">
        <v>15</v>
      </c>
      <c r="P4" s="129" t="s">
        <v>16</v>
      </c>
      <c r="Q4" s="129" t="s">
        <v>17</v>
      </c>
    </row>
    <row r="5" spans="1:17" ht="112.05" customHeight="1" x14ac:dyDescent="0.3">
      <c r="A5" s="110" t="s">
        <v>18</v>
      </c>
      <c r="B5" s="110" t="s">
        <v>19</v>
      </c>
      <c r="C5" s="110" t="s">
        <v>20</v>
      </c>
      <c r="D5" s="111">
        <v>1.3</v>
      </c>
      <c r="E5" s="111">
        <f>KOHC!D138</f>
        <v>1.3006446691414961</v>
      </c>
      <c r="F5" s="111">
        <f>KOHC!D36/KOHC!D61</f>
        <v>1.3006446691414961</v>
      </c>
      <c r="G5" s="115" t="s">
        <v>21</v>
      </c>
      <c r="H5" s="115" t="str">
        <f t="shared" ref="H5:H68" si="0">IF(AND(ISNUMBER(D5),ISNUMBER(F5)),IF(ROUND(D5,O5)=ROUND(F5,O5),"Reproduced to precision","Unresolved published value"),"Not comparable")</f>
        <v>Reproduced to precision</v>
      </c>
      <c r="I5" s="115" t="s">
        <v>22</v>
      </c>
      <c r="J5" s="115" t="s">
        <v>23</v>
      </c>
      <c r="K5" s="115" t="s">
        <v>24</v>
      </c>
      <c r="L5" s="115" t="s">
        <v>25</v>
      </c>
      <c r="M5" s="110">
        <f t="shared" ref="M5:M68" si="1">IF(ISNUMBER(E5),E5-D5,"n/m")</f>
        <v>6.4466914149607923E-4</v>
      </c>
      <c r="N5" s="110">
        <f t="shared" ref="N5:N68" si="2">IF(ISNUMBER(F5),F5-D5,"n/m")</f>
        <v>6.4466914149607923E-4</v>
      </c>
      <c r="O5" s="110">
        <v>2</v>
      </c>
    </row>
    <row r="6" spans="1:17" ht="112.05" customHeight="1" x14ac:dyDescent="0.3">
      <c r="A6" s="49" t="s">
        <v>18</v>
      </c>
      <c r="B6" s="49" t="s">
        <v>19</v>
      </c>
      <c r="C6" s="49" t="s">
        <v>26</v>
      </c>
      <c r="D6" s="112">
        <v>1.87</v>
      </c>
      <c r="E6" s="112">
        <f>KOHC!E138</f>
        <v>1.8735085276109804</v>
      </c>
      <c r="F6" s="112">
        <f>KOHC!E36/KOHC!E61</f>
        <v>1.8735085276109804</v>
      </c>
      <c r="G6" s="116" t="s">
        <v>21</v>
      </c>
      <c r="H6" s="116" t="str">
        <f t="shared" si="0"/>
        <v>Reproduced to precision</v>
      </c>
      <c r="I6" s="116" t="s">
        <v>22</v>
      </c>
      <c r="J6" s="116" t="s">
        <v>23</v>
      </c>
      <c r="K6" s="116" t="s">
        <v>24</v>
      </c>
      <c r="L6" s="116" t="s">
        <v>25</v>
      </c>
      <c r="M6" s="49">
        <f t="shared" si="1"/>
        <v>3.5085276109803054E-3</v>
      </c>
      <c r="N6" s="49">
        <f t="shared" si="2"/>
        <v>3.5085276109803054E-3</v>
      </c>
      <c r="O6" s="49">
        <v>2</v>
      </c>
    </row>
    <row r="7" spans="1:17" ht="112.05" customHeight="1" x14ac:dyDescent="0.3">
      <c r="A7" s="110" t="s">
        <v>18</v>
      </c>
      <c r="B7" s="110" t="s">
        <v>19</v>
      </c>
      <c r="C7" s="110" t="s">
        <v>27</v>
      </c>
      <c r="D7" s="111">
        <v>2.31</v>
      </c>
      <c r="E7" s="111">
        <f>KOHC!F138</f>
        <v>2.311570515459215</v>
      </c>
      <c r="F7" s="111">
        <f>KOHC!F36/KOHC!F61</f>
        <v>2.311570515459215</v>
      </c>
      <c r="G7" s="115" t="s">
        <v>21</v>
      </c>
      <c r="H7" s="115" t="str">
        <f t="shared" si="0"/>
        <v>Reproduced to precision</v>
      </c>
      <c r="I7" s="115" t="s">
        <v>22</v>
      </c>
      <c r="J7" s="115" t="s">
        <v>23</v>
      </c>
      <c r="K7" s="115" t="s">
        <v>24</v>
      </c>
      <c r="L7" s="115" t="s">
        <v>25</v>
      </c>
      <c r="M7" s="110">
        <f t="shared" si="1"/>
        <v>1.5705154592149384E-3</v>
      </c>
      <c r="N7" s="110">
        <f t="shared" si="2"/>
        <v>1.5705154592149384E-3</v>
      </c>
      <c r="O7" s="110">
        <v>2</v>
      </c>
    </row>
    <row r="8" spans="1:17" ht="112.05" customHeight="1" x14ac:dyDescent="0.3">
      <c r="A8" s="49" t="s">
        <v>18</v>
      </c>
      <c r="B8" s="49" t="s">
        <v>19</v>
      </c>
      <c r="C8" s="49" t="s">
        <v>28</v>
      </c>
      <c r="D8" s="112">
        <v>2.9</v>
      </c>
      <c r="E8" s="112">
        <f>KOHC!G138</f>
        <v>2.9031590530160019</v>
      </c>
      <c r="F8" s="112">
        <f>KOHC!G36/KOHC!G61</f>
        <v>2.9031590530160019</v>
      </c>
      <c r="G8" s="116" t="s">
        <v>21</v>
      </c>
      <c r="H8" s="116" t="str">
        <f t="shared" si="0"/>
        <v>Reproduced to precision</v>
      </c>
      <c r="I8" s="116" t="s">
        <v>22</v>
      </c>
      <c r="J8" s="116" t="s">
        <v>23</v>
      </c>
      <c r="K8" s="116" t="s">
        <v>24</v>
      </c>
      <c r="L8" s="116" t="s">
        <v>25</v>
      </c>
      <c r="M8" s="49">
        <f t="shared" si="1"/>
        <v>3.1590530160019448E-3</v>
      </c>
      <c r="N8" s="49">
        <f t="shared" si="2"/>
        <v>3.1590530160019448E-3</v>
      </c>
      <c r="O8" s="49">
        <v>2</v>
      </c>
    </row>
    <row r="9" spans="1:17" ht="112.05" customHeight="1" x14ac:dyDescent="0.3">
      <c r="A9" s="110" t="s">
        <v>18</v>
      </c>
      <c r="B9" s="110" t="s">
        <v>19</v>
      </c>
      <c r="C9" s="110" t="s">
        <v>29</v>
      </c>
      <c r="D9" s="111">
        <v>3.31</v>
      </c>
      <c r="E9" s="111">
        <f>KOHC!H138</f>
        <v>3.311248687172772</v>
      </c>
      <c r="F9" s="111">
        <f>KOHC!H36/KOHC!H61</f>
        <v>3.311248687172772</v>
      </c>
      <c r="G9" s="115" t="s">
        <v>21</v>
      </c>
      <c r="H9" s="115" t="str">
        <f t="shared" si="0"/>
        <v>Reproduced to precision</v>
      </c>
      <c r="I9" s="115" t="s">
        <v>22</v>
      </c>
      <c r="J9" s="115" t="s">
        <v>23</v>
      </c>
      <c r="K9" s="115" t="s">
        <v>24</v>
      </c>
      <c r="L9" s="115" t="s">
        <v>25</v>
      </c>
      <c r="M9" s="110">
        <f t="shared" si="1"/>
        <v>1.248687172771934E-3</v>
      </c>
      <c r="N9" s="110">
        <f t="shared" si="2"/>
        <v>1.248687172771934E-3</v>
      </c>
      <c r="O9" s="110">
        <v>2</v>
      </c>
    </row>
    <row r="10" spans="1:17" ht="112.05" customHeight="1" x14ac:dyDescent="0.3">
      <c r="A10" s="49" t="s">
        <v>18</v>
      </c>
      <c r="B10" s="49" t="s">
        <v>30</v>
      </c>
      <c r="C10" s="49" t="s">
        <v>20</v>
      </c>
      <c r="D10" s="112">
        <v>0.75</v>
      </c>
      <c r="E10" s="112">
        <f>KOHC!D139</f>
        <v>0.74816043855554903</v>
      </c>
      <c r="F10" s="112">
        <f>(KOHC!D36-KOHC!D65)/KOHC!D61</f>
        <v>0.74816043855554903</v>
      </c>
      <c r="G10" s="116" t="s">
        <v>21</v>
      </c>
      <c r="H10" s="116" t="str">
        <f t="shared" si="0"/>
        <v>Reproduced to precision</v>
      </c>
      <c r="I10" s="116" t="s">
        <v>22</v>
      </c>
      <c r="J10" s="116" t="s">
        <v>23</v>
      </c>
      <c r="K10" s="116" t="s">
        <v>24</v>
      </c>
      <c r="L10" s="116" t="s">
        <v>25</v>
      </c>
      <c r="M10" s="49">
        <f t="shared" si="1"/>
        <v>-1.8395614444509656E-3</v>
      </c>
      <c r="N10" s="49">
        <f t="shared" si="2"/>
        <v>-1.8395614444509656E-3</v>
      </c>
      <c r="O10" s="49">
        <v>2</v>
      </c>
    </row>
    <row r="11" spans="1:17" ht="112.05" customHeight="1" x14ac:dyDescent="0.3">
      <c r="A11" s="110" t="s">
        <v>18</v>
      </c>
      <c r="B11" s="110" t="s">
        <v>30</v>
      </c>
      <c r="C11" s="110" t="s">
        <v>26</v>
      </c>
      <c r="D11" s="111">
        <v>1.28</v>
      </c>
      <c r="E11" s="111">
        <f>KOHC!E139</f>
        <v>1.2758070110452304</v>
      </c>
      <c r="F11" s="111">
        <f>(KOHC!E36-KOHC!E65)/KOHC!E61</f>
        <v>1.2758070110452304</v>
      </c>
      <c r="G11" s="115" t="s">
        <v>21</v>
      </c>
      <c r="H11" s="115" t="str">
        <f t="shared" si="0"/>
        <v>Reproduced to precision</v>
      </c>
      <c r="I11" s="115" t="s">
        <v>22</v>
      </c>
      <c r="J11" s="115" t="s">
        <v>23</v>
      </c>
      <c r="K11" s="115" t="s">
        <v>24</v>
      </c>
      <c r="L11" s="115" t="s">
        <v>25</v>
      </c>
      <c r="M11" s="110">
        <f t="shared" si="1"/>
        <v>-4.1929889547696053E-3</v>
      </c>
      <c r="N11" s="110">
        <f t="shared" si="2"/>
        <v>-4.1929889547696053E-3</v>
      </c>
      <c r="O11" s="110">
        <v>2</v>
      </c>
    </row>
    <row r="12" spans="1:17" ht="112.05" customHeight="1" x14ac:dyDescent="0.3">
      <c r="A12" s="49" t="s">
        <v>18</v>
      </c>
      <c r="B12" s="49" t="s">
        <v>30</v>
      </c>
      <c r="C12" s="49" t="s">
        <v>27</v>
      </c>
      <c r="D12" s="112">
        <v>1.54</v>
      </c>
      <c r="E12" s="112">
        <f>KOHC!F139</f>
        <v>1.5392110300634694</v>
      </c>
      <c r="F12" s="112">
        <f>(KOHC!F36-KOHC!F65)/KOHC!F61</f>
        <v>1.5392110300634694</v>
      </c>
      <c r="G12" s="116" t="s">
        <v>21</v>
      </c>
      <c r="H12" s="116" t="str">
        <f t="shared" si="0"/>
        <v>Reproduced to precision</v>
      </c>
      <c r="I12" s="116" t="s">
        <v>22</v>
      </c>
      <c r="J12" s="116" t="s">
        <v>23</v>
      </c>
      <c r="K12" s="116" t="s">
        <v>24</v>
      </c>
      <c r="L12" s="116" t="s">
        <v>25</v>
      </c>
      <c r="M12" s="49">
        <f t="shared" si="1"/>
        <v>-7.8896993653065906E-4</v>
      </c>
      <c r="N12" s="49">
        <f t="shared" si="2"/>
        <v>-7.8896993653065906E-4</v>
      </c>
      <c r="O12" s="49">
        <v>2</v>
      </c>
    </row>
    <row r="13" spans="1:17" ht="112.05" customHeight="1" x14ac:dyDescent="0.3">
      <c r="A13" s="110" t="s">
        <v>18</v>
      </c>
      <c r="B13" s="110" t="s">
        <v>30</v>
      </c>
      <c r="C13" s="110" t="s">
        <v>28</v>
      </c>
      <c r="D13" s="111">
        <v>2.2200000000000002</v>
      </c>
      <c r="E13" s="111">
        <f>KOHC!G139</f>
        <v>2.2200593399212352</v>
      </c>
      <c r="F13" s="111">
        <f>(KOHC!G36-KOHC!G65)/KOHC!G61</f>
        <v>2.2200593399212352</v>
      </c>
      <c r="G13" s="115" t="s">
        <v>21</v>
      </c>
      <c r="H13" s="115" t="str">
        <f t="shared" si="0"/>
        <v>Reproduced to precision</v>
      </c>
      <c r="I13" s="115" t="s">
        <v>22</v>
      </c>
      <c r="J13" s="115" t="s">
        <v>23</v>
      </c>
      <c r="K13" s="115" t="s">
        <v>24</v>
      </c>
      <c r="L13" s="115" t="s">
        <v>25</v>
      </c>
      <c r="M13" s="110">
        <f t="shared" si="1"/>
        <v>5.9339921234968784E-5</v>
      </c>
      <c r="N13" s="110">
        <f t="shared" si="2"/>
        <v>5.9339921234968784E-5</v>
      </c>
      <c r="O13" s="110">
        <v>2</v>
      </c>
    </row>
    <row r="14" spans="1:17" ht="112.05" customHeight="1" x14ac:dyDescent="0.3">
      <c r="A14" s="49" t="s">
        <v>18</v>
      </c>
      <c r="B14" s="49" t="s">
        <v>30</v>
      </c>
      <c r="C14" s="49" t="s">
        <v>29</v>
      </c>
      <c r="D14" s="112">
        <v>2.67</v>
      </c>
      <c r="E14" s="112">
        <f>KOHC!H139</f>
        <v>2.6677003784340947</v>
      </c>
      <c r="F14" s="112">
        <f>(KOHC!H36-KOHC!H65)/KOHC!H61</f>
        <v>2.6677003784340947</v>
      </c>
      <c r="G14" s="116" t="s">
        <v>21</v>
      </c>
      <c r="H14" s="116" t="str">
        <f t="shared" si="0"/>
        <v>Reproduced to precision</v>
      </c>
      <c r="I14" s="116" t="s">
        <v>22</v>
      </c>
      <c r="J14" s="116" t="s">
        <v>23</v>
      </c>
      <c r="K14" s="116" t="s">
        <v>24</v>
      </c>
      <c r="L14" s="116" t="s">
        <v>25</v>
      </c>
      <c r="M14" s="49">
        <f t="shared" si="1"/>
        <v>-2.299621565905241E-3</v>
      </c>
      <c r="N14" s="49">
        <f t="shared" si="2"/>
        <v>-2.299621565905241E-3</v>
      </c>
      <c r="O14" s="49">
        <v>2</v>
      </c>
    </row>
    <row r="15" spans="1:17" ht="112.05" customHeight="1" x14ac:dyDescent="0.3">
      <c r="A15" s="110" t="s">
        <v>18</v>
      </c>
      <c r="B15" s="110" t="s">
        <v>31</v>
      </c>
      <c r="C15" s="110" t="s">
        <v>20</v>
      </c>
      <c r="D15" s="111">
        <v>5.75</v>
      </c>
      <c r="E15" s="111">
        <f>KOHC!D144</f>
        <v>4.8570986013255171</v>
      </c>
      <c r="F15" s="111">
        <f>KOHC!D84/KOHC!D65</f>
        <v>5.7504757045939314</v>
      </c>
      <c r="G15" s="115" t="s">
        <v>32</v>
      </c>
      <c r="H15" s="115" t="str">
        <f t="shared" si="0"/>
        <v>Reproduced to precision</v>
      </c>
      <c r="I15" s="115" t="s">
        <v>33</v>
      </c>
      <c r="J15" s="115" t="s">
        <v>23</v>
      </c>
      <c r="K15" s="115" t="s">
        <v>34</v>
      </c>
      <c r="L15" s="115" t="s">
        <v>35</v>
      </c>
      <c r="M15" s="110">
        <f t="shared" si="1"/>
        <v>-0.89290139867448293</v>
      </c>
      <c r="N15" s="110">
        <f t="shared" si="2"/>
        <v>4.7570459393142528E-4</v>
      </c>
      <c r="O15" s="110">
        <v>2</v>
      </c>
    </row>
    <row r="16" spans="1:17" ht="112.05" customHeight="1" x14ac:dyDescent="0.3">
      <c r="A16" s="49" t="s">
        <v>18</v>
      </c>
      <c r="B16" s="49" t="s">
        <v>31</v>
      </c>
      <c r="C16" s="49" t="s">
        <v>26</v>
      </c>
      <c r="D16" s="112">
        <v>5.8</v>
      </c>
      <c r="E16" s="112">
        <f>KOHC!E144</f>
        <v>4.6811317215716919</v>
      </c>
      <c r="F16" s="112">
        <f>KOHC!E84/KOHC!E65</f>
        <v>5.7973951541564066</v>
      </c>
      <c r="G16" s="116" t="s">
        <v>32</v>
      </c>
      <c r="H16" s="116" t="str">
        <f t="shared" si="0"/>
        <v>Reproduced to precision</v>
      </c>
      <c r="I16" s="116" t="s">
        <v>33</v>
      </c>
      <c r="J16" s="116" t="s">
        <v>23</v>
      </c>
      <c r="K16" s="116" t="s">
        <v>34</v>
      </c>
      <c r="L16" s="116" t="s">
        <v>35</v>
      </c>
      <c r="M16" s="49">
        <f t="shared" si="1"/>
        <v>-1.1188682784283079</v>
      </c>
      <c r="N16" s="49">
        <f t="shared" si="2"/>
        <v>-2.6048458435932176E-3</v>
      </c>
      <c r="O16" s="49">
        <v>2</v>
      </c>
    </row>
    <row r="17" spans="1:15" ht="112.05" customHeight="1" x14ac:dyDescent="0.3">
      <c r="A17" s="110" t="s">
        <v>18</v>
      </c>
      <c r="B17" s="110" t="s">
        <v>31</v>
      </c>
      <c r="C17" s="110" t="s">
        <v>27</v>
      </c>
      <c r="D17" s="111">
        <v>5.08</v>
      </c>
      <c r="E17" s="111">
        <f>KOHC!F144</f>
        <v>4.2753791437713859</v>
      </c>
      <c r="F17" s="111">
        <f>KOHC!F84/KOHC!F65</f>
        <v>5.0838139351714444</v>
      </c>
      <c r="G17" s="115" t="s">
        <v>32</v>
      </c>
      <c r="H17" s="115" t="str">
        <f t="shared" si="0"/>
        <v>Reproduced to precision</v>
      </c>
      <c r="I17" s="115" t="s">
        <v>33</v>
      </c>
      <c r="J17" s="115" t="s">
        <v>23</v>
      </c>
      <c r="K17" s="115" t="s">
        <v>34</v>
      </c>
      <c r="L17" s="115" t="s">
        <v>35</v>
      </c>
      <c r="M17" s="110">
        <f t="shared" si="1"/>
        <v>-0.80462085622861412</v>
      </c>
      <c r="N17" s="110">
        <f t="shared" si="2"/>
        <v>3.8139351714443492E-3</v>
      </c>
      <c r="O17" s="110">
        <v>2</v>
      </c>
    </row>
    <row r="18" spans="1:15" ht="112.05" customHeight="1" x14ac:dyDescent="0.3">
      <c r="A18" s="49" t="s">
        <v>18</v>
      </c>
      <c r="B18" s="49" t="s">
        <v>31</v>
      </c>
      <c r="C18" s="49" t="s">
        <v>28</v>
      </c>
      <c r="D18" s="112">
        <v>5.0999999999999996</v>
      </c>
      <c r="E18" s="112">
        <f>KOHC!G144</f>
        <v>3.5957369645110586</v>
      </c>
      <c r="F18" s="112">
        <f>KOHC!G84/KOHC!G65</f>
        <v>5.0990363055630716</v>
      </c>
      <c r="G18" s="116" t="s">
        <v>32</v>
      </c>
      <c r="H18" s="116" t="str">
        <f t="shared" si="0"/>
        <v>Reproduced to precision</v>
      </c>
      <c r="I18" s="116" t="s">
        <v>33</v>
      </c>
      <c r="J18" s="116" t="s">
        <v>23</v>
      </c>
      <c r="K18" s="116" t="s">
        <v>34</v>
      </c>
      <c r="L18" s="116" t="s">
        <v>35</v>
      </c>
      <c r="M18" s="49">
        <f t="shared" si="1"/>
        <v>-1.504263035488941</v>
      </c>
      <c r="N18" s="49">
        <f t="shared" si="2"/>
        <v>-9.6369443692800871E-4</v>
      </c>
      <c r="O18" s="49">
        <v>2</v>
      </c>
    </row>
    <row r="19" spans="1:15" ht="112.05" customHeight="1" x14ac:dyDescent="0.3">
      <c r="A19" s="110" t="s">
        <v>18</v>
      </c>
      <c r="B19" s="110" t="s">
        <v>31</v>
      </c>
      <c r="C19" s="110" t="s">
        <v>29</v>
      </c>
      <c r="D19" s="111">
        <v>5</v>
      </c>
      <c r="E19" s="111">
        <f>KOHC!H144</f>
        <v>3.024880626442934</v>
      </c>
      <c r="F19" s="111">
        <f>KOHC!H84/KOHC!H65</f>
        <v>5.001513715758775</v>
      </c>
      <c r="G19" s="115" t="s">
        <v>32</v>
      </c>
      <c r="H19" s="115" t="str">
        <f t="shared" si="0"/>
        <v>Reproduced to precision</v>
      </c>
      <c r="I19" s="115" t="s">
        <v>33</v>
      </c>
      <c r="J19" s="115" t="s">
        <v>23</v>
      </c>
      <c r="K19" s="115" t="s">
        <v>34</v>
      </c>
      <c r="L19" s="115" t="s">
        <v>35</v>
      </c>
      <c r="M19" s="110">
        <f t="shared" si="1"/>
        <v>-1.975119373557066</v>
      </c>
      <c r="N19" s="110">
        <f t="shared" si="2"/>
        <v>1.5137157587750139E-3</v>
      </c>
      <c r="O19" s="110">
        <v>2</v>
      </c>
    </row>
    <row r="20" spans="1:15" ht="112.05" customHeight="1" x14ac:dyDescent="0.3">
      <c r="A20" s="49" t="s">
        <v>18</v>
      </c>
      <c r="B20" s="49" t="s">
        <v>36</v>
      </c>
      <c r="C20" s="49" t="s">
        <v>20</v>
      </c>
      <c r="D20" s="112">
        <v>14.92</v>
      </c>
      <c r="E20" s="112">
        <f>KOHC!D148</f>
        <v>11.211269503464973</v>
      </c>
      <c r="F20" s="112">
        <f>365*KOHC!D32/KOHC!D84</f>
        <v>14.922758056172961</v>
      </c>
      <c r="G20" s="116" t="s">
        <v>37</v>
      </c>
      <c r="H20" s="116" t="str">
        <f t="shared" si="0"/>
        <v>Reproduced to precision</v>
      </c>
      <c r="I20" s="116" t="s">
        <v>22</v>
      </c>
      <c r="J20" s="116" t="s">
        <v>23</v>
      </c>
      <c r="K20" s="116" t="s">
        <v>38</v>
      </c>
      <c r="L20" s="116" t="s">
        <v>25</v>
      </c>
      <c r="M20" s="49">
        <f t="shared" si="1"/>
        <v>-3.7087304965350274</v>
      </c>
      <c r="N20" s="49">
        <f t="shared" si="2"/>
        <v>2.7580561729614317E-3</v>
      </c>
      <c r="O20" s="49">
        <v>2</v>
      </c>
    </row>
    <row r="21" spans="1:15" ht="112.05" customHeight="1" x14ac:dyDescent="0.3">
      <c r="A21" s="110" t="s">
        <v>18</v>
      </c>
      <c r="B21" s="110" t="s">
        <v>36</v>
      </c>
      <c r="C21" s="110" t="s">
        <v>26</v>
      </c>
      <c r="D21" s="111">
        <v>10.17</v>
      </c>
      <c r="E21" s="111">
        <f>KOHC!E148</f>
        <v>10.544725482358297</v>
      </c>
      <c r="F21" s="111">
        <f>365*KOHC!E32/KOHC!E84</f>
        <v>10.169873255714595</v>
      </c>
      <c r="G21" s="115" t="s">
        <v>37</v>
      </c>
      <c r="H21" s="115" t="str">
        <f t="shared" si="0"/>
        <v>Reproduced to precision</v>
      </c>
      <c r="I21" s="115" t="s">
        <v>22</v>
      </c>
      <c r="J21" s="115" t="s">
        <v>23</v>
      </c>
      <c r="K21" s="115" t="s">
        <v>38</v>
      </c>
      <c r="L21" s="115" t="s">
        <v>25</v>
      </c>
      <c r="M21" s="110">
        <f t="shared" si="1"/>
        <v>0.37472548235829706</v>
      </c>
      <c r="N21" s="110">
        <f t="shared" si="2"/>
        <v>-1.2674428540471183E-4</v>
      </c>
      <c r="O21" s="110">
        <v>2</v>
      </c>
    </row>
    <row r="22" spans="1:15" ht="112.05" customHeight="1" x14ac:dyDescent="0.3">
      <c r="A22" s="49" t="s">
        <v>18</v>
      </c>
      <c r="B22" s="49" t="s">
        <v>36</v>
      </c>
      <c r="C22" s="49" t="s">
        <v>27</v>
      </c>
      <c r="D22" s="112">
        <v>11.31</v>
      </c>
      <c r="E22" s="112">
        <f>KOHC!F148</f>
        <v>9.9479554378487851</v>
      </c>
      <c r="F22" s="112">
        <f>365*KOHC!F32/KOHC!F84</f>
        <v>11.305459750549767</v>
      </c>
      <c r="G22" s="116" t="s">
        <v>37</v>
      </c>
      <c r="H22" s="116" t="str">
        <f t="shared" si="0"/>
        <v>Reproduced to precision</v>
      </c>
      <c r="I22" s="116" t="s">
        <v>22</v>
      </c>
      <c r="J22" s="116" t="s">
        <v>23</v>
      </c>
      <c r="K22" s="116" t="s">
        <v>38</v>
      </c>
      <c r="L22" s="116" t="s">
        <v>25</v>
      </c>
      <c r="M22" s="49">
        <f t="shared" si="1"/>
        <v>-1.3620445621512154</v>
      </c>
      <c r="N22" s="49">
        <f t="shared" si="2"/>
        <v>-4.5402494502333468E-3</v>
      </c>
      <c r="O22" s="49">
        <v>2</v>
      </c>
    </row>
    <row r="23" spans="1:15" ht="112.05" customHeight="1" x14ac:dyDescent="0.3">
      <c r="A23" s="110" t="s">
        <v>18</v>
      </c>
      <c r="B23" s="110" t="s">
        <v>36</v>
      </c>
      <c r="C23" s="110" t="s">
        <v>28</v>
      </c>
      <c r="D23" s="111">
        <v>19.93</v>
      </c>
      <c r="E23" s="111">
        <f>KOHC!G148</f>
        <v>15.657663166755571</v>
      </c>
      <c r="F23" s="111">
        <f>365*KOHC!G32/KOHC!G84</f>
        <v>19.929753376392476</v>
      </c>
      <c r="G23" s="115" t="s">
        <v>37</v>
      </c>
      <c r="H23" s="115" t="str">
        <f t="shared" si="0"/>
        <v>Reproduced to precision</v>
      </c>
      <c r="I23" s="115" t="s">
        <v>22</v>
      </c>
      <c r="J23" s="115" t="s">
        <v>23</v>
      </c>
      <c r="K23" s="115" t="s">
        <v>38</v>
      </c>
      <c r="L23" s="115" t="s">
        <v>25</v>
      </c>
      <c r="M23" s="110">
        <f t="shared" si="1"/>
        <v>-4.2723368332444291</v>
      </c>
      <c r="N23" s="110">
        <f t="shared" si="2"/>
        <v>-2.4662360752358836E-4</v>
      </c>
      <c r="O23" s="110">
        <v>2</v>
      </c>
    </row>
    <row r="24" spans="1:15" ht="112.05" customHeight="1" x14ac:dyDescent="0.3">
      <c r="A24" s="49" t="s">
        <v>18</v>
      </c>
      <c r="B24" s="49" t="s">
        <v>36</v>
      </c>
      <c r="C24" s="49" t="s">
        <v>29</v>
      </c>
      <c r="D24" s="112">
        <v>16.46</v>
      </c>
      <c r="E24" s="112">
        <f>KOHC!H148</f>
        <v>18.487732733839078</v>
      </c>
      <c r="F24" s="112">
        <f>365*KOHC!H32/KOHC!H84</f>
        <v>16.455254665788708</v>
      </c>
      <c r="G24" s="116" t="s">
        <v>37</v>
      </c>
      <c r="H24" s="116" t="str">
        <f t="shared" si="0"/>
        <v>Reproduced to precision</v>
      </c>
      <c r="I24" s="116" t="s">
        <v>22</v>
      </c>
      <c r="J24" s="116" t="s">
        <v>23</v>
      </c>
      <c r="K24" s="116" t="s">
        <v>38</v>
      </c>
      <c r="L24" s="116" t="s">
        <v>25</v>
      </c>
      <c r="M24" s="49">
        <f t="shared" si="1"/>
        <v>2.0277327338390769</v>
      </c>
      <c r="N24" s="49">
        <f t="shared" si="2"/>
        <v>-4.7453342112930841E-3</v>
      </c>
      <c r="O24" s="49">
        <v>2</v>
      </c>
    </row>
    <row r="25" spans="1:15" ht="112.05" customHeight="1" x14ac:dyDescent="0.3">
      <c r="A25" s="110" t="s">
        <v>18</v>
      </c>
      <c r="B25" s="110" t="s">
        <v>39</v>
      </c>
      <c r="C25" s="110" t="s">
        <v>20</v>
      </c>
      <c r="D25" s="111">
        <v>33.74</v>
      </c>
      <c r="E25" s="111">
        <f>KOHC!D149</f>
        <v>26.695664391757177</v>
      </c>
      <c r="F25" s="111">
        <f>365/((-KOHC!D85)/(KOHC!D51+KOHC!D254))</f>
        <v>33.736940892823952</v>
      </c>
      <c r="G25" s="115" t="s">
        <v>40</v>
      </c>
      <c r="H25" s="115" t="str">
        <f t="shared" si="0"/>
        <v>Reproduced to precision</v>
      </c>
      <c r="I25" s="115" t="s">
        <v>41</v>
      </c>
      <c r="J25" s="115" t="s">
        <v>23</v>
      </c>
      <c r="K25" s="115" t="s">
        <v>34</v>
      </c>
      <c r="L25" s="115" t="s">
        <v>35</v>
      </c>
      <c r="M25" s="110">
        <f t="shared" si="1"/>
        <v>-7.0443356082428252</v>
      </c>
      <c r="N25" s="110">
        <f t="shared" si="2"/>
        <v>-3.0591071760497357E-3</v>
      </c>
      <c r="O25" s="110">
        <v>2</v>
      </c>
    </row>
    <row r="26" spans="1:15" ht="112.05" customHeight="1" x14ac:dyDescent="0.3">
      <c r="A26" s="49" t="s">
        <v>18</v>
      </c>
      <c r="B26" s="49" t="s">
        <v>39</v>
      </c>
      <c r="C26" s="49" t="s">
        <v>26</v>
      </c>
      <c r="D26" s="112">
        <v>20.97</v>
      </c>
      <c r="E26" s="112">
        <f>KOHC!E149</f>
        <v>22.445127238407188</v>
      </c>
      <c r="F26" s="112">
        <f>365/((-KOHC!E85)/(KOHC!E51+KOHC!E254))</f>
        <v>20.968251547409185</v>
      </c>
      <c r="G26" s="116" t="s">
        <v>40</v>
      </c>
      <c r="H26" s="116" t="str">
        <f t="shared" si="0"/>
        <v>Reproduced to precision</v>
      </c>
      <c r="I26" s="116" t="s">
        <v>41</v>
      </c>
      <c r="J26" s="116" t="s">
        <v>23</v>
      </c>
      <c r="K26" s="116" t="s">
        <v>34</v>
      </c>
      <c r="L26" s="116" t="s">
        <v>35</v>
      </c>
      <c r="M26" s="49">
        <f t="shared" si="1"/>
        <v>1.4751272384071896</v>
      </c>
      <c r="N26" s="49">
        <f t="shared" si="2"/>
        <v>-1.7484525908137982E-3</v>
      </c>
      <c r="O26" s="49">
        <v>2</v>
      </c>
    </row>
    <row r="27" spans="1:15" ht="112.05" customHeight="1" x14ac:dyDescent="0.3">
      <c r="A27" s="110" t="s">
        <v>18</v>
      </c>
      <c r="B27" s="110" t="s">
        <v>39</v>
      </c>
      <c r="C27" s="110" t="s">
        <v>27</v>
      </c>
      <c r="D27" s="111">
        <v>9.14</v>
      </c>
      <c r="E27" s="111">
        <f>KOHC!F149</f>
        <v>12.531624662163896</v>
      </c>
      <c r="F27" s="111">
        <f>365/((-KOHC!F85)/(KOHC!F51+KOHC!F254))</f>
        <v>9.1383816576472814</v>
      </c>
      <c r="G27" s="115" t="s">
        <v>40</v>
      </c>
      <c r="H27" s="115" t="str">
        <f t="shared" si="0"/>
        <v>Reproduced to precision</v>
      </c>
      <c r="I27" s="115" t="s">
        <v>41</v>
      </c>
      <c r="J27" s="115" t="s">
        <v>23</v>
      </c>
      <c r="K27" s="115" t="s">
        <v>34</v>
      </c>
      <c r="L27" s="115" t="s">
        <v>35</v>
      </c>
      <c r="M27" s="110">
        <f t="shared" si="1"/>
        <v>3.3916246621638955</v>
      </c>
      <c r="N27" s="110">
        <f t="shared" si="2"/>
        <v>-1.618342352719182E-3</v>
      </c>
      <c r="O27" s="110">
        <v>2</v>
      </c>
    </row>
    <row r="28" spans="1:15" ht="112.05" customHeight="1" x14ac:dyDescent="0.3">
      <c r="A28" s="49" t="s">
        <v>18</v>
      </c>
      <c r="B28" s="49" t="s">
        <v>39</v>
      </c>
      <c r="C28" s="49" t="s">
        <v>28</v>
      </c>
      <c r="D28" s="112">
        <v>24.36</v>
      </c>
      <c r="E28" s="112">
        <f>KOHC!G149</f>
        <v>16.364411171705761</v>
      </c>
      <c r="F28" s="112">
        <f>365/((-KOHC!G85)/(KOHC!G51+KOHC!G254))</f>
        <v>24.357240845647208</v>
      </c>
      <c r="G28" s="116" t="s">
        <v>40</v>
      </c>
      <c r="H28" s="116" t="str">
        <f t="shared" si="0"/>
        <v>Reproduced to precision</v>
      </c>
      <c r="I28" s="116" t="s">
        <v>41</v>
      </c>
      <c r="J28" s="116" t="s">
        <v>23</v>
      </c>
      <c r="K28" s="116" t="s">
        <v>34</v>
      </c>
      <c r="L28" s="116" t="s">
        <v>35</v>
      </c>
      <c r="M28" s="49">
        <f t="shared" si="1"/>
        <v>-7.9955888282942382</v>
      </c>
      <c r="N28" s="49">
        <f t="shared" si="2"/>
        <v>-2.759154352791171E-3</v>
      </c>
      <c r="O28" s="49">
        <v>2</v>
      </c>
    </row>
    <row r="29" spans="1:15" ht="112.05" customHeight="1" x14ac:dyDescent="0.3">
      <c r="A29" s="110" t="s">
        <v>18</v>
      </c>
      <c r="B29" s="110" t="s">
        <v>39</v>
      </c>
      <c r="C29" s="110" t="s">
        <v>29</v>
      </c>
      <c r="D29" s="111">
        <v>34.79</v>
      </c>
      <c r="E29" s="111">
        <f>KOHC!H149</f>
        <v>31.106488864521271</v>
      </c>
      <c r="F29" s="111">
        <f>365/((-KOHC!H85)/(KOHC!H51+KOHC!H254))</f>
        <v>34.788870190164737</v>
      </c>
      <c r="G29" s="115" t="s">
        <v>40</v>
      </c>
      <c r="H29" s="115" t="str">
        <f t="shared" si="0"/>
        <v>Reproduced to precision</v>
      </c>
      <c r="I29" s="115" t="s">
        <v>41</v>
      </c>
      <c r="J29" s="115" t="s">
        <v>23</v>
      </c>
      <c r="K29" s="115" t="s">
        <v>34</v>
      </c>
      <c r="L29" s="115" t="s">
        <v>35</v>
      </c>
      <c r="M29" s="110">
        <f t="shared" si="1"/>
        <v>-3.683511135478728</v>
      </c>
      <c r="N29" s="110">
        <f t="shared" si="2"/>
        <v>-1.129809835262563E-3</v>
      </c>
      <c r="O29" s="110">
        <v>2</v>
      </c>
    </row>
    <row r="30" spans="1:15" ht="112.05" customHeight="1" x14ac:dyDescent="0.3">
      <c r="A30" s="49" t="s">
        <v>18</v>
      </c>
      <c r="B30" s="49" t="s">
        <v>42</v>
      </c>
      <c r="C30" s="49" t="s">
        <v>20</v>
      </c>
      <c r="D30" s="112">
        <v>44.66</v>
      </c>
      <c r="E30" s="112">
        <f>KOHC!D151</f>
        <v>59.663348643286582</v>
      </c>
      <c r="F30" s="112">
        <f>365*KOHC!D65/KOHC!D84+365*KOHC!D32/KOHC!D84-365*(KOHC!D51+KOHC!D254)/(-KOHC!D85)</f>
        <v>44.658826832515913</v>
      </c>
      <c r="G30" s="116" t="s">
        <v>43</v>
      </c>
      <c r="H30" s="116" t="str">
        <f t="shared" si="0"/>
        <v>Reproduced to precision</v>
      </c>
      <c r="I30" s="116" t="s">
        <v>22</v>
      </c>
      <c r="J30" s="116" t="s">
        <v>23</v>
      </c>
      <c r="K30" s="116" t="s">
        <v>44</v>
      </c>
      <c r="L30" s="116" t="s">
        <v>25</v>
      </c>
      <c r="M30" s="49">
        <f t="shared" si="1"/>
        <v>15.003348643286586</v>
      </c>
      <c r="N30" s="49">
        <f t="shared" si="2"/>
        <v>-1.1731674840831374E-3</v>
      </c>
      <c r="O30" s="49">
        <v>2</v>
      </c>
    </row>
    <row r="31" spans="1:15" ht="112.05" customHeight="1" x14ac:dyDescent="0.3">
      <c r="A31" s="110" t="s">
        <v>18</v>
      </c>
      <c r="B31" s="110" t="s">
        <v>42</v>
      </c>
      <c r="C31" s="110" t="s">
        <v>26</v>
      </c>
      <c r="D31" s="111">
        <v>52.16</v>
      </c>
      <c r="E31" s="111">
        <f>KOHC!E151</f>
        <v>66.072195835682862</v>
      </c>
      <c r="F31" s="111">
        <f>365*KOHC!E65/KOHC!E84+365*KOHC!E32/KOHC!E84-365*(KOHC!E51+KOHC!E254)/(-KOHC!E85)</f>
        <v>52.160931932021228</v>
      </c>
      <c r="G31" s="115" t="s">
        <v>43</v>
      </c>
      <c r="H31" s="115" t="str">
        <f t="shared" si="0"/>
        <v>Reproduced to precision</v>
      </c>
      <c r="I31" s="115" t="s">
        <v>22</v>
      </c>
      <c r="J31" s="115" t="s">
        <v>23</v>
      </c>
      <c r="K31" s="115" t="s">
        <v>44</v>
      </c>
      <c r="L31" s="115" t="s">
        <v>25</v>
      </c>
      <c r="M31" s="110">
        <f t="shared" si="1"/>
        <v>13.912195835682866</v>
      </c>
      <c r="N31" s="110">
        <f t="shared" si="2"/>
        <v>9.3193202123131869E-4</v>
      </c>
      <c r="O31" s="110">
        <v>2</v>
      </c>
    </row>
    <row r="32" spans="1:15" ht="112.05" customHeight="1" x14ac:dyDescent="0.3">
      <c r="A32" s="49" t="s">
        <v>18</v>
      </c>
      <c r="B32" s="49" t="s">
        <v>42</v>
      </c>
      <c r="C32" s="49" t="s">
        <v>27</v>
      </c>
      <c r="D32" s="112">
        <v>73.959999999999994</v>
      </c>
      <c r="E32" s="112">
        <f>KOHC!F151</f>
        <v>82.788876163092851</v>
      </c>
      <c r="F32" s="112">
        <f>365*KOHC!F65/KOHC!F84+365*KOHC!F32/KOHC!F84-365*(KOHC!F51+KOHC!F254)/(-KOHC!F85)</f>
        <v>73.96356880921563</v>
      </c>
      <c r="G32" s="116" t="s">
        <v>43</v>
      </c>
      <c r="H32" s="116" t="str">
        <f t="shared" si="0"/>
        <v>Reproduced to precision</v>
      </c>
      <c r="I32" s="116" t="s">
        <v>22</v>
      </c>
      <c r="J32" s="116" t="s">
        <v>23</v>
      </c>
      <c r="K32" s="116" t="s">
        <v>44</v>
      </c>
      <c r="L32" s="116" t="s">
        <v>25</v>
      </c>
      <c r="M32" s="49">
        <f t="shared" si="1"/>
        <v>8.8288761630928576</v>
      </c>
      <c r="N32" s="49">
        <f t="shared" si="2"/>
        <v>3.5688092156362927E-3</v>
      </c>
      <c r="O32" s="49">
        <v>2</v>
      </c>
    </row>
    <row r="33" spans="1:15" ht="112.05" customHeight="1" x14ac:dyDescent="0.3">
      <c r="A33" s="110" t="s">
        <v>18</v>
      </c>
      <c r="B33" s="110" t="s">
        <v>42</v>
      </c>
      <c r="C33" s="110" t="s">
        <v>28</v>
      </c>
      <c r="D33" s="111">
        <v>67.150000000000006</v>
      </c>
      <c r="E33" s="111">
        <f>KOHC!G151</f>
        <v>100.80234556959385</v>
      </c>
      <c r="F33" s="111">
        <f>365*KOHC!G65/KOHC!G84+365*KOHC!G32/KOHC!G84-365*(KOHC!G51+KOHC!G254)/(-KOHC!G85)</f>
        <v>67.154666123529708</v>
      </c>
      <c r="G33" s="115" t="s">
        <v>43</v>
      </c>
      <c r="H33" s="115" t="str">
        <f t="shared" si="0"/>
        <v>Reproduced to precision</v>
      </c>
      <c r="I33" s="115" t="s">
        <v>22</v>
      </c>
      <c r="J33" s="115" t="s">
        <v>23</v>
      </c>
      <c r="K33" s="115" t="s">
        <v>44</v>
      </c>
      <c r="L33" s="115" t="s">
        <v>25</v>
      </c>
      <c r="M33" s="110">
        <f t="shared" si="1"/>
        <v>33.652345569593848</v>
      </c>
      <c r="N33" s="110">
        <f t="shared" si="2"/>
        <v>4.666123529702304E-3</v>
      </c>
      <c r="O33" s="110">
        <v>2</v>
      </c>
    </row>
    <row r="34" spans="1:15" ht="112.05" customHeight="1" x14ac:dyDescent="0.3">
      <c r="A34" s="49" t="s">
        <v>18</v>
      </c>
      <c r="B34" s="49" t="s">
        <v>42</v>
      </c>
      <c r="C34" s="49" t="s">
        <v>29</v>
      </c>
      <c r="D34" s="112">
        <v>54.64</v>
      </c>
      <c r="E34" s="112">
        <f>KOHC!H151</f>
        <v>108.04716265276964</v>
      </c>
      <c r="F34" s="112">
        <f>365*KOHC!H65/KOHC!H84+365*KOHC!H32/KOHC!H84-365*(KOHC!H51+KOHC!H254)/(-KOHC!H85)</f>
        <v>54.644290914220257</v>
      </c>
      <c r="G34" s="116" t="s">
        <v>43</v>
      </c>
      <c r="H34" s="116" t="str">
        <f t="shared" si="0"/>
        <v>Reproduced to precision</v>
      </c>
      <c r="I34" s="116" t="s">
        <v>22</v>
      </c>
      <c r="J34" s="116" t="s">
        <v>23</v>
      </c>
      <c r="K34" s="116" t="s">
        <v>44</v>
      </c>
      <c r="L34" s="116" t="s">
        <v>25</v>
      </c>
      <c r="M34" s="49">
        <f t="shared" si="1"/>
        <v>53.407162652769642</v>
      </c>
      <c r="N34" s="49">
        <f t="shared" si="2"/>
        <v>4.2909142202560702E-3</v>
      </c>
      <c r="O34" s="49">
        <v>2</v>
      </c>
    </row>
    <row r="35" spans="1:15" ht="112.05" customHeight="1" x14ac:dyDescent="0.3">
      <c r="A35" s="110" t="s">
        <v>18</v>
      </c>
      <c r="B35" s="110" t="s">
        <v>45</v>
      </c>
      <c r="C35" s="110" t="s">
        <v>20</v>
      </c>
      <c r="D35" s="111">
        <v>0.67</v>
      </c>
      <c r="E35" s="111">
        <f>KOHC!D152</f>
        <v>0.70920116218432216</v>
      </c>
      <c r="F35" s="111">
        <f>KOHC!D84/KOHC!D37</f>
        <v>0.66665082622797289</v>
      </c>
      <c r="G35" s="115" t="s">
        <v>46</v>
      </c>
      <c r="H35" s="115" t="str">
        <f t="shared" si="0"/>
        <v>Reproduced to precision</v>
      </c>
      <c r="I35" s="115" t="s">
        <v>22</v>
      </c>
      <c r="J35" s="115" t="s">
        <v>23</v>
      </c>
      <c r="K35" s="115" t="s">
        <v>38</v>
      </c>
      <c r="L35" s="115" t="s">
        <v>25</v>
      </c>
      <c r="M35" s="110">
        <f t="shared" si="1"/>
        <v>3.9201162184322125E-2</v>
      </c>
      <c r="N35" s="110">
        <f t="shared" si="2"/>
        <v>-3.3491737720271475E-3</v>
      </c>
      <c r="O35" s="110">
        <v>2</v>
      </c>
    </row>
    <row r="36" spans="1:15" ht="112.05" customHeight="1" x14ac:dyDescent="0.3">
      <c r="A36" s="49" t="s">
        <v>18</v>
      </c>
      <c r="B36" s="49" t="s">
        <v>45</v>
      </c>
      <c r="C36" s="49" t="s">
        <v>26</v>
      </c>
      <c r="D36" s="112">
        <v>0.76</v>
      </c>
      <c r="E36" s="112">
        <f>KOHC!E152</f>
        <v>0.82774287277782643</v>
      </c>
      <c r="F36" s="112">
        <f>KOHC!E84/KOHC!E37</f>
        <v>0.7583954484233022</v>
      </c>
      <c r="G36" s="116" t="s">
        <v>46</v>
      </c>
      <c r="H36" s="116" t="str">
        <f t="shared" si="0"/>
        <v>Reproduced to precision</v>
      </c>
      <c r="I36" s="116" t="s">
        <v>22</v>
      </c>
      <c r="J36" s="116" t="s">
        <v>23</v>
      </c>
      <c r="K36" s="116" t="s">
        <v>38</v>
      </c>
      <c r="L36" s="116" t="s">
        <v>25</v>
      </c>
      <c r="M36" s="49">
        <f t="shared" si="1"/>
        <v>6.7742872777826424E-2</v>
      </c>
      <c r="N36" s="49">
        <f t="shared" si="2"/>
        <v>-1.6045515766978102E-3</v>
      </c>
      <c r="O36" s="49">
        <v>2</v>
      </c>
    </row>
    <row r="37" spans="1:15" ht="112.05" customHeight="1" x14ac:dyDescent="0.3">
      <c r="A37" s="110" t="s">
        <v>18</v>
      </c>
      <c r="B37" s="110" t="s">
        <v>45</v>
      </c>
      <c r="C37" s="110" t="s">
        <v>27</v>
      </c>
      <c r="D37" s="111">
        <v>0.79</v>
      </c>
      <c r="E37" s="111">
        <f>KOHC!F152</f>
        <v>0.83809913508098699</v>
      </c>
      <c r="F37" s="111">
        <f>KOHC!F84/KOHC!F37</f>
        <v>0.78581821088962756</v>
      </c>
      <c r="G37" s="115" t="s">
        <v>46</v>
      </c>
      <c r="H37" s="115" t="str">
        <f t="shared" si="0"/>
        <v>Reproduced to precision</v>
      </c>
      <c r="I37" s="115" t="s">
        <v>22</v>
      </c>
      <c r="J37" s="115" t="s">
        <v>23</v>
      </c>
      <c r="K37" s="115" t="s">
        <v>38</v>
      </c>
      <c r="L37" s="115" t="s">
        <v>25</v>
      </c>
      <c r="M37" s="110">
        <f t="shared" si="1"/>
        <v>4.8099135080986954E-2</v>
      </c>
      <c r="N37" s="110">
        <f t="shared" si="2"/>
        <v>-4.1817891103724802E-3</v>
      </c>
      <c r="O37" s="110">
        <v>2</v>
      </c>
    </row>
    <row r="38" spans="1:15" ht="112.05" customHeight="1" x14ac:dyDescent="0.3">
      <c r="A38" s="49" t="s">
        <v>18</v>
      </c>
      <c r="B38" s="49" t="s">
        <v>45</v>
      </c>
      <c r="C38" s="49" t="s">
        <v>28</v>
      </c>
      <c r="D38" s="112">
        <v>0.66</v>
      </c>
      <c r="E38" s="112">
        <f>KOHC!G152</f>
        <v>0.71323366076722194</v>
      </c>
      <c r="F38" s="112">
        <f>KOHC!G84/KOHC!G37</f>
        <v>0.65679136157504614</v>
      </c>
      <c r="G38" s="116" t="s">
        <v>46</v>
      </c>
      <c r="H38" s="116" t="str">
        <f t="shared" si="0"/>
        <v>Reproduced to precision</v>
      </c>
      <c r="I38" s="116" t="s">
        <v>22</v>
      </c>
      <c r="J38" s="116" t="s">
        <v>23</v>
      </c>
      <c r="K38" s="116" t="s">
        <v>38</v>
      </c>
      <c r="L38" s="116" t="s">
        <v>25</v>
      </c>
      <c r="M38" s="49">
        <f t="shared" si="1"/>
        <v>5.3233660767221913E-2</v>
      </c>
      <c r="N38" s="49">
        <f t="shared" si="2"/>
        <v>-3.2086384249538913E-3</v>
      </c>
      <c r="O38" s="49">
        <v>2</v>
      </c>
    </row>
    <row r="39" spans="1:15" ht="112.05" customHeight="1" x14ac:dyDescent="0.3">
      <c r="A39" s="110" t="s">
        <v>18</v>
      </c>
      <c r="B39" s="110" t="s">
        <v>45</v>
      </c>
      <c r="C39" s="110" t="s">
        <v>29</v>
      </c>
      <c r="D39" s="111">
        <v>0.56000000000000005</v>
      </c>
      <c r="E39" s="111">
        <f>KOHC!H152</f>
        <v>0.59752332567837996</v>
      </c>
      <c r="F39" s="111">
        <f>KOHC!H84/KOHC!H37</f>
        <v>0.56195953485342598</v>
      </c>
      <c r="G39" s="115" t="s">
        <v>46</v>
      </c>
      <c r="H39" s="115" t="str">
        <f t="shared" si="0"/>
        <v>Reproduced to precision</v>
      </c>
      <c r="I39" s="115" t="s">
        <v>22</v>
      </c>
      <c r="J39" s="115" t="s">
        <v>23</v>
      </c>
      <c r="K39" s="115" t="s">
        <v>38</v>
      </c>
      <c r="L39" s="115" t="s">
        <v>25</v>
      </c>
      <c r="M39" s="110">
        <f t="shared" si="1"/>
        <v>3.7523325678379904E-2</v>
      </c>
      <c r="N39" s="110">
        <f t="shared" si="2"/>
        <v>1.959534853425926E-3</v>
      </c>
      <c r="O39" s="110">
        <v>2</v>
      </c>
    </row>
    <row r="40" spans="1:15" ht="112.05" customHeight="1" x14ac:dyDescent="0.3">
      <c r="A40" s="49" t="s">
        <v>18</v>
      </c>
      <c r="B40" s="49" t="s">
        <v>47</v>
      </c>
      <c r="C40" s="49" t="s">
        <v>20</v>
      </c>
      <c r="D40" s="112">
        <v>1.1100000000000001</v>
      </c>
      <c r="E40" s="112">
        <f>KOHC!D153</f>
        <v>1.0844791007988606</v>
      </c>
      <c r="F40" s="112">
        <f>KOHC!D84/KOHC!D22</f>
        <v>1.1059029342727498</v>
      </c>
      <c r="G40" s="116" t="s">
        <v>48</v>
      </c>
      <c r="H40" s="116" t="str">
        <f t="shared" si="0"/>
        <v>Reproduced to precision</v>
      </c>
      <c r="I40" s="116" t="s">
        <v>22</v>
      </c>
      <c r="J40" s="116" t="s">
        <v>23</v>
      </c>
      <c r="K40" s="116" t="s">
        <v>38</v>
      </c>
      <c r="L40" s="116" t="s">
        <v>25</v>
      </c>
      <c r="M40" s="49">
        <f t="shared" si="1"/>
        <v>-2.5520899201139535E-2</v>
      </c>
      <c r="N40" s="49">
        <f t="shared" si="2"/>
        <v>-4.0970657272503264E-3</v>
      </c>
      <c r="O40" s="49">
        <v>2</v>
      </c>
    </row>
    <row r="41" spans="1:15" ht="112.05" customHeight="1" x14ac:dyDescent="0.3">
      <c r="A41" s="110" t="s">
        <v>18</v>
      </c>
      <c r="B41" s="110" t="s">
        <v>47</v>
      </c>
      <c r="C41" s="110" t="s">
        <v>26</v>
      </c>
      <c r="D41" s="111">
        <v>1.55</v>
      </c>
      <c r="E41" s="111">
        <f>KOHC!E153</f>
        <v>1.5307978904973403</v>
      </c>
      <c r="F41" s="111">
        <f>KOHC!E84/KOHC!E22</f>
        <v>1.5507703456996567</v>
      </c>
      <c r="G41" s="115" t="s">
        <v>48</v>
      </c>
      <c r="H41" s="115" t="str">
        <f t="shared" si="0"/>
        <v>Reproduced to precision</v>
      </c>
      <c r="I41" s="115" t="s">
        <v>22</v>
      </c>
      <c r="J41" s="115" t="s">
        <v>23</v>
      </c>
      <c r="K41" s="115" t="s">
        <v>38</v>
      </c>
      <c r="L41" s="115" t="s">
        <v>25</v>
      </c>
      <c r="M41" s="110">
        <f t="shared" si="1"/>
        <v>-1.920210950265977E-2</v>
      </c>
      <c r="N41" s="110">
        <f t="shared" si="2"/>
        <v>7.7034569965661603E-4</v>
      </c>
      <c r="O41" s="110">
        <v>2</v>
      </c>
    </row>
    <row r="42" spans="1:15" ht="112.05" customHeight="1" x14ac:dyDescent="0.3">
      <c r="A42" s="49" t="s">
        <v>18</v>
      </c>
      <c r="B42" s="49" t="s">
        <v>47</v>
      </c>
      <c r="C42" s="49" t="s">
        <v>27</v>
      </c>
      <c r="D42" s="112">
        <v>1.92</v>
      </c>
      <c r="E42" s="112">
        <f>KOHC!F153</f>
        <v>1.876337672472641</v>
      </c>
      <c r="F42" s="112">
        <f>KOHC!F84/KOHC!F22</f>
        <v>1.9186059033296663</v>
      </c>
      <c r="G42" s="116" t="s">
        <v>48</v>
      </c>
      <c r="H42" s="116" t="str">
        <f t="shared" si="0"/>
        <v>Reproduced to precision</v>
      </c>
      <c r="I42" s="116" t="s">
        <v>22</v>
      </c>
      <c r="J42" s="116" t="s">
        <v>23</v>
      </c>
      <c r="K42" s="116" t="s">
        <v>38</v>
      </c>
      <c r="L42" s="116" t="s">
        <v>25</v>
      </c>
      <c r="M42" s="49">
        <f t="shared" si="1"/>
        <v>-4.366232752735888E-2</v>
      </c>
      <c r="N42" s="49">
        <f t="shared" si="2"/>
        <v>-1.3940966703336333E-3</v>
      </c>
      <c r="O42" s="49">
        <v>2</v>
      </c>
    </row>
    <row r="43" spans="1:15" ht="112.05" customHeight="1" x14ac:dyDescent="0.3">
      <c r="A43" s="110" t="s">
        <v>18</v>
      </c>
      <c r="B43" s="110" t="s">
        <v>47</v>
      </c>
      <c r="C43" s="110" t="s">
        <v>28</v>
      </c>
      <c r="D43" s="111">
        <v>1.83</v>
      </c>
      <c r="E43" s="111">
        <f>KOHC!G153</f>
        <v>1.8650719460684553</v>
      </c>
      <c r="F43" s="111">
        <f>KOHC!G84/KOHC!G22</f>
        <v>1.8266859443274031</v>
      </c>
      <c r="G43" s="115" t="s">
        <v>48</v>
      </c>
      <c r="H43" s="115" t="str">
        <f t="shared" si="0"/>
        <v>Reproduced to precision</v>
      </c>
      <c r="I43" s="115" t="s">
        <v>22</v>
      </c>
      <c r="J43" s="115" t="s">
        <v>23</v>
      </c>
      <c r="K43" s="115" t="s">
        <v>38</v>
      </c>
      <c r="L43" s="115" t="s">
        <v>25</v>
      </c>
      <c r="M43" s="110">
        <f t="shared" si="1"/>
        <v>3.5071946068455206E-2</v>
      </c>
      <c r="N43" s="110">
        <f t="shared" si="2"/>
        <v>-3.3140556725970161E-3</v>
      </c>
      <c r="O43" s="110">
        <v>2</v>
      </c>
    </row>
    <row r="44" spans="1:15" ht="112.05" customHeight="1" x14ac:dyDescent="0.3">
      <c r="A44" s="49" t="s">
        <v>18</v>
      </c>
      <c r="B44" s="49" t="s">
        <v>47</v>
      </c>
      <c r="C44" s="49" t="s">
        <v>29</v>
      </c>
      <c r="D44" s="112">
        <v>1.8</v>
      </c>
      <c r="E44" s="112">
        <f>KOHC!H153</f>
        <v>1.7861104563188661</v>
      </c>
      <c r="F44" s="112">
        <f>KOHC!H84/KOHC!H22</f>
        <v>1.7982598867652522</v>
      </c>
      <c r="G44" s="116" t="s">
        <v>48</v>
      </c>
      <c r="H44" s="116" t="str">
        <f t="shared" si="0"/>
        <v>Reproduced to precision</v>
      </c>
      <c r="I44" s="116" t="s">
        <v>22</v>
      </c>
      <c r="J44" s="116" t="s">
        <v>23</v>
      </c>
      <c r="K44" s="116" t="s">
        <v>38</v>
      </c>
      <c r="L44" s="116" t="s">
        <v>25</v>
      </c>
      <c r="M44" s="49">
        <f t="shared" si="1"/>
        <v>-1.3889543681133931E-2</v>
      </c>
      <c r="N44" s="49">
        <f t="shared" si="2"/>
        <v>-1.7401132347478754E-3</v>
      </c>
      <c r="O44" s="49">
        <v>2</v>
      </c>
    </row>
    <row r="45" spans="1:15" ht="112.05" customHeight="1" x14ac:dyDescent="0.3">
      <c r="A45" s="110" t="s">
        <v>18</v>
      </c>
      <c r="B45" s="110" t="s">
        <v>49</v>
      </c>
      <c r="C45" s="110" t="s">
        <v>20</v>
      </c>
      <c r="D45" s="111">
        <v>10.45</v>
      </c>
      <c r="E45" s="111">
        <f>KOHC!D159</f>
        <v>11.019706901181747</v>
      </c>
      <c r="F45" s="111">
        <f>KOHC!D108/(-KOHC!D95)</f>
        <v>10.449576359042972</v>
      </c>
      <c r="G45" s="115" t="s">
        <v>50</v>
      </c>
      <c r="H45" s="115" t="str">
        <f t="shared" si="0"/>
        <v>Reproduced to precision</v>
      </c>
      <c r="I45" s="115" t="s">
        <v>22</v>
      </c>
      <c r="J45" s="115" t="s">
        <v>23</v>
      </c>
      <c r="K45" s="115" t="s">
        <v>38</v>
      </c>
      <c r="L45" s="115" t="s">
        <v>25</v>
      </c>
      <c r="M45" s="110">
        <f t="shared" si="1"/>
        <v>0.56970690118174794</v>
      </c>
      <c r="N45" s="110">
        <f t="shared" si="2"/>
        <v>-4.236409570275157E-4</v>
      </c>
      <c r="O45" s="110">
        <v>2</v>
      </c>
    </row>
    <row r="46" spans="1:15" ht="112.05" customHeight="1" x14ac:dyDescent="0.3">
      <c r="A46" s="49" t="s">
        <v>18</v>
      </c>
      <c r="B46" s="49" t="s">
        <v>49</v>
      </c>
      <c r="C46" s="49" t="s">
        <v>26</v>
      </c>
      <c r="D46" s="112">
        <v>17.600000000000001</v>
      </c>
      <c r="E46" s="112">
        <f>KOHC!E159</f>
        <v>18.36315245249661</v>
      </c>
      <c r="F46" s="112">
        <f>KOHC!E108/(-KOHC!E95)</f>
        <v>17.5990507853185</v>
      </c>
      <c r="G46" s="116" t="s">
        <v>50</v>
      </c>
      <c r="H46" s="116" t="str">
        <f t="shared" si="0"/>
        <v>Reproduced to precision</v>
      </c>
      <c r="I46" s="116" t="s">
        <v>22</v>
      </c>
      <c r="J46" s="116" t="s">
        <v>23</v>
      </c>
      <c r="K46" s="116" t="s">
        <v>38</v>
      </c>
      <c r="L46" s="116" t="s">
        <v>25</v>
      </c>
      <c r="M46" s="49">
        <f t="shared" si="1"/>
        <v>0.7631524524966089</v>
      </c>
      <c r="N46" s="49">
        <f t="shared" si="2"/>
        <v>-9.4921468150133137E-4</v>
      </c>
      <c r="O46" s="49">
        <v>2</v>
      </c>
    </row>
    <row r="47" spans="1:15" ht="112.05" customHeight="1" x14ac:dyDescent="0.3">
      <c r="A47" s="110" t="s">
        <v>18</v>
      </c>
      <c r="B47" s="110" t="s">
        <v>49</v>
      </c>
      <c r="C47" s="110" t="s">
        <v>27</v>
      </c>
      <c r="D47" s="111">
        <v>15.14</v>
      </c>
      <c r="E47" s="111">
        <f>KOHC!F159</f>
        <v>16.398825279873954</v>
      </c>
      <c r="F47" s="111">
        <f>KOHC!F108/(-KOHC!F95)</f>
        <v>15.14185859445495</v>
      </c>
      <c r="G47" s="115" t="s">
        <v>50</v>
      </c>
      <c r="H47" s="115" t="str">
        <f t="shared" si="0"/>
        <v>Reproduced to precision</v>
      </c>
      <c r="I47" s="115" t="s">
        <v>22</v>
      </c>
      <c r="J47" s="115" t="s">
        <v>23</v>
      </c>
      <c r="K47" s="115" t="s">
        <v>38</v>
      </c>
      <c r="L47" s="115" t="s">
        <v>25</v>
      </c>
      <c r="M47" s="110">
        <f t="shared" si="1"/>
        <v>1.2588252798739532</v>
      </c>
      <c r="N47" s="110">
        <f t="shared" si="2"/>
        <v>1.8585944549496247E-3</v>
      </c>
      <c r="O47" s="110">
        <v>2</v>
      </c>
    </row>
    <row r="48" spans="1:15" ht="112.05" customHeight="1" x14ac:dyDescent="0.3">
      <c r="A48" s="49" t="s">
        <v>18</v>
      </c>
      <c r="B48" s="49" t="s">
        <v>49</v>
      </c>
      <c r="C48" s="49" t="s">
        <v>28</v>
      </c>
      <c r="D48" s="112">
        <v>21.34</v>
      </c>
      <c r="E48" s="112">
        <f>KOHC!G159</f>
        <v>22.367720224205137</v>
      </c>
      <c r="F48" s="112">
        <f>KOHC!G108/(-KOHC!G95)</f>
        <v>21.337577009577238</v>
      </c>
      <c r="G48" s="116" t="s">
        <v>50</v>
      </c>
      <c r="H48" s="116" t="str">
        <f t="shared" si="0"/>
        <v>Reproduced to precision</v>
      </c>
      <c r="I48" s="116" t="s">
        <v>22</v>
      </c>
      <c r="J48" s="116" t="s">
        <v>23</v>
      </c>
      <c r="K48" s="116" t="s">
        <v>38</v>
      </c>
      <c r="L48" s="116" t="s">
        <v>25</v>
      </c>
      <c r="M48" s="49">
        <f t="shared" si="1"/>
        <v>1.0277202242051366</v>
      </c>
      <c r="N48" s="49">
        <f t="shared" si="2"/>
        <v>-2.4229904227617283E-3</v>
      </c>
      <c r="O48" s="49">
        <v>2</v>
      </c>
    </row>
    <row r="49" spans="1:15" ht="112.05" customHeight="1" x14ac:dyDescent="0.3">
      <c r="A49" s="110" t="s">
        <v>18</v>
      </c>
      <c r="B49" s="110" t="s">
        <v>49</v>
      </c>
      <c r="C49" s="110" t="s">
        <v>29</v>
      </c>
      <c r="D49" s="111">
        <v>51.72</v>
      </c>
      <c r="E49" s="111">
        <f>KOHC!H159</f>
        <v>59.098953198372307</v>
      </c>
      <c r="F49" s="111">
        <f>KOHC!H108/(-KOHC!H95)</f>
        <v>51.718147817456376</v>
      </c>
      <c r="G49" s="115" t="s">
        <v>50</v>
      </c>
      <c r="H49" s="115" t="str">
        <f t="shared" si="0"/>
        <v>Reproduced to precision</v>
      </c>
      <c r="I49" s="115" t="s">
        <v>22</v>
      </c>
      <c r="J49" s="115" t="s">
        <v>23</v>
      </c>
      <c r="K49" s="115" t="s">
        <v>38</v>
      </c>
      <c r="L49" s="115" t="s">
        <v>25</v>
      </c>
      <c r="M49" s="110">
        <f t="shared" si="1"/>
        <v>7.378953198372308</v>
      </c>
      <c r="N49" s="110">
        <f t="shared" si="2"/>
        <v>-1.8521825436224049E-3</v>
      </c>
      <c r="O49" s="110">
        <v>2</v>
      </c>
    </row>
    <row r="50" spans="1:15" ht="112.05" customHeight="1" x14ac:dyDescent="0.3">
      <c r="A50" s="49" t="s">
        <v>18</v>
      </c>
      <c r="B50" s="49" t="s">
        <v>51</v>
      </c>
      <c r="C50" s="49" t="s">
        <v>20</v>
      </c>
      <c r="D50" s="113">
        <v>0.248</v>
      </c>
      <c r="E50" s="113">
        <f>KOHC!D161</f>
        <v>0.24796341300828931</v>
      </c>
      <c r="F50" s="113">
        <f>KOHC!D86/KOHC!D84</f>
        <v>0.24796341300828931</v>
      </c>
      <c r="G50" s="116" t="s">
        <v>21</v>
      </c>
      <c r="H50" s="116" t="str">
        <f t="shared" si="0"/>
        <v>Reproduced to precision</v>
      </c>
      <c r="I50" s="116" t="s">
        <v>22</v>
      </c>
      <c r="J50" s="116" t="s">
        <v>23</v>
      </c>
      <c r="K50" s="116" t="s">
        <v>24</v>
      </c>
      <c r="L50" s="116" t="s">
        <v>25</v>
      </c>
      <c r="M50" s="49">
        <f t="shared" si="1"/>
        <v>-3.6586991710690908E-5</v>
      </c>
      <c r="N50" s="49">
        <f t="shared" si="2"/>
        <v>-3.6586991710690908E-5</v>
      </c>
      <c r="O50" s="49">
        <v>4</v>
      </c>
    </row>
    <row r="51" spans="1:15" ht="112.05" customHeight="1" x14ac:dyDescent="0.3">
      <c r="A51" s="110" t="s">
        <v>18</v>
      </c>
      <c r="B51" s="110" t="s">
        <v>51</v>
      </c>
      <c r="C51" s="110" t="s">
        <v>26</v>
      </c>
      <c r="D51" s="114">
        <v>0.2984</v>
      </c>
      <c r="E51" s="114">
        <f>KOHC!E161</f>
        <v>0.29843914213509881</v>
      </c>
      <c r="F51" s="114">
        <f>KOHC!E86/KOHC!E84</f>
        <v>0.29843914213509881</v>
      </c>
      <c r="G51" s="115" t="s">
        <v>21</v>
      </c>
      <c r="H51" s="115" t="str">
        <f t="shared" si="0"/>
        <v>Reproduced to precision</v>
      </c>
      <c r="I51" s="115" t="s">
        <v>22</v>
      </c>
      <c r="J51" s="115" t="s">
        <v>23</v>
      </c>
      <c r="K51" s="115" t="s">
        <v>24</v>
      </c>
      <c r="L51" s="115" t="s">
        <v>25</v>
      </c>
      <c r="M51" s="110">
        <f t="shared" si="1"/>
        <v>3.9142135098813036E-5</v>
      </c>
      <c r="N51" s="110">
        <f t="shared" si="2"/>
        <v>3.9142135098813036E-5</v>
      </c>
      <c r="O51" s="110">
        <v>4</v>
      </c>
    </row>
    <row r="52" spans="1:15" ht="112.05" customHeight="1" x14ac:dyDescent="0.3">
      <c r="A52" s="49" t="s">
        <v>18</v>
      </c>
      <c r="B52" s="49" t="s">
        <v>51</v>
      </c>
      <c r="C52" s="49" t="s">
        <v>27</v>
      </c>
      <c r="D52" s="113">
        <v>0.26800000000000002</v>
      </c>
      <c r="E52" s="113">
        <f>KOHC!F161</f>
        <v>0.26804356818989611</v>
      </c>
      <c r="F52" s="113">
        <f>KOHC!F86/KOHC!F84</f>
        <v>0.26804356818989611</v>
      </c>
      <c r="G52" s="116" t="s">
        <v>21</v>
      </c>
      <c r="H52" s="116" t="str">
        <f t="shared" si="0"/>
        <v>Reproduced to precision</v>
      </c>
      <c r="I52" s="116" t="s">
        <v>22</v>
      </c>
      <c r="J52" s="116" t="s">
        <v>23</v>
      </c>
      <c r="K52" s="116" t="s">
        <v>24</v>
      </c>
      <c r="L52" s="116" t="s">
        <v>25</v>
      </c>
      <c r="M52" s="49">
        <f t="shared" si="1"/>
        <v>4.3568189896092679E-5</v>
      </c>
      <c r="N52" s="49">
        <f t="shared" si="2"/>
        <v>4.3568189896092679E-5</v>
      </c>
      <c r="O52" s="49">
        <v>4</v>
      </c>
    </row>
    <row r="53" spans="1:15" ht="112.05" customHeight="1" x14ac:dyDescent="0.3">
      <c r="A53" s="110" t="s">
        <v>18</v>
      </c>
      <c r="B53" s="110" t="s">
        <v>51</v>
      </c>
      <c r="C53" s="110" t="s">
        <v>28</v>
      </c>
      <c r="D53" s="114">
        <v>0.2913</v>
      </c>
      <c r="E53" s="114">
        <f>KOHC!G161</f>
        <v>0.29125851467425595</v>
      </c>
      <c r="F53" s="114">
        <f>KOHC!G86/KOHC!G84</f>
        <v>0.29125851467425595</v>
      </c>
      <c r="G53" s="115" t="s">
        <v>21</v>
      </c>
      <c r="H53" s="115" t="str">
        <f t="shared" si="0"/>
        <v>Reproduced to precision</v>
      </c>
      <c r="I53" s="115" t="s">
        <v>22</v>
      </c>
      <c r="J53" s="115" t="s">
        <v>23</v>
      </c>
      <c r="K53" s="115" t="s">
        <v>24</v>
      </c>
      <c r="L53" s="115" t="s">
        <v>25</v>
      </c>
      <c r="M53" s="110">
        <f t="shared" si="1"/>
        <v>-4.1485325744050616E-5</v>
      </c>
      <c r="N53" s="110">
        <f t="shared" si="2"/>
        <v>-4.1485325744050616E-5</v>
      </c>
      <c r="O53" s="110">
        <v>4</v>
      </c>
    </row>
    <row r="54" spans="1:15" ht="112.05" customHeight="1" x14ac:dyDescent="0.3">
      <c r="A54" s="49" t="s">
        <v>18</v>
      </c>
      <c r="B54" s="49" t="s">
        <v>51</v>
      </c>
      <c r="C54" s="49" t="s">
        <v>29</v>
      </c>
      <c r="D54" s="113">
        <v>0.39219999999999999</v>
      </c>
      <c r="E54" s="113">
        <f>KOHC!H161</f>
        <v>0.39220278175445145</v>
      </c>
      <c r="F54" s="113">
        <f>KOHC!H86/KOHC!H84</f>
        <v>0.39220278175445145</v>
      </c>
      <c r="G54" s="116" t="s">
        <v>21</v>
      </c>
      <c r="H54" s="116" t="str">
        <f t="shared" si="0"/>
        <v>Reproduced to precision</v>
      </c>
      <c r="I54" s="116" t="s">
        <v>22</v>
      </c>
      <c r="J54" s="116" t="s">
        <v>23</v>
      </c>
      <c r="K54" s="116" t="s">
        <v>24</v>
      </c>
      <c r="L54" s="116" t="s">
        <v>25</v>
      </c>
      <c r="M54" s="49">
        <f t="shared" si="1"/>
        <v>2.7817544514530113E-6</v>
      </c>
      <c r="N54" s="49">
        <f t="shared" si="2"/>
        <v>2.7817544514530113E-6</v>
      </c>
      <c r="O54" s="49">
        <v>4</v>
      </c>
    </row>
    <row r="55" spans="1:15" ht="112.05" customHeight="1" x14ac:dyDescent="0.3">
      <c r="A55" s="110" t="s">
        <v>18</v>
      </c>
      <c r="B55" s="110" t="s">
        <v>52</v>
      </c>
      <c r="C55" s="110" t="s">
        <v>20</v>
      </c>
      <c r="D55" s="114">
        <v>0.1454</v>
      </c>
      <c r="E55" s="114">
        <f>KOHC!D163</f>
        <v>0.1453819089897026</v>
      </c>
      <c r="F55" s="114">
        <f>KOHC!D99/KOHC!D84</f>
        <v>0.1453819089897026</v>
      </c>
      <c r="G55" s="115" t="s">
        <v>21</v>
      </c>
      <c r="H55" s="115" t="str">
        <f t="shared" si="0"/>
        <v>Reproduced to precision</v>
      </c>
      <c r="I55" s="115" t="s">
        <v>22</v>
      </c>
      <c r="J55" s="115" t="s">
        <v>23</v>
      </c>
      <c r="K55" s="115" t="s">
        <v>24</v>
      </c>
      <c r="L55" s="115" t="s">
        <v>25</v>
      </c>
      <c r="M55" s="110">
        <f t="shared" si="1"/>
        <v>-1.8091010297399679E-5</v>
      </c>
      <c r="N55" s="110">
        <f t="shared" si="2"/>
        <v>-1.8091010297399679E-5</v>
      </c>
      <c r="O55" s="110">
        <v>4</v>
      </c>
    </row>
    <row r="56" spans="1:15" ht="112.05" customHeight="1" x14ac:dyDescent="0.3">
      <c r="A56" s="49" t="s">
        <v>18</v>
      </c>
      <c r="B56" s="49" t="s">
        <v>52</v>
      </c>
      <c r="C56" s="49" t="s">
        <v>26</v>
      </c>
      <c r="D56" s="113">
        <v>0.15279999999999999</v>
      </c>
      <c r="E56" s="113">
        <f>KOHC!E163</f>
        <v>0.15282075695786385</v>
      </c>
      <c r="F56" s="113">
        <f>KOHC!E99/KOHC!E84</f>
        <v>0.15282075695786385</v>
      </c>
      <c r="G56" s="116" t="s">
        <v>21</v>
      </c>
      <c r="H56" s="116" t="str">
        <f t="shared" si="0"/>
        <v>Reproduced to precision</v>
      </c>
      <c r="I56" s="116" t="s">
        <v>22</v>
      </c>
      <c r="J56" s="116" t="s">
        <v>23</v>
      </c>
      <c r="K56" s="116" t="s">
        <v>24</v>
      </c>
      <c r="L56" s="116" t="s">
        <v>25</v>
      </c>
      <c r="M56" s="49">
        <f t="shared" si="1"/>
        <v>2.0756957863854453E-5</v>
      </c>
      <c r="N56" s="49">
        <f t="shared" si="2"/>
        <v>2.0756957863854453E-5</v>
      </c>
      <c r="O56" s="49">
        <v>4</v>
      </c>
    </row>
    <row r="57" spans="1:15" ht="112.05" customHeight="1" x14ac:dyDescent="0.3">
      <c r="A57" s="110" t="s">
        <v>18</v>
      </c>
      <c r="B57" s="110" t="s">
        <v>52</v>
      </c>
      <c r="C57" s="110" t="s">
        <v>27</v>
      </c>
      <c r="D57" s="114">
        <v>0.14960000000000001</v>
      </c>
      <c r="E57" s="114">
        <f>KOHC!F163</f>
        <v>0.14955052871384544</v>
      </c>
      <c r="F57" s="114">
        <f>KOHC!F99/KOHC!F84</f>
        <v>0.14955052871384544</v>
      </c>
      <c r="G57" s="115" t="s">
        <v>21</v>
      </c>
      <c r="H57" s="115" t="str">
        <f t="shared" si="0"/>
        <v>Reproduced to precision</v>
      </c>
      <c r="I57" s="115" t="s">
        <v>22</v>
      </c>
      <c r="J57" s="115" t="s">
        <v>23</v>
      </c>
      <c r="K57" s="115" t="s">
        <v>24</v>
      </c>
      <c r="L57" s="115" t="s">
        <v>25</v>
      </c>
      <c r="M57" s="110">
        <f t="shared" si="1"/>
        <v>-4.947128615456764E-5</v>
      </c>
      <c r="N57" s="110">
        <f t="shared" si="2"/>
        <v>-4.947128615456764E-5</v>
      </c>
      <c r="O57" s="110">
        <v>4</v>
      </c>
    </row>
    <row r="58" spans="1:15" ht="112.05" customHeight="1" x14ac:dyDescent="0.3">
      <c r="A58" s="49" t="s">
        <v>18</v>
      </c>
      <c r="B58" s="49" t="s">
        <v>52</v>
      </c>
      <c r="C58" s="49" t="s">
        <v>28</v>
      </c>
      <c r="D58" s="113">
        <v>0.2301</v>
      </c>
      <c r="E58" s="113">
        <f>KOHC!G163</f>
        <v>0.23011561219895646</v>
      </c>
      <c r="F58" s="113">
        <f>KOHC!G99/KOHC!G84</f>
        <v>0.23011561219895646</v>
      </c>
      <c r="G58" s="116" t="s">
        <v>21</v>
      </c>
      <c r="H58" s="116" t="str">
        <f t="shared" si="0"/>
        <v>Reproduced to precision</v>
      </c>
      <c r="I58" s="116" t="s">
        <v>22</v>
      </c>
      <c r="J58" s="116" t="s">
        <v>23</v>
      </c>
      <c r="K58" s="116" t="s">
        <v>24</v>
      </c>
      <c r="L58" s="116" t="s">
        <v>25</v>
      </c>
      <c r="M58" s="49">
        <f t="shared" si="1"/>
        <v>1.5612198956460599E-5</v>
      </c>
      <c r="N58" s="49">
        <f t="shared" si="2"/>
        <v>1.5612198956460599E-5</v>
      </c>
      <c r="O58" s="49">
        <v>4</v>
      </c>
    </row>
    <row r="59" spans="1:15" ht="112.05" customHeight="1" x14ac:dyDescent="0.3">
      <c r="A59" s="110" t="s">
        <v>18</v>
      </c>
      <c r="B59" s="110" t="s">
        <v>52</v>
      </c>
      <c r="C59" s="110" t="s">
        <v>29</v>
      </c>
      <c r="D59" s="114">
        <v>0.30840000000000001</v>
      </c>
      <c r="E59" s="114">
        <f>KOHC!H163</f>
        <v>0.30837719707594857</v>
      </c>
      <c r="F59" s="114">
        <f>KOHC!H99/KOHC!H84</f>
        <v>0.30837719707594857</v>
      </c>
      <c r="G59" s="115" t="s">
        <v>21</v>
      </c>
      <c r="H59" s="115" t="str">
        <f t="shared" si="0"/>
        <v>Reproduced to precision</v>
      </c>
      <c r="I59" s="115" t="s">
        <v>22</v>
      </c>
      <c r="J59" s="115" t="s">
        <v>23</v>
      </c>
      <c r="K59" s="115" t="s">
        <v>24</v>
      </c>
      <c r="L59" s="115" t="s">
        <v>25</v>
      </c>
      <c r="M59" s="110">
        <f t="shared" si="1"/>
        <v>-2.2802924051434914E-5</v>
      </c>
      <c r="N59" s="110">
        <f t="shared" si="2"/>
        <v>-2.2802924051434914E-5</v>
      </c>
      <c r="O59" s="110">
        <v>4</v>
      </c>
    </row>
    <row r="60" spans="1:15" ht="112.05" customHeight="1" x14ac:dyDescent="0.3">
      <c r="A60" s="49" t="s">
        <v>18</v>
      </c>
      <c r="B60" s="49" t="s">
        <v>53</v>
      </c>
      <c r="C60" s="49" t="s">
        <v>20</v>
      </c>
      <c r="D60" s="113">
        <v>0.15740000000000001</v>
      </c>
      <c r="E60" s="113">
        <f>KOHC!D165</f>
        <v>0.17081753753269491</v>
      </c>
      <c r="F60" s="113">
        <f>KOHC!D99/KOHC!D41</f>
        <v>0.15737849802466555</v>
      </c>
      <c r="G60" s="116" t="s">
        <v>54</v>
      </c>
      <c r="H60" s="116" t="str">
        <f t="shared" si="0"/>
        <v>Reproduced to precision</v>
      </c>
      <c r="I60" s="116" t="s">
        <v>22</v>
      </c>
      <c r="J60" s="116" t="s">
        <v>23</v>
      </c>
      <c r="K60" s="116" t="s">
        <v>38</v>
      </c>
      <c r="L60" s="116" t="s">
        <v>25</v>
      </c>
      <c r="M60" s="49">
        <f t="shared" si="1"/>
        <v>1.3417537532694895E-2</v>
      </c>
      <c r="N60" s="49">
        <f t="shared" si="2"/>
        <v>-2.1501975334459189E-5</v>
      </c>
      <c r="O60" s="49">
        <v>4</v>
      </c>
    </row>
    <row r="61" spans="1:15" ht="112.05" customHeight="1" x14ac:dyDescent="0.3">
      <c r="A61" s="110" t="s">
        <v>18</v>
      </c>
      <c r="B61" s="110" t="s">
        <v>53</v>
      </c>
      <c r="C61" s="110" t="s">
        <v>26</v>
      </c>
      <c r="D61" s="114">
        <v>0.18440000000000001</v>
      </c>
      <c r="E61" s="114">
        <f>KOHC!E165</f>
        <v>0.20312531536122019</v>
      </c>
      <c r="F61" s="114">
        <f>KOHC!E99/KOHC!E41</f>
        <v>0.18440283523376622</v>
      </c>
      <c r="G61" s="115" t="s">
        <v>54</v>
      </c>
      <c r="H61" s="115" t="str">
        <f t="shared" si="0"/>
        <v>Reproduced to precision</v>
      </c>
      <c r="I61" s="115" t="s">
        <v>22</v>
      </c>
      <c r="J61" s="115" t="s">
        <v>23</v>
      </c>
      <c r="K61" s="115" t="s">
        <v>38</v>
      </c>
      <c r="L61" s="115" t="s">
        <v>25</v>
      </c>
      <c r="M61" s="110">
        <f t="shared" si="1"/>
        <v>1.8725315361220185E-2</v>
      </c>
      <c r="N61" s="110">
        <f t="shared" si="2"/>
        <v>2.8352337662074234E-6</v>
      </c>
      <c r="O61" s="110">
        <v>4</v>
      </c>
    </row>
    <row r="62" spans="1:15" ht="112.05" customHeight="1" x14ac:dyDescent="0.3">
      <c r="A62" s="49" t="s">
        <v>18</v>
      </c>
      <c r="B62" s="49" t="s">
        <v>53</v>
      </c>
      <c r="C62" s="49" t="s">
        <v>27</v>
      </c>
      <c r="D62" s="113">
        <v>0.17849999999999999</v>
      </c>
      <c r="E62" s="113">
        <f>KOHC!F165</f>
        <v>0.19449095680324069</v>
      </c>
      <c r="F62" s="113">
        <f>KOHC!F99/KOHC!F41</f>
        <v>0.17849564911664104</v>
      </c>
      <c r="G62" s="116" t="s">
        <v>54</v>
      </c>
      <c r="H62" s="116" t="str">
        <f t="shared" si="0"/>
        <v>Reproduced to precision</v>
      </c>
      <c r="I62" s="116" t="s">
        <v>22</v>
      </c>
      <c r="J62" s="116" t="s">
        <v>23</v>
      </c>
      <c r="K62" s="116" t="s">
        <v>38</v>
      </c>
      <c r="L62" s="116" t="s">
        <v>25</v>
      </c>
      <c r="M62" s="49">
        <f t="shared" si="1"/>
        <v>1.5990956803240697E-2</v>
      </c>
      <c r="N62" s="49">
        <f t="shared" si="2"/>
        <v>-4.3508833589556151E-6</v>
      </c>
      <c r="O62" s="49">
        <v>4</v>
      </c>
    </row>
    <row r="63" spans="1:15" ht="112.05" customHeight="1" x14ac:dyDescent="0.3">
      <c r="A63" s="110" t="s">
        <v>18</v>
      </c>
      <c r="B63" s="110" t="s">
        <v>53</v>
      </c>
      <c r="C63" s="110" t="s">
        <v>28</v>
      </c>
      <c r="D63" s="114">
        <v>0.21640000000000001</v>
      </c>
      <c r="E63" s="114">
        <f>KOHC!G165</f>
        <v>0.24134090965005384</v>
      </c>
      <c r="F63" s="114">
        <f>KOHC!G99/KOHC!G41</f>
        <v>0.21643681457260755</v>
      </c>
      <c r="G63" s="115" t="s">
        <v>54</v>
      </c>
      <c r="H63" s="115" t="str">
        <f t="shared" si="0"/>
        <v>Reproduced to precision</v>
      </c>
      <c r="I63" s="115" t="s">
        <v>22</v>
      </c>
      <c r="J63" s="115" t="s">
        <v>23</v>
      </c>
      <c r="K63" s="115" t="s">
        <v>38</v>
      </c>
      <c r="L63" s="115" t="s">
        <v>25</v>
      </c>
      <c r="M63" s="110">
        <f t="shared" si="1"/>
        <v>2.4940909650053827E-2</v>
      </c>
      <c r="N63" s="110">
        <f t="shared" si="2"/>
        <v>3.6814572607540841E-5</v>
      </c>
      <c r="O63" s="110">
        <v>4</v>
      </c>
    </row>
    <row r="64" spans="1:15" ht="112.05" customHeight="1" x14ac:dyDescent="0.3">
      <c r="A64" s="49" t="s">
        <v>18</v>
      </c>
      <c r="B64" s="49" t="s">
        <v>53</v>
      </c>
      <c r="C64" s="49" t="s">
        <v>29</v>
      </c>
      <c r="D64" s="113">
        <v>0.2414</v>
      </c>
      <c r="E64" s="113">
        <f>KOHC!H165</f>
        <v>0.25998290898160303</v>
      </c>
      <c r="F64" s="113">
        <f>KOHC!H99/KOHC!H41</f>
        <v>0.24137435208870983</v>
      </c>
      <c r="G64" s="116" t="s">
        <v>54</v>
      </c>
      <c r="H64" s="116" t="str">
        <f t="shared" si="0"/>
        <v>Reproduced to precision</v>
      </c>
      <c r="I64" s="116" t="s">
        <v>22</v>
      </c>
      <c r="J64" s="116" t="s">
        <v>23</v>
      </c>
      <c r="K64" s="116" t="s">
        <v>38</v>
      </c>
      <c r="L64" s="116" t="s">
        <v>25</v>
      </c>
      <c r="M64" s="49">
        <f t="shared" si="1"/>
        <v>1.858290898160303E-2</v>
      </c>
      <c r="N64" s="49">
        <f t="shared" si="2"/>
        <v>-2.5647911290171965E-5</v>
      </c>
      <c r="O64" s="49">
        <v>4</v>
      </c>
    </row>
    <row r="65" spans="1:17" ht="112.05" customHeight="1" x14ac:dyDescent="0.3">
      <c r="A65" s="110" t="s">
        <v>18</v>
      </c>
      <c r="B65" s="110" t="s">
        <v>55</v>
      </c>
      <c r="C65" s="110" t="s">
        <v>20</v>
      </c>
      <c r="D65" s="111">
        <v>11.86</v>
      </c>
      <c r="E65" s="111">
        <f>KOHC!D172</f>
        <v>11.858688571154802</v>
      </c>
      <c r="F65" s="111">
        <f>'PSX Prices'!F6/(KOHC!D99/'PSX Prices'!O6)</f>
        <v>11.859262869598847</v>
      </c>
      <c r="G65" s="115" t="s">
        <v>56</v>
      </c>
      <c r="H65" s="115" t="str">
        <f t="shared" si="0"/>
        <v>Reproduced to precision</v>
      </c>
      <c r="I65" s="115" t="s">
        <v>22</v>
      </c>
      <c r="J65" s="115" t="s">
        <v>23</v>
      </c>
      <c r="K65" s="115" t="s">
        <v>57</v>
      </c>
      <c r="L65" s="115" t="s">
        <v>25</v>
      </c>
      <c r="M65" s="110">
        <f t="shared" si="1"/>
        <v>-1.3114288451969713E-3</v>
      </c>
      <c r="N65" s="110">
        <f t="shared" si="2"/>
        <v>-7.3713040115208628E-4</v>
      </c>
      <c r="O65" s="110">
        <v>2</v>
      </c>
    </row>
    <row r="66" spans="1:17" ht="112.05" customHeight="1" x14ac:dyDescent="0.3">
      <c r="A66" s="49" t="s">
        <v>18</v>
      </c>
      <c r="B66" s="49" t="s">
        <v>55</v>
      </c>
      <c r="C66" s="49" t="s">
        <v>26</v>
      </c>
      <c r="D66" s="112">
        <v>5.2</v>
      </c>
      <c r="E66" s="112">
        <f>KOHC!E172</f>
        <v>5.2023532179731546</v>
      </c>
      <c r="F66" s="112">
        <f>'PSX Prices'!F7/(KOHC!E99/'PSX Prices'!O7)</f>
        <v>5.2031527804442179</v>
      </c>
      <c r="G66" s="116" t="s">
        <v>56</v>
      </c>
      <c r="H66" s="116" t="str">
        <f t="shared" si="0"/>
        <v>Reproduced to precision</v>
      </c>
      <c r="I66" s="116" t="s">
        <v>22</v>
      </c>
      <c r="J66" s="116" t="s">
        <v>23</v>
      </c>
      <c r="K66" s="116" t="s">
        <v>57</v>
      </c>
      <c r="L66" s="116" t="s">
        <v>25</v>
      </c>
      <c r="M66" s="49">
        <f t="shared" si="1"/>
        <v>2.3532179731544645E-3</v>
      </c>
      <c r="N66" s="49">
        <f t="shared" si="2"/>
        <v>3.1527804442177398E-3</v>
      </c>
      <c r="O66" s="49">
        <v>2</v>
      </c>
    </row>
    <row r="67" spans="1:17" ht="112.05" customHeight="1" x14ac:dyDescent="0.3">
      <c r="A67" s="110" t="s">
        <v>18</v>
      </c>
      <c r="B67" s="110" t="s">
        <v>55</v>
      </c>
      <c r="C67" s="110" t="s">
        <v>27</v>
      </c>
      <c r="D67" s="111">
        <v>5.99</v>
      </c>
      <c r="E67" s="111">
        <f>KOHC!F172</f>
        <v>5.9860674889907219</v>
      </c>
      <c r="F67" s="111">
        <f>'PSX Prices'!F8/(KOHC!F99/'PSX Prices'!O8)</f>
        <v>5.9853773330572464</v>
      </c>
      <c r="G67" s="115" t="s">
        <v>56</v>
      </c>
      <c r="H67" s="115" t="str">
        <f t="shared" si="0"/>
        <v>Reproduced to precision</v>
      </c>
      <c r="I67" s="115" t="s">
        <v>22</v>
      </c>
      <c r="J67" s="115" t="s">
        <v>23</v>
      </c>
      <c r="K67" s="115" t="s">
        <v>57</v>
      </c>
      <c r="L67" s="115" t="s">
        <v>25</v>
      </c>
      <c r="M67" s="110">
        <f t="shared" si="1"/>
        <v>-3.9325110092782722E-3</v>
      </c>
      <c r="N67" s="110">
        <f t="shared" si="2"/>
        <v>-4.622666942753817E-3</v>
      </c>
      <c r="O67" s="110">
        <v>2</v>
      </c>
    </row>
    <row r="68" spans="1:17" ht="112.05" customHeight="1" x14ac:dyDescent="0.3">
      <c r="A68" s="49" t="s">
        <v>18</v>
      </c>
      <c r="B68" s="49" t="s">
        <v>55</v>
      </c>
      <c r="C68" s="49" t="s">
        <v>28</v>
      </c>
      <c r="D68" s="112">
        <v>5.41</v>
      </c>
      <c r="E68" s="112">
        <f>KOHC!G172</f>
        <v>5.5313975285193058</v>
      </c>
      <c r="F68" s="112">
        <f>'PSX Prices'!F9/(KOHC!G99/'PSX Prices'!O9)</f>
        <v>5.4114618635436242</v>
      </c>
      <c r="G68" s="116" t="s">
        <v>56</v>
      </c>
      <c r="H68" s="116" t="str">
        <f t="shared" si="0"/>
        <v>Reproduced to precision</v>
      </c>
      <c r="I68" s="116" t="s">
        <v>22</v>
      </c>
      <c r="J68" s="116" t="s">
        <v>23</v>
      </c>
      <c r="K68" s="116" t="s">
        <v>57</v>
      </c>
      <c r="L68" s="116" t="s">
        <v>25</v>
      </c>
      <c r="M68" s="49">
        <f t="shared" si="1"/>
        <v>0.12139752851930563</v>
      </c>
      <c r="N68" s="49">
        <f t="shared" si="2"/>
        <v>1.4618635436240979E-3</v>
      </c>
      <c r="O68" s="49">
        <v>2</v>
      </c>
    </row>
    <row r="69" spans="1:17" ht="112.05" customHeight="1" x14ac:dyDescent="0.3">
      <c r="A69" s="110" t="s">
        <v>18</v>
      </c>
      <c r="B69" s="110" t="s">
        <v>55</v>
      </c>
      <c r="C69" s="110" t="s">
        <v>29</v>
      </c>
      <c r="D69" s="111">
        <v>6.32</v>
      </c>
      <c r="E69" s="111">
        <f>KOHC!H172</f>
        <v>6.3393545313613817</v>
      </c>
      <c r="F69" s="111">
        <f>'PSX Prices'!F10/(KOHC!H99/'PSX Prices'!O10)</f>
        <v>6.3224767686118168</v>
      </c>
      <c r="G69" s="115" t="s">
        <v>56</v>
      </c>
      <c r="H69" s="115" t="str">
        <f t="shared" ref="H69:H132" si="3">IF(AND(ISNUMBER(D69),ISNUMBER(F69)),IF(ROUND(D69,O69)=ROUND(F69,O69),"Reproduced to precision","Unresolved published value"),"Not comparable")</f>
        <v>Reproduced to precision</v>
      </c>
      <c r="I69" s="115" t="s">
        <v>22</v>
      </c>
      <c r="J69" s="115" t="s">
        <v>23</v>
      </c>
      <c r="K69" s="115" t="s">
        <v>57</v>
      </c>
      <c r="L69" s="115" t="s">
        <v>25</v>
      </c>
      <c r="M69" s="110">
        <f t="shared" ref="M69:M132" si="4">IF(ISNUMBER(E69),E69-D69,"n/m")</f>
        <v>1.9354531361381433E-2</v>
      </c>
      <c r="N69" s="110">
        <f t="shared" ref="N69:N132" si="5">IF(ISNUMBER(F69),F69-D69,"n/m")</f>
        <v>2.4767686118165599E-3</v>
      </c>
      <c r="O69" s="110">
        <v>2</v>
      </c>
    </row>
    <row r="70" spans="1:17" ht="112.05" customHeight="1" x14ac:dyDescent="0.3">
      <c r="A70" s="49" t="s">
        <v>18</v>
      </c>
      <c r="B70" s="49" t="s">
        <v>58</v>
      </c>
      <c r="C70" s="49" t="s">
        <v>20</v>
      </c>
      <c r="D70" s="112">
        <v>0.23</v>
      </c>
      <c r="E70" s="112">
        <f>KOHC!D170</f>
        <v>1.8663025958706099</v>
      </c>
      <c r="F70" s="112">
        <f>'PSX Prices'!F6/'PSX Prices'!M6</f>
        <v>1.8662449164030728</v>
      </c>
      <c r="G70" s="116" t="s">
        <v>59</v>
      </c>
      <c r="H70" s="116" t="str">
        <f t="shared" si="3"/>
        <v>Unresolved published value</v>
      </c>
      <c r="I70" s="116" t="s">
        <v>60</v>
      </c>
      <c r="J70" s="116" t="s">
        <v>23</v>
      </c>
      <c r="K70" s="116" t="s">
        <v>61</v>
      </c>
      <c r="L70" s="116" t="s">
        <v>62</v>
      </c>
      <c r="M70" s="49">
        <f t="shared" si="4"/>
        <v>1.6363025958706099</v>
      </c>
      <c r="N70" s="49">
        <f t="shared" si="5"/>
        <v>1.6362449164030728</v>
      </c>
      <c r="O70" s="49">
        <v>2</v>
      </c>
      <c r="P70" s="130">
        <f>'PSX Prices'!F6*'PSX Prices'!O6/(KOHC!D37-KOHC!D24)</f>
        <v>1.1496018030337543</v>
      </c>
      <c r="Q70" s="1" t="s">
        <v>63</v>
      </c>
    </row>
    <row r="71" spans="1:17" ht="112.05" customHeight="1" x14ac:dyDescent="0.3">
      <c r="A71" s="110" t="s">
        <v>18</v>
      </c>
      <c r="B71" s="110" t="s">
        <v>58</v>
      </c>
      <c r="C71" s="110" t="s">
        <v>26</v>
      </c>
      <c r="D71" s="111">
        <v>0.12</v>
      </c>
      <c r="E71" s="111">
        <f>KOHC!E170</f>
        <v>0.95932868328175702</v>
      </c>
      <c r="F71" s="111">
        <f>'PSX Prices'!F7/'PSX Prices'!M7</f>
        <v>0.95945447843715448</v>
      </c>
      <c r="G71" s="115" t="s">
        <v>59</v>
      </c>
      <c r="H71" s="115" t="str">
        <f t="shared" si="3"/>
        <v>Unresolved published value</v>
      </c>
      <c r="I71" s="115" t="s">
        <v>60</v>
      </c>
      <c r="J71" s="115" t="s">
        <v>23</v>
      </c>
      <c r="K71" s="115" t="s">
        <v>61</v>
      </c>
      <c r="L71" s="115" t="s">
        <v>62</v>
      </c>
      <c r="M71" s="110">
        <f t="shared" si="4"/>
        <v>0.83932868328175703</v>
      </c>
      <c r="N71" s="110">
        <f t="shared" si="5"/>
        <v>0.83945447843715448</v>
      </c>
      <c r="O71" s="110">
        <v>2</v>
      </c>
      <c r="P71" s="130">
        <f>'PSX Prices'!F7*'PSX Prices'!O7/(KOHC!E37-KOHC!E24)</f>
        <v>0.60307552863846525</v>
      </c>
      <c r="Q71" s="1" t="s">
        <v>63</v>
      </c>
    </row>
    <row r="72" spans="1:17" ht="112.05" customHeight="1" x14ac:dyDescent="0.3">
      <c r="A72" s="49" t="s">
        <v>18</v>
      </c>
      <c r="B72" s="49" t="s">
        <v>58</v>
      </c>
      <c r="C72" s="49" t="s">
        <v>27</v>
      </c>
      <c r="D72" s="112">
        <v>0.14000000000000001</v>
      </c>
      <c r="E72" s="112">
        <f>KOHC!F170</f>
        <v>1.0684870021034203</v>
      </c>
      <c r="F72" s="112">
        <f>'PSX Prices'!F8/'PSX Prices'!M8</f>
        <v>1.0683708038189097</v>
      </c>
      <c r="G72" s="116" t="s">
        <v>59</v>
      </c>
      <c r="H72" s="116" t="str">
        <f t="shared" si="3"/>
        <v>Unresolved published value</v>
      </c>
      <c r="I72" s="116" t="s">
        <v>60</v>
      </c>
      <c r="J72" s="116" t="s">
        <v>23</v>
      </c>
      <c r="K72" s="116" t="s">
        <v>61</v>
      </c>
      <c r="L72" s="116" t="s">
        <v>62</v>
      </c>
      <c r="M72" s="49">
        <f t="shared" si="4"/>
        <v>0.92848700210342028</v>
      </c>
      <c r="N72" s="49">
        <f t="shared" si="5"/>
        <v>0.92837080381890968</v>
      </c>
      <c r="O72" s="49">
        <v>2</v>
      </c>
      <c r="P72" s="130">
        <f>'PSX Prices'!F8*'PSX Prices'!O8/(KOHC!F37-KOHC!F24)</f>
        <v>0.70342098897893379</v>
      </c>
      <c r="Q72" s="1" t="s">
        <v>63</v>
      </c>
    </row>
    <row r="73" spans="1:17" ht="112.05" customHeight="1" x14ac:dyDescent="0.3">
      <c r="A73" s="110" t="s">
        <v>18</v>
      </c>
      <c r="B73" s="110" t="s">
        <v>58</v>
      </c>
      <c r="C73" s="110" t="s">
        <v>28</v>
      </c>
      <c r="D73" s="111">
        <v>0.82</v>
      </c>
      <c r="E73" s="111">
        <f>KOHC!G170</f>
        <v>1.1937011482475723</v>
      </c>
      <c r="F73" s="111">
        <f>'PSX Prices'!F9/'PSX Prices'!M9</f>
        <v>1.1711281070745696</v>
      </c>
      <c r="G73" s="115" t="s">
        <v>59</v>
      </c>
      <c r="H73" s="115" t="str">
        <f t="shared" si="3"/>
        <v>Unresolved published value</v>
      </c>
      <c r="I73" s="115" t="s">
        <v>60</v>
      </c>
      <c r="J73" s="115" t="s">
        <v>23</v>
      </c>
      <c r="K73" s="115" t="s">
        <v>61</v>
      </c>
      <c r="L73" s="115" t="s">
        <v>62</v>
      </c>
      <c r="M73" s="110">
        <f t="shared" si="4"/>
        <v>0.37370114824757239</v>
      </c>
      <c r="N73" s="110">
        <f t="shared" si="5"/>
        <v>0.35112810707456965</v>
      </c>
      <c r="O73" s="110">
        <v>2</v>
      </c>
      <c r="P73" s="130">
        <f>'PSX Prices'!F9*'PSX Prices'!O9/(KOHC!G37-KOHC!G24)</f>
        <v>0.81788429631517356</v>
      </c>
      <c r="Q73" s="1" t="s">
        <v>63</v>
      </c>
    </row>
    <row r="74" spans="1:17" ht="112.05" customHeight="1" x14ac:dyDescent="0.3">
      <c r="A74" s="49" t="s">
        <v>18</v>
      </c>
      <c r="B74" s="49" t="s">
        <v>58</v>
      </c>
      <c r="C74" s="49" t="s">
        <v>29</v>
      </c>
      <c r="D74" s="112">
        <v>1.1000000000000001</v>
      </c>
      <c r="E74" s="112">
        <f>KOHC!H170</f>
        <v>1.4544747850514033</v>
      </c>
      <c r="F74" s="112">
        <f>'PSX Prices'!F10/'PSX Prices'!M10</f>
        <v>1.5262202501008473</v>
      </c>
      <c r="G74" s="116" t="s">
        <v>59</v>
      </c>
      <c r="H74" s="116" t="str">
        <f t="shared" si="3"/>
        <v>Unresolved published value</v>
      </c>
      <c r="I74" s="116" t="s">
        <v>60</v>
      </c>
      <c r="J74" s="116" t="s">
        <v>23</v>
      </c>
      <c r="K74" s="116" t="s">
        <v>61</v>
      </c>
      <c r="L74" s="116" t="s">
        <v>62</v>
      </c>
      <c r="M74" s="49">
        <f t="shared" si="4"/>
        <v>0.35447478505140317</v>
      </c>
      <c r="N74" s="49">
        <f t="shared" si="5"/>
        <v>0.42622025010084719</v>
      </c>
      <c r="O74" s="49">
        <v>2</v>
      </c>
      <c r="P74" s="130">
        <f>'PSX Prices'!F10*'PSX Prices'!O10/(KOHC!H37-KOHC!H24)</f>
        <v>1.0956610729127918</v>
      </c>
      <c r="Q74" s="1" t="s">
        <v>63</v>
      </c>
    </row>
    <row r="75" spans="1:17" ht="112.05" customHeight="1" x14ac:dyDescent="0.3">
      <c r="A75" s="110" t="s">
        <v>18</v>
      </c>
      <c r="B75" s="110" t="s">
        <v>64</v>
      </c>
      <c r="C75" s="110" t="s">
        <v>20</v>
      </c>
      <c r="D75" s="114">
        <v>0.21</v>
      </c>
      <c r="E75" s="114">
        <f>KOHC!D157</f>
        <v>0.21400284667161887</v>
      </c>
      <c r="F75" s="114">
        <f>KOHC!D66/(KOHC!D66+KOHC!D41)</f>
        <v>0.21400284667161887</v>
      </c>
      <c r="G75" s="115" t="s">
        <v>65</v>
      </c>
      <c r="H75" s="115" t="str">
        <f t="shared" si="3"/>
        <v>Reproduced to precision</v>
      </c>
      <c r="I75" s="115" t="s">
        <v>66</v>
      </c>
      <c r="J75" s="115" t="s">
        <v>23</v>
      </c>
      <c r="K75" s="115" t="s">
        <v>24</v>
      </c>
      <c r="L75" s="115" t="s">
        <v>25</v>
      </c>
      <c r="M75" s="110">
        <f t="shared" si="4"/>
        <v>4.002846671618876E-3</v>
      </c>
      <c r="N75" s="110">
        <f t="shared" si="5"/>
        <v>4.002846671618876E-3</v>
      </c>
      <c r="O75" s="110">
        <v>2</v>
      </c>
    </row>
    <row r="76" spans="1:17" ht="112.05" customHeight="1" x14ac:dyDescent="0.3">
      <c r="A76" s="49" t="s">
        <v>18</v>
      </c>
      <c r="B76" s="49" t="s">
        <v>64</v>
      </c>
      <c r="C76" s="49" t="s">
        <v>26</v>
      </c>
      <c r="D76" s="113">
        <v>0.13</v>
      </c>
      <c r="E76" s="113">
        <f>KOHC!E157</f>
        <v>0.13497287275854264</v>
      </c>
      <c r="F76" s="113">
        <f>KOHC!E66/(KOHC!E66+KOHC!E41)</f>
        <v>0.13497287275854264</v>
      </c>
      <c r="G76" s="116" t="s">
        <v>65</v>
      </c>
      <c r="H76" s="116" t="str">
        <f t="shared" si="3"/>
        <v>Reproduced to precision</v>
      </c>
      <c r="I76" s="116" t="s">
        <v>66</v>
      </c>
      <c r="J76" s="116" t="s">
        <v>23</v>
      </c>
      <c r="K76" s="116" t="s">
        <v>24</v>
      </c>
      <c r="L76" s="116" t="s">
        <v>25</v>
      </c>
      <c r="M76" s="49">
        <f t="shared" si="4"/>
        <v>4.9728727585426347E-3</v>
      </c>
      <c r="N76" s="49">
        <f t="shared" si="5"/>
        <v>4.9728727585426347E-3</v>
      </c>
      <c r="O76" s="49">
        <v>2</v>
      </c>
    </row>
    <row r="77" spans="1:17" ht="112.05" customHeight="1" x14ac:dyDescent="0.3">
      <c r="A77" s="110" t="s">
        <v>18</v>
      </c>
      <c r="B77" s="110" t="s">
        <v>64</v>
      </c>
      <c r="C77" s="110" t="s">
        <v>27</v>
      </c>
      <c r="D77" s="114">
        <v>0.09</v>
      </c>
      <c r="E77" s="114">
        <f>KOHC!F157</f>
        <v>8.8937391462133447E-2</v>
      </c>
      <c r="F77" s="114">
        <f>KOHC!F66/(KOHC!F66+KOHC!F41)</f>
        <v>8.8937391462133447E-2</v>
      </c>
      <c r="G77" s="115" t="s">
        <v>65</v>
      </c>
      <c r="H77" s="115" t="str">
        <f t="shared" si="3"/>
        <v>Reproduced to precision</v>
      </c>
      <c r="I77" s="115" t="s">
        <v>66</v>
      </c>
      <c r="J77" s="115" t="s">
        <v>23</v>
      </c>
      <c r="K77" s="115" t="s">
        <v>24</v>
      </c>
      <c r="L77" s="115" t="s">
        <v>25</v>
      </c>
      <c r="M77" s="110">
        <f t="shared" si="4"/>
        <v>-1.0626085378665495E-3</v>
      </c>
      <c r="N77" s="110">
        <f t="shared" si="5"/>
        <v>-1.0626085378665495E-3</v>
      </c>
      <c r="O77" s="110">
        <v>2</v>
      </c>
    </row>
    <row r="78" spans="1:17" ht="112.05" customHeight="1" x14ac:dyDescent="0.3">
      <c r="A78" s="49" t="s">
        <v>18</v>
      </c>
      <c r="B78" s="49" t="s">
        <v>64</v>
      </c>
      <c r="C78" s="49" t="s">
        <v>28</v>
      </c>
      <c r="D78" s="113">
        <v>0.05</v>
      </c>
      <c r="E78" s="113">
        <f>KOHC!G157</f>
        <v>4.9789363275218823E-2</v>
      </c>
      <c r="F78" s="113">
        <f>KOHC!G66/(KOHC!G66+KOHC!G41)</f>
        <v>4.9789363275218823E-2</v>
      </c>
      <c r="G78" s="116" t="s">
        <v>65</v>
      </c>
      <c r="H78" s="116" t="str">
        <f t="shared" si="3"/>
        <v>Reproduced to precision</v>
      </c>
      <c r="I78" s="116" t="s">
        <v>66</v>
      </c>
      <c r="J78" s="116" t="s">
        <v>23</v>
      </c>
      <c r="K78" s="116" t="s">
        <v>24</v>
      </c>
      <c r="L78" s="116" t="s">
        <v>25</v>
      </c>
      <c r="M78" s="49">
        <f t="shared" si="4"/>
        <v>-2.1063672478117967E-4</v>
      </c>
      <c r="N78" s="49">
        <f t="shared" si="5"/>
        <v>-2.1063672478117967E-4</v>
      </c>
      <c r="O78" s="49">
        <v>2</v>
      </c>
    </row>
    <row r="79" spans="1:17" ht="112.05" customHeight="1" x14ac:dyDescent="0.3">
      <c r="A79" s="110" t="s">
        <v>18</v>
      </c>
      <c r="B79" s="110" t="s">
        <v>64</v>
      </c>
      <c r="C79" s="110" t="s">
        <v>29</v>
      </c>
      <c r="D79" s="114">
        <v>0.04</v>
      </c>
      <c r="E79" s="114">
        <f>KOHC!H157</f>
        <v>4.4675679300715997E-2</v>
      </c>
      <c r="F79" s="114">
        <f>KOHC!H66/(KOHC!H66+KOHC!H41)</f>
        <v>4.4675679300715997E-2</v>
      </c>
      <c r="G79" s="115" t="s">
        <v>65</v>
      </c>
      <c r="H79" s="115" t="str">
        <f t="shared" si="3"/>
        <v>Reproduced to precision</v>
      </c>
      <c r="I79" s="115" t="s">
        <v>66</v>
      </c>
      <c r="J79" s="115" t="s">
        <v>23</v>
      </c>
      <c r="K79" s="115" t="s">
        <v>67</v>
      </c>
      <c r="L79" s="115" t="s">
        <v>25</v>
      </c>
      <c r="M79" s="110">
        <f t="shared" si="4"/>
        <v>4.6756793007159958E-3</v>
      </c>
      <c r="N79" s="110">
        <f t="shared" si="5"/>
        <v>4.6756793007159958E-3</v>
      </c>
      <c r="O79" s="110">
        <v>2</v>
      </c>
    </row>
    <row r="80" spans="1:17" ht="112.05" customHeight="1" x14ac:dyDescent="0.3">
      <c r="A80" s="49" t="s">
        <v>68</v>
      </c>
      <c r="B80" s="49" t="s">
        <v>31</v>
      </c>
      <c r="C80" s="49" t="s">
        <v>20</v>
      </c>
      <c r="D80" s="112">
        <v>3.81</v>
      </c>
      <c r="E80" s="112">
        <f>LUCK!D144</f>
        <v>3.8136073127139278</v>
      </c>
      <c r="F80" s="112">
        <f>(-LUCK!D85)/AVERAGE(LUCK!C65,LUCK!D65)</f>
        <v>3.8136073127139278</v>
      </c>
      <c r="G80" s="116" t="s">
        <v>69</v>
      </c>
      <c r="H80" s="116" t="str">
        <f t="shared" si="3"/>
        <v>Reproduced to precision</v>
      </c>
      <c r="I80" s="116" t="s">
        <v>22</v>
      </c>
      <c r="J80" s="116" t="s">
        <v>70</v>
      </c>
      <c r="K80" s="116" t="s">
        <v>24</v>
      </c>
      <c r="L80" s="116" t="s">
        <v>25</v>
      </c>
      <c r="M80" s="49">
        <f t="shared" si="4"/>
        <v>3.6073127139277794E-3</v>
      </c>
      <c r="N80" s="49">
        <f t="shared" si="5"/>
        <v>3.6073127139277794E-3</v>
      </c>
      <c r="O80" s="49">
        <v>2</v>
      </c>
    </row>
    <row r="81" spans="1:15" ht="112.05" customHeight="1" x14ac:dyDescent="0.3">
      <c r="A81" s="110" t="s">
        <v>68</v>
      </c>
      <c r="B81" s="110" t="s">
        <v>31</v>
      </c>
      <c r="C81" s="110" t="s">
        <v>26</v>
      </c>
      <c r="D81" s="111">
        <v>3.66</v>
      </c>
      <c r="E81" s="111">
        <f>LUCK!E144</f>
        <v>3.657733126059421</v>
      </c>
      <c r="F81" s="111">
        <f>(-LUCK!E85)/AVERAGE(LUCK!D65,LUCK!E65)</f>
        <v>3.657733126059421</v>
      </c>
      <c r="G81" s="115" t="s">
        <v>69</v>
      </c>
      <c r="H81" s="115" t="str">
        <f t="shared" si="3"/>
        <v>Reproduced to precision</v>
      </c>
      <c r="I81" s="115" t="s">
        <v>22</v>
      </c>
      <c r="J81" s="115" t="s">
        <v>70</v>
      </c>
      <c r="K81" s="115" t="s">
        <v>24</v>
      </c>
      <c r="L81" s="115" t="s">
        <v>25</v>
      </c>
      <c r="M81" s="110">
        <f t="shared" si="4"/>
        <v>-2.2668739405791172E-3</v>
      </c>
      <c r="N81" s="110">
        <f t="shared" si="5"/>
        <v>-2.2668739405791172E-3</v>
      </c>
      <c r="O81" s="110">
        <v>2</v>
      </c>
    </row>
    <row r="82" spans="1:15" ht="112.05" customHeight="1" x14ac:dyDescent="0.3">
      <c r="A82" s="49" t="s">
        <v>68</v>
      </c>
      <c r="B82" s="49" t="s">
        <v>31</v>
      </c>
      <c r="C82" s="49" t="s">
        <v>27</v>
      </c>
      <c r="D82" s="112">
        <v>3.62</v>
      </c>
      <c r="E82" s="112">
        <f>LUCK!F144</f>
        <v>3.6234818387767853</v>
      </c>
      <c r="F82" s="112">
        <f>(-LUCK!F85)/AVERAGE(LUCK!E65,LUCK!F65)</f>
        <v>3.6234818387767853</v>
      </c>
      <c r="G82" s="116" t="s">
        <v>69</v>
      </c>
      <c r="H82" s="116" t="str">
        <f t="shared" si="3"/>
        <v>Reproduced to precision</v>
      </c>
      <c r="I82" s="116" t="s">
        <v>22</v>
      </c>
      <c r="J82" s="116" t="s">
        <v>70</v>
      </c>
      <c r="K82" s="116" t="s">
        <v>24</v>
      </c>
      <c r="L82" s="116" t="s">
        <v>25</v>
      </c>
      <c r="M82" s="49">
        <f t="shared" si="4"/>
        <v>3.4818387767852066E-3</v>
      </c>
      <c r="N82" s="49">
        <f t="shared" si="5"/>
        <v>3.4818387767852066E-3</v>
      </c>
      <c r="O82" s="49">
        <v>2</v>
      </c>
    </row>
    <row r="83" spans="1:15" ht="112.05" customHeight="1" x14ac:dyDescent="0.3">
      <c r="A83" s="110" t="s">
        <v>68</v>
      </c>
      <c r="B83" s="110" t="s">
        <v>31</v>
      </c>
      <c r="C83" s="110" t="s">
        <v>28</v>
      </c>
      <c r="D83" s="111">
        <v>3.54</v>
      </c>
      <c r="E83" s="111">
        <f>LUCK!G144</f>
        <v>3.5401699550948362</v>
      </c>
      <c r="F83" s="111">
        <f>(-LUCK!G85)/AVERAGE(LUCK!F65,LUCK!G65)</f>
        <v>3.5401699550948362</v>
      </c>
      <c r="G83" s="115" t="s">
        <v>69</v>
      </c>
      <c r="H83" s="115" t="str">
        <f t="shared" si="3"/>
        <v>Reproduced to precision</v>
      </c>
      <c r="I83" s="115" t="s">
        <v>22</v>
      </c>
      <c r="J83" s="115" t="s">
        <v>70</v>
      </c>
      <c r="K83" s="115" t="s">
        <v>24</v>
      </c>
      <c r="L83" s="115" t="s">
        <v>25</v>
      </c>
      <c r="M83" s="110">
        <f t="shared" si="4"/>
        <v>1.6995509483619387E-4</v>
      </c>
      <c r="N83" s="110">
        <f t="shared" si="5"/>
        <v>1.6995509483619387E-4</v>
      </c>
      <c r="O83" s="110">
        <v>2</v>
      </c>
    </row>
    <row r="84" spans="1:15" ht="112.05" customHeight="1" x14ac:dyDescent="0.3">
      <c r="A84" s="49" t="s">
        <v>68</v>
      </c>
      <c r="B84" s="49" t="s">
        <v>31</v>
      </c>
      <c r="C84" s="49" t="s">
        <v>29</v>
      </c>
      <c r="D84" s="112">
        <v>3.43</v>
      </c>
      <c r="E84" s="112">
        <f>LUCK!H144</f>
        <v>3.4260949525900268</v>
      </c>
      <c r="F84" s="112">
        <f>(-LUCK!H85)/AVERAGE(LUCK!G65,LUCK!H65)</f>
        <v>3.4260949525900268</v>
      </c>
      <c r="G84" s="116" t="s">
        <v>69</v>
      </c>
      <c r="H84" s="116" t="str">
        <f t="shared" si="3"/>
        <v>Reproduced to precision</v>
      </c>
      <c r="I84" s="116" t="s">
        <v>22</v>
      </c>
      <c r="J84" s="116" t="s">
        <v>70</v>
      </c>
      <c r="K84" s="116" t="s">
        <v>24</v>
      </c>
      <c r="L84" s="116" t="s">
        <v>25</v>
      </c>
      <c r="M84" s="49">
        <f t="shared" si="4"/>
        <v>-3.9050474099733279E-3</v>
      </c>
      <c r="N84" s="49">
        <f t="shared" si="5"/>
        <v>-3.9050474099733279E-3</v>
      </c>
      <c r="O84" s="49">
        <v>2</v>
      </c>
    </row>
    <row r="85" spans="1:15" ht="112.05" customHeight="1" x14ac:dyDescent="0.3">
      <c r="A85" s="110" t="s">
        <v>68</v>
      </c>
      <c r="B85" s="110" t="s">
        <v>71</v>
      </c>
      <c r="C85" s="110" t="s">
        <v>20</v>
      </c>
      <c r="D85" s="111">
        <v>17.78</v>
      </c>
      <c r="E85" s="111">
        <f>LUCK!D148</f>
        <v>17.782498333156049</v>
      </c>
      <c r="F85" s="111">
        <f>365*AVERAGE(LUCK!C32,LUCK!D32)/LUCK!D84</f>
        <v>17.782498333156049</v>
      </c>
      <c r="G85" s="115" t="s">
        <v>72</v>
      </c>
      <c r="H85" s="115" t="str">
        <f t="shared" si="3"/>
        <v>Reproduced to precision</v>
      </c>
      <c r="I85" s="115" t="s">
        <v>22</v>
      </c>
      <c r="J85" s="115" t="s">
        <v>70</v>
      </c>
      <c r="K85" s="115" t="s">
        <v>24</v>
      </c>
      <c r="L85" s="115" t="s">
        <v>25</v>
      </c>
      <c r="M85" s="110">
        <f t="shared" si="4"/>
        <v>2.4983331560477495E-3</v>
      </c>
      <c r="N85" s="110">
        <f t="shared" si="5"/>
        <v>2.4983331560477495E-3</v>
      </c>
      <c r="O85" s="110">
        <v>2</v>
      </c>
    </row>
    <row r="86" spans="1:15" ht="112.05" customHeight="1" x14ac:dyDescent="0.3">
      <c r="A86" s="49" t="s">
        <v>68</v>
      </c>
      <c r="B86" s="49" t="s">
        <v>71</v>
      </c>
      <c r="C86" s="49" t="s">
        <v>26</v>
      </c>
      <c r="D86" s="112">
        <v>14.03</v>
      </c>
      <c r="E86" s="112">
        <f>LUCK!E148</f>
        <v>14.027318333985361</v>
      </c>
      <c r="F86" s="112">
        <f>365*AVERAGE(LUCK!D32,LUCK!E32)/LUCK!E84</f>
        <v>14.027318333985361</v>
      </c>
      <c r="G86" s="116" t="s">
        <v>72</v>
      </c>
      <c r="H86" s="116" t="str">
        <f t="shared" si="3"/>
        <v>Reproduced to precision</v>
      </c>
      <c r="I86" s="116" t="s">
        <v>22</v>
      </c>
      <c r="J86" s="116" t="s">
        <v>70</v>
      </c>
      <c r="K86" s="116" t="s">
        <v>24</v>
      </c>
      <c r="L86" s="116" t="s">
        <v>25</v>
      </c>
      <c r="M86" s="49">
        <f t="shared" si="4"/>
        <v>-2.68166601463804E-3</v>
      </c>
      <c r="N86" s="49">
        <f t="shared" si="5"/>
        <v>-2.68166601463804E-3</v>
      </c>
      <c r="O86" s="49">
        <v>2</v>
      </c>
    </row>
    <row r="87" spans="1:15" ht="112.05" customHeight="1" x14ac:dyDescent="0.3">
      <c r="A87" s="110" t="s">
        <v>68</v>
      </c>
      <c r="B87" s="110" t="s">
        <v>71</v>
      </c>
      <c r="C87" s="110" t="s">
        <v>27</v>
      </c>
      <c r="D87" s="111">
        <v>16.399999999999999</v>
      </c>
      <c r="E87" s="111">
        <f>LUCK!F148</f>
        <v>16.401585315624828</v>
      </c>
      <c r="F87" s="111">
        <f>365*AVERAGE(LUCK!E32,LUCK!F32)/LUCK!F84</f>
        <v>16.401585315624828</v>
      </c>
      <c r="G87" s="115" t="s">
        <v>72</v>
      </c>
      <c r="H87" s="115" t="str">
        <f t="shared" si="3"/>
        <v>Reproduced to precision</v>
      </c>
      <c r="I87" s="115" t="s">
        <v>22</v>
      </c>
      <c r="J87" s="115" t="s">
        <v>70</v>
      </c>
      <c r="K87" s="115" t="s">
        <v>24</v>
      </c>
      <c r="L87" s="115" t="s">
        <v>25</v>
      </c>
      <c r="M87" s="110">
        <f t="shared" si="4"/>
        <v>1.5853156248297751E-3</v>
      </c>
      <c r="N87" s="110">
        <f t="shared" si="5"/>
        <v>1.5853156248297751E-3</v>
      </c>
      <c r="O87" s="110">
        <v>2</v>
      </c>
    </row>
    <row r="88" spans="1:15" ht="112.05" customHeight="1" x14ac:dyDescent="0.3">
      <c r="A88" s="49" t="s">
        <v>68</v>
      </c>
      <c r="B88" s="49" t="s">
        <v>71</v>
      </c>
      <c r="C88" s="49" t="s">
        <v>28</v>
      </c>
      <c r="D88" s="112">
        <v>19.02</v>
      </c>
      <c r="E88" s="112">
        <f>LUCK!G148</f>
        <v>19.024866667611246</v>
      </c>
      <c r="F88" s="112">
        <f>365*AVERAGE(LUCK!F32,LUCK!G32)/LUCK!G84</f>
        <v>19.024866667611246</v>
      </c>
      <c r="G88" s="116" t="s">
        <v>72</v>
      </c>
      <c r="H88" s="116" t="str">
        <f t="shared" si="3"/>
        <v>Reproduced to precision</v>
      </c>
      <c r="I88" s="116" t="s">
        <v>22</v>
      </c>
      <c r="J88" s="116" t="s">
        <v>70</v>
      </c>
      <c r="K88" s="116" t="s">
        <v>24</v>
      </c>
      <c r="L88" s="116" t="s">
        <v>25</v>
      </c>
      <c r="M88" s="49">
        <f t="shared" si="4"/>
        <v>4.8666676112461005E-3</v>
      </c>
      <c r="N88" s="49">
        <f t="shared" si="5"/>
        <v>4.8666676112461005E-3</v>
      </c>
      <c r="O88" s="49">
        <v>2</v>
      </c>
    </row>
    <row r="89" spans="1:15" ht="112.05" customHeight="1" x14ac:dyDescent="0.3">
      <c r="A89" s="110" t="s">
        <v>68</v>
      </c>
      <c r="B89" s="110" t="s">
        <v>71</v>
      </c>
      <c r="C89" s="110" t="s">
        <v>29</v>
      </c>
      <c r="D89" s="111">
        <v>19.48</v>
      </c>
      <c r="E89" s="111">
        <f>LUCK!H148</f>
        <v>19.473145621508603</v>
      </c>
      <c r="F89" s="111">
        <f>365*AVERAGE(LUCK!G32,LUCK!H32)/LUCK!H84</f>
        <v>19.473145621508603</v>
      </c>
      <c r="G89" s="115" t="s">
        <v>72</v>
      </c>
      <c r="H89" s="115" t="str">
        <f t="shared" si="3"/>
        <v>Unresolved published value</v>
      </c>
      <c r="I89" s="115" t="s">
        <v>22</v>
      </c>
      <c r="J89" s="115" t="s">
        <v>70</v>
      </c>
      <c r="K89" s="115" t="s">
        <v>73</v>
      </c>
      <c r="L89" s="115" t="s">
        <v>25</v>
      </c>
      <c r="M89" s="110">
        <f t="shared" si="4"/>
        <v>-6.8543784913970285E-3</v>
      </c>
      <c r="N89" s="110">
        <f t="shared" si="5"/>
        <v>-6.8543784913970285E-3</v>
      </c>
      <c r="O89" s="110">
        <v>2</v>
      </c>
    </row>
    <row r="90" spans="1:15" ht="112.05" customHeight="1" x14ac:dyDescent="0.3">
      <c r="A90" s="49" t="s">
        <v>68</v>
      </c>
      <c r="B90" s="49" t="s">
        <v>74</v>
      </c>
      <c r="C90" s="49" t="s">
        <v>20</v>
      </c>
      <c r="D90" s="112">
        <v>166.67</v>
      </c>
      <c r="E90" s="112">
        <f>LUCK!D149</f>
        <v>22.744515597441875</v>
      </c>
      <c r="F90" s="112">
        <f>365/(ROUND((-LUCK!D85)/AVERAGE(LUCK!C50,LUCK!D50),2))</f>
        <v>166.66666666666666</v>
      </c>
      <c r="G90" s="116" t="s">
        <v>75</v>
      </c>
      <c r="H90" s="116" t="str">
        <f t="shared" si="3"/>
        <v>Reproduced to precision</v>
      </c>
      <c r="I90" s="116" t="s">
        <v>76</v>
      </c>
      <c r="J90" s="116" t="s">
        <v>70</v>
      </c>
      <c r="K90" s="116" t="s">
        <v>34</v>
      </c>
      <c r="L90" s="116" t="s">
        <v>35</v>
      </c>
      <c r="M90" s="49">
        <f t="shared" si="4"/>
        <v>-143.92548440255811</v>
      </c>
      <c r="N90" s="49">
        <f t="shared" si="5"/>
        <v>-3.3333333333303017E-3</v>
      </c>
      <c r="O90" s="49">
        <v>2</v>
      </c>
    </row>
    <row r="91" spans="1:15" ht="112.05" customHeight="1" x14ac:dyDescent="0.3">
      <c r="A91" s="110" t="s">
        <v>68</v>
      </c>
      <c r="B91" s="110" t="s">
        <v>74</v>
      </c>
      <c r="C91" s="110" t="s">
        <v>26</v>
      </c>
      <c r="D91" s="111">
        <v>137.22</v>
      </c>
      <c r="E91" s="111">
        <f>LUCK!E149</f>
        <v>19.438565176908817</v>
      </c>
      <c r="F91" s="111">
        <f>365/(ROUND((-LUCK!E85)/AVERAGE(LUCK!D50,LUCK!E50),2))</f>
        <v>137.21804511278194</v>
      </c>
      <c r="G91" s="115" t="s">
        <v>75</v>
      </c>
      <c r="H91" s="115" t="str">
        <f t="shared" si="3"/>
        <v>Reproduced to precision</v>
      </c>
      <c r="I91" s="115" t="s">
        <v>76</v>
      </c>
      <c r="J91" s="115" t="s">
        <v>70</v>
      </c>
      <c r="K91" s="115" t="s">
        <v>34</v>
      </c>
      <c r="L91" s="115" t="s">
        <v>35</v>
      </c>
      <c r="M91" s="110">
        <f t="shared" si="4"/>
        <v>-117.78143482309119</v>
      </c>
      <c r="N91" s="110">
        <f t="shared" si="5"/>
        <v>-1.9548872180621402E-3</v>
      </c>
      <c r="O91" s="110">
        <v>2</v>
      </c>
    </row>
    <row r="92" spans="1:15" ht="112.05" customHeight="1" x14ac:dyDescent="0.3">
      <c r="A92" s="49" t="s">
        <v>68</v>
      </c>
      <c r="B92" s="49" t="s">
        <v>74</v>
      </c>
      <c r="C92" s="49" t="s">
        <v>27</v>
      </c>
      <c r="D92" s="112">
        <v>138.78</v>
      </c>
      <c r="E92" s="112">
        <f>LUCK!F149</f>
        <v>21.928688071624236</v>
      </c>
      <c r="F92" s="112">
        <f>365/(ROUND((-LUCK!F85)/AVERAGE(LUCK!E50,LUCK!F50),2))</f>
        <v>138.7832699619772</v>
      </c>
      <c r="G92" s="116" t="s">
        <v>75</v>
      </c>
      <c r="H92" s="116" t="str">
        <f t="shared" si="3"/>
        <v>Reproduced to precision</v>
      </c>
      <c r="I92" s="116" t="s">
        <v>76</v>
      </c>
      <c r="J92" s="116" t="s">
        <v>70</v>
      </c>
      <c r="K92" s="116" t="s">
        <v>34</v>
      </c>
      <c r="L92" s="116" t="s">
        <v>35</v>
      </c>
      <c r="M92" s="49">
        <f t="shared" si="4"/>
        <v>-116.85131192837576</v>
      </c>
      <c r="N92" s="49">
        <f t="shared" si="5"/>
        <v>3.2699619771960897E-3</v>
      </c>
      <c r="O92" s="49">
        <v>2</v>
      </c>
    </row>
    <row r="93" spans="1:15" ht="112.05" customHeight="1" x14ac:dyDescent="0.3">
      <c r="A93" s="110" t="s">
        <v>68</v>
      </c>
      <c r="B93" s="110" t="s">
        <v>74</v>
      </c>
      <c r="C93" s="110" t="s">
        <v>28</v>
      </c>
      <c r="D93" s="111">
        <v>143.13999999999999</v>
      </c>
      <c r="E93" s="111">
        <f>LUCK!G149</f>
        <v>29.103243031888116</v>
      </c>
      <c r="F93" s="111">
        <f>365/(ROUND((-LUCK!G85)/AVERAGE(LUCK!F50,LUCK!G50),2))</f>
        <v>143.1372549019608</v>
      </c>
      <c r="G93" s="115" t="s">
        <v>75</v>
      </c>
      <c r="H93" s="115" t="str">
        <f t="shared" si="3"/>
        <v>Reproduced to precision</v>
      </c>
      <c r="I93" s="115" t="s">
        <v>76</v>
      </c>
      <c r="J93" s="115" t="s">
        <v>70</v>
      </c>
      <c r="K93" s="115" t="s">
        <v>34</v>
      </c>
      <c r="L93" s="115" t="s">
        <v>35</v>
      </c>
      <c r="M93" s="110">
        <f t="shared" si="4"/>
        <v>-114.03675696811187</v>
      </c>
      <c r="N93" s="110">
        <f t="shared" si="5"/>
        <v>-2.7450980391847679E-3</v>
      </c>
      <c r="O93" s="110">
        <v>2</v>
      </c>
    </row>
    <row r="94" spans="1:15" ht="112.05" customHeight="1" x14ac:dyDescent="0.3">
      <c r="A94" s="49" t="s">
        <v>68</v>
      </c>
      <c r="B94" s="49" t="s">
        <v>74</v>
      </c>
      <c r="C94" s="49" t="s">
        <v>29</v>
      </c>
      <c r="D94" s="112">
        <v>127.62</v>
      </c>
      <c r="E94" s="112">
        <f>LUCK!H149</f>
        <v>30.330299261637901</v>
      </c>
      <c r="F94" s="112">
        <f>365/(ROUND((-LUCK!H85)/AVERAGE(LUCK!G50,LUCK!H50),2))</f>
        <v>127.62237762237763</v>
      </c>
      <c r="G94" s="116" t="s">
        <v>75</v>
      </c>
      <c r="H94" s="116" t="str">
        <f t="shared" si="3"/>
        <v>Reproduced to precision</v>
      </c>
      <c r="I94" s="116" t="s">
        <v>76</v>
      </c>
      <c r="J94" s="116" t="s">
        <v>70</v>
      </c>
      <c r="K94" s="116" t="s">
        <v>34</v>
      </c>
      <c r="L94" s="116" t="s">
        <v>35</v>
      </c>
      <c r="M94" s="49">
        <f t="shared" si="4"/>
        <v>-97.2897007383621</v>
      </c>
      <c r="N94" s="49">
        <f t="shared" si="5"/>
        <v>2.3776223776224015E-3</v>
      </c>
      <c r="O94" s="49">
        <v>2</v>
      </c>
    </row>
    <row r="95" spans="1:15" ht="112.05" customHeight="1" x14ac:dyDescent="0.3">
      <c r="A95" s="110" t="s">
        <v>68</v>
      </c>
      <c r="B95" s="110" t="s">
        <v>45</v>
      </c>
      <c r="C95" s="110" t="s">
        <v>20</v>
      </c>
      <c r="D95" s="111">
        <v>0.4</v>
      </c>
      <c r="E95" s="111">
        <f>LUCK!D152</f>
        <v>0.43075247100519976</v>
      </c>
      <c r="F95" s="111">
        <f>LUCK!D84/LUCK!D37</f>
        <v>0.40251701143421476</v>
      </c>
      <c r="G95" s="115" t="s">
        <v>46</v>
      </c>
      <c r="H95" s="115" t="str">
        <f t="shared" si="3"/>
        <v>Reproduced to precision</v>
      </c>
      <c r="I95" s="115" t="s">
        <v>22</v>
      </c>
      <c r="J95" s="115" t="s">
        <v>70</v>
      </c>
      <c r="K95" s="115" t="s">
        <v>38</v>
      </c>
      <c r="L95" s="115" t="s">
        <v>25</v>
      </c>
      <c r="M95" s="110">
        <f t="shared" si="4"/>
        <v>3.0752471005199733E-2</v>
      </c>
      <c r="N95" s="110">
        <f t="shared" si="5"/>
        <v>2.5170114342147332E-3</v>
      </c>
      <c r="O95" s="110">
        <v>2</v>
      </c>
    </row>
    <row r="96" spans="1:15" ht="112.05" customHeight="1" x14ac:dyDescent="0.3">
      <c r="A96" s="49" t="s">
        <v>68</v>
      </c>
      <c r="B96" s="49" t="s">
        <v>45</v>
      </c>
      <c r="C96" s="49" t="s">
        <v>26</v>
      </c>
      <c r="D96" s="112">
        <v>0.44</v>
      </c>
      <c r="E96" s="112">
        <f>LUCK!E152</f>
        <v>0.47516141470304879</v>
      </c>
      <c r="F96" s="112">
        <f>LUCK!E84/LUCK!E37</f>
        <v>0.4384325626713429</v>
      </c>
      <c r="G96" s="116" t="s">
        <v>46</v>
      </c>
      <c r="H96" s="116" t="str">
        <f t="shared" si="3"/>
        <v>Reproduced to precision</v>
      </c>
      <c r="I96" s="116" t="s">
        <v>22</v>
      </c>
      <c r="J96" s="116" t="s">
        <v>70</v>
      </c>
      <c r="K96" s="116" t="s">
        <v>38</v>
      </c>
      <c r="L96" s="116" t="s">
        <v>25</v>
      </c>
      <c r="M96" s="49">
        <f t="shared" si="4"/>
        <v>3.5161414703048788E-2</v>
      </c>
      <c r="N96" s="49">
        <f t="shared" si="5"/>
        <v>-1.5674373286571064E-3</v>
      </c>
      <c r="O96" s="49">
        <v>2</v>
      </c>
    </row>
    <row r="97" spans="1:15" ht="112.05" customHeight="1" x14ac:dyDescent="0.3">
      <c r="A97" s="110" t="s">
        <v>68</v>
      </c>
      <c r="B97" s="110" t="s">
        <v>45</v>
      </c>
      <c r="C97" s="110" t="s">
        <v>27</v>
      </c>
      <c r="D97" s="111">
        <v>0.45</v>
      </c>
      <c r="E97" s="111">
        <f>LUCK!F152</f>
        <v>0.4815184479475107</v>
      </c>
      <c r="F97" s="111">
        <f>LUCK!F84/LUCK!F37</f>
        <v>0.44974923322711935</v>
      </c>
      <c r="G97" s="115" t="s">
        <v>46</v>
      </c>
      <c r="H97" s="115" t="str">
        <f t="shared" si="3"/>
        <v>Reproduced to precision</v>
      </c>
      <c r="I97" s="115" t="s">
        <v>22</v>
      </c>
      <c r="J97" s="115" t="s">
        <v>70</v>
      </c>
      <c r="K97" s="115" t="s">
        <v>38</v>
      </c>
      <c r="L97" s="115" t="s">
        <v>25</v>
      </c>
      <c r="M97" s="110">
        <f t="shared" si="4"/>
        <v>3.1518447947510686E-2</v>
      </c>
      <c r="N97" s="110">
        <f t="shared" si="5"/>
        <v>-2.5076677288066174E-4</v>
      </c>
      <c r="O97" s="110">
        <v>2</v>
      </c>
    </row>
    <row r="98" spans="1:15" ht="112.05" customHeight="1" x14ac:dyDescent="0.3">
      <c r="A98" s="49" t="s">
        <v>68</v>
      </c>
      <c r="B98" s="49" t="s">
        <v>45</v>
      </c>
      <c r="C98" s="49" t="s">
        <v>28</v>
      </c>
      <c r="D98" s="112">
        <v>0.49</v>
      </c>
      <c r="E98" s="112">
        <f>LUCK!G152</f>
        <v>0.51588313723050583</v>
      </c>
      <c r="F98" s="112">
        <f>LUCK!G84/LUCK!G37</f>
        <v>0.49280353497458251</v>
      </c>
      <c r="G98" s="116" t="s">
        <v>46</v>
      </c>
      <c r="H98" s="116" t="str">
        <f t="shared" si="3"/>
        <v>Reproduced to precision</v>
      </c>
      <c r="I98" s="116" t="s">
        <v>22</v>
      </c>
      <c r="J98" s="116" t="s">
        <v>70</v>
      </c>
      <c r="K98" s="116" t="s">
        <v>38</v>
      </c>
      <c r="L98" s="116" t="s">
        <v>25</v>
      </c>
      <c r="M98" s="49">
        <f t="shared" si="4"/>
        <v>2.5883137230505837E-2</v>
      </c>
      <c r="N98" s="49">
        <f t="shared" si="5"/>
        <v>2.8035349745825222E-3</v>
      </c>
      <c r="O98" s="49">
        <v>2</v>
      </c>
    </row>
    <row r="99" spans="1:15" ht="112.05" customHeight="1" x14ac:dyDescent="0.3">
      <c r="A99" s="110" t="s">
        <v>68</v>
      </c>
      <c r="B99" s="110" t="s">
        <v>45</v>
      </c>
      <c r="C99" s="110" t="s">
        <v>29</v>
      </c>
      <c r="D99" s="111">
        <v>0.47</v>
      </c>
      <c r="E99" s="111">
        <f>LUCK!H152</f>
        <v>0.49728501600707337</v>
      </c>
      <c r="F99" s="111">
        <f>LUCK!H84/LUCK!H37</f>
        <v>0.46677662061834158</v>
      </c>
      <c r="G99" s="115" t="s">
        <v>46</v>
      </c>
      <c r="H99" s="115" t="str">
        <f t="shared" si="3"/>
        <v>Reproduced to precision</v>
      </c>
      <c r="I99" s="115" t="s">
        <v>22</v>
      </c>
      <c r="J99" s="115" t="s">
        <v>70</v>
      </c>
      <c r="K99" s="115" t="s">
        <v>38</v>
      </c>
      <c r="L99" s="115" t="s">
        <v>25</v>
      </c>
      <c r="M99" s="110">
        <f t="shared" si="4"/>
        <v>2.7285016007073393E-2</v>
      </c>
      <c r="N99" s="110">
        <f t="shared" si="5"/>
        <v>-3.2233793816583978E-3</v>
      </c>
      <c r="O99" s="110">
        <v>2</v>
      </c>
    </row>
    <row r="100" spans="1:15" ht="112.05" customHeight="1" x14ac:dyDescent="0.3">
      <c r="A100" s="49" t="s">
        <v>68</v>
      </c>
      <c r="B100" s="49" t="s">
        <v>47</v>
      </c>
      <c r="C100" s="49" t="s">
        <v>20</v>
      </c>
      <c r="D100" s="112">
        <v>1.01</v>
      </c>
      <c r="E100" s="112">
        <f>LUCK!D153</f>
        <v>1.0641934084392231</v>
      </c>
      <c r="F100" s="112">
        <f>LUCK!D84/(LUCK!D20+LUCK!D24)</f>
        <v>1.0088184414012127</v>
      </c>
      <c r="G100" s="116" t="s">
        <v>77</v>
      </c>
      <c r="H100" s="116" t="str">
        <f t="shared" si="3"/>
        <v>Reproduced to precision</v>
      </c>
      <c r="I100" s="116" t="s">
        <v>78</v>
      </c>
      <c r="J100" s="116" t="s">
        <v>70</v>
      </c>
      <c r="K100" s="116" t="s">
        <v>38</v>
      </c>
      <c r="L100" s="116" t="s">
        <v>79</v>
      </c>
      <c r="M100" s="49">
        <f t="shared" si="4"/>
        <v>5.4193408439223045E-2</v>
      </c>
      <c r="N100" s="49">
        <f t="shared" si="5"/>
        <v>-1.1815585987873245E-3</v>
      </c>
      <c r="O100" s="49">
        <v>2</v>
      </c>
    </row>
    <row r="101" spans="1:15" ht="112.05" customHeight="1" x14ac:dyDescent="0.3">
      <c r="A101" s="110" t="s">
        <v>68</v>
      </c>
      <c r="B101" s="110" t="s">
        <v>47</v>
      </c>
      <c r="C101" s="110" t="s">
        <v>26</v>
      </c>
      <c r="D101" s="111">
        <v>0.98</v>
      </c>
      <c r="E101" s="111">
        <f>LUCK!E153</f>
        <v>1.3656161868044014</v>
      </c>
      <c r="F101" s="111">
        <f>LUCK!E84/(LUCK!E20+LUCK!E24)</f>
        <v>0.98471353634590997</v>
      </c>
      <c r="G101" s="115" t="s">
        <v>77</v>
      </c>
      <c r="H101" s="115" t="str">
        <f t="shared" si="3"/>
        <v>Reproduced to precision</v>
      </c>
      <c r="I101" s="115" t="s">
        <v>78</v>
      </c>
      <c r="J101" s="115" t="s">
        <v>70</v>
      </c>
      <c r="K101" s="115" t="s">
        <v>73</v>
      </c>
      <c r="L101" s="115" t="s">
        <v>79</v>
      </c>
      <c r="M101" s="110">
        <f t="shared" si="4"/>
        <v>0.38561618680440146</v>
      </c>
      <c r="N101" s="110">
        <f t="shared" si="5"/>
        <v>4.7135363459099855E-3</v>
      </c>
      <c r="O101" s="110">
        <v>2</v>
      </c>
    </row>
    <row r="102" spans="1:15" ht="112.05" customHeight="1" x14ac:dyDescent="0.3">
      <c r="A102" s="49" t="s">
        <v>68</v>
      </c>
      <c r="B102" s="49" t="s">
        <v>47</v>
      </c>
      <c r="C102" s="49" t="s">
        <v>27</v>
      </c>
      <c r="D102" s="112">
        <v>1</v>
      </c>
      <c r="E102" s="112">
        <f>LUCK!F153</f>
        <v>1.2739571002729932</v>
      </c>
      <c r="F102" s="112">
        <f>LUCK!F84/(LUCK!F20+LUCK!F24)</f>
        <v>1.0013191768523682</v>
      </c>
      <c r="G102" s="116" t="s">
        <v>77</v>
      </c>
      <c r="H102" s="116" t="str">
        <f t="shared" si="3"/>
        <v>Reproduced to precision</v>
      </c>
      <c r="I102" s="116" t="s">
        <v>78</v>
      </c>
      <c r="J102" s="116" t="s">
        <v>70</v>
      </c>
      <c r="K102" s="116" t="s">
        <v>38</v>
      </c>
      <c r="L102" s="116" t="s">
        <v>79</v>
      </c>
      <c r="M102" s="49">
        <f t="shared" si="4"/>
        <v>0.27395710027299325</v>
      </c>
      <c r="N102" s="49">
        <f t="shared" si="5"/>
        <v>1.3191768523681535E-3</v>
      </c>
      <c r="O102" s="49">
        <v>2</v>
      </c>
    </row>
    <row r="103" spans="1:15" ht="112.05" customHeight="1" x14ac:dyDescent="0.3">
      <c r="A103" s="110" t="s">
        <v>68</v>
      </c>
      <c r="B103" s="110" t="s">
        <v>47</v>
      </c>
      <c r="C103" s="110" t="s">
        <v>28</v>
      </c>
      <c r="D103" s="111">
        <v>1.07</v>
      </c>
      <c r="E103" s="111">
        <f>LUCK!G153</f>
        <v>1.242164612598929</v>
      </c>
      <c r="F103" s="111">
        <f>LUCK!G84/(LUCK!G20+LUCK!G24)</f>
        <v>1.0745056989453683</v>
      </c>
      <c r="G103" s="115" t="s">
        <v>77</v>
      </c>
      <c r="H103" s="115" t="str">
        <f t="shared" si="3"/>
        <v>Reproduced to precision</v>
      </c>
      <c r="I103" s="115" t="s">
        <v>78</v>
      </c>
      <c r="J103" s="115" t="s">
        <v>70</v>
      </c>
      <c r="K103" s="115" t="s">
        <v>73</v>
      </c>
      <c r="L103" s="115" t="s">
        <v>79</v>
      </c>
      <c r="M103" s="110">
        <f t="shared" si="4"/>
        <v>0.1721646125989289</v>
      </c>
      <c r="N103" s="110">
        <f t="shared" si="5"/>
        <v>4.5056989453682306E-3</v>
      </c>
      <c r="O103" s="110">
        <v>2</v>
      </c>
    </row>
    <row r="104" spans="1:15" ht="112.05" customHeight="1" x14ac:dyDescent="0.3">
      <c r="A104" s="49" t="s">
        <v>68</v>
      </c>
      <c r="B104" s="49" t="s">
        <v>47</v>
      </c>
      <c r="C104" s="49" t="s">
        <v>29</v>
      </c>
      <c r="D104" s="112">
        <v>1.1599999999999999</v>
      </c>
      <c r="E104" s="112">
        <f>LUCK!H153</f>
        <v>1.2601477514941262</v>
      </c>
      <c r="F104" s="112">
        <f>LUCK!H84/(LUCK!H20+LUCK!H24)</f>
        <v>1.1587250227691257</v>
      </c>
      <c r="G104" s="116" t="s">
        <v>77</v>
      </c>
      <c r="H104" s="116" t="str">
        <f t="shared" si="3"/>
        <v>Reproduced to precision</v>
      </c>
      <c r="I104" s="116" t="s">
        <v>78</v>
      </c>
      <c r="J104" s="116" t="s">
        <v>70</v>
      </c>
      <c r="K104" s="116" t="s">
        <v>38</v>
      </c>
      <c r="L104" s="116" t="s">
        <v>79</v>
      </c>
      <c r="M104" s="49">
        <f t="shared" si="4"/>
        <v>0.10014775149412625</v>
      </c>
      <c r="N104" s="49">
        <f t="shared" si="5"/>
        <v>-1.2749772308742191E-3</v>
      </c>
      <c r="O104" s="49">
        <v>2</v>
      </c>
    </row>
    <row r="105" spans="1:15" ht="112.05" customHeight="1" x14ac:dyDescent="0.3">
      <c r="A105" s="110" t="s">
        <v>68</v>
      </c>
      <c r="B105" s="110" t="s">
        <v>49</v>
      </c>
      <c r="C105" s="110" t="s">
        <v>20</v>
      </c>
      <c r="D105" s="111">
        <v>38.57</v>
      </c>
      <c r="E105" s="111">
        <f>LUCK!D159</f>
        <v>52.042228263318378</v>
      </c>
      <c r="F105" s="111">
        <f>(LUCK!D86+LUCK!D87+LUCK!D88)/(-LUCK!D95)</f>
        <v>38.568846968354343</v>
      </c>
      <c r="G105" s="115" t="s">
        <v>80</v>
      </c>
      <c r="H105" s="115" t="str">
        <f t="shared" si="3"/>
        <v>Reproduced to precision</v>
      </c>
      <c r="I105" s="115" t="s">
        <v>81</v>
      </c>
      <c r="J105" s="115" t="s">
        <v>70</v>
      </c>
      <c r="K105" s="115" t="s">
        <v>34</v>
      </c>
      <c r="L105" s="115" t="s">
        <v>35</v>
      </c>
      <c r="M105" s="110">
        <f t="shared" si="4"/>
        <v>13.472228263318378</v>
      </c>
      <c r="N105" s="110">
        <f t="shared" si="5"/>
        <v>-1.1530316456571654E-3</v>
      </c>
      <c r="O105" s="110">
        <v>2</v>
      </c>
    </row>
    <row r="106" spans="1:15" ht="112.05" customHeight="1" x14ac:dyDescent="0.3">
      <c r="A106" s="49" t="s">
        <v>68</v>
      </c>
      <c r="B106" s="49" t="s">
        <v>49</v>
      </c>
      <c r="C106" s="49" t="s">
        <v>26</v>
      </c>
      <c r="D106" s="112">
        <v>41.25</v>
      </c>
      <c r="E106" s="112">
        <f>LUCK!E159</f>
        <v>55.297361076962446</v>
      </c>
      <c r="F106" s="112">
        <f>(LUCK!E86+LUCK!E87+LUCK!E88)/(-LUCK!E95)</f>
        <v>41.252944740023857</v>
      </c>
      <c r="G106" s="116" t="s">
        <v>80</v>
      </c>
      <c r="H106" s="116" t="str">
        <f t="shared" si="3"/>
        <v>Reproduced to precision</v>
      </c>
      <c r="I106" s="116" t="s">
        <v>81</v>
      </c>
      <c r="J106" s="116" t="s">
        <v>70</v>
      </c>
      <c r="K106" s="116" t="s">
        <v>34</v>
      </c>
      <c r="L106" s="116" t="s">
        <v>35</v>
      </c>
      <c r="M106" s="49">
        <f t="shared" si="4"/>
        <v>14.047361076962446</v>
      </c>
      <c r="N106" s="49">
        <f t="shared" si="5"/>
        <v>2.9447400238566956E-3</v>
      </c>
      <c r="O106" s="49">
        <v>2</v>
      </c>
    </row>
    <row r="107" spans="1:15" ht="112.05" customHeight="1" x14ac:dyDescent="0.3">
      <c r="A107" s="110" t="s">
        <v>68</v>
      </c>
      <c r="B107" s="110" t="s">
        <v>49</v>
      </c>
      <c r="C107" s="110" t="s">
        <v>27</v>
      </c>
      <c r="D107" s="111">
        <v>16.16</v>
      </c>
      <c r="E107" s="111">
        <f>LUCK!F159</f>
        <v>19.427961435835122</v>
      </c>
      <c r="F107" s="111">
        <f>(LUCK!F86+LUCK!F87+LUCK!F88)/(-LUCK!F95)</f>
        <v>16.164037374868563</v>
      </c>
      <c r="G107" s="115" t="s">
        <v>80</v>
      </c>
      <c r="H107" s="115" t="str">
        <f t="shared" si="3"/>
        <v>Reproduced to precision</v>
      </c>
      <c r="I107" s="115" t="s">
        <v>81</v>
      </c>
      <c r="J107" s="115" t="s">
        <v>70</v>
      </c>
      <c r="K107" s="115" t="s">
        <v>34</v>
      </c>
      <c r="L107" s="115" t="s">
        <v>35</v>
      </c>
      <c r="M107" s="110">
        <f t="shared" si="4"/>
        <v>3.2679614358351223</v>
      </c>
      <c r="N107" s="110">
        <f t="shared" si="5"/>
        <v>4.0373748685631483E-3</v>
      </c>
      <c r="O107" s="110">
        <v>2</v>
      </c>
    </row>
    <row r="108" spans="1:15" ht="112.05" customHeight="1" x14ac:dyDescent="0.3">
      <c r="A108" s="49" t="s">
        <v>68</v>
      </c>
      <c r="B108" s="49" t="s">
        <v>49</v>
      </c>
      <c r="C108" s="49" t="s">
        <v>28</v>
      </c>
      <c r="D108" s="112">
        <v>18.260000000000002</v>
      </c>
      <c r="E108" s="112">
        <f>LUCK!G159</f>
        <v>27.534616013098077</v>
      </c>
      <c r="F108" s="112">
        <f>(LUCK!G86+LUCK!G87+LUCK!G88)/(-LUCK!G95)</f>
        <v>18.258657524058165</v>
      </c>
      <c r="G108" s="116" t="s">
        <v>80</v>
      </c>
      <c r="H108" s="116" t="str">
        <f t="shared" si="3"/>
        <v>Reproduced to precision</v>
      </c>
      <c r="I108" s="116" t="s">
        <v>81</v>
      </c>
      <c r="J108" s="116" t="s">
        <v>70</v>
      </c>
      <c r="K108" s="116" t="s">
        <v>34</v>
      </c>
      <c r="L108" s="116" t="s">
        <v>35</v>
      </c>
      <c r="M108" s="49">
        <f t="shared" si="4"/>
        <v>9.2746160130980755</v>
      </c>
      <c r="N108" s="49">
        <f t="shared" si="5"/>
        <v>-1.3424759418363408E-3</v>
      </c>
      <c r="O108" s="49">
        <v>2</v>
      </c>
    </row>
    <row r="109" spans="1:15" ht="112.05" customHeight="1" x14ac:dyDescent="0.3">
      <c r="A109" s="110" t="s">
        <v>68</v>
      </c>
      <c r="B109" s="110" t="s">
        <v>49</v>
      </c>
      <c r="C109" s="110" t="s">
        <v>29</v>
      </c>
      <c r="D109" s="111">
        <v>22.83</v>
      </c>
      <c r="E109" s="111">
        <f>LUCK!H159</f>
        <v>36.720891491779703</v>
      </c>
      <c r="F109" s="111">
        <f>(LUCK!H86+LUCK!H87+LUCK!H88)/(-LUCK!H95)</f>
        <v>22.826008759865434</v>
      </c>
      <c r="G109" s="115" t="s">
        <v>80</v>
      </c>
      <c r="H109" s="115" t="str">
        <f t="shared" si="3"/>
        <v>Reproduced to precision</v>
      </c>
      <c r="I109" s="115" t="s">
        <v>81</v>
      </c>
      <c r="J109" s="115" t="s">
        <v>70</v>
      </c>
      <c r="K109" s="115" t="s">
        <v>34</v>
      </c>
      <c r="L109" s="115" t="s">
        <v>35</v>
      </c>
      <c r="M109" s="110">
        <f t="shared" si="4"/>
        <v>13.890891491779705</v>
      </c>
      <c r="N109" s="110">
        <f t="shared" si="5"/>
        <v>-3.9912401345638671E-3</v>
      </c>
      <c r="O109" s="110">
        <v>2</v>
      </c>
    </row>
    <row r="110" spans="1:15" ht="112.05" customHeight="1" x14ac:dyDescent="0.3">
      <c r="A110" s="49" t="s">
        <v>68</v>
      </c>
      <c r="B110" s="49" t="s">
        <v>82</v>
      </c>
      <c r="C110" s="49" t="s">
        <v>20</v>
      </c>
      <c r="D110" s="112">
        <v>8.6999999999999993</v>
      </c>
      <c r="E110" s="112">
        <f>LUCK!D171</f>
        <v>43.510441437959038</v>
      </c>
      <c r="F110" s="112">
        <f>LUCK!D99/'PSX Prices'!O11</f>
        <v>8.702088287591808</v>
      </c>
      <c r="G110" s="116" t="s">
        <v>83</v>
      </c>
      <c r="H110" s="116" t="str">
        <f t="shared" si="3"/>
        <v>Reproduced to precision</v>
      </c>
      <c r="I110" s="116" t="s">
        <v>84</v>
      </c>
      <c r="J110" s="116" t="s">
        <v>70</v>
      </c>
      <c r="K110" s="116" t="s">
        <v>24</v>
      </c>
      <c r="L110" s="116" t="s">
        <v>25</v>
      </c>
      <c r="M110" s="49">
        <f t="shared" si="4"/>
        <v>34.810441437959042</v>
      </c>
      <c r="N110" s="49">
        <f t="shared" si="5"/>
        <v>2.0882875918086796E-3</v>
      </c>
      <c r="O110" s="49">
        <v>2</v>
      </c>
    </row>
    <row r="111" spans="1:15" ht="112.05" customHeight="1" x14ac:dyDescent="0.3">
      <c r="A111" s="110" t="s">
        <v>68</v>
      </c>
      <c r="B111" s="110" t="s">
        <v>82</v>
      </c>
      <c r="C111" s="110" t="s">
        <v>26</v>
      </c>
      <c r="D111" s="111">
        <v>9.4600000000000009</v>
      </c>
      <c r="E111" s="111">
        <f>LUCK!E171</f>
        <v>47.309216853498242</v>
      </c>
      <c r="F111" s="111">
        <f>LUCK!E99/'PSX Prices'!O12</f>
        <v>9.461843370699647</v>
      </c>
      <c r="G111" s="115" t="s">
        <v>83</v>
      </c>
      <c r="H111" s="115" t="str">
        <f t="shared" si="3"/>
        <v>Reproduced to precision</v>
      </c>
      <c r="I111" s="115" t="s">
        <v>84</v>
      </c>
      <c r="J111" s="115" t="s">
        <v>70</v>
      </c>
      <c r="K111" s="115" t="s">
        <v>24</v>
      </c>
      <c r="L111" s="115" t="s">
        <v>25</v>
      </c>
      <c r="M111" s="110">
        <f t="shared" si="4"/>
        <v>37.849216853498241</v>
      </c>
      <c r="N111" s="110">
        <f t="shared" si="5"/>
        <v>1.8433706996461297E-3</v>
      </c>
      <c r="O111" s="110">
        <v>2</v>
      </c>
    </row>
    <row r="112" spans="1:15" ht="112.05" customHeight="1" x14ac:dyDescent="0.3">
      <c r="A112" s="49" t="s">
        <v>68</v>
      </c>
      <c r="B112" s="49" t="s">
        <v>82</v>
      </c>
      <c r="C112" s="49" t="s">
        <v>27</v>
      </c>
      <c r="D112" s="112">
        <v>8.49</v>
      </c>
      <c r="E112" s="112">
        <f>LUCK!F171</f>
        <v>43.061512349842658</v>
      </c>
      <c r="F112" s="112">
        <f>LUCK!F99/'PSX Prices'!O13</f>
        <v>8.6123024699685331</v>
      </c>
      <c r="G112" s="116" t="s">
        <v>83</v>
      </c>
      <c r="H112" s="116" t="str">
        <f t="shared" si="3"/>
        <v>Unresolved published value</v>
      </c>
      <c r="I112" s="116" t="s">
        <v>84</v>
      </c>
      <c r="J112" s="116" t="s">
        <v>70</v>
      </c>
      <c r="K112" s="116" t="s">
        <v>85</v>
      </c>
      <c r="L112" s="116" t="s">
        <v>25</v>
      </c>
      <c r="M112" s="49">
        <f t="shared" si="4"/>
        <v>34.571512349842656</v>
      </c>
      <c r="N112" s="49">
        <f t="shared" si="5"/>
        <v>0.12230246996853289</v>
      </c>
      <c r="O112" s="49">
        <v>2</v>
      </c>
    </row>
    <row r="113" spans="1:15" ht="112.05" customHeight="1" x14ac:dyDescent="0.3">
      <c r="A113" s="110" t="s">
        <v>68</v>
      </c>
      <c r="B113" s="110" t="s">
        <v>82</v>
      </c>
      <c r="C113" s="110" t="s">
        <v>28</v>
      </c>
      <c r="D113" s="111">
        <v>18.91</v>
      </c>
      <c r="E113" s="111">
        <f>LUCK!G171</f>
        <v>94.540589177116431</v>
      </c>
      <c r="F113" s="111">
        <f>LUCK!G99/'PSX Prices'!O14</f>
        <v>18.908117835423283</v>
      </c>
      <c r="G113" s="115" t="s">
        <v>83</v>
      </c>
      <c r="H113" s="115" t="str">
        <f t="shared" si="3"/>
        <v>Reproduced to precision</v>
      </c>
      <c r="I113" s="115" t="s">
        <v>84</v>
      </c>
      <c r="J113" s="115" t="s">
        <v>70</v>
      </c>
      <c r="K113" s="115" t="s">
        <v>24</v>
      </c>
      <c r="L113" s="115" t="s">
        <v>25</v>
      </c>
      <c r="M113" s="110">
        <f t="shared" si="4"/>
        <v>75.630589177116434</v>
      </c>
      <c r="N113" s="110">
        <f t="shared" si="5"/>
        <v>-1.8821645767168604E-3</v>
      </c>
      <c r="O113" s="110">
        <v>2</v>
      </c>
    </row>
    <row r="114" spans="1:15" ht="112.05" customHeight="1" x14ac:dyDescent="0.3">
      <c r="A114" s="49" t="s">
        <v>68</v>
      </c>
      <c r="B114" s="49" t="s">
        <v>82</v>
      </c>
      <c r="C114" s="49" t="s">
        <v>29</v>
      </c>
      <c r="D114" s="112">
        <v>22.59</v>
      </c>
      <c r="E114" s="112">
        <f>LUCK!H171</f>
        <v>22.588506484641641</v>
      </c>
      <c r="F114" s="112">
        <f>LUCK!H99/'PSX Prices'!O15</f>
        <v>22.588506484641641</v>
      </c>
      <c r="G114" s="116" t="s">
        <v>83</v>
      </c>
      <c r="H114" s="116" t="str">
        <f t="shared" si="3"/>
        <v>Reproduced to precision</v>
      </c>
      <c r="I114" s="116" t="s">
        <v>84</v>
      </c>
      <c r="J114" s="116" t="s">
        <v>70</v>
      </c>
      <c r="K114" s="116" t="s">
        <v>24</v>
      </c>
      <c r="L114" s="116" t="s">
        <v>25</v>
      </c>
      <c r="M114" s="49">
        <f t="shared" si="4"/>
        <v>-1.4935153583586214E-3</v>
      </c>
      <c r="N114" s="49">
        <f t="shared" si="5"/>
        <v>-1.4935153583586214E-3</v>
      </c>
      <c r="O114" s="49">
        <v>2</v>
      </c>
    </row>
    <row r="115" spans="1:15" ht="112.05" customHeight="1" x14ac:dyDescent="0.3">
      <c r="A115" s="110" t="s">
        <v>86</v>
      </c>
      <c r="B115" s="110" t="s">
        <v>19</v>
      </c>
      <c r="C115" s="110" t="s">
        <v>20</v>
      </c>
      <c r="D115" s="111">
        <v>0.91</v>
      </c>
      <c r="E115" s="111">
        <f>DGKC!D138</f>
        <v>0.91452508864509019</v>
      </c>
      <c r="F115" s="111">
        <f>DGKC!D36/DGKC!D61</f>
        <v>0.91452508864509019</v>
      </c>
      <c r="G115" s="115" t="s">
        <v>21</v>
      </c>
      <c r="H115" s="115" t="str">
        <f t="shared" si="3"/>
        <v>Reproduced to precision</v>
      </c>
      <c r="I115" s="115" t="s">
        <v>22</v>
      </c>
      <c r="J115" s="115" t="s">
        <v>87</v>
      </c>
      <c r="K115" s="115" t="s">
        <v>24</v>
      </c>
      <c r="L115" s="115" t="s">
        <v>25</v>
      </c>
      <c r="M115" s="110">
        <f t="shared" si="4"/>
        <v>4.5250886450901584E-3</v>
      </c>
      <c r="N115" s="110">
        <f t="shared" si="5"/>
        <v>4.5250886450901584E-3</v>
      </c>
      <c r="O115" s="110">
        <v>2</v>
      </c>
    </row>
    <row r="116" spans="1:15" ht="112.05" customHeight="1" x14ac:dyDescent="0.3">
      <c r="A116" s="49" t="s">
        <v>86</v>
      </c>
      <c r="B116" s="49" t="s">
        <v>19</v>
      </c>
      <c r="C116" s="49" t="s">
        <v>26</v>
      </c>
      <c r="D116" s="112">
        <v>0.89</v>
      </c>
      <c r="E116" s="112">
        <f>DGKC!E138</f>
        <v>0.88552877147710041</v>
      </c>
      <c r="F116" s="112">
        <f>DGKC!E36/DGKC!E61</f>
        <v>0.88552877147710041</v>
      </c>
      <c r="G116" s="116" t="s">
        <v>21</v>
      </c>
      <c r="H116" s="116" t="str">
        <f t="shared" si="3"/>
        <v>Reproduced to precision</v>
      </c>
      <c r="I116" s="116" t="s">
        <v>22</v>
      </c>
      <c r="J116" s="116" t="s">
        <v>87</v>
      </c>
      <c r="K116" s="116" t="s">
        <v>24</v>
      </c>
      <c r="L116" s="116" t="s">
        <v>25</v>
      </c>
      <c r="M116" s="49">
        <f t="shared" si="4"/>
        <v>-4.4712285228996063E-3</v>
      </c>
      <c r="N116" s="49">
        <f t="shared" si="5"/>
        <v>-4.4712285228996063E-3</v>
      </c>
      <c r="O116" s="49">
        <v>2</v>
      </c>
    </row>
    <row r="117" spans="1:15" ht="112.05" customHeight="1" x14ac:dyDescent="0.3">
      <c r="A117" s="110" t="s">
        <v>86</v>
      </c>
      <c r="B117" s="110" t="s">
        <v>19</v>
      </c>
      <c r="C117" s="110" t="s">
        <v>27</v>
      </c>
      <c r="D117" s="111">
        <v>0.8</v>
      </c>
      <c r="E117" s="111">
        <f>DGKC!F138</f>
        <v>0.80176749057385621</v>
      </c>
      <c r="F117" s="111">
        <f>DGKC!F36/DGKC!F61</f>
        <v>0.80176749057385621</v>
      </c>
      <c r="G117" s="115" t="s">
        <v>21</v>
      </c>
      <c r="H117" s="115" t="str">
        <f t="shared" si="3"/>
        <v>Reproduced to precision</v>
      </c>
      <c r="I117" s="115" t="s">
        <v>22</v>
      </c>
      <c r="J117" s="115" t="s">
        <v>87</v>
      </c>
      <c r="K117" s="115" t="s">
        <v>24</v>
      </c>
      <c r="L117" s="115" t="s">
        <v>25</v>
      </c>
      <c r="M117" s="110">
        <f t="shared" si="4"/>
        <v>1.7674905738561675E-3</v>
      </c>
      <c r="N117" s="110">
        <f t="shared" si="5"/>
        <v>1.7674905738561675E-3</v>
      </c>
      <c r="O117" s="110">
        <v>2</v>
      </c>
    </row>
    <row r="118" spans="1:15" ht="112.05" customHeight="1" x14ac:dyDescent="0.3">
      <c r="A118" s="49" t="s">
        <v>86</v>
      </c>
      <c r="B118" s="49" t="s">
        <v>19</v>
      </c>
      <c r="C118" s="49" t="s">
        <v>28</v>
      </c>
      <c r="D118" s="112">
        <v>1.3</v>
      </c>
      <c r="E118" s="112">
        <f>DGKC!G138</f>
        <v>1.296185931254842</v>
      </c>
      <c r="F118" s="112">
        <f>DGKC!G36/DGKC!G61</f>
        <v>1.296185931254842</v>
      </c>
      <c r="G118" s="116" t="s">
        <v>21</v>
      </c>
      <c r="H118" s="116" t="str">
        <f t="shared" si="3"/>
        <v>Reproduced to precision</v>
      </c>
      <c r="I118" s="116" t="s">
        <v>22</v>
      </c>
      <c r="J118" s="116" t="s">
        <v>87</v>
      </c>
      <c r="K118" s="116" t="s">
        <v>24</v>
      </c>
      <c r="L118" s="116" t="s">
        <v>25</v>
      </c>
      <c r="M118" s="49">
        <f t="shared" si="4"/>
        <v>-3.8140687451579947E-3</v>
      </c>
      <c r="N118" s="49">
        <f t="shared" si="5"/>
        <v>-3.8140687451579947E-3</v>
      </c>
      <c r="O118" s="49">
        <v>2</v>
      </c>
    </row>
    <row r="119" spans="1:15" ht="112.05" customHeight="1" x14ac:dyDescent="0.3">
      <c r="A119" s="110" t="s">
        <v>86</v>
      </c>
      <c r="B119" s="110" t="s">
        <v>19</v>
      </c>
      <c r="C119" s="110" t="s">
        <v>29</v>
      </c>
      <c r="D119" s="111">
        <v>1.85</v>
      </c>
      <c r="E119" s="111">
        <f>DGKC!H138</f>
        <v>1.8489517932979607</v>
      </c>
      <c r="F119" s="111">
        <f>DGKC!H36/DGKC!H61</f>
        <v>1.8489517932979607</v>
      </c>
      <c r="G119" s="115" t="s">
        <v>21</v>
      </c>
      <c r="H119" s="115" t="str">
        <f t="shared" si="3"/>
        <v>Reproduced to precision</v>
      </c>
      <c r="I119" s="115" t="s">
        <v>22</v>
      </c>
      <c r="J119" s="115" t="s">
        <v>87</v>
      </c>
      <c r="K119" s="115" t="s">
        <v>24</v>
      </c>
      <c r="L119" s="115" t="s">
        <v>25</v>
      </c>
      <c r="M119" s="110">
        <f t="shared" si="4"/>
        <v>-1.0482067020394226E-3</v>
      </c>
      <c r="N119" s="110">
        <f t="shared" si="5"/>
        <v>-1.0482067020394226E-3</v>
      </c>
      <c r="O119" s="110">
        <v>2</v>
      </c>
    </row>
    <row r="120" spans="1:15" ht="112.05" customHeight="1" x14ac:dyDescent="0.3">
      <c r="A120" s="49" t="s">
        <v>86</v>
      </c>
      <c r="B120" s="49" t="s">
        <v>88</v>
      </c>
      <c r="C120" s="49" t="s">
        <v>20</v>
      </c>
      <c r="D120" s="112">
        <v>0.52</v>
      </c>
      <c r="E120" s="112">
        <f>DGKC!D139</f>
        <v>0.52718830778210601</v>
      </c>
      <c r="F120" s="112">
        <f>(DGKC!D36-DGKC!D65-DGKC!D258)/DGKC!D61</f>
        <v>0.51506373413223128</v>
      </c>
      <c r="G120" s="116" t="s">
        <v>89</v>
      </c>
      <c r="H120" s="116" t="str">
        <f t="shared" si="3"/>
        <v>Reproduced to precision</v>
      </c>
      <c r="I120" s="116" t="s">
        <v>90</v>
      </c>
      <c r="J120" s="116" t="s">
        <v>87</v>
      </c>
      <c r="K120" s="116" t="s">
        <v>73</v>
      </c>
      <c r="L120" s="116" t="s">
        <v>35</v>
      </c>
      <c r="M120" s="49">
        <f t="shared" si="4"/>
        <v>7.188307782105996E-3</v>
      </c>
      <c r="N120" s="49">
        <f t="shared" si="5"/>
        <v>-4.936265867768741E-3</v>
      </c>
      <c r="O120" s="49">
        <v>2</v>
      </c>
    </row>
    <row r="121" spans="1:15" ht="112.05" customHeight="1" x14ac:dyDescent="0.3">
      <c r="A121" s="110" t="s">
        <v>86</v>
      </c>
      <c r="B121" s="110" t="s">
        <v>88</v>
      </c>
      <c r="C121" s="110" t="s">
        <v>26</v>
      </c>
      <c r="D121" s="111">
        <v>0.36</v>
      </c>
      <c r="E121" s="111">
        <f>DGKC!E139</f>
        <v>0.39093390789665328</v>
      </c>
      <c r="F121" s="111">
        <f>(DGKC!E36-DGKC!E65-DGKC!E258)/DGKC!E61</f>
        <v>0.35989370225640016</v>
      </c>
      <c r="G121" s="115" t="s">
        <v>89</v>
      </c>
      <c r="H121" s="115" t="str">
        <f t="shared" si="3"/>
        <v>Reproduced to precision</v>
      </c>
      <c r="I121" s="115" t="s">
        <v>90</v>
      </c>
      <c r="J121" s="115" t="s">
        <v>87</v>
      </c>
      <c r="K121" s="115" t="s">
        <v>34</v>
      </c>
      <c r="L121" s="115" t="s">
        <v>35</v>
      </c>
      <c r="M121" s="110">
        <f t="shared" si="4"/>
        <v>3.093390789665329E-2</v>
      </c>
      <c r="N121" s="110">
        <f t="shared" si="5"/>
        <v>-1.062977435998258E-4</v>
      </c>
      <c r="O121" s="110">
        <v>2</v>
      </c>
    </row>
    <row r="122" spans="1:15" ht="112.05" customHeight="1" x14ac:dyDescent="0.3">
      <c r="A122" s="49" t="s">
        <v>86</v>
      </c>
      <c r="B122" s="49" t="s">
        <v>88</v>
      </c>
      <c r="C122" s="49" t="s">
        <v>27</v>
      </c>
      <c r="D122" s="112">
        <v>0.32</v>
      </c>
      <c r="E122" s="112">
        <f>DGKC!F139</f>
        <v>0.33489936167445872</v>
      </c>
      <c r="F122" s="112">
        <f>(DGKC!F36-DGKC!F65-DGKC!F258)/DGKC!F61</f>
        <v>0.31587456515857265</v>
      </c>
      <c r="G122" s="116" t="s">
        <v>89</v>
      </c>
      <c r="H122" s="116" t="str">
        <f t="shared" si="3"/>
        <v>Reproduced to precision</v>
      </c>
      <c r="I122" s="116" t="s">
        <v>90</v>
      </c>
      <c r="J122" s="116" t="s">
        <v>87</v>
      </c>
      <c r="K122" s="116" t="s">
        <v>34</v>
      </c>
      <c r="L122" s="116" t="s">
        <v>35</v>
      </c>
      <c r="M122" s="49">
        <f t="shared" si="4"/>
        <v>1.4899361674458711E-2</v>
      </c>
      <c r="N122" s="49">
        <f t="shared" si="5"/>
        <v>-4.1254348414273556E-3</v>
      </c>
      <c r="O122" s="49">
        <v>2</v>
      </c>
    </row>
    <row r="123" spans="1:15" ht="112.05" customHeight="1" x14ac:dyDescent="0.3">
      <c r="A123" s="110" t="s">
        <v>86</v>
      </c>
      <c r="B123" s="110" t="s">
        <v>88</v>
      </c>
      <c r="C123" s="110" t="s">
        <v>28</v>
      </c>
      <c r="D123" s="111">
        <v>0.66</v>
      </c>
      <c r="E123" s="111">
        <f>DGKC!G139</f>
        <v>0.66771764923027133</v>
      </c>
      <c r="F123" s="111">
        <f>(DGKC!G36-DGKC!G65-DGKC!G258)/DGKC!G61</f>
        <v>0.66274370249077752</v>
      </c>
      <c r="G123" s="115" t="s">
        <v>89</v>
      </c>
      <c r="H123" s="115" t="str">
        <f t="shared" si="3"/>
        <v>Reproduced to precision</v>
      </c>
      <c r="I123" s="115" t="s">
        <v>90</v>
      </c>
      <c r="J123" s="115" t="s">
        <v>87</v>
      </c>
      <c r="K123" s="115" t="s">
        <v>73</v>
      </c>
      <c r="L123" s="115" t="s">
        <v>35</v>
      </c>
      <c r="M123" s="110">
        <f t="shared" si="4"/>
        <v>7.7176492302712951E-3</v>
      </c>
      <c r="N123" s="110">
        <f t="shared" si="5"/>
        <v>2.7437024907774887E-3</v>
      </c>
      <c r="O123" s="110">
        <v>2</v>
      </c>
    </row>
    <row r="124" spans="1:15" ht="112.05" customHeight="1" x14ac:dyDescent="0.3">
      <c r="A124" s="49" t="s">
        <v>86</v>
      </c>
      <c r="B124" s="49" t="s">
        <v>88</v>
      </c>
      <c r="C124" s="49" t="s">
        <v>29</v>
      </c>
      <c r="D124" s="112">
        <v>1.01</v>
      </c>
      <c r="E124" s="112">
        <f>DGKC!H139</f>
        <v>1.0579587679634685</v>
      </c>
      <c r="F124" s="112">
        <f>(DGKC!H36-DGKC!H65-DGKC!H258)/DGKC!H61</f>
        <v>1.0060241782229269</v>
      </c>
      <c r="G124" s="116" t="s">
        <v>89</v>
      </c>
      <c r="H124" s="116" t="str">
        <f t="shared" si="3"/>
        <v>Reproduced to precision</v>
      </c>
      <c r="I124" s="116" t="s">
        <v>90</v>
      </c>
      <c r="J124" s="116" t="s">
        <v>87</v>
      </c>
      <c r="K124" s="116" t="s">
        <v>34</v>
      </c>
      <c r="L124" s="116" t="s">
        <v>35</v>
      </c>
      <c r="M124" s="49">
        <f t="shared" si="4"/>
        <v>4.795876796346854E-2</v>
      </c>
      <c r="N124" s="49">
        <f t="shared" si="5"/>
        <v>-3.9758217770731186E-3</v>
      </c>
      <c r="O124" s="49">
        <v>2</v>
      </c>
    </row>
    <row r="125" spans="1:15" ht="112.05" customHeight="1" x14ac:dyDescent="0.3">
      <c r="A125" s="110" t="s">
        <v>86</v>
      </c>
      <c r="B125" s="110" t="s">
        <v>91</v>
      </c>
      <c r="C125" s="110" t="s">
        <v>20</v>
      </c>
      <c r="D125" s="111">
        <v>154</v>
      </c>
      <c r="E125" s="111">
        <f>DGKC!D147</f>
        <v>138.95483675010863</v>
      </c>
      <c r="F125" s="111">
        <f>365*DGKC!D65/(-DGKC!D85)</f>
        <v>153.82136507494721</v>
      </c>
      <c r="G125" s="115" t="s">
        <v>92</v>
      </c>
      <c r="H125" s="115" t="str">
        <f t="shared" si="3"/>
        <v>Reproduced to precision</v>
      </c>
      <c r="I125" s="115" t="s">
        <v>22</v>
      </c>
      <c r="J125" s="115" t="s">
        <v>87</v>
      </c>
      <c r="K125" s="115" t="s">
        <v>38</v>
      </c>
      <c r="L125" s="115" t="s">
        <v>25</v>
      </c>
      <c r="M125" s="110">
        <f t="shared" si="4"/>
        <v>-15.045163249891374</v>
      </c>
      <c r="N125" s="110">
        <f t="shared" si="5"/>
        <v>-0.17863492505279055</v>
      </c>
      <c r="O125" s="110">
        <v>0</v>
      </c>
    </row>
    <row r="126" spans="1:15" ht="112.05" customHeight="1" x14ac:dyDescent="0.3">
      <c r="A126" s="49" t="s">
        <v>86</v>
      </c>
      <c r="B126" s="49" t="s">
        <v>91</v>
      </c>
      <c r="C126" s="49" t="s">
        <v>26</v>
      </c>
      <c r="D126" s="112">
        <v>175</v>
      </c>
      <c r="E126" s="112">
        <f>DGKC!E147</f>
        <v>147.19158951872677</v>
      </c>
      <c r="F126" s="112">
        <f>365*DGKC!E65/(-DGKC!E85)</f>
        <v>174.73955662090313</v>
      </c>
      <c r="G126" s="116" t="s">
        <v>92</v>
      </c>
      <c r="H126" s="116" t="str">
        <f t="shared" si="3"/>
        <v>Reproduced to precision</v>
      </c>
      <c r="I126" s="116" t="s">
        <v>22</v>
      </c>
      <c r="J126" s="116" t="s">
        <v>87</v>
      </c>
      <c r="K126" s="116" t="s">
        <v>38</v>
      </c>
      <c r="L126" s="116" t="s">
        <v>25</v>
      </c>
      <c r="M126" s="49">
        <f t="shared" si="4"/>
        <v>-27.808410481273228</v>
      </c>
      <c r="N126" s="49">
        <f t="shared" si="5"/>
        <v>-0.26044337909686988</v>
      </c>
      <c r="O126" s="49">
        <v>0</v>
      </c>
    </row>
    <row r="127" spans="1:15" ht="112.05" customHeight="1" x14ac:dyDescent="0.3">
      <c r="A127" s="110" t="s">
        <v>86</v>
      </c>
      <c r="B127" s="110" t="s">
        <v>91</v>
      </c>
      <c r="C127" s="110" t="s">
        <v>27</v>
      </c>
      <c r="D127" s="111">
        <v>150</v>
      </c>
      <c r="E127" s="111">
        <f>DGKC!F147</f>
        <v>149.87908057411946</v>
      </c>
      <c r="F127" s="111">
        <f>365*DGKC!F65/(-DGKC!F85)</f>
        <v>149.64786734498992</v>
      </c>
      <c r="G127" s="115" t="s">
        <v>92</v>
      </c>
      <c r="H127" s="115" t="str">
        <f t="shared" si="3"/>
        <v>Reproduced to precision</v>
      </c>
      <c r="I127" s="115" t="s">
        <v>22</v>
      </c>
      <c r="J127" s="115" t="s">
        <v>87</v>
      </c>
      <c r="K127" s="115" t="s">
        <v>24</v>
      </c>
      <c r="L127" s="115" t="s">
        <v>25</v>
      </c>
      <c r="M127" s="110">
        <f t="shared" si="4"/>
        <v>-0.12091942588054394</v>
      </c>
      <c r="N127" s="110">
        <f t="shared" si="5"/>
        <v>-0.35213265501008095</v>
      </c>
      <c r="O127" s="110">
        <v>0</v>
      </c>
    </row>
    <row r="128" spans="1:15" ht="112.05" customHeight="1" x14ac:dyDescent="0.3">
      <c r="A128" s="49" t="s">
        <v>86</v>
      </c>
      <c r="B128" s="49" t="s">
        <v>91</v>
      </c>
      <c r="C128" s="49" t="s">
        <v>28</v>
      </c>
      <c r="D128" s="112">
        <v>133</v>
      </c>
      <c r="E128" s="112">
        <f>DGKC!G147</f>
        <v>141.29755545575051</v>
      </c>
      <c r="F128" s="112">
        <f>365*DGKC!G65/(-DGKC!G85)</f>
        <v>133.16933589181954</v>
      </c>
      <c r="G128" s="116" t="s">
        <v>92</v>
      </c>
      <c r="H128" s="116" t="str">
        <f t="shared" si="3"/>
        <v>Reproduced to precision</v>
      </c>
      <c r="I128" s="116" t="s">
        <v>22</v>
      </c>
      <c r="J128" s="116" t="s">
        <v>87</v>
      </c>
      <c r="K128" s="116" t="s">
        <v>38</v>
      </c>
      <c r="L128" s="116" t="s">
        <v>25</v>
      </c>
      <c r="M128" s="49">
        <f t="shared" si="4"/>
        <v>8.297555455750512</v>
      </c>
      <c r="N128" s="49">
        <f t="shared" si="5"/>
        <v>0.16933589181954289</v>
      </c>
      <c r="O128" s="49">
        <v>0</v>
      </c>
    </row>
    <row r="129" spans="1:15" ht="112.05" customHeight="1" x14ac:dyDescent="0.3">
      <c r="A129" s="110" t="s">
        <v>86</v>
      </c>
      <c r="B129" s="110" t="s">
        <v>91</v>
      </c>
      <c r="C129" s="110" t="s">
        <v>29</v>
      </c>
      <c r="D129" s="111">
        <v>140</v>
      </c>
      <c r="E129" s="111">
        <f>DGKC!H147</f>
        <v>139.29464124392746</v>
      </c>
      <c r="F129" s="111">
        <f>365*DGKC!H65/(-DGKC!H85)</f>
        <v>140.12366389704971</v>
      </c>
      <c r="G129" s="115" t="s">
        <v>92</v>
      </c>
      <c r="H129" s="115" t="str">
        <f t="shared" si="3"/>
        <v>Reproduced to precision</v>
      </c>
      <c r="I129" s="115" t="s">
        <v>22</v>
      </c>
      <c r="J129" s="115" t="s">
        <v>87</v>
      </c>
      <c r="K129" s="115" t="s">
        <v>38</v>
      </c>
      <c r="L129" s="115" t="s">
        <v>25</v>
      </c>
      <c r="M129" s="110">
        <f t="shared" si="4"/>
        <v>-0.70535875607254184</v>
      </c>
      <c r="N129" s="110">
        <f t="shared" si="5"/>
        <v>0.1236638970497097</v>
      </c>
      <c r="O129" s="110">
        <v>0</v>
      </c>
    </row>
    <row r="130" spans="1:15" ht="112.05" customHeight="1" x14ac:dyDescent="0.3">
      <c r="A130" s="49" t="s">
        <v>86</v>
      </c>
      <c r="B130" s="49" t="s">
        <v>71</v>
      </c>
      <c r="C130" s="49" t="s">
        <v>20</v>
      </c>
      <c r="D130" s="112">
        <v>14</v>
      </c>
      <c r="E130" s="112">
        <f>DGKC!D148</f>
        <v>16.031081230273596</v>
      </c>
      <c r="F130" s="112">
        <f>365*DGKC!D32/DGKC!D84</f>
        <v>13.563749883888976</v>
      </c>
      <c r="G130" s="116" t="s">
        <v>37</v>
      </c>
      <c r="H130" s="116" t="str">
        <f t="shared" si="3"/>
        <v>Reproduced to precision</v>
      </c>
      <c r="I130" s="116" t="s">
        <v>22</v>
      </c>
      <c r="J130" s="116" t="s">
        <v>87</v>
      </c>
      <c r="K130" s="116" t="s">
        <v>38</v>
      </c>
      <c r="L130" s="116" t="s">
        <v>25</v>
      </c>
      <c r="M130" s="49">
        <f t="shared" si="4"/>
        <v>2.0310812302735961</v>
      </c>
      <c r="N130" s="49">
        <f t="shared" si="5"/>
        <v>-0.43625011611102416</v>
      </c>
      <c r="O130" s="49">
        <v>0</v>
      </c>
    </row>
    <row r="131" spans="1:15" ht="112.05" customHeight="1" x14ac:dyDescent="0.3">
      <c r="A131" s="110" t="s">
        <v>86</v>
      </c>
      <c r="B131" s="110" t="s">
        <v>71</v>
      </c>
      <c r="C131" s="110" t="s">
        <v>26</v>
      </c>
      <c r="D131" s="111">
        <v>9</v>
      </c>
      <c r="E131" s="111">
        <f>DGKC!E148</f>
        <v>9.8856192169704489</v>
      </c>
      <c r="F131" s="111">
        <f>365*DGKC!E32/DGKC!E84</f>
        <v>9.2304268239348577</v>
      </c>
      <c r="G131" s="115" t="s">
        <v>37</v>
      </c>
      <c r="H131" s="115" t="str">
        <f t="shared" si="3"/>
        <v>Reproduced to precision</v>
      </c>
      <c r="I131" s="115" t="s">
        <v>22</v>
      </c>
      <c r="J131" s="115" t="s">
        <v>87</v>
      </c>
      <c r="K131" s="115" t="s">
        <v>38</v>
      </c>
      <c r="L131" s="115" t="s">
        <v>25</v>
      </c>
      <c r="M131" s="110">
        <f t="shared" si="4"/>
        <v>0.88561921697044887</v>
      </c>
      <c r="N131" s="110">
        <f t="shared" si="5"/>
        <v>0.23042682393485769</v>
      </c>
      <c r="O131" s="110">
        <v>0</v>
      </c>
    </row>
    <row r="132" spans="1:15" ht="112.05" customHeight="1" x14ac:dyDescent="0.3">
      <c r="A132" s="49" t="s">
        <v>86</v>
      </c>
      <c r="B132" s="49" t="s">
        <v>71</v>
      </c>
      <c r="C132" s="49" t="s">
        <v>27</v>
      </c>
      <c r="D132" s="112">
        <v>7</v>
      </c>
      <c r="E132" s="112">
        <f>DGKC!F148</f>
        <v>7.4739774843341396</v>
      </c>
      <c r="F132" s="112">
        <f>365*DGKC!F32/DGKC!F84</f>
        <v>6.7032931166051322</v>
      </c>
      <c r="G132" s="116" t="s">
        <v>37</v>
      </c>
      <c r="H132" s="116" t="str">
        <f t="shared" si="3"/>
        <v>Reproduced to precision</v>
      </c>
      <c r="I132" s="116" t="s">
        <v>22</v>
      </c>
      <c r="J132" s="116" t="s">
        <v>87</v>
      </c>
      <c r="K132" s="116" t="s">
        <v>24</v>
      </c>
      <c r="L132" s="116" t="s">
        <v>25</v>
      </c>
      <c r="M132" s="49">
        <f t="shared" si="4"/>
        <v>0.47397748433413955</v>
      </c>
      <c r="N132" s="49">
        <f t="shared" si="5"/>
        <v>-0.29670688339486784</v>
      </c>
      <c r="O132" s="49">
        <v>0</v>
      </c>
    </row>
    <row r="133" spans="1:15" ht="112.05" customHeight="1" x14ac:dyDescent="0.3">
      <c r="A133" s="110" t="s">
        <v>86</v>
      </c>
      <c r="B133" s="110" t="s">
        <v>71</v>
      </c>
      <c r="C133" s="110" t="s">
        <v>28</v>
      </c>
      <c r="D133" s="111">
        <v>5</v>
      </c>
      <c r="E133" s="111">
        <f>DGKC!G148</f>
        <v>5.6629790909386459</v>
      </c>
      <c r="F133" s="111">
        <f>365*DGKC!G32/DGKC!G84</f>
        <v>4.7297400164924532</v>
      </c>
      <c r="G133" s="115" t="s">
        <v>37</v>
      </c>
      <c r="H133" s="115" t="str">
        <f t="shared" ref="H133:H196" si="6">IF(AND(ISNUMBER(D133),ISNUMBER(F133)),IF(ROUND(D133,O133)=ROUND(F133,O133),"Reproduced to precision","Unresolved published value"),"Not comparable")</f>
        <v>Reproduced to precision</v>
      </c>
      <c r="I133" s="115" t="s">
        <v>22</v>
      </c>
      <c r="J133" s="115" t="s">
        <v>87</v>
      </c>
      <c r="K133" s="115" t="s">
        <v>38</v>
      </c>
      <c r="L133" s="115" t="s">
        <v>25</v>
      </c>
      <c r="M133" s="110">
        <f t="shared" ref="M133:M196" si="7">IF(ISNUMBER(E133),E133-D133,"n/m")</f>
        <v>0.66297909093864593</v>
      </c>
      <c r="N133" s="110">
        <f t="shared" ref="N133:N196" si="8">IF(ISNUMBER(F133),F133-D133,"n/m")</f>
        <v>-0.27025998350754676</v>
      </c>
      <c r="O133" s="110">
        <v>0</v>
      </c>
    </row>
    <row r="134" spans="1:15" ht="112.05" customHeight="1" x14ac:dyDescent="0.3">
      <c r="A134" s="49" t="s">
        <v>86</v>
      </c>
      <c r="B134" s="49" t="s">
        <v>71</v>
      </c>
      <c r="C134" s="49" t="s">
        <v>29</v>
      </c>
      <c r="D134" s="112">
        <v>8</v>
      </c>
      <c r="E134" s="112">
        <f>DGKC!H148</f>
        <v>5.9624857341490083</v>
      </c>
      <c r="F134" s="112">
        <f>365*DGKC!H32/DGKC!H84</f>
        <v>7.5803685421400182</v>
      </c>
      <c r="G134" s="116" t="s">
        <v>37</v>
      </c>
      <c r="H134" s="116" t="str">
        <f t="shared" si="6"/>
        <v>Reproduced to precision</v>
      </c>
      <c r="I134" s="116" t="s">
        <v>22</v>
      </c>
      <c r="J134" s="116" t="s">
        <v>87</v>
      </c>
      <c r="K134" s="116" t="s">
        <v>38</v>
      </c>
      <c r="L134" s="116" t="s">
        <v>25</v>
      </c>
      <c r="M134" s="49">
        <f t="shared" si="7"/>
        <v>-2.0375142658509917</v>
      </c>
      <c r="N134" s="49">
        <f t="shared" si="8"/>
        <v>-0.41963145785998179</v>
      </c>
      <c r="O134" s="49">
        <v>0</v>
      </c>
    </row>
    <row r="135" spans="1:15" ht="112.05" customHeight="1" x14ac:dyDescent="0.3">
      <c r="A135" s="110" t="s">
        <v>86</v>
      </c>
      <c r="B135" s="110" t="s">
        <v>74</v>
      </c>
      <c r="C135" s="110" t="s">
        <v>20</v>
      </c>
      <c r="D135" s="111">
        <v>138</v>
      </c>
      <c r="E135" s="111">
        <f>DGKC!D149</f>
        <v>57.658360027776368</v>
      </c>
      <c r="F135" s="111">
        <f>365*AVERAGE(DGKC!C50,DGKC!D50)/(-DGKC!D85)</f>
        <v>129.20996558518866</v>
      </c>
      <c r="G135" s="115" t="s">
        <v>93</v>
      </c>
      <c r="H135" s="115" t="str">
        <f t="shared" si="6"/>
        <v>Unresolved published value</v>
      </c>
      <c r="I135" s="115" t="s">
        <v>94</v>
      </c>
      <c r="J135" s="115" t="s">
        <v>87</v>
      </c>
      <c r="K135" s="115" t="s">
        <v>34</v>
      </c>
      <c r="L135" s="115" t="s">
        <v>95</v>
      </c>
      <c r="M135" s="110">
        <f t="shared" si="7"/>
        <v>-80.341639972223632</v>
      </c>
      <c r="N135" s="110">
        <f t="shared" si="8"/>
        <v>-8.7900344148113447</v>
      </c>
      <c r="O135" s="110">
        <v>0</v>
      </c>
    </row>
    <row r="136" spans="1:15" ht="112.05" customHeight="1" x14ac:dyDescent="0.3">
      <c r="A136" s="49" t="s">
        <v>86</v>
      </c>
      <c r="B136" s="49" t="s">
        <v>74</v>
      </c>
      <c r="C136" s="49" t="s">
        <v>26</v>
      </c>
      <c r="D136" s="112">
        <v>92</v>
      </c>
      <c r="E136" s="112">
        <f>DGKC!E149</f>
        <v>43.106668082030595</v>
      </c>
      <c r="F136" s="112">
        <f>365*AVERAGE(DGKC!D50,DGKC!E50)/(-DGKC!E85)</f>
        <v>105.45844465813281</v>
      </c>
      <c r="G136" s="116" t="s">
        <v>93</v>
      </c>
      <c r="H136" s="116" t="str">
        <f t="shared" si="6"/>
        <v>Unresolved published value</v>
      </c>
      <c r="I136" s="116" t="s">
        <v>94</v>
      </c>
      <c r="J136" s="116" t="s">
        <v>87</v>
      </c>
      <c r="K136" s="116" t="s">
        <v>34</v>
      </c>
      <c r="L136" s="116" t="s">
        <v>95</v>
      </c>
      <c r="M136" s="49">
        <f t="shared" si="7"/>
        <v>-48.893331917969405</v>
      </c>
      <c r="N136" s="49">
        <f t="shared" si="8"/>
        <v>13.458444658132805</v>
      </c>
      <c r="O136" s="49">
        <v>0</v>
      </c>
    </row>
    <row r="137" spans="1:15" ht="112.05" customHeight="1" x14ac:dyDescent="0.3">
      <c r="A137" s="110" t="s">
        <v>86</v>
      </c>
      <c r="B137" s="110" t="s">
        <v>74</v>
      </c>
      <c r="C137" s="110" t="s">
        <v>27</v>
      </c>
      <c r="D137" s="111">
        <v>87</v>
      </c>
      <c r="E137" s="111">
        <f>DGKC!F149</f>
        <v>34.246728091407007</v>
      </c>
      <c r="F137" s="111">
        <f>365*AVERAGE(DGKC!E50,DGKC!F50)/(-DGKC!F85)</f>
        <v>86.841216809266555</v>
      </c>
      <c r="G137" s="115" t="s">
        <v>93</v>
      </c>
      <c r="H137" s="115" t="str">
        <f t="shared" si="6"/>
        <v>Reproduced to precision</v>
      </c>
      <c r="I137" s="115" t="s">
        <v>94</v>
      </c>
      <c r="J137" s="115" t="s">
        <v>87</v>
      </c>
      <c r="K137" s="115" t="s">
        <v>34</v>
      </c>
      <c r="L137" s="115" t="s">
        <v>95</v>
      </c>
      <c r="M137" s="110">
        <f t="shared" si="7"/>
        <v>-52.753271908592993</v>
      </c>
      <c r="N137" s="110">
        <f t="shared" si="8"/>
        <v>-0.15878319073344471</v>
      </c>
      <c r="O137" s="110">
        <v>0</v>
      </c>
    </row>
    <row r="138" spans="1:15" ht="112.05" customHeight="1" x14ac:dyDescent="0.3">
      <c r="A138" s="49" t="s">
        <v>86</v>
      </c>
      <c r="B138" s="49" t="s">
        <v>74</v>
      </c>
      <c r="C138" s="49" t="s">
        <v>28</v>
      </c>
      <c r="D138" s="112">
        <v>76</v>
      </c>
      <c r="E138" s="112">
        <f>DGKC!G149</f>
        <v>38.06068085872657</v>
      </c>
      <c r="F138" s="112">
        <f>365*AVERAGE(DGKC!F50,DGKC!G50)/(-DGKC!G85)</f>
        <v>86.063829645416732</v>
      </c>
      <c r="G138" s="116" t="s">
        <v>93</v>
      </c>
      <c r="H138" s="116" t="str">
        <f t="shared" si="6"/>
        <v>Unresolved published value</v>
      </c>
      <c r="I138" s="116" t="s">
        <v>94</v>
      </c>
      <c r="J138" s="116" t="s">
        <v>87</v>
      </c>
      <c r="K138" s="116" t="s">
        <v>34</v>
      </c>
      <c r="L138" s="116" t="s">
        <v>95</v>
      </c>
      <c r="M138" s="49">
        <f t="shared" si="7"/>
        <v>-37.93931914127343</v>
      </c>
      <c r="N138" s="49">
        <f t="shared" si="8"/>
        <v>10.063829645416732</v>
      </c>
      <c r="O138" s="49">
        <v>0</v>
      </c>
    </row>
    <row r="139" spans="1:15" ht="112.05" customHeight="1" x14ac:dyDescent="0.3">
      <c r="A139" s="110" t="s">
        <v>86</v>
      </c>
      <c r="B139" s="110" t="s">
        <v>74</v>
      </c>
      <c r="C139" s="110" t="s">
        <v>29</v>
      </c>
      <c r="D139" s="111">
        <v>83</v>
      </c>
      <c r="E139" s="111">
        <f>DGKC!H149</f>
        <v>30.584254931231971</v>
      </c>
      <c r="F139" s="111">
        <f>365*AVERAGE(DGKC!G50,DGKC!H50)/(-DGKC!H85)</f>
        <v>87.948895760827611</v>
      </c>
      <c r="G139" s="115" t="s">
        <v>93</v>
      </c>
      <c r="H139" s="115" t="str">
        <f t="shared" si="6"/>
        <v>Unresolved published value</v>
      </c>
      <c r="I139" s="115" t="s">
        <v>94</v>
      </c>
      <c r="J139" s="115" t="s">
        <v>87</v>
      </c>
      <c r="K139" s="115" t="s">
        <v>34</v>
      </c>
      <c r="L139" s="115" t="s">
        <v>95</v>
      </c>
      <c r="M139" s="110">
        <f t="shared" si="7"/>
        <v>-52.415745068768032</v>
      </c>
      <c r="N139" s="110">
        <f t="shared" si="8"/>
        <v>4.948895760827611</v>
      </c>
      <c r="O139" s="110">
        <v>0</v>
      </c>
    </row>
    <row r="140" spans="1:15" ht="112.05" customHeight="1" x14ac:dyDescent="0.3">
      <c r="A140" s="49" t="s">
        <v>86</v>
      </c>
      <c r="B140" s="49" t="s">
        <v>96</v>
      </c>
      <c r="C140" s="49" t="s">
        <v>20</v>
      </c>
      <c r="D140" s="112">
        <v>0.33729999999999999</v>
      </c>
      <c r="E140" s="112">
        <f>DGKC!D152</f>
        <v>0.33732156053453599</v>
      </c>
      <c r="F140" s="112">
        <f>DGKC!D84/AVERAGE(DGKC!C37,DGKC!D37)</f>
        <v>0.33732156053453599</v>
      </c>
      <c r="G140" s="116" t="s">
        <v>97</v>
      </c>
      <c r="H140" s="116" t="str">
        <f t="shared" si="6"/>
        <v>Reproduced to precision</v>
      </c>
      <c r="I140" s="116" t="s">
        <v>22</v>
      </c>
      <c r="J140" s="116" t="s">
        <v>87</v>
      </c>
      <c r="K140" s="116" t="s">
        <v>24</v>
      </c>
      <c r="L140" s="116" t="s">
        <v>25</v>
      </c>
      <c r="M140" s="49">
        <f t="shared" si="7"/>
        <v>2.1560534536002596E-5</v>
      </c>
      <c r="N140" s="49">
        <f t="shared" si="8"/>
        <v>2.1560534536002596E-5</v>
      </c>
      <c r="O140" s="49">
        <v>4</v>
      </c>
    </row>
    <row r="141" spans="1:15" ht="112.05" customHeight="1" x14ac:dyDescent="0.3">
      <c r="A141" s="110" t="s">
        <v>86</v>
      </c>
      <c r="B141" s="110" t="s">
        <v>96</v>
      </c>
      <c r="C141" s="110" t="s">
        <v>26</v>
      </c>
      <c r="D141" s="111">
        <v>0.42299999999999999</v>
      </c>
      <c r="E141" s="111">
        <f>DGKC!E152</f>
        <v>0.42297281053904634</v>
      </c>
      <c r="F141" s="111">
        <f>DGKC!E84/AVERAGE(DGKC!D37,DGKC!E37)</f>
        <v>0.42297281053904634</v>
      </c>
      <c r="G141" s="115" t="s">
        <v>97</v>
      </c>
      <c r="H141" s="115" t="str">
        <f t="shared" si="6"/>
        <v>Reproduced to precision</v>
      </c>
      <c r="I141" s="115" t="s">
        <v>22</v>
      </c>
      <c r="J141" s="115" t="s">
        <v>87</v>
      </c>
      <c r="K141" s="115" t="s">
        <v>24</v>
      </c>
      <c r="L141" s="115" t="s">
        <v>25</v>
      </c>
      <c r="M141" s="110">
        <f t="shared" si="7"/>
        <v>-2.718946095364716E-5</v>
      </c>
      <c r="N141" s="110">
        <f t="shared" si="8"/>
        <v>-2.718946095364716E-5</v>
      </c>
      <c r="O141" s="110">
        <v>4</v>
      </c>
    </row>
    <row r="142" spans="1:15" ht="112.05" customHeight="1" x14ac:dyDescent="0.3">
      <c r="A142" s="49" t="s">
        <v>86</v>
      </c>
      <c r="B142" s="49" t="s">
        <v>96</v>
      </c>
      <c r="C142" s="49" t="s">
        <v>27</v>
      </c>
      <c r="D142" s="112">
        <v>0.47910000000000003</v>
      </c>
      <c r="E142" s="112">
        <f>DGKC!F152</f>
        <v>0.47909875248597583</v>
      </c>
      <c r="F142" s="112">
        <f>DGKC!F84/AVERAGE(DGKC!E37,DGKC!F37)</f>
        <v>0.47909875248597583</v>
      </c>
      <c r="G142" s="116" t="s">
        <v>97</v>
      </c>
      <c r="H142" s="116" t="str">
        <f t="shared" si="6"/>
        <v>Reproduced to precision</v>
      </c>
      <c r="I142" s="116" t="s">
        <v>22</v>
      </c>
      <c r="J142" s="116" t="s">
        <v>87</v>
      </c>
      <c r="K142" s="116" t="s">
        <v>24</v>
      </c>
      <c r="L142" s="116" t="s">
        <v>25</v>
      </c>
      <c r="M142" s="49">
        <f t="shared" si="7"/>
        <v>-1.2475140241940963E-6</v>
      </c>
      <c r="N142" s="49">
        <f t="shared" si="8"/>
        <v>-1.2475140241940963E-6</v>
      </c>
      <c r="O142" s="49">
        <v>4</v>
      </c>
    </row>
    <row r="143" spans="1:15" ht="112.05" customHeight="1" x14ac:dyDescent="0.3">
      <c r="A143" s="110" t="s">
        <v>86</v>
      </c>
      <c r="B143" s="110" t="s">
        <v>96</v>
      </c>
      <c r="C143" s="110" t="s">
        <v>28</v>
      </c>
      <c r="D143" s="111">
        <v>0.48359999999999997</v>
      </c>
      <c r="E143" s="111">
        <f>DGKC!G152</f>
        <v>0.48362452491954855</v>
      </c>
      <c r="F143" s="111">
        <f>DGKC!G84/AVERAGE(DGKC!F37,DGKC!G37)</f>
        <v>0.48362452491954855</v>
      </c>
      <c r="G143" s="115" t="s">
        <v>97</v>
      </c>
      <c r="H143" s="115" t="str">
        <f t="shared" si="6"/>
        <v>Reproduced to precision</v>
      </c>
      <c r="I143" s="115" t="s">
        <v>22</v>
      </c>
      <c r="J143" s="115" t="s">
        <v>87</v>
      </c>
      <c r="K143" s="115" t="s">
        <v>24</v>
      </c>
      <c r="L143" s="115" t="s">
        <v>25</v>
      </c>
      <c r="M143" s="110">
        <f t="shared" si="7"/>
        <v>2.4524919548574164E-5</v>
      </c>
      <c r="N143" s="110">
        <f t="shared" si="8"/>
        <v>2.4524919548574164E-5</v>
      </c>
      <c r="O143" s="110">
        <v>4</v>
      </c>
    </row>
    <row r="144" spans="1:15" ht="112.05" customHeight="1" x14ac:dyDescent="0.3">
      <c r="A144" s="49" t="s">
        <v>86</v>
      </c>
      <c r="B144" s="49" t="s">
        <v>96</v>
      </c>
      <c r="C144" s="49" t="s">
        <v>29</v>
      </c>
      <c r="D144" s="112">
        <v>0.50570000000000004</v>
      </c>
      <c r="E144" s="112">
        <f>DGKC!H152</f>
        <v>0.50573556879142922</v>
      </c>
      <c r="F144" s="112">
        <f>DGKC!H84/AVERAGE(DGKC!G37,DGKC!H37)</f>
        <v>0.50573556879142922</v>
      </c>
      <c r="G144" s="116" t="s">
        <v>97</v>
      </c>
      <c r="H144" s="116" t="str">
        <f t="shared" si="6"/>
        <v>Reproduced to precision</v>
      </c>
      <c r="I144" s="116" t="s">
        <v>22</v>
      </c>
      <c r="J144" s="116" t="s">
        <v>87</v>
      </c>
      <c r="K144" s="116" t="s">
        <v>24</v>
      </c>
      <c r="L144" s="116" t="s">
        <v>25</v>
      </c>
      <c r="M144" s="49">
        <f t="shared" si="7"/>
        <v>3.5568791429185787E-5</v>
      </c>
      <c r="N144" s="49">
        <f t="shared" si="8"/>
        <v>3.5568791429185787E-5</v>
      </c>
      <c r="O144" s="49">
        <v>4</v>
      </c>
    </row>
    <row r="145" spans="1:15" ht="112.05" customHeight="1" x14ac:dyDescent="0.3">
      <c r="A145" s="110" t="s">
        <v>86</v>
      </c>
      <c r="B145" s="110" t="s">
        <v>47</v>
      </c>
      <c r="C145" s="110" t="s">
        <v>20</v>
      </c>
      <c r="D145" s="111">
        <v>0.53520000000000001</v>
      </c>
      <c r="E145" s="111">
        <f>DGKC!D153</f>
        <v>0.58402255289253091</v>
      </c>
      <c r="F145" s="111">
        <f>DGKC!D84/AVERAGE(DGKC!C20,DGKC!D20)</f>
        <v>0.53522051158310446</v>
      </c>
      <c r="G145" s="115" t="s">
        <v>98</v>
      </c>
      <c r="H145" s="115" t="str">
        <f t="shared" si="6"/>
        <v>Reproduced to precision</v>
      </c>
      <c r="I145" s="115" t="s">
        <v>22</v>
      </c>
      <c r="J145" s="115" t="s">
        <v>87</v>
      </c>
      <c r="K145" s="115" t="s">
        <v>38</v>
      </c>
      <c r="L145" s="115" t="s">
        <v>25</v>
      </c>
      <c r="M145" s="110">
        <f t="shared" si="7"/>
        <v>4.8822552892530902E-2</v>
      </c>
      <c r="N145" s="110">
        <f t="shared" si="8"/>
        <v>2.0511583104454445E-5</v>
      </c>
      <c r="O145" s="110">
        <v>4</v>
      </c>
    </row>
    <row r="146" spans="1:15" ht="112.05" customHeight="1" x14ac:dyDescent="0.3">
      <c r="A146" s="49" t="s">
        <v>86</v>
      </c>
      <c r="B146" s="49" t="s">
        <v>47</v>
      </c>
      <c r="C146" s="49" t="s">
        <v>26</v>
      </c>
      <c r="D146" s="112">
        <v>0.69169999999999998</v>
      </c>
      <c r="E146" s="112">
        <f>DGKC!E153</f>
        <v>0.72840234543749571</v>
      </c>
      <c r="F146" s="112">
        <f>DGKC!E84/AVERAGE(DGKC!D20,DGKC!E20)</f>
        <v>0.69172315904410531</v>
      </c>
      <c r="G146" s="116" t="s">
        <v>98</v>
      </c>
      <c r="H146" s="116" t="str">
        <f t="shared" si="6"/>
        <v>Reproduced to precision</v>
      </c>
      <c r="I146" s="116" t="s">
        <v>22</v>
      </c>
      <c r="J146" s="116" t="s">
        <v>87</v>
      </c>
      <c r="K146" s="116" t="s">
        <v>38</v>
      </c>
      <c r="L146" s="116" t="s">
        <v>25</v>
      </c>
      <c r="M146" s="49">
        <f t="shared" si="7"/>
        <v>3.6702345437495731E-2</v>
      </c>
      <c r="N146" s="49">
        <f t="shared" si="8"/>
        <v>2.3159044105325322E-5</v>
      </c>
      <c r="O146" s="49">
        <v>4</v>
      </c>
    </row>
    <row r="147" spans="1:15" ht="112.05" customHeight="1" x14ac:dyDescent="0.3">
      <c r="A147" s="110" t="s">
        <v>86</v>
      </c>
      <c r="B147" s="110" t="s">
        <v>47</v>
      </c>
      <c r="C147" s="110" t="s">
        <v>27</v>
      </c>
      <c r="D147" s="111">
        <v>0.78739999999999999</v>
      </c>
      <c r="E147" s="111">
        <f>DGKC!F153</f>
        <v>0.80069529730312039</v>
      </c>
      <c r="F147" s="111">
        <f>DGKC!F84/AVERAGE(DGKC!E20,DGKC!F20)</f>
        <v>0.78744639714471132</v>
      </c>
      <c r="G147" s="115" t="s">
        <v>98</v>
      </c>
      <c r="H147" s="115" t="str">
        <f t="shared" si="6"/>
        <v>Reproduced to precision</v>
      </c>
      <c r="I147" s="115" t="s">
        <v>22</v>
      </c>
      <c r="J147" s="115" t="s">
        <v>87</v>
      </c>
      <c r="K147" s="115" t="s">
        <v>38</v>
      </c>
      <c r="L147" s="115" t="s">
        <v>25</v>
      </c>
      <c r="M147" s="110">
        <f t="shared" si="7"/>
        <v>1.3295297303120401E-2</v>
      </c>
      <c r="N147" s="110">
        <f t="shared" si="8"/>
        <v>4.639714471132983E-5</v>
      </c>
      <c r="O147" s="110">
        <v>4</v>
      </c>
    </row>
    <row r="148" spans="1:15" ht="112.05" customHeight="1" x14ac:dyDescent="0.3">
      <c r="A148" s="49" t="s">
        <v>86</v>
      </c>
      <c r="B148" s="49" t="s">
        <v>47</v>
      </c>
      <c r="C148" s="49" t="s">
        <v>28</v>
      </c>
      <c r="D148" s="112">
        <v>0.81469999999999998</v>
      </c>
      <c r="E148" s="112">
        <f>DGKC!G153</f>
        <v>0.83184936052767189</v>
      </c>
      <c r="F148" s="112">
        <f>DGKC!G84/AVERAGE(DGKC!F20,DGKC!G20)</f>
        <v>0.8146714508469528</v>
      </c>
      <c r="G148" s="116" t="s">
        <v>98</v>
      </c>
      <c r="H148" s="116" t="str">
        <f t="shared" si="6"/>
        <v>Reproduced to precision</v>
      </c>
      <c r="I148" s="116" t="s">
        <v>22</v>
      </c>
      <c r="J148" s="116" t="s">
        <v>87</v>
      </c>
      <c r="K148" s="116" t="s">
        <v>38</v>
      </c>
      <c r="L148" s="116" t="s">
        <v>25</v>
      </c>
      <c r="M148" s="49">
        <f t="shared" si="7"/>
        <v>1.7149360527671909E-2</v>
      </c>
      <c r="N148" s="49">
        <f t="shared" si="8"/>
        <v>-2.8549153047174869E-5</v>
      </c>
      <c r="O148" s="49">
        <v>4</v>
      </c>
    </row>
    <row r="149" spans="1:15" ht="112.05" customHeight="1" x14ac:dyDescent="0.3">
      <c r="A149" s="110" t="s">
        <v>86</v>
      </c>
      <c r="B149" s="110" t="s">
        <v>47</v>
      </c>
      <c r="C149" s="110" t="s">
        <v>29</v>
      </c>
      <c r="D149" s="111">
        <v>0.91510000000000002</v>
      </c>
      <c r="E149" s="111">
        <f>DGKC!H153</f>
        <v>0.92770303514995711</v>
      </c>
      <c r="F149" s="111">
        <f>DGKC!H84/AVERAGE(DGKC!G20,DGKC!H20)</f>
        <v>0.91507229555925906</v>
      </c>
      <c r="G149" s="115" t="s">
        <v>98</v>
      </c>
      <c r="H149" s="115" t="str">
        <f t="shared" si="6"/>
        <v>Reproduced to precision</v>
      </c>
      <c r="I149" s="115" t="s">
        <v>22</v>
      </c>
      <c r="J149" s="115" t="s">
        <v>87</v>
      </c>
      <c r="K149" s="115" t="s">
        <v>38</v>
      </c>
      <c r="L149" s="115" t="s">
        <v>25</v>
      </c>
      <c r="M149" s="110">
        <f t="shared" si="7"/>
        <v>1.2603035149957087E-2</v>
      </c>
      <c r="N149" s="110">
        <f t="shared" si="8"/>
        <v>-2.7704440740961012E-5</v>
      </c>
      <c r="O149" s="110">
        <v>4</v>
      </c>
    </row>
    <row r="150" spans="1:15" ht="112.05" customHeight="1" x14ac:dyDescent="0.3">
      <c r="A150" s="49" t="s">
        <v>86</v>
      </c>
      <c r="B150" s="49" t="s">
        <v>99</v>
      </c>
      <c r="C150" s="49" t="s">
        <v>20</v>
      </c>
      <c r="D150" s="112">
        <v>3.86</v>
      </c>
      <c r="E150" s="112">
        <f>DGKC!D159</f>
        <v>2.6652770217618258</v>
      </c>
      <c r="F150" s="112">
        <f>DGKC!D109/(-DGKC!D95)</f>
        <v>3.8594897077074504</v>
      </c>
      <c r="G150" s="116" t="s">
        <v>100</v>
      </c>
      <c r="H150" s="116" t="str">
        <f t="shared" si="6"/>
        <v>Reproduced to precision</v>
      </c>
      <c r="I150" s="116" t="s">
        <v>22</v>
      </c>
      <c r="J150" s="116" t="s">
        <v>87</v>
      </c>
      <c r="K150" s="116" t="s">
        <v>38</v>
      </c>
      <c r="L150" s="116" t="s">
        <v>25</v>
      </c>
      <c r="M150" s="49">
        <f t="shared" si="7"/>
        <v>-1.1947229782381741</v>
      </c>
      <c r="N150" s="49">
        <f t="shared" si="8"/>
        <v>-5.1029229254950792E-4</v>
      </c>
      <c r="O150" s="49">
        <v>2</v>
      </c>
    </row>
    <row r="151" spans="1:15" ht="112.05" customHeight="1" x14ac:dyDescent="0.3">
      <c r="A151" s="110" t="s">
        <v>86</v>
      </c>
      <c r="B151" s="110" t="s">
        <v>99</v>
      </c>
      <c r="C151" s="110" t="s">
        <v>26</v>
      </c>
      <c r="D151" s="111">
        <v>3.78</v>
      </c>
      <c r="E151" s="111">
        <f>DGKC!E159</f>
        <v>2.7057478339935286</v>
      </c>
      <c r="F151" s="111">
        <f>DGKC!E109/(-DGKC!E95)</f>
        <v>3.7814418567271888</v>
      </c>
      <c r="G151" s="115" t="s">
        <v>100</v>
      </c>
      <c r="H151" s="115" t="str">
        <f t="shared" si="6"/>
        <v>Reproduced to precision</v>
      </c>
      <c r="I151" s="115" t="s">
        <v>22</v>
      </c>
      <c r="J151" s="115" t="s">
        <v>87</v>
      </c>
      <c r="K151" s="115" t="s">
        <v>38</v>
      </c>
      <c r="L151" s="115" t="s">
        <v>25</v>
      </c>
      <c r="M151" s="110">
        <f t="shared" si="7"/>
        <v>-1.0742521660064712</v>
      </c>
      <c r="N151" s="110">
        <f t="shared" si="8"/>
        <v>1.4418567271889948E-3</v>
      </c>
      <c r="O151" s="110">
        <v>2</v>
      </c>
    </row>
    <row r="152" spans="1:15" ht="112.05" customHeight="1" x14ac:dyDescent="0.3">
      <c r="A152" s="49" t="s">
        <v>86</v>
      </c>
      <c r="B152" s="49" t="s">
        <v>99</v>
      </c>
      <c r="C152" s="49" t="s">
        <v>27</v>
      </c>
      <c r="D152" s="112">
        <v>2.0499999999999998</v>
      </c>
      <c r="E152" s="112">
        <f>DGKC!F159</f>
        <v>1.4774958199074884</v>
      </c>
      <c r="F152" s="112">
        <f>DGKC!F109/(-DGKC!F95)</f>
        <v>2.0540437880768145</v>
      </c>
      <c r="G152" s="116" t="s">
        <v>100</v>
      </c>
      <c r="H152" s="116" t="str">
        <f t="shared" si="6"/>
        <v>Reproduced to precision</v>
      </c>
      <c r="I152" s="116" t="s">
        <v>22</v>
      </c>
      <c r="J152" s="116" t="s">
        <v>87</v>
      </c>
      <c r="K152" s="116" t="s">
        <v>38</v>
      </c>
      <c r="L152" s="116" t="s">
        <v>25</v>
      </c>
      <c r="M152" s="49">
        <f t="shared" si="7"/>
        <v>-0.57250418009251147</v>
      </c>
      <c r="N152" s="49">
        <f t="shared" si="8"/>
        <v>4.0437880768147139E-3</v>
      </c>
      <c r="O152" s="49">
        <v>2</v>
      </c>
    </row>
    <row r="153" spans="1:15" ht="112.05" customHeight="1" x14ac:dyDescent="0.3">
      <c r="A153" s="110" t="s">
        <v>86</v>
      </c>
      <c r="B153" s="110" t="s">
        <v>99</v>
      </c>
      <c r="C153" s="110" t="s">
        <v>28</v>
      </c>
      <c r="D153" s="111">
        <v>1.84</v>
      </c>
      <c r="E153" s="111">
        <f>DGKC!G159</f>
        <v>1.3678290337209771</v>
      </c>
      <c r="F153" s="111">
        <f>DGKC!G109/(-DGKC!G95)</f>
        <v>1.8364297181451814</v>
      </c>
      <c r="G153" s="115" t="s">
        <v>100</v>
      </c>
      <c r="H153" s="115" t="str">
        <f t="shared" si="6"/>
        <v>Reproduced to precision</v>
      </c>
      <c r="I153" s="115" t="s">
        <v>22</v>
      </c>
      <c r="J153" s="115" t="s">
        <v>87</v>
      </c>
      <c r="K153" s="115" t="s">
        <v>38</v>
      </c>
      <c r="L153" s="115" t="s">
        <v>25</v>
      </c>
      <c r="M153" s="110">
        <f t="shared" si="7"/>
        <v>-0.472170966279023</v>
      </c>
      <c r="N153" s="110">
        <f t="shared" si="8"/>
        <v>-3.5702818548186688E-3</v>
      </c>
      <c r="O153" s="110">
        <v>2</v>
      </c>
    </row>
    <row r="154" spans="1:15" ht="112.05" customHeight="1" x14ac:dyDescent="0.3">
      <c r="A154" s="49" t="s">
        <v>86</v>
      </c>
      <c r="B154" s="49" t="s">
        <v>99</v>
      </c>
      <c r="C154" s="49" t="s">
        <v>29</v>
      </c>
      <c r="D154" s="112">
        <v>5.35</v>
      </c>
      <c r="E154" s="112">
        <f>DGKC!H159</f>
        <v>4.4213215166047632</v>
      </c>
      <c r="F154" s="112">
        <f>DGKC!H109/(-DGKC!H95)</f>
        <v>5.3502460336838125</v>
      </c>
      <c r="G154" s="116" t="s">
        <v>100</v>
      </c>
      <c r="H154" s="116" t="str">
        <f t="shared" si="6"/>
        <v>Reproduced to precision</v>
      </c>
      <c r="I154" s="116" t="s">
        <v>22</v>
      </c>
      <c r="J154" s="116" t="s">
        <v>87</v>
      </c>
      <c r="K154" s="116" t="s">
        <v>38</v>
      </c>
      <c r="L154" s="116" t="s">
        <v>25</v>
      </c>
      <c r="M154" s="49">
        <f t="shared" si="7"/>
        <v>-0.9286784833952364</v>
      </c>
      <c r="N154" s="49">
        <f t="shared" si="8"/>
        <v>2.4603368381281854E-4</v>
      </c>
      <c r="O154" s="49">
        <v>2</v>
      </c>
    </row>
    <row r="155" spans="1:15" ht="112.05" customHeight="1" x14ac:dyDescent="0.3">
      <c r="A155" s="110" t="s">
        <v>86</v>
      </c>
      <c r="B155" s="110" t="s">
        <v>51</v>
      </c>
      <c r="C155" s="110" t="s">
        <v>20</v>
      </c>
      <c r="D155" s="114">
        <v>0.1789</v>
      </c>
      <c r="E155" s="114">
        <f>DGKC!D161</f>
        <v>0.17894713739497631</v>
      </c>
      <c r="F155" s="114">
        <f>DGKC!D86/DGKC!D84</f>
        <v>0.17894713739497631</v>
      </c>
      <c r="G155" s="115" t="s">
        <v>21</v>
      </c>
      <c r="H155" s="115" t="str">
        <f t="shared" si="6"/>
        <v>Reproduced to precision</v>
      </c>
      <c r="I155" s="115" t="s">
        <v>22</v>
      </c>
      <c r="J155" s="115" t="s">
        <v>87</v>
      </c>
      <c r="K155" s="115" t="s">
        <v>24</v>
      </c>
      <c r="L155" s="115" t="s">
        <v>25</v>
      </c>
      <c r="M155" s="110">
        <f t="shared" si="7"/>
        <v>4.7137394976304314E-5</v>
      </c>
      <c r="N155" s="110">
        <f t="shared" si="8"/>
        <v>4.7137394976304314E-5</v>
      </c>
      <c r="O155" s="110">
        <v>4</v>
      </c>
    </row>
    <row r="156" spans="1:15" ht="112.05" customHeight="1" x14ac:dyDescent="0.3">
      <c r="A156" s="49" t="s">
        <v>86</v>
      </c>
      <c r="B156" s="49" t="s">
        <v>51</v>
      </c>
      <c r="C156" s="49" t="s">
        <v>26</v>
      </c>
      <c r="D156" s="113">
        <v>0.1797</v>
      </c>
      <c r="E156" s="113">
        <f>DGKC!E161</f>
        <v>0.17966261135996409</v>
      </c>
      <c r="F156" s="113">
        <f>DGKC!E86/DGKC!E84</f>
        <v>0.17966261135996409</v>
      </c>
      <c r="G156" s="116" t="s">
        <v>21</v>
      </c>
      <c r="H156" s="116" t="str">
        <f t="shared" si="6"/>
        <v>Reproduced to precision</v>
      </c>
      <c r="I156" s="116" t="s">
        <v>22</v>
      </c>
      <c r="J156" s="116" t="s">
        <v>87</v>
      </c>
      <c r="K156" s="116" t="s">
        <v>24</v>
      </c>
      <c r="L156" s="116" t="s">
        <v>25</v>
      </c>
      <c r="M156" s="49">
        <f t="shared" si="7"/>
        <v>-3.7388640035912468E-5</v>
      </c>
      <c r="N156" s="49">
        <f t="shared" si="8"/>
        <v>-3.7388640035912468E-5</v>
      </c>
      <c r="O156" s="49">
        <v>4</v>
      </c>
    </row>
    <row r="157" spans="1:15" ht="112.05" customHeight="1" x14ac:dyDescent="0.3">
      <c r="A157" s="110" t="s">
        <v>86</v>
      </c>
      <c r="B157" s="110" t="s">
        <v>51</v>
      </c>
      <c r="C157" s="110" t="s">
        <v>27</v>
      </c>
      <c r="D157" s="114">
        <v>0.14699999999999999</v>
      </c>
      <c r="E157" s="114">
        <f>DGKC!F161</f>
        <v>0.14704852458583501</v>
      </c>
      <c r="F157" s="114">
        <f>DGKC!F86/DGKC!F84</f>
        <v>0.14704852458583501</v>
      </c>
      <c r="G157" s="115" t="s">
        <v>21</v>
      </c>
      <c r="H157" s="115" t="str">
        <f t="shared" si="6"/>
        <v>Reproduced to precision</v>
      </c>
      <c r="I157" s="115" t="s">
        <v>22</v>
      </c>
      <c r="J157" s="115" t="s">
        <v>87</v>
      </c>
      <c r="K157" s="115" t="s">
        <v>24</v>
      </c>
      <c r="L157" s="115" t="s">
        <v>25</v>
      </c>
      <c r="M157" s="110">
        <f t="shared" si="7"/>
        <v>4.8524585835013623E-5</v>
      </c>
      <c r="N157" s="110">
        <f t="shared" si="8"/>
        <v>4.8524585835013623E-5</v>
      </c>
      <c r="O157" s="110">
        <v>4</v>
      </c>
    </row>
    <row r="158" spans="1:15" ht="112.05" customHeight="1" x14ac:dyDescent="0.3">
      <c r="A158" s="49" t="s">
        <v>86</v>
      </c>
      <c r="B158" s="49" t="s">
        <v>51</v>
      </c>
      <c r="C158" s="49" t="s">
        <v>28</v>
      </c>
      <c r="D158" s="113">
        <v>0.15939999999999999</v>
      </c>
      <c r="E158" s="113">
        <f>DGKC!G161</f>
        <v>0.15942563608432631</v>
      </c>
      <c r="F158" s="113">
        <f>DGKC!G86/DGKC!G84</f>
        <v>0.15942563608432631</v>
      </c>
      <c r="G158" s="116" t="s">
        <v>21</v>
      </c>
      <c r="H158" s="116" t="str">
        <f t="shared" si="6"/>
        <v>Reproduced to precision</v>
      </c>
      <c r="I158" s="116" t="s">
        <v>22</v>
      </c>
      <c r="J158" s="116" t="s">
        <v>87</v>
      </c>
      <c r="K158" s="116" t="s">
        <v>24</v>
      </c>
      <c r="L158" s="116" t="s">
        <v>25</v>
      </c>
      <c r="M158" s="49">
        <f t="shared" si="7"/>
        <v>2.5636084326319253E-5</v>
      </c>
      <c r="N158" s="49">
        <f t="shared" si="8"/>
        <v>2.5636084326319253E-5</v>
      </c>
      <c r="O158" s="49">
        <v>4</v>
      </c>
    </row>
    <row r="159" spans="1:15" ht="112.05" customHeight="1" x14ac:dyDescent="0.3">
      <c r="A159" s="110" t="s">
        <v>86</v>
      </c>
      <c r="B159" s="110" t="s">
        <v>51</v>
      </c>
      <c r="C159" s="110" t="s">
        <v>29</v>
      </c>
      <c r="D159" s="114">
        <v>0.25740000000000002</v>
      </c>
      <c r="E159" s="114">
        <f>DGKC!H161</f>
        <v>0.25740632547300923</v>
      </c>
      <c r="F159" s="114">
        <f>DGKC!H86/DGKC!H84</f>
        <v>0.25740632547300923</v>
      </c>
      <c r="G159" s="115" t="s">
        <v>21</v>
      </c>
      <c r="H159" s="115" t="str">
        <f t="shared" si="6"/>
        <v>Reproduced to precision</v>
      </c>
      <c r="I159" s="115" t="s">
        <v>22</v>
      </c>
      <c r="J159" s="115" t="s">
        <v>87</v>
      </c>
      <c r="K159" s="115" t="s">
        <v>24</v>
      </c>
      <c r="L159" s="115" t="s">
        <v>25</v>
      </c>
      <c r="M159" s="110">
        <f t="shared" si="7"/>
        <v>6.3254730092165978E-6</v>
      </c>
      <c r="N159" s="110">
        <f t="shared" si="8"/>
        <v>6.3254730092165978E-6</v>
      </c>
      <c r="O159" s="110">
        <v>4</v>
      </c>
    </row>
    <row r="160" spans="1:15" ht="112.05" customHeight="1" x14ac:dyDescent="0.3">
      <c r="A160" s="49" t="s">
        <v>86</v>
      </c>
      <c r="B160" s="49" t="s">
        <v>52</v>
      </c>
      <c r="C160" s="49" t="s">
        <v>20</v>
      </c>
      <c r="D160" s="113">
        <v>8.2500000000000004E-2</v>
      </c>
      <c r="E160" s="113">
        <f>DGKC!D163</f>
        <v>8.2497529800351119E-2</v>
      </c>
      <c r="F160" s="113">
        <f>DGKC!D99/DGKC!D84</f>
        <v>8.2497529800351119E-2</v>
      </c>
      <c r="G160" s="116" t="s">
        <v>21</v>
      </c>
      <c r="H160" s="116" t="str">
        <f t="shared" si="6"/>
        <v>Reproduced to precision</v>
      </c>
      <c r="I160" s="116" t="s">
        <v>22</v>
      </c>
      <c r="J160" s="116" t="s">
        <v>87</v>
      </c>
      <c r="K160" s="116" t="s">
        <v>24</v>
      </c>
      <c r="L160" s="116" t="s">
        <v>25</v>
      </c>
      <c r="M160" s="49">
        <f t="shared" si="7"/>
        <v>-2.4701996488851741E-6</v>
      </c>
      <c r="N160" s="49">
        <f t="shared" si="8"/>
        <v>-2.4701996488851741E-6</v>
      </c>
      <c r="O160" s="49">
        <v>4</v>
      </c>
    </row>
    <row r="161" spans="1:15" ht="112.05" customHeight="1" x14ac:dyDescent="0.3">
      <c r="A161" s="110" t="s">
        <v>86</v>
      </c>
      <c r="B161" s="110" t="s">
        <v>52</v>
      </c>
      <c r="C161" s="110" t="s">
        <v>26</v>
      </c>
      <c r="D161" s="114">
        <v>5.1200000000000002E-2</v>
      </c>
      <c r="E161" s="114">
        <f>DGKC!E163</f>
        <v>5.120493100192175E-2</v>
      </c>
      <c r="F161" s="114">
        <f>DGKC!E99/DGKC!E84</f>
        <v>5.120493100192175E-2</v>
      </c>
      <c r="G161" s="115" t="s">
        <v>21</v>
      </c>
      <c r="H161" s="115" t="str">
        <f t="shared" si="6"/>
        <v>Reproduced to precision</v>
      </c>
      <c r="I161" s="115" t="s">
        <v>22</v>
      </c>
      <c r="J161" s="115" t="s">
        <v>87</v>
      </c>
      <c r="K161" s="115" t="s">
        <v>24</v>
      </c>
      <c r="L161" s="115" t="s">
        <v>25</v>
      </c>
      <c r="M161" s="110">
        <f t="shared" si="7"/>
        <v>4.931001921747169E-6</v>
      </c>
      <c r="N161" s="110">
        <f t="shared" si="8"/>
        <v>4.931001921747169E-6</v>
      </c>
      <c r="O161" s="110">
        <v>4</v>
      </c>
    </row>
    <row r="162" spans="1:15" ht="112.05" customHeight="1" x14ac:dyDescent="0.3">
      <c r="A162" s="49" t="s">
        <v>86</v>
      </c>
      <c r="B162" s="49" t="s">
        <v>52</v>
      </c>
      <c r="C162" s="49" t="s">
        <v>27</v>
      </c>
      <c r="D162" s="113">
        <v>-5.6000000000000001E-2</v>
      </c>
      <c r="E162" s="113" t="str">
        <f>DGKC!F163</f>
        <v>n/m</v>
      </c>
      <c r="F162" s="113">
        <f>DGKC!F99/DGKC!F84</f>
        <v>-5.595201919567025E-2</v>
      </c>
      <c r="G162" s="116" t="s">
        <v>21</v>
      </c>
      <c r="H162" s="116" t="str">
        <f t="shared" si="6"/>
        <v>Reproduced to precision</v>
      </c>
      <c r="I162" s="116" t="s">
        <v>22</v>
      </c>
      <c r="J162" s="116" t="s">
        <v>87</v>
      </c>
      <c r="K162" s="116" t="s">
        <v>24</v>
      </c>
      <c r="L162" s="116" t="s">
        <v>25</v>
      </c>
      <c r="M162" s="49" t="str">
        <f t="shared" si="7"/>
        <v>n/m</v>
      </c>
      <c r="N162" s="49">
        <f t="shared" si="8"/>
        <v>4.7980804329751658E-5</v>
      </c>
      <c r="O162" s="49">
        <v>4</v>
      </c>
    </row>
    <row r="163" spans="1:15" ht="112.05" customHeight="1" x14ac:dyDescent="0.3">
      <c r="A163" s="110" t="s">
        <v>86</v>
      </c>
      <c r="B163" s="110" t="s">
        <v>52</v>
      </c>
      <c r="C163" s="110" t="s">
        <v>28</v>
      </c>
      <c r="D163" s="114">
        <v>8.2000000000000007E-3</v>
      </c>
      <c r="E163" s="114">
        <f>DGKC!G163</f>
        <v>8.2133065966830711E-3</v>
      </c>
      <c r="F163" s="114">
        <f>DGKC!G99/DGKC!G84</f>
        <v>8.2133065966830711E-3</v>
      </c>
      <c r="G163" s="115" t="s">
        <v>21</v>
      </c>
      <c r="H163" s="115" t="str">
        <f t="shared" si="6"/>
        <v>Reproduced to precision</v>
      </c>
      <c r="I163" s="115" t="s">
        <v>22</v>
      </c>
      <c r="J163" s="115" t="s">
        <v>87</v>
      </c>
      <c r="K163" s="115" t="s">
        <v>24</v>
      </c>
      <c r="L163" s="115" t="s">
        <v>25</v>
      </c>
      <c r="M163" s="110">
        <f t="shared" si="7"/>
        <v>1.3306596683070396E-5</v>
      </c>
      <c r="N163" s="110">
        <f t="shared" si="8"/>
        <v>1.3306596683070396E-5</v>
      </c>
      <c r="O163" s="110">
        <v>4</v>
      </c>
    </row>
    <row r="164" spans="1:15" ht="112.05" customHeight="1" x14ac:dyDescent="0.3">
      <c r="A164" s="49" t="s">
        <v>86</v>
      </c>
      <c r="B164" s="49" t="s">
        <v>52</v>
      </c>
      <c r="C164" s="49" t="s">
        <v>29</v>
      </c>
      <c r="D164" s="113">
        <v>0.1207</v>
      </c>
      <c r="E164" s="113">
        <f>DGKC!H163</f>
        <v>0.12066652759857006</v>
      </c>
      <c r="F164" s="113">
        <f>DGKC!H99/DGKC!H84</f>
        <v>0.12066652759857006</v>
      </c>
      <c r="G164" s="116" t="s">
        <v>21</v>
      </c>
      <c r="H164" s="116" t="str">
        <f t="shared" si="6"/>
        <v>Reproduced to precision</v>
      </c>
      <c r="I164" s="116" t="s">
        <v>22</v>
      </c>
      <c r="J164" s="116" t="s">
        <v>87</v>
      </c>
      <c r="K164" s="116" t="s">
        <v>24</v>
      </c>
      <c r="L164" s="116" t="s">
        <v>25</v>
      </c>
      <c r="M164" s="49">
        <f t="shared" si="7"/>
        <v>-3.3472401429937571E-5</v>
      </c>
      <c r="N164" s="49">
        <f t="shared" si="8"/>
        <v>-3.3472401429937571E-5</v>
      </c>
      <c r="O164" s="49">
        <v>4</v>
      </c>
    </row>
    <row r="165" spans="1:15" ht="112.05" customHeight="1" x14ac:dyDescent="0.3">
      <c r="A165" s="110" t="s">
        <v>86</v>
      </c>
      <c r="B165" s="110" t="s">
        <v>101</v>
      </c>
      <c r="C165" s="110" t="s">
        <v>20</v>
      </c>
      <c r="D165" s="114">
        <v>5.3100000000000001E-2</v>
      </c>
      <c r="E165" s="114">
        <f>DGKC!D165</f>
        <v>5.3114745768384881E-2</v>
      </c>
      <c r="F165" s="114">
        <f>DGKC!D99/AVERAGE(DGKC!C41,DGKC!D41)</f>
        <v>5.3114745768384881E-2</v>
      </c>
      <c r="G165" s="115" t="s">
        <v>102</v>
      </c>
      <c r="H165" s="115" t="str">
        <f t="shared" si="6"/>
        <v>Reproduced to precision</v>
      </c>
      <c r="I165" s="115" t="s">
        <v>22</v>
      </c>
      <c r="J165" s="115" t="s">
        <v>87</v>
      </c>
      <c r="K165" s="115" t="s">
        <v>24</v>
      </c>
      <c r="L165" s="115" t="s">
        <v>25</v>
      </c>
      <c r="M165" s="110">
        <f t="shared" si="7"/>
        <v>1.4745768384880065E-5</v>
      </c>
      <c r="N165" s="110">
        <f t="shared" si="8"/>
        <v>1.4745768384880065E-5</v>
      </c>
      <c r="O165" s="110">
        <v>4</v>
      </c>
    </row>
    <row r="166" spans="1:15" ht="112.05" customHeight="1" x14ac:dyDescent="0.3">
      <c r="A166" s="49" t="s">
        <v>86</v>
      </c>
      <c r="B166" s="49" t="s">
        <v>101</v>
      </c>
      <c r="C166" s="49" t="s">
        <v>26</v>
      </c>
      <c r="D166" s="113">
        <v>4.1500000000000002E-2</v>
      </c>
      <c r="E166" s="113">
        <f>DGKC!E165</f>
        <v>4.1453492679972344E-2</v>
      </c>
      <c r="F166" s="113">
        <f>DGKC!E99/AVERAGE(DGKC!D41,DGKC!E41)</f>
        <v>4.1453492679972344E-2</v>
      </c>
      <c r="G166" s="116" t="s">
        <v>102</v>
      </c>
      <c r="H166" s="116" t="str">
        <f t="shared" si="6"/>
        <v>Reproduced to precision</v>
      </c>
      <c r="I166" s="116" t="s">
        <v>22</v>
      </c>
      <c r="J166" s="116" t="s">
        <v>87</v>
      </c>
      <c r="K166" s="116" t="s">
        <v>24</v>
      </c>
      <c r="L166" s="116" t="s">
        <v>25</v>
      </c>
      <c r="M166" s="49">
        <f t="shared" si="7"/>
        <v>-4.6507320027658339E-5</v>
      </c>
      <c r="N166" s="49">
        <f t="shared" si="8"/>
        <v>-4.6507320027658339E-5</v>
      </c>
      <c r="O166" s="49">
        <v>4</v>
      </c>
    </row>
    <row r="167" spans="1:15" ht="112.05" customHeight="1" x14ac:dyDescent="0.3">
      <c r="A167" s="110" t="s">
        <v>86</v>
      </c>
      <c r="B167" s="110" t="s">
        <v>101</v>
      </c>
      <c r="C167" s="110" t="s">
        <v>27</v>
      </c>
      <c r="D167" s="114">
        <v>-5.4199999999999998E-2</v>
      </c>
      <c r="E167" s="114" t="str">
        <f>DGKC!F165</f>
        <v>n/m</v>
      </c>
      <c r="F167" s="114">
        <f>DGKC!F99/AVERAGE(DGKC!E41,DGKC!F41)</f>
        <v>-5.4223633205898243E-2</v>
      </c>
      <c r="G167" s="115" t="s">
        <v>102</v>
      </c>
      <c r="H167" s="115" t="str">
        <f t="shared" si="6"/>
        <v>Reproduced to precision</v>
      </c>
      <c r="I167" s="115" t="s">
        <v>22</v>
      </c>
      <c r="J167" s="115" t="s">
        <v>87</v>
      </c>
      <c r="K167" s="115" t="s">
        <v>24</v>
      </c>
      <c r="L167" s="115" t="s">
        <v>25</v>
      </c>
      <c r="M167" s="110" t="str">
        <f t="shared" si="7"/>
        <v>n/m</v>
      </c>
      <c r="N167" s="110">
        <f t="shared" si="8"/>
        <v>-2.3633205898244969E-5</v>
      </c>
      <c r="O167" s="110">
        <v>4</v>
      </c>
    </row>
    <row r="168" spans="1:15" ht="112.05" customHeight="1" x14ac:dyDescent="0.3">
      <c r="A168" s="49" t="s">
        <v>86</v>
      </c>
      <c r="B168" s="49" t="s">
        <v>101</v>
      </c>
      <c r="C168" s="49" t="s">
        <v>28</v>
      </c>
      <c r="D168" s="113">
        <v>7.7000000000000002E-3</v>
      </c>
      <c r="E168" s="113">
        <f>DGKC!G165</f>
        <v>7.7463112901141971E-3</v>
      </c>
      <c r="F168" s="113">
        <f>DGKC!G99/AVERAGE(DGKC!F41,DGKC!G41)</f>
        <v>7.7463112901141971E-3</v>
      </c>
      <c r="G168" s="116" t="s">
        <v>102</v>
      </c>
      <c r="H168" s="116" t="str">
        <f t="shared" si="6"/>
        <v>Reproduced to precision</v>
      </c>
      <c r="I168" s="116" t="s">
        <v>22</v>
      </c>
      <c r="J168" s="116" t="s">
        <v>87</v>
      </c>
      <c r="K168" s="116" t="s">
        <v>24</v>
      </c>
      <c r="L168" s="116" t="s">
        <v>25</v>
      </c>
      <c r="M168" s="49">
        <f t="shared" si="7"/>
        <v>4.6311290114196824E-5</v>
      </c>
      <c r="N168" s="49">
        <f t="shared" si="8"/>
        <v>4.6311290114196824E-5</v>
      </c>
      <c r="O168" s="49">
        <v>4</v>
      </c>
    </row>
    <row r="169" spans="1:15" ht="112.05" customHeight="1" x14ac:dyDescent="0.3">
      <c r="A169" s="110" t="s">
        <v>86</v>
      </c>
      <c r="B169" s="110" t="s">
        <v>101</v>
      </c>
      <c r="C169" s="110" t="s">
        <v>29</v>
      </c>
      <c r="D169" s="114">
        <v>0.1018</v>
      </c>
      <c r="E169" s="114">
        <f>DGKC!H165</f>
        <v>0.10175126160150023</v>
      </c>
      <c r="F169" s="114">
        <f>DGKC!H99/AVERAGE(DGKC!G41,DGKC!H41)</f>
        <v>0.10175126160150023</v>
      </c>
      <c r="G169" s="115" t="s">
        <v>102</v>
      </c>
      <c r="H169" s="115" t="str">
        <f t="shared" si="6"/>
        <v>Reproduced to precision</v>
      </c>
      <c r="I169" s="115" t="s">
        <v>22</v>
      </c>
      <c r="J169" s="115" t="s">
        <v>87</v>
      </c>
      <c r="K169" s="115" t="s">
        <v>24</v>
      </c>
      <c r="L169" s="115" t="s">
        <v>25</v>
      </c>
      <c r="M169" s="110">
        <f t="shared" si="7"/>
        <v>-4.8738398499767466E-5</v>
      </c>
      <c r="N169" s="110">
        <f t="shared" si="8"/>
        <v>-4.8738398499767466E-5</v>
      </c>
      <c r="O169" s="110">
        <v>4</v>
      </c>
    </row>
    <row r="170" spans="1:15" ht="112.05" customHeight="1" x14ac:dyDescent="0.3">
      <c r="A170" s="49" t="s">
        <v>86</v>
      </c>
      <c r="B170" s="49" t="s">
        <v>103</v>
      </c>
      <c r="C170" s="49" t="s">
        <v>20</v>
      </c>
      <c r="D170" s="112">
        <v>13.88</v>
      </c>
      <c r="E170" s="112">
        <f>DGKC!D172</f>
        <v>13.883154069739035</v>
      </c>
      <c r="F170" s="112">
        <f>'PSX Prices'!F16/(DGKC!D99/'PSX Prices'!O16)</f>
        <v>13.883154069739035</v>
      </c>
      <c r="G170" s="116" t="s">
        <v>56</v>
      </c>
      <c r="H170" s="116" t="str">
        <f t="shared" si="6"/>
        <v>Reproduced to precision</v>
      </c>
      <c r="I170" s="116" t="s">
        <v>22</v>
      </c>
      <c r="J170" s="116" t="s">
        <v>87</v>
      </c>
      <c r="K170" s="116" t="s">
        <v>57</v>
      </c>
      <c r="L170" s="116" t="s">
        <v>25</v>
      </c>
      <c r="M170" s="49">
        <f t="shared" si="7"/>
        <v>3.1540697390344263E-3</v>
      </c>
      <c r="N170" s="49">
        <f t="shared" si="8"/>
        <v>3.1540697390344263E-3</v>
      </c>
      <c r="O170" s="49">
        <v>2</v>
      </c>
    </row>
    <row r="171" spans="1:15" ht="112.05" customHeight="1" x14ac:dyDescent="0.3">
      <c r="A171" s="110" t="s">
        <v>86</v>
      </c>
      <c r="B171" s="110" t="s">
        <v>103</v>
      </c>
      <c r="C171" s="110" t="s">
        <v>26</v>
      </c>
      <c r="D171" s="111">
        <v>9.2100000000000009</v>
      </c>
      <c r="E171" s="111">
        <f>DGKC!E172</f>
        <v>9.2130648554640278</v>
      </c>
      <c r="F171" s="111">
        <f>'PSX Prices'!F17/(DGKC!E99/'PSX Prices'!O17)</f>
        <v>9.2130648554640278</v>
      </c>
      <c r="G171" s="115" t="s">
        <v>56</v>
      </c>
      <c r="H171" s="115" t="str">
        <f t="shared" si="6"/>
        <v>Reproduced to precision</v>
      </c>
      <c r="I171" s="115" t="s">
        <v>22</v>
      </c>
      <c r="J171" s="115" t="s">
        <v>87</v>
      </c>
      <c r="K171" s="115" t="s">
        <v>57</v>
      </c>
      <c r="L171" s="115" t="s">
        <v>25</v>
      </c>
      <c r="M171" s="110">
        <f t="shared" si="7"/>
        <v>3.0648554640269055E-3</v>
      </c>
      <c r="N171" s="110">
        <f t="shared" si="8"/>
        <v>3.0648554640269055E-3</v>
      </c>
      <c r="O171" s="110">
        <v>2</v>
      </c>
    </row>
    <row r="172" spans="1:15" ht="112.05" customHeight="1" x14ac:dyDescent="0.3">
      <c r="A172" s="49" t="s">
        <v>86</v>
      </c>
      <c r="B172" s="49" t="s">
        <v>103</v>
      </c>
      <c r="C172" s="49" t="s">
        <v>27</v>
      </c>
      <c r="D172" s="112">
        <v>-6.18</v>
      </c>
      <c r="E172" s="112" t="str">
        <f>DGKC!F172</f>
        <v>n/m</v>
      </c>
      <c r="F172" s="112">
        <f>'PSX Prices'!F18/(DGKC!F99/'PSX Prices'!O18)</f>
        <v>-6.1814243970257232</v>
      </c>
      <c r="G172" s="116" t="s">
        <v>56</v>
      </c>
      <c r="H172" s="116" t="str">
        <f t="shared" si="6"/>
        <v>Reproduced to precision</v>
      </c>
      <c r="I172" s="116" t="s">
        <v>22</v>
      </c>
      <c r="J172" s="116" t="s">
        <v>87</v>
      </c>
      <c r="K172" s="116" t="s">
        <v>57</v>
      </c>
      <c r="L172" s="116" t="s">
        <v>25</v>
      </c>
      <c r="M172" s="49" t="str">
        <f t="shared" si="7"/>
        <v>n/m</v>
      </c>
      <c r="N172" s="49">
        <f t="shared" si="8"/>
        <v>-1.4243970257235006E-3</v>
      </c>
      <c r="O172" s="49">
        <v>2</v>
      </c>
    </row>
    <row r="173" spans="1:15" ht="112.05" customHeight="1" x14ac:dyDescent="0.3">
      <c r="A173" s="110" t="s">
        <v>86</v>
      </c>
      <c r="B173" s="110" t="s">
        <v>103</v>
      </c>
      <c r="C173" s="110" t="s">
        <v>28</v>
      </c>
      <c r="D173" s="111">
        <v>72.92</v>
      </c>
      <c r="E173" s="111">
        <f>DGKC!G172</f>
        <v>72.91538429829842</v>
      </c>
      <c r="F173" s="111">
        <f>'PSX Prices'!F19/(DGKC!G99/'PSX Prices'!O19)</f>
        <v>72.91538429829842</v>
      </c>
      <c r="G173" s="115" t="s">
        <v>56</v>
      </c>
      <c r="H173" s="115" t="str">
        <f t="shared" si="6"/>
        <v>Reproduced to precision</v>
      </c>
      <c r="I173" s="115" t="s">
        <v>22</v>
      </c>
      <c r="J173" s="115" t="s">
        <v>87</v>
      </c>
      <c r="K173" s="115" t="s">
        <v>57</v>
      </c>
      <c r="L173" s="115" t="s">
        <v>25</v>
      </c>
      <c r="M173" s="110">
        <f t="shared" si="7"/>
        <v>-4.6157017015815427E-3</v>
      </c>
      <c r="N173" s="110">
        <f t="shared" si="8"/>
        <v>-4.6157017015815427E-3</v>
      </c>
      <c r="O173" s="110">
        <v>2</v>
      </c>
    </row>
    <row r="174" spans="1:15" ht="112.05" customHeight="1" x14ac:dyDescent="0.3">
      <c r="A174" s="49" t="s">
        <v>86</v>
      </c>
      <c r="B174" s="49" t="s">
        <v>103</v>
      </c>
      <c r="C174" s="49" t="s">
        <v>29</v>
      </c>
      <c r="D174" s="112">
        <v>8.36</v>
      </c>
      <c r="E174" s="112">
        <f>DGKC!H172</f>
        <v>8.3613265542147914</v>
      </c>
      <c r="F174" s="112">
        <f>'PSX Prices'!F20/(DGKC!H99/'PSX Prices'!O20)</f>
        <v>8.3613265542147914</v>
      </c>
      <c r="G174" s="116" t="s">
        <v>56</v>
      </c>
      <c r="H174" s="116" t="str">
        <f t="shared" si="6"/>
        <v>Reproduced to precision</v>
      </c>
      <c r="I174" s="116" t="s">
        <v>22</v>
      </c>
      <c r="J174" s="116" t="s">
        <v>87</v>
      </c>
      <c r="K174" s="116" t="s">
        <v>57</v>
      </c>
      <c r="L174" s="116" t="s">
        <v>25</v>
      </c>
      <c r="M174" s="49">
        <f t="shared" si="7"/>
        <v>1.3265542147919973E-3</v>
      </c>
      <c r="N174" s="49">
        <f t="shared" si="8"/>
        <v>1.3265542147919973E-3</v>
      </c>
      <c r="O174" s="49">
        <v>2</v>
      </c>
    </row>
    <row r="175" spans="1:15" ht="112.05" customHeight="1" x14ac:dyDescent="0.3">
      <c r="A175" s="110" t="s">
        <v>86</v>
      </c>
      <c r="B175" s="110" t="s">
        <v>104</v>
      </c>
      <c r="C175" s="110" t="s">
        <v>20</v>
      </c>
      <c r="D175" s="114">
        <v>8.5000000000000006E-3</v>
      </c>
      <c r="E175" s="114">
        <f>DGKC!D173</f>
        <v>8.4803256445047485E-3</v>
      </c>
      <c r="F175" s="114">
        <f>'PSX Prices'!N16/'PSX Prices'!F16</f>
        <v>8.4803256445047485E-3</v>
      </c>
      <c r="G175" s="115" t="s">
        <v>105</v>
      </c>
      <c r="H175" s="115" t="str">
        <f t="shared" si="6"/>
        <v>Reproduced to precision</v>
      </c>
      <c r="I175" s="115" t="s">
        <v>22</v>
      </c>
      <c r="J175" s="115" t="s">
        <v>87</v>
      </c>
      <c r="K175" s="115" t="s">
        <v>57</v>
      </c>
      <c r="L175" s="115" t="s">
        <v>25</v>
      </c>
      <c r="M175" s="110">
        <f t="shared" si="7"/>
        <v>-1.9674355495252066E-5</v>
      </c>
      <c r="N175" s="110">
        <f t="shared" si="8"/>
        <v>-1.9674355495252066E-5</v>
      </c>
      <c r="O175" s="110">
        <v>4</v>
      </c>
    </row>
    <row r="176" spans="1:15" ht="112.05" customHeight="1" x14ac:dyDescent="0.3">
      <c r="A176" s="49" t="s">
        <v>86</v>
      </c>
      <c r="B176" s="49" t="s">
        <v>104</v>
      </c>
      <c r="C176" s="49" t="s">
        <v>26</v>
      </c>
      <c r="D176" s="113">
        <v>1.6E-2</v>
      </c>
      <c r="E176" s="113">
        <f>DGKC!E173</f>
        <v>1.6E-2</v>
      </c>
      <c r="F176" s="113">
        <f>'PSX Prices'!N17/'PSX Prices'!F17</f>
        <v>1.6E-2</v>
      </c>
      <c r="G176" s="116" t="s">
        <v>105</v>
      </c>
      <c r="H176" s="116" t="str">
        <f t="shared" si="6"/>
        <v>Reproduced to precision</v>
      </c>
      <c r="I176" s="116" t="s">
        <v>22</v>
      </c>
      <c r="J176" s="116" t="s">
        <v>87</v>
      </c>
      <c r="K176" s="116" t="s">
        <v>57</v>
      </c>
      <c r="L176" s="116" t="s">
        <v>25</v>
      </c>
      <c r="M176" s="49">
        <f t="shared" si="7"/>
        <v>0</v>
      </c>
      <c r="N176" s="49">
        <f t="shared" si="8"/>
        <v>0</v>
      </c>
      <c r="O176" s="49">
        <v>4</v>
      </c>
    </row>
    <row r="177" spans="1:15" ht="112.05" customHeight="1" x14ac:dyDescent="0.3">
      <c r="A177" s="110" t="s">
        <v>86</v>
      </c>
      <c r="B177" s="110" t="s">
        <v>104</v>
      </c>
      <c r="C177" s="110" t="s">
        <v>27</v>
      </c>
      <c r="D177" s="114">
        <v>0</v>
      </c>
      <c r="E177" s="114">
        <f>DGKC!F173</f>
        <v>0</v>
      </c>
      <c r="F177" s="114">
        <f>'PSX Prices'!N18/'PSX Prices'!F18</f>
        <v>0</v>
      </c>
      <c r="G177" s="115" t="s">
        <v>105</v>
      </c>
      <c r="H177" s="115" t="str">
        <f t="shared" si="6"/>
        <v>Reproduced to precision</v>
      </c>
      <c r="I177" s="115" t="s">
        <v>22</v>
      </c>
      <c r="J177" s="115" t="s">
        <v>87</v>
      </c>
      <c r="K177" s="115" t="s">
        <v>57</v>
      </c>
      <c r="L177" s="115" t="s">
        <v>25</v>
      </c>
      <c r="M177" s="110">
        <f t="shared" si="7"/>
        <v>0</v>
      </c>
      <c r="N177" s="110">
        <f t="shared" si="8"/>
        <v>0</v>
      </c>
      <c r="O177" s="110">
        <v>4</v>
      </c>
    </row>
    <row r="178" spans="1:15" ht="112.05" customHeight="1" x14ac:dyDescent="0.3">
      <c r="A178" s="49" t="s">
        <v>86</v>
      </c>
      <c r="B178" s="49" t="s">
        <v>104</v>
      </c>
      <c r="C178" s="49" t="s">
        <v>28</v>
      </c>
      <c r="D178" s="113">
        <v>0</v>
      </c>
      <c r="E178" s="113">
        <f>DGKC!G173</f>
        <v>0</v>
      </c>
      <c r="F178" s="113">
        <f>'PSX Prices'!N19/'PSX Prices'!F19</f>
        <v>0</v>
      </c>
      <c r="G178" s="116" t="s">
        <v>105</v>
      </c>
      <c r="H178" s="116" t="str">
        <f t="shared" si="6"/>
        <v>Reproduced to precision</v>
      </c>
      <c r="I178" s="116" t="s">
        <v>22</v>
      </c>
      <c r="J178" s="116" t="s">
        <v>87</v>
      </c>
      <c r="K178" s="116" t="s">
        <v>57</v>
      </c>
      <c r="L178" s="116" t="s">
        <v>25</v>
      </c>
      <c r="M178" s="49">
        <f t="shared" si="7"/>
        <v>0</v>
      </c>
      <c r="N178" s="49">
        <f t="shared" si="8"/>
        <v>0</v>
      </c>
      <c r="O178" s="49">
        <v>4</v>
      </c>
    </row>
    <row r="179" spans="1:15" ht="112.05" customHeight="1" x14ac:dyDescent="0.3">
      <c r="A179" s="110" t="s">
        <v>86</v>
      </c>
      <c r="B179" s="110" t="s">
        <v>104</v>
      </c>
      <c r="C179" s="110" t="s">
        <v>29</v>
      </c>
      <c r="D179" s="114">
        <v>1.21E-2</v>
      </c>
      <c r="E179" s="114">
        <f>DGKC!H173</f>
        <v>1.2080212611741966E-2</v>
      </c>
      <c r="F179" s="114">
        <f>'PSX Prices'!N20/'PSX Prices'!F20</f>
        <v>1.2080212611741966E-2</v>
      </c>
      <c r="G179" s="115" t="s">
        <v>105</v>
      </c>
      <c r="H179" s="115" t="str">
        <f t="shared" si="6"/>
        <v>Reproduced to precision</v>
      </c>
      <c r="I179" s="115" t="s">
        <v>22</v>
      </c>
      <c r="J179" s="115" t="s">
        <v>87</v>
      </c>
      <c r="K179" s="115" t="s">
        <v>57</v>
      </c>
      <c r="L179" s="115" t="s">
        <v>25</v>
      </c>
      <c r="M179" s="110">
        <f t="shared" si="7"/>
        <v>-1.9787388258033639E-5</v>
      </c>
      <c r="N179" s="110">
        <f t="shared" si="8"/>
        <v>-1.9787388258033639E-5</v>
      </c>
      <c r="O179" s="110">
        <v>4</v>
      </c>
    </row>
    <row r="180" spans="1:15" ht="112.05" customHeight="1" x14ac:dyDescent="0.3">
      <c r="A180" s="49" t="s">
        <v>106</v>
      </c>
      <c r="B180" s="49" t="s">
        <v>19</v>
      </c>
      <c r="C180" s="49" t="s">
        <v>20</v>
      </c>
      <c r="D180" s="112">
        <v>1.48</v>
      </c>
      <c r="E180" s="112">
        <f>MLCF!D138</f>
        <v>1.4780988568182505</v>
      </c>
      <c r="F180" s="112">
        <f>MLCF!D36/MLCF!D61</f>
        <v>1.4780988568182505</v>
      </c>
      <c r="G180" s="116" t="s">
        <v>21</v>
      </c>
      <c r="H180" s="116" t="str">
        <f t="shared" si="6"/>
        <v>Reproduced to precision</v>
      </c>
      <c r="I180" s="116" t="s">
        <v>22</v>
      </c>
      <c r="J180" s="116" t="s">
        <v>107</v>
      </c>
      <c r="K180" s="116" t="s">
        <v>24</v>
      </c>
      <c r="L180" s="116" t="s">
        <v>25</v>
      </c>
      <c r="M180" s="49">
        <f t="shared" si="7"/>
        <v>-1.9011431817494984E-3</v>
      </c>
      <c r="N180" s="49">
        <f t="shared" si="8"/>
        <v>-1.9011431817494984E-3</v>
      </c>
      <c r="O180" s="49">
        <v>2</v>
      </c>
    </row>
    <row r="181" spans="1:15" ht="112.05" customHeight="1" x14ac:dyDescent="0.3">
      <c r="A181" s="110" t="s">
        <v>106</v>
      </c>
      <c r="B181" s="110" t="s">
        <v>19</v>
      </c>
      <c r="C181" s="110" t="s">
        <v>26</v>
      </c>
      <c r="D181" s="111">
        <v>1.25</v>
      </c>
      <c r="E181" s="111">
        <f>MLCF!E138</f>
        <v>1.2549557408945418</v>
      </c>
      <c r="F181" s="111">
        <f>MLCF!E36/MLCF!E61</f>
        <v>1.2549557408945418</v>
      </c>
      <c r="G181" s="115" t="s">
        <v>21</v>
      </c>
      <c r="H181" s="115" t="str">
        <f t="shared" si="6"/>
        <v>Reproduced to precision</v>
      </c>
      <c r="I181" s="115" t="s">
        <v>22</v>
      </c>
      <c r="J181" s="115" t="s">
        <v>107</v>
      </c>
      <c r="K181" s="115" t="s">
        <v>24</v>
      </c>
      <c r="L181" s="115" t="s">
        <v>25</v>
      </c>
      <c r="M181" s="110">
        <f t="shared" si="7"/>
        <v>4.9557408945417603E-3</v>
      </c>
      <c r="N181" s="110">
        <f t="shared" si="8"/>
        <v>4.9557408945417603E-3</v>
      </c>
      <c r="O181" s="110">
        <v>2</v>
      </c>
    </row>
    <row r="182" spans="1:15" ht="112.05" customHeight="1" x14ac:dyDescent="0.3">
      <c r="A182" s="49" t="s">
        <v>106</v>
      </c>
      <c r="B182" s="49" t="s">
        <v>19</v>
      </c>
      <c r="C182" s="49" t="s">
        <v>27</v>
      </c>
      <c r="D182" s="112">
        <v>1.37</v>
      </c>
      <c r="E182" s="112">
        <f>MLCF!F138</f>
        <v>1.3715472215546312</v>
      </c>
      <c r="F182" s="112">
        <f>MLCF!F36/MLCF!F61</f>
        <v>1.3715472215546312</v>
      </c>
      <c r="G182" s="116" t="s">
        <v>21</v>
      </c>
      <c r="H182" s="116" t="str">
        <f t="shared" si="6"/>
        <v>Reproduced to precision</v>
      </c>
      <c r="I182" s="116" t="s">
        <v>22</v>
      </c>
      <c r="J182" s="116" t="s">
        <v>107</v>
      </c>
      <c r="K182" s="116" t="s">
        <v>24</v>
      </c>
      <c r="L182" s="116" t="s">
        <v>25</v>
      </c>
      <c r="M182" s="49">
        <f t="shared" si="7"/>
        <v>1.5472215546310508E-3</v>
      </c>
      <c r="N182" s="49">
        <f t="shared" si="8"/>
        <v>1.5472215546310508E-3</v>
      </c>
      <c r="O182" s="49">
        <v>2</v>
      </c>
    </row>
    <row r="183" spans="1:15" ht="112.05" customHeight="1" x14ac:dyDescent="0.3">
      <c r="A183" s="110" t="s">
        <v>106</v>
      </c>
      <c r="B183" s="110" t="s">
        <v>19</v>
      </c>
      <c r="C183" s="110" t="s">
        <v>28</v>
      </c>
      <c r="D183" s="111">
        <v>1.44</v>
      </c>
      <c r="E183" s="111">
        <f>MLCF!G138</f>
        <v>1.4446782415124371</v>
      </c>
      <c r="F183" s="111">
        <f>MLCF!G36/MLCF!G61</f>
        <v>1.4446782415124371</v>
      </c>
      <c r="G183" s="115" t="s">
        <v>21</v>
      </c>
      <c r="H183" s="115" t="str">
        <f t="shared" si="6"/>
        <v>Reproduced to precision</v>
      </c>
      <c r="I183" s="115" t="s">
        <v>22</v>
      </c>
      <c r="J183" s="115" t="s">
        <v>107</v>
      </c>
      <c r="K183" s="115" t="s">
        <v>24</v>
      </c>
      <c r="L183" s="115" t="s">
        <v>25</v>
      </c>
      <c r="M183" s="110">
        <f t="shared" si="7"/>
        <v>4.6782415124371202E-3</v>
      </c>
      <c r="N183" s="110">
        <f t="shared" si="8"/>
        <v>4.6782415124371202E-3</v>
      </c>
      <c r="O183" s="110">
        <v>2</v>
      </c>
    </row>
    <row r="184" spans="1:15" ht="112.05" customHeight="1" x14ac:dyDescent="0.3">
      <c r="A184" s="49" t="s">
        <v>106</v>
      </c>
      <c r="B184" s="49" t="s">
        <v>19</v>
      </c>
      <c r="C184" s="49" t="s">
        <v>29</v>
      </c>
      <c r="D184" s="112">
        <v>1.53</v>
      </c>
      <c r="E184" s="112">
        <f>MLCF!H138</f>
        <v>1.5324411303645513</v>
      </c>
      <c r="F184" s="112">
        <f>MLCF!H36/MLCF!H61</f>
        <v>1.5324411303645513</v>
      </c>
      <c r="G184" s="116" t="s">
        <v>21</v>
      </c>
      <c r="H184" s="116" t="str">
        <f t="shared" si="6"/>
        <v>Reproduced to precision</v>
      </c>
      <c r="I184" s="116" t="s">
        <v>22</v>
      </c>
      <c r="J184" s="116" t="s">
        <v>107</v>
      </c>
      <c r="K184" s="116" t="s">
        <v>24</v>
      </c>
      <c r="L184" s="116" t="s">
        <v>25</v>
      </c>
      <c r="M184" s="49">
        <f t="shared" si="7"/>
        <v>2.4411303645512916E-3</v>
      </c>
      <c r="N184" s="49">
        <f t="shared" si="8"/>
        <v>2.4411303645512916E-3</v>
      </c>
      <c r="O184" s="49">
        <v>2</v>
      </c>
    </row>
    <row r="185" spans="1:15" ht="112.05" customHeight="1" x14ac:dyDescent="0.3">
      <c r="A185" s="110" t="s">
        <v>106</v>
      </c>
      <c r="B185" s="110" t="s">
        <v>88</v>
      </c>
      <c r="C185" s="110" t="s">
        <v>20</v>
      </c>
      <c r="D185" s="111">
        <v>0.44</v>
      </c>
      <c r="E185" s="111">
        <f>MLCF!D139</f>
        <v>0.43971691910387301</v>
      </c>
      <c r="F185" s="111">
        <f>(MLCF!D36-MLCF!D65)/MLCF!D61</f>
        <v>0.43971691910387301</v>
      </c>
      <c r="G185" s="115" t="s">
        <v>21</v>
      </c>
      <c r="H185" s="115" t="str">
        <f t="shared" si="6"/>
        <v>Reproduced to precision</v>
      </c>
      <c r="I185" s="115" t="s">
        <v>22</v>
      </c>
      <c r="J185" s="115" t="s">
        <v>107</v>
      </c>
      <c r="K185" s="115" t="s">
        <v>24</v>
      </c>
      <c r="L185" s="115" t="s">
        <v>25</v>
      </c>
      <c r="M185" s="110">
        <f t="shared" si="7"/>
        <v>-2.8308089612699705E-4</v>
      </c>
      <c r="N185" s="110">
        <f t="shared" si="8"/>
        <v>-2.8308089612699705E-4</v>
      </c>
      <c r="O185" s="110">
        <v>2</v>
      </c>
    </row>
    <row r="186" spans="1:15" ht="112.05" customHeight="1" x14ac:dyDescent="0.3">
      <c r="A186" s="49" t="s">
        <v>106</v>
      </c>
      <c r="B186" s="49" t="s">
        <v>88</v>
      </c>
      <c r="C186" s="49" t="s">
        <v>26</v>
      </c>
      <c r="D186" s="112">
        <v>0.28999999999999998</v>
      </c>
      <c r="E186" s="112">
        <f>MLCF!E139</f>
        <v>0.29473524106223353</v>
      </c>
      <c r="F186" s="112">
        <f>(MLCF!E36-MLCF!E65)/MLCF!E61</f>
        <v>0.29473524106223353</v>
      </c>
      <c r="G186" s="116" t="s">
        <v>21</v>
      </c>
      <c r="H186" s="116" t="str">
        <f t="shared" si="6"/>
        <v>Reproduced to precision</v>
      </c>
      <c r="I186" s="116" t="s">
        <v>22</v>
      </c>
      <c r="J186" s="116" t="s">
        <v>107</v>
      </c>
      <c r="K186" s="116" t="s">
        <v>24</v>
      </c>
      <c r="L186" s="116" t="s">
        <v>25</v>
      </c>
      <c r="M186" s="49">
        <f t="shared" si="7"/>
        <v>4.7352410622335528E-3</v>
      </c>
      <c r="N186" s="49">
        <f t="shared" si="8"/>
        <v>4.7352410622335528E-3</v>
      </c>
      <c r="O186" s="49">
        <v>2</v>
      </c>
    </row>
    <row r="187" spans="1:15" ht="112.05" customHeight="1" x14ac:dyDescent="0.3">
      <c r="A187" s="110" t="s">
        <v>106</v>
      </c>
      <c r="B187" s="110" t="s">
        <v>88</v>
      </c>
      <c r="C187" s="110" t="s">
        <v>27</v>
      </c>
      <c r="D187" s="111">
        <v>0.52</v>
      </c>
      <c r="E187" s="111">
        <f>MLCF!F139</f>
        <v>0.5204561252187091</v>
      </c>
      <c r="F187" s="111">
        <f>(MLCF!F36-MLCF!F65)/MLCF!F61</f>
        <v>0.5204561252187091</v>
      </c>
      <c r="G187" s="115" t="s">
        <v>21</v>
      </c>
      <c r="H187" s="115" t="str">
        <f t="shared" si="6"/>
        <v>Reproduced to precision</v>
      </c>
      <c r="I187" s="115" t="s">
        <v>22</v>
      </c>
      <c r="J187" s="115" t="s">
        <v>107</v>
      </c>
      <c r="K187" s="115" t="s">
        <v>24</v>
      </c>
      <c r="L187" s="115" t="s">
        <v>25</v>
      </c>
      <c r="M187" s="110">
        <f t="shared" si="7"/>
        <v>4.5612521870908029E-4</v>
      </c>
      <c r="N187" s="110">
        <f t="shared" si="8"/>
        <v>4.5612521870908029E-4</v>
      </c>
      <c r="O187" s="110">
        <v>2</v>
      </c>
    </row>
    <row r="188" spans="1:15" ht="112.05" customHeight="1" x14ac:dyDescent="0.3">
      <c r="A188" s="49" t="s">
        <v>106</v>
      </c>
      <c r="B188" s="49" t="s">
        <v>88</v>
      </c>
      <c r="C188" s="49" t="s">
        <v>28</v>
      </c>
      <c r="D188" s="112">
        <v>0.61</v>
      </c>
      <c r="E188" s="112">
        <f>MLCF!G139</f>
        <v>0.60942670638462615</v>
      </c>
      <c r="F188" s="112">
        <f>(MLCF!G36-MLCF!G65)/MLCF!G61</f>
        <v>0.60942670638462615</v>
      </c>
      <c r="G188" s="116" t="s">
        <v>21</v>
      </c>
      <c r="H188" s="116" t="str">
        <f t="shared" si="6"/>
        <v>Reproduced to precision</v>
      </c>
      <c r="I188" s="116" t="s">
        <v>22</v>
      </c>
      <c r="J188" s="116" t="s">
        <v>107</v>
      </c>
      <c r="K188" s="116" t="s">
        <v>24</v>
      </c>
      <c r="L188" s="116" t="s">
        <v>25</v>
      </c>
      <c r="M188" s="49">
        <f t="shared" si="7"/>
        <v>-5.7329361537383772E-4</v>
      </c>
      <c r="N188" s="49">
        <f t="shared" si="8"/>
        <v>-5.7329361537383772E-4</v>
      </c>
      <c r="O188" s="49">
        <v>2</v>
      </c>
    </row>
    <row r="189" spans="1:15" ht="112.05" customHeight="1" x14ac:dyDescent="0.3">
      <c r="A189" s="110" t="s">
        <v>106</v>
      </c>
      <c r="B189" s="110" t="s">
        <v>88</v>
      </c>
      <c r="C189" s="110" t="s">
        <v>29</v>
      </c>
      <c r="D189" s="111">
        <v>0.81</v>
      </c>
      <c r="E189" s="111">
        <f>MLCF!H139</f>
        <v>0.80788282595509864</v>
      </c>
      <c r="F189" s="111">
        <f>(MLCF!H36-MLCF!H65)/MLCF!H61</f>
        <v>0.80788282595509864</v>
      </c>
      <c r="G189" s="115" t="s">
        <v>21</v>
      </c>
      <c r="H189" s="115" t="str">
        <f t="shared" si="6"/>
        <v>Reproduced to precision</v>
      </c>
      <c r="I189" s="115" t="s">
        <v>22</v>
      </c>
      <c r="J189" s="115" t="s">
        <v>107</v>
      </c>
      <c r="K189" s="115" t="s">
        <v>24</v>
      </c>
      <c r="L189" s="115" t="s">
        <v>25</v>
      </c>
      <c r="M189" s="110">
        <f t="shared" si="7"/>
        <v>-2.1171740449014154E-3</v>
      </c>
      <c r="N189" s="110">
        <f t="shared" si="8"/>
        <v>-2.1171740449014154E-3</v>
      </c>
      <c r="O189" s="110">
        <v>2</v>
      </c>
    </row>
    <row r="190" spans="1:15" ht="112.05" customHeight="1" x14ac:dyDescent="0.3">
      <c r="A190" s="49" t="s">
        <v>106</v>
      </c>
      <c r="B190" s="49" t="s">
        <v>108</v>
      </c>
      <c r="C190" s="49" t="s">
        <v>20</v>
      </c>
      <c r="D190" s="112">
        <v>25.99</v>
      </c>
      <c r="E190" s="112">
        <f>MLCF!D147</f>
        <v>143.11726813096334</v>
      </c>
      <c r="F190" s="112">
        <f>365*AVERAGE(MLCF!C31,MLCF!D31)/(-MLCF!D85)</f>
        <v>25.489210859095429</v>
      </c>
      <c r="G190" s="116" t="s">
        <v>109</v>
      </c>
      <c r="H190" s="116" t="str">
        <f t="shared" si="6"/>
        <v>Unresolved published value</v>
      </c>
      <c r="I190" s="116" t="s">
        <v>22</v>
      </c>
      <c r="J190" s="116" t="s">
        <v>107</v>
      </c>
      <c r="K190" s="116" t="s">
        <v>34</v>
      </c>
      <c r="L190" s="116" t="s">
        <v>110</v>
      </c>
      <c r="M190" s="49">
        <f t="shared" si="7"/>
        <v>117.12726813096334</v>
      </c>
      <c r="N190" s="49">
        <f t="shared" si="8"/>
        <v>-0.50078914090456905</v>
      </c>
      <c r="O190" s="49">
        <v>2</v>
      </c>
    </row>
    <row r="191" spans="1:15" ht="112.05" customHeight="1" x14ac:dyDescent="0.3">
      <c r="A191" s="110" t="s">
        <v>106</v>
      </c>
      <c r="B191" s="110" t="s">
        <v>108</v>
      </c>
      <c r="C191" s="110" t="s">
        <v>26</v>
      </c>
      <c r="D191" s="111">
        <v>24.88</v>
      </c>
      <c r="E191" s="111">
        <f>MLCF!E147</f>
        <v>138.1590454196257</v>
      </c>
      <c r="F191" s="111">
        <f>365*AVERAGE(MLCF!D31,MLCF!E31)/(-MLCF!E85)</f>
        <v>24.400050314318257</v>
      </c>
      <c r="G191" s="115" t="s">
        <v>109</v>
      </c>
      <c r="H191" s="115" t="str">
        <f t="shared" si="6"/>
        <v>Unresolved published value</v>
      </c>
      <c r="I191" s="115" t="s">
        <v>22</v>
      </c>
      <c r="J191" s="115" t="s">
        <v>107</v>
      </c>
      <c r="K191" s="115" t="s">
        <v>34</v>
      </c>
      <c r="L191" s="115" t="s">
        <v>110</v>
      </c>
      <c r="M191" s="110">
        <f t="shared" si="7"/>
        <v>113.2790454196257</v>
      </c>
      <c r="N191" s="110">
        <f t="shared" si="8"/>
        <v>-0.47994968568174201</v>
      </c>
      <c r="O191" s="110">
        <v>2</v>
      </c>
    </row>
    <row r="192" spans="1:15" ht="112.05" customHeight="1" x14ac:dyDescent="0.3">
      <c r="A192" s="49" t="s">
        <v>106</v>
      </c>
      <c r="B192" s="49" t="s">
        <v>108</v>
      </c>
      <c r="C192" s="49" t="s">
        <v>27</v>
      </c>
      <c r="D192" s="112">
        <v>27.31</v>
      </c>
      <c r="E192" s="112">
        <f>MLCF!F147</f>
        <v>122.0064954583065</v>
      </c>
      <c r="F192" s="112">
        <f>365*AVERAGE(MLCF!E31,MLCF!F31)/(-MLCF!F85)</f>
        <v>27.312396072279871</v>
      </c>
      <c r="G192" s="116" t="s">
        <v>109</v>
      </c>
      <c r="H192" s="116" t="str">
        <f t="shared" si="6"/>
        <v>Reproduced to precision</v>
      </c>
      <c r="I192" s="116" t="s">
        <v>22</v>
      </c>
      <c r="J192" s="116" t="s">
        <v>107</v>
      </c>
      <c r="K192" s="116" t="s">
        <v>24</v>
      </c>
      <c r="L192" s="116" t="s">
        <v>110</v>
      </c>
      <c r="M192" s="49">
        <f t="shared" si="7"/>
        <v>94.696495458306501</v>
      </c>
      <c r="N192" s="49">
        <f t="shared" si="8"/>
        <v>2.3960722798719303E-3</v>
      </c>
      <c r="O192" s="49">
        <v>2</v>
      </c>
    </row>
    <row r="193" spans="1:15" ht="112.05" customHeight="1" x14ac:dyDescent="0.3">
      <c r="A193" s="110" t="s">
        <v>106</v>
      </c>
      <c r="B193" s="110" t="s">
        <v>108</v>
      </c>
      <c r="C193" s="110" t="s">
        <v>28</v>
      </c>
      <c r="D193" s="111">
        <v>28.69</v>
      </c>
      <c r="E193" s="111">
        <f>MLCF!G147</f>
        <v>117.69043264844159</v>
      </c>
      <c r="F193" s="111">
        <f>365*AVERAGE(MLCF!F31,MLCF!G31)/(-MLCF!G85)</f>
        <v>28.610501757120286</v>
      </c>
      <c r="G193" s="115" t="s">
        <v>109</v>
      </c>
      <c r="H193" s="115" t="str">
        <f t="shared" si="6"/>
        <v>Unresolved published value</v>
      </c>
      <c r="I193" s="115" t="s">
        <v>22</v>
      </c>
      <c r="J193" s="115" t="s">
        <v>107</v>
      </c>
      <c r="K193" s="115" t="s">
        <v>34</v>
      </c>
      <c r="L193" s="115" t="s">
        <v>110</v>
      </c>
      <c r="M193" s="110">
        <f t="shared" si="7"/>
        <v>89.000432648441588</v>
      </c>
      <c r="N193" s="110">
        <f t="shared" si="8"/>
        <v>-7.9498242879715519E-2</v>
      </c>
      <c r="O193" s="110">
        <v>2</v>
      </c>
    </row>
    <row r="194" spans="1:15" ht="112.05" customHeight="1" x14ac:dyDescent="0.3">
      <c r="A194" s="49" t="s">
        <v>106</v>
      </c>
      <c r="B194" s="49" t="s">
        <v>108</v>
      </c>
      <c r="C194" s="49" t="s">
        <v>29</v>
      </c>
      <c r="D194" s="112">
        <v>31.09</v>
      </c>
      <c r="E194" s="112">
        <f>MLCF!H147</f>
        <v>130.98525045452405</v>
      </c>
      <c r="F194" s="112">
        <f>365*AVERAGE(MLCF!G31,MLCF!H31)/(-MLCF!H85)</f>
        <v>31.090758442796346</v>
      </c>
      <c r="G194" s="116" t="s">
        <v>109</v>
      </c>
      <c r="H194" s="116" t="str">
        <f t="shared" si="6"/>
        <v>Reproduced to precision</v>
      </c>
      <c r="I194" s="116" t="s">
        <v>22</v>
      </c>
      <c r="J194" s="116" t="s">
        <v>107</v>
      </c>
      <c r="K194" s="116" t="s">
        <v>24</v>
      </c>
      <c r="L194" s="116" t="s">
        <v>110</v>
      </c>
      <c r="M194" s="49">
        <f t="shared" si="7"/>
        <v>99.895250454524046</v>
      </c>
      <c r="N194" s="49">
        <f t="shared" si="8"/>
        <v>7.5844279634651457E-4</v>
      </c>
      <c r="O194" s="49">
        <v>2</v>
      </c>
    </row>
    <row r="195" spans="1:15" ht="112.05" customHeight="1" x14ac:dyDescent="0.3">
      <c r="A195" s="110" t="s">
        <v>106</v>
      </c>
      <c r="B195" s="110" t="s">
        <v>71</v>
      </c>
      <c r="C195" s="110" t="s">
        <v>20</v>
      </c>
      <c r="D195" s="111">
        <v>24.3</v>
      </c>
      <c r="E195" s="111">
        <f>MLCF!D148</f>
        <v>24.299408826550263</v>
      </c>
      <c r="F195" s="111">
        <f>365*AVERAGE(MLCF!C32,MLCF!D32)/MLCF!D84</f>
        <v>24.299408826550263</v>
      </c>
      <c r="G195" s="115" t="s">
        <v>72</v>
      </c>
      <c r="H195" s="115" t="str">
        <f t="shared" si="6"/>
        <v>Reproduced to precision</v>
      </c>
      <c r="I195" s="115" t="s">
        <v>22</v>
      </c>
      <c r="J195" s="115" t="s">
        <v>107</v>
      </c>
      <c r="K195" s="115" t="s">
        <v>24</v>
      </c>
      <c r="L195" s="115" t="s">
        <v>110</v>
      </c>
      <c r="M195" s="110">
        <f t="shared" si="7"/>
        <v>-5.9117344973813601E-4</v>
      </c>
      <c r="N195" s="110">
        <f t="shared" si="8"/>
        <v>-5.9117344973813601E-4</v>
      </c>
      <c r="O195" s="110">
        <v>2</v>
      </c>
    </row>
    <row r="196" spans="1:15" ht="112.05" customHeight="1" x14ac:dyDescent="0.3">
      <c r="A196" s="49" t="s">
        <v>106</v>
      </c>
      <c r="B196" s="49" t="s">
        <v>71</v>
      </c>
      <c r="C196" s="49" t="s">
        <v>26</v>
      </c>
      <c r="D196" s="112">
        <v>14.09</v>
      </c>
      <c r="E196" s="112">
        <f>MLCF!E148</f>
        <v>14.089756717395696</v>
      </c>
      <c r="F196" s="112">
        <f>365*AVERAGE(MLCF!D32,MLCF!E32)/MLCF!E84</f>
        <v>14.089756717395696</v>
      </c>
      <c r="G196" s="116" t="s">
        <v>72</v>
      </c>
      <c r="H196" s="116" t="str">
        <f t="shared" si="6"/>
        <v>Reproduced to precision</v>
      </c>
      <c r="I196" s="116" t="s">
        <v>22</v>
      </c>
      <c r="J196" s="116" t="s">
        <v>107</v>
      </c>
      <c r="K196" s="116" t="s">
        <v>24</v>
      </c>
      <c r="L196" s="116" t="s">
        <v>110</v>
      </c>
      <c r="M196" s="49">
        <f t="shared" si="7"/>
        <v>-2.432826043037295E-4</v>
      </c>
      <c r="N196" s="49">
        <f t="shared" si="8"/>
        <v>-2.432826043037295E-4</v>
      </c>
      <c r="O196" s="49">
        <v>2</v>
      </c>
    </row>
    <row r="197" spans="1:15" ht="112.05" customHeight="1" x14ac:dyDescent="0.3">
      <c r="A197" s="110" t="s">
        <v>106</v>
      </c>
      <c r="B197" s="110" t="s">
        <v>71</v>
      </c>
      <c r="C197" s="110" t="s">
        <v>27</v>
      </c>
      <c r="D197" s="111">
        <v>13.72</v>
      </c>
      <c r="E197" s="111">
        <f>MLCF!F148</f>
        <v>13.72146433573479</v>
      </c>
      <c r="F197" s="111">
        <f>365*AVERAGE(MLCF!E32,MLCF!F32)/MLCF!F84</f>
        <v>13.72146433573479</v>
      </c>
      <c r="G197" s="115" t="s">
        <v>72</v>
      </c>
      <c r="H197" s="115" t="str">
        <f t="shared" ref="H197:H260" si="9">IF(AND(ISNUMBER(D197),ISNUMBER(F197)),IF(ROUND(D197,O197)=ROUND(F197,O197),"Reproduced to precision","Unresolved published value"),"Not comparable")</f>
        <v>Reproduced to precision</v>
      </c>
      <c r="I197" s="115" t="s">
        <v>22</v>
      </c>
      <c r="J197" s="115" t="s">
        <v>107</v>
      </c>
      <c r="K197" s="115" t="s">
        <v>24</v>
      </c>
      <c r="L197" s="115" t="s">
        <v>110</v>
      </c>
      <c r="M197" s="110">
        <f t="shared" ref="M197:M260" si="10">IF(ISNUMBER(E197),E197-D197,"n/m")</f>
        <v>1.4643357347896568E-3</v>
      </c>
      <c r="N197" s="110">
        <f t="shared" ref="N197:N260" si="11">IF(ISNUMBER(F197),F197-D197,"n/m")</f>
        <v>1.4643357347896568E-3</v>
      </c>
      <c r="O197" s="110">
        <v>2</v>
      </c>
    </row>
    <row r="198" spans="1:15" ht="112.05" customHeight="1" x14ac:dyDescent="0.3">
      <c r="A198" s="49" t="s">
        <v>106</v>
      </c>
      <c r="B198" s="49" t="s">
        <v>71</v>
      </c>
      <c r="C198" s="49" t="s">
        <v>28</v>
      </c>
      <c r="D198" s="112">
        <v>18.7</v>
      </c>
      <c r="E198" s="112">
        <f>MLCF!G148</f>
        <v>18.646831335440545</v>
      </c>
      <c r="F198" s="112">
        <f>365*AVERAGE(MLCF!F32,MLCF!G32)/MLCF!G84</f>
        <v>18.646831335440545</v>
      </c>
      <c r="G198" s="116" t="s">
        <v>72</v>
      </c>
      <c r="H198" s="116" t="str">
        <f t="shared" si="9"/>
        <v>Unresolved published value</v>
      </c>
      <c r="I198" s="116" t="s">
        <v>22</v>
      </c>
      <c r="J198" s="116" t="s">
        <v>107</v>
      </c>
      <c r="K198" s="116" t="s">
        <v>34</v>
      </c>
      <c r="L198" s="116" t="s">
        <v>110</v>
      </c>
      <c r="M198" s="49">
        <f t="shared" si="10"/>
        <v>-5.3168664559454015E-2</v>
      </c>
      <c r="N198" s="49">
        <f t="shared" si="11"/>
        <v>-5.3168664559454015E-2</v>
      </c>
      <c r="O198" s="49">
        <v>2</v>
      </c>
    </row>
    <row r="199" spans="1:15" ht="112.05" customHeight="1" x14ac:dyDescent="0.3">
      <c r="A199" s="110" t="s">
        <v>106</v>
      </c>
      <c r="B199" s="110" t="s">
        <v>71</v>
      </c>
      <c r="C199" s="110" t="s">
        <v>29</v>
      </c>
      <c r="D199" s="111">
        <v>23.29</v>
      </c>
      <c r="E199" s="111">
        <f>MLCF!H148</f>
        <v>23.291952500495849</v>
      </c>
      <c r="F199" s="111">
        <f>365*AVERAGE(MLCF!G32,MLCF!H32)/MLCF!H84</f>
        <v>23.291952500495849</v>
      </c>
      <c r="G199" s="115" t="s">
        <v>72</v>
      </c>
      <c r="H199" s="115" t="str">
        <f t="shared" si="9"/>
        <v>Reproduced to precision</v>
      </c>
      <c r="I199" s="115" t="s">
        <v>22</v>
      </c>
      <c r="J199" s="115" t="s">
        <v>107</v>
      </c>
      <c r="K199" s="115" t="s">
        <v>24</v>
      </c>
      <c r="L199" s="115" t="s">
        <v>110</v>
      </c>
      <c r="M199" s="110">
        <f t="shared" si="10"/>
        <v>1.9525004958502734E-3</v>
      </c>
      <c r="N199" s="110">
        <f t="shared" si="11"/>
        <v>1.9525004958502734E-3</v>
      </c>
      <c r="O199" s="110">
        <v>2</v>
      </c>
    </row>
    <row r="200" spans="1:15" ht="112.05" customHeight="1" x14ac:dyDescent="0.3">
      <c r="A200" s="49" t="s">
        <v>106</v>
      </c>
      <c r="B200" s="49" t="s">
        <v>111</v>
      </c>
      <c r="C200" s="49" t="s">
        <v>20</v>
      </c>
      <c r="D200" s="112">
        <v>48.96</v>
      </c>
      <c r="E200" s="112">
        <f>MLCF!D149</f>
        <v>50.273995830664546</v>
      </c>
      <c r="F200" s="112">
        <f>365/((-MLCF!D85)/(AVERAGE(MLCF!C51,MLCF!D51)-AVERAGE(MLCF!C253,MLCF!D253)))</f>
        <v>48.013565747856816</v>
      </c>
      <c r="G200" s="116" t="s">
        <v>112</v>
      </c>
      <c r="H200" s="116" t="str">
        <f t="shared" si="9"/>
        <v>Unresolved published value</v>
      </c>
      <c r="I200" s="116" t="s">
        <v>22</v>
      </c>
      <c r="J200" s="116" t="s">
        <v>107</v>
      </c>
      <c r="K200" s="116" t="s">
        <v>34</v>
      </c>
      <c r="L200" s="116" t="s">
        <v>110</v>
      </c>
      <c r="M200" s="49">
        <f t="shared" si="10"/>
        <v>1.3139958306645454</v>
      </c>
      <c r="N200" s="49">
        <f t="shared" si="11"/>
        <v>-0.94643425214318455</v>
      </c>
      <c r="O200" s="49">
        <v>2</v>
      </c>
    </row>
    <row r="201" spans="1:15" ht="112.05" customHeight="1" x14ac:dyDescent="0.3">
      <c r="A201" s="110" t="s">
        <v>106</v>
      </c>
      <c r="B201" s="110" t="s">
        <v>111</v>
      </c>
      <c r="C201" s="110" t="s">
        <v>26</v>
      </c>
      <c r="D201" s="111">
        <v>38.46</v>
      </c>
      <c r="E201" s="111">
        <f>MLCF!E149</f>
        <v>38.695931214400467</v>
      </c>
      <c r="F201" s="111">
        <f>365/((-MLCF!E85)/(AVERAGE(MLCF!D51,MLCF!E51)-AVERAGE(MLCF!D253,MLCF!E253)))</f>
        <v>37.71999546630358</v>
      </c>
      <c r="G201" s="115" t="s">
        <v>112</v>
      </c>
      <c r="H201" s="115" t="str">
        <f t="shared" si="9"/>
        <v>Unresolved published value</v>
      </c>
      <c r="I201" s="115" t="s">
        <v>22</v>
      </c>
      <c r="J201" s="115" t="s">
        <v>107</v>
      </c>
      <c r="K201" s="115" t="s">
        <v>34</v>
      </c>
      <c r="L201" s="115" t="s">
        <v>110</v>
      </c>
      <c r="M201" s="110">
        <f t="shared" si="10"/>
        <v>0.23593121440046616</v>
      </c>
      <c r="N201" s="110">
        <f t="shared" si="11"/>
        <v>-0.74000453369642116</v>
      </c>
      <c r="O201" s="110">
        <v>2</v>
      </c>
    </row>
    <row r="202" spans="1:15" ht="112.05" customHeight="1" x14ac:dyDescent="0.3">
      <c r="A202" s="49" t="s">
        <v>106</v>
      </c>
      <c r="B202" s="49" t="s">
        <v>111</v>
      </c>
      <c r="C202" s="49" t="s">
        <v>27</v>
      </c>
      <c r="D202" s="112">
        <v>36.5</v>
      </c>
      <c r="E202" s="112">
        <f>MLCF!F149</f>
        <v>44.831228056476625</v>
      </c>
      <c r="F202" s="112">
        <f>365/((-MLCF!F85)/(AVERAGE(MLCF!E51,MLCF!F51)-AVERAGE(MLCF!E253,MLCF!F253)))</f>
        <v>36.498698029192624</v>
      </c>
      <c r="G202" s="116" t="s">
        <v>112</v>
      </c>
      <c r="H202" s="116" t="str">
        <f t="shared" si="9"/>
        <v>Reproduced to precision</v>
      </c>
      <c r="I202" s="116" t="s">
        <v>22</v>
      </c>
      <c r="J202" s="116" t="s">
        <v>107</v>
      </c>
      <c r="K202" s="116" t="s">
        <v>24</v>
      </c>
      <c r="L202" s="116" t="s">
        <v>110</v>
      </c>
      <c r="M202" s="49">
        <f t="shared" si="10"/>
        <v>8.3312280564766255</v>
      </c>
      <c r="N202" s="49">
        <f t="shared" si="11"/>
        <v>-1.3019708073755965E-3</v>
      </c>
      <c r="O202" s="49">
        <v>2</v>
      </c>
    </row>
    <row r="203" spans="1:15" ht="112.05" customHeight="1" x14ac:dyDescent="0.3">
      <c r="A203" s="110" t="s">
        <v>106</v>
      </c>
      <c r="B203" s="110" t="s">
        <v>111</v>
      </c>
      <c r="C203" s="110" t="s">
        <v>28</v>
      </c>
      <c r="D203" s="111">
        <v>37.630000000000003</v>
      </c>
      <c r="E203" s="111">
        <f>MLCF!G149</f>
        <v>48.436678795562727</v>
      </c>
      <c r="F203" s="111">
        <f>365/((-MLCF!G85)/(AVERAGE(MLCF!F51,MLCF!G51)-AVERAGE(MLCF!F253,MLCF!G253)))</f>
        <v>37.63108757497352</v>
      </c>
      <c r="G203" s="115" t="s">
        <v>112</v>
      </c>
      <c r="H203" s="115" t="str">
        <f t="shared" si="9"/>
        <v>Reproduced to precision</v>
      </c>
      <c r="I203" s="115" t="s">
        <v>22</v>
      </c>
      <c r="J203" s="115" t="s">
        <v>107</v>
      </c>
      <c r="K203" s="115" t="s">
        <v>24</v>
      </c>
      <c r="L203" s="115" t="s">
        <v>110</v>
      </c>
      <c r="M203" s="110">
        <f t="shared" si="10"/>
        <v>10.806678795562725</v>
      </c>
      <c r="N203" s="110">
        <f t="shared" si="11"/>
        <v>1.0875749735177465E-3</v>
      </c>
      <c r="O203" s="110">
        <v>2</v>
      </c>
    </row>
    <row r="204" spans="1:15" ht="112.05" customHeight="1" x14ac:dyDescent="0.3">
      <c r="A204" s="49" t="s">
        <v>106</v>
      </c>
      <c r="B204" s="49" t="s">
        <v>111</v>
      </c>
      <c r="C204" s="49" t="s">
        <v>29</v>
      </c>
      <c r="D204" s="112">
        <v>42.18</v>
      </c>
      <c r="E204" s="112">
        <f>MLCF!H149</f>
        <v>51.360901706647297</v>
      </c>
      <c r="F204" s="112">
        <f>365/((-MLCF!H85)/(AVERAGE(MLCF!G51,MLCF!H51)-AVERAGE(MLCF!G253,MLCF!H253)))</f>
        <v>42.176847960743103</v>
      </c>
      <c r="G204" s="116" t="s">
        <v>112</v>
      </c>
      <c r="H204" s="116" t="str">
        <f t="shared" si="9"/>
        <v>Reproduced to precision</v>
      </c>
      <c r="I204" s="116" t="s">
        <v>22</v>
      </c>
      <c r="J204" s="116" t="s">
        <v>107</v>
      </c>
      <c r="K204" s="116" t="s">
        <v>24</v>
      </c>
      <c r="L204" s="116" t="s">
        <v>110</v>
      </c>
      <c r="M204" s="49">
        <f t="shared" si="10"/>
        <v>9.1809017066472975</v>
      </c>
      <c r="N204" s="49">
        <f t="shared" si="11"/>
        <v>-3.1520392568964439E-3</v>
      </c>
      <c r="O204" s="49">
        <v>2</v>
      </c>
    </row>
    <row r="205" spans="1:15" ht="112.05" customHeight="1" x14ac:dyDescent="0.3">
      <c r="A205" s="110" t="s">
        <v>106</v>
      </c>
      <c r="B205" s="110" t="s">
        <v>45</v>
      </c>
      <c r="C205" s="110" t="s">
        <v>20</v>
      </c>
      <c r="D205" s="111">
        <v>0.54</v>
      </c>
      <c r="E205" s="111">
        <f>MLCF!D152</f>
        <v>0.53744508968075833</v>
      </c>
      <c r="F205" s="111">
        <f>MLCF!D84/MLCF!D37</f>
        <v>0.53651401514370378</v>
      </c>
      <c r="G205" s="115" t="s">
        <v>46</v>
      </c>
      <c r="H205" s="115" t="str">
        <f t="shared" si="9"/>
        <v>Reproduced to precision</v>
      </c>
      <c r="I205" s="115" t="s">
        <v>22</v>
      </c>
      <c r="J205" s="115" t="s">
        <v>107</v>
      </c>
      <c r="K205" s="115" t="s">
        <v>24</v>
      </c>
      <c r="L205" s="115" t="s">
        <v>25</v>
      </c>
      <c r="M205" s="110">
        <f t="shared" si="10"/>
        <v>-2.55491031924171E-3</v>
      </c>
      <c r="N205" s="110">
        <f t="shared" si="11"/>
        <v>-3.4859848562962537E-3</v>
      </c>
      <c r="O205" s="110">
        <v>2</v>
      </c>
    </row>
    <row r="206" spans="1:15" ht="112.05" customHeight="1" x14ac:dyDescent="0.3">
      <c r="A206" s="49" t="s">
        <v>106</v>
      </c>
      <c r="B206" s="49" t="s">
        <v>45</v>
      </c>
      <c r="C206" s="49" t="s">
        <v>26</v>
      </c>
      <c r="D206" s="112">
        <v>0.59</v>
      </c>
      <c r="E206" s="112">
        <f>MLCF!E152</f>
        <v>0.65366765919302627</v>
      </c>
      <c r="F206" s="112">
        <f>MLCF!E84/MLCF!E37</f>
        <v>0.59016101960962719</v>
      </c>
      <c r="G206" s="116" t="s">
        <v>46</v>
      </c>
      <c r="H206" s="116" t="str">
        <f t="shared" si="9"/>
        <v>Reproduced to precision</v>
      </c>
      <c r="I206" s="116" t="s">
        <v>22</v>
      </c>
      <c r="J206" s="116" t="s">
        <v>107</v>
      </c>
      <c r="K206" s="116" t="s">
        <v>38</v>
      </c>
      <c r="L206" s="116" t="s">
        <v>25</v>
      </c>
      <c r="M206" s="49">
        <f t="shared" si="10"/>
        <v>6.3667659193026305E-2</v>
      </c>
      <c r="N206" s="49">
        <f t="shared" si="11"/>
        <v>1.6101960962722206E-4</v>
      </c>
      <c r="O206" s="49">
        <v>2</v>
      </c>
    </row>
    <row r="207" spans="1:15" ht="112.05" customHeight="1" x14ac:dyDescent="0.3">
      <c r="A207" s="110" t="s">
        <v>106</v>
      </c>
      <c r="B207" s="110" t="s">
        <v>45</v>
      </c>
      <c r="C207" s="110" t="s">
        <v>27</v>
      </c>
      <c r="D207" s="111">
        <v>0.69</v>
      </c>
      <c r="E207" s="111">
        <f>MLCF!F152</f>
        <v>0.72213314787239957</v>
      </c>
      <c r="F207" s="111">
        <f>MLCF!F84/MLCF!F37</f>
        <v>0.69197238797008198</v>
      </c>
      <c r="G207" s="115" t="s">
        <v>46</v>
      </c>
      <c r="H207" s="115" t="str">
        <f t="shared" si="9"/>
        <v>Reproduced to precision</v>
      </c>
      <c r="I207" s="115" t="s">
        <v>22</v>
      </c>
      <c r="J207" s="115" t="s">
        <v>107</v>
      </c>
      <c r="K207" s="115" t="s">
        <v>38</v>
      </c>
      <c r="L207" s="115" t="s">
        <v>25</v>
      </c>
      <c r="M207" s="110">
        <f t="shared" si="10"/>
        <v>3.2133147872399626E-2</v>
      </c>
      <c r="N207" s="110">
        <f t="shared" si="11"/>
        <v>1.9723879700820346E-3</v>
      </c>
      <c r="O207" s="110">
        <v>2</v>
      </c>
    </row>
    <row r="208" spans="1:15" ht="112.05" customHeight="1" x14ac:dyDescent="0.3">
      <c r="A208" s="49" t="s">
        <v>106</v>
      </c>
      <c r="B208" s="49" t="s">
        <v>45</v>
      </c>
      <c r="C208" s="49" t="s">
        <v>28</v>
      </c>
      <c r="D208" s="112">
        <v>0.67</v>
      </c>
      <c r="E208" s="112">
        <f>MLCF!G152</f>
        <v>0.70292648738788954</v>
      </c>
      <c r="F208" s="112">
        <f>MLCF!G84/MLCF!G37</f>
        <v>0.66876558045462819</v>
      </c>
      <c r="G208" s="116" t="s">
        <v>46</v>
      </c>
      <c r="H208" s="116" t="str">
        <f t="shared" si="9"/>
        <v>Reproduced to precision</v>
      </c>
      <c r="I208" s="116" t="s">
        <v>22</v>
      </c>
      <c r="J208" s="116" t="s">
        <v>107</v>
      </c>
      <c r="K208" s="116" t="s">
        <v>38</v>
      </c>
      <c r="L208" s="116" t="s">
        <v>25</v>
      </c>
      <c r="M208" s="49">
        <f t="shared" si="10"/>
        <v>3.2926487387889503E-2</v>
      </c>
      <c r="N208" s="49">
        <f t="shared" si="11"/>
        <v>-1.2344195453718454E-3</v>
      </c>
      <c r="O208" s="49">
        <v>2</v>
      </c>
    </row>
    <row r="209" spans="1:15" ht="112.05" customHeight="1" x14ac:dyDescent="0.3">
      <c r="A209" s="110" t="s">
        <v>106</v>
      </c>
      <c r="B209" s="110" t="s">
        <v>45</v>
      </c>
      <c r="C209" s="110" t="s">
        <v>29</v>
      </c>
      <c r="D209" s="111">
        <v>0.57999999999999996</v>
      </c>
      <c r="E209" s="111">
        <f>MLCF!H152</f>
        <v>0.63113315053305719</v>
      </c>
      <c r="F209" s="111">
        <f>MLCF!H84/MLCF!H37</f>
        <v>0.57883136984449801</v>
      </c>
      <c r="G209" s="115" t="s">
        <v>46</v>
      </c>
      <c r="H209" s="115" t="str">
        <f t="shared" si="9"/>
        <v>Reproduced to precision</v>
      </c>
      <c r="I209" s="115" t="s">
        <v>22</v>
      </c>
      <c r="J209" s="115" t="s">
        <v>107</v>
      </c>
      <c r="K209" s="115" t="s">
        <v>38</v>
      </c>
      <c r="L209" s="115" t="s">
        <v>25</v>
      </c>
      <c r="M209" s="110">
        <f t="shared" si="10"/>
        <v>5.1133150533057226E-2</v>
      </c>
      <c r="N209" s="110">
        <f t="shared" si="11"/>
        <v>-1.1686301555019485E-3</v>
      </c>
      <c r="O209" s="110">
        <v>2</v>
      </c>
    </row>
    <row r="210" spans="1:15" ht="112.05" customHeight="1" x14ac:dyDescent="0.3">
      <c r="A210" s="49" t="s">
        <v>106</v>
      </c>
      <c r="B210" s="49" t="s">
        <v>47</v>
      </c>
      <c r="C210" s="49" t="s">
        <v>20</v>
      </c>
      <c r="D210" s="112">
        <v>0.8</v>
      </c>
      <c r="E210" s="112">
        <f>MLCF!D153</f>
        <v>0.83828806929430799</v>
      </c>
      <c r="F210" s="112">
        <f>MLCF!D84/MLCF!D20</f>
        <v>0.8037513915639477</v>
      </c>
      <c r="G210" s="116" t="s">
        <v>113</v>
      </c>
      <c r="H210" s="116" t="str">
        <f t="shared" si="9"/>
        <v>Reproduced to precision</v>
      </c>
      <c r="I210" s="116" t="s">
        <v>22</v>
      </c>
      <c r="J210" s="116" t="s">
        <v>107</v>
      </c>
      <c r="K210" s="116" t="s">
        <v>38</v>
      </c>
      <c r="L210" s="116" t="s">
        <v>25</v>
      </c>
      <c r="M210" s="49">
        <f t="shared" si="10"/>
        <v>3.8288069294307947E-2</v>
      </c>
      <c r="N210" s="49">
        <f t="shared" si="11"/>
        <v>3.7513915639476592E-3</v>
      </c>
      <c r="O210" s="49">
        <v>2</v>
      </c>
    </row>
    <row r="211" spans="1:15" ht="112.05" customHeight="1" x14ac:dyDescent="0.3">
      <c r="A211" s="110" t="s">
        <v>106</v>
      </c>
      <c r="B211" s="110" t="s">
        <v>47</v>
      </c>
      <c r="C211" s="110" t="s">
        <v>26</v>
      </c>
      <c r="D211" s="111">
        <v>0.85</v>
      </c>
      <c r="E211" s="111">
        <f>MLCF!E153</f>
        <v>1.1720665852059551</v>
      </c>
      <c r="F211" s="111">
        <f>MLCF!E84/MLCF!E20</f>
        <v>0.85444675022417971</v>
      </c>
      <c r="G211" s="115" t="s">
        <v>113</v>
      </c>
      <c r="H211" s="115" t="str">
        <f t="shared" si="9"/>
        <v>Reproduced to precision</v>
      </c>
      <c r="I211" s="115" t="s">
        <v>22</v>
      </c>
      <c r="J211" s="115" t="s">
        <v>107</v>
      </c>
      <c r="K211" s="115" t="s">
        <v>38</v>
      </c>
      <c r="L211" s="115" t="s">
        <v>25</v>
      </c>
      <c r="M211" s="110">
        <f t="shared" si="10"/>
        <v>0.3220665852059551</v>
      </c>
      <c r="N211" s="110">
        <f t="shared" si="11"/>
        <v>4.4467502241797296E-3</v>
      </c>
      <c r="O211" s="110">
        <v>2</v>
      </c>
    </row>
    <row r="212" spans="1:15" ht="112.05" customHeight="1" x14ac:dyDescent="0.3">
      <c r="A212" s="49" t="s">
        <v>106</v>
      </c>
      <c r="B212" s="49" t="s">
        <v>47</v>
      </c>
      <c r="C212" s="49" t="s">
        <v>27</v>
      </c>
      <c r="D212" s="112">
        <v>1</v>
      </c>
      <c r="E212" s="112">
        <f>MLCF!F153</f>
        <v>1.2158524918829576</v>
      </c>
      <c r="F212" s="112">
        <f>MLCF!F84/MLCF!F20</f>
        <v>0.99551999428815263</v>
      </c>
      <c r="G212" s="116" t="s">
        <v>113</v>
      </c>
      <c r="H212" s="116" t="str">
        <f t="shared" si="9"/>
        <v>Reproduced to precision</v>
      </c>
      <c r="I212" s="116" t="s">
        <v>22</v>
      </c>
      <c r="J212" s="116" t="s">
        <v>107</v>
      </c>
      <c r="K212" s="116" t="s">
        <v>38</v>
      </c>
      <c r="L212" s="116" t="s">
        <v>25</v>
      </c>
      <c r="M212" s="49">
        <f t="shared" si="10"/>
        <v>0.21585249188295763</v>
      </c>
      <c r="N212" s="49">
        <f t="shared" si="11"/>
        <v>-4.480005711847368E-3</v>
      </c>
      <c r="O212" s="49">
        <v>2</v>
      </c>
    </row>
    <row r="213" spans="1:15" ht="112.05" customHeight="1" x14ac:dyDescent="0.3">
      <c r="A213" s="110" t="s">
        <v>106</v>
      </c>
      <c r="B213" s="110" t="s">
        <v>47</v>
      </c>
      <c r="C213" s="110" t="s">
        <v>28</v>
      </c>
      <c r="D213" s="111">
        <v>1.01</v>
      </c>
      <c r="E213" s="111">
        <f>MLCF!G153</f>
        <v>1.0531088846951966</v>
      </c>
      <c r="F213" s="111">
        <f>MLCF!G84/MLCF!G20</f>
        <v>1.0069209161495893</v>
      </c>
      <c r="G213" s="115" t="s">
        <v>113</v>
      </c>
      <c r="H213" s="115" t="str">
        <f t="shared" si="9"/>
        <v>Reproduced to precision</v>
      </c>
      <c r="I213" s="115" t="s">
        <v>22</v>
      </c>
      <c r="J213" s="115" t="s">
        <v>107</v>
      </c>
      <c r="K213" s="115" t="s">
        <v>38</v>
      </c>
      <c r="L213" s="115" t="s">
        <v>25</v>
      </c>
      <c r="M213" s="110">
        <f t="shared" si="10"/>
        <v>4.3108884695196581E-2</v>
      </c>
      <c r="N213" s="110">
        <f t="shared" si="11"/>
        <v>-3.0790838504106688E-3</v>
      </c>
      <c r="O213" s="110">
        <v>2</v>
      </c>
    </row>
    <row r="214" spans="1:15" ht="112.05" customHeight="1" x14ac:dyDescent="0.3">
      <c r="A214" s="49" t="s">
        <v>106</v>
      </c>
      <c r="B214" s="49" t="s">
        <v>47</v>
      </c>
      <c r="C214" s="49" t="s">
        <v>29</v>
      </c>
      <c r="D214" s="112">
        <v>1.1000000000000001</v>
      </c>
      <c r="E214" s="112">
        <f>MLCF!H153</f>
        <v>1.0752521941525262</v>
      </c>
      <c r="F214" s="112">
        <f>MLCF!H84/MLCF!H20</f>
        <v>1.0971769908727151</v>
      </c>
      <c r="G214" s="116" t="s">
        <v>113</v>
      </c>
      <c r="H214" s="116" t="str">
        <f t="shared" si="9"/>
        <v>Reproduced to precision</v>
      </c>
      <c r="I214" s="116" t="s">
        <v>22</v>
      </c>
      <c r="J214" s="116" t="s">
        <v>107</v>
      </c>
      <c r="K214" s="116" t="s">
        <v>38</v>
      </c>
      <c r="L214" s="116" t="s">
        <v>25</v>
      </c>
      <c r="M214" s="49">
        <f t="shared" si="10"/>
        <v>-2.4747805847473936E-2</v>
      </c>
      <c r="N214" s="49">
        <f t="shared" si="11"/>
        <v>-2.8230091272849478E-3</v>
      </c>
      <c r="O214" s="49">
        <v>2</v>
      </c>
    </row>
    <row r="215" spans="1:15" ht="112.05" customHeight="1" x14ac:dyDescent="0.3">
      <c r="A215" s="110" t="s">
        <v>106</v>
      </c>
      <c r="B215" s="110" t="s">
        <v>99</v>
      </c>
      <c r="C215" s="110" t="s">
        <v>20</v>
      </c>
      <c r="D215" s="111">
        <v>5.88</v>
      </c>
      <c r="E215" s="111">
        <f>MLCF!D159</f>
        <v>6.0690005651989436</v>
      </c>
      <c r="F215" s="111">
        <f>MLCF!D108/(-MLCF!D95)</f>
        <v>5.8794796275595225</v>
      </c>
      <c r="G215" s="115" t="s">
        <v>50</v>
      </c>
      <c r="H215" s="115" t="str">
        <f t="shared" si="9"/>
        <v>Reproduced to precision</v>
      </c>
      <c r="I215" s="115" t="s">
        <v>22</v>
      </c>
      <c r="J215" s="115" t="s">
        <v>107</v>
      </c>
      <c r="K215" s="115" t="s">
        <v>38</v>
      </c>
      <c r="L215" s="115" t="s">
        <v>25</v>
      </c>
      <c r="M215" s="110">
        <f t="shared" si="10"/>
        <v>0.1890005651989437</v>
      </c>
      <c r="N215" s="110">
        <f t="shared" si="11"/>
        <v>-5.2037244047742348E-4</v>
      </c>
      <c r="O215" s="110">
        <v>2</v>
      </c>
    </row>
    <row r="216" spans="1:15" ht="112.05" customHeight="1" x14ac:dyDescent="0.3">
      <c r="A216" s="49" t="s">
        <v>106</v>
      </c>
      <c r="B216" s="49" t="s">
        <v>99</v>
      </c>
      <c r="C216" s="49" t="s">
        <v>26</v>
      </c>
      <c r="D216" s="112">
        <v>5.13</v>
      </c>
      <c r="E216" s="112">
        <f>MLCF!E159</f>
        <v>5.2807135989112588</v>
      </c>
      <c r="F216" s="112">
        <f>MLCF!E108/(-MLCF!E95)</f>
        <v>5.1260222420572701</v>
      </c>
      <c r="G216" s="116" t="s">
        <v>50</v>
      </c>
      <c r="H216" s="116" t="str">
        <f t="shared" si="9"/>
        <v>Reproduced to precision</v>
      </c>
      <c r="I216" s="116" t="s">
        <v>22</v>
      </c>
      <c r="J216" s="116" t="s">
        <v>107</v>
      </c>
      <c r="K216" s="116" t="s">
        <v>38</v>
      </c>
      <c r="L216" s="116" t="s">
        <v>25</v>
      </c>
      <c r="M216" s="49">
        <f t="shared" si="10"/>
        <v>0.15071359891125891</v>
      </c>
      <c r="N216" s="49">
        <f t="shared" si="11"/>
        <v>-3.9777579427298093E-3</v>
      </c>
      <c r="O216" s="49">
        <v>2</v>
      </c>
    </row>
    <row r="217" spans="1:15" ht="112.05" customHeight="1" x14ac:dyDescent="0.3">
      <c r="A217" s="110" t="s">
        <v>106</v>
      </c>
      <c r="B217" s="110" t="s">
        <v>99</v>
      </c>
      <c r="C217" s="110" t="s">
        <v>27</v>
      </c>
      <c r="D217" s="111">
        <v>4.3600000000000003</v>
      </c>
      <c r="E217" s="111">
        <f>MLCF!F159</f>
        <v>4.4728409440308576</v>
      </c>
      <c r="F217" s="111">
        <f>MLCF!F108/(-MLCF!F95)</f>
        <v>4.3629641828331778</v>
      </c>
      <c r="G217" s="115" t="s">
        <v>50</v>
      </c>
      <c r="H217" s="115" t="str">
        <f t="shared" si="9"/>
        <v>Reproduced to precision</v>
      </c>
      <c r="I217" s="115" t="s">
        <v>22</v>
      </c>
      <c r="J217" s="115" t="s">
        <v>107</v>
      </c>
      <c r="K217" s="115" t="s">
        <v>38</v>
      </c>
      <c r="L217" s="115" t="s">
        <v>25</v>
      </c>
      <c r="M217" s="110">
        <f t="shared" si="10"/>
        <v>0.11284094403085732</v>
      </c>
      <c r="N217" s="110">
        <f t="shared" si="11"/>
        <v>2.9641828331774533E-3</v>
      </c>
      <c r="O217" s="110">
        <v>2</v>
      </c>
    </row>
    <row r="218" spans="1:15" ht="112.05" customHeight="1" x14ac:dyDescent="0.3">
      <c r="A218" s="49" t="s">
        <v>106</v>
      </c>
      <c r="B218" s="49" t="s">
        <v>99</v>
      </c>
      <c r="C218" s="49" t="s">
        <v>28</v>
      </c>
      <c r="D218" s="112">
        <v>3.16</v>
      </c>
      <c r="E218" s="112">
        <f>MLCF!G159</f>
        <v>3.2227818573661908</v>
      </c>
      <c r="F218" s="112">
        <f>MLCF!G108/(-MLCF!G95)</f>
        <v>3.1582481249483476</v>
      </c>
      <c r="G218" s="116" t="s">
        <v>50</v>
      </c>
      <c r="H218" s="116" t="str">
        <f t="shared" si="9"/>
        <v>Reproduced to precision</v>
      </c>
      <c r="I218" s="116" t="s">
        <v>22</v>
      </c>
      <c r="J218" s="116" t="s">
        <v>107</v>
      </c>
      <c r="K218" s="116" t="s">
        <v>38</v>
      </c>
      <c r="L218" s="116" t="s">
        <v>25</v>
      </c>
      <c r="M218" s="49">
        <f t="shared" si="10"/>
        <v>6.2781857366190685E-2</v>
      </c>
      <c r="N218" s="49">
        <f t="shared" si="11"/>
        <v>-1.7518750516525294E-3</v>
      </c>
      <c r="O218" s="49">
        <v>2</v>
      </c>
    </row>
    <row r="219" spans="1:15" ht="112.05" customHeight="1" x14ac:dyDescent="0.3">
      <c r="A219" s="110" t="s">
        <v>106</v>
      </c>
      <c r="B219" s="110" t="s">
        <v>99</v>
      </c>
      <c r="C219" s="110" t="s">
        <v>29</v>
      </c>
      <c r="D219" s="111">
        <v>7.09</v>
      </c>
      <c r="E219" s="111">
        <f>MLCF!H159</f>
        <v>7.3870430005793857</v>
      </c>
      <c r="F219" s="111">
        <f>MLCF!H108/(-MLCF!H95)</f>
        <v>7.0943822810249157</v>
      </c>
      <c r="G219" s="115" t="s">
        <v>50</v>
      </c>
      <c r="H219" s="115" t="str">
        <f t="shared" si="9"/>
        <v>Reproduced to precision</v>
      </c>
      <c r="I219" s="115" t="s">
        <v>22</v>
      </c>
      <c r="J219" s="115" t="s">
        <v>107</v>
      </c>
      <c r="K219" s="115" t="s">
        <v>38</v>
      </c>
      <c r="L219" s="115" t="s">
        <v>25</v>
      </c>
      <c r="M219" s="110">
        <f t="shared" si="10"/>
        <v>0.29704300057938582</v>
      </c>
      <c r="N219" s="110">
        <f t="shared" si="11"/>
        <v>4.3822810249158906E-3</v>
      </c>
      <c r="O219" s="110">
        <v>2</v>
      </c>
    </row>
    <row r="220" spans="1:15" ht="112.05" customHeight="1" x14ac:dyDescent="0.3">
      <c r="A220" s="49" t="s">
        <v>106</v>
      </c>
      <c r="B220" s="49" t="s">
        <v>103</v>
      </c>
      <c r="C220" s="49" t="s">
        <v>20</v>
      </c>
      <c r="D220" s="112">
        <v>8.25</v>
      </c>
      <c r="E220" s="112">
        <f>MLCF!D172</f>
        <v>8.2506229232653325</v>
      </c>
      <c r="F220" s="112">
        <f>'PSX Prices'!F21/(MLCF!D99/'PSX Prices'!O21)</f>
        <v>8.2506229232653325</v>
      </c>
      <c r="G220" s="116" t="s">
        <v>56</v>
      </c>
      <c r="H220" s="116" t="str">
        <f t="shared" si="9"/>
        <v>Reproduced to precision</v>
      </c>
      <c r="I220" s="116" t="s">
        <v>22</v>
      </c>
      <c r="J220" s="116" t="s">
        <v>107</v>
      </c>
      <c r="K220" s="116" t="s">
        <v>57</v>
      </c>
      <c r="L220" s="116" t="s">
        <v>25</v>
      </c>
      <c r="M220" s="49">
        <f t="shared" si="10"/>
        <v>6.2292326533253117E-4</v>
      </c>
      <c r="N220" s="49">
        <f t="shared" si="11"/>
        <v>6.2292326533253117E-4</v>
      </c>
      <c r="O220" s="49">
        <v>2</v>
      </c>
    </row>
    <row r="221" spans="1:15" ht="112.05" customHeight="1" x14ac:dyDescent="0.3">
      <c r="A221" s="110" t="s">
        <v>106</v>
      </c>
      <c r="B221" s="110" t="s">
        <v>103</v>
      </c>
      <c r="C221" s="110" t="s">
        <v>26</v>
      </c>
      <c r="D221" s="111">
        <v>8.2799999999999994</v>
      </c>
      <c r="E221" s="111">
        <f>MLCF!E172</f>
        <v>8.2775695053414715</v>
      </c>
      <c r="F221" s="111">
        <f>'PSX Prices'!F22/(MLCF!E99/'PSX Prices'!O22)</f>
        <v>8.2775695053414715</v>
      </c>
      <c r="G221" s="115" t="s">
        <v>56</v>
      </c>
      <c r="H221" s="115" t="str">
        <f t="shared" si="9"/>
        <v>Reproduced to precision</v>
      </c>
      <c r="I221" s="115" t="s">
        <v>22</v>
      </c>
      <c r="J221" s="115" t="s">
        <v>107</v>
      </c>
      <c r="K221" s="115" t="s">
        <v>57</v>
      </c>
      <c r="L221" s="115" t="s">
        <v>25</v>
      </c>
      <c r="M221" s="110">
        <f t="shared" si="10"/>
        <v>-2.4304946585278486E-3</v>
      </c>
      <c r="N221" s="110">
        <f t="shared" si="11"/>
        <v>-2.4304946585278486E-3</v>
      </c>
      <c r="O221" s="110">
        <v>2</v>
      </c>
    </row>
    <row r="222" spans="1:15" ht="112.05" customHeight="1" x14ac:dyDescent="0.3">
      <c r="A222" s="49" t="s">
        <v>106</v>
      </c>
      <c r="B222" s="49" t="s">
        <v>103</v>
      </c>
      <c r="C222" s="49" t="s">
        <v>27</v>
      </c>
      <c r="D222" s="112">
        <v>6.77</v>
      </c>
      <c r="E222" s="112">
        <f>MLCF!F172</f>
        <v>6.7702147353244424</v>
      </c>
      <c r="F222" s="112">
        <f>'PSX Prices'!F23/(MLCF!F99/'PSX Prices'!O23)</f>
        <v>6.7702147353244424</v>
      </c>
      <c r="G222" s="116" t="s">
        <v>56</v>
      </c>
      <c r="H222" s="116" t="str">
        <f t="shared" si="9"/>
        <v>Reproduced to precision</v>
      </c>
      <c r="I222" s="116" t="s">
        <v>22</v>
      </c>
      <c r="J222" s="116" t="s">
        <v>107</v>
      </c>
      <c r="K222" s="116" t="s">
        <v>57</v>
      </c>
      <c r="L222" s="116" t="s">
        <v>25</v>
      </c>
      <c r="M222" s="49">
        <f t="shared" si="10"/>
        <v>2.1473532444282739E-4</v>
      </c>
      <c r="N222" s="49">
        <f t="shared" si="11"/>
        <v>2.1473532444282739E-4</v>
      </c>
      <c r="O222" s="49">
        <v>2</v>
      </c>
    </row>
    <row r="223" spans="1:15" ht="112.05" customHeight="1" x14ac:dyDescent="0.3">
      <c r="A223" s="110" t="s">
        <v>106</v>
      </c>
      <c r="B223" s="110" t="s">
        <v>103</v>
      </c>
      <c r="C223" s="110" t="s">
        <v>28</v>
      </c>
      <c r="D223" s="111">
        <v>7.63</v>
      </c>
      <c r="E223" s="111">
        <f>MLCF!G172</f>
        <v>7.6317519094733912</v>
      </c>
      <c r="F223" s="111">
        <f>'PSX Prices'!F24/(MLCF!G99/'PSX Prices'!O24)</f>
        <v>7.6317519094733912</v>
      </c>
      <c r="G223" s="115" t="s">
        <v>56</v>
      </c>
      <c r="H223" s="115" t="str">
        <f t="shared" si="9"/>
        <v>Reproduced to precision</v>
      </c>
      <c r="I223" s="115" t="s">
        <v>22</v>
      </c>
      <c r="J223" s="115" t="s">
        <v>107</v>
      </c>
      <c r="K223" s="115" t="s">
        <v>57</v>
      </c>
      <c r="L223" s="115" t="s">
        <v>25</v>
      </c>
      <c r="M223" s="110">
        <f t="shared" si="10"/>
        <v>1.7519094733913221E-3</v>
      </c>
      <c r="N223" s="110">
        <f t="shared" si="11"/>
        <v>1.7519094733913221E-3</v>
      </c>
      <c r="O223" s="110">
        <v>2</v>
      </c>
    </row>
    <row r="224" spans="1:15" ht="112.05" customHeight="1" x14ac:dyDescent="0.3">
      <c r="A224" s="49" t="s">
        <v>106</v>
      </c>
      <c r="B224" s="49" t="s">
        <v>103</v>
      </c>
      <c r="C224" s="49" t="s">
        <v>29</v>
      </c>
      <c r="D224" s="112">
        <v>5.18</v>
      </c>
      <c r="E224" s="112">
        <f>MLCF!H172</f>
        <v>5.1823592062489379</v>
      </c>
      <c r="F224" s="112">
        <f>'PSX Prices'!F25/(MLCF!H99/'PSX Prices'!O25)</f>
        <v>5.1823592062489379</v>
      </c>
      <c r="G224" s="116" t="s">
        <v>56</v>
      </c>
      <c r="H224" s="116" t="str">
        <f t="shared" si="9"/>
        <v>Reproduced to precision</v>
      </c>
      <c r="I224" s="116" t="s">
        <v>22</v>
      </c>
      <c r="J224" s="116" t="s">
        <v>107</v>
      </c>
      <c r="K224" s="116" t="s">
        <v>57</v>
      </c>
      <c r="L224" s="116" t="s">
        <v>25</v>
      </c>
      <c r="M224" s="49">
        <f t="shared" si="10"/>
        <v>2.3592062489381505E-3</v>
      </c>
      <c r="N224" s="49">
        <f t="shared" si="11"/>
        <v>2.3592062489381505E-3</v>
      </c>
      <c r="O224" s="49">
        <v>2</v>
      </c>
    </row>
    <row r="225" spans="1:15" ht="112.05" customHeight="1" x14ac:dyDescent="0.3">
      <c r="A225" s="110" t="s">
        <v>114</v>
      </c>
      <c r="B225" s="110" t="s">
        <v>115</v>
      </c>
      <c r="C225" s="110" t="s">
        <v>20</v>
      </c>
      <c r="D225" s="111">
        <v>48</v>
      </c>
      <c r="E225" s="111">
        <f>FCCL!D159</f>
        <v>56.640991401771736</v>
      </c>
      <c r="F225" s="111">
        <f>FCCL!D108/(-FCCL!D95)</f>
        <v>47.593251416217385</v>
      </c>
      <c r="G225" s="115" t="s">
        <v>50</v>
      </c>
      <c r="H225" s="115" t="str">
        <f t="shared" si="9"/>
        <v>Reproduced to precision</v>
      </c>
      <c r="I225" s="115" t="s">
        <v>116</v>
      </c>
      <c r="J225" s="115" t="s">
        <v>117</v>
      </c>
      <c r="K225" s="115" t="s">
        <v>34</v>
      </c>
      <c r="L225" s="115" t="s">
        <v>118</v>
      </c>
      <c r="M225" s="110">
        <f t="shared" si="10"/>
        <v>8.6409914017717355</v>
      </c>
      <c r="N225" s="110">
        <f t="shared" si="11"/>
        <v>-0.40674858378261547</v>
      </c>
      <c r="O225" s="110">
        <v>0</v>
      </c>
    </row>
    <row r="226" spans="1:15" ht="112.05" customHeight="1" x14ac:dyDescent="0.3">
      <c r="A226" s="49" t="s">
        <v>114</v>
      </c>
      <c r="B226" s="49" t="s">
        <v>115</v>
      </c>
      <c r="C226" s="49" t="s">
        <v>26</v>
      </c>
      <c r="D226" s="112">
        <v>11</v>
      </c>
      <c r="E226" s="112">
        <f>FCCL!E159</f>
        <v>12.790793831338474</v>
      </c>
      <c r="F226" s="112">
        <f>FCCL!E108/(-FCCL!E95)</f>
        <v>10.593856419543082</v>
      </c>
      <c r="G226" s="116" t="s">
        <v>50</v>
      </c>
      <c r="H226" s="116" t="str">
        <f t="shared" si="9"/>
        <v>Reproduced to precision</v>
      </c>
      <c r="I226" s="116" t="s">
        <v>116</v>
      </c>
      <c r="J226" s="116" t="s">
        <v>117</v>
      </c>
      <c r="K226" s="116" t="s">
        <v>34</v>
      </c>
      <c r="L226" s="116" t="s">
        <v>118</v>
      </c>
      <c r="M226" s="49">
        <f t="shared" si="10"/>
        <v>1.7907938313384744</v>
      </c>
      <c r="N226" s="49">
        <f t="shared" si="11"/>
        <v>-0.40614358045691823</v>
      </c>
      <c r="O226" s="49">
        <v>0</v>
      </c>
    </row>
    <row r="227" spans="1:15" ht="112.05" customHeight="1" x14ac:dyDescent="0.3">
      <c r="A227" s="110" t="s">
        <v>114</v>
      </c>
      <c r="B227" s="110" t="s">
        <v>115</v>
      </c>
      <c r="C227" s="110" t="s">
        <v>27</v>
      </c>
      <c r="D227" s="111">
        <v>6.38</v>
      </c>
      <c r="E227" s="111">
        <f>FCCL!F159</f>
        <v>6.3034558691867248</v>
      </c>
      <c r="F227" s="111">
        <f>FCCL!F108/FCCL!F255</f>
        <v>6.3834948815521004</v>
      </c>
      <c r="G227" s="115" t="s">
        <v>119</v>
      </c>
      <c r="H227" s="115" t="str">
        <f t="shared" si="9"/>
        <v>Reproduced to precision</v>
      </c>
      <c r="I227" s="115" t="s">
        <v>116</v>
      </c>
      <c r="J227" s="115" t="s">
        <v>117</v>
      </c>
      <c r="K227" s="115" t="s">
        <v>34</v>
      </c>
      <c r="L227" s="115" t="s">
        <v>118</v>
      </c>
      <c r="M227" s="110">
        <f t="shared" si="10"/>
        <v>-7.6544130813275046E-2</v>
      </c>
      <c r="N227" s="110">
        <f t="shared" si="11"/>
        <v>3.4948815521005372E-3</v>
      </c>
      <c r="O227" s="110">
        <v>2</v>
      </c>
    </row>
    <row r="228" spans="1:15" ht="112.05" customHeight="1" x14ac:dyDescent="0.3">
      <c r="A228" s="49" t="s">
        <v>114</v>
      </c>
      <c r="B228" s="49" t="s">
        <v>115</v>
      </c>
      <c r="C228" s="49" t="s">
        <v>28</v>
      </c>
      <c r="D228" s="112">
        <v>3.82</v>
      </c>
      <c r="E228" s="112">
        <f>FCCL!G159</f>
        <v>3.7820866561894588</v>
      </c>
      <c r="F228" s="112">
        <f>FCCL!G108/FCCL!G255</f>
        <v>3.8200154619985169</v>
      </c>
      <c r="G228" s="116" t="s">
        <v>119</v>
      </c>
      <c r="H228" s="116" t="str">
        <f t="shared" si="9"/>
        <v>Reproduced to precision</v>
      </c>
      <c r="I228" s="116" t="s">
        <v>116</v>
      </c>
      <c r="J228" s="116" t="s">
        <v>117</v>
      </c>
      <c r="K228" s="116" t="s">
        <v>34</v>
      </c>
      <c r="L228" s="116" t="s">
        <v>118</v>
      </c>
      <c r="M228" s="49">
        <f t="shared" si="10"/>
        <v>-3.7913343810541011E-2</v>
      </c>
      <c r="N228" s="49">
        <f t="shared" si="11"/>
        <v>1.5461998517096731E-5</v>
      </c>
      <c r="O228" s="49">
        <v>2</v>
      </c>
    </row>
    <row r="229" spans="1:15" ht="112.05" customHeight="1" x14ac:dyDescent="0.3">
      <c r="A229" s="110" t="s">
        <v>114</v>
      </c>
      <c r="B229" s="110" t="s">
        <v>115</v>
      </c>
      <c r="C229" s="110" t="s">
        <v>29</v>
      </c>
      <c r="D229" s="111">
        <v>4.84</v>
      </c>
      <c r="E229" s="111">
        <f>FCCL!H159</f>
        <v>4.8107709914812053</v>
      </c>
      <c r="F229" s="111">
        <f>FCCL!H108/FCCL!H255</f>
        <v>4.8345720406996149</v>
      </c>
      <c r="G229" s="115" t="s">
        <v>119</v>
      </c>
      <c r="H229" s="115" t="str">
        <f t="shared" si="9"/>
        <v>Unresolved published value</v>
      </c>
      <c r="I229" s="115" t="s">
        <v>116</v>
      </c>
      <c r="J229" s="115" t="s">
        <v>117</v>
      </c>
      <c r="K229" s="115" t="s">
        <v>34</v>
      </c>
      <c r="L229" s="115" t="s">
        <v>118</v>
      </c>
      <c r="M229" s="110">
        <f t="shared" si="10"/>
        <v>-2.9229008518794508E-2</v>
      </c>
      <c r="N229" s="110">
        <f t="shared" si="11"/>
        <v>-5.4279593003849769E-3</v>
      </c>
      <c r="O229" s="110">
        <v>2</v>
      </c>
    </row>
    <row r="230" spans="1:15" ht="112.05" customHeight="1" x14ac:dyDescent="0.3">
      <c r="A230" s="49" t="s">
        <v>114</v>
      </c>
      <c r="B230" s="49" t="s">
        <v>120</v>
      </c>
      <c r="C230" s="49" t="s">
        <v>20</v>
      </c>
      <c r="D230" s="112">
        <v>16.87</v>
      </c>
      <c r="E230" s="112">
        <f>FCCL!D169</f>
        <v>16.868689643176804</v>
      </c>
      <c r="F230" s="112">
        <f>FCCL!D41/(FCCL!D39/FCCL!D127)/'PSX Prices'!G26</f>
        <v>16.868689643176804</v>
      </c>
      <c r="G230" s="116" t="s">
        <v>121</v>
      </c>
      <c r="H230" s="116" t="str">
        <f t="shared" si="9"/>
        <v>Reproduced to precision</v>
      </c>
      <c r="I230" s="116" t="s">
        <v>22</v>
      </c>
      <c r="J230" s="116" t="s">
        <v>117</v>
      </c>
      <c r="K230" s="116" t="s">
        <v>57</v>
      </c>
      <c r="L230" s="116" t="s">
        <v>25</v>
      </c>
      <c r="M230" s="49">
        <f t="shared" si="10"/>
        <v>-1.310356823196912E-3</v>
      </c>
      <c r="N230" s="49">
        <f t="shared" si="11"/>
        <v>-1.310356823196912E-3</v>
      </c>
      <c r="O230" s="49">
        <v>2</v>
      </c>
    </row>
    <row r="231" spans="1:15" ht="112.05" customHeight="1" x14ac:dyDescent="0.3">
      <c r="A231" s="110" t="s">
        <v>114</v>
      </c>
      <c r="B231" s="110" t="s">
        <v>120</v>
      </c>
      <c r="C231" s="110" t="s">
        <v>26</v>
      </c>
      <c r="D231" s="111">
        <v>26.48</v>
      </c>
      <c r="E231" s="111">
        <f>FCCL!E169</f>
        <v>26.480675904195227</v>
      </c>
      <c r="F231" s="111">
        <f>FCCL!E41/(FCCL!E39/FCCL!E127)/'PSX Prices'!G27</f>
        <v>26.480675904195227</v>
      </c>
      <c r="G231" s="115" t="s">
        <v>121</v>
      </c>
      <c r="H231" s="115" t="str">
        <f t="shared" si="9"/>
        <v>Reproduced to precision</v>
      </c>
      <c r="I231" s="115" t="s">
        <v>22</v>
      </c>
      <c r="J231" s="115" t="s">
        <v>117</v>
      </c>
      <c r="K231" s="115" t="s">
        <v>57</v>
      </c>
      <c r="L231" s="115" t="s">
        <v>25</v>
      </c>
      <c r="M231" s="110">
        <f t="shared" si="10"/>
        <v>6.7590419522645107E-4</v>
      </c>
      <c r="N231" s="110">
        <f t="shared" si="11"/>
        <v>6.7590419522645107E-4</v>
      </c>
      <c r="O231" s="110">
        <v>2</v>
      </c>
    </row>
    <row r="232" spans="1:15" ht="112.05" customHeight="1" x14ac:dyDescent="0.3">
      <c r="A232" s="49" t="s">
        <v>114</v>
      </c>
      <c r="B232" s="49" t="s">
        <v>120</v>
      </c>
      <c r="C232" s="49" t="s">
        <v>27</v>
      </c>
      <c r="D232" s="112">
        <v>26.57</v>
      </c>
      <c r="E232" s="112">
        <f>FCCL!F169</f>
        <v>26.571458006604239</v>
      </c>
      <c r="F232" s="112">
        <f>FCCL!F41/(FCCL!F39/FCCL!F127)/'PSX Prices'!G28</f>
        <v>26.571458006604239</v>
      </c>
      <c r="G232" s="116" t="s">
        <v>121</v>
      </c>
      <c r="H232" s="116" t="str">
        <f t="shared" si="9"/>
        <v>Reproduced to precision</v>
      </c>
      <c r="I232" s="116" t="s">
        <v>22</v>
      </c>
      <c r="J232" s="116" t="s">
        <v>117</v>
      </c>
      <c r="K232" s="116" t="s">
        <v>57</v>
      </c>
      <c r="L232" s="116" t="s">
        <v>25</v>
      </c>
      <c r="M232" s="49">
        <f t="shared" si="10"/>
        <v>1.4580066042384487E-3</v>
      </c>
      <c r="N232" s="49">
        <f t="shared" si="11"/>
        <v>1.4580066042384487E-3</v>
      </c>
      <c r="O232" s="49">
        <v>2</v>
      </c>
    </row>
    <row r="233" spans="1:15" ht="112.05" customHeight="1" x14ac:dyDescent="0.3">
      <c r="A233" s="110" t="s">
        <v>114</v>
      </c>
      <c r="B233" s="110" t="s">
        <v>120</v>
      </c>
      <c r="C233" s="110" t="s">
        <v>28</v>
      </c>
      <c r="D233" s="111">
        <v>29.92</v>
      </c>
      <c r="E233" s="111">
        <f>FCCL!G169</f>
        <v>29.923935347634316</v>
      </c>
      <c r="F233" s="111">
        <f>FCCL!G41/(FCCL!G39/FCCL!G127)/'PSX Prices'!G29</f>
        <v>29.923935347634316</v>
      </c>
      <c r="G233" s="115" t="s">
        <v>121</v>
      </c>
      <c r="H233" s="115" t="str">
        <f t="shared" si="9"/>
        <v>Reproduced to precision</v>
      </c>
      <c r="I233" s="115" t="s">
        <v>22</v>
      </c>
      <c r="J233" s="115" t="s">
        <v>117</v>
      </c>
      <c r="K233" s="115" t="s">
        <v>57</v>
      </c>
      <c r="L233" s="115" t="s">
        <v>25</v>
      </c>
      <c r="M233" s="110">
        <f t="shared" si="10"/>
        <v>3.9353476343144678E-3</v>
      </c>
      <c r="N233" s="110">
        <f t="shared" si="11"/>
        <v>3.9353476343144678E-3</v>
      </c>
      <c r="O233" s="110">
        <v>2</v>
      </c>
    </row>
    <row r="234" spans="1:15" ht="112.05" customHeight="1" x14ac:dyDescent="0.3">
      <c r="A234" s="49" t="s">
        <v>114</v>
      </c>
      <c r="B234" s="49" t="s">
        <v>120</v>
      </c>
      <c r="C234" s="49" t="s">
        <v>29</v>
      </c>
      <c r="D234" s="112">
        <v>34.36</v>
      </c>
      <c r="E234" s="112">
        <f>FCCL!H169</f>
        <v>34.356887072804682</v>
      </c>
      <c r="F234" s="112">
        <f>FCCL!H41/(FCCL!H39/FCCL!H127)/'PSX Prices'!G30</f>
        <v>34.356887072804682</v>
      </c>
      <c r="G234" s="116" t="s">
        <v>121</v>
      </c>
      <c r="H234" s="116" t="str">
        <f t="shared" si="9"/>
        <v>Reproduced to precision</v>
      </c>
      <c r="I234" s="116" t="s">
        <v>22</v>
      </c>
      <c r="J234" s="116" t="s">
        <v>117</v>
      </c>
      <c r="K234" s="116" t="s">
        <v>57</v>
      </c>
      <c r="L234" s="116" t="s">
        <v>25</v>
      </c>
      <c r="M234" s="49">
        <f t="shared" si="10"/>
        <v>-3.1129271953176385E-3</v>
      </c>
      <c r="N234" s="49">
        <f t="shared" si="11"/>
        <v>-3.1129271953176385E-3</v>
      </c>
      <c r="O234" s="49">
        <v>2</v>
      </c>
    </row>
    <row r="235" spans="1:15" ht="112.05" customHeight="1" x14ac:dyDescent="0.3">
      <c r="A235" s="110" t="s">
        <v>114</v>
      </c>
      <c r="B235" s="110" t="s">
        <v>122</v>
      </c>
      <c r="C235" s="110" t="s">
        <v>20</v>
      </c>
      <c r="D235" s="111">
        <v>2.52</v>
      </c>
      <c r="E235" s="111">
        <f>FCCL!D171</f>
        <v>2.5158090033808875</v>
      </c>
      <c r="F235" s="111">
        <f>FCCL!D99/'PSX Prices'!O26</f>
        <v>2.5158090033808875</v>
      </c>
      <c r="G235" s="115" t="s">
        <v>83</v>
      </c>
      <c r="H235" s="115" t="str">
        <f t="shared" si="9"/>
        <v>Reproduced to precision</v>
      </c>
      <c r="I235" s="115" t="s">
        <v>22</v>
      </c>
      <c r="J235" s="115" t="s">
        <v>117</v>
      </c>
      <c r="K235" s="115" t="s">
        <v>57</v>
      </c>
      <c r="L235" s="115" t="s">
        <v>25</v>
      </c>
      <c r="M235" s="110">
        <f t="shared" si="10"/>
        <v>-4.1909966191124859E-3</v>
      </c>
      <c r="N235" s="110">
        <f t="shared" si="11"/>
        <v>-4.1909966191124859E-3</v>
      </c>
      <c r="O235" s="110">
        <v>2</v>
      </c>
    </row>
    <row r="236" spans="1:15" ht="112.05" customHeight="1" x14ac:dyDescent="0.3">
      <c r="A236" s="49" t="s">
        <v>114</v>
      </c>
      <c r="B236" s="49" t="s">
        <v>122</v>
      </c>
      <c r="C236" s="49" t="s">
        <v>26</v>
      </c>
      <c r="D236" s="112">
        <v>3.02</v>
      </c>
      <c r="E236" s="112">
        <f>FCCL!E171</f>
        <v>3.2621706372812294</v>
      </c>
      <c r="F236" s="112">
        <f>FCCL!E99/'PSX Prices'!O27</f>
        <v>3.0220616696812757</v>
      </c>
      <c r="G236" s="116" t="s">
        <v>83</v>
      </c>
      <c r="H236" s="116" t="str">
        <f t="shared" si="9"/>
        <v>Reproduced to precision</v>
      </c>
      <c r="I236" s="116" t="s">
        <v>22</v>
      </c>
      <c r="J236" s="116" t="s">
        <v>117</v>
      </c>
      <c r="K236" s="116" t="s">
        <v>57</v>
      </c>
      <c r="L236" s="116" t="s">
        <v>25</v>
      </c>
      <c r="M236" s="49">
        <f t="shared" si="10"/>
        <v>0.24217063728122934</v>
      </c>
      <c r="N236" s="49">
        <f t="shared" si="11"/>
        <v>2.0616696812756352E-3</v>
      </c>
      <c r="O236" s="49">
        <v>2</v>
      </c>
    </row>
    <row r="237" spans="1:15" ht="112.05" customHeight="1" x14ac:dyDescent="0.3">
      <c r="A237" s="110" t="s">
        <v>114</v>
      </c>
      <c r="B237" s="110" t="s">
        <v>122</v>
      </c>
      <c r="C237" s="110" t="s">
        <v>27</v>
      </c>
      <c r="D237" s="111">
        <v>3.16</v>
      </c>
      <c r="E237" s="111">
        <f>FCCL!F171</f>
        <v>3.0330791851886794</v>
      </c>
      <c r="F237" s="111">
        <f>FCCL!F99/'PSX Prices'!O28</f>
        <v>3.1610612783557048</v>
      </c>
      <c r="G237" s="115" t="s">
        <v>83</v>
      </c>
      <c r="H237" s="115" t="str">
        <f t="shared" si="9"/>
        <v>Reproduced to precision</v>
      </c>
      <c r="I237" s="115" t="s">
        <v>22</v>
      </c>
      <c r="J237" s="115" t="s">
        <v>117</v>
      </c>
      <c r="K237" s="115" t="s">
        <v>57</v>
      </c>
      <c r="L237" s="115" t="s">
        <v>25</v>
      </c>
      <c r="M237" s="110">
        <f t="shared" si="10"/>
        <v>-0.12692081481132078</v>
      </c>
      <c r="N237" s="110">
        <f t="shared" si="11"/>
        <v>1.0612783557046868E-3</v>
      </c>
      <c r="O237" s="110">
        <v>2</v>
      </c>
    </row>
    <row r="238" spans="1:15" ht="112.05" customHeight="1" x14ac:dyDescent="0.3">
      <c r="A238" s="49" t="s">
        <v>114</v>
      </c>
      <c r="B238" s="49" t="s">
        <v>122</v>
      </c>
      <c r="C238" s="49" t="s">
        <v>28</v>
      </c>
      <c r="D238" s="112">
        <v>3.35</v>
      </c>
      <c r="E238" s="112">
        <f>FCCL!G171</f>
        <v>3.3524781610919856</v>
      </c>
      <c r="F238" s="112">
        <f>FCCL!G99/'PSX Prices'!O29</f>
        <v>3.3524781610919856</v>
      </c>
      <c r="G238" s="116" t="s">
        <v>83</v>
      </c>
      <c r="H238" s="116" t="str">
        <f t="shared" si="9"/>
        <v>Reproduced to precision</v>
      </c>
      <c r="I238" s="116" t="s">
        <v>22</v>
      </c>
      <c r="J238" s="116" t="s">
        <v>117</v>
      </c>
      <c r="K238" s="116" t="s">
        <v>57</v>
      </c>
      <c r="L238" s="116" t="s">
        <v>25</v>
      </c>
      <c r="M238" s="49">
        <f t="shared" si="10"/>
        <v>2.478161091985509E-3</v>
      </c>
      <c r="N238" s="49">
        <f t="shared" si="11"/>
        <v>2.478161091985509E-3</v>
      </c>
      <c r="O238" s="49">
        <v>2</v>
      </c>
    </row>
    <row r="239" spans="1:15" ht="112.05" customHeight="1" x14ac:dyDescent="0.3">
      <c r="A239" s="110" t="s">
        <v>114</v>
      </c>
      <c r="B239" s="110" t="s">
        <v>122</v>
      </c>
      <c r="C239" s="110" t="s">
        <v>29</v>
      </c>
      <c r="D239" s="111">
        <v>5.43</v>
      </c>
      <c r="E239" s="111">
        <f>FCCL!H171</f>
        <v>5.4329528095311241</v>
      </c>
      <c r="F239" s="111">
        <f>FCCL!H99/'PSX Prices'!O30</f>
        <v>5.4329528095311241</v>
      </c>
      <c r="G239" s="115" t="s">
        <v>83</v>
      </c>
      <c r="H239" s="115" t="str">
        <f t="shared" si="9"/>
        <v>Reproduced to precision</v>
      </c>
      <c r="I239" s="115" t="s">
        <v>22</v>
      </c>
      <c r="J239" s="115" t="s">
        <v>117</v>
      </c>
      <c r="K239" s="115" t="s">
        <v>57</v>
      </c>
      <c r="L239" s="115" t="s">
        <v>25</v>
      </c>
      <c r="M239" s="110">
        <f t="shared" si="10"/>
        <v>2.9528095311244229E-3</v>
      </c>
      <c r="N239" s="110">
        <f t="shared" si="11"/>
        <v>2.9528095311244229E-3</v>
      </c>
      <c r="O239" s="110">
        <v>2</v>
      </c>
    </row>
    <row r="240" spans="1:15" ht="112.05" customHeight="1" x14ac:dyDescent="0.3">
      <c r="A240" s="49" t="s">
        <v>114</v>
      </c>
      <c r="B240" s="49" t="s">
        <v>103</v>
      </c>
      <c r="C240" s="49" t="s">
        <v>20</v>
      </c>
      <c r="D240" s="112">
        <v>7.96</v>
      </c>
      <c r="E240" s="112">
        <f>FCCL!D172</f>
        <v>9.1421884447870596</v>
      </c>
      <c r="F240" s="112">
        <f>'PSX Prices'!F26/(FCCL!D99/'PSX Prices'!O26)</f>
        <v>9.1421884447870596</v>
      </c>
      <c r="G240" s="116" t="s">
        <v>56</v>
      </c>
      <c r="H240" s="116" t="str">
        <f t="shared" si="9"/>
        <v>Unresolved published value</v>
      </c>
      <c r="I240" s="116" t="s">
        <v>123</v>
      </c>
      <c r="J240" s="116" t="s">
        <v>117</v>
      </c>
      <c r="K240" s="116" t="s">
        <v>61</v>
      </c>
      <c r="L240" s="116" t="s">
        <v>62</v>
      </c>
      <c r="M240" s="49">
        <f t="shared" si="10"/>
        <v>1.1821884447870596</v>
      </c>
      <c r="N240" s="49">
        <f t="shared" si="11"/>
        <v>1.1821884447870596</v>
      </c>
      <c r="O240" s="49">
        <v>2</v>
      </c>
    </row>
    <row r="241" spans="1:15" ht="112.05" customHeight="1" x14ac:dyDescent="0.3">
      <c r="A241" s="110" t="s">
        <v>114</v>
      </c>
      <c r="B241" s="110" t="s">
        <v>103</v>
      </c>
      <c r="C241" s="110" t="s">
        <v>26</v>
      </c>
      <c r="D241" s="111">
        <v>6</v>
      </c>
      <c r="E241" s="111">
        <f>FCCL!E172</f>
        <v>4.3437335368236942</v>
      </c>
      <c r="F241" s="111">
        <f>'PSX Prices'!F27/(FCCL!E99/'PSX Prices'!O27)</f>
        <v>4.6888520317636173</v>
      </c>
      <c r="G241" s="115" t="s">
        <v>56</v>
      </c>
      <c r="H241" s="115" t="str">
        <f t="shared" si="9"/>
        <v>Unresolved published value</v>
      </c>
      <c r="I241" s="115" t="s">
        <v>123</v>
      </c>
      <c r="J241" s="115" t="s">
        <v>117</v>
      </c>
      <c r="K241" s="115" t="s">
        <v>61</v>
      </c>
      <c r="L241" s="115" t="s">
        <v>62</v>
      </c>
      <c r="M241" s="110">
        <f t="shared" si="10"/>
        <v>-1.6562664631763058</v>
      </c>
      <c r="N241" s="110">
        <f t="shared" si="11"/>
        <v>-1.3111479682363827</v>
      </c>
      <c r="O241" s="110">
        <v>2</v>
      </c>
    </row>
    <row r="242" spans="1:15" ht="112.05" customHeight="1" x14ac:dyDescent="0.3">
      <c r="A242" s="49" t="s">
        <v>114</v>
      </c>
      <c r="B242" s="49" t="s">
        <v>103</v>
      </c>
      <c r="C242" s="49" t="s">
        <v>27</v>
      </c>
      <c r="D242" s="112">
        <v>3.92</v>
      </c>
      <c r="E242" s="112">
        <f>FCCL!F172</f>
        <v>3.877247932539039</v>
      </c>
      <c r="F242" s="112">
        <f>'PSX Prices'!F28/(FCCL!F99/'PSX Prices'!O28)</f>
        <v>3.7202695438151143</v>
      </c>
      <c r="G242" s="116" t="s">
        <v>56</v>
      </c>
      <c r="H242" s="116" t="str">
        <f t="shared" si="9"/>
        <v>Unresolved published value</v>
      </c>
      <c r="I242" s="116" t="s">
        <v>123</v>
      </c>
      <c r="J242" s="116" t="s">
        <v>117</v>
      </c>
      <c r="K242" s="116" t="s">
        <v>61</v>
      </c>
      <c r="L242" s="116" t="s">
        <v>62</v>
      </c>
      <c r="M242" s="49">
        <f t="shared" si="10"/>
        <v>-4.2752067460960941E-2</v>
      </c>
      <c r="N242" s="49">
        <f t="shared" si="11"/>
        <v>-0.19973045618488561</v>
      </c>
      <c r="O242" s="49">
        <v>2</v>
      </c>
    </row>
    <row r="243" spans="1:15" ht="112.05" customHeight="1" x14ac:dyDescent="0.3">
      <c r="A243" s="110" t="s">
        <v>114</v>
      </c>
      <c r="B243" s="110" t="s">
        <v>103</v>
      </c>
      <c r="C243" s="110" t="s">
        <v>28</v>
      </c>
      <c r="D243" s="111">
        <v>5.26</v>
      </c>
      <c r="E243" s="111">
        <f>FCCL!G172</f>
        <v>6.8337507059367812</v>
      </c>
      <c r="F243" s="111">
        <f>'PSX Prices'!F29/(FCCL!G99/'PSX Prices'!O29)</f>
        <v>6.8337507059367812</v>
      </c>
      <c r="G243" s="115" t="s">
        <v>56</v>
      </c>
      <c r="H243" s="115" t="str">
        <f t="shared" si="9"/>
        <v>Unresolved published value</v>
      </c>
      <c r="I243" s="115" t="s">
        <v>123</v>
      </c>
      <c r="J243" s="115" t="s">
        <v>117</v>
      </c>
      <c r="K243" s="115" t="s">
        <v>61</v>
      </c>
      <c r="L243" s="115" t="s">
        <v>62</v>
      </c>
      <c r="M243" s="110">
        <f t="shared" si="10"/>
        <v>1.5737507059367815</v>
      </c>
      <c r="N243" s="110">
        <f t="shared" si="11"/>
        <v>1.5737507059367815</v>
      </c>
      <c r="O243" s="110">
        <v>2</v>
      </c>
    </row>
    <row r="244" spans="1:15" ht="112.05" customHeight="1" x14ac:dyDescent="0.3">
      <c r="A244" s="49" t="s">
        <v>114</v>
      </c>
      <c r="B244" s="49" t="s">
        <v>103</v>
      </c>
      <c r="C244" s="49" t="s">
        <v>29</v>
      </c>
      <c r="D244" s="112">
        <v>6.69</v>
      </c>
      <c r="E244" s="112">
        <f>FCCL!H172</f>
        <v>8.2220482242427426</v>
      </c>
      <c r="F244" s="112">
        <f>'PSX Prices'!F30/(FCCL!H99/'PSX Prices'!O30)</f>
        <v>8.2220482242427426</v>
      </c>
      <c r="G244" s="116" t="s">
        <v>56</v>
      </c>
      <c r="H244" s="116" t="str">
        <f t="shared" si="9"/>
        <v>Unresolved published value</v>
      </c>
      <c r="I244" s="116" t="s">
        <v>123</v>
      </c>
      <c r="J244" s="116" t="s">
        <v>117</v>
      </c>
      <c r="K244" s="116" t="s">
        <v>61</v>
      </c>
      <c r="L244" s="116" t="s">
        <v>62</v>
      </c>
      <c r="M244" s="49">
        <f t="shared" si="10"/>
        <v>1.5320482242427422</v>
      </c>
      <c r="N244" s="49">
        <f t="shared" si="11"/>
        <v>1.5320482242427422</v>
      </c>
      <c r="O244" s="49">
        <v>2</v>
      </c>
    </row>
    <row r="245" spans="1:15" ht="112.05" customHeight="1" x14ac:dyDescent="0.3">
      <c r="A245" s="110" t="s">
        <v>114</v>
      </c>
      <c r="B245" s="110" t="s">
        <v>104</v>
      </c>
      <c r="C245" s="110" t="s">
        <v>20</v>
      </c>
      <c r="D245" s="114">
        <v>0</v>
      </c>
      <c r="E245" s="114">
        <f>FCCL!D173</f>
        <v>0</v>
      </c>
      <c r="F245" s="114">
        <f>'PSX Prices'!N26/'PSX Prices'!F26</f>
        <v>0</v>
      </c>
      <c r="G245" s="115" t="s">
        <v>105</v>
      </c>
      <c r="H245" s="115" t="str">
        <f t="shared" si="9"/>
        <v>Reproduced to precision</v>
      </c>
      <c r="I245" s="115" t="s">
        <v>22</v>
      </c>
      <c r="J245" s="115" t="s">
        <v>117</v>
      </c>
      <c r="K245" s="115" t="s">
        <v>57</v>
      </c>
      <c r="L245" s="115" t="s">
        <v>25</v>
      </c>
      <c r="M245" s="110">
        <f t="shared" si="10"/>
        <v>0</v>
      </c>
      <c r="N245" s="110">
        <f t="shared" si="11"/>
        <v>0</v>
      </c>
      <c r="O245" s="110">
        <v>4</v>
      </c>
    </row>
    <row r="246" spans="1:15" ht="112.05" customHeight="1" x14ac:dyDescent="0.3">
      <c r="A246" s="49" t="s">
        <v>114</v>
      </c>
      <c r="B246" s="49" t="s">
        <v>104</v>
      </c>
      <c r="C246" s="49" t="s">
        <v>26</v>
      </c>
      <c r="D246" s="113">
        <v>0</v>
      </c>
      <c r="E246" s="113">
        <f>FCCL!E173</f>
        <v>0</v>
      </c>
      <c r="F246" s="113">
        <f>'PSX Prices'!N27/'PSX Prices'!F27</f>
        <v>0</v>
      </c>
      <c r="G246" s="116" t="s">
        <v>105</v>
      </c>
      <c r="H246" s="116" t="str">
        <f t="shared" si="9"/>
        <v>Reproduced to precision</v>
      </c>
      <c r="I246" s="116" t="s">
        <v>22</v>
      </c>
      <c r="J246" s="116" t="s">
        <v>117</v>
      </c>
      <c r="K246" s="116" t="s">
        <v>57</v>
      </c>
      <c r="L246" s="116" t="s">
        <v>25</v>
      </c>
      <c r="M246" s="49">
        <f t="shared" si="10"/>
        <v>0</v>
      </c>
      <c r="N246" s="49">
        <f t="shared" si="11"/>
        <v>0</v>
      </c>
      <c r="O246" s="49">
        <v>4</v>
      </c>
    </row>
    <row r="247" spans="1:15" ht="112.05" customHeight="1" x14ac:dyDescent="0.3">
      <c r="A247" s="110" t="s">
        <v>114</v>
      </c>
      <c r="B247" s="110" t="s">
        <v>104</v>
      </c>
      <c r="C247" s="110" t="s">
        <v>27</v>
      </c>
      <c r="D247" s="114">
        <v>0</v>
      </c>
      <c r="E247" s="114">
        <f>FCCL!F173</f>
        <v>0</v>
      </c>
      <c r="F247" s="114">
        <f>'PSX Prices'!N28/'PSX Prices'!F28</f>
        <v>0</v>
      </c>
      <c r="G247" s="115" t="s">
        <v>105</v>
      </c>
      <c r="H247" s="115" t="str">
        <f t="shared" si="9"/>
        <v>Reproduced to precision</v>
      </c>
      <c r="I247" s="115" t="s">
        <v>22</v>
      </c>
      <c r="J247" s="115" t="s">
        <v>117</v>
      </c>
      <c r="K247" s="115" t="s">
        <v>57</v>
      </c>
      <c r="L247" s="115" t="s">
        <v>25</v>
      </c>
      <c r="M247" s="110">
        <f t="shared" si="10"/>
        <v>0</v>
      </c>
      <c r="N247" s="110">
        <f t="shared" si="11"/>
        <v>0</v>
      </c>
      <c r="O247" s="110">
        <v>4</v>
      </c>
    </row>
    <row r="248" spans="1:15" ht="112.05" customHeight="1" x14ac:dyDescent="0.3">
      <c r="A248" s="49" t="s">
        <v>114</v>
      </c>
      <c r="B248" s="49" t="s">
        <v>104</v>
      </c>
      <c r="C248" s="49" t="s">
        <v>28</v>
      </c>
      <c r="D248" s="113">
        <v>4.36E-2</v>
      </c>
      <c r="E248" s="113">
        <f>FCCL!G173</f>
        <v>4.3649061545176782E-2</v>
      </c>
      <c r="F248" s="113">
        <f>'PSX Prices'!N29/'PSX Prices'!F29</f>
        <v>4.3649061545176782E-2</v>
      </c>
      <c r="G248" s="116" t="s">
        <v>105</v>
      </c>
      <c r="H248" s="116" t="str">
        <f t="shared" si="9"/>
        <v>Reproduced to precision</v>
      </c>
      <c r="I248" s="116" t="s">
        <v>22</v>
      </c>
      <c r="J248" s="116" t="s">
        <v>117</v>
      </c>
      <c r="K248" s="116" t="s">
        <v>57</v>
      </c>
      <c r="L248" s="116" t="s">
        <v>25</v>
      </c>
      <c r="M248" s="49">
        <f t="shared" si="10"/>
        <v>4.906154517678174E-5</v>
      </c>
      <c r="N248" s="49">
        <f t="shared" si="11"/>
        <v>4.906154517678174E-5</v>
      </c>
      <c r="O248" s="49">
        <v>4</v>
      </c>
    </row>
    <row r="249" spans="1:15" ht="112.05" customHeight="1" x14ac:dyDescent="0.3">
      <c r="A249" s="110" t="s">
        <v>114</v>
      </c>
      <c r="B249" s="110" t="s">
        <v>104</v>
      </c>
      <c r="C249" s="110" t="s">
        <v>29</v>
      </c>
      <c r="D249" s="114">
        <v>2.8000000000000001E-2</v>
      </c>
      <c r="E249" s="114">
        <f>FCCL!H173</f>
        <v>2.7982986344302664E-2</v>
      </c>
      <c r="F249" s="114">
        <f>'PSX Prices'!N30/'PSX Prices'!F30</f>
        <v>2.7982986344302664E-2</v>
      </c>
      <c r="G249" s="115" t="s">
        <v>105</v>
      </c>
      <c r="H249" s="115" t="str">
        <f t="shared" si="9"/>
        <v>Reproduced to precision</v>
      </c>
      <c r="I249" s="115" t="s">
        <v>22</v>
      </c>
      <c r="J249" s="115" t="s">
        <v>117</v>
      </c>
      <c r="K249" s="115" t="s">
        <v>57</v>
      </c>
      <c r="L249" s="115" t="s">
        <v>25</v>
      </c>
      <c r="M249" s="110">
        <f t="shared" si="10"/>
        <v>-1.7013655697336455E-5</v>
      </c>
      <c r="N249" s="110">
        <f t="shared" si="11"/>
        <v>-1.7013655697336455E-5</v>
      </c>
      <c r="O249" s="110">
        <v>4</v>
      </c>
    </row>
    <row r="250" spans="1:15" ht="112.05" customHeight="1" x14ac:dyDescent="0.3">
      <c r="A250" s="49" t="s">
        <v>114</v>
      </c>
      <c r="B250" s="49" t="s">
        <v>124</v>
      </c>
      <c r="C250" s="49" t="s">
        <v>20</v>
      </c>
      <c r="D250" s="113">
        <v>0</v>
      </c>
      <c r="E250" s="113">
        <f>FCCL!D174</f>
        <v>0</v>
      </c>
      <c r="F250" s="113">
        <f>'PSX Prices'!N26/(FCCL!D99/'PSX Prices'!O26)</f>
        <v>0</v>
      </c>
      <c r="G250" s="116" t="s">
        <v>125</v>
      </c>
      <c r="H250" s="116" t="str">
        <f t="shared" si="9"/>
        <v>Reproduced to precision</v>
      </c>
      <c r="I250" s="116" t="s">
        <v>22</v>
      </c>
      <c r="J250" s="116" t="s">
        <v>117</v>
      </c>
      <c r="K250" s="116" t="s">
        <v>57</v>
      </c>
      <c r="L250" s="116" t="s">
        <v>25</v>
      </c>
      <c r="M250" s="49">
        <f t="shared" si="10"/>
        <v>0</v>
      </c>
      <c r="N250" s="49">
        <f t="shared" si="11"/>
        <v>0</v>
      </c>
      <c r="O250" s="49">
        <v>4</v>
      </c>
    </row>
    <row r="251" spans="1:15" ht="112.05" customHeight="1" x14ac:dyDescent="0.3">
      <c r="A251" s="110" t="s">
        <v>114</v>
      </c>
      <c r="B251" s="110" t="s">
        <v>124</v>
      </c>
      <c r="C251" s="110" t="s">
        <v>26</v>
      </c>
      <c r="D251" s="114">
        <v>0</v>
      </c>
      <c r="E251" s="114">
        <f>FCCL!E174</f>
        <v>0</v>
      </c>
      <c r="F251" s="114">
        <f>'PSX Prices'!N27/(FCCL!E99/'PSX Prices'!O27)</f>
        <v>0</v>
      </c>
      <c r="G251" s="115" t="s">
        <v>125</v>
      </c>
      <c r="H251" s="115" t="str">
        <f t="shared" si="9"/>
        <v>Reproduced to precision</v>
      </c>
      <c r="I251" s="115" t="s">
        <v>22</v>
      </c>
      <c r="J251" s="115" t="s">
        <v>117</v>
      </c>
      <c r="K251" s="115" t="s">
        <v>57</v>
      </c>
      <c r="L251" s="115" t="s">
        <v>25</v>
      </c>
      <c r="M251" s="110">
        <f t="shared" si="10"/>
        <v>0</v>
      </c>
      <c r="N251" s="110">
        <f t="shared" si="11"/>
        <v>0</v>
      </c>
      <c r="O251" s="110">
        <v>4</v>
      </c>
    </row>
    <row r="252" spans="1:15" ht="112.05" customHeight="1" x14ac:dyDescent="0.3">
      <c r="A252" s="49" t="s">
        <v>114</v>
      </c>
      <c r="B252" s="49" t="s">
        <v>124</v>
      </c>
      <c r="C252" s="49" t="s">
        <v>27</v>
      </c>
      <c r="D252" s="113">
        <v>0</v>
      </c>
      <c r="E252" s="113">
        <f>FCCL!F174</f>
        <v>0</v>
      </c>
      <c r="F252" s="113">
        <f>'PSX Prices'!N28/(FCCL!F99/'PSX Prices'!O28)</f>
        <v>0</v>
      </c>
      <c r="G252" s="116" t="s">
        <v>125</v>
      </c>
      <c r="H252" s="116" t="str">
        <f t="shared" si="9"/>
        <v>Reproduced to precision</v>
      </c>
      <c r="I252" s="116" t="s">
        <v>22</v>
      </c>
      <c r="J252" s="116" t="s">
        <v>117</v>
      </c>
      <c r="K252" s="116" t="s">
        <v>57</v>
      </c>
      <c r="L252" s="116" t="s">
        <v>25</v>
      </c>
      <c r="M252" s="49">
        <f t="shared" si="10"/>
        <v>0</v>
      </c>
      <c r="N252" s="49">
        <f t="shared" si="11"/>
        <v>0</v>
      </c>
      <c r="O252" s="49">
        <v>4</v>
      </c>
    </row>
    <row r="253" spans="1:15" ht="112.05" customHeight="1" x14ac:dyDescent="0.3">
      <c r="A253" s="110" t="s">
        <v>114</v>
      </c>
      <c r="B253" s="110" t="s">
        <v>124</v>
      </c>
      <c r="C253" s="110" t="s">
        <v>28</v>
      </c>
      <c r="D253" s="114">
        <v>0.29830000000000001</v>
      </c>
      <c r="E253" s="114">
        <f>FCCL!G174</f>
        <v>0.29828680514782985</v>
      </c>
      <c r="F253" s="114">
        <f>'PSX Prices'!N29/(FCCL!G99/'PSX Prices'!O29)</f>
        <v>0.29828680514782985</v>
      </c>
      <c r="G253" s="115" t="s">
        <v>125</v>
      </c>
      <c r="H253" s="115" t="str">
        <f t="shared" si="9"/>
        <v>Reproduced to precision</v>
      </c>
      <c r="I253" s="115" t="s">
        <v>22</v>
      </c>
      <c r="J253" s="115" t="s">
        <v>117</v>
      </c>
      <c r="K253" s="115" t="s">
        <v>57</v>
      </c>
      <c r="L253" s="115" t="s">
        <v>25</v>
      </c>
      <c r="M253" s="110">
        <f t="shared" si="10"/>
        <v>-1.3194852170161919E-5</v>
      </c>
      <c r="N253" s="110">
        <f t="shared" si="11"/>
        <v>-1.3194852170161919E-5</v>
      </c>
      <c r="O253" s="110">
        <v>4</v>
      </c>
    </row>
    <row r="254" spans="1:15" ht="112.05" customHeight="1" x14ac:dyDescent="0.3">
      <c r="A254" s="49" t="s">
        <v>114</v>
      </c>
      <c r="B254" s="49" t="s">
        <v>124</v>
      </c>
      <c r="C254" s="49" t="s">
        <v>29</v>
      </c>
      <c r="D254" s="113">
        <v>0.2301</v>
      </c>
      <c r="E254" s="113">
        <f>FCCL!H174</f>
        <v>0.23007746318118263</v>
      </c>
      <c r="F254" s="113">
        <f>'PSX Prices'!N30/(FCCL!H99/'PSX Prices'!O30)</f>
        <v>0.23007746318118263</v>
      </c>
      <c r="G254" s="116" t="s">
        <v>125</v>
      </c>
      <c r="H254" s="116" t="str">
        <f t="shared" si="9"/>
        <v>Reproduced to precision</v>
      </c>
      <c r="I254" s="116" t="s">
        <v>22</v>
      </c>
      <c r="J254" s="116" t="s">
        <v>117</v>
      </c>
      <c r="K254" s="116" t="s">
        <v>57</v>
      </c>
      <c r="L254" s="116" t="s">
        <v>25</v>
      </c>
      <c r="M254" s="49">
        <f t="shared" si="10"/>
        <v>-2.253681881736469E-5</v>
      </c>
      <c r="N254" s="49">
        <f t="shared" si="11"/>
        <v>-2.253681881736469E-5</v>
      </c>
      <c r="O254" s="49">
        <v>4</v>
      </c>
    </row>
    <row r="255" spans="1:15" ht="112.05" customHeight="1" x14ac:dyDescent="0.3">
      <c r="A255" s="110" t="s">
        <v>114</v>
      </c>
      <c r="B255" s="110" t="s">
        <v>126</v>
      </c>
      <c r="C255" s="110" t="s">
        <v>20</v>
      </c>
      <c r="D255" s="111">
        <v>0.04</v>
      </c>
      <c r="E255" s="111">
        <f>FCCL!D156</f>
        <v>0.46299674883701519</v>
      </c>
      <c r="F255" s="111">
        <f>(FCCL!D43+FCCL!D55+FCCL!D45+FCCL!D57)/FCCL!D41</f>
        <v>3.7605102770184369E-2</v>
      </c>
      <c r="G255" s="115" t="s">
        <v>127</v>
      </c>
      <c r="H255" s="115" t="str">
        <f t="shared" si="9"/>
        <v>Reproduced to precision</v>
      </c>
      <c r="I255" s="115" t="s">
        <v>128</v>
      </c>
      <c r="J255" s="115" t="s">
        <v>117</v>
      </c>
      <c r="K255" s="115" t="s">
        <v>34</v>
      </c>
      <c r="L255" s="115" t="s">
        <v>35</v>
      </c>
      <c r="M255" s="110">
        <f t="shared" si="10"/>
        <v>0.42299674883701521</v>
      </c>
      <c r="N255" s="110">
        <f t="shared" si="11"/>
        <v>-2.3948972298156318E-3</v>
      </c>
      <c r="O255" s="110">
        <v>2</v>
      </c>
    </row>
    <row r="256" spans="1:15" ht="112.05" customHeight="1" x14ac:dyDescent="0.3">
      <c r="A256" s="49" t="s">
        <v>114</v>
      </c>
      <c r="B256" s="49" t="s">
        <v>126</v>
      </c>
      <c r="C256" s="49" t="s">
        <v>26</v>
      </c>
      <c r="D256" s="112">
        <v>0.43</v>
      </c>
      <c r="E256" s="112">
        <f>FCCL!E156</f>
        <v>0.96927336013391707</v>
      </c>
      <c r="F256" s="112">
        <f>(FCCL!E43+FCCL!E55+FCCL!E45+FCCL!E57)/FCCL!E41</f>
        <v>0.43109714664264565</v>
      </c>
      <c r="G256" s="116" t="s">
        <v>127</v>
      </c>
      <c r="H256" s="116" t="str">
        <f t="shared" si="9"/>
        <v>Reproduced to precision</v>
      </c>
      <c r="I256" s="116" t="s">
        <v>128</v>
      </c>
      <c r="J256" s="116" t="s">
        <v>117</v>
      </c>
      <c r="K256" s="116" t="s">
        <v>34</v>
      </c>
      <c r="L256" s="116" t="s">
        <v>35</v>
      </c>
      <c r="M256" s="49">
        <f t="shared" si="10"/>
        <v>0.53927336013391702</v>
      </c>
      <c r="N256" s="49">
        <f t="shared" si="11"/>
        <v>1.0971466426456522E-3</v>
      </c>
      <c r="O256" s="49">
        <v>2</v>
      </c>
    </row>
    <row r="257" spans="1:15" ht="112.05" customHeight="1" x14ac:dyDescent="0.3">
      <c r="A257" s="110" t="s">
        <v>114</v>
      </c>
      <c r="B257" s="110" t="s">
        <v>126</v>
      </c>
      <c r="C257" s="110" t="s">
        <v>27</v>
      </c>
      <c r="D257" s="111">
        <v>0.6</v>
      </c>
      <c r="E257" s="111">
        <f>FCCL!F156</f>
        <v>1.130064091181662</v>
      </c>
      <c r="F257" s="111">
        <f>(FCCL!F43+FCCL!F55+FCCL!F45+FCCL!F57)/FCCL!F41</f>
        <v>0.60304221799593938</v>
      </c>
      <c r="G257" s="115" t="s">
        <v>127</v>
      </c>
      <c r="H257" s="115" t="str">
        <f t="shared" si="9"/>
        <v>Reproduced to precision</v>
      </c>
      <c r="I257" s="115" t="s">
        <v>128</v>
      </c>
      <c r="J257" s="115" t="s">
        <v>117</v>
      </c>
      <c r="K257" s="115" t="s">
        <v>34</v>
      </c>
      <c r="L257" s="115" t="s">
        <v>35</v>
      </c>
      <c r="M257" s="110">
        <f t="shared" si="10"/>
        <v>0.53006409118166198</v>
      </c>
      <c r="N257" s="110">
        <f t="shared" si="11"/>
        <v>3.0422179959394002E-3</v>
      </c>
      <c r="O257" s="110">
        <v>2</v>
      </c>
    </row>
    <row r="258" spans="1:15" ht="112.05" customHeight="1" x14ac:dyDescent="0.3">
      <c r="A258" s="49" t="s">
        <v>114</v>
      </c>
      <c r="B258" s="49" t="s">
        <v>126</v>
      </c>
      <c r="C258" s="49" t="s">
        <v>28</v>
      </c>
      <c r="D258" s="112">
        <v>0.51</v>
      </c>
      <c r="E258" s="112">
        <f>FCCL!G156</f>
        <v>1.0114251512894896</v>
      </c>
      <c r="F258" s="112">
        <f>(FCCL!G43+FCCL!G55+FCCL!G45+FCCL!G57)/FCCL!G41</f>
        <v>0.51391818071053508</v>
      </c>
      <c r="G258" s="116" t="s">
        <v>127</v>
      </c>
      <c r="H258" s="116" t="str">
        <f t="shared" si="9"/>
        <v>Reproduced to precision</v>
      </c>
      <c r="I258" s="116" t="s">
        <v>128</v>
      </c>
      <c r="J258" s="116" t="s">
        <v>117</v>
      </c>
      <c r="K258" s="116" t="s">
        <v>34</v>
      </c>
      <c r="L258" s="116" t="s">
        <v>35</v>
      </c>
      <c r="M258" s="49">
        <f t="shared" si="10"/>
        <v>0.50142515128948961</v>
      </c>
      <c r="N258" s="49">
        <f t="shared" si="11"/>
        <v>3.9181807105350686E-3</v>
      </c>
      <c r="O258" s="49">
        <v>2</v>
      </c>
    </row>
    <row r="259" spans="1:15" ht="112.05" customHeight="1" x14ac:dyDescent="0.3">
      <c r="A259" s="110" t="s">
        <v>114</v>
      </c>
      <c r="B259" s="110" t="s">
        <v>126</v>
      </c>
      <c r="C259" s="110" t="s">
        <v>29</v>
      </c>
      <c r="D259" s="111">
        <v>0.39</v>
      </c>
      <c r="E259" s="111">
        <f>FCCL!H156</f>
        <v>0.90863862259310912</v>
      </c>
      <c r="F259" s="111">
        <f>(FCCL!H43+FCCL!H55+FCCL!H45+FCCL!H57)/FCCL!H41</f>
        <v>0.38536433031397493</v>
      </c>
      <c r="G259" s="115" t="s">
        <v>127</v>
      </c>
      <c r="H259" s="115" t="str">
        <f t="shared" si="9"/>
        <v>Reproduced to precision</v>
      </c>
      <c r="I259" s="115" t="s">
        <v>128</v>
      </c>
      <c r="J259" s="115" t="s">
        <v>117</v>
      </c>
      <c r="K259" s="115" t="s">
        <v>34</v>
      </c>
      <c r="L259" s="115" t="s">
        <v>35</v>
      </c>
      <c r="M259" s="110">
        <f t="shared" si="10"/>
        <v>0.51863862259310911</v>
      </c>
      <c r="N259" s="110">
        <f t="shared" si="11"/>
        <v>-4.635669686025079E-3</v>
      </c>
      <c r="O259" s="110">
        <v>2</v>
      </c>
    </row>
    <row r="260" spans="1:15" ht="112.05" customHeight="1" x14ac:dyDescent="0.3">
      <c r="A260" s="49" t="s">
        <v>18</v>
      </c>
      <c r="B260" s="49" t="s">
        <v>129</v>
      </c>
      <c r="C260" s="49" t="s">
        <v>20</v>
      </c>
      <c r="D260" s="112">
        <v>24.46</v>
      </c>
      <c r="E260" s="112">
        <f>KOHC!D145</f>
        <v>32.556527152183129</v>
      </c>
      <c r="F260" s="112">
        <f>KOHC!D84/KOHC!D32</f>
        <v>24.459285517197927</v>
      </c>
      <c r="G260" s="116" t="s">
        <v>130</v>
      </c>
      <c r="H260" s="116" t="str">
        <f t="shared" si="9"/>
        <v>Reproduced to precision</v>
      </c>
      <c r="I260" s="116" t="s">
        <v>22</v>
      </c>
      <c r="J260" s="116" t="s">
        <v>131</v>
      </c>
      <c r="K260" s="116" t="s">
        <v>132</v>
      </c>
      <c r="L260" s="116" t="s">
        <v>25</v>
      </c>
      <c r="M260" s="49">
        <f t="shared" si="10"/>
        <v>8.0965271521831284</v>
      </c>
      <c r="N260" s="49">
        <f t="shared" si="11"/>
        <v>-7.1448280207420112E-4</v>
      </c>
      <c r="O260" s="49">
        <v>2</v>
      </c>
    </row>
    <row r="261" spans="1:15" ht="112.05" customHeight="1" x14ac:dyDescent="0.3">
      <c r="A261" s="110" t="s">
        <v>18</v>
      </c>
      <c r="B261" s="110" t="s">
        <v>129</v>
      </c>
      <c r="C261" s="110" t="s">
        <v>26</v>
      </c>
      <c r="D261" s="111">
        <v>35.89</v>
      </c>
      <c r="E261" s="111">
        <f>KOHC!E145</f>
        <v>34.614462046513971</v>
      </c>
      <c r="F261" s="111">
        <f>KOHC!E84/KOHC!E32</f>
        <v>35.890319458494865</v>
      </c>
      <c r="G261" s="115" t="s">
        <v>130</v>
      </c>
      <c r="H261" s="115" t="str">
        <f t="shared" ref="H261:H324" si="12">IF(AND(ISNUMBER(D261),ISNUMBER(F261)),IF(ROUND(D261,O261)=ROUND(F261,O261),"Reproduced to precision","Unresolved published value"),"Not comparable")</f>
        <v>Reproduced to precision</v>
      </c>
      <c r="I261" s="115" t="s">
        <v>22</v>
      </c>
      <c r="J261" s="115" t="s">
        <v>131</v>
      </c>
      <c r="K261" s="115" t="s">
        <v>132</v>
      </c>
      <c r="L261" s="115" t="s">
        <v>25</v>
      </c>
      <c r="M261" s="110">
        <f t="shared" ref="M261:M324" si="13">IF(ISNUMBER(E261),E261-D261,"n/m")</f>
        <v>-1.2755379534860296</v>
      </c>
      <c r="N261" s="110">
        <f t="shared" ref="N261:N324" si="14">IF(ISNUMBER(F261),F261-D261,"n/m")</f>
        <v>3.1945849486447742E-4</v>
      </c>
      <c r="O261" s="110">
        <v>2</v>
      </c>
    </row>
    <row r="262" spans="1:15" ht="112.05" customHeight="1" x14ac:dyDescent="0.3">
      <c r="A262" s="49" t="s">
        <v>18</v>
      </c>
      <c r="B262" s="49" t="s">
        <v>129</v>
      </c>
      <c r="C262" s="49" t="s">
        <v>27</v>
      </c>
      <c r="D262" s="112">
        <v>32.29</v>
      </c>
      <c r="E262" s="112">
        <f>KOHC!F145</f>
        <v>36.690956476472735</v>
      </c>
      <c r="F262" s="112">
        <f>KOHC!F84/KOHC!F32</f>
        <v>32.285285875459472</v>
      </c>
      <c r="G262" s="116" t="s">
        <v>130</v>
      </c>
      <c r="H262" s="116" t="str">
        <f t="shared" si="12"/>
        <v>Reproduced to precision</v>
      </c>
      <c r="I262" s="116" t="s">
        <v>22</v>
      </c>
      <c r="J262" s="116" t="s">
        <v>131</v>
      </c>
      <c r="K262" s="116" t="s">
        <v>132</v>
      </c>
      <c r="L262" s="116" t="s">
        <v>25</v>
      </c>
      <c r="M262" s="49">
        <f t="shared" si="13"/>
        <v>4.4009564764727358</v>
      </c>
      <c r="N262" s="49">
        <f t="shared" si="14"/>
        <v>-4.7141245405271093E-3</v>
      </c>
      <c r="O262" s="49">
        <v>2</v>
      </c>
    </row>
    <row r="263" spans="1:15" ht="112.05" customHeight="1" x14ac:dyDescent="0.3">
      <c r="A263" s="110" t="s">
        <v>18</v>
      </c>
      <c r="B263" s="110" t="s">
        <v>129</v>
      </c>
      <c r="C263" s="110" t="s">
        <v>28</v>
      </c>
      <c r="D263" s="111">
        <v>18.309999999999999</v>
      </c>
      <c r="E263" s="111">
        <f>KOHC!G145</f>
        <v>23.311269128267483</v>
      </c>
      <c r="F263" s="111">
        <f>KOHC!G84/KOHC!G32</f>
        <v>18.314325978180737</v>
      </c>
      <c r="G263" s="115" t="s">
        <v>130</v>
      </c>
      <c r="H263" s="115" t="str">
        <f t="shared" si="12"/>
        <v>Reproduced to precision</v>
      </c>
      <c r="I263" s="115" t="s">
        <v>22</v>
      </c>
      <c r="J263" s="115" t="s">
        <v>131</v>
      </c>
      <c r="K263" s="115" t="s">
        <v>132</v>
      </c>
      <c r="L263" s="115" t="s">
        <v>25</v>
      </c>
      <c r="M263" s="110">
        <f t="shared" si="13"/>
        <v>5.0012691282674844</v>
      </c>
      <c r="N263" s="110">
        <f t="shared" si="14"/>
        <v>4.3259781807378772E-3</v>
      </c>
      <c r="O263" s="110">
        <v>2</v>
      </c>
    </row>
    <row r="264" spans="1:15" ht="112.05" customHeight="1" x14ac:dyDescent="0.3">
      <c r="A264" s="49" t="s">
        <v>18</v>
      </c>
      <c r="B264" s="49" t="s">
        <v>129</v>
      </c>
      <c r="C264" s="49" t="s">
        <v>29</v>
      </c>
      <c r="D264" s="112">
        <v>22.18</v>
      </c>
      <c r="E264" s="112">
        <f>KOHC!H145</f>
        <v>19.742821104933064</v>
      </c>
      <c r="F264" s="112">
        <f>KOHC!H84/KOHC!H32</f>
        <v>22.181364397772164</v>
      </c>
      <c r="G264" s="116" t="s">
        <v>130</v>
      </c>
      <c r="H264" s="116" t="str">
        <f t="shared" si="12"/>
        <v>Reproduced to precision</v>
      </c>
      <c r="I264" s="116" t="s">
        <v>22</v>
      </c>
      <c r="J264" s="116" t="s">
        <v>131</v>
      </c>
      <c r="K264" s="116" t="s">
        <v>132</v>
      </c>
      <c r="L264" s="116" t="s">
        <v>25</v>
      </c>
      <c r="M264" s="49">
        <f t="shared" si="13"/>
        <v>-2.4371788950669355</v>
      </c>
      <c r="N264" s="49">
        <f t="shared" si="14"/>
        <v>1.3643977721642386E-3</v>
      </c>
      <c r="O264" s="49">
        <v>2</v>
      </c>
    </row>
    <row r="265" spans="1:15" ht="112.05" customHeight="1" x14ac:dyDescent="0.3">
      <c r="A265" s="110" t="s">
        <v>18</v>
      </c>
      <c r="B265" s="110" t="s">
        <v>133</v>
      </c>
      <c r="C265" s="110" t="s">
        <v>20</v>
      </c>
      <c r="D265" s="111">
        <v>10.82</v>
      </c>
      <c r="E265" s="111">
        <f>KOHC!D146</f>
        <v>13.672632178905467</v>
      </c>
      <c r="F265" s="111">
        <f>(-KOHC!D85)/(KOHC!D51+KOHC!D254)</f>
        <v>10.819001081323224</v>
      </c>
      <c r="G265" s="115" t="s">
        <v>40</v>
      </c>
      <c r="H265" s="115" t="str">
        <f t="shared" si="12"/>
        <v>Reproduced to precision</v>
      </c>
      <c r="I265" s="115" t="s">
        <v>41</v>
      </c>
      <c r="J265" s="115" t="s">
        <v>131</v>
      </c>
      <c r="K265" s="115" t="s">
        <v>132</v>
      </c>
      <c r="L265" s="115" t="s">
        <v>35</v>
      </c>
      <c r="M265" s="110">
        <f t="shared" si="13"/>
        <v>2.8526321789054663</v>
      </c>
      <c r="N265" s="110">
        <f t="shared" si="14"/>
        <v>-9.9891867677648349E-4</v>
      </c>
      <c r="O265" s="110">
        <v>2</v>
      </c>
    </row>
    <row r="266" spans="1:15" ht="112.05" customHeight="1" x14ac:dyDescent="0.3">
      <c r="A266" s="49" t="s">
        <v>18</v>
      </c>
      <c r="B266" s="49" t="s">
        <v>133</v>
      </c>
      <c r="C266" s="49" t="s">
        <v>26</v>
      </c>
      <c r="D266" s="112">
        <v>17.41</v>
      </c>
      <c r="E266" s="112">
        <f>KOHC!E146</f>
        <v>16.261881526580382</v>
      </c>
      <c r="F266" s="112">
        <f>(-KOHC!E85)/(KOHC!E51+KOHC!E254)</f>
        <v>17.407269231520594</v>
      </c>
      <c r="G266" s="116" t="s">
        <v>40</v>
      </c>
      <c r="H266" s="116" t="str">
        <f t="shared" si="12"/>
        <v>Reproduced to precision</v>
      </c>
      <c r="I266" s="116" t="s">
        <v>41</v>
      </c>
      <c r="J266" s="116" t="s">
        <v>131</v>
      </c>
      <c r="K266" s="116" t="s">
        <v>132</v>
      </c>
      <c r="L266" s="116" t="s">
        <v>35</v>
      </c>
      <c r="M266" s="49">
        <f t="shared" si="13"/>
        <v>-1.1481184734196184</v>
      </c>
      <c r="N266" s="49">
        <f t="shared" si="14"/>
        <v>-2.7307684794060094E-3</v>
      </c>
      <c r="O266" s="49">
        <v>2</v>
      </c>
    </row>
    <row r="267" spans="1:15" ht="112.05" customHeight="1" x14ac:dyDescent="0.3">
      <c r="A267" s="110" t="s">
        <v>18</v>
      </c>
      <c r="B267" s="110" t="s">
        <v>133</v>
      </c>
      <c r="C267" s="110" t="s">
        <v>27</v>
      </c>
      <c r="D267" s="111">
        <v>39.94</v>
      </c>
      <c r="E267" s="111">
        <f>KOHC!F146</f>
        <v>29.126311219807445</v>
      </c>
      <c r="F267" s="111">
        <f>(-KOHC!F85)/(KOHC!F51+KOHC!F254)</f>
        <v>39.941426575739115</v>
      </c>
      <c r="G267" s="115" t="s">
        <v>40</v>
      </c>
      <c r="H267" s="115" t="str">
        <f t="shared" si="12"/>
        <v>Reproduced to precision</v>
      </c>
      <c r="I267" s="115" t="s">
        <v>41</v>
      </c>
      <c r="J267" s="115" t="s">
        <v>131</v>
      </c>
      <c r="K267" s="115" t="s">
        <v>132</v>
      </c>
      <c r="L267" s="115" t="s">
        <v>35</v>
      </c>
      <c r="M267" s="110">
        <f t="shared" si="13"/>
        <v>-10.813688780192553</v>
      </c>
      <c r="N267" s="110">
        <f t="shared" si="14"/>
        <v>1.4265757391171974E-3</v>
      </c>
      <c r="O267" s="110">
        <v>2</v>
      </c>
    </row>
    <row r="268" spans="1:15" ht="112.05" customHeight="1" x14ac:dyDescent="0.3">
      <c r="A268" s="49" t="s">
        <v>18</v>
      </c>
      <c r="B268" s="49" t="s">
        <v>133</v>
      </c>
      <c r="C268" s="49" t="s">
        <v>28</v>
      </c>
      <c r="D268" s="112">
        <v>14.99</v>
      </c>
      <c r="E268" s="112">
        <f>KOHC!G146</f>
        <v>22.304499451290301</v>
      </c>
      <c r="F268" s="112">
        <f>(-KOHC!G85)/(KOHC!G51+KOHC!G254)</f>
        <v>14.985276957805661</v>
      </c>
      <c r="G268" s="116" t="s">
        <v>40</v>
      </c>
      <c r="H268" s="116" t="str">
        <f t="shared" si="12"/>
        <v>Reproduced to precision</v>
      </c>
      <c r="I268" s="116" t="s">
        <v>41</v>
      </c>
      <c r="J268" s="116" t="s">
        <v>131</v>
      </c>
      <c r="K268" s="116" t="s">
        <v>132</v>
      </c>
      <c r="L268" s="116" t="s">
        <v>35</v>
      </c>
      <c r="M268" s="49">
        <f t="shared" si="13"/>
        <v>7.3144994512903008</v>
      </c>
      <c r="N268" s="49">
        <f t="shared" si="14"/>
        <v>-4.7230421943389445E-3</v>
      </c>
      <c r="O268" s="49">
        <v>2</v>
      </c>
    </row>
    <row r="269" spans="1:15" ht="112.05" customHeight="1" x14ac:dyDescent="0.3">
      <c r="A269" s="110" t="s">
        <v>18</v>
      </c>
      <c r="B269" s="110" t="s">
        <v>133</v>
      </c>
      <c r="C269" s="110" t="s">
        <v>29</v>
      </c>
      <c r="D269" s="111">
        <v>10.49</v>
      </c>
      <c r="E269" s="111">
        <f>KOHC!H146</f>
        <v>11.733886186566796</v>
      </c>
      <c r="F269" s="111">
        <f>(-KOHC!H85)/(KOHC!H51+KOHC!H254)</f>
        <v>10.491861276460488</v>
      </c>
      <c r="G269" s="115" t="s">
        <v>40</v>
      </c>
      <c r="H269" s="115" t="str">
        <f t="shared" si="12"/>
        <v>Reproduced to precision</v>
      </c>
      <c r="I269" s="115" t="s">
        <v>41</v>
      </c>
      <c r="J269" s="115" t="s">
        <v>131</v>
      </c>
      <c r="K269" s="115" t="s">
        <v>132</v>
      </c>
      <c r="L269" s="115" t="s">
        <v>35</v>
      </c>
      <c r="M269" s="110">
        <f t="shared" si="13"/>
        <v>1.2438861865667956</v>
      </c>
      <c r="N269" s="110">
        <f t="shared" si="14"/>
        <v>1.8612764604881704E-3</v>
      </c>
      <c r="O269" s="110">
        <v>2</v>
      </c>
    </row>
    <row r="270" spans="1:15" ht="112.05" customHeight="1" x14ac:dyDescent="0.3">
      <c r="A270" s="49" t="s">
        <v>18</v>
      </c>
      <c r="B270" s="49" t="s">
        <v>134</v>
      </c>
      <c r="C270" s="49" t="s">
        <v>20</v>
      </c>
      <c r="D270" s="112">
        <v>63.47</v>
      </c>
      <c r="E270" s="112">
        <f>KOHC!D147</f>
        <v>75.147743531578783</v>
      </c>
      <c r="F270" s="112">
        <f>365*KOHC!D65/KOHC!D84</f>
        <v>63.473009669166906</v>
      </c>
      <c r="G270" s="116" t="s">
        <v>135</v>
      </c>
      <c r="H270" s="116" t="str">
        <f t="shared" si="12"/>
        <v>Reproduced to precision</v>
      </c>
      <c r="I270" s="116" t="s">
        <v>22</v>
      </c>
      <c r="J270" s="116" t="s">
        <v>131</v>
      </c>
      <c r="K270" s="116" t="s">
        <v>132</v>
      </c>
      <c r="L270" s="116" t="s">
        <v>25</v>
      </c>
      <c r="M270" s="49">
        <f t="shared" si="13"/>
        <v>11.677743531578784</v>
      </c>
      <c r="N270" s="49">
        <f t="shared" si="14"/>
        <v>3.0096691669072584E-3</v>
      </c>
      <c r="O270" s="49">
        <v>2</v>
      </c>
    </row>
    <row r="271" spans="1:15" ht="112.05" customHeight="1" x14ac:dyDescent="0.3">
      <c r="A271" s="110" t="s">
        <v>18</v>
      </c>
      <c r="B271" s="110" t="s">
        <v>134</v>
      </c>
      <c r="C271" s="110" t="s">
        <v>26</v>
      </c>
      <c r="D271" s="111">
        <v>62.96</v>
      </c>
      <c r="E271" s="111">
        <f>KOHC!E147</f>
        <v>77.972597591731756</v>
      </c>
      <c r="F271" s="111">
        <f>365*KOHC!E65/KOHC!E84</f>
        <v>62.959310223715811</v>
      </c>
      <c r="G271" s="115" t="s">
        <v>135</v>
      </c>
      <c r="H271" s="115" t="str">
        <f t="shared" si="12"/>
        <v>Reproduced to precision</v>
      </c>
      <c r="I271" s="115" t="s">
        <v>22</v>
      </c>
      <c r="J271" s="115" t="s">
        <v>131</v>
      </c>
      <c r="K271" s="115" t="s">
        <v>132</v>
      </c>
      <c r="L271" s="115" t="s">
        <v>25</v>
      </c>
      <c r="M271" s="110">
        <f t="shared" si="13"/>
        <v>15.012597591731755</v>
      </c>
      <c r="N271" s="110">
        <f t="shared" si="14"/>
        <v>-6.897762841902022E-4</v>
      </c>
      <c r="O271" s="110">
        <v>2</v>
      </c>
    </row>
    <row r="272" spans="1:15" ht="112.05" customHeight="1" x14ac:dyDescent="0.3">
      <c r="A272" s="49" t="s">
        <v>18</v>
      </c>
      <c r="B272" s="49" t="s">
        <v>134</v>
      </c>
      <c r="C272" s="49" t="s">
        <v>27</v>
      </c>
      <c r="D272" s="112">
        <v>71.8</v>
      </c>
      <c r="E272" s="112">
        <f>KOHC!F147</f>
        <v>85.372545387407953</v>
      </c>
      <c r="F272" s="112">
        <f>365*KOHC!F65/KOHC!F84</f>
        <v>71.796490716313144</v>
      </c>
      <c r="G272" s="116" t="s">
        <v>135</v>
      </c>
      <c r="H272" s="116" t="str">
        <f t="shared" si="12"/>
        <v>Reproduced to precision</v>
      </c>
      <c r="I272" s="116" t="s">
        <v>22</v>
      </c>
      <c r="J272" s="116" t="s">
        <v>131</v>
      </c>
      <c r="K272" s="116" t="s">
        <v>132</v>
      </c>
      <c r="L272" s="116" t="s">
        <v>25</v>
      </c>
      <c r="M272" s="49">
        <f t="shared" si="13"/>
        <v>13.572545387407956</v>
      </c>
      <c r="N272" s="49">
        <f t="shared" si="14"/>
        <v>-3.5092836868528821E-3</v>
      </c>
      <c r="O272" s="49">
        <v>2</v>
      </c>
    </row>
    <row r="273" spans="1:15" ht="112.05" customHeight="1" x14ac:dyDescent="0.3">
      <c r="A273" s="110" t="s">
        <v>18</v>
      </c>
      <c r="B273" s="110" t="s">
        <v>134</v>
      </c>
      <c r="C273" s="110" t="s">
        <v>28</v>
      </c>
      <c r="D273" s="111">
        <v>71.58</v>
      </c>
      <c r="E273" s="111">
        <f>KOHC!G147</f>
        <v>101.50909357454404</v>
      </c>
      <c r="F273" s="111">
        <f>365*KOHC!G65/KOHC!G84</f>
        <v>71.582153592784451</v>
      </c>
      <c r="G273" s="115" t="s">
        <v>135</v>
      </c>
      <c r="H273" s="115" t="str">
        <f t="shared" si="12"/>
        <v>Reproduced to precision</v>
      </c>
      <c r="I273" s="115" t="s">
        <v>22</v>
      </c>
      <c r="J273" s="115" t="s">
        <v>131</v>
      </c>
      <c r="K273" s="115" t="s">
        <v>132</v>
      </c>
      <c r="L273" s="115" t="s">
        <v>25</v>
      </c>
      <c r="M273" s="110">
        <f t="shared" si="13"/>
        <v>29.929093574544041</v>
      </c>
      <c r="N273" s="110">
        <f t="shared" si="14"/>
        <v>2.1535927844524849E-3</v>
      </c>
      <c r="O273" s="110">
        <v>2</v>
      </c>
    </row>
    <row r="274" spans="1:15" ht="112.05" customHeight="1" x14ac:dyDescent="0.3">
      <c r="A274" s="49" t="s">
        <v>18</v>
      </c>
      <c r="B274" s="49" t="s">
        <v>134</v>
      </c>
      <c r="C274" s="49" t="s">
        <v>29</v>
      </c>
      <c r="D274" s="112">
        <v>72.98</v>
      </c>
      <c r="E274" s="112">
        <f>KOHC!H147</f>
        <v>120.66591878345184</v>
      </c>
      <c r="F274" s="112">
        <f>365*KOHC!H65/KOHC!H84</f>
        <v>72.977906438596293</v>
      </c>
      <c r="G274" s="116" t="s">
        <v>135</v>
      </c>
      <c r="H274" s="116" t="str">
        <f t="shared" si="12"/>
        <v>Reproduced to precision</v>
      </c>
      <c r="I274" s="116" t="s">
        <v>22</v>
      </c>
      <c r="J274" s="116" t="s">
        <v>131</v>
      </c>
      <c r="K274" s="116" t="s">
        <v>132</v>
      </c>
      <c r="L274" s="116" t="s">
        <v>25</v>
      </c>
      <c r="M274" s="49">
        <f t="shared" si="13"/>
        <v>47.685918783451839</v>
      </c>
      <c r="N274" s="49">
        <f t="shared" si="14"/>
        <v>-2.0935614037114192E-3</v>
      </c>
      <c r="O274" s="49">
        <v>2</v>
      </c>
    </row>
    <row r="275" spans="1:15" ht="112.05" customHeight="1" x14ac:dyDescent="0.3">
      <c r="A275" s="110" t="s">
        <v>18</v>
      </c>
      <c r="B275" s="110" t="s">
        <v>136</v>
      </c>
      <c r="C275" s="110" t="s">
        <v>20</v>
      </c>
      <c r="D275" s="114">
        <v>0.1497</v>
      </c>
      <c r="E275" s="114">
        <f>KOHC!D164</f>
        <v>0.10310501881607244</v>
      </c>
      <c r="F275" s="114">
        <f>KOHC!D108/KOHC!D37</f>
        <v>0.14972210997362279</v>
      </c>
      <c r="G275" s="115" t="s">
        <v>137</v>
      </c>
      <c r="H275" s="115" t="str">
        <f t="shared" si="12"/>
        <v>Reproduced to precision</v>
      </c>
      <c r="I275" s="115" t="s">
        <v>138</v>
      </c>
      <c r="J275" s="115" t="s">
        <v>131</v>
      </c>
      <c r="K275" s="115" t="s">
        <v>132</v>
      </c>
      <c r="L275" s="115" t="s">
        <v>25</v>
      </c>
      <c r="M275" s="110">
        <f t="shared" si="13"/>
        <v>-4.6594981183927561E-2</v>
      </c>
      <c r="N275" s="110">
        <f t="shared" si="14"/>
        <v>2.2109973622785883E-5</v>
      </c>
      <c r="O275" s="110">
        <v>4</v>
      </c>
    </row>
    <row r="276" spans="1:15" ht="112.05" customHeight="1" x14ac:dyDescent="0.3">
      <c r="A276" s="49" t="s">
        <v>18</v>
      </c>
      <c r="B276" s="49" t="s">
        <v>136</v>
      </c>
      <c r="C276" s="49" t="s">
        <v>26</v>
      </c>
      <c r="D276" s="113">
        <v>0.21829999999999999</v>
      </c>
      <c r="E276" s="113">
        <f>KOHC!E164</f>
        <v>0.12649629238438423</v>
      </c>
      <c r="F276" s="113">
        <f>KOHC!E108/KOHC!E37</f>
        <v>0.21829421348372069</v>
      </c>
      <c r="G276" s="116" t="s">
        <v>137</v>
      </c>
      <c r="H276" s="116" t="str">
        <f t="shared" si="12"/>
        <v>Reproduced to precision</v>
      </c>
      <c r="I276" s="116" t="s">
        <v>138</v>
      </c>
      <c r="J276" s="116" t="s">
        <v>131</v>
      </c>
      <c r="K276" s="116" t="s">
        <v>132</v>
      </c>
      <c r="L276" s="116" t="s">
        <v>25</v>
      </c>
      <c r="M276" s="49">
        <f t="shared" si="13"/>
        <v>-9.1803707615615765E-2</v>
      </c>
      <c r="N276" s="49">
        <f t="shared" si="14"/>
        <v>-5.7865162793047098E-6</v>
      </c>
      <c r="O276" s="49">
        <v>4</v>
      </c>
    </row>
    <row r="277" spans="1:15" ht="112.05" customHeight="1" x14ac:dyDescent="0.3">
      <c r="A277" s="110" t="s">
        <v>18</v>
      </c>
      <c r="B277" s="110" t="s">
        <v>136</v>
      </c>
      <c r="C277" s="110" t="s">
        <v>27</v>
      </c>
      <c r="D277" s="114">
        <v>0.2263</v>
      </c>
      <c r="E277" s="114">
        <f>KOHC!F164</f>
        <v>0.12533816876597817</v>
      </c>
      <c r="F277" s="114">
        <f>KOHC!F108/KOHC!F37</f>
        <v>0.22631977594735558</v>
      </c>
      <c r="G277" s="115" t="s">
        <v>137</v>
      </c>
      <c r="H277" s="115" t="str">
        <f t="shared" si="12"/>
        <v>Reproduced to precision</v>
      </c>
      <c r="I277" s="115" t="s">
        <v>138</v>
      </c>
      <c r="J277" s="115" t="s">
        <v>131</v>
      </c>
      <c r="K277" s="115" t="s">
        <v>132</v>
      </c>
      <c r="L277" s="115" t="s">
        <v>25</v>
      </c>
      <c r="M277" s="110">
        <f t="shared" si="13"/>
        <v>-0.10096183123402183</v>
      </c>
      <c r="N277" s="110">
        <f t="shared" si="14"/>
        <v>1.9775947355582524E-5</v>
      </c>
      <c r="O277" s="110">
        <v>4</v>
      </c>
    </row>
    <row r="278" spans="1:15" ht="112.05" customHeight="1" x14ac:dyDescent="0.3">
      <c r="A278" s="49" t="s">
        <v>18</v>
      </c>
      <c r="B278" s="49" t="s">
        <v>136</v>
      </c>
      <c r="C278" s="49" t="s">
        <v>28</v>
      </c>
      <c r="D278" s="113">
        <v>0.24560000000000001</v>
      </c>
      <c r="E278" s="113">
        <f>KOHC!G164</f>
        <v>0.16412620048835211</v>
      </c>
      <c r="F278" s="113">
        <f>KOHC!G108/KOHC!G37</f>
        <v>0.24562978495019586</v>
      </c>
      <c r="G278" s="116" t="s">
        <v>137</v>
      </c>
      <c r="H278" s="116" t="str">
        <f t="shared" si="12"/>
        <v>Reproduced to precision</v>
      </c>
      <c r="I278" s="116" t="s">
        <v>138</v>
      </c>
      <c r="J278" s="116" t="s">
        <v>131</v>
      </c>
      <c r="K278" s="116" t="s">
        <v>132</v>
      </c>
      <c r="L278" s="116" t="s">
        <v>25</v>
      </c>
      <c r="M278" s="49">
        <f t="shared" si="13"/>
        <v>-8.1473799511647904E-2</v>
      </c>
      <c r="N278" s="49">
        <f t="shared" si="14"/>
        <v>2.9784950195843596E-5</v>
      </c>
      <c r="O278" s="49">
        <v>4</v>
      </c>
    </row>
    <row r="279" spans="1:15" ht="112.05" customHeight="1" x14ac:dyDescent="0.3">
      <c r="A279" s="110" t="s">
        <v>18</v>
      </c>
      <c r="B279" s="110" t="s">
        <v>136</v>
      </c>
      <c r="C279" s="110" t="s">
        <v>29</v>
      </c>
      <c r="D279" s="114">
        <v>0.27089999999999997</v>
      </c>
      <c r="E279" s="114">
        <f>KOHC!H164</f>
        <v>0.184262568360198</v>
      </c>
      <c r="F279" s="114">
        <f>KOHC!H108/KOHC!H37</f>
        <v>0.27093226434993872</v>
      </c>
      <c r="G279" s="115" t="s">
        <v>137</v>
      </c>
      <c r="H279" s="115" t="str">
        <f t="shared" si="12"/>
        <v>Reproduced to precision</v>
      </c>
      <c r="I279" s="115" t="s">
        <v>138</v>
      </c>
      <c r="J279" s="115" t="s">
        <v>131</v>
      </c>
      <c r="K279" s="115" t="s">
        <v>132</v>
      </c>
      <c r="L279" s="115" t="s">
        <v>25</v>
      </c>
      <c r="M279" s="110">
        <f t="shared" si="13"/>
        <v>-8.6637431639801976E-2</v>
      </c>
      <c r="N279" s="110">
        <f t="shared" si="14"/>
        <v>3.2264349938748715E-5</v>
      </c>
      <c r="O279" s="110">
        <v>4</v>
      </c>
    </row>
    <row r="280" spans="1:15" ht="112.05" customHeight="1" x14ac:dyDescent="0.3">
      <c r="A280" s="49" t="s">
        <v>18</v>
      </c>
      <c r="B280" s="49" t="s">
        <v>139</v>
      </c>
      <c r="C280" s="49" t="s">
        <v>20</v>
      </c>
      <c r="D280" s="112">
        <v>22.13</v>
      </c>
      <c r="E280" s="112">
        <f>KOHC!D169</f>
        <v>110.64122209168052</v>
      </c>
      <c r="F280" s="112">
        <f>KOHC!D41/'PSX Prices'!O6</f>
        <v>22.128244418336102</v>
      </c>
      <c r="G280" s="116" t="s">
        <v>140</v>
      </c>
      <c r="H280" s="116" t="str">
        <f t="shared" si="12"/>
        <v>Reproduced to precision</v>
      </c>
      <c r="I280" s="116" t="s">
        <v>141</v>
      </c>
      <c r="J280" s="116" t="s">
        <v>131</v>
      </c>
      <c r="K280" s="116" t="s">
        <v>132</v>
      </c>
      <c r="L280" s="116" t="s">
        <v>142</v>
      </c>
      <c r="M280" s="49">
        <f t="shared" si="13"/>
        <v>88.511222091680523</v>
      </c>
      <c r="N280" s="49">
        <f t="shared" si="14"/>
        <v>-1.7555816638967769E-3</v>
      </c>
      <c r="O280" s="49">
        <v>2</v>
      </c>
    </row>
    <row r="281" spans="1:15" ht="112.05" customHeight="1" x14ac:dyDescent="0.3">
      <c r="A281" s="110" t="s">
        <v>18</v>
      </c>
      <c r="B281" s="110" t="s">
        <v>139</v>
      </c>
      <c r="C281" s="110" t="s">
        <v>26</v>
      </c>
      <c r="D281" s="111">
        <v>27.13</v>
      </c>
      <c r="E281" s="111">
        <f>KOHC!E169</f>
        <v>135.64693964412666</v>
      </c>
      <c r="F281" s="111">
        <f>KOHC!E41/'PSX Prices'!O7</f>
        <v>27.129387928825334</v>
      </c>
      <c r="G281" s="115" t="s">
        <v>140</v>
      </c>
      <c r="H281" s="115" t="str">
        <f t="shared" si="12"/>
        <v>Reproduced to precision</v>
      </c>
      <c r="I281" s="115" t="s">
        <v>141</v>
      </c>
      <c r="J281" s="115" t="s">
        <v>131</v>
      </c>
      <c r="K281" s="115" t="s">
        <v>132</v>
      </c>
      <c r="L281" s="115" t="s">
        <v>142</v>
      </c>
      <c r="M281" s="110">
        <f t="shared" si="13"/>
        <v>108.51693964412667</v>
      </c>
      <c r="N281" s="110">
        <f t="shared" si="14"/>
        <v>-6.1207117466466343E-4</v>
      </c>
      <c r="O281" s="110">
        <v>2</v>
      </c>
    </row>
    <row r="282" spans="1:15" ht="112.05" customHeight="1" x14ac:dyDescent="0.3">
      <c r="A282" s="49" t="s">
        <v>18</v>
      </c>
      <c r="B282" s="49" t="s">
        <v>139</v>
      </c>
      <c r="C282" s="49" t="s">
        <v>27</v>
      </c>
      <c r="D282" s="112">
        <v>32.47</v>
      </c>
      <c r="E282" s="112">
        <f>KOHC!F169</f>
        <v>162.35106244484723</v>
      </c>
      <c r="F282" s="112">
        <f>KOHC!F41/'PSX Prices'!O8</f>
        <v>32.470212488969445</v>
      </c>
      <c r="G282" s="116" t="s">
        <v>140</v>
      </c>
      <c r="H282" s="116" t="str">
        <f t="shared" si="12"/>
        <v>Reproduced to precision</v>
      </c>
      <c r="I282" s="116" t="s">
        <v>141</v>
      </c>
      <c r="J282" s="116" t="s">
        <v>131</v>
      </c>
      <c r="K282" s="116" t="s">
        <v>132</v>
      </c>
      <c r="L282" s="116" t="s">
        <v>142</v>
      </c>
      <c r="M282" s="49">
        <f t="shared" si="13"/>
        <v>129.88106244484723</v>
      </c>
      <c r="N282" s="49">
        <f t="shared" si="14"/>
        <v>2.1248896944570106E-4</v>
      </c>
      <c r="O282" s="49">
        <v>2</v>
      </c>
    </row>
    <row r="283" spans="1:15" ht="112.05" customHeight="1" x14ac:dyDescent="0.3">
      <c r="A283" s="110" t="s">
        <v>18</v>
      </c>
      <c r="B283" s="110" t="s">
        <v>139</v>
      </c>
      <c r="C283" s="110" t="s">
        <v>28</v>
      </c>
      <c r="D283" s="111">
        <v>41.84</v>
      </c>
      <c r="E283" s="111">
        <f>KOHC!G169</f>
        <v>209.79287853383309</v>
      </c>
      <c r="F283" s="111">
        <f>KOHC!G41/'PSX Prices'!O9</f>
        <v>41.836018302170054</v>
      </c>
      <c r="G283" s="115" t="s">
        <v>140</v>
      </c>
      <c r="H283" s="115" t="str">
        <f t="shared" si="12"/>
        <v>Reproduced to precision</v>
      </c>
      <c r="I283" s="115" t="s">
        <v>141</v>
      </c>
      <c r="J283" s="115" t="s">
        <v>131</v>
      </c>
      <c r="K283" s="115" t="s">
        <v>132</v>
      </c>
      <c r="L283" s="115" t="s">
        <v>142</v>
      </c>
      <c r="M283" s="110">
        <f t="shared" si="13"/>
        <v>167.95287853383309</v>
      </c>
      <c r="N283" s="110">
        <f t="shared" si="14"/>
        <v>-3.9816978299498373E-3</v>
      </c>
      <c r="O283" s="110">
        <v>2</v>
      </c>
    </row>
    <row r="284" spans="1:15" ht="112.05" customHeight="1" x14ac:dyDescent="0.3">
      <c r="A284" s="49" t="s">
        <v>18</v>
      </c>
      <c r="B284" s="49" t="s">
        <v>139</v>
      </c>
      <c r="C284" s="49" t="s">
        <v>29</v>
      </c>
      <c r="D284" s="112">
        <v>49.58</v>
      </c>
      <c r="E284" s="112">
        <f>KOHC!H169</f>
        <v>260.8226721418157</v>
      </c>
      <c r="F284" s="112">
        <f>KOHC!H41/'PSX Prices'!O10</f>
        <v>49.584435200370244</v>
      </c>
      <c r="G284" s="116" t="s">
        <v>140</v>
      </c>
      <c r="H284" s="116" t="str">
        <f t="shared" si="12"/>
        <v>Reproduced to precision</v>
      </c>
      <c r="I284" s="116" t="s">
        <v>141</v>
      </c>
      <c r="J284" s="116" t="s">
        <v>131</v>
      </c>
      <c r="K284" s="116" t="s">
        <v>132</v>
      </c>
      <c r="L284" s="116" t="s">
        <v>142</v>
      </c>
      <c r="M284" s="49">
        <f t="shared" si="13"/>
        <v>211.24267214181572</v>
      </c>
      <c r="N284" s="49">
        <f t="shared" si="14"/>
        <v>4.4352003702456955E-3</v>
      </c>
      <c r="O284" s="49">
        <v>2</v>
      </c>
    </row>
    <row r="285" spans="1:15" ht="112.05" customHeight="1" x14ac:dyDescent="0.3">
      <c r="A285" s="110" t="s">
        <v>18</v>
      </c>
      <c r="B285" s="110" t="s">
        <v>143</v>
      </c>
      <c r="C285" s="110" t="s">
        <v>20</v>
      </c>
      <c r="D285" s="111">
        <v>3.48</v>
      </c>
      <c r="E285" s="111">
        <f>KOHC!D171</f>
        <v>17.412549352402124</v>
      </c>
      <c r="F285" s="111">
        <f>KOHC!D99/'PSX Prices'!O6</f>
        <v>3.4825098704804249</v>
      </c>
      <c r="G285" s="115" t="s">
        <v>83</v>
      </c>
      <c r="H285" s="115" t="str">
        <f t="shared" si="12"/>
        <v>Reproduced to precision</v>
      </c>
      <c r="I285" s="115" t="s">
        <v>84</v>
      </c>
      <c r="J285" s="115" t="s">
        <v>131</v>
      </c>
      <c r="K285" s="115" t="s">
        <v>132</v>
      </c>
      <c r="L285" s="115" t="s">
        <v>25</v>
      </c>
      <c r="M285" s="110">
        <f t="shared" si="13"/>
        <v>13.932549352402123</v>
      </c>
      <c r="N285" s="110">
        <f t="shared" si="14"/>
        <v>2.5098704804249472E-3</v>
      </c>
      <c r="O285" s="110">
        <v>2</v>
      </c>
    </row>
    <row r="286" spans="1:15" ht="112.05" customHeight="1" x14ac:dyDescent="0.3">
      <c r="A286" s="49" t="s">
        <v>18</v>
      </c>
      <c r="B286" s="49" t="s">
        <v>143</v>
      </c>
      <c r="C286" s="49" t="s">
        <v>26</v>
      </c>
      <c r="D286" s="112">
        <v>5</v>
      </c>
      <c r="E286" s="112">
        <f>KOHC!E171</f>
        <v>25.013680261160516</v>
      </c>
      <c r="F286" s="112">
        <f>KOHC!E99/'PSX Prices'!O7</f>
        <v>5.0027360522321036</v>
      </c>
      <c r="G286" s="116" t="s">
        <v>83</v>
      </c>
      <c r="H286" s="116" t="str">
        <f t="shared" si="12"/>
        <v>Reproduced to precision</v>
      </c>
      <c r="I286" s="116" t="s">
        <v>84</v>
      </c>
      <c r="J286" s="116" t="s">
        <v>131</v>
      </c>
      <c r="K286" s="116" t="s">
        <v>132</v>
      </c>
      <c r="L286" s="116" t="s">
        <v>25</v>
      </c>
      <c r="M286" s="49">
        <f t="shared" si="13"/>
        <v>20.013680261160516</v>
      </c>
      <c r="N286" s="49">
        <f t="shared" si="14"/>
        <v>2.7360522321036029E-3</v>
      </c>
      <c r="O286" s="49">
        <v>2</v>
      </c>
    </row>
    <row r="287" spans="1:15" ht="112.05" customHeight="1" x14ac:dyDescent="0.3">
      <c r="A287" s="110" t="s">
        <v>18</v>
      </c>
      <c r="B287" s="110" t="s">
        <v>143</v>
      </c>
      <c r="C287" s="110" t="s">
        <v>27</v>
      </c>
      <c r="D287" s="111">
        <v>5.8</v>
      </c>
      <c r="E287" s="111">
        <f>KOHC!F171</f>
        <v>28.978958275869324</v>
      </c>
      <c r="F287" s="111">
        <f>KOHC!F99/'PSX Prices'!O8</f>
        <v>5.7957916551738657</v>
      </c>
      <c r="G287" s="115" t="s">
        <v>83</v>
      </c>
      <c r="H287" s="115" t="str">
        <f t="shared" si="12"/>
        <v>Reproduced to precision</v>
      </c>
      <c r="I287" s="115" t="s">
        <v>84</v>
      </c>
      <c r="J287" s="115" t="s">
        <v>131</v>
      </c>
      <c r="K287" s="115" t="s">
        <v>132</v>
      </c>
      <c r="L287" s="115" t="s">
        <v>25</v>
      </c>
      <c r="M287" s="110">
        <f t="shared" si="13"/>
        <v>23.178958275869324</v>
      </c>
      <c r="N287" s="110">
        <f t="shared" si="14"/>
        <v>-4.2083448261340806E-3</v>
      </c>
      <c r="O287" s="110">
        <v>2</v>
      </c>
    </row>
    <row r="288" spans="1:15" ht="112.05" customHeight="1" x14ac:dyDescent="0.3">
      <c r="A288" s="49" t="s">
        <v>18</v>
      </c>
      <c r="B288" s="49" t="s">
        <v>143</v>
      </c>
      <c r="C288" s="49" t="s">
        <v>28</v>
      </c>
      <c r="D288" s="112">
        <v>9.06</v>
      </c>
      <c r="E288" s="112">
        <f>KOHC!G171</f>
        <v>45.274272678614977</v>
      </c>
      <c r="F288" s="112">
        <f>KOHC!G99/'PSX Prices'!O9</f>
        <v>9.0548545357229955</v>
      </c>
      <c r="G288" s="116" t="s">
        <v>83</v>
      </c>
      <c r="H288" s="116" t="str">
        <f t="shared" si="12"/>
        <v>Unresolved published value</v>
      </c>
      <c r="I288" s="116" t="s">
        <v>84</v>
      </c>
      <c r="J288" s="116" t="s">
        <v>131</v>
      </c>
      <c r="K288" s="116" t="s">
        <v>132</v>
      </c>
      <c r="L288" s="116" t="s">
        <v>25</v>
      </c>
      <c r="M288" s="49">
        <f t="shared" si="13"/>
        <v>36.214272678614975</v>
      </c>
      <c r="N288" s="49">
        <f t="shared" si="14"/>
        <v>-5.1454642770050185E-3</v>
      </c>
      <c r="O288" s="49">
        <v>2</v>
      </c>
    </row>
    <row r="289" spans="1:15" ht="112.05" customHeight="1" x14ac:dyDescent="0.3">
      <c r="A289" s="110" t="s">
        <v>18</v>
      </c>
      <c r="B289" s="110" t="s">
        <v>143</v>
      </c>
      <c r="C289" s="110" t="s">
        <v>29</v>
      </c>
      <c r="D289" s="111">
        <v>11.97</v>
      </c>
      <c r="E289" s="111">
        <f>KOHC!H171</f>
        <v>59.842054600869929</v>
      </c>
      <c r="F289" s="111">
        <f>KOHC!H99/'PSX Prices'!O10</f>
        <v>11.968410920173985</v>
      </c>
      <c r="G289" s="115" t="s">
        <v>83</v>
      </c>
      <c r="H289" s="115" t="str">
        <f t="shared" si="12"/>
        <v>Reproduced to precision</v>
      </c>
      <c r="I289" s="115" t="s">
        <v>84</v>
      </c>
      <c r="J289" s="115" t="s">
        <v>131</v>
      </c>
      <c r="K289" s="115" t="s">
        <v>132</v>
      </c>
      <c r="L289" s="115" t="s">
        <v>25</v>
      </c>
      <c r="M289" s="110">
        <f t="shared" si="13"/>
        <v>47.87205460086993</v>
      </c>
      <c r="N289" s="110">
        <f t="shared" si="14"/>
        <v>-1.5890798260151939E-3</v>
      </c>
      <c r="O289" s="110">
        <v>2</v>
      </c>
    </row>
    <row r="290" spans="1:15" ht="112.05" customHeight="1" x14ac:dyDescent="0.3">
      <c r="A290" s="49" t="s">
        <v>68</v>
      </c>
      <c r="B290" s="49" t="s">
        <v>19</v>
      </c>
      <c r="C290" s="49" t="s">
        <v>20</v>
      </c>
      <c r="D290" s="112">
        <v>1.34</v>
      </c>
      <c r="E290" s="112">
        <f>LUCK!D138</f>
        <v>1.3386079458938223</v>
      </c>
      <c r="F290" s="112">
        <f>LUCK!D36/LUCK!D61</f>
        <v>1.3386079458938223</v>
      </c>
      <c r="G290" s="116" t="s">
        <v>21</v>
      </c>
      <c r="H290" s="116" t="str">
        <f t="shared" si="12"/>
        <v>Reproduced to precision</v>
      </c>
      <c r="I290" s="116" t="s">
        <v>22</v>
      </c>
      <c r="J290" s="116" t="s">
        <v>144</v>
      </c>
      <c r="K290" s="116" t="s">
        <v>132</v>
      </c>
      <c r="L290" s="116" t="s">
        <v>25</v>
      </c>
      <c r="M290" s="49">
        <f t="shared" si="13"/>
        <v>-1.3920541061778202E-3</v>
      </c>
      <c r="N290" s="49">
        <f t="shared" si="14"/>
        <v>-1.3920541061778202E-3</v>
      </c>
      <c r="O290" s="49">
        <v>2</v>
      </c>
    </row>
    <row r="291" spans="1:15" ht="112.05" customHeight="1" x14ac:dyDescent="0.3">
      <c r="A291" s="110" t="s">
        <v>68</v>
      </c>
      <c r="B291" s="110" t="s">
        <v>19</v>
      </c>
      <c r="C291" s="110" t="s">
        <v>26</v>
      </c>
      <c r="D291" s="111">
        <v>1.48</v>
      </c>
      <c r="E291" s="111">
        <f>LUCK!E138</f>
        <v>1.4760766300374313</v>
      </c>
      <c r="F291" s="111">
        <f>LUCK!E36/LUCK!E61</f>
        <v>1.4760766300374313</v>
      </c>
      <c r="G291" s="115" t="s">
        <v>21</v>
      </c>
      <c r="H291" s="115" t="str">
        <f t="shared" si="12"/>
        <v>Reproduced to precision</v>
      </c>
      <c r="I291" s="115" t="s">
        <v>22</v>
      </c>
      <c r="J291" s="115" t="s">
        <v>144</v>
      </c>
      <c r="K291" s="115" t="s">
        <v>132</v>
      </c>
      <c r="L291" s="115" t="s">
        <v>25</v>
      </c>
      <c r="M291" s="110">
        <f t="shared" si="13"/>
        <v>-3.9233699625687013E-3</v>
      </c>
      <c r="N291" s="110">
        <f t="shared" si="14"/>
        <v>-3.9233699625687013E-3</v>
      </c>
      <c r="O291" s="110">
        <v>2</v>
      </c>
    </row>
    <row r="292" spans="1:15" ht="112.05" customHeight="1" x14ac:dyDescent="0.3">
      <c r="A292" s="49" t="s">
        <v>68</v>
      </c>
      <c r="B292" s="49" t="s">
        <v>19</v>
      </c>
      <c r="C292" s="49" t="s">
        <v>27</v>
      </c>
      <c r="D292" s="112">
        <v>1.29</v>
      </c>
      <c r="E292" s="112">
        <f>LUCK!F138</f>
        <v>1.290071633326858</v>
      </c>
      <c r="F292" s="112">
        <f>LUCK!F36/LUCK!F61</f>
        <v>1.290071633326858</v>
      </c>
      <c r="G292" s="116" t="s">
        <v>21</v>
      </c>
      <c r="H292" s="116" t="str">
        <f t="shared" si="12"/>
        <v>Reproduced to precision</v>
      </c>
      <c r="I292" s="116" t="s">
        <v>22</v>
      </c>
      <c r="J292" s="116" t="s">
        <v>144</v>
      </c>
      <c r="K292" s="116" t="s">
        <v>132</v>
      </c>
      <c r="L292" s="116" t="s">
        <v>25</v>
      </c>
      <c r="M292" s="49">
        <f t="shared" si="13"/>
        <v>7.1633326858000501E-5</v>
      </c>
      <c r="N292" s="49">
        <f t="shared" si="14"/>
        <v>7.1633326858000501E-5</v>
      </c>
      <c r="O292" s="49">
        <v>2</v>
      </c>
    </row>
    <row r="293" spans="1:15" ht="112.05" customHeight="1" x14ac:dyDescent="0.3">
      <c r="A293" s="110" t="s">
        <v>68</v>
      </c>
      <c r="B293" s="110" t="s">
        <v>19</v>
      </c>
      <c r="C293" s="110" t="s">
        <v>28</v>
      </c>
      <c r="D293" s="111">
        <v>1.26</v>
      </c>
      <c r="E293" s="111">
        <f>LUCK!G138</f>
        <v>1.2632222354743232</v>
      </c>
      <c r="F293" s="111">
        <f>LUCK!G36/LUCK!G61</f>
        <v>1.2632222354743232</v>
      </c>
      <c r="G293" s="115" t="s">
        <v>21</v>
      </c>
      <c r="H293" s="115" t="str">
        <f t="shared" si="12"/>
        <v>Reproduced to precision</v>
      </c>
      <c r="I293" s="115" t="s">
        <v>22</v>
      </c>
      <c r="J293" s="115" t="s">
        <v>144</v>
      </c>
      <c r="K293" s="115" t="s">
        <v>132</v>
      </c>
      <c r="L293" s="115" t="s">
        <v>25</v>
      </c>
      <c r="M293" s="110">
        <f t="shared" si="13"/>
        <v>3.2222354743232096E-3</v>
      </c>
      <c r="N293" s="110">
        <f t="shared" si="14"/>
        <v>3.2222354743232096E-3</v>
      </c>
      <c r="O293" s="110">
        <v>2</v>
      </c>
    </row>
    <row r="294" spans="1:15" ht="112.05" customHeight="1" x14ac:dyDescent="0.3">
      <c r="A294" s="49" t="s">
        <v>68</v>
      </c>
      <c r="B294" s="49" t="s">
        <v>19</v>
      </c>
      <c r="C294" s="49" t="s">
        <v>29</v>
      </c>
      <c r="D294" s="112">
        <v>1.71</v>
      </c>
      <c r="E294" s="112">
        <f>LUCK!H138</f>
        <v>1.7146143875904156</v>
      </c>
      <c r="F294" s="112">
        <f>LUCK!H36/LUCK!H61</f>
        <v>1.7146143875904156</v>
      </c>
      <c r="G294" s="116" t="s">
        <v>21</v>
      </c>
      <c r="H294" s="116" t="str">
        <f t="shared" si="12"/>
        <v>Reproduced to precision</v>
      </c>
      <c r="I294" s="116" t="s">
        <v>22</v>
      </c>
      <c r="J294" s="116" t="s">
        <v>144</v>
      </c>
      <c r="K294" s="116" t="s">
        <v>132</v>
      </c>
      <c r="L294" s="116" t="s">
        <v>25</v>
      </c>
      <c r="M294" s="49">
        <f t="shared" si="13"/>
        <v>4.6143875904156584E-3</v>
      </c>
      <c r="N294" s="49">
        <f t="shared" si="14"/>
        <v>4.6143875904156584E-3</v>
      </c>
      <c r="O294" s="49">
        <v>2</v>
      </c>
    </row>
    <row r="295" spans="1:15" ht="112.05" customHeight="1" x14ac:dyDescent="0.3">
      <c r="A295" s="110" t="s">
        <v>68</v>
      </c>
      <c r="B295" s="110" t="s">
        <v>30</v>
      </c>
      <c r="C295" s="110" t="s">
        <v>20</v>
      </c>
      <c r="D295" s="111">
        <v>0.89</v>
      </c>
      <c r="E295" s="111">
        <f>LUCK!D139</f>
        <v>0.89000886100685095</v>
      </c>
      <c r="F295" s="111">
        <f>(LUCK!D36-LUCK!D65)/LUCK!D61</f>
        <v>0.89000886100685095</v>
      </c>
      <c r="G295" s="115" t="s">
        <v>21</v>
      </c>
      <c r="H295" s="115" t="str">
        <f t="shared" si="12"/>
        <v>Reproduced to precision</v>
      </c>
      <c r="I295" s="115" t="s">
        <v>22</v>
      </c>
      <c r="J295" s="115" t="s">
        <v>144</v>
      </c>
      <c r="K295" s="115" t="s">
        <v>132</v>
      </c>
      <c r="L295" s="115" t="s">
        <v>25</v>
      </c>
      <c r="M295" s="110">
        <f t="shared" si="13"/>
        <v>8.8610068509353823E-6</v>
      </c>
      <c r="N295" s="110">
        <f t="shared" si="14"/>
        <v>8.8610068509353823E-6</v>
      </c>
      <c r="O295" s="110">
        <v>2</v>
      </c>
    </row>
    <row r="296" spans="1:15" ht="112.05" customHeight="1" x14ac:dyDescent="0.3">
      <c r="A296" s="49" t="s">
        <v>68</v>
      </c>
      <c r="B296" s="49" t="s">
        <v>30</v>
      </c>
      <c r="C296" s="49" t="s">
        <v>26</v>
      </c>
      <c r="D296" s="112">
        <v>0.87</v>
      </c>
      <c r="E296" s="112">
        <f>LUCK!E139</f>
        <v>0.87076091919208631</v>
      </c>
      <c r="F296" s="112">
        <f>(LUCK!E36-LUCK!E65)/LUCK!E61</f>
        <v>0.87076091919208631</v>
      </c>
      <c r="G296" s="116" t="s">
        <v>21</v>
      </c>
      <c r="H296" s="116" t="str">
        <f t="shared" si="12"/>
        <v>Reproduced to precision</v>
      </c>
      <c r="I296" s="116" t="s">
        <v>22</v>
      </c>
      <c r="J296" s="116" t="s">
        <v>144</v>
      </c>
      <c r="K296" s="116" t="s">
        <v>132</v>
      </c>
      <c r="L296" s="116" t="s">
        <v>25</v>
      </c>
      <c r="M296" s="49">
        <f t="shared" si="13"/>
        <v>7.6091919208631786E-4</v>
      </c>
      <c r="N296" s="49">
        <f t="shared" si="14"/>
        <v>7.6091919208631786E-4</v>
      </c>
      <c r="O296" s="49">
        <v>2</v>
      </c>
    </row>
    <row r="297" spans="1:15" ht="112.05" customHeight="1" x14ac:dyDescent="0.3">
      <c r="A297" s="110" t="s">
        <v>68</v>
      </c>
      <c r="B297" s="110" t="s">
        <v>30</v>
      </c>
      <c r="C297" s="110" t="s">
        <v>27</v>
      </c>
      <c r="D297" s="111">
        <v>0.85</v>
      </c>
      <c r="E297" s="111">
        <f>LUCK!F139</f>
        <v>0.85412226562426408</v>
      </c>
      <c r="F297" s="111">
        <f>(LUCK!F36-LUCK!F65)/LUCK!F61</f>
        <v>0.85412226562426408</v>
      </c>
      <c r="G297" s="115" t="s">
        <v>21</v>
      </c>
      <c r="H297" s="115" t="str">
        <f t="shared" si="12"/>
        <v>Reproduced to precision</v>
      </c>
      <c r="I297" s="115" t="s">
        <v>22</v>
      </c>
      <c r="J297" s="115" t="s">
        <v>144</v>
      </c>
      <c r="K297" s="115" t="s">
        <v>132</v>
      </c>
      <c r="L297" s="115" t="s">
        <v>25</v>
      </c>
      <c r="M297" s="110">
        <f t="shared" si="13"/>
        <v>4.1222656242640987E-3</v>
      </c>
      <c r="N297" s="110">
        <f t="shared" si="14"/>
        <v>4.1222656242640987E-3</v>
      </c>
      <c r="O297" s="110">
        <v>2</v>
      </c>
    </row>
    <row r="298" spans="1:15" ht="112.05" customHeight="1" x14ac:dyDescent="0.3">
      <c r="A298" s="49" t="s">
        <v>68</v>
      </c>
      <c r="B298" s="49" t="s">
        <v>30</v>
      </c>
      <c r="C298" s="49" t="s">
        <v>28</v>
      </c>
      <c r="D298" s="112">
        <v>0.84</v>
      </c>
      <c r="E298" s="112">
        <f>LUCK!G139</f>
        <v>0.83698311631700717</v>
      </c>
      <c r="F298" s="112">
        <f>(LUCK!G36-LUCK!G65)/LUCK!G61</f>
        <v>0.83698311631700717</v>
      </c>
      <c r="G298" s="116" t="s">
        <v>21</v>
      </c>
      <c r="H298" s="116" t="str">
        <f t="shared" si="12"/>
        <v>Reproduced to precision</v>
      </c>
      <c r="I298" s="116" t="s">
        <v>22</v>
      </c>
      <c r="J298" s="116" t="s">
        <v>144</v>
      </c>
      <c r="K298" s="116" t="s">
        <v>132</v>
      </c>
      <c r="L298" s="116" t="s">
        <v>25</v>
      </c>
      <c r="M298" s="49">
        <f t="shared" si="13"/>
        <v>-3.0168836829927992E-3</v>
      </c>
      <c r="N298" s="49">
        <f t="shared" si="14"/>
        <v>-3.0168836829927992E-3</v>
      </c>
      <c r="O298" s="49">
        <v>2</v>
      </c>
    </row>
    <row r="299" spans="1:15" ht="112.05" customHeight="1" x14ac:dyDescent="0.3">
      <c r="A299" s="110" t="s">
        <v>68</v>
      </c>
      <c r="B299" s="110" t="s">
        <v>30</v>
      </c>
      <c r="C299" s="110" t="s">
        <v>29</v>
      </c>
      <c r="D299" s="111">
        <v>1.29</v>
      </c>
      <c r="E299" s="111">
        <f>LUCK!H139</f>
        <v>1.2939267138361998</v>
      </c>
      <c r="F299" s="111">
        <f>(LUCK!H36-LUCK!H65)/LUCK!H61</f>
        <v>1.2939267138361998</v>
      </c>
      <c r="G299" s="115" t="s">
        <v>21</v>
      </c>
      <c r="H299" s="115" t="str">
        <f t="shared" si="12"/>
        <v>Reproduced to precision</v>
      </c>
      <c r="I299" s="115" t="s">
        <v>22</v>
      </c>
      <c r="J299" s="115" t="s">
        <v>144</v>
      </c>
      <c r="K299" s="115" t="s">
        <v>132</v>
      </c>
      <c r="L299" s="115" t="s">
        <v>25</v>
      </c>
      <c r="M299" s="110">
        <f t="shared" si="13"/>
        <v>3.9267138361998022E-3</v>
      </c>
      <c r="N299" s="110">
        <f t="shared" si="14"/>
        <v>3.9267138361998022E-3</v>
      </c>
      <c r="O299" s="110">
        <v>2</v>
      </c>
    </row>
    <row r="300" spans="1:15" ht="112.05" customHeight="1" x14ac:dyDescent="0.3">
      <c r="A300" s="49" t="s">
        <v>68</v>
      </c>
      <c r="B300" s="49" t="s">
        <v>145</v>
      </c>
      <c r="C300" s="49" t="s">
        <v>20</v>
      </c>
      <c r="D300" s="112">
        <v>0.38</v>
      </c>
      <c r="E300" s="112">
        <f>LUCK!D140</f>
        <v>9.2981138751599135E-2</v>
      </c>
      <c r="F300" s="112">
        <f>LUCK!D257/LUCK!D61</f>
        <v>0.3830919049571947</v>
      </c>
      <c r="G300" s="116" t="s">
        <v>146</v>
      </c>
      <c r="H300" s="116" t="str">
        <f t="shared" si="12"/>
        <v>Reproduced to precision</v>
      </c>
      <c r="I300" s="116" t="s">
        <v>147</v>
      </c>
      <c r="J300" s="116" t="s">
        <v>144</v>
      </c>
      <c r="K300" s="116" t="s">
        <v>132</v>
      </c>
      <c r="L300" s="116" t="s">
        <v>35</v>
      </c>
      <c r="M300" s="49">
        <f t="shared" si="13"/>
        <v>-0.28701886124840087</v>
      </c>
      <c r="N300" s="49">
        <f t="shared" si="14"/>
        <v>3.0919049571946911E-3</v>
      </c>
      <c r="O300" s="49">
        <v>2</v>
      </c>
    </row>
    <row r="301" spans="1:15" ht="112.05" customHeight="1" x14ac:dyDescent="0.3">
      <c r="A301" s="110" t="s">
        <v>68</v>
      </c>
      <c r="B301" s="110" t="s">
        <v>145</v>
      </c>
      <c r="C301" s="110" t="s">
        <v>26</v>
      </c>
      <c r="D301" s="111">
        <v>0.48</v>
      </c>
      <c r="E301" s="111">
        <f>LUCK!E140</f>
        <v>0.12750015990720837</v>
      </c>
      <c r="F301" s="111">
        <f>LUCK!E257/LUCK!E61</f>
        <v>0.47735071665766726</v>
      </c>
      <c r="G301" s="115" t="s">
        <v>146</v>
      </c>
      <c r="H301" s="115" t="str">
        <f t="shared" si="12"/>
        <v>Reproduced to precision</v>
      </c>
      <c r="I301" s="115" t="s">
        <v>147</v>
      </c>
      <c r="J301" s="115" t="s">
        <v>144</v>
      </c>
      <c r="K301" s="115" t="s">
        <v>132</v>
      </c>
      <c r="L301" s="115" t="s">
        <v>35</v>
      </c>
      <c r="M301" s="110">
        <f t="shared" si="13"/>
        <v>-0.35249984009279162</v>
      </c>
      <c r="N301" s="110">
        <f t="shared" si="14"/>
        <v>-2.64928334233272E-3</v>
      </c>
      <c r="O301" s="110">
        <v>2</v>
      </c>
    </row>
    <row r="302" spans="1:15" ht="112.05" customHeight="1" x14ac:dyDescent="0.3">
      <c r="A302" s="49" t="s">
        <v>68</v>
      </c>
      <c r="B302" s="49" t="s">
        <v>145</v>
      </c>
      <c r="C302" s="49" t="s">
        <v>27</v>
      </c>
      <c r="D302" s="112">
        <v>0.56000000000000005</v>
      </c>
      <c r="E302" s="112">
        <f>LUCK!F140</f>
        <v>8.9131716180629636E-2</v>
      </c>
      <c r="F302" s="112">
        <f>LUCK!F257/LUCK!F61</f>
        <v>0.56303776721097065</v>
      </c>
      <c r="G302" s="116" t="s">
        <v>146</v>
      </c>
      <c r="H302" s="116" t="str">
        <f t="shared" si="12"/>
        <v>Reproduced to precision</v>
      </c>
      <c r="I302" s="116" t="s">
        <v>147</v>
      </c>
      <c r="J302" s="116" t="s">
        <v>144</v>
      </c>
      <c r="K302" s="116" t="s">
        <v>132</v>
      </c>
      <c r="L302" s="116" t="s">
        <v>35</v>
      </c>
      <c r="M302" s="49">
        <f t="shared" si="13"/>
        <v>-0.4708682838193704</v>
      </c>
      <c r="N302" s="49">
        <f t="shared" si="14"/>
        <v>3.0377672109705989E-3</v>
      </c>
      <c r="O302" s="49">
        <v>2</v>
      </c>
    </row>
    <row r="303" spans="1:15" ht="112.05" customHeight="1" x14ac:dyDescent="0.3">
      <c r="A303" s="110" t="s">
        <v>68</v>
      </c>
      <c r="B303" s="110" t="s">
        <v>145</v>
      </c>
      <c r="C303" s="110" t="s">
        <v>28</v>
      </c>
      <c r="D303" s="111">
        <v>0.6</v>
      </c>
      <c r="E303" s="111">
        <f>LUCK!G140</f>
        <v>4.7374946328530058E-2</v>
      </c>
      <c r="F303" s="111">
        <f>LUCK!G257/LUCK!G61</f>
        <v>0.59758338272421885</v>
      </c>
      <c r="G303" s="115" t="s">
        <v>146</v>
      </c>
      <c r="H303" s="115" t="str">
        <f t="shared" si="12"/>
        <v>Reproduced to precision</v>
      </c>
      <c r="I303" s="115" t="s">
        <v>147</v>
      </c>
      <c r="J303" s="115" t="s">
        <v>144</v>
      </c>
      <c r="K303" s="115" t="s">
        <v>132</v>
      </c>
      <c r="L303" s="115" t="s">
        <v>35</v>
      </c>
      <c r="M303" s="110">
        <f t="shared" si="13"/>
        <v>-0.55262505367146997</v>
      </c>
      <c r="N303" s="110">
        <f t="shared" si="14"/>
        <v>-2.4166172757811299E-3</v>
      </c>
      <c r="O303" s="110">
        <v>2</v>
      </c>
    </row>
    <row r="304" spans="1:15" ht="112.05" customHeight="1" x14ac:dyDescent="0.3">
      <c r="A304" s="49" t="s">
        <v>68</v>
      </c>
      <c r="B304" s="49" t="s">
        <v>145</v>
      </c>
      <c r="C304" s="49" t="s">
        <v>29</v>
      </c>
      <c r="D304" s="112">
        <v>1.0900000000000001</v>
      </c>
      <c r="E304" s="112">
        <f>LUCK!H140</f>
        <v>4.7582830711888222E-2</v>
      </c>
      <c r="F304" s="112">
        <f>LUCK!H257/LUCK!H61</f>
        <v>1.0928864859820921</v>
      </c>
      <c r="G304" s="116" t="s">
        <v>146</v>
      </c>
      <c r="H304" s="116" t="str">
        <f t="shared" si="12"/>
        <v>Reproduced to precision</v>
      </c>
      <c r="I304" s="116" t="s">
        <v>147</v>
      </c>
      <c r="J304" s="116" t="s">
        <v>144</v>
      </c>
      <c r="K304" s="116" t="s">
        <v>132</v>
      </c>
      <c r="L304" s="116" t="s">
        <v>35</v>
      </c>
      <c r="M304" s="49">
        <f t="shared" si="13"/>
        <v>-1.0424171692881119</v>
      </c>
      <c r="N304" s="49">
        <f t="shared" si="14"/>
        <v>2.8864859820920685E-3</v>
      </c>
      <c r="O304" s="49">
        <v>2</v>
      </c>
    </row>
    <row r="305" spans="1:15" ht="112.05" customHeight="1" x14ac:dyDescent="0.3">
      <c r="A305" s="110" t="s">
        <v>68</v>
      </c>
      <c r="B305" s="110" t="s">
        <v>129</v>
      </c>
      <c r="C305" s="110" t="s">
        <v>20</v>
      </c>
      <c r="D305" s="111">
        <v>20.53</v>
      </c>
      <c r="E305" s="111">
        <f>LUCK!D145</f>
        <v>20.525799758937445</v>
      </c>
      <c r="F305" s="111">
        <f>LUCK!D84/AVERAGE(LUCK!C32,LUCK!D32)</f>
        <v>20.525799758937445</v>
      </c>
      <c r="G305" s="115" t="s">
        <v>148</v>
      </c>
      <c r="H305" s="115" t="str">
        <f t="shared" si="12"/>
        <v>Reproduced to precision</v>
      </c>
      <c r="I305" s="115" t="s">
        <v>22</v>
      </c>
      <c r="J305" s="115" t="s">
        <v>144</v>
      </c>
      <c r="K305" s="115" t="s">
        <v>132</v>
      </c>
      <c r="L305" s="115" t="s">
        <v>25</v>
      </c>
      <c r="M305" s="110">
        <f t="shared" si="13"/>
        <v>-4.2002410625556763E-3</v>
      </c>
      <c r="N305" s="110">
        <f t="shared" si="14"/>
        <v>-4.2002410625556763E-3</v>
      </c>
      <c r="O305" s="110">
        <v>2</v>
      </c>
    </row>
    <row r="306" spans="1:15" ht="112.05" customHeight="1" x14ac:dyDescent="0.3">
      <c r="A306" s="49" t="s">
        <v>68</v>
      </c>
      <c r="B306" s="49" t="s">
        <v>129</v>
      </c>
      <c r="C306" s="49" t="s">
        <v>26</v>
      </c>
      <c r="D306" s="112">
        <v>26.02</v>
      </c>
      <c r="E306" s="112">
        <f>LUCK!E145</f>
        <v>26.020654219821807</v>
      </c>
      <c r="F306" s="112">
        <f>LUCK!E84/AVERAGE(LUCK!D32,LUCK!E32)</f>
        <v>26.020654219821807</v>
      </c>
      <c r="G306" s="116" t="s">
        <v>148</v>
      </c>
      <c r="H306" s="116" t="str">
        <f t="shared" si="12"/>
        <v>Reproduced to precision</v>
      </c>
      <c r="I306" s="116" t="s">
        <v>22</v>
      </c>
      <c r="J306" s="116" t="s">
        <v>144</v>
      </c>
      <c r="K306" s="116" t="s">
        <v>132</v>
      </c>
      <c r="L306" s="116" t="s">
        <v>25</v>
      </c>
      <c r="M306" s="49">
        <f t="shared" si="13"/>
        <v>6.5421982180779992E-4</v>
      </c>
      <c r="N306" s="49">
        <f t="shared" si="14"/>
        <v>6.5421982180779992E-4</v>
      </c>
      <c r="O306" s="49">
        <v>2</v>
      </c>
    </row>
    <row r="307" spans="1:15" ht="112.05" customHeight="1" x14ac:dyDescent="0.3">
      <c r="A307" s="110" t="s">
        <v>68</v>
      </c>
      <c r="B307" s="110" t="s">
        <v>129</v>
      </c>
      <c r="C307" s="110" t="s">
        <v>27</v>
      </c>
      <c r="D307" s="111">
        <v>22.25</v>
      </c>
      <c r="E307" s="111">
        <f>LUCK!F145</f>
        <v>22.253946370189343</v>
      </c>
      <c r="F307" s="111">
        <f>LUCK!F84/AVERAGE(LUCK!E32,LUCK!F32)</f>
        <v>22.253946370189343</v>
      </c>
      <c r="G307" s="115" t="s">
        <v>148</v>
      </c>
      <c r="H307" s="115" t="str">
        <f t="shared" si="12"/>
        <v>Reproduced to precision</v>
      </c>
      <c r="I307" s="115" t="s">
        <v>22</v>
      </c>
      <c r="J307" s="115" t="s">
        <v>144</v>
      </c>
      <c r="K307" s="115" t="s">
        <v>132</v>
      </c>
      <c r="L307" s="115" t="s">
        <v>25</v>
      </c>
      <c r="M307" s="110">
        <f t="shared" si="13"/>
        <v>3.9463701893431846E-3</v>
      </c>
      <c r="N307" s="110">
        <f t="shared" si="14"/>
        <v>3.9463701893431846E-3</v>
      </c>
      <c r="O307" s="110">
        <v>2</v>
      </c>
    </row>
    <row r="308" spans="1:15" ht="112.05" customHeight="1" x14ac:dyDescent="0.3">
      <c r="A308" s="49" t="s">
        <v>68</v>
      </c>
      <c r="B308" s="49" t="s">
        <v>129</v>
      </c>
      <c r="C308" s="49" t="s">
        <v>28</v>
      </c>
      <c r="D308" s="112">
        <v>19.190000000000001</v>
      </c>
      <c r="E308" s="112">
        <f>LUCK!G145</f>
        <v>19.185416979630755</v>
      </c>
      <c r="F308" s="112">
        <f>LUCK!G84/AVERAGE(LUCK!F32,LUCK!G32)</f>
        <v>19.185416979630755</v>
      </c>
      <c r="G308" s="116" t="s">
        <v>148</v>
      </c>
      <c r="H308" s="116" t="str">
        <f t="shared" si="12"/>
        <v>Reproduced to precision</v>
      </c>
      <c r="I308" s="116" t="s">
        <v>22</v>
      </c>
      <c r="J308" s="116" t="s">
        <v>144</v>
      </c>
      <c r="K308" s="116" t="s">
        <v>132</v>
      </c>
      <c r="L308" s="116" t="s">
        <v>25</v>
      </c>
      <c r="M308" s="49">
        <f t="shared" si="13"/>
        <v>-4.5830203692460714E-3</v>
      </c>
      <c r="N308" s="49">
        <f t="shared" si="14"/>
        <v>-4.5830203692460714E-3</v>
      </c>
      <c r="O308" s="49">
        <v>2</v>
      </c>
    </row>
    <row r="309" spans="1:15" ht="112.05" customHeight="1" x14ac:dyDescent="0.3">
      <c r="A309" s="110" t="s">
        <v>68</v>
      </c>
      <c r="B309" s="110" t="s">
        <v>129</v>
      </c>
      <c r="C309" s="110" t="s">
        <v>29</v>
      </c>
      <c r="D309" s="111">
        <v>18.739999999999998</v>
      </c>
      <c r="E309" s="111">
        <f>LUCK!H145</f>
        <v>18.743761644592638</v>
      </c>
      <c r="F309" s="111">
        <f>LUCK!H84/AVERAGE(LUCK!G32,LUCK!H32)</f>
        <v>18.743761644592638</v>
      </c>
      <c r="G309" s="115" t="s">
        <v>148</v>
      </c>
      <c r="H309" s="115" t="str">
        <f t="shared" si="12"/>
        <v>Reproduced to precision</v>
      </c>
      <c r="I309" s="115" t="s">
        <v>22</v>
      </c>
      <c r="J309" s="115" t="s">
        <v>144</v>
      </c>
      <c r="K309" s="115" t="s">
        <v>132</v>
      </c>
      <c r="L309" s="115" t="s">
        <v>25</v>
      </c>
      <c r="M309" s="110">
        <f t="shared" si="13"/>
        <v>3.7616445926396125E-3</v>
      </c>
      <c r="N309" s="110">
        <f t="shared" si="14"/>
        <v>3.7616445926396125E-3</v>
      </c>
      <c r="O309" s="110">
        <v>2</v>
      </c>
    </row>
    <row r="310" spans="1:15" ht="112.05" customHeight="1" x14ac:dyDescent="0.3">
      <c r="A310" s="49" t="s">
        <v>68</v>
      </c>
      <c r="B310" s="49" t="s">
        <v>133</v>
      </c>
      <c r="C310" s="49" t="s">
        <v>20</v>
      </c>
      <c r="D310" s="112">
        <v>2.19</v>
      </c>
      <c r="E310" s="112">
        <f>LUCK!D146</f>
        <v>16.047824735429948</v>
      </c>
      <c r="F310" s="112">
        <f>ROUND((-LUCK!D85)/AVERAGE(LUCK!C50,LUCK!D50),2)</f>
        <v>2.19</v>
      </c>
      <c r="G310" s="116" t="s">
        <v>75</v>
      </c>
      <c r="H310" s="116" t="str">
        <f t="shared" si="12"/>
        <v>Reproduced to precision</v>
      </c>
      <c r="I310" s="116" t="s">
        <v>76</v>
      </c>
      <c r="J310" s="116" t="s">
        <v>144</v>
      </c>
      <c r="K310" s="116" t="s">
        <v>132</v>
      </c>
      <c r="L310" s="116" t="s">
        <v>35</v>
      </c>
      <c r="M310" s="49">
        <f t="shared" si="13"/>
        <v>13.857824735429949</v>
      </c>
      <c r="N310" s="49">
        <f t="shared" si="14"/>
        <v>0</v>
      </c>
      <c r="O310" s="49">
        <v>2</v>
      </c>
    </row>
    <row r="311" spans="1:15" ht="112.05" customHeight="1" x14ac:dyDescent="0.3">
      <c r="A311" s="110" t="s">
        <v>68</v>
      </c>
      <c r="B311" s="110" t="s">
        <v>133</v>
      </c>
      <c r="C311" s="110" t="s">
        <v>26</v>
      </c>
      <c r="D311" s="111">
        <v>2.66</v>
      </c>
      <c r="E311" s="111">
        <f>LUCK!E146</f>
        <v>18.777106060975406</v>
      </c>
      <c r="F311" s="111">
        <f>ROUND((-LUCK!E85)/AVERAGE(LUCK!D50,LUCK!E50),2)</f>
        <v>2.66</v>
      </c>
      <c r="G311" s="115" t="s">
        <v>75</v>
      </c>
      <c r="H311" s="115" t="str">
        <f t="shared" si="12"/>
        <v>Reproduced to precision</v>
      </c>
      <c r="I311" s="115" t="s">
        <v>76</v>
      </c>
      <c r="J311" s="115" t="s">
        <v>144</v>
      </c>
      <c r="K311" s="115" t="s">
        <v>132</v>
      </c>
      <c r="L311" s="115" t="s">
        <v>35</v>
      </c>
      <c r="M311" s="110">
        <f t="shared" si="13"/>
        <v>16.117106060975406</v>
      </c>
      <c r="N311" s="110">
        <f t="shared" si="14"/>
        <v>0</v>
      </c>
      <c r="O311" s="110">
        <v>2</v>
      </c>
    </row>
    <row r="312" spans="1:15" ht="112.05" customHeight="1" x14ac:dyDescent="0.3">
      <c r="A312" s="49" t="s">
        <v>68</v>
      </c>
      <c r="B312" s="49" t="s">
        <v>133</v>
      </c>
      <c r="C312" s="49" t="s">
        <v>27</v>
      </c>
      <c r="D312" s="112">
        <v>2.63</v>
      </c>
      <c r="E312" s="112">
        <f>LUCK!F146</f>
        <v>16.644862602259856</v>
      </c>
      <c r="F312" s="112">
        <f>ROUND((-LUCK!F85)/AVERAGE(LUCK!E50,LUCK!F50),2)</f>
        <v>2.63</v>
      </c>
      <c r="G312" s="116" t="s">
        <v>75</v>
      </c>
      <c r="H312" s="116" t="str">
        <f t="shared" si="12"/>
        <v>Reproduced to precision</v>
      </c>
      <c r="I312" s="116" t="s">
        <v>76</v>
      </c>
      <c r="J312" s="116" t="s">
        <v>144</v>
      </c>
      <c r="K312" s="116" t="s">
        <v>132</v>
      </c>
      <c r="L312" s="116" t="s">
        <v>35</v>
      </c>
      <c r="M312" s="49">
        <f t="shared" si="13"/>
        <v>14.014862602259857</v>
      </c>
      <c r="N312" s="49">
        <f t="shared" si="14"/>
        <v>0</v>
      </c>
      <c r="O312" s="49">
        <v>2</v>
      </c>
    </row>
    <row r="313" spans="1:15" ht="112.05" customHeight="1" x14ac:dyDescent="0.3">
      <c r="A313" s="110" t="s">
        <v>68</v>
      </c>
      <c r="B313" s="110" t="s">
        <v>133</v>
      </c>
      <c r="C313" s="110" t="s">
        <v>28</v>
      </c>
      <c r="D313" s="111">
        <v>2.5499999999999998</v>
      </c>
      <c r="E313" s="111">
        <f>LUCK!G146</f>
        <v>12.541557640159668</v>
      </c>
      <c r="F313" s="111">
        <f>ROUND((-LUCK!G85)/AVERAGE(LUCK!F50,LUCK!G50),2)</f>
        <v>2.5499999999999998</v>
      </c>
      <c r="G313" s="115" t="s">
        <v>75</v>
      </c>
      <c r="H313" s="115" t="str">
        <f t="shared" si="12"/>
        <v>Reproduced to precision</v>
      </c>
      <c r="I313" s="115" t="s">
        <v>76</v>
      </c>
      <c r="J313" s="115" t="s">
        <v>144</v>
      </c>
      <c r="K313" s="115" t="s">
        <v>132</v>
      </c>
      <c r="L313" s="115" t="s">
        <v>35</v>
      </c>
      <c r="M313" s="110">
        <f t="shared" si="13"/>
        <v>9.9915576401596695</v>
      </c>
      <c r="N313" s="110">
        <f t="shared" si="14"/>
        <v>0</v>
      </c>
      <c r="O313" s="110">
        <v>2</v>
      </c>
    </row>
    <row r="314" spans="1:15" ht="112.05" customHeight="1" x14ac:dyDescent="0.3">
      <c r="A314" s="49" t="s">
        <v>68</v>
      </c>
      <c r="B314" s="49" t="s">
        <v>133</v>
      </c>
      <c r="C314" s="49" t="s">
        <v>29</v>
      </c>
      <c r="D314" s="112">
        <v>2.86</v>
      </c>
      <c r="E314" s="112">
        <f>LUCK!H146</f>
        <v>12.034170742972393</v>
      </c>
      <c r="F314" s="112">
        <f>ROUND((-LUCK!H85)/AVERAGE(LUCK!G50,LUCK!H50),2)</f>
        <v>2.86</v>
      </c>
      <c r="G314" s="116" t="s">
        <v>75</v>
      </c>
      <c r="H314" s="116" t="str">
        <f t="shared" si="12"/>
        <v>Reproduced to precision</v>
      </c>
      <c r="I314" s="116" t="s">
        <v>76</v>
      </c>
      <c r="J314" s="116" t="s">
        <v>144</v>
      </c>
      <c r="K314" s="116" t="s">
        <v>132</v>
      </c>
      <c r="L314" s="116" t="s">
        <v>35</v>
      </c>
      <c r="M314" s="49">
        <f t="shared" si="13"/>
        <v>9.1741707429723931</v>
      </c>
      <c r="N314" s="49">
        <f t="shared" si="14"/>
        <v>0</v>
      </c>
      <c r="O314" s="49">
        <v>2</v>
      </c>
    </row>
    <row r="315" spans="1:15" ht="112.05" customHeight="1" x14ac:dyDescent="0.3">
      <c r="A315" s="110" t="s">
        <v>68</v>
      </c>
      <c r="B315" s="110" t="s">
        <v>134</v>
      </c>
      <c r="C315" s="110" t="s">
        <v>20</v>
      </c>
      <c r="D315" s="111">
        <v>95.8</v>
      </c>
      <c r="E315" s="111">
        <f>LUCK!D147</f>
        <v>95.709906676324849</v>
      </c>
      <c r="F315" s="111">
        <f>365/ROUND((-LUCK!D85)/AVERAGE(LUCK!C65,LUCK!D65),2)</f>
        <v>95.800524934383205</v>
      </c>
      <c r="G315" s="115" t="s">
        <v>149</v>
      </c>
      <c r="H315" s="115" t="str">
        <f t="shared" si="12"/>
        <v>Reproduced to precision</v>
      </c>
      <c r="I315" s="115" t="s">
        <v>22</v>
      </c>
      <c r="J315" s="115" t="s">
        <v>144</v>
      </c>
      <c r="K315" s="115" t="s">
        <v>132</v>
      </c>
      <c r="L315" s="115" t="s">
        <v>25</v>
      </c>
      <c r="M315" s="110">
        <f t="shared" si="13"/>
        <v>-9.009332367514844E-2</v>
      </c>
      <c r="N315" s="110">
        <f t="shared" si="14"/>
        <v>5.2493438320766472E-4</v>
      </c>
      <c r="O315" s="110">
        <v>2</v>
      </c>
    </row>
    <row r="316" spans="1:15" ht="112.05" customHeight="1" x14ac:dyDescent="0.3">
      <c r="A316" s="49" t="s">
        <v>68</v>
      </c>
      <c r="B316" s="49" t="s">
        <v>134</v>
      </c>
      <c r="C316" s="49" t="s">
        <v>26</v>
      </c>
      <c r="D316" s="112">
        <v>99.73</v>
      </c>
      <c r="E316" s="112">
        <f>LUCK!E147</f>
        <v>99.788581457615734</v>
      </c>
      <c r="F316" s="112">
        <f>365/ROUND((-LUCK!E85)/AVERAGE(LUCK!D65,LUCK!E65),2)</f>
        <v>99.726775956284143</v>
      </c>
      <c r="G316" s="116" t="s">
        <v>149</v>
      </c>
      <c r="H316" s="116" t="str">
        <f t="shared" si="12"/>
        <v>Reproduced to precision</v>
      </c>
      <c r="I316" s="116" t="s">
        <v>22</v>
      </c>
      <c r="J316" s="116" t="s">
        <v>144</v>
      </c>
      <c r="K316" s="116" t="s">
        <v>132</v>
      </c>
      <c r="L316" s="116" t="s">
        <v>25</v>
      </c>
      <c r="M316" s="49">
        <f t="shared" si="13"/>
        <v>5.8581457615730415E-2</v>
      </c>
      <c r="N316" s="49">
        <f t="shared" si="14"/>
        <v>-3.2240437158606028E-3</v>
      </c>
      <c r="O316" s="49">
        <v>2</v>
      </c>
    </row>
    <row r="317" spans="1:15" ht="112.05" customHeight="1" x14ac:dyDescent="0.3">
      <c r="A317" s="110" t="s">
        <v>68</v>
      </c>
      <c r="B317" s="110" t="s">
        <v>134</v>
      </c>
      <c r="C317" s="110" t="s">
        <v>27</v>
      </c>
      <c r="D317" s="111">
        <v>100.83</v>
      </c>
      <c r="E317" s="111">
        <f>LUCK!F147</f>
        <v>100.73184197970664</v>
      </c>
      <c r="F317" s="111">
        <f>365/ROUND((-LUCK!F85)/AVERAGE(LUCK!E65,LUCK!F65),2)</f>
        <v>100.82872928176795</v>
      </c>
      <c r="G317" s="115" t="s">
        <v>149</v>
      </c>
      <c r="H317" s="115" t="str">
        <f t="shared" si="12"/>
        <v>Reproduced to precision</v>
      </c>
      <c r="I317" s="115" t="s">
        <v>22</v>
      </c>
      <c r="J317" s="115" t="s">
        <v>144</v>
      </c>
      <c r="K317" s="115" t="s">
        <v>132</v>
      </c>
      <c r="L317" s="115" t="s">
        <v>25</v>
      </c>
      <c r="M317" s="110">
        <f t="shared" si="13"/>
        <v>-9.8158020293354298E-2</v>
      </c>
      <c r="N317" s="110">
        <f t="shared" si="14"/>
        <v>-1.2707182320497168E-3</v>
      </c>
      <c r="O317" s="110">
        <v>2</v>
      </c>
    </row>
    <row r="318" spans="1:15" ht="112.05" customHeight="1" x14ac:dyDescent="0.3">
      <c r="A318" s="49" t="s">
        <v>68</v>
      </c>
      <c r="B318" s="49" t="s">
        <v>134</v>
      </c>
      <c r="C318" s="49" t="s">
        <v>28</v>
      </c>
      <c r="D318" s="112">
        <v>103.11</v>
      </c>
      <c r="E318" s="112">
        <f>LUCK!G147</f>
        <v>103.10239469568691</v>
      </c>
      <c r="F318" s="112">
        <f>365/ROUND((-LUCK!G85)/AVERAGE(LUCK!F65,LUCK!G65),2)</f>
        <v>103.10734463276836</v>
      </c>
      <c r="G318" s="116" t="s">
        <v>149</v>
      </c>
      <c r="H318" s="116" t="str">
        <f t="shared" si="12"/>
        <v>Reproduced to precision</v>
      </c>
      <c r="I318" s="116" t="s">
        <v>22</v>
      </c>
      <c r="J318" s="116" t="s">
        <v>144</v>
      </c>
      <c r="K318" s="116" t="s">
        <v>132</v>
      </c>
      <c r="L318" s="116" t="s">
        <v>25</v>
      </c>
      <c r="M318" s="49">
        <f t="shared" si="13"/>
        <v>-7.605304313088368E-3</v>
      </c>
      <c r="N318" s="49">
        <f t="shared" si="14"/>
        <v>-2.655367231639616E-3</v>
      </c>
      <c r="O318" s="49">
        <v>2</v>
      </c>
    </row>
    <row r="319" spans="1:15" ht="112.05" customHeight="1" x14ac:dyDescent="0.3">
      <c r="A319" s="110" t="s">
        <v>68</v>
      </c>
      <c r="B319" s="110" t="s">
        <v>134</v>
      </c>
      <c r="C319" s="110" t="s">
        <v>29</v>
      </c>
      <c r="D319" s="111">
        <v>106.41</v>
      </c>
      <c r="E319" s="111">
        <f>LUCK!H147</f>
        <v>106.53528435458882</v>
      </c>
      <c r="F319" s="111">
        <f>365/ROUND((-LUCK!H85)/AVERAGE(LUCK!G65,LUCK!H65),2)</f>
        <v>106.4139941690962</v>
      </c>
      <c r="G319" s="115" t="s">
        <v>149</v>
      </c>
      <c r="H319" s="115" t="str">
        <f t="shared" si="12"/>
        <v>Reproduced to precision</v>
      </c>
      <c r="I319" s="115" t="s">
        <v>22</v>
      </c>
      <c r="J319" s="115" t="s">
        <v>144</v>
      </c>
      <c r="K319" s="115" t="s">
        <v>132</v>
      </c>
      <c r="L319" s="115" t="s">
        <v>25</v>
      </c>
      <c r="M319" s="110">
        <f t="shared" si="13"/>
        <v>0.12528435458882825</v>
      </c>
      <c r="N319" s="110">
        <f t="shared" si="14"/>
        <v>3.9941690962024268E-3</v>
      </c>
      <c r="O319" s="110">
        <v>2</v>
      </c>
    </row>
    <row r="320" spans="1:15" ht="112.05" customHeight="1" x14ac:dyDescent="0.3">
      <c r="A320" s="49" t="s">
        <v>68</v>
      </c>
      <c r="B320" s="49" t="s">
        <v>150</v>
      </c>
      <c r="C320" s="49" t="s">
        <v>20</v>
      </c>
      <c r="D320" s="112">
        <v>-53.09</v>
      </c>
      <c r="E320" s="112">
        <f>LUCK!D151</f>
        <v>90.747889412039029</v>
      </c>
      <c r="F320" s="112">
        <f>365/ROUND((-LUCK!D85)/AVERAGE(LUCK!C65,LUCK!D65),2)+365/ROUND(LUCK!D84/AVERAGE(LUCK!C32,LUCK!D32),2)-365/ROUND((-LUCK!D85)/AVERAGE(LUCK!C50,LUCK!D50),2)</f>
        <v>-53.087281527704789</v>
      </c>
      <c r="G320" s="116" t="s">
        <v>43</v>
      </c>
      <c r="H320" s="116" t="str">
        <f t="shared" si="12"/>
        <v>Reproduced to precision</v>
      </c>
      <c r="I320" s="116" t="s">
        <v>22</v>
      </c>
      <c r="J320" s="116" t="s">
        <v>144</v>
      </c>
      <c r="K320" s="116" t="s">
        <v>132</v>
      </c>
      <c r="L320" s="116" t="s">
        <v>25</v>
      </c>
      <c r="M320" s="49">
        <f t="shared" si="13"/>
        <v>143.83788941203903</v>
      </c>
      <c r="N320" s="49">
        <f t="shared" si="14"/>
        <v>2.7184722952142693E-3</v>
      </c>
      <c r="O320" s="49">
        <v>2</v>
      </c>
    </row>
    <row r="321" spans="1:15" ht="112.05" customHeight="1" x14ac:dyDescent="0.3">
      <c r="A321" s="110" t="s">
        <v>68</v>
      </c>
      <c r="B321" s="110" t="s">
        <v>150</v>
      </c>
      <c r="C321" s="110" t="s">
        <v>26</v>
      </c>
      <c r="D321" s="111">
        <v>-23.46</v>
      </c>
      <c r="E321" s="111">
        <f>LUCK!E151</f>
        <v>94.377334614692273</v>
      </c>
      <c r="F321" s="111">
        <f>365/ROUND((-LUCK!E85)/AVERAGE(LUCK!D65,LUCK!E65),2)+365/ROUND(LUCK!E84/AVERAGE(LUCK!D32,LUCK!E32),2)-365/ROUND((-LUCK!E85)/AVERAGE(LUCK!D50,LUCK!E50),2)</f>
        <v>-23.463598134207245</v>
      </c>
      <c r="G321" s="115" t="s">
        <v>43</v>
      </c>
      <c r="H321" s="115" t="str">
        <f t="shared" si="12"/>
        <v>Reproduced to precision</v>
      </c>
      <c r="I321" s="115" t="s">
        <v>22</v>
      </c>
      <c r="J321" s="115" t="s">
        <v>144</v>
      </c>
      <c r="K321" s="115" t="s">
        <v>132</v>
      </c>
      <c r="L321" s="115" t="s">
        <v>25</v>
      </c>
      <c r="M321" s="110">
        <f t="shared" si="13"/>
        <v>117.83733461469228</v>
      </c>
      <c r="N321" s="110">
        <f t="shared" si="14"/>
        <v>-3.5981342072446409E-3</v>
      </c>
      <c r="O321" s="110">
        <v>2</v>
      </c>
    </row>
    <row r="322" spans="1:15" ht="112.05" customHeight="1" x14ac:dyDescent="0.3">
      <c r="A322" s="49" t="s">
        <v>68</v>
      </c>
      <c r="B322" s="49" t="s">
        <v>150</v>
      </c>
      <c r="C322" s="49" t="s">
        <v>27</v>
      </c>
      <c r="D322" s="112">
        <v>-21.55</v>
      </c>
      <c r="E322" s="112">
        <f>LUCK!F151</f>
        <v>95.204739223707236</v>
      </c>
      <c r="F322" s="112">
        <f>365/ROUND((-LUCK!F85)/AVERAGE(LUCK!E65,LUCK!F65),2)+365/ROUND(LUCK!F84/AVERAGE(LUCK!E32,LUCK!F32),2)-365/ROUND((-LUCK!F85)/AVERAGE(LUCK!E50,LUCK!F50),2)</f>
        <v>-21.550046298186771</v>
      </c>
      <c r="G322" s="116" t="s">
        <v>43</v>
      </c>
      <c r="H322" s="116" t="str">
        <f t="shared" si="12"/>
        <v>Reproduced to precision</v>
      </c>
      <c r="I322" s="116" t="s">
        <v>22</v>
      </c>
      <c r="J322" s="116" t="s">
        <v>144</v>
      </c>
      <c r="K322" s="116" t="s">
        <v>132</v>
      </c>
      <c r="L322" s="116" t="s">
        <v>25</v>
      </c>
      <c r="M322" s="49">
        <f t="shared" si="13"/>
        <v>116.75473922370723</v>
      </c>
      <c r="N322" s="49">
        <f t="shared" si="14"/>
        <v>-4.6298186770599159E-5</v>
      </c>
      <c r="O322" s="49">
        <v>2</v>
      </c>
    </row>
    <row r="323" spans="1:15" ht="112.05" customHeight="1" x14ac:dyDescent="0.3">
      <c r="A323" s="110" t="s">
        <v>68</v>
      </c>
      <c r="B323" s="110" t="s">
        <v>150</v>
      </c>
      <c r="C323" s="110" t="s">
        <v>28</v>
      </c>
      <c r="D323" s="111">
        <v>-21.01</v>
      </c>
      <c r="E323" s="111">
        <f>LUCK!G151</f>
        <v>93.024018331410048</v>
      </c>
      <c r="F323" s="111">
        <f>365/ROUND((-LUCK!G85)/AVERAGE(LUCK!F65,LUCK!G65),2)+365/ROUND(LUCK!G84/AVERAGE(LUCK!F32,LUCK!G32),2)-365/ROUND((-LUCK!G85)/AVERAGE(LUCK!F50,LUCK!G50),2)</f>
        <v>-21.009587184252368</v>
      </c>
      <c r="G323" s="115" t="s">
        <v>43</v>
      </c>
      <c r="H323" s="115" t="str">
        <f t="shared" si="12"/>
        <v>Reproduced to precision</v>
      </c>
      <c r="I323" s="115" t="s">
        <v>22</v>
      </c>
      <c r="J323" s="115" t="s">
        <v>144</v>
      </c>
      <c r="K323" s="115" t="s">
        <v>132</v>
      </c>
      <c r="L323" s="115" t="s">
        <v>25</v>
      </c>
      <c r="M323" s="110">
        <f t="shared" si="13"/>
        <v>114.03401833141005</v>
      </c>
      <c r="N323" s="110">
        <f t="shared" si="14"/>
        <v>4.1281574763374351E-4</v>
      </c>
      <c r="O323" s="110">
        <v>2</v>
      </c>
    </row>
    <row r="324" spans="1:15" ht="112.05" customHeight="1" x14ac:dyDescent="0.3">
      <c r="A324" s="49" t="s">
        <v>68</v>
      </c>
      <c r="B324" s="49" t="s">
        <v>150</v>
      </c>
      <c r="C324" s="49" t="s">
        <v>29</v>
      </c>
      <c r="D324" s="112">
        <v>-1.73</v>
      </c>
      <c r="E324" s="112">
        <f>LUCK!H151</f>
        <v>95.678130714459527</v>
      </c>
      <c r="F324" s="112">
        <f>365/ROUND((-LUCK!H85)/AVERAGE(LUCK!G65,LUCK!H65),2)+365/ROUND(LUCK!H84/AVERAGE(LUCK!G32,LUCK!H32),2)-365/ROUND((-LUCK!H85)/AVERAGE(LUCK!G50,LUCK!H50),2)</f>
        <v>-1.7313290242526023</v>
      </c>
      <c r="G324" s="116" t="s">
        <v>43</v>
      </c>
      <c r="H324" s="116" t="str">
        <f t="shared" si="12"/>
        <v>Reproduced to precision</v>
      </c>
      <c r="I324" s="116" t="s">
        <v>22</v>
      </c>
      <c r="J324" s="116" t="s">
        <v>144</v>
      </c>
      <c r="K324" s="116" t="s">
        <v>132</v>
      </c>
      <c r="L324" s="116" t="s">
        <v>25</v>
      </c>
      <c r="M324" s="49">
        <f t="shared" si="13"/>
        <v>97.408130714459531</v>
      </c>
      <c r="N324" s="49">
        <f t="shared" si="14"/>
        <v>-1.3290242526022844E-3</v>
      </c>
      <c r="O324" s="49">
        <v>2</v>
      </c>
    </row>
    <row r="325" spans="1:15" ht="112.05" customHeight="1" x14ac:dyDescent="0.3">
      <c r="A325" s="110" t="s">
        <v>68</v>
      </c>
      <c r="B325" s="110" t="s">
        <v>151</v>
      </c>
      <c r="C325" s="110" t="s">
        <v>20</v>
      </c>
      <c r="D325" s="111">
        <v>0.04</v>
      </c>
      <c r="E325" s="111">
        <f>LUCK!D156</f>
        <v>0.38134015560282553</v>
      </c>
      <c r="F325" s="111">
        <f>(LUCK!D43+LUCK!D55+LUCK!D45+LUCK!D57)/LUCK!D41</f>
        <v>4.018446671738151E-2</v>
      </c>
      <c r="G325" s="115" t="s">
        <v>152</v>
      </c>
      <c r="H325" s="115" t="str">
        <f t="shared" ref="H325:H388" si="15">IF(AND(ISNUMBER(D325),ISNUMBER(F325)),IF(ROUND(D325,O325)=ROUND(F325,O325),"Reproduced to precision","Unresolved published value"),"Not comparable")</f>
        <v>Reproduced to precision</v>
      </c>
      <c r="I325" s="115" t="s">
        <v>153</v>
      </c>
      <c r="J325" s="115" t="s">
        <v>144</v>
      </c>
      <c r="K325" s="115" t="s">
        <v>132</v>
      </c>
      <c r="L325" s="115" t="s">
        <v>35</v>
      </c>
      <c r="M325" s="110">
        <f t="shared" ref="M325:M388" si="16">IF(ISNUMBER(E325),E325-D325,"n/m")</f>
        <v>0.34134015560282555</v>
      </c>
      <c r="N325" s="110">
        <f t="shared" ref="N325:N388" si="17">IF(ISNUMBER(F325),F325-D325,"n/m")</f>
        <v>1.8446671738150955E-4</v>
      </c>
      <c r="O325" s="110">
        <v>2</v>
      </c>
    </row>
    <row r="326" spans="1:15" ht="112.05" customHeight="1" x14ac:dyDescent="0.3">
      <c r="A326" s="49" t="s">
        <v>68</v>
      </c>
      <c r="B326" s="49" t="s">
        <v>151</v>
      </c>
      <c r="C326" s="49" t="s">
        <v>26</v>
      </c>
      <c r="D326" s="112">
        <v>0.13</v>
      </c>
      <c r="E326" s="112">
        <f>LUCK!E156</f>
        <v>0.43894431135866752</v>
      </c>
      <c r="F326" s="112">
        <f>(LUCK!E43+LUCK!E55+LUCK!E45+LUCK!E57)/LUCK!E41</f>
        <v>0.13038790068710268</v>
      </c>
      <c r="G326" s="116" t="s">
        <v>152</v>
      </c>
      <c r="H326" s="116" t="str">
        <f t="shared" si="15"/>
        <v>Reproduced to precision</v>
      </c>
      <c r="I326" s="116" t="s">
        <v>153</v>
      </c>
      <c r="J326" s="116" t="s">
        <v>144</v>
      </c>
      <c r="K326" s="116" t="s">
        <v>132</v>
      </c>
      <c r="L326" s="116" t="s">
        <v>35</v>
      </c>
      <c r="M326" s="49">
        <f t="shared" si="16"/>
        <v>0.30894431135866751</v>
      </c>
      <c r="N326" s="49">
        <f t="shared" si="17"/>
        <v>3.8790068710267689E-4</v>
      </c>
      <c r="O326" s="49">
        <v>2</v>
      </c>
    </row>
    <row r="327" spans="1:15" ht="112.05" customHeight="1" x14ac:dyDescent="0.3">
      <c r="A327" s="110" t="s">
        <v>68</v>
      </c>
      <c r="B327" s="110" t="s">
        <v>151</v>
      </c>
      <c r="C327" s="110" t="s">
        <v>27</v>
      </c>
      <c r="D327" s="111">
        <v>0.13</v>
      </c>
      <c r="E327" s="111">
        <f>LUCK!F156</f>
        <v>0.5511739536514938</v>
      </c>
      <c r="F327" s="111">
        <f>(LUCK!F43+LUCK!F55+LUCK!F45+LUCK!F57)/LUCK!F41</f>
        <v>0.12578231145237154</v>
      </c>
      <c r="G327" s="115" t="s">
        <v>152</v>
      </c>
      <c r="H327" s="115" t="str">
        <f t="shared" si="15"/>
        <v>Reproduced to precision</v>
      </c>
      <c r="I327" s="115" t="s">
        <v>153</v>
      </c>
      <c r="J327" s="115" t="s">
        <v>144</v>
      </c>
      <c r="K327" s="115" t="s">
        <v>132</v>
      </c>
      <c r="L327" s="115" t="s">
        <v>35</v>
      </c>
      <c r="M327" s="110">
        <f t="shared" si="16"/>
        <v>0.42117395365149379</v>
      </c>
      <c r="N327" s="110">
        <f t="shared" si="17"/>
        <v>-4.2176885476284676E-3</v>
      </c>
      <c r="O327" s="110">
        <v>2</v>
      </c>
    </row>
    <row r="328" spans="1:15" ht="112.05" customHeight="1" x14ac:dyDescent="0.3">
      <c r="A328" s="49" t="s">
        <v>68</v>
      </c>
      <c r="B328" s="49" t="s">
        <v>151</v>
      </c>
      <c r="C328" s="49" t="s">
        <v>28</v>
      </c>
      <c r="D328" s="112">
        <v>0.11</v>
      </c>
      <c r="E328" s="112">
        <f>LUCK!G156</f>
        <v>0.58375790160503283</v>
      </c>
      <c r="F328" s="112">
        <f>(LUCK!G43+LUCK!G55+LUCK!G45+LUCK!G57)/LUCK!G41</f>
        <v>0.11251824116273711</v>
      </c>
      <c r="G328" s="116" t="s">
        <v>152</v>
      </c>
      <c r="H328" s="116" t="str">
        <f t="shared" si="15"/>
        <v>Reproduced to precision</v>
      </c>
      <c r="I328" s="116" t="s">
        <v>153</v>
      </c>
      <c r="J328" s="116" t="s">
        <v>144</v>
      </c>
      <c r="K328" s="116" t="s">
        <v>132</v>
      </c>
      <c r="L328" s="116" t="s">
        <v>35</v>
      </c>
      <c r="M328" s="49">
        <f t="shared" si="16"/>
        <v>0.47375790160503284</v>
      </c>
      <c r="N328" s="49">
        <f t="shared" si="17"/>
        <v>2.518241162737106E-3</v>
      </c>
      <c r="O328" s="49">
        <v>2</v>
      </c>
    </row>
    <row r="329" spans="1:15" ht="112.05" customHeight="1" x14ac:dyDescent="0.3">
      <c r="A329" s="110" t="s">
        <v>68</v>
      </c>
      <c r="B329" s="110" t="s">
        <v>151</v>
      </c>
      <c r="C329" s="110" t="s">
        <v>29</v>
      </c>
      <c r="D329" s="111">
        <v>7.0000000000000007E-2</v>
      </c>
      <c r="E329" s="111">
        <f>LUCK!H156</f>
        <v>0.5163857850360184</v>
      </c>
      <c r="F329" s="111">
        <f>(LUCK!H43+LUCK!H55+LUCK!H45+LUCK!H57)/LUCK!H41</f>
        <v>7.0679493651313402E-2</v>
      </c>
      <c r="G329" s="115" t="s">
        <v>152</v>
      </c>
      <c r="H329" s="115" t="str">
        <f t="shared" si="15"/>
        <v>Reproduced to precision</v>
      </c>
      <c r="I329" s="115" t="s">
        <v>153</v>
      </c>
      <c r="J329" s="115" t="s">
        <v>144</v>
      </c>
      <c r="K329" s="115" t="s">
        <v>132</v>
      </c>
      <c r="L329" s="115" t="s">
        <v>35</v>
      </c>
      <c r="M329" s="110">
        <f t="shared" si="16"/>
        <v>0.44638578503601839</v>
      </c>
      <c r="N329" s="110">
        <f t="shared" si="17"/>
        <v>6.7949365131339534E-4</v>
      </c>
      <c r="O329" s="110">
        <v>2</v>
      </c>
    </row>
    <row r="330" spans="1:15" ht="112.05" customHeight="1" x14ac:dyDescent="0.3">
      <c r="A330" s="49" t="s">
        <v>68</v>
      </c>
      <c r="B330" s="49" t="s">
        <v>154</v>
      </c>
      <c r="C330" s="49" t="s">
        <v>20</v>
      </c>
      <c r="D330" s="113">
        <v>0.30120000000000002</v>
      </c>
      <c r="E330" s="113">
        <f>LUCK!D161</f>
        <v>0.30117079055471246</v>
      </c>
      <c r="F330" s="113">
        <f>LUCK!D86/LUCK!D84</f>
        <v>0.30117079055471246</v>
      </c>
      <c r="G330" s="116" t="s">
        <v>21</v>
      </c>
      <c r="H330" s="116" t="str">
        <f t="shared" si="15"/>
        <v>Reproduced to precision</v>
      </c>
      <c r="I330" s="116" t="s">
        <v>22</v>
      </c>
      <c r="J330" s="116" t="s">
        <v>144</v>
      </c>
      <c r="K330" s="116" t="s">
        <v>132</v>
      </c>
      <c r="L330" s="116" t="s">
        <v>25</v>
      </c>
      <c r="M330" s="49">
        <f t="shared" si="16"/>
        <v>-2.9209445287559088E-5</v>
      </c>
      <c r="N330" s="49">
        <f t="shared" si="17"/>
        <v>-2.9209445287559088E-5</v>
      </c>
      <c r="O330" s="49">
        <v>4</v>
      </c>
    </row>
    <row r="331" spans="1:15" ht="112.05" customHeight="1" x14ac:dyDescent="0.3">
      <c r="A331" s="110" t="s">
        <v>68</v>
      </c>
      <c r="B331" s="110" t="s">
        <v>154</v>
      </c>
      <c r="C331" s="110" t="s">
        <v>26</v>
      </c>
      <c r="D331" s="114">
        <v>0.27810000000000001</v>
      </c>
      <c r="E331" s="114">
        <f>LUCK!E161</f>
        <v>0.27809669144361399</v>
      </c>
      <c r="F331" s="114">
        <f>LUCK!E86/LUCK!E84</f>
        <v>0.27809669144361399</v>
      </c>
      <c r="G331" s="115" t="s">
        <v>21</v>
      </c>
      <c r="H331" s="115" t="str">
        <f t="shared" si="15"/>
        <v>Reproduced to precision</v>
      </c>
      <c r="I331" s="115" t="s">
        <v>22</v>
      </c>
      <c r="J331" s="115" t="s">
        <v>144</v>
      </c>
      <c r="K331" s="115" t="s">
        <v>132</v>
      </c>
      <c r="L331" s="115" t="s">
        <v>25</v>
      </c>
      <c r="M331" s="110">
        <f t="shared" si="16"/>
        <v>-3.3085563860280054E-6</v>
      </c>
      <c r="N331" s="110">
        <f t="shared" si="17"/>
        <v>-3.3085563860280054E-6</v>
      </c>
      <c r="O331" s="110">
        <v>4</v>
      </c>
    </row>
    <row r="332" spans="1:15" ht="112.05" customHeight="1" x14ac:dyDescent="0.3">
      <c r="A332" s="49" t="s">
        <v>68</v>
      </c>
      <c r="B332" s="49" t="s">
        <v>154</v>
      </c>
      <c r="C332" s="49" t="s">
        <v>27</v>
      </c>
      <c r="D332" s="113">
        <v>0.27189999999999998</v>
      </c>
      <c r="E332" s="113">
        <f>LUCK!F161</f>
        <v>0.27194087595679139</v>
      </c>
      <c r="F332" s="113">
        <f>LUCK!F86/LUCK!F84</f>
        <v>0.27194087595679139</v>
      </c>
      <c r="G332" s="116" t="s">
        <v>21</v>
      </c>
      <c r="H332" s="116" t="str">
        <f t="shared" si="15"/>
        <v>Reproduced to precision</v>
      </c>
      <c r="I332" s="116" t="s">
        <v>22</v>
      </c>
      <c r="J332" s="116" t="s">
        <v>144</v>
      </c>
      <c r="K332" s="116" t="s">
        <v>132</v>
      </c>
      <c r="L332" s="116" t="s">
        <v>25</v>
      </c>
      <c r="M332" s="49">
        <f t="shared" si="16"/>
        <v>4.0875956791419643E-5</v>
      </c>
      <c r="N332" s="49">
        <f t="shared" si="17"/>
        <v>4.0875956791419643E-5</v>
      </c>
      <c r="O332" s="49">
        <v>4</v>
      </c>
    </row>
    <row r="333" spans="1:15" ht="112.05" customHeight="1" x14ac:dyDescent="0.3">
      <c r="A333" s="110" t="s">
        <v>68</v>
      </c>
      <c r="B333" s="110" t="s">
        <v>154</v>
      </c>
      <c r="C333" s="110" t="s">
        <v>28</v>
      </c>
      <c r="D333" s="114">
        <v>0.33650000000000002</v>
      </c>
      <c r="E333" s="114">
        <f>LUCK!G161</f>
        <v>0.33648030796321582</v>
      </c>
      <c r="F333" s="114">
        <f>LUCK!G86/LUCK!G84</f>
        <v>0.33648030796321582</v>
      </c>
      <c r="G333" s="115" t="s">
        <v>21</v>
      </c>
      <c r="H333" s="115" t="str">
        <f t="shared" si="15"/>
        <v>Reproduced to precision</v>
      </c>
      <c r="I333" s="115" t="s">
        <v>22</v>
      </c>
      <c r="J333" s="115" t="s">
        <v>144</v>
      </c>
      <c r="K333" s="115" t="s">
        <v>132</v>
      </c>
      <c r="L333" s="115" t="s">
        <v>25</v>
      </c>
      <c r="M333" s="110">
        <f t="shared" si="16"/>
        <v>-1.9692036784202394E-5</v>
      </c>
      <c r="N333" s="110">
        <f t="shared" si="17"/>
        <v>-1.9692036784202394E-5</v>
      </c>
      <c r="O333" s="110">
        <v>4</v>
      </c>
    </row>
    <row r="334" spans="1:15" ht="112.05" customHeight="1" x14ac:dyDescent="0.3">
      <c r="A334" s="49" t="s">
        <v>68</v>
      </c>
      <c r="B334" s="49" t="s">
        <v>154</v>
      </c>
      <c r="C334" s="49" t="s">
        <v>29</v>
      </c>
      <c r="D334" s="113">
        <v>0.34279999999999999</v>
      </c>
      <c r="E334" s="113">
        <f>LUCK!H161</f>
        <v>0.34281652982067301</v>
      </c>
      <c r="F334" s="113">
        <f>LUCK!H86/LUCK!H84</f>
        <v>0.34281652982067301</v>
      </c>
      <c r="G334" s="116" t="s">
        <v>21</v>
      </c>
      <c r="H334" s="116" t="str">
        <f t="shared" si="15"/>
        <v>Reproduced to precision</v>
      </c>
      <c r="I334" s="116" t="s">
        <v>22</v>
      </c>
      <c r="J334" s="116" t="s">
        <v>144</v>
      </c>
      <c r="K334" s="116" t="s">
        <v>132</v>
      </c>
      <c r="L334" s="116" t="s">
        <v>25</v>
      </c>
      <c r="M334" s="49">
        <f t="shared" si="16"/>
        <v>1.6529820673016893E-5</v>
      </c>
      <c r="N334" s="49">
        <f t="shared" si="17"/>
        <v>1.6529820673016893E-5</v>
      </c>
      <c r="O334" s="49">
        <v>4</v>
      </c>
    </row>
    <row r="335" spans="1:15" ht="112.05" customHeight="1" x14ac:dyDescent="0.3">
      <c r="A335" s="110" t="s">
        <v>68</v>
      </c>
      <c r="B335" s="110" t="s">
        <v>155</v>
      </c>
      <c r="C335" s="110" t="s">
        <v>20</v>
      </c>
      <c r="D335" s="114">
        <v>0.2235</v>
      </c>
      <c r="E335" s="114">
        <f>LUCK!D163</f>
        <v>0.22354637821997994</v>
      </c>
      <c r="F335" s="114">
        <f>LUCK!D99/LUCK!D84</f>
        <v>0.22354637821997994</v>
      </c>
      <c r="G335" s="115" t="s">
        <v>21</v>
      </c>
      <c r="H335" s="115" t="str">
        <f t="shared" si="15"/>
        <v>Reproduced to precision</v>
      </c>
      <c r="I335" s="115" t="s">
        <v>22</v>
      </c>
      <c r="J335" s="115" t="s">
        <v>144</v>
      </c>
      <c r="K335" s="115" t="s">
        <v>132</v>
      </c>
      <c r="L335" s="115" t="s">
        <v>25</v>
      </c>
      <c r="M335" s="110">
        <f t="shared" si="16"/>
        <v>4.6378219979936741E-5</v>
      </c>
      <c r="N335" s="110">
        <f t="shared" si="17"/>
        <v>4.6378219979936741E-5</v>
      </c>
      <c r="O335" s="110">
        <v>4</v>
      </c>
    </row>
    <row r="336" spans="1:15" ht="112.05" customHeight="1" x14ac:dyDescent="0.3">
      <c r="A336" s="49" t="s">
        <v>68</v>
      </c>
      <c r="B336" s="49" t="s">
        <v>155</v>
      </c>
      <c r="C336" s="49" t="s">
        <v>26</v>
      </c>
      <c r="D336" s="113">
        <v>0.18870000000000001</v>
      </c>
      <c r="E336" s="113">
        <f>LUCK!E163</f>
        <v>0.18865400166042842</v>
      </c>
      <c r="F336" s="113">
        <f>LUCK!E99/LUCK!E84</f>
        <v>0.18865400166042842</v>
      </c>
      <c r="G336" s="116" t="s">
        <v>21</v>
      </c>
      <c r="H336" s="116" t="str">
        <f t="shared" si="15"/>
        <v>Reproduced to precision</v>
      </c>
      <c r="I336" s="116" t="s">
        <v>22</v>
      </c>
      <c r="J336" s="116" t="s">
        <v>144</v>
      </c>
      <c r="K336" s="116" t="s">
        <v>132</v>
      </c>
      <c r="L336" s="116" t="s">
        <v>25</v>
      </c>
      <c r="M336" s="49">
        <f t="shared" si="16"/>
        <v>-4.5998339571584612E-5</v>
      </c>
      <c r="N336" s="49">
        <f t="shared" si="17"/>
        <v>-4.5998339571584612E-5</v>
      </c>
      <c r="O336" s="49">
        <v>4</v>
      </c>
    </row>
    <row r="337" spans="1:15" ht="112.05" customHeight="1" x14ac:dyDescent="0.3">
      <c r="A337" s="110" t="s">
        <v>68</v>
      </c>
      <c r="B337" s="110" t="s">
        <v>155</v>
      </c>
      <c r="C337" s="110" t="s">
        <v>27</v>
      </c>
      <c r="D337" s="114">
        <v>0.14319999999999999</v>
      </c>
      <c r="E337" s="114">
        <f>LUCK!F163</f>
        <v>0.14322765825125466</v>
      </c>
      <c r="F337" s="114">
        <f>LUCK!F99/LUCK!F84</f>
        <v>0.14322765825125466</v>
      </c>
      <c r="G337" s="115" t="s">
        <v>21</v>
      </c>
      <c r="H337" s="115" t="str">
        <f t="shared" si="15"/>
        <v>Reproduced to precision</v>
      </c>
      <c r="I337" s="115" t="s">
        <v>22</v>
      </c>
      <c r="J337" s="115" t="s">
        <v>144</v>
      </c>
      <c r="K337" s="115" t="s">
        <v>132</v>
      </c>
      <c r="L337" s="115" t="s">
        <v>25</v>
      </c>
      <c r="M337" s="110">
        <f t="shared" si="16"/>
        <v>2.7658251254669697E-5</v>
      </c>
      <c r="N337" s="110">
        <f t="shared" si="17"/>
        <v>2.7658251254669697E-5</v>
      </c>
      <c r="O337" s="110">
        <v>4</v>
      </c>
    </row>
    <row r="338" spans="1:15" ht="112.05" customHeight="1" x14ac:dyDescent="0.3">
      <c r="A338" s="49" t="s">
        <v>68</v>
      </c>
      <c r="B338" s="49" t="s">
        <v>155</v>
      </c>
      <c r="C338" s="49" t="s">
        <v>28</v>
      </c>
      <c r="D338" s="113">
        <v>0.2437</v>
      </c>
      <c r="E338" s="113">
        <f>LUCK!G163</f>
        <v>0.24371604713228476</v>
      </c>
      <c r="F338" s="113">
        <f>LUCK!G99/LUCK!G84</f>
        <v>0.24371604713228476</v>
      </c>
      <c r="G338" s="116" t="s">
        <v>21</v>
      </c>
      <c r="H338" s="116" t="str">
        <f t="shared" si="15"/>
        <v>Reproduced to precision</v>
      </c>
      <c r="I338" s="116" t="s">
        <v>22</v>
      </c>
      <c r="J338" s="116" t="s">
        <v>144</v>
      </c>
      <c r="K338" s="116" t="s">
        <v>132</v>
      </c>
      <c r="L338" s="116" t="s">
        <v>25</v>
      </c>
      <c r="M338" s="49">
        <f t="shared" si="16"/>
        <v>1.6047132284757737E-5</v>
      </c>
      <c r="N338" s="49">
        <f t="shared" si="17"/>
        <v>1.6047132284757737E-5</v>
      </c>
      <c r="O338" s="49">
        <v>4</v>
      </c>
    </row>
    <row r="339" spans="1:15" ht="112.05" customHeight="1" x14ac:dyDescent="0.3">
      <c r="A339" s="110" t="s">
        <v>68</v>
      </c>
      <c r="B339" s="110" t="s">
        <v>155</v>
      </c>
      <c r="C339" s="110" t="s">
        <v>29</v>
      </c>
      <c r="D339" s="114">
        <v>0.26579999999999998</v>
      </c>
      <c r="E339" s="114">
        <f>LUCK!H163</f>
        <v>0.26577542757733763</v>
      </c>
      <c r="F339" s="114">
        <f>LUCK!H99/LUCK!H84</f>
        <v>0.26577542757733763</v>
      </c>
      <c r="G339" s="115" t="s">
        <v>21</v>
      </c>
      <c r="H339" s="115" t="str">
        <f t="shared" si="15"/>
        <v>Reproduced to precision</v>
      </c>
      <c r="I339" s="115" t="s">
        <v>22</v>
      </c>
      <c r="J339" s="115" t="s">
        <v>144</v>
      </c>
      <c r="K339" s="115" t="s">
        <v>132</v>
      </c>
      <c r="L339" s="115" t="s">
        <v>25</v>
      </c>
      <c r="M339" s="110">
        <f t="shared" si="16"/>
        <v>-2.4572422662350046E-5</v>
      </c>
      <c r="N339" s="110">
        <f t="shared" si="17"/>
        <v>-2.4572422662350046E-5</v>
      </c>
      <c r="O339" s="110">
        <v>4</v>
      </c>
    </row>
    <row r="340" spans="1:15" ht="112.05" customHeight="1" x14ac:dyDescent="0.3">
      <c r="A340" s="49" t="s">
        <v>68</v>
      </c>
      <c r="B340" s="49" t="s">
        <v>53</v>
      </c>
      <c r="C340" s="49" t="s">
        <v>20</v>
      </c>
      <c r="D340" s="113">
        <v>0.12379999999999999</v>
      </c>
      <c r="E340" s="113">
        <f>LUCK!D165</f>
        <v>0.13249756211762712</v>
      </c>
      <c r="F340" s="113">
        <f>LUCK!D99/LUCK!D41</f>
        <v>0.12429467254394423</v>
      </c>
      <c r="G340" s="116" t="s">
        <v>156</v>
      </c>
      <c r="H340" s="116" t="str">
        <f t="shared" si="15"/>
        <v>Unresolved published value</v>
      </c>
      <c r="I340" s="116" t="s">
        <v>157</v>
      </c>
      <c r="J340" s="116" t="s">
        <v>144</v>
      </c>
      <c r="K340" s="116" t="s">
        <v>132</v>
      </c>
      <c r="L340" s="116" t="s">
        <v>158</v>
      </c>
      <c r="M340" s="49">
        <f t="shared" si="16"/>
        <v>8.6975621176271223E-3</v>
      </c>
      <c r="N340" s="49">
        <f t="shared" si="17"/>
        <v>4.9467254394423843E-4</v>
      </c>
      <c r="O340" s="49">
        <v>4</v>
      </c>
    </row>
    <row r="341" spans="1:15" ht="112.05" customHeight="1" x14ac:dyDescent="0.3">
      <c r="A341" s="110" t="s">
        <v>68</v>
      </c>
      <c r="B341" s="110" t="s">
        <v>53</v>
      </c>
      <c r="C341" s="110" t="s">
        <v>26</v>
      </c>
      <c r="D341" s="114">
        <v>0.1193</v>
      </c>
      <c r="E341" s="114">
        <f>LUCK!E165</f>
        <v>0.12657053998488341</v>
      </c>
      <c r="F341" s="114">
        <f>LUCK!E99/LUCK!E41</f>
        <v>0.11901804448540206</v>
      </c>
      <c r="G341" s="115" t="s">
        <v>156</v>
      </c>
      <c r="H341" s="115" t="str">
        <f t="shared" si="15"/>
        <v>Unresolved published value</v>
      </c>
      <c r="I341" s="115" t="s">
        <v>157</v>
      </c>
      <c r="J341" s="115" t="s">
        <v>144</v>
      </c>
      <c r="K341" s="115" t="s">
        <v>132</v>
      </c>
      <c r="L341" s="115" t="s">
        <v>158</v>
      </c>
      <c r="M341" s="110">
        <f t="shared" si="16"/>
        <v>7.2705399848834035E-3</v>
      </c>
      <c r="N341" s="110">
        <f t="shared" si="17"/>
        <v>-2.8195551459794799E-4</v>
      </c>
      <c r="O341" s="110">
        <v>4</v>
      </c>
    </row>
    <row r="342" spans="1:15" ht="112.05" customHeight="1" x14ac:dyDescent="0.3">
      <c r="A342" s="49" t="s">
        <v>68</v>
      </c>
      <c r="B342" s="49" t="s">
        <v>53</v>
      </c>
      <c r="C342" s="49" t="s">
        <v>27</v>
      </c>
      <c r="D342" s="113">
        <v>0.1018</v>
      </c>
      <c r="E342" s="113">
        <f>LUCK!F165</f>
        <v>0.10323783929435384</v>
      </c>
      <c r="F342" s="113">
        <f>LUCK!F99/LUCK!F41</f>
        <v>9.9921242706891636E-2</v>
      </c>
      <c r="G342" s="116" t="s">
        <v>156</v>
      </c>
      <c r="H342" s="116" t="str">
        <f t="shared" si="15"/>
        <v>Unresolved published value</v>
      </c>
      <c r="I342" s="116" t="s">
        <v>157</v>
      </c>
      <c r="J342" s="116" t="s">
        <v>144</v>
      </c>
      <c r="K342" s="116" t="s">
        <v>132</v>
      </c>
      <c r="L342" s="116" t="s">
        <v>158</v>
      </c>
      <c r="M342" s="49">
        <f t="shared" si="16"/>
        <v>1.4378392943538432E-3</v>
      </c>
      <c r="N342" s="49">
        <f t="shared" si="17"/>
        <v>-1.8787572931083657E-3</v>
      </c>
      <c r="O342" s="49">
        <v>4</v>
      </c>
    </row>
    <row r="343" spans="1:15" ht="112.05" customHeight="1" x14ac:dyDescent="0.3">
      <c r="A343" s="110" t="s">
        <v>68</v>
      </c>
      <c r="B343" s="110" t="s">
        <v>53</v>
      </c>
      <c r="C343" s="110" t="s">
        <v>28</v>
      </c>
      <c r="D343" s="114">
        <v>0.1893</v>
      </c>
      <c r="E343" s="114">
        <f>LUCK!G165</f>
        <v>0.19715059997190104</v>
      </c>
      <c r="F343" s="114">
        <f>LUCK!G99/LUCK!G41</f>
        <v>0.19021586420101122</v>
      </c>
      <c r="G343" s="115" t="s">
        <v>156</v>
      </c>
      <c r="H343" s="115" t="str">
        <f t="shared" si="15"/>
        <v>Unresolved published value</v>
      </c>
      <c r="I343" s="115" t="s">
        <v>157</v>
      </c>
      <c r="J343" s="115" t="s">
        <v>144</v>
      </c>
      <c r="K343" s="115" t="s">
        <v>132</v>
      </c>
      <c r="L343" s="115" t="s">
        <v>158</v>
      </c>
      <c r="M343" s="110">
        <f t="shared" si="16"/>
        <v>7.8505999719010455E-3</v>
      </c>
      <c r="N343" s="110">
        <f t="shared" si="17"/>
        <v>9.158642010112239E-4</v>
      </c>
      <c r="O343" s="110">
        <v>4</v>
      </c>
    </row>
    <row r="344" spans="1:15" ht="112.05" customHeight="1" x14ac:dyDescent="0.3">
      <c r="A344" s="49" t="s">
        <v>68</v>
      </c>
      <c r="B344" s="49" t="s">
        <v>53</v>
      </c>
      <c r="C344" s="49" t="s">
        <v>29</v>
      </c>
      <c r="D344" s="113">
        <v>0.185</v>
      </c>
      <c r="E344" s="113">
        <f>LUCK!H165</f>
        <v>0.2044798130421526</v>
      </c>
      <c r="F344" s="113">
        <f>LUCK!H99/LUCK!H41</f>
        <v>0.18811941761260281</v>
      </c>
      <c r="G344" s="116" t="s">
        <v>156</v>
      </c>
      <c r="H344" s="116" t="str">
        <f t="shared" si="15"/>
        <v>Unresolved published value</v>
      </c>
      <c r="I344" s="116" t="s">
        <v>157</v>
      </c>
      <c r="J344" s="116" t="s">
        <v>144</v>
      </c>
      <c r="K344" s="116" t="s">
        <v>132</v>
      </c>
      <c r="L344" s="116" t="s">
        <v>158</v>
      </c>
      <c r="M344" s="49">
        <f t="shared" si="16"/>
        <v>1.9479813042152599E-2</v>
      </c>
      <c r="N344" s="49">
        <f t="shared" si="17"/>
        <v>3.119417612602815E-3</v>
      </c>
      <c r="O344" s="49">
        <v>4</v>
      </c>
    </row>
    <row r="345" spans="1:15" ht="112.05" customHeight="1" x14ac:dyDescent="0.3">
      <c r="A345" s="110" t="s">
        <v>68</v>
      </c>
      <c r="B345" s="110" t="s">
        <v>139</v>
      </c>
      <c r="C345" s="110" t="s">
        <v>20</v>
      </c>
      <c r="D345" s="111">
        <v>70.010000000000005</v>
      </c>
      <c r="E345" s="111">
        <f>LUCK!D169</f>
        <v>350.05878005411677</v>
      </c>
      <c r="F345" s="111">
        <f>LUCK!D41/(LUCK!D128+LUCK!D259)/'PSX Prices'!G11</f>
        <v>70.011756010823348</v>
      </c>
      <c r="G345" s="115" t="s">
        <v>159</v>
      </c>
      <c r="H345" s="115" t="str">
        <f t="shared" si="15"/>
        <v>Reproduced to precision</v>
      </c>
      <c r="I345" s="115" t="s">
        <v>160</v>
      </c>
      <c r="J345" s="115" t="s">
        <v>144</v>
      </c>
      <c r="K345" s="115" t="s">
        <v>132</v>
      </c>
      <c r="L345" s="115" t="s">
        <v>161</v>
      </c>
      <c r="M345" s="110">
        <f t="shared" si="16"/>
        <v>280.04878005411678</v>
      </c>
      <c r="N345" s="110">
        <f t="shared" si="17"/>
        <v>1.7560108233425353E-3</v>
      </c>
      <c r="O345" s="110">
        <v>2</v>
      </c>
    </row>
    <row r="346" spans="1:15" ht="112.05" customHeight="1" x14ac:dyDescent="0.3">
      <c r="A346" s="49" t="s">
        <v>68</v>
      </c>
      <c r="B346" s="49" t="s">
        <v>139</v>
      </c>
      <c r="C346" s="49" t="s">
        <v>26</v>
      </c>
      <c r="D346" s="112">
        <v>79.5</v>
      </c>
      <c r="E346" s="112">
        <f>LUCK!E169</f>
        <v>397.49617008117508</v>
      </c>
      <c r="F346" s="112">
        <f>LUCK!E41/(LUCK!E128+LUCK!E259)/'PSX Prices'!G12</f>
        <v>79.499234016235022</v>
      </c>
      <c r="G346" s="116" t="s">
        <v>159</v>
      </c>
      <c r="H346" s="116" t="str">
        <f t="shared" si="15"/>
        <v>Reproduced to precision</v>
      </c>
      <c r="I346" s="116" t="s">
        <v>160</v>
      </c>
      <c r="J346" s="116" t="s">
        <v>144</v>
      </c>
      <c r="K346" s="116" t="s">
        <v>132</v>
      </c>
      <c r="L346" s="116" t="s">
        <v>161</v>
      </c>
      <c r="M346" s="49">
        <f t="shared" si="16"/>
        <v>317.99617008117508</v>
      </c>
      <c r="N346" s="49">
        <f t="shared" si="17"/>
        <v>-7.6598376497827303E-4</v>
      </c>
      <c r="O346" s="49">
        <v>2</v>
      </c>
    </row>
    <row r="347" spans="1:15" ht="112.05" customHeight="1" x14ac:dyDescent="0.3">
      <c r="A347" s="110" t="s">
        <v>68</v>
      </c>
      <c r="B347" s="110" t="s">
        <v>139</v>
      </c>
      <c r="C347" s="110" t="s">
        <v>27</v>
      </c>
      <c r="D347" s="111">
        <v>87.67</v>
      </c>
      <c r="E347" s="111">
        <f>LUCK!F169</f>
        <v>440.50456229600826</v>
      </c>
      <c r="F347" s="111">
        <f>LUCK!F41/(LUCK!F128+LUCK!F259)/'PSX Prices'!G13</f>
        <v>87.668986419115981</v>
      </c>
      <c r="G347" s="115" t="s">
        <v>159</v>
      </c>
      <c r="H347" s="115" t="str">
        <f t="shared" si="15"/>
        <v>Reproduced to precision</v>
      </c>
      <c r="I347" s="115" t="s">
        <v>160</v>
      </c>
      <c r="J347" s="115" t="s">
        <v>144</v>
      </c>
      <c r="K347" s="115" t="s">
        <v>132</v>
      </c>
      <c r="L347" s="115" t="s">
        <v>161</v>
      </c>
      <c r="M347" s="110">
        <f t="shared" si="16"/>
        <v>352.83456229600824</v>
      </c>
      <c r="N347" s="110">
        <f t="shared" si="17"/>
        <v>-1.0135808840203708E-3</v>
      </c>
      <c r="O347" s="110">
        <v>2</v>
      </c>
    </row>
    <row r="348" spans="1:15" ht="112.05" customHeight="1" x14ac:dyDescent="0.3">
      <c r="A348" s="49" t="s">
        <v>68</v>
      </c>
      <c r="B348" s="49" t="s">
        <v>139</v>
      </c>
      <c r="C348" s="49" t="s">
        <v>28</v>
      </c>
      <c r="D348" s="112">
        <v>100.86</v>
      </c>
      <c r="E348" s="112">
        <f>LUCK!G169</f>
        <v>504.3046996587031</v>
      </c>
      <c r="F348" s="112">
        <f>LUCK!G41/(LUCK!G128+LUCK!G259)/'PSX Prices'!G14</f>
        <v>100.86093993174062</v>
      </c>
      <c r="G348" s="116" t="s">
        <v>159</v>
      </c>
      <c r="H348" s="116" t="str">
        <f t="shared" si="15"/>
        <v>Reproduced to precision</v>
      </c>
      <c r="I348" s="116" t="s">
        <v>160</v>
      </c>
      <c r="J348" s="116" t="s">
        <v>144</v>
      </c>
      <c r="K348" s="116" t="s">
        <v>132</v>
      </c>
      <c r="L348" s="116" t="s">
        <v>161</v>
      </c>
      <c r="M348" s="49">
        <f t="shared" si="16"/>
        <v>403.44469965870309</v>
      </c>
      <c r="N348" s="49">
        <f t="shared" si="17"/>
        <v>9.3993174061779428E-4</v>
      </c>
      <c r="O348" s="49">
        <v>2</v>
      </c>
    </row>
    <row r="349" spans="1:15" ht="112.05" customHeight="1" x14ac:dyDescent="0.3">
      <c r="A349" s="110" t="s">
        <v>68</v>
      </c>
      <c r="B349" s="110" t="s">
        <v>139</v>
      </c>
      <c r="C349" s="110" t="s">
        <v>29</v>
      </c>
      <c r="D349" s="111">
        <v>120.08</v>
      </c>
      <c r="E349" s="111">
        <f>LUCK!H169</f>
        <v>120.07535836177475</v>
      </c>
      <c r="F349" s="111">
        <f>LUCK!H41/(LUCK!H128+LUCK!H259)/'PSX Prices'!G15</f>
        <v>120.07535836177475</v>
      </c>
      <c r="G349" s="115" t="s">
        <v>159</v>
      </c>
      <c r="H349" s="115" t="str">
        <f t="shared" si="15"/>
        <v>Reproduced to precision</v>
      </c>
      <c r="I349" s="115" t="s">
        <v>160</v>
      </c>
      <c r="J349" s="115" t="s">
        <v>144</v>
      </c>
      <c r="K349" s="115" t="s">
        <v>132</v>
      </c>
      <c r="L349" s="115" t="s">
        <v>161</v>
      </c>
      <c r="M349" s="110">
        <f t="shared" si="16"/>
        <v>-4.6416382252516541E-3</v>
      </c>
      <c r="N349" s="110">
        <f t="shared" si="17"/>
        <v>-4.6416382252516541E-3</v>
      </c>
      <c r="O349" s="110">
        <v>2</v>
      </c>
    </row>
    <row r="350" spans="1:15" ht="112.05" customHeight="1" x14ac:dyDescent="0.3">
      <c r="A350" s="49" t="s">
        <v>68</v>
      </c>
      <c r="B350" s="49" t="s">
        <v>162</v>
      </c>
      <c r="C350" s="49" t="s">
        <v>20</v>
      </c>
      <c r="D350" s="112">
        <v>2.4700000000000002</v>
      </c>
      <c r="E350" s="112">
        <f>LUCK!D170</f>
        <v>2.4665571875286716</v>
      </c>
      <c r="F350" s="112">
        <f>'PSX Prices'!F11/'PSX Prices'!M11</f>
        <v>2.4666476217683186</v>
      </c>
      <c r="G350" s="116" t="s">
        <v>59</v>
      </c>
      <c r="H350" s="116" t="str">
        <f t="shared" si="15"/>
        <v>Reproduced to precision</v>
      </c>
      <c r="I350" s="116" t="s">
        <v>22</v>
      </c>
      <c r="J350" s="116" t="s">
        <v>144</v>
      </c>
      <c r="K350" s="116" t="s">
        <v>132</v>
      </c>
      <c r="L350" s="116" t="s">
        <v>25</v>
      </c>
      <c r="M350" s="49">
        <f t="shared" si="16"/>
        <v>-3.4428124713286046E-3</v>
      </c>
      <c r="N350" s="49">
        <f t="shared" si="17"/>
        <v>-3.352378231681552E-3</v>
      </c>
      <c r="O350" s="49">
        <v>2</v>
      </c>
    </row>
    <row r="351" spans="1:15" ht="112.05" customHeight="1" x14ac:dyDescent="0.3">
      <c r="A351" s="110" t="s">
        <v>68</v>
      </c>
      <c r="B351" s="110" t="s">
        <v>162</v>
      </c>
      <c r="C351" s="110" t="s">
        <v>26</v>
      </c>
      <c r="D351" s="111">
        <v>1.1499999999999999</v>
      </c>
      <c r="E351" s="111">
        <f>LUCK!E170</f>
        <v>1.1548287368561481</v>
      </c>
      <c r="F351" s="111">
        <f>'PSX Prices'!F12/'PSX Prices'!M12</f>
        <v>1.1548427672955974</v>
      </c>
      <c r="G351" s="115" t="s">
        <v>59</v>
      </c>
      <c r="H351" s="115" t="str">
        <f t="shared" si="15"/>
        <v>Reproduced to precision</v>
      </c>
      <c r="I351" s="115" t="s">
        <v>22</v>
      </c>
      <c r="J351" s="115" t="s">
        <v>144</v>
      </c>
      <c r="K351" s="115" t="s">
        <v>132</v>
      </c>
      <c r="L351" s="115" t="s">
        <v>25</v>
      </c>
      <c r="M351" s="110">
        <f t="shared" si="16"/>
        <v>4.8287368561481525E-3</v>
      </c>
      <c r="N351" s="110">
        <f t="shared" si="17"/>
        <v>4.8427672955975165E-3</v>
      </c>
      <c r="O351" s="110">
        <v>2</v>
      </c>
    </row>
    <row r="352" spans="1:15" ht="112.05" customHeight="1" x14ac:dyDescent="0.3">
      <c r="A352" s="49" t="s">
        <v>68</v>
      </c>
      <c r="B352" s="49" t="s">
        <v>162</v>
      </c>
      <c r="C352" s="49" t="s">
        <v>27</v>
      </c>
      <c r="D352" s="112">
        <v>1.19</v>
      </c>
      <c r="E352" s="112">
        <f>LUCK!F170</f>
        <v>1.1852090640758639</v>
      </c>
      <c r="F352" s="112">
        <f>'PSX Prices'!F13/'PSX Prices'!M13</f>
        <v>1.1910573742443253</v>
      </c>
      <c r="G352" s="116" t="s">
        <v>59</v>
      </c>
      <c r="H352" s="116" t="str">
        <f t="shared" si="15"/>
        <v>Reproduced to precision</v>
      </c>
      <c r="I352" s="116" t="s">
        <v>22</v>
      </c>
      <c r="J352" s="116" t="s">
        <v>144</v>
      </c>
      <c r="K352" s="116" t="s">
        <v>132</v>
      </c>
      <c r="L352" s="116" t="s">
        <v>25</v>
      </c>
      <c r="M352" s="49">
        <f t="shared" si="16"/>
        <v>-4.7909359241360416E-3</v>
      </c>
      <c r="N352" s="49">
        <f t="shared" si="17"/>
        <v>1.0573742443253931E-3</v>
      </c>
      <c r="O352" s="49">
        <v>2</v>
      </c>
    </row>
    <row r="353" spans="1:15" ht="112.05" customHeight="1" x14ac:dyDescent="0.3">
      <c r="A353" s="110" t="s">
        <v>68</v>
      </c>
      <c r="B353" s="110" t="s">
        <v>162</v>
      </c>
      <c r="C353" s="110" t="s">
        <v>28</v>
      </c>
      <c r="D353" s="111">
        <v>1.8</v>
      </c>
      <c r="E353" s="111">
        <f>LUCK!G170</f>
        <v>1.7979804681845026</v>
      </c>
      <c r="F353" s="111">
        <f>'PSX Prices'!F14/'PSX Prices'!M14</f>
        <v>1.7980368828078523</v>
      </c>
      <c r="G353" s="115" t="s">
        <v>59</v>
      </c>
      <c r="H353" s="115" t="str">
        <f t="shared" si="15"/>
        <v>Reproduced to precision</v>
      </c>
      <c r="I353" s="115" t="s">
        <v>22</v>
      </c>
      <c r="J353" s="115" t="s">
        <v>144</v>
      </c>
      <c r="K353" s="115" t="s">
        <v>132</v>
      </c>
      <c r="L353" s="115" t="s">
        <v>25</v>
      </c>
      <c r="M353" s="110">
        <f t="shared" si="16"/>
        <v>-2.0195318154974107E-3</v>
      </c>
      <c r="N353" s="110">
        <f t="shared" si="17"/>
        <v>-1.9631171921477009E-3</v>
      </c>
      <c r="O353" s="110">
        <v>2</v>
      </c>
    </row>
    <row r="354" spans="1:15" ht="112.05" customHeight="1" x14ac:dyDescent="0.3">
      <c r="A354" s="49" t="s">
        <v>68</v>
      </c>
      <c r="B354" s="49" t="s">
        <v>162</v>
      </c>
      <c r="C354" s="49" t="s">
        <v>29</v>
      </c>
      <c r="D354" s="112">
        <v>2.96</v>
      </c>
      <c r="E354" s="112">
        <f>LUCK!H170</f>
        <v>2.9584754511387614</v>
      </c>
      <c r="F354" s="112">
        <f>'PSX Prices'!F15/'PSX Prices'!M15</f>
        <v>2.95836109260493</v>
      </c>
      <c r="G354" s="116" t="s">
        <v>59</v>
      </c>
      <c r="H354" s="116" t="str">
        <f t="shared" si="15"/>
        <v>Reproduced to precision</v>
      </c>
      <c r="I354" s="116" t="s">
        <v>22</v>
      </c>
      <c r="J354" s="116" t="s">
        <v>144</v>
      </c>
      <c r="K354" s="116" t="s">
        <v>132</v>
      </c>
      <c r="L354" s="116" t="s">
        <v>25</v>
      </c>
      <c r="M354" s="49">
        <f t="shared" si="16"/>
        <v>-1.5245488612385394E-3</v>
      </c>
      <c r="N354" s="49">
        <f t="shared" si="17"/>
        <v>-1.6389073950699995E-3</v>
      </c>
      <c r="O354" s="49">
        <v>2</v>
      </c>
    </row>
    <row r="355" spans="1:15" ht="112.05" customHeight="1" x14ac:dyDescent="0.3">
      <c r="A355" s="110" t="s">
        <v>68</v>
      </c>
      <c r="B355" s="110" t="s">
        <v>104</v>
      </c>
      <c r="C355" s="110" t="s">
        <v>20</v>
      </c>
      <c r="D355" s="114">
        <v>0</v>
      </c>
      <c r="E355" s="114">
        <f>LUCK!D173</f>
        <v>0</v>
      </c>
      <c r="F355" s="114">
        <f>'PSX Prices'!N11/'PSX Prices'!F11</f>
        <v>0</v>
      </c>
      <c r="G355" s="115" t="s">
        <v>105</v>
      </c>
      <c r="H355" s="115" t="str">
        <f t="shared" si="15"/>
        <v>Reproduced to precision</v>
      </c>
      <c r="I355" s="115" t="s">
        <v>22</v>
      </c>
      <c r="J355" s="115" t="s">
        <v>144</v>
      </c>
      <c r="K355" s="115" t="s">
        <v>132</v>
      </c>
      <c r="L355" s="115" t="s">
        <v>25</v>
      </c>
      <c r="M355" s="110">
        <f t="shared" si="16"/>
        <v>0</v>
      </c>
      <c r="N355" s="110">
        <f t="shared" si="17"/>
        <v>0</v>
      </c>
      <c r="O355" s="110">
        <v>4</v>
      </c>
    </row>
    <row r="356" spans="1:15" ht="112.05" customHeight="1" x14ac:dyDescent="0.3">
      <c r="A356" s="49" t="s">
        <v>68</v>
      </c>
      <c r="B356" s="49" t="s">
        <v>104</v>
      </c>
      <c r="C356" s="49" t="s">
        <v>26</v>
      </c>
      <c r="D356" s="113">
        <v>0</v>
      </c>
      <c r="E356" s="113">
        <f>LUCK!E173</f>
        <v>0</v>
      </c>
      <c r="F356" s="113">
        <f>'PSX Prices'!N12/'PSX Prices'!F12</f>
        <v>0</v>
      </c>
      <c r="G356" s="116" t="s">
        <v>105</v>
      </c>
      <c r="H356" s="116" t="str">
        <f t="shared" si="15"/>
        <v>Reproduced to precision</v>
      </c>
      <c r="I356" s="116" t="s">
        <v>22</v>
      </c>
      <c r="J356" s="116" t="s">
        <v>144</v>
      </c>
      <c r="K356" s="116" t="s">
        <v>132</v>
      </c>
      <c r="L356" s="116" t="s">
        <v>25</v>
      </c>
      <c r="M356" s="49">
        <f t="shared" si="16"/>
        <v>0</v>
      </c>
      <c r="N356" s="49">
        <f t="shared" si="17"/>
        <v>0</v>
      </c>
      <c r="O356" s="49">
        <v>4</v>
      </c>
    </row>
    <row r="357" spans="1:15" ht="112.05" customHeight="1" x14ac:dyDescent="0.3">
      <c r="A357" s="110" t="s">
        <v>68</v>
      </c>
      <c r="B357" s="110" t="s">
        <v>104</v>
      </c>
      <c r="C357" s="110" t="s">
        <v>27</v>
      </c>
      <c r="D357" s="114">
        <v>3.4500000000000003E-2</v>
      </c>
      <c r="E357" s="114">
        <f>LUCK!F173</f>
        <v>3.4476814342354764E-2</v>
      </c>
      <c r="F357" s="114">
        <f>'PSX Prices'!N13/'PSX Prices'!F13</f>
        <v>3.4476153993487836E-2</v>
      </c>
      <c r="G357" s="115" t="s">
        <v>105</v>
      </c>
      <c r="H357" s="115" t="str">
        <f t="shared" si="15"/>
        <v>Reproduced to precision</v>
      </c>
      <c r="I357" s="115" t="s">
        <v>22</v>
      </c>
      <c r="J357" s="115" t="s">
        <v>144</v>
      </c>
      <c r="K357" s="115" t="s">
        <v>132</v>
      </c>
      <c r="L357" s="115" t="s">
        <v>25</v>
      </c>
      <c r="M357" s="110">
        <f t="shared" si="16"/>
        <v>-2.3185657645238833E-5</v>
      </c>
      <c r="N357" s="110">
        <f t="shared" si="17"/>
        <v>-2.3846006512166784E-5</v>
      </c>
      <c r="O357" s="110">
        <v>4</v>
      </c>
    </row>
    <row r="358" spans="1:15" ht="112.05" customHeight="1" x14ac:dyDescent="0.3">
      <c r="A358" s="49" t="s">
        <v>68</v>
      </c>
      <c r="B358" s="49" t="s">
        <v>104</v>
      </c>
      <c r="C358" s="49" t="s">
        <v>28</v>
      </c>
      <c r="D358" s="113">
        <v>1.6500000000000001E-2</v>
      </c>
      <c r="E358" s="113">
        <f>LUCK!G173</f>
        <v>1.6542962072502287E-2</v>
      </c>
      <c r="F358" s="113">
        <f>'PSX Prices'!N14/'PSX Prices'!F14</f>
        <v>1.6542597187758478E-2</v>
      </c>
      <c r="G358" s="116" t="s">
        <v>105</v>
      </c>
      <c r="H358" s="116" t="str">
        <f t="shared" si="15"/>
        <v>Reproduced to precision</v>
      </c>
      <c r="I358" s="116" t="s">
        <v>22</v>
      </c>
      <c r="J358" s="116" t="s">
        <v>144</v>
      </c>
      <c r="K358" s="116" t="s">
        <v>132</v>
      </c>
      <c r="L358" s="116" t="s">
        <v>25</v>
      </c>
      <c r="M358" s="49">
        <f t="shared" si="16"/>
        <v>4.2962072502285981E-5</v>
      </c>
      <c r="N358" s="49">
        <f t="shared" si="17"/>
        <v>4.259718775847729E-5</v>
      </c>
      <c r="O358" s="49">
        <v>4</v>
      </c>
    </row>
    <row r="359" spans="1:15" ht="112.05" customHeight="1" x14ac:dyDescent="0.3">
      <c r="A359" s="110" t="s">
        <v>68</v>
      </c>
      <c r="B359" s="110" t="s">
        <v>104</v>
      </c>
      <c r="C359" s="110" t="s">
        <v>29</v>
      </c>
      <c r="D359" s="114">
        <v>1.1299999999999999E-2</v>
      </c>
      <c r="E359" s="114">
        <f>LUCK!H173</f>
        <v>1.1259993244004052E-2</v>
      </c>
      <c r="F359" s="114">
        <f>'PSX Prices'!N15/'PSX Prices'!F15</f>
        <v>1.1259993244004052E-2</v>
      </c>
      <c r="G359" s="115" t="s">
        <v>105</v>
      </c>
      <c r="H359" s="115" t="str">
        <f t="shared" si="15"/>
        <v>Reproduced to precision</v>
      </c>
      <c r="I359" s="115" t="s">
        <v>22</v>
      </c>
      <c r="J359" s="115" t="s">
        <v>144</v>
      </c>
      <c r="K359" s="115" t="s">
        <v>132</v>
      </c>
      <c r="L359" s="115" t="s">
        <v>25</v>
      </c>
      <c r="M359" s="110">
        <f t="shared" si="16"/>
        <v>-4.0006755995946816E-5</v>
      </c>
      <c r="N359" s="110">
        <f t="shared" si="17"/>
        <v>-4.0006755995946816E-5</v>
      </c>
      <c r="O359" s="110">
        <v>4</v>
      </c>
    </row>
    <row r="360" spans="1:15" ht="112.05" customHeight="1" x14ac:dyDescent="0.3">
      <c r="A360" s="49" t="s">
        <v>68</v>
      </c>
      <c r="B360" s="49" t="s">
        <v>124</v>
      </c>
      <c r="C360" s="49" t="s">
        <v>20</v>
      </c>
      <c r="D360" s="113">
        <v>0</v>
      </c>
      <c r="E360" s="113">
        <f>LUCK!D174</f>
        <v>0</v>
      </c>
      <c r="F360" s="113">
        <f>'PSX Prices'!N11/'PSX Prices'!L11</f>
        <v>0</v>
      </c>
      <c r="G360" s="116" t="s">
        <v>163</v>
      </c>
      <c r="H360" s="116" t="str">
        <f t="shared" si="15"/>
        <v>Reproduced to precision</v>
      </c>
      <c r="I360" s="116" t="s">
        <v>164</v>
      </c>
      <c r="J360" s="116" t="s">
        <v>144</v>
      </c>
      <c r="K360" s="116" t="s">
        <v>132</v>
      </c>
      <c r="L360" s="116" t="s">
        <v>25</v>
      </c>
      <c r="M360" s="49">
        <f t="shared" si="16"/>
        <v>0</v>
      </c>
      <c r="N360" s="49">
        <f t="shared" si="17"/>
        <v>0</v>
      </c>
      <c r="O360" s="49">
        <v>4</v>
      </c>
    </row>
    <row r="361" spans="1:15" ht="112.05" customHeight="1" x14ac:dyDescent="0.3">
      <c r="A361" s="110" t="s">
        <v>68</v>
      </c>
      <c r="B361" s="110" t="s">
        <v>124</v>
      </c>
      <c r="C361" s="110" t="s">
        <v>26</v>
      </c>
      <c r="D361" s="114">
        <v>0</v>
      </c>
      <c r="E361" s="114">
        <f>LUCK!E174</f>
        <v>0</v>
      </c>
      <c r="F361" s="114">
        <f>'PSX Prices'!N12/'PSX Prices'!L12</f>
        <v>0</v>
      </c>
      <c r="G361" s="115" t="s">
        <v>163</v>
      </c>
      <c r="H361" s="115" t="str">
        <f t="shared" si="15"/>
        <v>Reproduced to precision</v>
      </c>
      <c r="I361" s="115" t="s">
        <v>164</v>
      </c>
      <c r="J361" s="115" t="s">
        <v>144</v>
      </c>
      <c r="K361" s="115" t="s">
        <v>132</v>
      </c>
      <c r="L361" s="115" t="s">
        <v>25</v>
      </c>
      <c r="M361" s="110">
        <f t="shared" si="16"/>
        <v>0</v>
      </c>
      <c r="N361" s="110">
        <f t="shared" si="17"/>
        <v>0</v>
      </c>
      <c r="O361" s="110">
        <v>4</v>
      </c>
    </row>
    <row r="362" spans="1:15" ht="112.05" customHeight="1" x14ac:dyDescent="0.3">
      <c r="A362" s="49" t="s">
        <v>68</v>
      </c>
      <c r="B362" s="49" t="s">
        <v>124</v>
      </c>
      <c r="C362" s="49" t="s">
        <v>27</v>
      </c>
      <c r="D362" s="113">
        <v>0.42409999999999998</v>
      </c>
      <c r="E362" s="113">
        <f>LUCK!F174</f>
        <v>0.41800668433944982</v>
      </c>
      <c r="F362" s="113">
        <f>'PSX Prices'!N13/'PSX Prices'!L13</f>
        <v>0.42402826855123676</v>
      </c>
      <c r="G362" s="116" t="s">
        <v>163</v>
      </c>
      <c r="H362" s="116" t="str">
        <f t="shared" si="15"/>
        <v>Unresolved published value</v>
      </c>
      <c r="I362" s="116" t="s">
        <v>164</v>
      </c>
      <c r="J362" s="116" t="s">
        <v>144</v>
      </c>
      <c r="K362" s="116" t="s">
        <v>132</v>
      </c>
      <c r="L362" s="116" t="s">
        <v>25</v>
      </c>
      <c r="M362" s="49">
        <f t="shared" si="16"/>
        <v>-6.0933156605501582E-3</v>
      </c>
      <c r="N362" s="49">
        <f t="shared" si="17"/>
        <v>-7.173144876321258E-5</v>
      </c>
      <c r="O362" s="49">
        <v>4</v>
      </c>
    </row>
    <row r="363" spans="1:15" ht="112.05" customHeight="1" x14ac:dyDescent="0.3">
      <c r="A363" s="110" t="s">
        <v>68</v>
      </c>
      <c r="B363" s="110" t="s">
        <v>124</v>
      </c>
      <c r="C363" s="110" t="s">
        <v>28</v>
      </c>
      <c r="D363" s="114">
        <v>0.15870000000000001</v>
      </c>
      <c r="E363" s="114">
        <f>LUCK!G174</f>
        <v>0.15866201100035829</v>
      </c>
      <c r="F363" s="114">
        <f>'PSX Prices'!N14/'PSX Prices'!L14</f>
        <v>0.15864621893178213</v>
      </c>
      <c r="G363" s="115" t="s">
        <v>163</v>
      </c>
      <c r="H363" s="115" t="str">
        <f t="shared" si="15"/>
        <v>Unresolved published value</v>
      </c>
      <c r="I363" s="115" t="s">
        <v>164</v>
      </c>
      <c r="J363" s="115" t="s">
        <v>144</v>
      </c>
      <c r="K363" s="115" t="s">
        <v>132</v>
      </c>
      <c r="L363" s="115" t="s">
        <v>25</v>
      </c>
      <c r="M363" s="110">
        <f t="shared" si="16"/>
        <v>-3.7988999641719312E-5</v>
      </c>
      <c r="N363" s="110">
        <f t="shared" si="17"/>
        <v>-5.3781068217878536E-5</v>
      </c>
      <c r="O363" s="110">
        <v>4</v>
      </c>
    </row>
    <row r="364" spans="1:15" ht="112.05" customHeight="1" x14ac:dyDescent="0.3">
      <c r="A364" s="49" t="s">
        <v>68</v>
      </c>
      <c r="B364" s="49" t="s">
        <v>124</v>
      </c>
      <c r="C364" s="49" t="s">
        <v>29</v>
      </c>
      <c r="D364" s="113">
        <v>0.17710000000000001</v>
      </c>
      <c r="E364" s="113">
        <f>LUCK!H174</f>
        <v>0.17708120732637533</v>
      </c>
      <c r="F364" s="113">
        <f>'PSX Prices'!N15/'PSX Prices'!L15</f>
        <v>0.17706949977866313</v>
      </c>
      <c r="G364" s="116" t="s">
        <v>163</v>
      </c>
      <c r="H364" s="116" t="str">
        <f t="shared" si="15"/>
        <v>Reproduced to precision</v>
      </c>
      <c r="I364" s="116" t="s">
        <v>164</v>
      </c>
      <c r="J364" s="116" t="s">
        <v>144</v>
      </c>
      <c r="K364" s="116" t="s">
        <v>132</v>
      </c>
      <c r="L364" s="116" t="s">
        <v>25</v>
      </c>
      <c r="M364" s="49">
        <f t="shared" si="16"/>
        <v>-1.8792673624673517E-5</v>
      </c>
      <c r="N364" s="49">
        <f t="shared" si="17"/>
        <v>-3.0500221336882127E-5</v>
      </c>
      <c r="O364" s="49">
        <v>4</v>
      </c>
    </row>
    <row r="365" spans="1:15" ht="112.05" customHeight="1" x14ac:dyDescent="0.3">
      <c r="A365" s="110" t="s">
        <v>86</v>
      </c>
      <c r="B365" s="110" t="s">
        <v>145</v>
      </c>
      <c r="C365" s="110" t="s">
        <v>20</v>
      </c>
      <c r="D365" s="111">
        <v>0.33</v>
      </c>
      <c r="E365" s="111">
        <f>DGKC!D140</f>
        <v>2.0011480184397672E-2</v>
      </c>
      <c r="F365" s="111">
        <f>DGKC!D34/DGKC!D61</f>
        <v>2.0011480184397672E-2</v>
      </c>
      <c r="G365" s="115" t="s">
        <v>165</v>
      </c>
      <c r="H365" s="115" t="str">
        <f t="shared" si="15"/>
        <v>Unresolved published value</v>
      </c>
      <c r="I365" s="115" t="s">
        <v>166</v>
      </c>
      <c r="J365" s="115" t="s">
        <v>167</v>
      </c>
      <c r="K365" s="115" t="s">
        <v>132</v>
      </c>
      <c r="L365" s="115" t="s">
        <v>168</v>
      </c>
      <c r="M365" s="110">
        <f t="shared" si="16"/>
        <v>-0.30998851981560233</v>
      </c>
      <c r="N365" s="110">
        <f t="shared" si="17"/>
        <v>-0.30998851981560233</v>
      </c>
      <c r="O365" s="110">
        <v>2</v>
      </c>
    </row>
    <row r="366" spans="1:15" ht="112.05" customHeight="1" x14ac:dyDescent="0.3">
      <c r="A366" s="49" t="s">
        <v>86</v>
      </c>
      <c r="B366" s="49" t="s">
        <v>145</v>
      </c>
      <c r="C366" s="49" t="s">
        <v>26</v>
      </c>
      <c r="D366" s="112">
        <v>0.01</v>
      </c>
      <c r="E366" s="112">
        <f>DGKC!E140</f>
        <v>8.913248794490819E-3</v>
      </c>
      <c r="F366" s="112">
        <f>DGKC!E34/DGKC!E61</f>
        <v>8.913248794490819E-3</v>
      </c>
      <c r="G366" s="116" t="s">
        <v>165</v>
      </c>
      <c r="H366" s="116" t="str">
        <f t="shared" si="15"/>
        <v>Reproduced to precision</v>
      </c>
      <c r="I366" s="116" t="s">
        <v>166</v>
      </c>
      <c r="J366" s="116" t="s">
        <v>167</v>
      </c>
      <c r="K366" s="116" t="s">
        <v>132</v>
      </c>
      <c r="L366" s="116" t="s">
        <v>168</v>
      </c>
      <c r="M366" s="49">
        <f t="shared" si="16"/>
        <v>-1.0867512055091812E-3</v>
      </c>
      <c r="N366" s="49">
        <f t="shared" si="17"/>
        <v>-1.0867512055091812E-3</v>
      </c>
      <c r="O366" s="49">
        <v>2</v>
      </c>
    </row>
    <row r="367" spans="1:15" ht="112.05" customHeight="1" x14ac:dyDescent="0.3">
      <c r="A367" s="110" t="s">
        <v>86</v>
      </c>
      <c r="B367" s="110" t="s">
        <v>145</v>
      </c>
      <c r="C367" s="110" t="s">
        <v>27</v>
      </c>
      <c r="D367" s="111">
        <v>0.01</v>
      </c>
      <c r="E367" s="111">
        <f>DGKC!F140</f>
        <v>1.3866688142092815E-2</v>
      </c>
      <c r="F367" s="111">
        <f>DGKC!F34/DGKC!F61</f>
        <v>1.3866688142092815E-2</v>
      </c>
      <c r="G367" s="115" t="s">
        <v>165</v>
      </c>
      <c r="H367" s="115" t="str">
        <f t="shared" si="15"/>
        <v>Reproduced to precision</v>
      </c>
      <c r="I367" s="115" t="s">
        <v>166</v>
      </c>
      <c r="J367" s="115" t="s">
        <v>167</v>
      </c>
      <c r="K367" s="115" t="s">
        <v>132</v>
      </c>
      <c r="L367" s="115" t="s">
        <v>168</v>
      </c>
      <c r="M367" s="110">
        <f t="shared" si="16"/>
        <v>3.866688142092815E-3</v>
      </c>
      <c r="N367" s="110">
        <f t="shared" si="17"/>
        <v>3.866688142092815E-3</v>
      </c>
      <c r="O367" s="110">
        <v>2</v>
      </c>
    </row>
    <row r="368" spans="1:15" ht="112.05" customHeight="1" x14ac:dyDescent="0.3">
      <c r="A368" s="49" t="s">
        <v>86</v>
      </c>
      <c r="B368" s="49" t="s">
        <v>145</v>
      </c>
      <c r="C368" s="49" t="s">
        <v>28</v>
      </c>
      <c r="D368" s="112">
        <v>0.02</v>
      </c>
      <c r="E368" s="112">
        <f>DGKC!G140</f>
        <v>2.2719990993528554E-2</v>
      </c>
      <c r="F368" s="112">
        <f>DGKC!G34/DGKC!G61</f>
        <v>2.2719990993528554E-2</v>
      </c>
      <c r="G368" s="116" t="s">
        <v>165</v>
      </c>
      <c r="H368" s="116" t="str">
        <f t="shared" si="15"/>
        <v>Reproduced to precision</v>
      </c>
      <c r="I368" s="116" t="s">
        <v>166</v>
      </c>
      <c r="J368" s="116" t="s">
        <v>167</v>
      </c>
      <c r="K368" s="116" t="s">
        <v>132</v>
      </c>
      <c r="L368" s="116" t="s">
        <v>168</v>
      </c>
      <c r="M368" s="49">
        <f t="shared" si="16"/>
        <v>2.7199909935285531E-3</v>
      </c>
      <c r="N368" s="49">
        <f t="shared" si="17"/>
        <v>2.7199909935285531E-3</v>
      </c>
      <c r="O368" s="49">
        <v>2</v>
      </c>
    </row>
    <row r="369" spans="1:15" ht="112.05" customHeight="1" x14ac:dyDescent="0.3">
      <c r="A369" s="110" t="s">
        <v>86</v>
      </c>
      <c r="B369" s="110" t="s">
        <v>145</v>
      </c>
      <c r="C369" s="110" t="s">
        <v>29</v>
      </c>
      <c r="D369" s="111">
        <v>0.02</v>
      </c>
      <c r="E369" s="111">
        <f>DGKC!H140</f>
        <v>2.1953369467390581E-2</v>
      </c>
      <c r="F369" s="111">
        <f>DGKC!H34/DGKC!H61</f>
        <v>2.1953369467390581E-2</v>
      </c>
      <c r="G369" s="115" t="s">
        <v>165</v>
      </c>
      <c r="H369" s="115" t="str">
        <f t="shared" si="15"/>
        <v>Reproduced to precision</v>
      </c>
      <c r="I369" s="115" t="s">
        <v>166</v>
      </c>
      <c r="J369" s="115" t="s">
        <v>167</v>
      </c>
      <c r="K369" s="115" t="s">
        <v>132</v>
      </c>
      <c r="L369" s="115" t="s">
        <v>168</v>
      </c>
      <c r="M369" s="110">
        <f t="shared" si="16"/>
        <v>1.953369467390581E-3</v>
      </c>
      <c r="N369" s="110">
        <f t="shared" si="17"/>
        <v>1.953369467390581E-3</v>
      </c>
      <c r="O369" s="110">
        <v>2</v>
      </c>
    </row>
    <row r="370" spans="1:15" ht="112.05" customHeight="1" x14ac:dyDescent="0.3">
      <c r="A370" s="49" t="s">
        <v>86</v>
      </c>
      <c r="B370" s="49" t="s">
        <v>150</v>
      </c>
      <c r="C370" s="49" t="s">
        <v>20</v>
      </c>
      <c r="D370" s="112">
        <v>30</v>
      </c>
      <c r="E370" s="112">
        <f>DGKC!D151</f>
        <v>97.327557952605858</v>
      </c>
      <c r="F370" s="112">
        <f>365*DGKC!D65/(-DGKC!D85)+365*DGKC!D32/DGKC!D84-365*AVERAGE(DGKC!C50,DGKC!D50)/(-DGKC!D85)</f>
        <v>38.175149373647542</v>
      </c>
      <c r="G370" s="116" t="s">
        <v>43</v>
      </c>
      <c r="H370" s="116" t="str">
        <f t="shared" si="15"/>
        <v>Unresolved published value</v>
      </c>
      <c r="I370" s="116" t="s">
        <v>22</v>
      </c>
      <c r="J370" s="116" t="s">
        <v>167</v>
      </c>
      <c r="K370" s="116" t="s">
        <v>132</v>
      </c>
      <c r="L370" s="116" t="s">
        <v>25</v>
      </c>
      <c r="M370" s="49">
        <f t="shared" si="16"/>
        <v>67.327557952605858</v>
      </c>
      <c r="N370" s="49">
        <f t="shared" si="17"/>
        <v>8.1751493736475425</v>
      </c>
      <c r="O370" s="49">
        <v>0</v>
      </c>
    </row>
    <row r="371" spans="1:15" ht="112.05" customHeight="1" x14ac:dyDescent="0.3">
      <c r="A371" s="110" t="s">
        <v>86</v>
      </c>
      <c r="B371" s="110" t="s">
        <v>150</v>
      </c>
      <c r="C371" s="110" t="s">
        <v>26</v>
      </c>
      <c r="D371" s="111">
        <v>92</v>
      </c>
      <c r="E371" s="111">
        <f>DGKC!E151</f>
        <v>113.97054065366662</v>
      </c>
      <c r="F371" s="111">
        <f>365*DGKC!E65/(-DGKC!E85)+365*DGKC!E32/DGKC!E84-365*AVERAGE(DGKC!D50,DGKC!E50)/(-DGKC!E85)</f>
        <v>78.511538786705188</v>
      </c>
      <c r="G371" s="115" t="s">
        <v>43</v>
      </c>
      <c r="H371" s="115" t="str">
        <f t="shared" si="15"/>
        <v>Unresolved published value</v>
      </c>
      <c r="I371" s="115" t="s">
        <v>22</v>
      </c>
      <c r="J371" s="115" t="s">
        <v>167</v>
      </c>
      <c r="K371" s="115" t="s">
        <v>132</v>
      </c>
      <c r="L371" s="115" t="s">
        <v>25</v>
      </c>
      <c r="M371" s="110">
        <f t="shared" si="16"/>
        <v>21.970540653666617</v>
      </c>
      <c r="N371" s="110">
        <f t="shared" si="17"/>
        <v>-13.488461213294812</v>
      </c>
      <c r="O371" s="110">
        <v>0</v>
      </c>
    </row>
    <row r="372" spans="1:15" ht="112.05" customHeight="1" x14ac:dyDescent="0.3">
      <c r="A372" s="49" t="s">
        <v>86</v>
      </c>
      <c r="B372" s="49" t="s">
        <v>150</v>
      </c>
      <c r="C372" s="49" t="s">
        <v>27</v>
      </c>
      <c r="D372" s="112">
        <v>70</v>
      </c>
      <c r="E372" s="112">
        <f>DGKC!F151</f>
        <v>123.10632996704659</v>
      </c>
      <c r="F372" s="112">
        <f>365*DGKC!F65/(-DGKC!F85)+365*DGKC!F32/DGKC!F84-365*AVERAGE(DGKC!E50,DGKC!F50)/(-DGKC!F85)</f>
        <v>69.509943652328488</v>
      </c>
      <c r="G372" s="116" t="s">
        <v>43</v>
      </c>
      <c r="H372" s="116" t="str">
        <f t="shared" si="15"/>
        <v>Reproduced to precision</v>
      </c>
      <c r="I372" s="116" t="s">
        <v>22</v>
      </c>
      <c r="J372" s="116" t="s">
        <v>167</v>
      </c>
      <c r="K372" s="116" t="s">
        <v>132</v>
      </c>
      <c r="L372" s="116" t="s">
        <v>25</v>
      </c>
      <c r="M372" s="49">
        <f t="shared" si="16"/>
        <v>53.106329967046591</v>
      </c>
      <c r="N372" s="49">
        <f t="shared" si="17"/>
        <v>-0.49005634767151207</v>
      </c>
      <c r="O372" s="49">
        <v>0</v>
      </c>
    </row>
    <row r="373" spans="1:15" ht="112.05" customHeight="1" x14ac:dyDescent="0.3">
      <c r="A373" s="110" t="s">
        <v>86</v>
      </c>
      <c r="B373" s="110" t="s">
        <v>150</v>
      </c>
      <c r="C373" s="110" t="s">
        <v>28</v>
      </c>
      <c r="D373" s="111">
        <v>61</v>
      </c>
      <c r="E373" s="111">
        <f>DGKC!G151</f>
        <v>108.89985368796259</v>
      </c>
      <c r="F373" s="111">
        <f>365*DGKC!G65/(-DGKC!G85)+365*DGKC!G32/DGKC!G84-365*AVERAGE(DGKC!F50,DGKC!G50)/(-DGKC!G85)</f>
        <v>51.835246262895268</v>
      </c>
      <c r="G373" s="115" t="s">
        <v>43</v>
      </c>
      <c r="H373" s="115" t="str">
        <f t="shared" si="15"/>
        <v>Unresolved published value</v>
      </c>
      <c r="I373" s="115" t="s">
        <v>22</v>
      </c>
      <c r="J373" s="115" t="s">
        <v>167</v>
      </c>
      <c r="K373" s="115" t="s">
        <v>132</v>
      </c>
      <c r="L373" s="115" t="s">
        <v>25</v>
      </c>
      <c r="M373" s="110">
        <f t="shared" si="16"/>
        <v>47.89985368796259</v>
      </c>
      <c r="N373" s="110">
        <f t="shared" si="17"/>
        <v>-9.1647537371047321</v>
      </c>
      <c r="O373" s="110">
        <v>0</v>
      </c>
    </row>
    <row r="374" spans="1:15" ht="112.05" customHeight="1" x14ac:dyDescent="0.3">
      <c r="A374" s="49" t="s">
        <v>86</v>
      </c>
      <c r="B374" s="49" t="s">
        <v>150</v>
      </c>
      <c r="C374" s="49" t="s">
        <v>29</v>
      </c>
      <c r="D374" s="112">
        <v>64</v>
      </c>
      <c r="E374" s="112">
        <f>DGKC!H151</f>
        <v>114.67287204684449</v>
      </c>
      <c r="F374" s="112">
        <f>365*DGKC!H65/(-DGKC!H85)+365*DGKC!H32/DGKC!H84-365*AVERAGE(DGKC!G50,DGKC!H50)/(-DGKC!H85)</f>
        <v>59.755136678362106</v>
      </c>
      <c r="G374" s="116" t="s">
        <v>43</v>
      </c>
      <c r="H374" s="116" t="str">
        <f t="shared" si="15"/>
        <v>Unresolved published value</v>
      </c>
      <c r="I374" s="116" t="s">
        <v>22</v>
      </c>
      <c r="J374" s="116" t="s">
        <v>167</v>
      </c>
      <c r="K374" s="116" t="s">
        <v>132</v>
      </c>
      <c r="L374" s="116" t="s">
        <v>25</v>
      </c>
      <c r="M374" s="49">
        <f t="shared" si="16"/>
        <v>50.672872046844489</v>
      </c>
      <c r="N374" s="49">
        <f t="shared" si="17"/>
        <v>-4.2448633216378937</v>
      </c>
      <c r="O374" s="49">
        <v>0</v>
      </c>
    </row>
    <row r="375" spans="1:15" ht="112.05" customHeight="1" x14ac:dyDescent="0.3">
      <c r="A375" s="110" t="s">
        <v>86</v>
      </c>
      <c r="B375" s="110" t="s">
        <v>151</v>
      </c>
      <c r="C375" s="110" t="s">
        <v>20</v>
      </c>
      <c r="D375" s="111">
        <v>0.37340000000000001</v>
      </c>
      <c r="E375" s="111">
        <f>DGKC!D156</f>
        <v>0.87668329756905172</v>
      </c>
      <c r="F375" s="111">
        <f>DGKC!D66/(DGKC!D66+DGKC!D41)</f>
        <v>0.37343360902882045</v>
      </c>
      <c r="G375" s="115" t="s">
        <v>169</v>
      </c>
      <c r="H375" s="115" t="str">
        <f t="shared" si="15"/>
        <v>Reproduced to precision</v>
      </c>
      <c r="I375" s="115" t="s">
        <v>128</v>
      </c>
      <c r="J375" s="115" t="s">
        <v>167</v>
      </c>
      <c r="K375" s="115" t="s">
        <v>132</v>
      </c>
      <c r="L375" s="115" t="s">
        <v>25</v>
      </c>
      <c r="M375" s="110">
        <f t="shared" si="16"/>
        <v>0.50328329756905177</v>
      </c>
      <c r="N375" s="110">
        <f t="shared" si="17"/>
        <v>3.3609028820436038E-5</v>
      </c>
      <c r="O375" s="110">
        <v>2</v>
      </c>
    </row>
    <row r="376" spans="1:15" ht="112.05" customHeight="1" x14ac:dyDescent="0.3">
      <c r="A376" s="49" t="s">
        <v>86</v>
      </c>
      <c r="B376" s="49" t="s">
        <v>151</v>
      </c>
      <c r="C376" s="49" t="s">
        <v>26</v>
      </c>
      <c r="D376" s="112">
        <v>0.39929999999999999</v>
      </c>
      <c r="E376" s="112">
        <f>DGKC!E156</f>
        <v>0.95317105432867721</v>
      </c>
      <c r="F376" s="112">
        <f>DGKC!E66/(DGKC!E66+DGKC!E41)</f>
        <v>0.39929807208366225</v>
      </c>
      <c r="G376" s="116" t="s">
        <v>169</v>
      </c>
      <c r="H376" s="116" t="str">
        <f t="shared" si="15"/>
        <v>Reproduced to precision</v>
      </c>
      <c r="I376" s="116" t="s">
        <v>128</v>
      </c>
      <c r="J376" s="116" t="s">
        <v>167</v>
      </c>
      <c r="K376" s="116" t="s">
        <v>132</v>
      </c>
      <c r="L376" s="116" t="s">
        <v>25</v>
      </c>
      <c r="M376" s="49">
        <f t="shared" si="16"/>
        <v>0.55387105432867723</v>
      </c>
      <c r="N376" s="49">
        <f t="shared" si="17"/>
        <v>-1.9279163377405872E-6</v>
      </c>
      <c r="O376" s="49">
        <v>2</v>
      </c>
    </row>
    <row r="377" spans="1:15" ht="112.05" customHeight="1" x14ac:dyDescent="0.3">
      <c r="A377" s="110" t="s">
        <v>86</v>
      </c>
      <c r="B377" s="110" t="s">
        <v>151</v>
      </c>
      <c r="C377" s="110" t="s">
        <v>27</v>
      </c>
      <c r="D377" s="111">
        <v>0.39850000000000002</v>
      </c>
      <c r="E377" s="111">
        <f>DGKC!F156</f>
        <v>1.0985897415665749</v>
      </c>
      <c r="F377" s="111">
        <f>DGKC!F66/(DGKC!F66+DGKC!F41)</f>
        <v>0.39850127088453147</v>
      </c>
      <c r="G377" s="115" t="s">
        <v>169</v>
      </c>
      <c r="H377" s="115" t="str">
        <f t="shared" si="15"/>
        <v>Reproduced to precision</v>
      </c>
      <c r="I377" s="115" t="s">
        <v>128</v>
      </c>
      <c r="J377" s="115" t="s">
        <v>167</v>
      </c>
      <c r="K377" s="115" t="s">
        <v>132</v>
      </c>
      <c r="L377" s="115" t="s">
        <v>25</v>
      </c>
      <c r="M377" s="110">
        <f t="shared" si="16"/>
        <v>0.70008974156657477</v>
      </c>
      <c r="N377" s="110">
        <f t="shared" si="17"/>
        <v>1.2708845314457484E-6</v>
      </c>
      <c r="O377" s="110">
        <v>2</v>
      </c>
    </row>
    <row r="378" spans="1:15" ht="112.05" customHeight="1" x14ac:dyDescent="0.3">
      <c r="A378" s="49" t="s">
        <v>86</v>
      </c>
      <c r="B378" s="49" t="s">
        <v>151</v>
      </c>
      <c r="C378" s="49" t="s">
        <v>28</v>
      </c>
      <c r="D378" s="112">
        <v>0.3115</v>
      </c>
      <c r="E378" s="112">
        <f>DGKC!G156</f>
        <v>0.82452532605606788</v>
      </c>
      <c r="F378" s="112">
        <f>DGKC!G66/(DGKC!G66+DGKC!G41)</f>
        <v>0.31153681009483003</v>
      </c>
      <c r="G378" s="116" t="s">
        <v>169</v>
      </c>
      <c r="H378" s="116" t="str">
        <f t="shared" si="15"/>
        <v>Reproduced to precision</v>
      </c>
      <c r="I378" s="116" t="s">
        <v>128</v>
      </c>
      <c r="J378" s="116" t="s">
        <v>167</v>
      </c>
      <c r="K378" s="116" t="s">
        <v>132</v>
      </c>
      <c r="L378" s="116" t="s">
        <v>25</v>
      </c>
      <c r="M378" s="49">
        <f t="shared" si="16"/>
        <v>0.51302532605606788</v>
      </c>
      <c r="N378" s="49">
        <f t="shared" si="17"/>
        <v>3.6810094830030948E-5</v>
      </c>
      <c r="O378" s="49">
        <v>2</v>
      </c>
    </row>
    <row r="379" spans="1:15" ht="112.05" customHeight="1" x14ac:dyDescent="0.3">
      <c r="A379" s="110" t="s">
        <v>86</v>
      </c>
      <c r="B379" s="110" t="s">
        <v>151</v>
      </c>
      <c r="C379" s="110" t="s">
        <v>29</v>
      </c>
      <c r="D379" s="111">
        <v>0.18790000000000001</v>
      </c>
      <c r="E379" s="111">
        <f>DGKC!H156</f>
        <v>0.54143997582781278</v>
      </c>
      <c r="F379" s="111">
        <f>DGKC!H66/(DGKC!H66+DGKC!H41)</f>
        <v>0.18792347676351873</v>
      </c>
      <c r="G379" s="115" t="s">
        <v>169</v>
      </c>
      <c r="H379" s="115" t="str">
        <f t="shared" si="15"/>
        <v>Reproduced to precision</v>
      </c>
      <c r="I379" s="115" t="s">
        <v>128</v>
      </c>
      <c r="J379" s="115" t="s">
        <v>167</v>
      </c>
      <c r="K379" s="115" t="s">
        <v>132</v>
      </c>
      <c r="L379" s="115" t="s">
        <v>25</v>
      </c>
      <c r="M379" s="110">
        <f t="shared" si="16"/>
        <v>0.35353997582781277</v>
      </c>
      <c r="N379" s="110">
        <f t="shared" si="17"/>
        <v>2.3476763518714971E-5</v>
      </c>
      <c r="O379" s="110">
        <v>2</v>
      </c>
    </row>
    <row r="380" spans="1:15" ht="112.05" customHeight="1" x14ac:dyDescent="0.3">
      <c r="A380" s="49" t="s">
        <v>86</v>
      </c>
      <c r="B380" s="49" t="s">
        <v>139</v>
      </c>
      <c r="C380" s="49" t="s">
        <v>20</v>
      </c>
      <c r="D380" s="112">
        <v>167.71</v>
      </c>
      <c r="E380" s="112">
        <f>DGKC!D169</f>
        <v>167.71209700741193</v>
      </c>
      <c r="F380" s="112">
        <f>DGKC!D41/(DGKC!D39/DGKC!D127)/'PSX Prices'!G16</f>
        <v>167.71209700741193</v>
      </c>
      <c r="G380" s="116" t="s">
        <v>121</v>
      </c>
      <c r="H380" s="116" t="str">
        <f t="shared" si="15"/>
        <v>Reproduced to precision</v>
      </c>
      <c r="I380" s="116" t="s">
        <v>22</v>
      </c>
      <c r="J380" s="116" t="s">
        <v>167</v>
      </c>
      <c r="K380" s="116" t="s">
        <v>132</v>
      </c>
      <c r="L380" s="116" t="s">
        <v>25</v>
      </c>
      <c r="M380" s="49">
        <f t="shared" si="16"/>
        <v>2.097007411919094E-3</v>
      </c>
      <c r="N380" s="49">
        <f t="shared" si="17"/>
        <v>2.097007411919094E-3</v>
      </c>
      <c r="O380" s="49">
        <v>2</v>
      </c>
    </row>
    <row r="381" spans="1:15" ht="112.05" customHeight="1" x14ac:dyDescent="0.3">
      <c r="A381" s="110" t="s">
        <v>86</v>
      </c>
      <c r="B381" s="110" t="s">
        <v>139</v>
      </c>
      <c r="C381" s="110" t="s">
        <v>26</v>
      </c>
      <c r="D381" s="111">
        <v>159.59</v>
      </c>
      <c r="E381" s="111">
        <f>DGKC!E169</f>
        <v>159.58697532246367</v>
      </c>
      <c r="F381" s="111">
        <f>DGKC!E41/(DGKC!E39/DGKC!E127)/'PSX Prices'!G17</f>
        <v>159.58697532246367</v>
      </c>
      <c r="G381" s="115" t="s">
        <v>121</v>
      </c>
      <c r="H381" s="115" t="str">
        <f t="shared" si="15"/>
        <v>Reproduced to precision</v>
      </c>
      <c r="I381" s="115" t="s">
        <v>22</v>
      </c>
      <c r="J381" s="115" t="s">
        <v>167</v>
      </c>
      <c r="K381" s="115" t="s">
        <v>132</v>
      </c>
      <c r="L381" s="115" t="s">
        <v>25</v>
      </c>
      <c r="M381" s="110">
        <f t="shared" si="16"/>
        <v>-3.0246775363309553E-3</v>
      </c>
      <c r="N381" s="110">
        <f t="shared" si="17"/>
        <v>-3.0246775363309553E-3</v>
      </c>
      <c r="O381" s="110">
        <v>2</v>
      </c>
    </row>
    <row r="382" spans="1:15" ht="112.05" customHeight="1" x14ac:dyDescent="0.3">
      <c r="A382" s="49" t="s">
        <v>86</v>
      </c>
      <c r="B382" s="49" t="s">
        <v>139</v>
      </c>
      <c r="C382" s="49" t="s">
        <v>27</v>
      </c>
      <c r="D382" s="112">
        <v>146.52000000000001</v>
      </c>
      <c r="E382" s="112">
        <f>DGKC!F169</f>
        <v>146.51786922779672</v>
      </c>
      <c r="F382" s="112">
        <f>DGKC!F41/(DGKC!F39/DGKC!F127)/'PSX Prices'!G18</f>
        <v>146.51786922779672</v>
      </c>
      <c r="G382" s="116" t="s">
        <v>121</v>
      </c>
      <c r="H382" s="116" t="str">
        <f t="shared" si="15"/>
        <v>Reproduced to precision</v>
      </c>
      <c r="I382" s="116" t="s">
        <v>22</v>
      </c>
      <c r="J382" s="116" t="s">
        <v>167</v>
      </c>
      <c r="K382" s="116" t="s">
        <v>132</v>
      </c>
      <c r="L382" s="116" t="s">
        <v>25</v>
      </c>
      <c r="M382" s="49">
        <f t="shared" si="16"/>
        <v>-2.1307722032872789E-3</v>
      </c>
      <c r="N382" s="49">
        <f t="shared" si="17"/>
        <v>-2.1307722032872789E-3</v>
      </c>
      <c r="O382" s="49">
        <v>2</v>
      </c>
    </row>
    <row r="383" spans="1:15" ht="112.05" customHeight="1" x14ac:dyDescent="0.3">
      <c r="A383" s="110" t="s">
        <v>86</v>
      </c>
      <c r="B383" s="110" t="s">
        <v>139</v>
      </c>
      <c r="C383" s="110" t="s">
        <v>28</v>
      </c>
      <c r="D383" s="111">
        <v>173.12</v>
      </c>
      <c r="E383" s="111">
        <f>DGKC!G169</f>
        <v>173.12082034314415</v>
      </c>
      <c r="F383" s="111">
        <f>DGKC!G41/(DGKC!G39/DGKC!G127)/'PSX Prices'!G19</f>
        <v>173.12082034314415</v>
      </c>
      <c r="G383" s="115" t="s">
        <v>121</v>
      </c>
      <c r="H383" s="115" t="str">
        <f t="shared" si="15"/>
        <v>Reproduced to precision</v>
      </c>
      <c r="I383" s="115" t="s">
        <v>22</v>
      </c>
      <c r="J383" s="115" t="s">
        <v>167</v>
      </c>
      <c r="K383" s="115" t="s">
        <v>132</v>
      </c>
      <c r="L383" s="115" t="s">
        <v>25</v>
      </c>
      <c r="M383" s="110">
        <f t="shared" si="16"/>
        <v>8.2034314414158871E-4</v>
      </c>
      <c r="N383" s="110">
        <f t="shared" si="17"/>
        <v>8.2034314414158871E-4</v>
      </c>
      <c r="O383" s="110">
        <v>2</v>
      </c>
    </row>
    <row r="384" spans="1:15" ht="112.05" customHeight="1" x14ac:dyDescent="0.3">
      <c r="A384" s="49" t="s">
        <v>86</v>
      </c>
      <c r="B384" s="49" t="s">
        <v>139</v>
      </c>
      <c r="C384" s="49" t="s">
        <v>29</v>
      </c>
      <c r="D384" s="112">
        <v>216.08</v>
      </c>
      <c r="E384" s="112">
        <f>DGKC!H169</f>
        <v>216.07703932560804</v>
      </c>
      <c r="F384" s="112">
        <f>DGKC!H41/(DGKC!H39/DGKC!H127)/'PSX Prices'!G20</f>
        <v>216.07703932560804</v>
      </c>
      <c r="G384" s="116" t="s">
        <v>121</v>
      </c>
      <c r="H384" s="116" t="str">
        <f t="shared" si="15"/>
        <v>Reproduced to precision</v>
      </c>
      <c r="I384" s="116" t="s">
        <v>22</v>
      </c>
      <c r="J384" s="116" t="s">
        <v>167</v>
      </c>
      <c r="K384" s="116" t="s">
        <v>132</v>
      </c>
      <c r="L384" s="116" t="s">
        <v>25</v>
      </c>
      <c r="M384" s="49">
        <f t="shared" si="16"/>
        <v>-2.9606743919714518E-3</v>
      </c>
      <c r="N384" s="49">
        <f t="shared" si="17"/>
        <v>-2.9606743919714518E-3</v>
      </c>
      <c r="O384" s="49">
        <v>2</v>
      </c>
    </row>
    <row r="385" spans="1:15" ht="112.05" customHeight="1" x14ac:dyDescent="0.3">
      <c r="A385" s="110" t="s">
        <v>86</v>
      </c>
      <c r="B385" s="110" t="s">
        <v>162</v>
      </c>
      <c r="C385" s="110" t="s">
        <v>20</v>
      </c>
      <c r="D385" s="111">
        <v>0.7</v>
      </c>
      <c r="E385" s="111">
        <f>DGKC!D170</f>
        <v>0.7031096868032638</v>
      </c>
      <c r="F385" s="111">
        <f>'PSX Prices'!F16/'PSX Prices'!M16</f>
        <v>0.7031184783256812</v>
      </c>
      <c r="G385" s="115" t="s">
        <v>59</v>
      </c>
      <c r="H385" s="115" t="str">
        <f t="shared" si="15"/>
        <v>Reproduced to precision</v>
      </c>
      <c r="I385" s="115" t="s">
        <v>22</v>
      </c>
      <c r="J385" s="115" t="s">
        <v>167</v>
      </c>
      <c r="K385" s="115" t="s">
        <v>132</v>
      </c>
      <c r="L385" s="115" t="s">
        <v>25</v>
      </c>
      <c r="M385" s="110">
        <f t="shared" si="16"/>
        <v>3.1096868032638447E-3</v>
      </c>
      <c r="N385" s="110">
        <f t="shared" si="17"/>
        <v>3.1184783256812398E-3</v>
      </c>
      <c r="O385" s="110">
        <v>2</v>
      </c>
    </row>
    <row r="386" spans="1:15" ht="112.05" customHeight="1" x14ac:dyDescent="0.3">
      <c r="A386" s="49" t="s">
        <v>86</v>
      </c>
      <c r="B386" s="49" t="s">
        <v>162</v>
      </c>
      <c r="C386" s="49" t="s">
        <v>26</v>
      </c>
      <c r="D386" s="112">
        <v>0.39</v>
      </c>
      <c r="E386" s="112">
        <f>DGKC!E170</f>
        <v>0.39163597075332512</v>
      </c>
      <c r="F386" s="112">
        <f>'PSX Prices'!F17/'PSX Prices'!M17</f>
        <v>0.39162854815464626</v>
      </c>
      <c r="G386" s="116" t="s">
        <v>59</v>
      </c>
      <c r="H386" s="116" t="str">
        <f t="shared" si="15"/>
        <v>Reproduced to precision</v>
      </c>
      <c r="I386" s="116" t="s">
        <v>22</v>
      </c>
      <c r="J386" s="116" t="s">
        <v>167</v>
      </c>
      <c r="K386" s="116" t="s">
        <v>132</v>
      </c>
      <c r="L386" s="116" t="s">
        <v>25</v>
      </c>
      <c r="M386" s="49">
        <f t="shared" si="16"/>
        <v>1.6359707533251111E-3</v>
      </c>
      <c r="N386" s="49">
        <f t="shared" si="17"/>
        <v>1.6285481546462477E-3</v>
      </c>
      <c r="O386" s="49">
        <v>2</v>
      </c>
    </row>
    <row r="387" spans="1:15" ht="112.05" customHeight="1" x14ac:dyDescent="0.3">
      <c r="A387" s="110" t="s">
        <v>86</v>
      </c>
      <c r="B387" s="110" t="s">
        <v>162</v>
      </c>
      <c r="C387" s="110" t="s">
        <v>27</v>
      </c>
      <c r="D387" s="111">
        <v>0.35</v>
      </c>
      <c r="E387" s="111">
        <f>DGKC!F170</f>
        <v>0.35012794187063967</v>
      </c>
      <c r="F387" s="111">
        <f>'PSX Prices'!F18/'PSX Prices'!M18</f>
        <v>0.3501228501228501</v>
      </c>
      <c r="G387" s="115" t="s">
        <v>59</v>
      </c>
      <c r="H387" s="115" t="str">
        <f t="shared" si="15"/>
        <v>Reproduced to precision</v>
      </c>
      <c r="I387" s="115" t="s">
        <v>22</v>
      </c>
      <c r="J387" s="115" t="s">
        <v>167</v>
      </c>
      <c r="K387" s="115" t="s">
        <v>132</v>
      </c>
      <c r="L387" s="115" t="s">
        <v>25</v>
      </c>
      <c r="M387" s="110">
        <f t="shared" si="16"/>
        <v>1.2794187063969176E-4</v>
      </c>
      <c r="N387" s="110">
        <f t="shared" si="17"/>
        <v>1.2285012285012664E-4</v>
      </c>
      <c r="O387" s="110">
        <v>2</v>
      </c>
    </row>
    <row r="388" spans="1:15" ht="112.05" customHeight="1" x14ac:dyDescent="0.3">
      <c r="A388" s="49" t="s">
        <v>86</v>
      </c>
      <c r="B388" s="49" t="s">
        <v>162</v>
      </c>
      <c r="C388" s="49" t="s">
        <v>28</v>
      </c>
      <c r="D388" s="112">
        <v>0.52</v>
      </c>
      <c r="E388" s="112">
        <f>DGKC!G170</f>
        <v>0.52142775098382221</v>
      </c>
      <c r="F388" s="112">
        <f>'PSX Prices'!F19/'PSX Prices'!M19</f>
        <v>0.52143022181146026</v>
      </c>
      <c r="G388" s="116" t="s">
        <v>59</v>
      </c>
      <c r="H388" s="116" t="str">
        <f t="shared" si="15"/>
        <v>Reproduced to precision</v>
      </c>
      <c r="I388" s="116" t="s">
        <v>22</v>
      </c>
      <c r="J388" s="116" t="s">
        <v>167</v>
      </c>
      <c r="K388" s="116" t="s">
        <v>132</v>
      </c>
      <c r="L388" s="116" t="s">
        <v>25</v>
      </c>
      <c r="M388" s="49">
        <f t="shared" si="16"/>
        <v>1.4277509838221958E-3</v>
      </c>
      <c r="N388" s="49">
        <f t="shared" si="17"/>
        <v>1.4302218114602416E-3</v>
      </c>
      <c r="O388" s="49">
        <v>2</v>
      </c>
    </row>
    <row r="389" spans="1:15" ht="112.05" customHeight="1" x14ac:dyDescent="0.3">
      <c r="A389" s="110" t="s">
        <v>86</v>
      </c>
      <c r="B389" s="110" t="s">
        <v>162</v>
      </c>
      <c r="C389" s="110" t="s">
        <v>29</v>
      </c>
      <c r="D389" s="111">
        <v>0.77</v>
      </c>
      <c r="E389" s="111">
        <f>DGKC!H170</f>
        <v>0.76620820294800718</v>
      </c>
      <c r="F389" s="111">
        <f>'PSX Prices'!F20/'PSX Prices'!M20</f>
        <v>0.76619770455386893</v>
      </c>
      <c r="G389" s="115" t="s">
        <v>59</v>
      </c>
      <c r="H389" s="115" t="str">
        <f t="shared" ref="H389:H452" si="18">IF(AND(ISNUMBER(D389),ISNUMBER(F389)),IF(ROUND(D389,O389)=ROUND(F389,O389),"Reproduced to precision","Unresolved published value"),"Not comparable")</f>
        <v>Reproduced to precision</v>
      </c>
      <c r="I389" s="115" t="s">
        <v>22</v>
      </c>
      <c r="J389" s="115" t="s">
        <v>167</v>
      </c>
      <c r="K389" s="115" t="s">
        <v>132</v>
      </c>
      <c r="L389" s="115" t="s">
        <v>25</v>
      </c>
      <c r="M389" s="110">
        <f t="shared" ref="M389:M452" si="19">IF(ISNUMBER(E389),E389-D389,"n/m")</f>
        <v>-3.7917970519928401E-3</v>
      </c>
      <c r="N389" s="110">
        <f t="shared" ref="N389:N452" si="20">IF(ISNUMBER(F389),F389-D389,"n/m")</f>
        <v>-3.8022954461310876E-3</v>
      </c>
      <c r="O389" s="110">
        <v>2</v>
      </c>
    </row>
    <row r="390" spans="1:15" ht="112.05" customHeight="1" x14ac:dyDescent="0.3">
      <c r="A390" s="49" t="s">
        <v>86</v>
      </c>
      <c r="B390" s="49" t="s">
        <v>143</v>
      </c>
      <c r="C390" s="49" t="s">
        <v>20</v>
      </c>
      <c r="D390" s="112">
        <v>8.49</v>
      </c>
      <c r="E390" s="112">
        <f>DGKC!D171</f>
        <v>8.4937471274650029</v>
      </c>
      <c r="F390" s="112">
        <f>DGKC!D99/'PSX Prices'!O16</f>
        <v>8.4937471274650029</v>
      </c>
      <c r="G390" s="116" t="s">
        <v>83</v>
      </c>
      <c r="H390" s="116" t="str">
        <f t="shared" si="18"/>
        <v>Reproduced to precision</v>
      </c>
      <c r="I390" s="116" t="s">
        <v>22</v>
      </c>
      <c r="J390" s="116" t="s">
        <v>167</v>
      </c>
      <c r="K390" s="116" t="s">
        <v>132</v>
      </c>
      <c r="L390" s="116" t="s">
        <v>25</v>
      </c>
      <c r="M390" s="49">
        <f t="shared" si="19"/>
        <v>3.7471274650027198E-3</v>
      </c>
      <c r="N390" s="49">
        <f t="shared" si="20"/>
        <v>3.7471274650027198E-3</v>
      </c>
      <c r="O390" s="49">
        <v>2</v>
      </c>
    </row>
    <row r="391" spans="1:15" ht="112.05" customHeight="1" x14ac:dyDescent="0.3">
      <c r="A391" s="110" t="s">
        <v>86</v>
      </c>
      <c r="B391" s="110" t="s">
        <v>143</v>
      </c>
      <c r="C391" s="110" t="s">
        <v>26</v>
      </c>
      <c r="D391" s="111">
        <v>6.78</v>
      </c>
      <c r="E391" s="111">
        <f>DGKC!E171</f>
        <v>6.7838445707817723</v>
      </c>
      <c r="F391" s="111">
        <f>DGKC!E99/'PSX Prices'!O17</f>
        <v>6.7838445707817723</v>
      </c>
      <c r="G391" s="115" t="s">
        <v>83</v>
      </c>
      <c r="H391" s="115" t="str">
        <f t="shared" si="18"/>
        <v>Reproduced to precision</v>
      </c>
      <c r="I391" s="115" t="s">
        <v>22</v>
      </c>
      <c r="J391" s="115" t="s">
        <v>167</v>
      </c>
      <c r="K391" s="115" t="s">
        <v>132</v>
      </c>
      <c r="L391" s="115" t="s">
        <v>25</v>
      </c>
      <c r="M391" s="110">
        <f t="shared" si="19"/>
        <v>3.8445707817720276E-3</v>
      </c>
      <c r="N391" s="110">
        <f t="shared" si="20"/>
        <v>3.8445707817720276E-3</v>
      </c>
      <c r="O391" s="110">
        <v>2</v>
      </c>
    </row>
    <row r="392" spans="1:15" ht="112.05" customHeight="1" x14ac:dyDescent="0.3">
      <c r="A392" s="49" t="s">
        <v>86</v>
      </c>
      <c r="B392" s="49" t="s">
        <v>143</v>
      </c>
      <c r="C392" s="49" t="s">
        <v>27</v>
      </c>
      <c r="D392" s="112">
        <v>-8.3000000000000007</v>
      </c>
      <c r="E392" s="112" t="str">
        <f>DGKC!F171</f>
        <v>n/m</v>
      </c>
      <c r="F392" s="112">
        <f>DGKC!F99/'PSX Prices'!O18</f>
        <v>-8.2990580657564443</v>
      </c>
      <c r="G392" s="116" t="s">
        <v>83</v>
      </c>
      <c r="H392" s="116" t="str">
        <f t="shared" si="18"/>
        <v>Reproduced to precision</v>
      </c>
      <c r="I392" s="116" t="s">
        <v>22</v>
      </c>
      <c r="J392" s="116" t="s">
        <v>167</v>
      </c>
      <c r="K392" s="116" t="s">
        <v>132</v>
      </c>
      <c r="L392" s="116" t="s">
        <v>25</v>
      </c>
      <c r="M392" s="49" t="str">
        <f t="shared" si="19"/>
        <v>n/m</v>
      </c>
      <c r="N392" s="49">
        <f t="shared" si="20"/>
        <v>9.4193424355637489E-4</v>
      </c>
      <c r="O392" s="49">
        <v>2</v>
      </c>
    </row>
    <row r="393" spans="1:15" ht="112.05" customHeight="1" x14ac:dyDescent="0.3">
      <c r="A393" s="110" t="s">
        <v>86</v>
      </c>
      <c r="B393" s="110" t="s">
        <v>143</v>
      </c>
      <c r="C393" s="110" t="s">
        <v>28</v>
      </c>
      <c r="D393" s="111">
        <v>1.24</v>
      </c>
      <c r="E393" s="111">
        <f>DGKC!G171</f>
        <v>1.2380103440270365</v>
      </c>
      <c r="F393" s="111">
        <f>DGKC!G99/'PSX Prices'!O19</f>
        <v>1.2380103440270365</v>
      </c>
      <c r="G393" s="115" t="s">
        <v>83</v>
      </c>
      <c r="H393" s="115" t="str">
        <f t="shared" si="18"/>
        <v>Reproduced to precision</v>
      </c>
      <c r="I393" s="115" t="s">
        <v>22</v>
      </c>
      <c r="J393" s="115" t="s">
        <v>167</v>
      </c>
      <c r="K393" s="115" t="s">
        <v>132</v>
      </c>
      <c r="L393" s="115" t="s">
        <v>25</v>
      </c>
      <c r="M393" s="110">
        <f t="shared" si="19"/>
        <v>-1.9896559729635221E-3</v>
      </c>
      <c r="N393" s="110">
        <f t="shared" si="20"/>
        <v>-1.9896559729635221E-3</v>
      </c>
      <c r="O393" s="110">
        <v>2</v>
      </c>
    </row>
    <row r="394" spans="1:15" ht="112.05" customHeight="1" x14ac:dyDescent="0.3">
      <c r="A394" s="49" t="s">
        <v>86</v>
      </c>
      <c r="B394" s="49" t="s">
        <v>143</v>
      </c>
      <c r="C394" s="49" t="s">
        <v>29</v>
      </c>
      <c r="D394" s="112">
        <v>19.8</v>
      </c>
      <c r="E394" s="112">
        <f>DGKC!H171</f>
        <v>19.800685803443983</v>
      </c>
      <c r="F394" s="112">
        <f>DGKC!H99/'PSX Prices'!O20</f>
        <v>19.800685803443983</v>
      </c>
      <c r="G394" s="116" t="s">
        <v>83</v>
      </c>
      <c r="H394" s="116" t="str">
        <f t="shared" si="18"/>
        <v>Reproduced to precision</v>
      </c>
      <c r="I394" s="116" t="s">
        <v>22</v>
      </c>
      <c r="J394" s="116" t="s">
        <v>167</v>
      </c>
      <c r="K394" s="116" t="s">
        <v>132</v>
      </c>
      <c r="L394" s="116" t="s">
        <v>25</v>
      </c>
      <c r="M394" s="49">
        <f t="shared" si="19"/>
        <v>6.8580344398228021E-4</v>
      </c>
      <c r="N394" s="49">
        <f t="shared" si="20"/>
        <v>6.8580344398228021E-4</v>
      </c>
      <c r="O394" s="49">
        <v>2</v>
      </c>
    </row>
    <row r="395" spans="1:15" ht="112.05" customHeight="1" x14ac:dyDescent="0.3">
      <c r="A395" s="110" t="s">
        <v>86</v>
      </c>
      <c r="B395" s="110" t="s">
        <v>124</v>
      </c>
      <c r="C395" s="110" t="s">
        <v>20</v>
      </c>
      <c r="D395" s="114">
        <v>0.12</v>
      </c>
      <c r="E395" s="114">
        <f>DGKC!D174</f>
        <v>0.11773366748421842</v>
      </c>
      <c r="F395" s="114">
        <f>'PSX Prices'!N16/(DGKC!D99/'PSX Prices'!O16)</f>
        <v>0.11773366748421842</v>
      </c>
      <c r="G395" s="115" t="s">
        <v>125</v>
      </c>
      <c r="H395" s="115" t="str">
        <f t="shared" si="18"/>
        <v>Reproduced to precision</v>
      </c>
      <c r="I395" s="115" t="s">
        <v>170</v>
      </c>
      <c r="J395" s="115" t="s">
        <v>167</v>
      </c>
      <c r="K395" s="115" t="s">
        <v>132</v>
      </c>
      <c r="L395" s="115" t="s">
        <v>25</v>
      </c>
      <c r="M395" s="110">
        <f t="shared" si="19"/>
        <v>-2.26633251578158E-3</v>
      </c>
      <c r="N395" s="110">
        <f t="shared" si="20"/>
        <v>-2.26633251578158E-3</v>
      </c>
      <c r="O395" s="110">
        <v>2</v>
      </c>
    </row>
    <row r="396" spans="1:15" ht="112.05" customHeight="1" x14ac:dyDescent="0.3">
      <c r="A396" s="49" t="s">
        <v>86</v>
      </c>
      <c r="B396" s="49" t="s">
        <v>124</v>
      </c>
      <c r="C396" s="49" t="s">
        <v>26</v>
      </c>
      <c r="D396" s="113">
        <v>0.15</v>
      </c>
      <c r="E396" s="113">
        <f>DGKC!E174</f>
        <v>0.14740903768742444</v>
      </c>
      <c r="F396" s="113">
        <f>'PSX Prices'!N17/(DGKC!E99/'PSX Prices'!O17)</f>
        <v>0.14740903768742444</v>
      </c>
      <c r="G396" s="116" t="s">
        <v>125</v>
      </c>
      <c r="H396" s="116" t="str">
        <f t="shared" si="18"/>
        <v>Reproduced to precision</v>
      </c>
      <c r="I396" s="116" t="s">
        <v>170</v>
      </c>
      <c r="J396" s="116" t="s">
        <v>167</v>
      </c>
      <c r="K396" s="116" t="s">
        <v>132</v>
      </c>
      <c r="L396" s="116" t="s">
        <v>25</v>
      </c>
      <c r="M396" s="49">
        <f t="shared" si="19"/>
        <v>-2.590962312575551E-3</v>
      </c>
      <c r="N396" s="49">
        <f t="shared" si="20"/>
        <v>-2.590962312575551E-3</v>
      </c>
      <c r="O396" s="49">
        <v>2</v>
      </c>
    </row>
    <row r="397" spans="1:15" ht="112.05" customHeight="1" x14ac:dyDescent="0.3">
      <c r="A397" s="110" t="s">
        <v>86</v>
      </c>
      <c r="B397" s="110" t="s">
        <v>124</v>
      </c>
      <c r="C397" s="110" t="s">
        <v>27</v>
      </c>
      <c r="D397" s="114">
        <v>0</v>
      </c>
      <c r="E397" s="114" t="str">
        <f>DGKC!F174</f>
        <v>n/m</v>
      </c>
      <c r="F397" s="114">
        <f>'PSX Prices'!N18/(DGKC!F99/'PSX Prices'!O18)</f>
        <v>0</v>
      </c>
      <c r="G397" s="115" t="s">
        <v>125</v>
      </c>
      <c r="H397" s="115" t="str">
        <f t="shared" si="18"/>
        <v>Reproduced to precision</v>
      </c>
      <c r="I397" s="115" t="s">
        <v>170</v>
      </c>
      <c r="J397" s="115" t="s">
        <v>167</v>
      </c>
      <c r="K397" s="115" t="s">
        <v>132</v>
      </c>
      <c r="L397" s="115" t="s">
        <v>25</v>
      </c>
      <c r="M397" s="110" t="str">
        <f t="shared" si="19"/>
        <v>n/m</v>
      </c>
      <c r="N397" s="110">
        <f t="shared" si="20"/>
        <v>0</v>
      </c>
      <c r="O397" s="110">
        <v>2</v>
      </c>
    </row>
    <row r="398" spans="1:15" ht="112.05" customHeight="1" x14ac:dyDescent="0.3">
      <c r="A398" s="49" t="s">
        <v>86</v>
      </c>
      <c r="B398" s="49" t="s">
        <v>124</v>
      </c>
      <c r="C398" s="49" t="s">
        <v>28</v>
      </c>
      <c r="D398" s="113">
        <v>0</v>
      </c>
      <c r="E398" s="113">
        <f>DGKC!G174</f>
        <v>0</v>
      </c>
      <c r="F398" s="113">
        <f>'PSX Prices'!N19/(DGKC!G99/'PSX Prices'!O19)</f>
        <v>0</v>
      </c>
      <c r="G398" s="116" t="s">
        <v>125</v>
      </c>
      <c r="H398" s="116" t="str">
        <f t="shared" si="18"/>
        <v>Reproduced to precision</v>
      </c>
      <c r="I398" s="116" t="s">
        <v>170</v>
      </c>
      <c r="J398" s="116" t="s">
        <v>167</v>
      </c>
      <c r="K398" s="116" t="s">
        <v>132</v>
      </c>
      <c r="L398" s="116" t="s">
        <v>25</v>
      </c>
      <c r="M398" s="49">
        <f t="shared" si="19"/>
        <v>0</v>
      </c>
      <c r="N398" s="49">
        <f t="shared" si="20"/>
        <v>0</v>
      </c>
      <c r="O398" s="49">
        <v>2</v>
      </c>
    </row>
    <row r="399" spans="1:15" ht="112.05" customHeight="1" x14ac:dyDescent="0.3">
      <c r="A399" s="110" t="s">
        <v>86</v>
      </c>
      <c r="B399" s="110" t="s">
        <v>124</v>
      </c>
      <c r="C399" s="110" t="s">
        <v>29</v>
      </c>
      <c r="D399" s="114">
        <v>0.1</v>
      </c>
      <c r="E399" s="114">
        <f>DGKC!H174</f>
        <v>0.10100660249111851</v>
      </c>
      <c r="F399" s="114">
        <f>'PSX Prices'!N20/(DGKC!H99/'PSX Prices'!O20)</f>
        <v>0.10100660249111851</v>
      </c>
      <c r="G399" s="115" t="s">
        <v>125</v>
      </c>
      <c r="H399" s="115" t="str">
        <f t="shared" si="18"/>
        <v>Reproduced to precision</v>
      </c>
      <c r="I399" s="115" t="s">
        <v>170</v>
      </c>
      <c r="J399" s="115" t="s">
        <v>167</v>
      </c>
      <c r="K399" s="115" t="s">
        <v>132</v>
      </c>
      <c r="L399" s="115" t="s">
        <v>25</v>
      </c>
      <c r="M399" s="110">
        <f t="shared" si="19"/>
        <v>1.0066024911185023E-3</v>
      </c>
      <c r="N399" s="110">
        <f t="shared" si="20"/>
        <v>1.0066024911185023E-3</v>
      </c>
      <c r="O399" s="110">
        <v>2</v>
      </c>
    </row>
    <row r="400" spans="1:15" ht="112.05" customHeight="1" x14ac:dyDescent="0.3">
      <c r="A400" s="49" t="s">
        <v>106</v>
      </c>
      <c r="B400" s="49" t="s">
        <v>145</v>
      </c>
      <c r="C400" s="49" t="s">
        <v>20</v>
      </c>
      <c r="D400" s="112">
        <v>0.04</v>
      </c>
      <c r="E400" s="112">
        <f>MLCF!D140</f>
        <v>4.2825558053104403E-2</v>
      </c>
      <c r="F400" s="112">
        <f>MLCF!D34/MLCF!D61</f>
        <v>4.2825558053104403E-2</v>
      </c>
      <c r="G400" s="116" t="s">
        <v>165</v>
      </c>
      <c r="H400" s="116" t="str">
        <f t="shared" si="18"/>
        <v>Reproduced to precision</v>
      </c>
      <c r="I400" s="116" t="s">
        <v>22</v>
      </c>
      <c r="J400" s="116" t="s">
        <v>171</v>
      </c>
      <c r="K400" s="116" t="s">
        <v>132</v>
      </c>
      <c r="L400" s="116" t="s">
        <v>25</v>
      </c>
      <c r="M400" s="49">
        <f t="shared" si="19"/>
        <v>2.8255580531044017E-3</v>
      </c>
      <c r="N400" s="49">
        <f t="shared" si="20"/>
        <v>2.8255580531044017E-3</v>
      </c>
      <c r="O400" s="49">
        <v>2</v>
      </c>
    </row>
    <row r="401" spans="1:15" ht="112.05" customHeight="1" x14ac:dyDescent="0.3">
      <c r="A401" s="110" t="s">
        <v>106</v>
      </c>
      <c r="B401" s="110" t="s">
        <v>145</v>
      </c>
      <c r="C401" s="110" t="s">
        <v>26</v>
      </c>
      <c r="D401" s="111">
        <v>0.05</v>
      </c>
      <c r="E401" s="111">
        <f>MLCF!E140</f>
        <v>4.9006165540003331E-2</v>
      </c>
      <c r="F401" s="111">
        <f>MLCF!E34/MLCF!E61</f>
        <v>4.9006165540003331E-2</v>
      </c>
      <c r="G401" s="115" t="s">
        <v>165</v>
      </c>
      <c r="H401" s="115" t="str">
        <f t="shared" si="18"/>
        <v>Reproduced to precision</v>
      </c>
      <c r="I401" s="115" t="s">
        <v>22</v>
      </c>
      <c r="J401" s="115" t="s">
        <v>171</v>
      </c>
      <c r="K401" s="115" t="s">
        <v>132</v>
      </c>
      <c r="L401" s="115" t="s">
        <v>25</v>
      </c>
      <c r="M401" s="110">
        <f t="shared" si="19"/>
        <v>-9.9383445999667169E-4</v>
      </c>
      <c r="N401" s="110">
        <f t="shared" si="20"/>
        <v>-9.9383445999667169E-4</v>
      </c>
      <c r="O401" s="110">
        <v>2</v>
      </c>
    </row>
    <row r="402" spans="1:15" ht="112.05" customHeight="1" x14ac:dyDescent="0.3">
      <c r="A402" s="49" t="s">
        <v>106</v>
      </c>
      <c r="B402" s="49" t="s">
        <v>145</v>
      </c>
      <c r="C402" s="49" t="s">
        <v>27</v>
      </c>
      <c r="D402" s="112">
        <v>0.05</v>
      </c>
      <c r="E402" s="112">
        <f>MLCF!F140</f>
        <v>4.5680298533070048E-2</v>
      </c>
      <c r="F402" s="112">
        <f>MLCF!F34/MLCF!F61</f>
        <v>4.5680298533070048E-2</v>
      </c>
      <c r="G402" s="116" t="s">
        <v>165</v>
      </c>
      <c r="H402" s="116" t="str">
        <f t="shared" si="18"/>
        <v>Reproduced to precision</v>
      </c>
      <c r="I402" s="116" t="s">
        <v>22</v>
      </c>
      <c r="J402" s="116" t="s">
        <v>171</v>
      </c>
      <c r="K402" s="116" t="s">
        <v>132</v>
      </c>
      <c r="L402" s="116" t="s">
        <v>25</v>
      </c>
      <c r="M402" s="49">
        <f t="shared" si="19"/>
        <v>-4.3197014669299552E-3</v>
      </c>
      <c r="N402" s="49">
        <f t="shared" si="20"/>
        <v>-4.3197014669299552E-3</v>
      </c>
      <c r="O402" s="49">
        <v>2</v>
      </c>
    </row>
    <row r="403" spans="1:15" ht="112.05" customHeight="1" x14ac:dyDescent="0.3">
      <c r="A403" s="110" t="s">
        <v>106</v>
      </c>
      <c r="B403" s="110" t="s">
        <v>145</v>
      </c>
      <c r="C403" s="110" t="s">
        <v>28</v>
      </c>
      <c r="D403" s="111">
        <v>0.06</v>
      </c>
      <c r="E403" s="111">
        <f>MLCF!G140</f>
        <v>6.0943337383991658E-2</v>
      </c>
      <c r="F403" s="111">
        <f>MLCF!G34/MLCF!G61</f>
        <v>6.0943337383991658E-2</v>
      </c>
      <c r="G403" s="115" t="s">
        <v>165</v>
      </c>
      <c r="H403" s="115" t="str">
        <f t="shared" si="18"/>
        <v>Reproduced to precision</v>
      </c>
      <c r="I403" s="115" t="s">
        <v>22</v>
      </c>
      <c r="J403" s="115" t="s">
        <v>171</v>
      </c>
      <c r="K403" s="115" t="s">
        <v>132</v>
      </c>
      <c r="L403" s="115" t="s">
        <v>25</v>
      </c>
      <c r="M403" s="110">
        <f t="shared" si="19"/>
        <v>9.4333738399166034E-4</v>
      </c>
      <c r="N403" s="110">
        <f t="shared" si="20"/>
        <v>9.4333738399166034E-4</v>
      </c>
      <c r="O403" s="110">
        <v>2</v>
      </c>
    </row>
    <row r="404" spans="1:15" ht="112.05" customHeight="1" x14ac:dyDescent="0.3">
      <c r="A404" s="49" t="s">
        <v>106</v>
      </c>
      <c r="B404" s="49" t="s">
        <v>145</v>
      </c>
      <c r="C404" s="49" t="s">
        <v>29</v>
      </c>
      <c r="D404" s="112">
        <v>7.0000000000000007E-2</v>
      </c>
      <c r="E404" s="112">
        <f>MLCF!H140</f>
        <v>6.9243334827372452E-2</v>
      </c>
      <c r="F404" s="112">
        <f>MLCF!H34/MLCF!H61</f>
        <v>6.9243334827372452E-2</v>
      </c>
      <c r="G404" s="116" t="s">
        <v>165</v>
      </c>
      <c r="H404" s="116" t="str">
        <f t="shared" si="18"/>
        <v>Reproduced to precision</v>
      </c>
      <c r="I404" s="116" t="s">
        <v>22</v>
      </c>
      <c r="J404" s="116" t="s">
        <v>171</v>
      </c>
      <c r="K404" s="116" t="s">
        <v>132</v>
      </c>
      <c r="L404" s="116" t="s">
        <v>25</v>
      </c>
      <c r="M404" s="49">
        <f t="shared" si="19"/>
        <v>-7.5666517262755473E-4</v>
      </c>
      <c r="N404" s="49">
        <f t="shared" si="20"/>
        <v>-7.5666517262755473E-4</v>
      </c>
      <c r="O404" s="49">
        <v>2</v>
      </c>
    </row>
    <row r="405" spans="1:15" ht="112.05" customHeight="1" x14ac:dyDescent="0.3">
      <c r="A405" s="110" t="s">
        <v>106</v>
      </c>
      <c r="B405" s="110" t="s">
        <v>31</v>
      </c>
      <c r="C405" s="110" t="s">
        <v>20</v>
      </c>
      <c r="D405" s="111">
        <v>14.04</v>
      </c>
      <c r="E405" s="111">
        <f>MLCF!D144</f>
        <v>2.5503561154199565</v>
      </c>
      <c r="F405" s="111">
        <f>(-MLCF!D85)/AVERAGE(MLCF!C31,MLCF!D31)</f>
        <v>14.319784241957235</v>
      </c>
      <c r="G405" s="115" t="s">
        <v>172</v>
      </c>
      <c r="H405" s="115" t="str">
        <f t="shared" si="18"/>
        <v>Unresolved published value</v>
      </c>
      <c r="I405" s="115" t="s">
        <v>22</v>
      </c>
      <c r="J405" s="115" t="s">
        <v>171</v>
      </c>
      <c r="K405" s="115" t="s">
        <v>132</v>
      </c>
      <c r="L405" s="115" t="s">
        <v>110</v>
      </c>
      <c r="M405" s="110">
        <f t="shared" si="19"/>
        <v>-11.489643884580042</v>
      </c>
      <c r="N405" s="110">
        <f t="shared" si="20"/>
        <v>0.27978424195723584</v>
      </c>
      <c r="O405" s="110">
        <v>2</v>
      </c>
    </row>
    <row r="406" spans="1:15" ht="112.05" customHeight="1" x14ac:dyDescent="0.3">
      <c r="A406" s="49" t="s">
        <v>106</v>
      </c>
      <c r="B406" s="49" t="s">
        <v>31</v>
      </c>
      <c r="C406" s="49" t="s">
        <v>26</v>
      </c>
      <c r="D406" s="112">
        <v>14.67</v>
      </c>
      <c r="E406" s="112">
        <f>MLCF!E144</f>
        <v>2.6418827583195736</v>
      </c>
      <c r="F406" s="112">
        <f>(-MLCF!E85)/AVERAGE(MLCF!D31,MLCF!E31)</f>
        <v>14.958985547083621</v>
      </c>
      <c r="G406" s="116" t="s">
        <v>172</v>
      </c>
      <c r="H406" s="116" t="str">
        <f t="shared" si="18"/>
        <v>Unresolved published value</v>
      </c>
      <c r="I406" s="116" t="s">
        <v>22</v>
      </c>
      <c r="J406" s="116" t="s">
        <v>171</v>
      </c>
      <c r="K406" s="116" t="s">
        <v>132</v>
      </c>
      <c r="L406" s="116" t="s">
        <v>110</v>
      </c>
      <c r="M406" s="49">
        <f t="shared" si="19"/>
        <v>-12.028117241680427</v>
      </c>
      <c r="N406" s="49">
        <f t="shared" si="20"/>
        <v>0.28898554708362134</v>
      </c>
      <c r="O406" s="49">
        <v>2</v>
      </c>
    </row>
    <row r="407" spans="1:15" ht="112.05" customHeight="1" x14ac:dyDescent="0.3">
      <c r="A407" s="110" t="s">
        <v>106</v>
      </c>
      <c r="B407" s="110" t="s">
        <v>31</v>
      </c>
      <c r="C407" s="110" t="s">
        <v>27</v>
      </c>
      <c r="D407" s="111">
        <v>13.36</v>
      </c>
      <c r="E407" s="111">
        <f>MLCF!F144</f>
        <v>2.991643999189634</v>
      </c>
      <c r="F407" s="111">
        <f>(-MLCF!F85)/AVERAGE(MLCF!E31,MLCF!F31)</f>
        <v>13.363895245003748</v>
      </c>
      <c r="G407" s="115" t="s">
        <v>172</v>
      </c>
      <c r="H407" s="115" t="str">
        <f t="shared" si="18"/>
        <v>Reproduced to precision</v>
      </c>
      <c r="I407" s="115" t="s">
        <v>22</v>
      </c>
      <c r="J407" s="115" t="s">
        <v>171</v>
      </c>
      <c r="K407" s="115" t="s">
        <v>132</v>
      </c>
      <c r="L407" s="115" t="s">
        <v>110</v>
      </c>
      <c r="M407" s="110">
        <f t="shared" si="19"/>
        <v>-10.368356000810365</v>
      </c>
      <c r="N407" s="110">
        <f t="shared" si="20"/>
        <v>3.8952450037488262E-3</v>
      </c>
      <c r="O407" s="110">
        <v>2</v>
      </c>
    </row>
    <row r="408" spans="1:15" ht="112.05" customHeight="1" x14ac:dyDescent="0.3">
      <c r="A408" s="49" t="s">
        <v>106</v>
      </c>
      <c r="B408" s="49" t="s">
        <v>31</v>
      </c>
      <c r="C408" s="49" t="s">
        <v>28</v>
      </c>
      <c r="D408" s="112">
        <v>12.76</v>
      </c>
      <c r="E408" s="112">
        <f>MLCF!G144</f>
        <v>3.1013565995658121</v>
      </c>
      <c r="F408" s="112">
        <f>(-MLCF!G85)/AVERAGE(MLCF!F31,MLCF!G31)</f>
        <v>12.757553261335676</v>
      </c>
      <c r="G408" s="116" t="s">
        <v>172</v>
      </c>
      <c r="H408" s="116" t="str">
        <f t="shared" si="18"/>
        <v>Reproduced to precision</v>
      </c>
      <c r="I408" s="116" t="s">
        <v>22</v>
      </c>
      <c r="J408" s="116" t="s">
        <v>171</v>
      </c>
      <c r="K408" s="116" t="s">
        <v>132</v>
      </c>
      <c r="L408" s="116" t="s">
        <v>110</v>
      </c>
      <c r="M408" s="49">
        <f t="shared" si="19"/>
        <v>-9.6586434004341868</v>
      </c>
      <c r="N408" s="49">
        <f t="shared" si="20"/>
        <v>-2.4467386643234335E-3</v>
      </c>
      <c r="O408" s="49">
        <v>2</v>
      </c>
    </row>
    <row r="409" spans="1:15" ht="112.05" customHeight="1" x14ac:dyDescent="0.3">
      <c r="A409" s="110" t="s">
        <v>106</v>
      </c>
      <c r="B409" s="110" t="s">
        <v>31</v>
      </c>
      <c r="C409" s="110" t="s">
        <v>29</v>
      </c>
      <c r="D409" s="111">
        <v>11.74</v>
      </c>
      <c r="E409" s="111">
        <f>MLCF!H144</f>
        <v>2.7865732877055658</v>
      </c>
      <c r="F409" s="111">
        <f>(-MLCF!H85)/AVERAGE(MLCF!G31,MLCF!H31)</f>
        <v>11.739822966093309</v>
      </c>
      <c r="G409" s="115" t="s">
        <v>172</v>
      </c>
      <c r="H409" s="115" t="str">
        <f t="shared" si="18"/>
        <v>Reproduced to precision</v>
      </c>
      <c r="I409" s="115" t="s">
        <v>22</v>
      </c>
      <c r="J409" s="115" t="s">
        <v>171</v>
      </c>
      <c r="K409" s="115" t="s">
        <v>132</v>
      </c>
      <c r="L409" s="115" t="s">
        <v>110</v>
      </c>
      <c r="M409" s="110">
        <f t="shared" si="19"/>
        <v>-8.9534267122944335</v>
      </c>
      <c r="N409" s="110">
        <f t="shared" si="20"/>
        <v>-1.7703390669154828E-4</v>
      </c>
      <c r="O409" s="110">
        <v>2</v>
      </c>
    </row>
    <row r="410" spans="1:15" ht="112.05" customHeight="1" x14ac:dyDescent="0.3">
      <c r="A410" s="49" t="s">
        <v>106</v>
      </c>
      <c r="B410" s="49" t="s">
        <v>129</v>
      </c>
      <c r="C410" s="49" t="s">
        <v>20</v>
      </c>
      <c r="D410" s="112">
        <v>15.02</v>
      </c>
      <c r="E410" s="112">
        <f>MLCF!D145</f>
        <v>15.020941563038772</v>
      </c>
      <c r="F410" s="112">
        <f>MLCF!D84/AVERAGE(MLCF!C32,MLCF!D32)</f>
        <v>15.020941563038772</v>
      </c>
      <c r="G410" s="116" t="s">
        <v>148</v>
      </c>
      <c r="H410" s="116" t="str">
        <f t="shared" si="18"/>
        <v>Reproduced to precision</v>
      </c>
      <c r="I410" s="116" t="s">
        <v>22</v>
      </c>
      <c r="J410" s="116" t="s">
        <v>171</v>
      </c>
      <c r="K410" s="116" t="s">
        <v>132</v>
      </c>
      <c r="L410" s="116" t="s">
        <v>25</v>
      </c>
      <c r="M410" s="49">
        <f t="shared" si="19"/>
        <v>9.4156303877213077E-4</v>
      </c>
      <c r="N410" s="49">
        <f t="shared" si="20"/>
        <v>9.4156303877213077E-4</v>
      </c>
      <c r="O410" s="49">
        <v>2</v>
      </c>
    </row>
    <row r="411" spans="1:15" ht="112.05" customHeight="1" x14ac:dyDescent="0.3">
      <c r="A411" s="110" t="s">
        <v>106</v>
      </c>
      <c r="B411" s="110" t="s">
        <v>129</v>
      </c>
      <c r="C411" s="110" t="s">
        <v>26</v>
      </c>
      <c r="D411" s="111">
        <v>25.91</v>
      </c>
      <c r="E411" s="111">
        <f>MLCF!E145</f>
        <v>25.905344380386534</v>
      </c>
      <c r="F411" s="111">
        <f>MLCF!E84/AVERAGE(MLCF!D32,MLCF!E32)</f>
        <v>25.905344380386534</v>
      </c>
      <c r="G411" s="115" t="s">
        <v>148</v>
      </c>
      <c r="H411" s="115" t="str">
        <f t="shared" si="18"/>
        <v>Reproduced to precision</v>
      </c>
      <c r="I411" s="115" t="s">
        <v>22</v>
      </c>
      <c r="J411" s="115" t="s">
        <v>171</v>
      </c>
      <c r="K411" s="115" t="s">
        <v>132</v>
      </c>
      <c r="L411" s="115" t="s">
        <v>25</v>
      </c>
      <c r="M411" s="110">
        <f t="shared" si="19"/>
        <v>-4.6556196134659444E-3</v>
      </c>
      <c r="N411" s="110">
        <f t="shared" si="20"/>
        <v>-4.6556196134659444E-3</v>
      </c>
      <c r="O411" s="110">
        <v>2</v>
      </c>
    </row>
    <row r="412" spans="1:15" ht="112.05" customHeight="1" x14ac:dyDescent="0.3">
      <c r="A412" s="49" t="s">
        <v>106</v>
      </c>
      <c r="B412" s="49" t="s">
        <v>129</v>
      </c>
      <c r="C412" s="49" t="s">
        <v>27</v>
      </c>
      <c r="D412" s="112">
        <v>26.6</v>
      </c>
      <c r="E412" s="112">
        <f>MLCF!F145</f>
        <v>26.600659453629234</v>
      </c>
      <c r="F412" s="112">
        <f>MLCF!F84/AVERAGE(MLCF!E32,MLCF!F32)</f>
        <v>26.600659453629234</v>
      </c>
      <c r="G412" s="116" t="s">
        <v>148</v>
      </c>
      <c r="H412" s="116" t="str">
        <f t="shared" si="18"/>
        <v>Reproduced to precision</v>
      </c>
      <c r="I412" s="116" t="s">
        <v>22</v>
      </c>
      <c r="J412" s="116" t="s">
        <v>171</v>
      </c>
      <c r="K412" s="116" t="s">
        <v>132</v>
      </c>
      <c r="L412" s="116" t="s">
        <v>25</v>
      </c>
      <c r="M412" s="49">
        <f t="shared" si="19"/>
        <v>6.5945362923258699E-4</v>
      </c>
      <c r="N412" s="49">
        <f t="shared" si="20"/>
        <v>6.5945362923258699E-4</v>
      </c>
      <c r="O412" s="49">
        <v>2</v>
      </c>
    </row>
    <row r="413" spans="1:15" ht="112.05" customHeight="1" x14ac:dyDescent="0.3">
      <c r="A413" s="110" t="s">
        <v>106</v>
      </c>
      <c r="B413" s="110" t="s">
        <v>129</v>
      </c>
      <c r="C413" s="110" t="s">
        <v>28</v>
      </c>
      <c r="D413" s="111">
        <v>19.57</v>
      </c>
      <c r="E413" s="111">
        <f>MLCF!G145</f>
        <v>19.574371293114748</v>
      </c>
      <c r="F413" s="111">
        <f>MLCF!G84/AVERAGE(MLCF!F32,MLCF!G32)</f>
        <v>19.574371293114748</v>
      </c>
      <c r="G413" s="115" t="s">
        <v>148</v>
      </c>
      <c r="H413" s="115" t="str">
        <f t="shared" si="18"/>
        <v>Reproduced to precision</v>
      </c>
      <c r="I413" s="115" t="s">
        <v>22</v>
      </c>
      <c r="J413" s="115" t="s">
        <v>171</v>
      </c>
      <c r="K413" s="115" t="s">
        <v>132</v>
      </c>
      <c r="L413" s="115" t="s">
        <v>25</v>
      </c>
      <c r="M413" s="110">
        <f t="shared" si="19"/>
        <v>4.3712931147474876E-3</v>
      </c>
      <c r="N413" s="110">
        <f t="shared" si="20"/>
        <v>4.3712931147474876E-3</v>
      </c>
      <c r="O413" s="110">
        <v>2</v>
      </c>
    </row>
    <row r="414" spans="1:15" ht="112.05" customHeight="1" x14ac:dyDescent="0.3">
      <c r="A414" s="49" t="s">
        <v>106</v>
      </c>
      <c r="B414" s="49" t="s">
        <v>129</v>
      </c>
      <c r="C414" s="49" t="s">
        <v>29</v>
      </c>
      <c r="D414" s="112">
        <v>15.67</v>
      </c>
      <c r="E414" s="112">
        <f>MLCF!H145</f>
        <v>15.67064847793373</v>
      </c>
      <c r="F414" s="112">
        <f>MLCF!H84/AVERAGE(MLCF!G32,MLCF!H32)</f>
        <v>15.67064847793373</v>
      </c>
      <c r="G414" s="116" t="s">
        <v>148</v>
      </c>
      <c r="H414" s="116" t="str">
        <f t="shared" si="18"/>
        <v>Reproduced to precision</v>
      </c>
      <c r="I414" s="116" t="s">
        <v>22</v>
      </c>
      <c r="J414" s="116" t="s">
        <v>171</v>
      </c>
      <c r="K414" s="116" t="s">
        <v>132</v>
      </c>
      <c r="L414" s="116" t="s">
        <v>25</v>
      </c>
      <c r="M414" s="49">
        <f t="shared" si="19"/>
        <v>6.4847793372990736E-4</v>
      </c>
      <c r="N414" s="49">
        <f t="shared" si="20"/>
        <v>6.4847793372990736E-4</v>
      </c>
      <c r="O414" s="49">
        <v>2</v>
      </c>
    </row>
    <row r="415" spans="1:15" ht="112.05" customHeight="1" x14ac:dyDescent="0.3">
      <c r="A415" s="110" t="s">
        <v>106</v>
      </c>
      <c r="B415" s="110" t="s">
        <v>133</v>
      </c>
      <c r="C415" s="110" t="s">
        <v>20</v>
      </c>
      <c r="D415" s="111">
        <v>7.46</v>
      </c>
      <c r="E415" s="111">
        <f>MLCF!D146</f>
        <v>7.2602146292371854</v>
      </c>
      <c r="F415" s="111">
        <f>(-MLCF!D85)/(AVERAGE(MLCF!C51,MLCF!D51)-AVERAGE(MLCF!C253,MLCF!D253))</f>
        <v>7.6020181862100609</v>
      </c>
      <c r="G415" s="115" t="s">
        <v>173</v>
      </c>
      <c r="H415" s="115" t="str">
        <f t="shared" si="18"/>
        <v>Unresolved published value</v>
      </c>
      <c r="I415" s="115" t="s">
        <v>22</v>
      </c>
      <c r="J415" s="115" t="s">
        <v>171</v>
      </c>
      <c r="K415" s="115" t="s">
        <v>132</v>
      </c>
      <c r="L415" s="115" t="s">
        <v>25</v>
      </c>
      <c r="M415" s="110">
        <f t="shared" si="19"/>
        <v>-0.19978537076281455</v>
      </c>
      <c r="N415" s="110">
        <f t="shared" si="20"/>
        <v>0.1420181862100609</v>
      </c>
      <c r="O415" s="110">
        <v>2</v>
      </c>
    </row>
    <row r="416" spans="1:15" ht="112.05" customHeight="1" x14ac:dyDescent="0.3">
      <c r="A416" s="49" t="s">
        <v>106</v>
      </c>
      <c r="B416" s="49" t="s">
        <v>133</v>
      </c>
      <c r="C416" s="49" t="s">
        <v>26</v>
      </c>
      <c r="D416" s="112">
        <v>9.49</v>
      </c>
      <c r="E416" s="112">
        <f>MLCF!E146</f>
        <v>9.4325162502916413</v>
      </c>
      <c r="F416" s="112">
        <f>(-MLCF!E85)/(AVERAGE(MLCF!D51,MLCF!E51)-AVERAGE(MLCF!D253,MLCF!E253))</f>
        <v>9.6765653200055546</v>
      </c>
      <c r="G416" s="116" t="s">
        <v>173</v>
      </c>
      <c r="H416" s="116" t="str">
        <f t="shared" si="18"/>
        <v>Unresolved published value</v>
      </c>
      <c r="I416" s="116" t="s">
        <v>22</v>
      </c>
      <c r="J416" s="116" t="s">
        <v>171</v>
      </c>
      <c r="K416" s="116" t="s">
        <v>132</v>
      </c>
      <c r="L416" s="116" t="s">
        <v>25</v>
      </c>
      <c r="M416" s="49">
        <f t="shared" si="19"/>
        <v>-5.74837497083589E-2</v>
      </c>
      <c r="N416" s="49">
        <f t="shared" si="20"/>
        <v>0.18656532000555437</v>
      </c>
      <c r="O416" s="49">
        <v>2</v>
      </c>
    </row>
    <row r="417" spans="1:15" ht="112.05" customHeight="1" x14ac:dyDescent="0.3">
      <c r="A417" s="110" t="s">
        <v>106</v>
      </c>
      <c r="B417" s="110" t="s">
        <v>133</v>
      </c>
      <c r="C417" s="110" t="s">
        <v>27</v>
      </c>
      <c r="D417" s="111">
        <v>10</v>
      </c>
      <c r="E417" s="111">
        <f>MLCF!F146</f>
        <v>8.1416462547085988</v>
      </c>
      <c r="F417" s="111">
        <f>(-MLCF!F85)/(AVERAGE(MLCF!E51,MLCF!F51)-AVERAGE(MLCF!E253,MLCF!F253))</f>
        <v>10.000356717055039</v>
      </c>
      <c r="G417" s="115" t="s">
        <v>173</v>
      </c>
      <c r="H417" s="115" t="str">
        <f t="shared" si="18"/>
        <v>Reproduced to precision</v>
      </c>
      <c r="I417" s="115" t="s">
        <v>22</v>
      </c>
      <c r="J417" s="115" t="s">
        <v>171</v>
      </c>
      <c r="K417" s="115" t="s">
        <v>132</v>
      </c>
      <c r="L417" s="115" t="s">
        <v>25</v>
      </c>
      <c r="M417" s="110">
        <f t="shared" si="19"/>
        <v>-1.8583537452914012</v>
      </c>
      <c r="N417" s="110">
        <f t="shared" si="20"/>
        <v>3.5671705503936835E-4</v>
      </c>
      <c r="O417" s="110">
        <v>2</v>
      </c>
    </row>
    <row r="418" spans="1:15" ht="112.05" customHeight="1" x14ac:dyDescent="0.3">
      <c r="A418" s="49" t="s">
        <v>106</v>
      </c>
      <c r="B418" s="49" t="s">
        <v>133</v>
      </c>
      <c r="C418" s="49" t="s">
        <v>28</v>
      </c>
      <c r="D418" s="112">
        <v>9.6999999999999993</v>
      </c>
      <c r="E418" s="112">
        <f>MLCF!G146</f>
        <v>7.535611628959118</v>
      </c>
      <c r="F418" s="112">
        <f>(-MLCF!G85)/(AVERAGE(MLCF!F51,MLCF!G51)-AVERAGE(MLCF!F253,MLCF!G253))</f>
        <v>9.6994273490714242</v>
      </c>
      <c r="G418" s="116" t="s">
        <v>173</v>
      </c>
      <c r="H418" s="116" t="str">
        <f t="shared" si="18"/>
        <v>Reproduced to precision</v>
      </c>
      <c r="I418" s="116" t="s">
        <v>22</v>
      </c>
      <c r="J418" s="116" t="s">
        <v>171</v>
      </c>
      <c r="K418" s="116" t="s">
        <v>132</v>
      </c>
      <c r="L418" s="116" t="s">
        <v>25</v>
      </c>
      <c r="M418" s="49">
        <f t="shared" si="19"/>
        <v>-2.1643883710408813</v>
      </c>
      <c r="N418" s="49">
        <f t="shared" si="20"/>
        <v>-5.7265092857505806E-4</v>
      </c>
      <c r="O418" s="49">
        <v>2</v>
      </c>
    </row>
    <row r="419" spans="1:15" ht="112.05" customHeight="1" x14ac:dyDescent="0.3">
      <c r="A419" s="110" t="s">
        <v>106</v>
      </c>
      <c r="B419" s="110" t="s">
        <v>133</v>
      </c>
      <c r="C419" s="110" t="s">
        <v>29</v>
      </c>
      <c r="D419" s="111">
        <v>8.65</v>
      </c>
      <c r="E419" s="111">
        <f>MLCF!H146</f>
        <v>7.1065730520996766</v>
      </c>
      <c r="F419" s="111">
        <f>(-MLCF!H85)/(AVERAGE(MLCF!G51,MLCF!H51)-AVERAGE(MLCF!G253,MLCF!H253))</f>
        <v>8.6540369337161138</v>
      </c>
      <c r="G419" s="115" t="s">
        <v>173</v>
      </c>
      <c r="H419" s="115" t="str">
        <f t="shared" si="18"/>
        <v>Reproduced to precision</v>
      </c>
      <c r="I419" s="115" t="s">
        <v>22</v>
      </c>
      <c r="J419" s="115" t="s">
        <v>171</v>
      </c>
      <c r="K419" s="115" t="s">
        <v>132</v>
      </c>
      <c r="L419" s="115" t="s">
        <v>25</v>
      </c>
      <c r="M419" s="110">
        <f t="shared" si="19"/>
        <v>-1.5434269479003238</v>
      </c>
      <c r="N419" s="110">
        <f t="shared" si="20"/>
        <v>4.0369337161134666E-3</v>
      </c>
      <c r="O419" s="110">
        <v>2</v>
      </c>
    </row>
    <row r="420" spans="1:15" ht="112.05" customHeight="1" x14ac:dyDescent="0.3">
      <c r="A420" s="49" t="s">
        <v>106</v>
      </c>
      <c r="B420" s="49" t="s">
        <v>150</v>
      </c>
      <c r="C420" s="49" t="s">
        <v>20</v>
      </c>
      <c r="D420" s="112">
        <v>1.33</v>
      </c>
      <c r="E420" s="112">
        <f>MLCF!D151</f>
        <v>117.14268112684906</v>
      </c>
      <c r="F420" s="112">
        <f>365*AVERAGE(MLCF!C31,MLCF!D31)/(-MLCF!D85)+365*AVERAGE(MLCF!C32,MLCF!D32)/MLCF!D84-365*(AVERAGE(MLCF!C51,MLCF!D51)-AVERAGE(MLCF!C253,MLCF!D253))/(-MLCF!D85)</f>
        <v>1.7750539377888757</v>
      </c>
      <c r="G420" s="116" t="s">
        <v>43</v>
      </c>
      <c r="H420" s="116" t="str">
        <f t="shared" si="18"/>
        <v>Unresolved published value</v>
      </c>
      <c r="I420" s="116" t="s">
        <v>22</v>
      </c>
      <c r="J420" s="116" t="s">
        <v>171</v>
      </c>
      <c r="K420" s="116" t="s">
        <v>132</v>
      </c>
      <c r="L420" s="116" t="s">
        <v>25</v>
      </c>
      <c r="M420" s="49">
        <f t="shared" si="19"/>
        <v>115.81268112684906</v>
      </c>
      <c r="N420" s="49">
        <f t="shared" si="20"/>
        <v>0.44505393778887559</v>
      </c>
      <c r="O420" s="49">
        <v>2</v>
      </c>
    </row>
    <row r="421" spans="1:15" ht="112.05" customHeight="1" x14ac:dyDescent="0.3">
      <c r="A421" s="110" t="s">
        <v>106</v>
      </c>
      <c r="B421" s="110" t="s">
        <v>150</v>
      </c>
      <c r="C421" s="110" t="s">
        <v>26</v>
      </c>
      <c r="D421" s="111">
        <v>0.51</v>
      </c>
      <c r="E421" s="111">
        <f>MLCF!E151</f>
        <v>113.55287092262091</v>
      </c>
      <c r="F421" s="111">
        <f>365*AVERAGE(MLCF!D31,MLCF!E31)/(-MLCF!E85)+365*AVERAGE(MLCF!D32,MLCF!E32)/MLCF!E84-365*(AVERAGE(MLCF!D51,MLCF!E51)-AVERAGE(MLCF!D253,MLCF!E253))/(-MLCF!E85)</f>
        <v>0.76981156541037166</v>
      </c>
      <c r="G421" s="115" t="s">
        <v>43</v>
      </c>
      <c r="H421" s="115" t="str">
        <f t="shared" si="18"/>
        <v>Unresolved published value</v>
      </c>
      <c r="I421" s="115" t="s">
        <v>22</v>
      </c>
      <c r="J421" s="115" t="s">
        <v>171</v>
      </c>
      <c r="K421" s="115" t="s">
        <v>132</v>
      </c>
      <c r="L421" s="115" t="s">
        <v>25</v>
      </c>
      <c r="M421" s="110">
        <f t="shared" si="19"/>
        <v>113.04287092262091</v>
      </c>
      <c r="N421" s="110">
        <f t="shared" si="20"/>
        <v>0.25981156541037165</v>
      </c>
      <c r="O421" s="110">
        <v>2</v>
      </c>
    </row>
    <row r="422" spans="1:15" ht="112.05" customHeight="1" x14ac:dyDescent="0.3">
      <c r="A422" s="49" t="s">
        <v>106</v>
      </c>
      <c r="B422" s="49" t="s">
        <v>150</v>
      </c>
      <c r="C422" s="49" t="s">
        <v>27</v>
      </c>
      <c r="D422" s="112">
        <v>4.54</v>
      </c>
      <c r="E422" s="112">
        <f>MLCF!F151</f>
        <v>90.896731737564664</v>
      </c>
      <c r="F422" s="112">
        <f>365*AVERAGE(MLCF!E31,MLCF!F31)/(-MLCF!F85)+365*AVERAGE(MLCF!E32,MLCF!F32)/MLCF!F84-365*(AVERAGE(MLCF!E51,MLCF!F51)-AVERAGE(MLCF!E253,MLCF!F253))/(-MLCF!F85)</f>
        <v>4.5351623788220365</v>
      </c>
      <c r="G422" s="116" t="s">
        <v>43</v>
      </c>
      <c r="H422" s="116" t="str">
        <f t="shared" si="18"/>
        <v>Reproduced to precision</v>
      </c>
      <c r="I422" s="116" t="s">
        <v>22</v>
      </c>
      <c r="J422" s="116" t="s">
        <v>171</v>
      </c>
      <c r="K422" s="116" t="s">
        <v>132</v>
      </c>
      <c r="L422" s="116" t="s">
        <v>25</v>
      </c>
      <c r="M422" s="49">
        <f t="shared" si="19"/>
        <v>86.356731737564658</v>
      </c>
      <c r="N422" s="49">
        <f t="shared" si="20"/>
        <v>-4.8376211779634914E-3</v>
      </c>
      <c r="O422" s="49">
        <v>2</v>
      </c>
    </row>
    <row r="423" spans="1:15" ht="112.05" customHeight="1" x14ac:dyDescent="0.3">
      <c r="A423" s="110" t="s">
        <v>106</v>
      </c>
      <c r="B423" s="110" t="s">
        <v>150</v>
      </c>
      <c r="C423" s="110" t="s">
        <v>28</v>
      </c>
      <c r="D423" s="111">
        <v>9.76</v>
      </c>
      <c r="E423" s="111">
        <f>MLCF!G151</f>
        <v>87.900585188319411</v>
      </c>
      <c r="F423" s="111">
        <f>365*AVERAGE(MLCF!F31,MLCF!G31)/(-MLCF!G85)+365*AVERAGE(MLCF!F32,MLCF!G32)/MLCF!G84-365*(AVERAGE(MLCF!F51,MLCF!G51)-AVERAGE(MLCF!F253,MLCF!G253))/(-MLCF!G85)</f>
        <v>9.6262455175873143</v>
      </c>
      <c r="G423" s="115" t="s">
        <v>43</v>
      </c>
      <c r="H423" s="115" t="str">
        <f t="shared" si="18"/>
        <v>Unresolved published value</v>
      </c>
      <c r="I423" s="115" t="s">
        <v>22</v>
      </c>
      <c r="J423" s="115" t="s">
        <v>171</v>
      </c>
      <c r="K423" s="115" t="s">
        <v>132</v>
      </c>
      <c r="L423" s="115" t="s">
        <v>25</v>
      </c>
      <c r="M423" s="110">
        <f t="shared" si="19"/>
        <v>78.140585188319406</v>
      </c>
      <c r="N423" s="110">
        <f t="shared" si="20"/>
        <v>-0.1337544824126855</v>
      </c>
      <c r="O423" s="110">
        <v>2</v>
      </c>
    </row>
    <row r="424" spans="1:15" ht="112.05" customHeight="1" x14ac:dyDescent="0.3">
      <c r="A424" s="49" t="s">
        <v>106</v>
      </c>
      <c r="B424" s="49" t="s">
        <v>150</v>
      </c>
      <c r="C424" s="49" t="s">
        <v>29</v>
      </c>
      <c r="D424" s="112">
        <v>12.21</v>
      </c>
      <c r="E424" s="112">
        <f>MLCF!H151</f>
        <v>102.9163012483726</v>
      </c>
      <c r="F424" s="112">
        <f>365*AVERAGE(MLCF!G31,MLCF!H31)/(-MLCF!H85)+365*AVERAGE(MLCF!G32,MLCF!H32)/MLCF!H84-365*(AVERAGE(MLCF!G51,MLCF!H51)-AVERAGE(MLCF!G253,MLCF!H253))/(-MLCF!H85)</f>
        <v>12.205862982549085</v>
      </c>
      <c r="G424" s="116" t="s">
        <v>43</v>
      </c>
      <c r="H424" s="116" t="str">
        <f t="shared" si="18"/>
        <v>Reproduced to precision</v>
      </c>
      <c r="I424" s="116" t="s">
        <v>22</v>
      </c>
      <c r="J424" s="116" t="s">
        <v>171</v>
      </c>
      <c r="K424" s="116" t="s">
        <v>132</v>
      </c>
      <c r="L424" s="116" t="s">
        <v>25</v>
      </c>
      <c r="M424" s="49">
        <f t="shared" si="19"/>
        <v>90.706301248372597</v>
      </c>
      <c r="N424" s="49">
        <f t="shared" si="20"/>
        <v>-4.1370174509154367E-3</v>
      </c>
      <c r="O424" s="49">
        <v>2</v>
      </c>
    </row>
    <row r="425" spans="1:15" ht="112.05" customHeight="1" x14ac:dyDescent="0.3">
      <c r="A425" s="110" t="s">
        <v>106</v>
      </c>
      <c r="B425" s="110" t="s">
        <v>151</v>
      </c>
      <c r="C425" s="110" t="s">
        <v>20</v>
      </c>
      <c r="D425" s="111">
        <v>0.28000000000000003</v>
      </c>
      <c r="E425" s="111">
        <f>MLCF!D156</f>
        <v>0.76437918786583992</v>
      </c>
      <c r="F425" s="111">
        <f>(MLCF!D43+MLCF!D55+MLCF!D45+MLCF!D57+MLCF!D44+MLCF!D56)/(MLCF!D43+MLCF!D55+MLCF!D45+MLCF!D57+MLCF!D44+MLCF!D56+MLCF!D41)</f>
        <v>0.27779845315437596</v>
      </c>
      <c r="G425" s="115" t="s">
        <v>174</v>
      </c>
      <c r="H425" s="115" t="str">
        <f t="shared" si="18"/>
        <v>Reproduced to precision</v>
      </c>
      <c r="I425" s="115" t="s">
        <v>175</v>
      </c>
      <c r="J425" s="115" t="s">
        <v>171</v>
      </c>
      <c r="K425" s="115" t="s">
        <v>132</v>
      </c>
      <c r="L425" s="115" t="s">
        <v>35</v>
      </c>
      <c r="M425" s="110">
        <f t="shared" si="19"/>
        <v>0.48437918786583989</v>
      </c>
      <c r="N425" s="110">
        <f t="shared" si="20"/>
        <v>-2.2015468456240694E-3</v>
      </c>
      <c r="O425" s="110">
        <v>2</v>
      </c>
    </row>
    <row r="426" spans="1:15" ht="112.05" customHeight="1" x14ac:dyDescent="0.3">
      <c r="A426" s="49" t="s">
        <v>106</v>
      </c>
      <c r="B426" s="49" t="s">
        <v>151</v>
      </c>
      <c r="C426" s="49" t="s">
        <v>26</v>
      </c>
      <c r="D426" s="112">
        <v>0.36</v>
      </c>
      <c r="E426" s="112">
        <f>MLCF!E156</f>
        <v>1.0270267904681609</v>
      </c>
      <c r="F426" s="112">
        <f>(MLCF!E43+MLCF!E55+MLCF!E45+MLCF!E57+MLCF!E44+MLCF!E56)/(MLCF!E43+MLCF!E55+MLCF!E45+MLCF!E57+MLCF!E44+MLCF!E56+MLCF!E41)</f>
        <v>0.35551036920968176</v>
      </c>
      <c r="G426" s="116" t="s">
        <v>174</v>
      </c>
      <c r="H426" s="116" t="str">
        <f t="shared" si="18"/>
        <v>Reproduced to precision</v>
      </c>
      <c r="I426" s="116" t="s">
        <v>175</v>
      </c>
      <c r="J426" s="116" t="s">
        <v>171</v>
      </c>
      <c r="K426" s="116" t="s">
        <v>132</v>
      </c>
      <c r="L426" s="116" t="s">
        <v>35</v>
      </c>
      <c r="M426" s="49">
        <f t="shared" si="19"/>
        <v>0.66702679046816093</v>
      </c>
      <c r="N426" s="49">
        <f t="shared" si="20"/>
        <v>-4.489630790318222E-3</v>
      </c>
      <c r="O426" s="49">
        <v>2</v>
      </c>
    </row>
    <row r="427" spans="1:15" ht="112.05" customHeight="1" x14ac:dyDescent="0.3">
      <c r="A427" s="110" t="s">
        <v>106</v>
      </c>
      <c r="B427" s="110" t="s">
        <v>151</v>
      </c>
      <c r="C427" s="110" t="s">
        <v>27</v>
      </c>
      <c r="D427" s="111">
        <v>0.32</v>
      </c>
      <c r="E427" s="111">
        <f>MLCF!F156</f>
        <v>0.99736119388203615</v>
      </c>
      <c r="F427" s="111">
        <f>(MLCF!F43+MLCF!F55+MLCF!F45+MLCF!F57+MLCF!F44+MLCF!F56)/(MLCF!F43+MLCF!F55+MLCF!F45+MLCF!F57+MLCF!F44+MLCF!F56+MLCF!F41)</f>
        <v>0.31506914660833507</v>
      </c>
      <c r="G427" s="115" t="s">
        <v>174</v>
      </c>
      <c r="H427" s="115" t="str">
        <f t="shared" si="18"/>
        <v>Reproduced to precision</v>
      </c>
      <c r="I427" s="115" t="s">
        <v>175</v>
      </c>
      <c r="J427" s="115" t="s">
        <v>171</v>
      </c>
      <c r="K427" s="115" t="s">
        <v>132</v>
      </c>
      <c r="L427" s="115" t="s">
        <v>35</v>
      </c>
      <c r="M427" s="110">
        <f t="shared" si="19"/>
        <v>0.67736119388203608</v>
      </c>
      <c r="N427" s="110">
        <f t="shared" si="20"/>
        <v>-4.9308533916649355E-3</v>
      </c>
      <c r="O427" s="110">
        <v>2</v>
      </c>
    </row>
    <row r="428" spans="1:15" ht="112.05" customHeight="1" x14ac:dyDescent="0.3">
      <c r="A428" s="49" t="s">
        <v>106</v>
      </c>
      <c r="B428" s="49" t="s">
        <v>151</v>
      </c>
      <c r="C428" s="49" t="s">
        <v>28</v>
      </c>
      <c r="D428" s="112">
        <v>0.26</v>
      </c>
      <c r="E428" s="112">
        <f>MLCF!G156</f>
        <v>0.88851025815234452</v>
      </c>
      <c r="F428" s="112">
        <f>(MLCF!G43+MLCF!G55+MLCF!G45+MLCF!G57+MLCF!G44+MLCF!G56)/(MLCF!G43+MLCF!G55+MLCF!G45+MLCF!G57+MLCF!G44+MLCF!G56+MLCF!G41)</f>
        <v>0.2585538948880502</v>
      </c>
      <c r="G428" s="116" t="s">
        <v>174</v>
      </c>
      <c r="H428" s="116" t="str">
        <f t="shared" si="18"/>
        <v>Reproduced to precision</v>
      </c>
      <c r="I428" s="116" t="s">
        <v>175</v>
      </c>
      <c r="J428" s="116" t="s">
        <v>171</v>
      </c>
      <c r="K428" s="116" t="s">
        <v>132</v>
      </c>
      <c r="L428" s="116" t="s">
        <v>35</v>
      </c>
      <c r="M428" s="49">
        <f t="shared" si="19"/>
        <v>0.62851025815234451</v>
      </c>
      <c r="N428" s="49">
        <f t="shared" si="20"/>
        <v>-1.4461051119498136E-3</v>
      </c>
      <c r="O428" s="49">
        <v>2</v>
      </c>
    </row>
    <row r="429" spans="1:15" ht="112.05" customHeight="1" x14ac:dyDescent="0.3">
      <c r="A429" s="110" t="s">
        <v>106</v>
      </c>
      <c r="B429" s="110" t="s">
        <v>151</v>
      </c>
      <c r="C429" s="110" t="s">
        <v>29</v>
      </c>
      <c r="D429" s="111">
        <v>0.17</v>
      </c>
      <c r="E429" s="111">
        <f>MLCF!H156</f>
        <v>0.66671729059716445</v>
      </c>
      <c r="F429" s="111">
        <f>(MLCF!H43+MLCF!H55+MLCF!H45+MLCF!H57+MLCF!H44+MLCF!H56)/(MLCF!H43+MLCF!H55+MLCF!H45+MLCF!H57+MLCF!H44+MLCF!H56+MLCF!H41)</f>
        <v>0.16584912519529621</v>
      </c>
      <c r="G429" s="115" t="s">
        <v>174</v>
      </c>
      <c r="H429" s="115" t="str">
        <f t="shared" si="18"/>
        <v>Reproduced to precision</v>
      </c>
      <c r="I429" s="115" t="s">
        <v>175</v>
      </c>
      <c r="J429" s="115" t="s">
        <v>171</v>
      </c>
      <c r="K429" s="115" t="s">
        <v>132</v>
      </c>
      <c r="L429" s="115" t="s">
        <v>35</v>
      </c>
      <c r="M429" s="110">
        <f t="shared" si="19"/>
        <v>0.49671729059716441</v>
      </c>
      <c r="N429" s="110">
        <f t="shared" si="20"/>
        <v>-4.1508748047038024E-3</v>
      </c>
      <c r="O429" s="110">
        <v>2</v>
      </c>
    </row>
    <row r="430" spans="1:15" ht="112.05" customHeight="1" x14ac:dyDescent="0.3">
      <c r="A430" s="49" t="s">
        <v>106</v>
      </c>
      <c r="B430" s="49" t="s">
        <v>154</v>
      </c>
      <c r="C430" s="49" t="s">
        <v>20</v>
      </c>
      <c r="D430" s="113">
        <v>0.22359999999999999</v>
      </c>
      <c r="E430" s="113">
        <f>MLCF!D161</f>
        <v>0.20830714445240356</v>
      </c>
      <c r="F430" s="113">
        <f>MLCF!D86/MLCF!D84</f>
        <v>0.20830714445240356</v>
      </c>
      <c r="G430" s="116" t="s">
        <v>21</v>
      </c>
      <c r="H430" s="116" t="str">
        <f t="shared" si="18"/>
        <v>Unresolved published value</v>
      </c>
      <c r="I430" s="116" t="s">
        <v>176</v>
      </c>
      <c r="J430" s="116" t="s">
        <v>171</v>
      </c>
      <c r="K430" s="116" t="s">
        <v>132</v>
      </c>
      <c r="L430" s="116" t="s">
        <v>177</v>
      </c>
      <c r="M430" s="49">
        <f t="shared" si="19"/>
        <v>-1.5292855547596435E-2</v>
      </c>
      <c r="N430" s="49">
        <f t="shared" si="20"/>
        <v>-1.5292855547596435E-2</v>
      </c>
      <c r="O430" s="49">
        <v>4</v>
      </c>
    </row>
    <row r="431" spans="1:15" ht="112.05" customHeight="1" x14ac:dyDescent="0.3">
      <c r="A431" s="110" t="s">
        <v>106</v>
      </c>
      <c r="B431" s="110" t="s">
        <v>154</v>
      </c>
      <c r="C431" s="110" t="s">
        <v>26</v>
      </c>
      <c r="D431" s="114">
        <v>0.26740000000000003</v>
      </c>
      <c r="E431" s="114">
        <f>MLCF!E161</f>
        <v>0.25300003367709667</v>
      </c>
      <c r="F431" s="114">
        <f>MLCF!E86/MLCF!E84</f>
        <v>0.25300003367709667</v>
      </c>
      <c r="G431" s="115" t="s">
        <v>21</v>
      </c>
      <c r="H431" s="115" t="str">
        <f t="shared" si="18"/>
        <v>Unresolved published value</v>
      </c>
      <c r="I431" s="115" t="s">
        <v>176</v>
      </c>
      <c r="J431" s="115" t="s">
        <v>171</v>
      </c>
      <c r="K431" s="115" t="s">
        <v>132</v>
      </c>
      <c r="L431" s="115" t="s">
        <v>177</v>
      </c>
      <c r="M431" s="110">
        <f t="shared" si="19"/>
        <v>-1.4399966322903357E-2</v>
      </c>
      <c r="N431" s="110">
        <f t="shared" si="20"/>
        <v>-1.4399966322903357E-2</v>
      </c>
      <c r="O431" s="110">
        <v>4</v>
      </c>
    </row>
    <row r="432" spans="1:15" ht="112.05" customHeight="1" x14ac:dyDescent="0.3">
      <c r="A432" s="49" t="s">
        <v>106</v>
      </c>
      <c r="B432" s="49" t="s">
        <v>154</v>
      </c>
      <c r="C432" s="49" t="s">
        <v>27</v>
      </c>
      <c r="D432" s="113">
        <v>0.2928</v>
      </c>
      <c r="E432" s="113">
        <f>MLCF!F161</f>
        <v>0.29276322471727417</v>
      </c>
      <c r="F432" s="113">
        <f>MLCF!F86/MLCF!F84</f>
        <v>0.29276322471727417</v>
      </c>
      <c r="G432" s="116" t="s">
        <v>21</v>
      </c>
      <c r="H432" s="116" t="str">
        <f t="shared" si="18"/>
        <v>Reproduced to precision</v>
      </c>
      <c r="I432" s="116" t="s">
        <v>176</v>
      </c>
      <c r="J432" s="116" t="s">
        <v>171</v>
      </c>
      <c r="K432" s="116" t="s">
        <v>132</v>
      </c>
      <c r="L432" s="116" t="s">
        <v>177</v>
      </c>
      <c r="M432" s="49">
        <f t="shared" si="19"/>
        <v>-3.6775282725831637E-5</v>
      </c>
      <c r="N432" s="49">
        <f t="shared" si="20"/>
        <v>-3.6775282725831637E-5</v>
      </c>
      <c r="O432" s="49">
        <v>4</v>
      </c>
    </row>
    <row r="433" spans="1:15" ht="112.05" customHeight="1" x14ac:dyDescent="0.3">
      <c r="A433" s="110" t="s">
        <v>106</v>
      </c>
      <c r="B433" s="110" t="s">
        <v>154</v>
      </c>
      <c r="C433" s="110" t="s">
        <v>28</v>
      </c>
      <c r="D433" s="114">
        <v>0.3155</v>
      </c>
      <c r="E433" s="114">
        <f>MLCF!G161</f>
        <v>0.31547845382378364</v>
      </c>
      <c r="F433" s="114">
        <f>MLCF!G86/MLCF!G84</f>
        <v>0.31547845382378364</v>
      </c>
      <c r="G433" s="115" t="s">
        <v>21</v>
      </c>
      <c r="H433" s="115" t="str">
        <f t="shared" si="18"/>
        <v>Reproduced to precision</v>
      </c>
      <c r="I433" s="115" t="s">
        <v>176</v>
      </c>
      <c r="J433" s="115" t="s">
        <v>171</v>
      </c>
      <c r="K433" s="115" t="s">
        <v>132</v>
      </c>
      <c r="L433" s="115" t="s">
        <v>177</v>
      </c>
      <c r="M433" s="110">
        <f t="shared" si="19"/>
        <v>-2.1546176216358237E-5</v>
      </c>
      <c r="N433" s="110">
        <f t="shared" si="20"/>
        <v>-2.1546176216358237E-5</v>
      </c>
      <c r="O433" s="110">
        <v>4</v>
      </c>
    </row>
    <row r="434" spans="1:15" ht="112.05" customHeight="1" x14ac:dyDescent="0.3">
      <c r="A434" s="49" t="s">
        <v>106</v>
      </c>
      <c r="B434" s="49" t="s">
        <v>154</v>
      </c>
      <c r="C434" s="49" t="s">
        <v>29</v>
      </c>
      <c r="D434" s="113">
        <v>0.34439999999999998</v>
      </c>
      <c r="E434" s="113">
        <f>MLCF!H161</f>
        <v>0.34444405990469212</v>
      </c>
      <c r="F434" s="113">
        <f>MLCF!H86/MLCF!H84</f>
        <v>0.34444405990469212</v>
      </c>
      <c r="G434" s="116" t="s">
        <v>21</v>
      </c>
      <c r="H434" s="116" t="str">
        <f t="shared" si="18"/>
        <v>Reproduced to precision</v>
      </c>
      <c r="I434" s="116" t="s">
        <v>176</v>
      </c>
      <c r="J434" s="116" t="s">
        <v>171</v>
      </c>
      <c r="K434" s="116" t="s">
        <v>132</v>
      </c>
      <c r="L434" s="116" t="s">
        <v>177</v>
      </c>
      <c r="M434" s="49">
        <f t="shared" si="19"/>
        <v>4.4059904692139717E-5</v>
      </c>
      <c r="N434" s="49">
        <f t="shared" si="20"/>
        <v>4.4059904692139717E-5</v>
      </c>
      <c r="O434" s="49">
        <v>4</v>
      </c>
    </row>
    <row r="435" spans="1:15" ht="112.05" customHeight="1" x14ac:dyDescent="0.3">
      <c r="A435" s="110" t="s">
        <v>106</v>
      </c>
      <c r="B435" s="110" t="s">
        <v>155</v>
      </c>
      <c r="C435" s="110" t="s">
        <v>20</v>
      </c>
      <c r="D435" s="114">
        <v>0.17599999999999999</v>
      </c>
      <c r="E435" s="114">
        <f>MLCF!D163</f>
        <v>0.1759822170452098</v>
      </c>
      <c r="F435" s="114">
        <f>MLCF!D99/MLCF!D84</f>
        <v>0.1759822170452098</v>
      </c>
      <c r="G435" s="115" t="s">
        <v>21</v>
      </c>
      <c r="H435" s="115" t="str">
        <f t="shared" si="18"/>
        <v>Reproduced to precision</v>
      </c>
      <c r="I435" s="115" t="s">
        <v>22</v>
      </c>
      <c r="J435" s="115" t="s">
        <v>171</v>
      </c>
      <c r="K435" s="115" t="s">
        <v>132</v>
      </c>
      <c r="L435" s="115" t="s">
        <v>25</v>
      </c>
      <c r="M435" s="110">
        <f t="shared" si="19"/>
        <v>-1.7782954790185324E-5</v>
      </c>
      <c r="N435" s="110">
        <f t="shared" si="20"/>
        <v>-1.7782954790185324E-5</v>
      </c>
      <c r="O435" s="110">
        <v>4</v>
      </c>
    </row>
    <row r="436" spans="1:15" ht="112.05" customHeight="1" x14ac:dyDescent="0.3">
      <c r="A436" s="49" t="s">
        <v>106</v>
      </c>
      <c r="B436" s="49" t="s">
        <v>155</v>
      </c>
      <c r="C436" s="49" t="s">
        <v>26</v>
      </c>
      <c r="D436" s="113">
        <v>7.4700000000000003E-2</v>
      </c>
      <c r="E436" s="113">
        <f>MLCF!E163</f>
        <v>7.4739658936337147E-2</v>
      </c>
      <c r="F436" s="113">
        <f>MLCF!E99/MLCF!E84</f>
        <v>7.4739658936337147E-2</v>
      </c>
      <c r="G436" s="116" t="s">
        <v>21</v>
      </c>
      <c r="H436" s="116" t="str">
        <f t="shared" si="18"/>
        <v>Reproduced to precision</v>
      </c>
      <c r="I436" s="116" t="s">
        <v>22</v>
      </c>
      <c r="J436" s="116" t="s">
        <v>171</v>
      </c>
      <c r="K436" s="116" t="s">
        <v>132</v>
      </c>
      <c r="L436" s="116" t="s">
        <v>25</v>
      </c>
      <c r="M436" s="49">
        <f t="shared" si="19"/>
        <v>3.9658936337144679E-5</v>
      </c>
      <c r="N436" s="49">
        <f t="shared" si="20"/>
        <v>3.9658936337144679E-5</v>
      </c>
      <c r="O436" s="49">
        <v>4</v>
      </c>
    </row>
    <row r="437" spans="1:15" ht="112.05" customHeight="1" x14ac:dyDescent="0.3">
      <c r="A437" s="110" t="s">
        <v>106</v>
      </c>
      <c r="B437" s="110" t="s">
        <v>155</v>
      </c>
      <c r="C437" s="110" t="s">
        <v>27</v>
      </c>
      <c r="D437" s="114">
        <v>7.2400000000000006E-2</v>
      </c>
      <c r="E437" s="114">
        <f>MLCF!F163</f>
        <v>7.2358441549152441E-2</v>
      </c>
      <c r="F437" s="114">
        <f>MLCF!F99/MLCF!F84</f>
        <v>7.2358441549152441E-2</v>
      </c>
      <c r="G437" s="115" t="s">
        <v>21</v>
      </c>
      <c r="H437" s="115" t="str">
        <f t="shared" si="18"/>
        <v>Reproduced to precision</v>
      </c>
      <c r="I437" s="115" t="s">
        <v>22</v>
      </c>
      <c r="J437" s="115" t="s">
        <v>171</v>
      </c>
      <c r="K437" s="115" t="s">
        <v>132</v>
      </c>
      <c r="L437" s="115" t="s">
        <v>25</v>
      </c>
      <c r="M437" s="110">
        <f t="shared" si="19"/>
        <v>-4.155845084756471E-5</v>
      </c>
      <c r="N437" s="110">
        <f t="shared" si="20"/>
        <v>-4.155845084756471E-5</v>
      </c>
      <c r="O437" s="110">
        <v>4</v>
      </c>
    </row>
    <row r="438" spans="1:15" ht="112.05" customHeight="1" x14ac:dyDescent="0.3">
      <c r="A438" s="49" t="s">
        <v>106</v>
      </c>
      <c r="B438" s="49" t="s">
        <v>155</v>
      </c>
      <c r="C438" s="49" t="s">
        <v>28</v>
      </c>
      <c r="D438" s="113">
        <v>7.9299999999999995E-2</v>
      </c>
      <c r="E438" s="113">
        <f>MLCF!G163</f>
        <v>7.9342975209845082E-2</v>
      </c>
      <c r="F438" s="113">
        <f>MLCF!G99/MLCF!G84</f>
        <v>7.9342975209845082E-2</v>
      </c>
      <c r="G438" s="116" t="s">
        <v>21</v>
      </c>
      <c r="H438" s="116" t="str">
        <f t="shared" si="18"/>
        <v>Reproduced to precision</v>
      </c>
      <c r="I438" s="116" t="s">
        <v>22</v>
      </c>
      <c r="J438" s="116" t="s">
        <v>171</v>
      </c>
      <c r="K438" s="116" t="s">
        <v>132</v>
      </c>
      <c r="L438" s="116" t="s">
        <v>25</v>
      </c>
      <c r="M438" s="49">
        <f t="shared" si="19"/>
        <v>4.2975209845086404E-5</v>
      </c>
      <c r="N438" s="49">
        <f t="shared" si="20"/>
        <v>4.2975209845086404E-5</v>
      </c>
      <c r="O438" s="49">
        <v>4</v>
      </c>
    </row>
    <row r="439" spans="1:15" ht="112.05" customHeight="1" x14ac:dyDescent="0.3">
      <c r="A439" s="110" t="s">
        <v>106</v>
      </c>
      <c r="B439" s="110" t="s">
        <v>155</v>
      </c>
      <c r="C439" s="110" t="s">
        <v>29</v>
      </c>
      <c r="D439" s="114">
        <v>0.24709999999999999</v>
      </c>
      <c r="E439" s="114">
        <f>MLCF!H163</f>
        <v>0.24711008947956384</v>
      </c>
      <c r="F439" s="114">
        <f>MLCF!H99/MLCF!H84</f>
        <v>0.24711008947956384</v>
      </c>
      <c r="G439" s="115" t="s">
        <v>21</v>
      </c>
      <c r="H439" s="115" t="str">
        <f t="shared" si="18"/>
        <v>Reproduced to precision</v>
      </c>
      <c r="I439" s="115" t="s">
        <v>22</v>
      </c>
      <c r="J439" s="115" t="s">
        <v>171</v>
      </c>
      <c r="K439" s="115" t="s">
        <v>132</v>
      </c>
      <c r="L439" s="115" t="s">
        <v>25</v>
      </c>
      <c r="M439" s="110">
        <f t="shared" si="19"/>
        <v>1.0089479563851755E-5</v>
      </c>
      <c r="N439" s="110">
        <f t="shared" si="20"/>
        <v>1.0089479563851755E-5</v>
      </c>
      <c r="O439" s="110">
        <v>4</v>
      </c>
    </row>
    <row r="440" spans="1:15" ht="112.05" customHeight="1" x14ac:dyDescent="0.3">
      <c r="A440" s="49" t="s">
        <v>106</v>
      </c>
      <c r="B440" s="49" t="s">
        <v>53</v>
      </c>
      <c r="C440" s="49" t="s">
        <v>20</v>
      </c>
      <c r="D440" s="113">
        <v>0.1666</v>
      </c>
      <c r="E440" s="113">
        <f>MLCF!D165</f>
        <v>0.18163818640771748</v>
      </c>
      <c r="F440" s="113">
        <f>MLCF!D99/MLCF!D41</f>
        <v>0.16658725897109622</v>
      </c>
      <c r="G440" s="116" t="s">
        <v>54</v>
      </c>
      <c r="H440" s="116" t="str">
        <f t="shared" si="18"/>
        <v>Reproduced to precision</v>
      </c>
      <c r="I440" s="116" t="s">
        <v>22</v>
      </c>
      <c r="J440" s="116" t="s">
        <v>171</v>
      </c>
      <c r="K440" s="116" t="s">
        <v>132</v>
      </c>
      <c r="L440" s="116" t="s">
        <v>25</v>
      </c>
      <c r="M440" s="49">
        <f t="shared" si="19"/>
        <v>1.503818640771748E-2</v>
      </c>
      <c r="N440" s="49">
        <f t="shared" si="20"/>
        <v>-1.2741028903778817E-5</v>
      </c>
      <c r="O440" s="49">
        <v>4</v>
      </c>
    </row>
    <row r="441" spans="1:15" ht="112.05" customHeight="1" x14ac:dyDescent="0.3">
      <c r="A441" s="110" t="s">
        <v>106</v>
      </c>
      <c r="B441" s="110" t="s">
        <v>53</v>
      </c>
      <c r="C441" s="110" t="s">
        <v>26</v>
      </c>
      <c r="D441" s="114">
        <v>8.9399999999999993E-2</v>
      </c>
      <c r="E441" s="114">
        <f>MLCF!E165</f>
        <v>9.286217037724577E-2</v>
      </c>
      <c r="F441" s="114">
        <f>MLCF!E99/MLCF!E41</f>
        <v>8.9408976031592494E-2</v>
      </c>
      <c r="G441" s="115" t="s">
        <v>54</v>
      </c>
      <c r="H441" s="115" t="str">
        <f t="shared" si="18"/>
        <v>Reproduced to precision</v>
      </c>
      <c r="I441" s="115" t="s">
        <v>22</v>
      </c>
      <c r="J441" s="115" t="s">
        <v>171</v>
      </c>
      <c r="K441" s="115" t="s">
        <v>132</v>
      </c>
      <c r="L441" s="115" t="s">
        <v>25</v>
      </c>
      <c r="M441" s="110">
        <f t="shared" si="19"/>
        <v>3.4621703772457768E-3</v>
      </c>
      <c r="N441" s="110">
        <f t="shared" si="20"/>
        <v>8.9760315925002665E-6</v>
      </c>
      <c r="O441" s="110">
        <v>4</v>
      </c>
    </row>
    <row r="442" spans="1:15" ht="112.05" customHeight="1" x14ac:dyDescent="0.3">
      <c r="A442" s="49" t="s">
        <v>106</v>
      </c>
      <c r="B442" s="49" t="s">
        <v>53</v>
      </c>
      <c r="C442" s="49" t="s">
        <v>27</v>
      </c>
      <c r="D442" s="113">
        <v>0.1</v>
      </c>
      <c r="E442" s="113">
        <f>MLCF!F165</f>
        <v>0.10510254167180039</v>
      </c>
      <c r="F442" s="113">
        <f>MLCF!F99/MLCF!F41</f>
        <v>0.10000796203977304</v>
      </c>
      <c r="G442" s="116" t="s">
        <v>54</v>
      </c>
      <c r="H442" s="116" t="str">
        <f t="shared" si="18"/>
        <v>Reproduced to precision</v>
      </c>
      <c r="I442" s="116" t="s">
        <v>22</v>
      </c>
      <c r="J442" s="116" t="s">
        <v>171</v>
      </c>
      <c r="K442" s="116" t="s">
        <v>132</v>
      </c>
      <c r="L442" s="116" t="s">
        <v>25</v>
      </c>
      <c r="M442" s="49">
        <f t="shared" si="19"/>
        <v>5.1025416718003813E-3</v>
      </c>
      <c r="N442" s="49">
        <f t="shared" si="20"/>
        <v>7.9620397730323367E-6</v>
      </c>
      <c r="O442" s="49">
        <v>4</v>
      </c>
    </row>
    <row r="443" spans="1:15" ht="112.05" customHeight="1" x14ac:dyDescent="0.3">
      <c r="A443" s="110" t="s">
        <v>106</v>
      </c>
      <c r="B443" s="110" t="s">
        <v>53</v>
      </c>
      <c r="C443" s="110" t="s">
        <v>28</v>
      </c>
      <c r="D443" s="114">
        <v>0.1002</v>
      </c>
      <c r="E443" s="114">
        <f>MLCF!G165</f>
        <v>0.10812221617479151</v>
      </c>
      <c r="F443" s="114">
        <f>MLCF!G99/MLCF!G41</f>
        <v>0.10020784968682853</v>
      </c>
      <c r="G443" s="115" t="s">
        <v>54</v>
      </c>
      <c r="H443" s="115" t="str">
        <f t="shared" si="18"/>
        <v>Reproduced to precision</v>
      </c>
      <c r="I443" s="115" t="s">
        <v>22</v>
      </c>
      <c r="J443" s="115" t="s">
        <v>171</v>
      </c>
      <c r="K443" s="115" t="s">
        <v>132</v>
      </c>
      <c r="L443" s="115" t="s">
        <v>25</v>
      </c>
      <c r="M443" s="110">
        <f t="shared" si="19"/>
        <v>7.9222161747915104E-3</v>
      </c>
      <c r="N443" s="110">
        <f t="shared" si="20"/>
        <v>7.8496868285288235E-6</v>
      </c>
      <c r="O443" s="110">
        <v>4</v>
      </c>
    </row>
    <row r="444" spans="1:15" ht="112.05" customHeight="1" x14ac:dyDescent="0.3">
      <c r="A444" s="49" t="s">
        <v>106</v>
      </c>
      <c r="B444" s="49" t="s">
        <v>53</v>
      </c>
      <c r="C444" s="49" t="s">
        <v>29</v>
      </c>
      <c r="D444" s="113">
        <v>0.2384</v>
      </c>
      <c r="E444" s="113">
        <f>MLCF!H165</f>
        <v>0.2746085954343051</v>
      </c>
      <c r="F444" s="113">
        <f>MLCF!H99/MLCF!H41</f>
        <v>0.2383990269906105</v>
      </c>
      <c r="G444" s="116" t="s">
        <v>54</v>
      </c>
      <c r="H444" s="116" t="str">
        <f t="shared" si="18"/>
        <v>Reproduced to precision</v>
      </c>
      <c r="I444" s="116" t="s">
        <v>22</v>
      </c>
      <c r="J444" s="116" t="s">
        <v>171</v>
      </c>
      <c r="K444" s="116" t="s">
        <v>132</v>
      </c>
      <c r="L444" s="116" t="s">
        <v>25</v>
      </c>
      <c r="M444" s="49">
        <f t="shared" si="19"/>
        <v>3.6208595434305102E-2</v>
      </c>
      <c r="N444" s="49">
        <f t="shared" si="20"/>
        <v>-9.7300938950439786E-7</v>
      </c>
      <c r="O444" s="49">
        <v>4</v>
      </c>
    </row>
    <row r="445" spans="1:15" ht="112.05" customHeight="1" x14ac:dyDescent="0.3">
      <c r="A445" s="110" t="s">
        <v>106</v>
      </c>
      <c r="B445" s="110" t="s">
        <v>139</v>
      </c>
      <c r="C445" s="110" t="s">
        <v>20</v>
      </c>
      <c r="D445" s="111">
        <v>34.18</v>
      </c>
      <c r="E445" s="111">
        <f>MLCF!D169</f>
        <v>34.180972265393187</v>
      </c>
      <c r="F445" s="111">
        <f>MLCF!D41/(MLCF!D39/MLCF!D127)/'PSX Prices'!G21</f>
        <v>34.180972265393187</v>
      </c>
      <c r="G445" s="115" t="s">
        <v>121</v>
      </c>
      <c r="H445" s="115" t="str">
        <f t="shared" si="18"/>
        <v>Reproduced to precision</v>
      </c>
      <c r="I445" s="115" t="s">
        <v>178</v>
      </c>
      <c r="J445" s="115" t="s">
        <v>171</v>
      </c>
      <c r="K445" s="115" t="s">
        <v>132</v>
      </c>
      <c r="L445" s="115" t="s">
        <v>179</v>
      </c>
      <c r="M445" s="110">
        <f t="shared" si="19"/>
        <v>9.7226539318739924E-4</v>
      </c>
      <c r="N445" s="110">
        <f t="shared" si="20"/>
        <v>9.7226539318739924E-4</v>
      </c>
      <c r="O445" s="110">
        <v>2</v>
      </c>
    </row>
    <row r="446" spans="1:15" ht="112.05" customHeight="1" x14ac:dyDescent="0.3">
      <c r="A446" s="49" t="s">
        <v>106</v>
      </c>
      <c r="B446" s="49" t="s">
        <v>139</v>
      </c>
      <c r="C446" s="49" t="s">
        <v>26</v>
      </c>
      <c r="D446" s="112">
        <v>36.93</v>
      </c>
      <c r="E446" s="112">
        <f>MLCF!E169</f>
        <v>37.561557627459578</v>
      </c>
      <c r="F446" s="112">
        <f>MLCF!E41/(MLCF!E39/MLCF!E127)/'PSX Prices'!G22</f>
        <v>36.927350411008845</v>
      </c>
      <c r="G446" s="116" t="s">
        <v>121</v>
      </c>
      <c r="H446" s="116" t="str">
        <f t="shared" si="18"/>
        <v>Reproduced to precision</v>
      </c>
      <c r="I446" s="116" t="s">
        <v>178</v>
      </c>
      <c r="J446" s="116" t="s">
        <v>171</v>
      </c>
      <c r="K446" s="116" t="s">
        <v>132</v>
      </c>
      <c r="L446" s="116" t="s">
        <v>179</v>
      </c>
      <c r="M446" s="49">
        <f t="shared" si="19"/>
        <v>0.63155762745957844</v>
      </c>
      <c r="N446" s="49">
        <f t="shared" si="20"/>
        <v>-2.6495889911544168E-3</v>
      </c>
      <c r="O446" s="49">
        <v>2</v>
      </c>
    </row>
    <row r="447" spans="1:15" ht="112.05" customHeight="1" x14ac:dyDescent="0.3">
      <c r="A447" s="110" t="s">
        <v>106</v>
      </c>
      <c r="B447" s="110" t="s">
        <v>139</v>
      </c>
      <c r="C447" s="110" t="s">
        <v>27</v>
      </c>
      <c r="D447" s="111">
        <v>41.84</v>
      </c>
      <c r="E447" s="111">
        <f>MLCF!F169</f>
        <v>41.844014540695262</v>
      </c>
      <c r="F447" s="111">
        <f>MLCF!F41/(MLCF!F39/MLCF!F127)/'PSX Prices'!G23</f>
        <v>41.844014540695262</v>
      </c>
      <c r="G447" s="115" t="s">
        <v>121</v>
      </c>
      <c r="H447" s="115" t="str">
        <f t="shared" si="18"/>
        <v>Reproduced to precision</v>
      </c>
      <c r="I447" s="115" t="s">
        <v>178</v>
      </c>
      <c r="J447" s="115" t="s">
        <v>171</v>
      </c>
      <c r="K447" s="115" t="s">
        <v>132</v>
      </c>
      <c r="L447" s="115" t="s">
        <v>179</v>
      </c>
      <c r="M447" s="110">
        <f t="shared" si="19"/>
        <v>4.0145406952589724E-3</v>
      </c>
      <c r="N447" s="110">
        <f t="shared" si="20"/>
        <v>4.0145406952589724E-3</v>
      </c>
      <c r="O447" s="110">
        <v>2</v>
      </c>
    </row>
    <row r="448" spans="1:15" ht="112.05" customHeight="1" x14ac:dyDescent="0.3">
      <c r="A448" s="49" t="s">
        <v>106</v>
      </c>
      <c r="B448" s="49" t="s">
        <v>139</v>
      </c>
      <c r="C448" s="49" t="s">
        <v>28</v>
      </c>
      <c r="D448" s="112">
        <v>49.69</v>
      </c>
      <c r="E448" s="112">
        <f>MLCF!G169</f>
        <v>50.226982139301263</v>
      </c>
      <c r="F448" s="112">
        <f>MLCF!G41/(MLCF!G39/MLCF!G127)/'PSX Prices'!G24</f>
        <v>50.226982139301263</v>
      </c>
      <c r="G448" s="116" t="s">
        <v>121</v>
      </c>
      <c r="H448" s="116" t="str">
        <f t="shared" si="18"/>
        <v>Unresolved published value</v>
      </c>
      <c r="I448" s="116" t="s">
        <v>178</v>
      </c>
      <c r="J448" s="116" t="s">
        <v>171</v>
      </c>
      <c r="K448" s="116" t="s">
        <v>132</v>
      </c>
      <c r="L448" s="116" t="s">
        <v>179</v>
      </c>
      <c r="M448" s="49">
        <f t="shared" si="19"/>
        <v>0.5369821393012657</v>
      </c>
      <c r="N448" s="49">
        <f t="shared" si="20"/>
        <v>0.5369821393012657</v>
      </c>
      <c r="O448" s="49">
        <v>2</v>
      </c>
    </row>
    <row r="449" spans="1:15" ht="112.05" customHeight="1" x14ac:dyDescent="0.3">
      <c r="A449" s="110" t="s">
        <v>106</v>
      </c>
      <c r="B449" s="110" t="s">
        <v>139</v>
      </c>
      <c r="C449" s="110" t="s">
        <v>29</v>
      </c>
      <c r="D449" s="111">
        <v>68.22</v>
      </c>
      <c r="E449" s="111">
        <f>MLCF!H169</f>
        <v>68.217013474898792</v>
      </c>
      <c r="F449" s="111">
        <f>MLCF!H41/(MLCF!H39/MLCF!H127)/'PSX Prices'!G25</f>
        <v>68.217013474898792</v>
      </c>
      <c r="G449" s="115" t="s">
        <v>121</v>
      </c>
      <c r="H449" s="115" t="str">
        <f t="shared" si="18"/>
        <v>Reproduced to precision</v>
      </c>
      <c r="I449" s="115" t="s">
        <v>178</v>
      </c>
      <c r="J449" s="115" t="s">
        <v>171</v>
      </c>
      <c r="K449" s="115" t="s">
        <v>132</v>
      </c>
      <c r="L449" s="115" t="s">
        <v>179</v>
      </c>
      <c r="M449" s="110">
        <f t="shared" si="19"/>
        <v>-2.9865251012068939E-3</v>
      </c>
      <c r="N449" s="110">
        <f t="shared" si="20"/>
        <v>-2.9865251012068939E-3</v>
      </c>
      <c r="O449" s="110">
        <v>2</v>
      </c>
    </row>
    <row r="450" spans="1:15" ht="112.05" customHeight="1" x14ac:dyDescent="0.3">
      <c r="A450" s="49" t="s">
        <v>106</v>
      </c>
      <c r="B450" s="49" t="s">
        <v>162</v>
      </c>
      <c r="C450" s="49" t="s">
        <v>20</v>
      </c>
      <c r="D450" s="112">
        <v>1.37</v>
      </c>
      <c r="E450" s="112">
        <f>MLCF!D170</f>
        <v>1.3744489078669448</v>
      </c>
      <c r="F450" s="112">
        <f>'PSX Prices'!F21/'PSX Prices'!M21</f>
        <v>1.3744880046810999</v>
      </c>
      <c r="G450" s="116" t="s">
        <v>59</v>
      </c>
      <c r="H450" s="116" t="str">
        <f t="shared" si="18"/>
        <v>Reproduced to precision</v>
      </c>
      <c r="I450" s="116" t="s">
        <v>22</v>
      </c>
      <c r="J450" s="116" t="s">
        <v>171</v>
      </c>
      <c r="K450" s="116" t="s">
        <v>132</v>
      </c>
      <c r="L450" s="116" t="s">
        <v>25</v>
      </c>
      <c r="M450" s="49">
        <f t="shared" si="19"/>
        <v>4.4489078669447402E-3</v>
      </c>
      <c r="N450" s="49">
        <f t="shared" si="20"/>
        <v>4.4880046810997776E-3</v>
      </c>
      <c r="O450" s="49">
        <v>2</v>
      </c>
    </row>
    <row r="451" spans="1:15" ht="112.05" customHeight="1" x14ac:dyDescent="0.3">
      <c r="A451" s="110" t="s">
        <v>106</v>
      </c>
      <c r="B451" s="110" t="s">
        <v>162</v>
      </c>
      <c r="C451" s="110" t="s">
        <v>26</v>
      </c>
      <c r="D451" s="111">
        <v>0.74</v>
      </c>
      <c r="E451" s="111">
        <f>MLCF!E170</f>
        <v>0.72813806794864222</v>
      </c>
      <c r="F451" s="111">
        <f>'PSX Prices'!F22/'PSX Prices'!M22</f>
        <v>0.74059030598429465</v>
      </c>
      <c r="G451" s="115" t="s">
        <v>59</v>
      </c>
      <c r="H451" s="115" t="str">
        <f t="shared" si="18"/>
        <v>Reproduced to precision</v>
      </c>
      <c r="I451" s="115" t="s">
        <v>22</v>
      </c>
      <c r="J451" s="115" t="s">
        <v>171</v>
      </c>
      <c r="K451" s="115" t="s">
        <v>132</v>
      </c>
      <c r="L451" s="115" t="s">
        <v>25</v>
      </c>
      <c r="M451" s="110">
        <f t="shared" si="19"/>
        <v>-1.1861932051357771E-2</v>
      </c>
      <c r="N451" s="110">
        <f t="shared" si="20"/>
        <v>5.9030598429465897E-4</v>
      </c>
      <c r="O451" s="110">
        <v>2</v>
      </c>
    </row>
    <row r="452" spans="1:15" ht="112.05" customHeight="1" x14ac:dyDescent="0.3">
      <c r="A452" s="49" t="s">
        <v>106</v>
      </c>
      <c r="B452" s="49" t="s">
        <v>162</v>
      </c>
      <c r="C452" s="49" t="s">
        <v>27</v>
      </c>
      <c r="D452" s="112">
        <v>0.68</v>
      </c>
      <c r="E452" s="112">
        <f>MLCF!F170</f>
        <v>0.67703828877240613</v>
      </c>
      <c r="F452" s="112">
        <f>'PSX Prices'!F23/'PSX Prices'!M23</f>
        <v>0.67710325047801134</v>
      </c>
      <c r="G452" s="116" t="s">
        <v>59</v>
      </c>
      <c r="H452" s="116" t="str">
        <f t="shared" si="18"/>
        <v>Reproduced to precision</v>
      </c>
      <c r="I452" s="116" t="s">
        <v>22</v>
      </c>
      <c r="J452" s="116" t="s">
        <v>171</v>
      </c>
      <c r="K452" s="116" t="s">
        <v>132</v>
      </c>
      <c r="L452" s="116" t="s">
        <v>25</v>
      </c>
      <c r="M452" s="49">
        <f t="shared" si="19"/>
        <v>-2.9617112275939217E-3</v>
      </c>
      <c r="N452" s="49">
        <f t="shared" si="20"/>
        <v>-2.8967495219887063E-3</v>
      </c>
      <c r="O452" s="49">
        <v>2</v>
      </c>
    </row>
    <row r="453" spans="1:15" ht="112.05" customHeight="1" x14ac:dyDescent="0.3">
      <c r="A453" s="110" t="s">
        <v>106</v>
      </c>
      <c r="B453" s="110" t="s">
        <v>162</v>
      </c>
      <c r="C453" s="110" t="s">
        <v>28</v>
      </c>
      <c r="D453" s="111">
        <v>0.76</v>
      </c>
      <c r="E453" s="111">
        <f>MLCF!G170</f>
        <v>0.75656546305349337</v>
      </c>
      <c r="F453" s="111">
        <f>'PSX Prices'!F24/'PSX Prices'!M24</f>
        <v>0.76474139665928764</v>
      </c>
      <c r="G453" s="115" t="s">
        <v>59</v>
      </c>
      <c r="H453" s="115" t="str">
        <f t="shared" ref="H453:H516" si="21">IF(AND(ISNUMBER(D453),ISNUMBER(F453)),IF(ROUND(D453,O453)=ROUND(F453,O453),"Reproduced to precision","Unresolved published value"),"Not comparable")</f>
        <v>Reproduced to precision</v>
      </c>
      <c r="I453" s="115" t="s">
        <v>22</v>
      </c>
      <c r="J453" s="115" t="s">
        <v>171</v>
      </c>
      <c r="K453" s="115" t="s">
        <v>132</v>
      </c>
      <c r="L453" s="115" t="s">
        <v>25</v>
      </c>
      <c r="M453" s="110">
        <f t="shared" ref="M453:M516" si="22">IF(ISNUMBER(E453),E453-D453,"n/m")</f>
        <v>-3.4345369465066389E-3</v>
      </c>
      <c r="N453" s="110">
        <f t="shared" ref="N453:N516" si="23">IF(ISNUMBER(F453),F453-D453,"n/m")</f>
        <v>4.7413966592876333E-3</v>
      </c>
      <c r="O453" s="110">
        <v>2</v>
      </c>
    </row>
    <row r="454" spans="1:15" ht="112.05" customHeight="1" x14ac:dyDescent="0.3">
      <c r="A454" s="49" t="s">
        <v>106</v>
      </c>
      <c r="B454" s="49" t="s">
        <v>162</v>
      </c>
      <c r="C454" s="49" t="s">
        <v>29</v>
      </c>
      <c r="D454" s="112">
        <v>1.24</v>
      </c>
      <c r="E454" s="112">
        <f>MLCF!H170</f>
        <v>1.2354689205356633</v>
      </c>
      <c r="F454" s="112">
        <f>'PSX Prices'!F25/'PSX Prices'!M25</f>
        <v>1.2354148343594253</v>
      </c>
      <c r="G454" s="116" t="s">
        <v>59</v>
      </c>
      <c r="H454" s="116" t="str">
        <f t="shared" si="21"/>
        <v>Reproduced to precision</v>
      </c>
      <c r="I454" s="116" t="s">
        <v>22</v>
      </c>
      <c r="J454" s="116" t="s">
        <v>171</v>
      </c>
      <c r="K454" s="116" t="s">
        <v>132</v>
      </c>
      <c r="L454" s="116" t="s">
        <v>25</v>
      </c>
      <c r="M454" s="49">
        <f t="shared" si="22"/>
        <v>-4.5310794643367291E-3</v>
      </c>
      <c r="N454" s="49">
        <f t="shared" si="23"/>
        <v>-4.585165640574651E-3</v>
      </c>
      <c r="O454" s="49">
        <v>2</v>
      </c>
    </row>
    <row r="455" spans="1:15" ht="112.05" customHeight="1" x14ac:dyDescent="0.3">
      <c r="A455" s="110" t="s">
        <v>106</v>
      </c>
      <c r="B455" s="110" t="s">
        <v>143</v>
      </c>
      <c r="C455" s="110" t="s">
        <v>20</v>
      </c>
      <c r="D455" s="111">
        <v>5.69</v>
      </c>
      <c r="E455" s="111">
        <f>MLCF!D171</f>
        <v>5.6941155155115029</v>
      </c>
      <c r="F455" s="111">
        <f>MLCF!D99/'PSX Prices'!O21</f>
        <v>5.6941155155115029</v>
      </c>
      <c r="G455" s="115" t="s">
        <v>83</v>
      </c>
      <c r="H455" s="115" t="str">
        <f t="shared" si="21"/>
        <v>Reproduced to precision</v>
      </c>
      <c r="I455" s="115" t="s">
        <v>22</v>
      </c>
      <c r="J455" s="115" t="s">
        <v>171</v>
      </c>
      <c r="K455" s="115" t="s">
        <v>132</v>
      </c>
      <c r="L455" s="115" t="s">
        <v>25</v>
      </c>
      <c r="M455" s="110">
        <f t="shared" si="22"/>
        <v>4.1155155115024655E-3</v>
      </c>
      <c r="N455" s="110">
        <f t="shared" si="23"/>
        <v>4.1155155115024655E-3</v>
      </c>
      <c r="O455" s="110">
        <v>2</v>
      </c>
    </row>
    <row r="456" spans="1:15" ht="112.05" customHeight="1" x14ac:dyDescent="0.3">
      <c r="A456" s="49" t="s">
        <v>106</v>
      </c>
      <c r="B456" s="49" t="s">
        <v>143</v>
      </c>
      <c r="C456" s="49" t="s">
        <v>26</v>
      </c>
      <c r="D456" s="112">
        <v>3.3</v>
      </c>
      <c r="E456" s="112">
        <f>MLCF!E171</f>
        <v>3.3041099784606085</v>
      </c>
      <c r="F456" s="112">
        <f>MLCF!E99/'PSX Prices'!O22</f>
        <v>3.3041099784606085</v>
      </c>
      <c r="G456" s="116" t="s">
        <v>83</v>
      </c>
      <c r="H456" s="116" t="str">
        <f t="shared" si="21"/>
        <v>Reproduced to precision</v>
      </c>
      <c r="I456" s="116" t="s">
        <v>22</v>
      </c>
      <c r="J456" s="116" t="s">
        <v>171</v>
      </c>
      <c r="K456" s="116" t="s">
        <v>132</v>
      </c>
      <c r="L456" s="116" t="s">
        <v>25</v>
      </c>
      <c r="M456" s="49">
        <f t="shared" si="22"/>
        <v>4.1099784606086764E-3</v>
      </c>
      <c r="N456" s="49">
        <f t="shared" si="23"/>
        <v>4.1099784606086764E-3</v>
      </c>
      <c r="O456" s="49">
        <v>2</v>
      </c>
    </row>
    <row r="457" spans="1:15" ht="112.05" customHeight="1" x14ac:dyDescent="0.3">
      <c r="A457" s="110" t="s">
        <v>106</v>
      </c>
      <c r="B457" s="110" t="s">
        <v>143</v>
      </c>
      <c r="C457" s="110" t="s">
        <v>27</v>
      </c>
      <c r="D457" s="111">
        <v>4.18</v>
      </c>
      <c r="E457" s="111">
        <f>MLCF!F171</f>
        <v>4.1845053824045904</v>
      </c>
      <c r="F457" s="111">
        <f>MLCF!F99/'PSX Prices'!O23</f>
        <v>4.1845053824045904</v>
      </c>
      <c r="G457" s="115" t="s">
        <v>83</v>
      </c>
      <c r="H457" s="115" t="str">
        <f t="shared" si="21"/>
        <v>Reproduced to precision</v>
      </c>
      <c r="I457" s="115" t="s">
        <v>22</v>
      </c>
      <c r="J457" s="115" t="s">
        <v>171</v>
      </c>
      <c r="K457" s="115" t="s">
        <v>132</v>
      </c>
      <c r="L457" s="115" t="s">
        <v>25</v>
      </c>
      <c r="M457" s="110">
        <f t="shared" si="22"/>
        <v>4.505382404590641E-3</v>
      </c>
      <c r="N457" s="110">
        <f t="shared" si="23"/>
        <v>4.505382404590641E-3</v>
      </c>
      <c r="O457" s="110">
        <v>2</v>
      </c>
    </row>
    <row r="458" spans="1:15" ht="112.05" customHeight="1" x14ac:dyDescent="0.3">
      <c r="A458" s="49" t="s">
        <v>106</v>
      </c>
      <c r="B458" s="49" t="s">
        <v>143</v>
      </c>
      <c r="C458" s="49" t="s">
        <v>28</v>
      </c>
      <c r="D458" s="112">
        <v>4.9800000000000004</v>
      </c>
      <c r="E458" s="112">
        <f>MLCF!G171</f>
        <v>4.9791974962957211</v>
      </c>
      <c r="F458" s="112">
        <f>MLCF!G99/'PSX Prices'!O24</f>
        <v>4.9791974962957211</v>
      </c>
      <c r="G458" s="116" t="s">
        <v>83</v>
      </c>
      <c r="H458" s="116" t="str">
        <f t="shared" si="21"/>
        <v>Reproduced to precision</v>
      </c>
      <c r="I458" s="116" t="s">
        <v>22</v>
      </c>
      <c r="J458" s="116" t="s">
        <v>171</v>
      </c>
      <c r="K458" s="116" t="s">
        <v>132</v>
      </c>
      <c r="L458" s="116" t="s">
        <v>25</v>
      </c>
      <c r="M458" s="49">
        <f t="shared" si="22"/>
        <v>-8.0250370427936701E-4</v>
      </c>
      <c r="N458" s="49">
        <f t="shared" si="23"/>
        <v>-8.0250370427936701E-4</v>
      </c>
      <c r="O458" s="49">
        <v>2</v>
      </c>
    </row>
    <row r="459" spans="1:15" ht="112.05" customHeight="1" x14ac:dyDescent="0.3">
      <c r="A459" s="110" t="s">
        <v>106</v>
      </c>
      <c r="B459" s="110" t="s">
        <v>143</v>
      </c>
      <c r="C459" s="110" t="s">
        <v>29</v>
      </c>
      <c r="D459" s="111">
        <v>16.260000000000002</v>
      </c>
      <c r="E459" s="111">
        <f>MLCF!H171</f>
        <v>16.262863426829693</v>
      </c>
      <c r="F459" s="111">
        <f>MLCF!H99/'PSX Prices'!O25</f>
        <v>16.262863426829693</v>
      </c>
      <c r="G459" s="115" t="s">
        <v>83</v>
      </c>
      <c r="H459" s="115" t="str">
        <f t="shared" si="21"/>
        <v>Reproduced to precision</v>
      </c>
      <c r="I459" s="115" t="s">
        <v>22</v>
      </c>
      <c r="J459" s="115" t="s">
        <v>171</v>
      </c>
      <c r="K459" s="115" t="s">
        <v>132</v>
      </c>
      <c r="L459" s="115" t="s">
        <v>25</v>
      </c>
      <c r="M459" s="110">
        <f t="shared" si="22"/>
        <v>2.8634268296912069E-3</v>
      </c>
      <c r="N459" s="110">
        <f t="shared" si="23"/>
        <v>2.8634268296912069E-3</v>
      </c>
      <c r="O459" s="110">
        <v>2</v>
      </c>
    </row>
    <row r="460" spans="1:15" ht="112.05" customHeight="1" x14ac:dyDescent="0.3">
      <c r="A460" s="49" t="s">
        <v>106</v>
      </c>
      <c r="B460" s="49" t="s">
        <v>104</v>
      </c>
      <c r="C460" s="49" t="s">
        <v>20</v>
      </c>
      <c r="D460" s="113">
        <v>0</v>
      </c>
      <c r="E460" s="113">
        <f>MLCF!D173</f>
        <v>0</v>
      </c>
      <c r="F460" s="113">
        <f>'PSX Prices'!N21/'PSX Prices'!F21</f>
        <v>0</v>
      </c>
      <c r="G460" s="116" t="s">
        <v>105</v>
      </c>
      <c r="H460" s="116" t="str">
        <f t="shared" si="21"/>
        <v>Reproduced to precision</v>
      </c>
      <c r="I460" s="116" t="s">
        <v>22</v>
      </c>
      <c r="J460" s="116" t="s">
        <v>171</v>
      </c>
      <c r="K460" s="116" t="s">
        <v>132</v>
      </c>
      <c r="L460" s="116" t="s">
        <v>25</v>
      </c>
      <c r="M460" s="49">
        <f t="shared" si="22"/>
        <v>0</v>
      </c>
      <c r="N460" s="49">
        <f t="shared" si="23"/>
        <v>0</v>
      </c>
      <c r="O460" s="49">
        <v>4</v>
      </c>
    </row>
    <row r="461" spans="1:15" ht="112.05" customHeight="1" x14ac:dyDescent="0.3">
      <c r="A461" s="110" t="s">
        <v>106</v>
      </c>
      <c r="B461" s="110" t="s">
        <v>104</v>
      </c>
      <c r="C461" s="110" t="s">
        <v>26</v>
      </c>
      <c r="D461" s="114">
        <v>0</v>
      </c>
      <c r="E461" s="114">
        <f>MLCF!E173</f>
        <v>0</v>
      </c>
      <c r="F461" s="114">
        <f>'PSX Prices'!N22/'PSX Prices'!F22</f>
        <v>0</v>
      </c>
      <c r="G461" s="115" t="s">
        <v>105</v>
      </c>
      <c r="H461" s="115" t="str">
        <f t="shared" si="21"/>
        <v>Reproduced to precision</v>
      </c>
      <c r="I461" s="115" t="s">
        <v>22</v>
      </c>
      <c r="J461" s="115" t="s">
        <v>171</v>
      </c>
      <c r="K461" s="115" t="s">
        <v>132</v>
      </c>
      <c r="L461" s="115" t="s">
        <v>25</v>
      </c>
      <c r="M461" s="110">
        <f t="shared" si="22"/>
        <v>0</v>
      </c>
      <c r="N461" s="110">
        <f t="shared" si="23"/>
        <v>0</v>
      </c>
      <c r="O461" s="110">
        <v>4</v>
      </c>
    </row>
    <row r="462" spans="1:15" ht="112.05" customHeight="1" x14ac:dyDescent="0.3">
      <c r="A462" s="49" t="s">
        <v>106</v>
      </c>
      <c r="B462" s="49" t="s">
        <v>104</v>
      </c>
      <c r="C462" s="49" t="s">
        <v>27</v>
      </c>
      <c r="D462" s="113">
        <v>0</v>
      </c>
      <c r="E462" s="113">
        <f>MLCF!F173</f>
        <v>0</v>
      </c>
      <c r="F462" s="113">
        <f>'PSX Prices'!N23/'PSX Prices'!F23</f>
        <v>0</v>
      </c>
      <c r="G462" s="116" t="s">
        <v>105</v>
      </c>
      <c r="H462" s="116" t="str">
        <f t="shared" si="21"/>
        <v>Reproduced to precision</v>
      </c>
      <c r="I462" s="116" t="s">
        <v>22</v>
      </c>
      <c r="J462" s="116" t="s">
        <v>171</v>
      </c>
      <c r="K462" s="116" t="s">
        <v>132</v>
      </c>
      <c r="L462" s="116" t="s">
        <v>25</v>
      </c>
      <c r="M462" s="49">
        <f t="shared" si="22"/>
        <v>0</v>
      </c>
      <c r="N462" s="49">
        <f t="shared" si="23"/>
        <v>0</v>
      </c>
      <c r="O462" s="49">
        <v>4</v>
      </c>
    </row>
    <row r="463" spans="1:15" ht="112.05" customHeight="1" x14ac:dyDescent="0.3">
      <c r="A463" s="110" t="s">
        <v>106</v>
      </c>
      <c r="B463" s="110" t="s">
        <v>104</v>
      </c>
      <c r="C463" s="110" t="s">
        <v>28</v>
      </c>
      <c r="D463" s="114">
        <v>0</v>
      </c>
      <c r="E463" s="114">
        <f>MLCF!G173</f>
        <v>0</v>
      </c>
      <c r="F463" s="114">
        <f>'PSX Prices'!N24/'PSX Prices'!F24</f>
        <v>0</v>
      </c>
      <c r="G463" s="115" t="s">
        <v>105</v>
      </c>
      <c r="H463" s="115" t="str">
        <f t="shared" si="21"/>
        <v>Reproduced to precision</v>
      </c>
      <c r="I463" s="115" t="s">
        <v>22</v>
      </c>
      <c r="J463" s="115" t="s">
        <v>171</v>
      </c>
      <c r="K463" s="115" t="s">
        <v>132</v>
      </c>
      <c r="L463" s="115" t="s">
        <v>25</v>
      </c>
      <c r="M463" s="110">
        <f t="shared" si="22"/>
        <v>0</v>
      </c>
      <c r="N463" s="110">
        <f t="shared" si="23"/>
        <v>0</v>
      </c>
      <c r="O463" s="110">
        <v>4</v>
      </c>
    </row>
    <row r="464" spans="1:15" ht="112.05" customHeight="1" x14ac:dyDescent="0.3">
      <c r="A464" s="49" t="s">
        <v>106</v>
      </c>
      <c r="B464" s="49" t="s">
        <v>104</v>
      </c>
      <c r="C464" s="49" t="s">
        <v>29</v>
      </c>
      <c r="D464" s="113">
        <v>0</v>
      </c>
      <c r="E464" s="113">
        <f>MLCF!H173</f>
        <v>0</v>
      </c>
      <c r="F464" s="113">
        <f>'PSX Prices'!N25/'PSX Prices'!F25</f>
        <v>0</v>
      </c>
      <c r="G464" s="116" t="s">
        <v>105</v>
      </c>
      <c r="H464" s="116" t="str">
        <f t="shared" si="21"/>
        <v>Reproduced to precision</v>
      </c>
      <c r="I464" s="116" t="s">
        <v>22</v>
      </c>
      <c r="J464" s="116" t="s">
        <v>171</v>
      </c>
      <c r="K464" s="116" t="s">
        <v>132</v>
      </c>
      <c r="L464" s="116" t="s">
        <v>25</v>
      </c>
      <c r="M464" s="49">
        <f t="shared" si="22"/>
        <v>0</v>
      </c>
      <c r="N464" s="49">
        <f t="shared" si="23"/>
        <v>0</v>
      </c>
      <c r="O464" s="49">
        <v>4</v>
      </c>
    </row>
    <row r="465" spans="1:15" ht="112.05" customHeight="1" x14ac:dyDescent="0.3">
      <c r="A465" s="110" t="s">
        <v>106</v>
      </c>
      <c r="B465" s="110" t="s">
        <v>124</v>
      </c>
      <c r="C465" s="110" t="s">
        <v>20</v>
      </c>
      <c r="D465" s="114">
        <v>0</v>
      </c>
      <c r="E465" s="114">
        <f>MLCF!D174</f>
        <v>0</v>
      </c>
      <c r="F465" s="114">
        <f>'PSX Prices'!N21/(MLCF!D99/'PSX Prices'!O21)</f>
        <v>0</v>
      </c>
      <c r="G465" s="115" t="s">
        <v>125</v>
      </c>
      <c r="H465" s="115" t="str">
        <f t="shared" si="21"/>
        <v>Reproduced to precision</v>
      </c>
      <c r="I465" s="115" t="s">
        <v>22</v>
      </c>
      <c r="J465" s="115" t="s">
        <v>171</v>
      </c>
      <c r="K465" s="115" t="s">
        <v>132</v>
      </c>
      <c r="L465" s="115" t="s">
        <v>25</v>
      </c>
      <c r="M465" s="110">
        <f t="shared" si="22"/>
        <v>0</v>
      </c>
      <c r="N465" s="110">
        <f t="shared" si="23"/>
        <v>0</v>
      </c>
      <c r="O465" s="110">
        <v>4</v>
      </c>
    </row>
    <row r="466" spans="1:15" ht="112.05" customHeight="1" x14ac:dyDescent="0.3">
      <c r="A466" s="49" t="s">
        <v>106</v>
      </c>
      <c r="B466" s="49" t="s">
        <v>124</v>
      </c>
      <c r="C466" s="49" t="s">
        <v>26</v>
      </c>
      <c r="D466" s="113">
        <v>0</v>
      </c>
      <c r="E466" s="113">
        <f>MLCF!E174</f>
        <v>0</v>
      </c>
      <c r="F466" s="113">
        <f>'PSX Prices'!N22/(MLCF!E99/'PSX Prices'!O22)</f>
        <v>0</v>
      </c>
      <c r="G466" s="116" t="s">
        <v>125</v>
      </c>
      <c r="H466" s="116" t="str">
        <f t="shared" si="21"/>
        <v>Reproduced to precision</v>
      </c>
      <c r="I466" s="116" t="s">
        <v>22</v>
      </c>
      <c r="J466" s="116" t="s">
        <v>171</v>
      </c>
      <c r="K466" s="116" t="s">
        <v>132</v>
      </c>
      <c r="L466" s="116" t="s">
        <v>25</v>
      </c>
      <c r="M466" s="49">
        <f t="shared" si="22"/>
        <v>0</v>
      </c>
      <c r="N466" s="49">
        <f t="shared" si="23"/>
        <v>0</v>
      </c>
      <c r="O466" s="49">
        <v>4</v>
      </c>
    </row>
    <row r="467" spans="1:15" ht="112.05" customHeight="1" x14ac:dyDescent="0.3">
      <c r="A467" s="110" t="s">
        <v>106</v>
      </c>
      <c r="B467" s="110" t="s">
        <v>124</v>
      </c>
      <c r="C467" s="110" t="s">
        <v>27</v>
      </c>
      <c r="D467" s="114">
        <v>0</v>
      </c>
      <c r="E467" s="114">
        <f>MLCF!F174</f>
        <v>0</v>
      </c>
      <c r="F467" s="114">
        <f>'PSX Prices'!N23/(MLCF!F99/'PSX Prices'!O23)</f>
        <v>0</v>
      </c>
      <c r="G467" s="115" t="s">
        <v>125</v>
      </c>
      <c r="H467" s="115" t="str">
        <f t="shared" si="21"/>
        <v>Reproduced to precision</v>
      </c>
      <c r="I467" s="115" t="s">
        <v>22</v>
      </c>
      <c r="J467" s="115" t="s">
        <v>171</v>
      </c>
      <c r="K467" s="115" t="s">
        <v>132</v>
      </c>
      <c r="L467" s="115" t="s">
        <v>25</v>
      </c>
      <c r="M467" s="110">
        <f t="shared" si="22"/>
        <v>0</v>
      </c>
      <c r="N467" s="110">
        <f t="shared" si="23"/>
        <v>0</v>
      </c>
      <c r="O467" s="110">
        <v>4</v>
      </c>
    </row>
    <row r="468" spans="1:15" ht="112.05" customHeight="1" x14ac:dyDescent="0.3">
      <c r="A468" s="49" t="s">
        <v>106</v>
      </c>
      <c r="B468" s="49" t="s">
        <v>124</v>
      </c>
      <c r="C468" s="49" t="s">
        <v>28</v>
      </c>
      <c r="D468" s="113">
        <v>0</v>
      </c>
      <c r="E468" s="113">
        <f>MLCF!G174</f>
        <v>0</v>
      </c>
      <c r="F468" s="113">
        <f>'PSX Prices'!N24/(MLCF!G99/'PSX Prices'!O24)</f>
        <v>0</v>
      </c>
      <c r="G468" s="116" t="s">
        <v>125</v>
      </c>
      <c r="H468" s="116" t="str">
        <f t="shared" si="21"/>
        <v>Reproduced to precision</v>
      </c>
      <c r="I468" s="116" t="s">
        <v>22</v>
      </c>
      <c r="J468" s="116" t="s">
        <v>171</v>
      </c>
      <c r="K468" s="116" t="s">
        <v>132</v>
      </c>
      <c r="L468" s="116" t="s">
        <v>25</v>
      </c>
      <c r="M468" s="49">
        <f t="shared" si="22"/>
        <v>0</v>
      </c>
      <c r="N468" s="49">
        <f t="shared" si="23"/>
        <v>0</v>
      </c>
      <c r="O468" s="49">
        <v>4</v>
      </c>
    </row>
    <row r="469" spans="1:15" ht="112.05" customHeight="1" x14ac:dyDescent="0.3">
      <c r="A469" s="110" t="s">
        <v>106</v>
      </c>
      <c r="B469" s="110" t="s">
        <v>124</v>
      </c>
      <c r="C469" s="110" t="s">
        <v>29</v>
      </c>
      <c r="D469" s="114">
        <v>0</v>
      </c>
      <c r="E469" s="114">
        <f>MLCF!H174</f>
        <v>0</v>
      </c>
      <c r="F469" s="114">
        <f>'PSX Prices'!N25/(MLCF!H99/'PSX Prices'!O25)</f>
        <v>0</v>
      </c>
      <c r="G469" s="115" t="s">
        <v>125</v>
      </c>
      <c r="H469" s="115" t="str">
        <f t="shared" si="21"/>
        <v>Reproduced to precision</v>
      </c>
      <c r="I469" s="115" t="s">
        <v>22</v>
      </c>
      <c r="J469" s="115" t="s">
        <v>171</v>
      </c>
      <c r="K469" s="115" t="s">
        <v>132</v>
      </c>
      <c r="L469" s="115" t="s">
        <v>25</v>
      </c>
      <c r="M469" s="110">
        <f t="shared" si="22"/>
        <v>0</v>
      </c>
      <c r="N469" s="110">
        <f t="shared" si="23"/>
        <v>0</v>
      </c>
      <c r="O469" s="110">
        <v>4</v>
      </c>
    </row>
    <row r="470" spans="1:15" ht="112.05" customHeight="1" x14ac:dyDescent="0.3">
      <c r="A470" s="49" t="s">
        <v>114</v>
      </c>
      <c r="B470" s="49" t="s">
        <v>19</v>
      </c>
      <c r="C470" s="49" t="s">
        <v>20</v>
      </c>
      <c r="D470" s="112">
        <v>2.02</v>
      </c>
      <c r="E470" s="112">
        <f>FCCL!D138</f>
        <v>2.01862288296847</v>
      </c>
      <c r="F470" s="112">
        <f>FCCL!D36/(FCCL!D61-FCCL!D256)</f>
        <v>2.01862288296847</v>
      </c>
      <c r="G470" s="116" t="s">
        <v>180</v>
      </c>
      <c r="H470" s="116" t="str">
        <f t="shared" si="21"/>
        <v>Reproduced to precision</v>
      </c>
      <c r="I470" s="116" t="s">
        <v>181</v>
      </c>
      <c r="J470" s="116" t="s">
        <v>182</v>
      </c>
      <c r="K470" s="116" t="s">
        <v>132</v>
      </c>
      <c r="L470" s="116" t="s">
        <v>35</v>
      </c>
      <c r="M470" s="49">
        <f t="shared" si="22"/>
        <v>-1.3771170315299841E-3</v>
      </c>
      <c r="N470" s="49">
        <f t="shared" si="23"/>
        <v>-1.3771170315299841E-3</v>
      </c>
      <c r="O470" s="49">
        <v>2</v>
      </c>
    </row>
    <row r="471" spans="1:15" ht="112.05" customHeight="1" x14ac:dyDescent="0.3">
      <c r="A471" s="110" t="s">
        <v>114</v>
      </c>
      <c r="B471" s="110" t="s">
        <v>19</v>
      </c>
      <c r="C471" s="110" t="s">
        <v>26</v>
      </c>
      <c r="D471" s="111">
        <v>1.46</v>
      </c>
      <c r="E471" s="111">
        <f>FCCL!E138</f>
        <v>1.0559688948718087</v>
      </c>
      <c r="F471" s="111">
        <f>FCCL!E36/(FCCL!E61-FCCL!E256)</f>
        <v>1.4594208527218508</v>
      </c>
      <c r="G471" s="115" t="s">
        <v>180</v>
      </c>
      <c r="H471" s="115" t="str">
        <f t="shared" si="21"/>
        <v>Reproduced to precision</v>
      </c>
      <c r="I471" s="115" t="s">
        <v>181</v>
      </c>
      <c r="J471" s="115" t="s">
        <v>182</v>
      </c>
      <c r="K471" s="115" t="s">
        <v>132</v>
      </c>
      <c r="L471" s="115" t="s">
        <v>35</v>
      </c>
      <c r="M471" s="110">
        <f t="shared" si="22"/>
        <v>-0.40403110512819129</v>
      </c>
      <c r="N471" s="110">
        <f t="shared" si="23"/>
        <v>-5.7914727814911693E-4</v>
      </c>
      <c r="O471" s="110">
        <v>2</v>
      </c>
    </row>
    <row r="472" spans="1:15" ht="112.05" customHeight="1" x14ac:dyDescent="0.3">
      <c r="A472" s="49" t="s">
        <v>114</v>
      </c>
      <c r="B472" s="49" t="s">
        <v>19</v>
      </c>
      <c r="C472" s="49" t="s">
        <v>27</v>
      </c>
      <c r="D472" s="112">
        <v>1.1000000000000001</v>
      </c>
      <c r="E472" s="112">
        <f>FCCL!F138</f>
        <v>0.81211137558007007</v>
      </c>
      <c r="F472" s="112">
        <f>FCCL!F36/(FCCL!F61-FCCL!F256)</f>
        <v>1.0964292882581419</v>
      </c>
      <c r="G472" s="116" t="s">
        <v>180</v>
      </c>
      <c r="H472" s="116" t="str">
        <f t="shared" si="21"/>
        <v>Reproduced to precision</v>
      </c>
      <c r="I472" s="116" t="s">
        <v>181</v>
      </c>
      <c r="J472" s="116" t="s">
        <v>182</v>
      </c>
      <c r="K472" s="116" t="s">
        <v>132</v>
      </c>
      <c r="L472" s="116" t="s">
        <v>35</v>
      </c>
      <c r="M472" s="49">
        <f t="shared" si="22"/>
        <v>-0.28788862441993002</v>
      </c>
      <c r="N472" s="49">
        <f t="shared" si="23"/>
        <v>-3.5707117418581902E-3</v>
      </c>
      <c r="O472" s="49">
        <v>2</v>
      </c>
    </row>
    <row r="473" spans="1:15" ht="112.05" customHeight="1" x14ac:dyDescent="0.3">
      <c r="A473" s="110" t="s">
        <v>114</v>
      </c>
      <c r="B473" s="110" t="s">
        <v>19</v>
      </c>
      <c r="C473" s="110" t="s">
        <v>28</v>
      </c>
      <c r="D473" s="111">
        <v>1.32</v>
      </c>
      <c r="E473" s="111">
        <f>FCCL!G138</f>
        <v>0.95974773116730094</v>
      </c>
      <c r="F473" s="111">
        <f>FCCL!G36/(FCCL!G61-FCCL!G256)</f>
        <v>1.3237217795425069</v>
      </c>
      <c r="G473" s="115" t="s">
        <v>180</v>
      </c>
      <c r="H473" s="115" t="str">
        <f t="shared" si="21"/>
        <v>Reproduced to precision</v>
      </c>
      <c r="I473" s="115" t="s">
        <v>181</v>
      </c>
      <c r="J473" s="115" t="s">
        <v>182</v>
      </c>
      <c r="K473" s="115" t="s">
        <v>132</v>
      </c>
      <c r="L473" s="115" t="s">
        <v>35</v>
      </c>
      <c r="M473" s="110">
        <f t="shared" si="22"/>
        <v>-0.36025226883269912</v>
      </c>
      <c r="N473" s="110">
        <f t="shared" si="23"/>
        <v>3.7217795425068534E-3</v>
      </c>
      <c r="O473" s="110">
        <v>2</v>
      </c>
    </row>
    <row r="474" spans="1:15" ht="112.05" customHeight="1" x14ac:dyDescent="0.3">
      <c r="A474" s="49" t="s">
        <v>114</v>
      </c>
      <c r="B474" s="49" t="s">
        <v>19</v>
      </c>
      <c r="C474" s="49" t="s">
        <v>29</v>
      </c>
      <c r="D474" s="112">
        <v>1.75</v>
      </c>
      <c r="E474" s="112">
        <f>FCCL!H138</f>
        <v>1.3210140828410366</v>
      </c>
      <c r="F474" s="112">
        <f>FCCL!H36/(FCCL!H61-FCCL!H256)</f>
        <v>1.7546940945214227</v>
      </c>
      <c r="G474" s="116" t="s">
        <v>180</v>
      </c>
      <c r="H474" s="116" t="str">
        <f t="shared" si="21"/>
        <v>Reproduced to precision</v>
      </c>
      <c r="I474" s="116" t="s">
        <v>181</v>
      </c>
      <c r="J474" s="116" t="s">
        <v>182</v>
      </c>
      <c r="K474" s="116" t="s">
        <v>132</v>
      </c>
      <c r="L474" s="116" t="s">
        <v>35</v>
      </c>
      <c r="M474" s="49">
        <f t="shared" si="22"/>
        <v>-0.42898591715896339</v>
      </c>
      <c r="N474" s="49">
        <f t="shared" si="23"/>
        <v>4.6940945214226648E-3</v>
      </c>
      <c r="O474" s="49">
        <v>2</v>
      </c>
    </row>
    <row r="475" spans="1:15" ht="112.05" customHeight="1" x14ac:dyDescent="0.3">
      <c r="A475" s="110" t="s">
        <v>114</v>
      </c>
      <c r="B475" s="110" t="s">
        <v>30</v>
      </c>
      <c r="C475" s="110" t="s">
        <v>20</v>
      </c>
      <c r="D475" s="111">
        <v>1.1399999999999999</v>
      </c>
      <c r="E475" s="111">
        <f>FCCL!D139</f>
        <v>1.1357988467684703</v>
      </c>
      <c r="F475" s="111">
        <f>(FCCL!D36-FCCL!D65)/(FCCL!D61-FCCL!D256)</f>
        <v>1.1357988467684703</v>
      </c>
      <c r="G475" s="115" t="s">
        <v>180</v>
      </c>
      <c r="H475" s="115" t="str">
        <f t="shared" si="21"/>
        <v>Reproduced to precision</v>
      </c>
      <c r="I475" s="115" t="s">
        <v>181</v>
      </c>
      <c r="J475" s="115" t="s">
        <v>182</v>
      </c>
      <c r="K475" s="115" t="s">
        <v>132</v>
      </c>
      <c r="L475" s="115" t="s">
        <v>35</v>
      </c>
      <c r="M475" s="110">
        <f t="shared" si="22"/>
        <v>-4.2011532315295863E-3</v>
      </c>
      <c r="N475" s="110">
        <f t="shared" si="23"/>
        <v>-4.2011532315295863E-3</v>
      </c>
      <c r="O475" s="110">
        <v>2</v>
      </c>
    </row>
    <row r="476" spans="1:15" ht="112.05" customHeight="1" x14ac:dyDescent="0.3">
      <c r="A476" s="49" t="s">
        <v>114</v>
      </c>
      <c r="B476" s="49" t="s">
        <v>30</v>
      </c>
      <c r="C476" s="49" t="s">
        <v>26</v>
      </c>
      <c r="D476" s="112">
        <v>0.65</v>
      </c>
      <c r="E476" s="112">
        <f>FCCL!E139</f>
        <v>0.47078421060569281</v>
      </c>
      <c r="F476" s="112">
        <f>(FCCL!E36-FCCL!E65)/(FCCL!E61-FCCL!E256)</f>
        <v>0.65065580759701458</v>
      </c>
      <c r="G476" s="116" t="s">
        <v>180</v>
      </c>
      <c r="H476" s="116" t="str">
        <f t="shared" si="21"/>
        <v>Reproduced to precision</v>
      </c>
      <c r="I476" s="116" t="s">
        <v>181</v>
      </c>
      <c r="J476" s="116" t="s">
        <v>182</v>
      </c>
      <c r="K476" s="116" t="s">
        <v>132</v>
      </c>
      <c r="L476" s="116" t="s">
        <v>35</v>
      </c>
      <c r="M476" s="49">
        <f t="shared" si="22"/>
        <v>-0.17921578939430721</v>
      </c>
      <c r="N476" s="49">
        <f t="shared" si="23"/>
        <v>6.5580759701455715E-4</v>
      </c>
      <c r="O476" s="49">
        <v>2</v>
      </c>
    </row>
    <row r="477" spans="1:15" ht="112.05" customHeight="1" x14ac:dyDescent="0.3">
      <c r="A477" s="110" t="s">
        <v>114</v>
      </c>
      <c r="B477" s="110" t="s">
        <v>30</v>
      </c>
      <c r="C477" s="110" t="s">
        <v>27</v>
      </c>
      <c r="D477" s="111">
        <v>0.38</v>
      </c>
      <c r="E477" s="111">
        <f>FCCL!F139</f>
        <v>0.28121710873313321</v>
      </c>
      <c r="F477" s="111">
        <f>(FCCL!F36-FCCL!F65)/(FCCL!F61-FCCL!F256)</f>
        <v>0.37967042901479647</v>
      </c>
      <c r="G477" s="115" t="s">
        <v>180</v>
      </c>
      <c r="H477" s="115" t="str">
        <f t="shared" si="21"/>
        <v>Reproduced to precision</v>
      </c>
      <c r="I477" s="115" t="s">
        <v>181</v>
      </c>
      <c r="J477" s="115" t="s">
        <v>182</v>
      </c>
      <c r="K477" s="115" t="s">
        <v>132</v>
      </c>
      <c r="L477" s="115" t="s">
        <v>35</v>
      </c>
      <c r="M477" s="110">
        <f t="shared" si="22"/>
        <v>-9.878289126686679E-2</v>
      </c>
      <c r="N477" s="110">
        <f t="shared" si="23"/>
        <v>-3.2957098520353112E-4</v>
      </c>
      <c r="O477" s="110">
        <v>2</v>
      </c>
    </row>
    <row r="478" spans="1:15" ht="112.05" customHeight="1" x14ac:dyDescent="0.3">
      <c r="A478" s="49" t="s">
        <v>114</v>
      </c>
      <c r="B478" s="49" t="s">
        <v>30</v>
      </c>
      <c r="C478" s="49" t="s">
        <v>28</v>
      </c>
      <c r="D478" s="112">
        <v>0.47</v>
      </c>
      <c r="E478" s="112">
        <f>FCCL!G139</f>
        <v>0.3420463898878065</v>
      </c>
      <c r="F478" s="112">
        <f>(FCCL!G36-FCCL!G65)/(FCCL!G61-FCCL!G256)</f>
        <v>0.47176382001725281</v>
      </c>
      <c r="G478" s="116" t="s">
        <v>180</v>
      </c>
      <c r="H478" s="116" t="str">
        <f t="shared" si="21"/>
        <v>Reproduced to precision</v>
      </c>
      <c r="I478" s="116" t="s">
        <v>181</v>
      </c>
      <c r="J478" s="116" t="s">
        <v>182</v>
      </c>
      <c r="K478" s="116" t="s">
        <v>132</v>
      </c>
      <c r="L478" s="116" t="s">
        <v>35</v>
      </c>
      <c r="M478" s="49">
        <f t="shared" si="22"/>
        <v>-0.12795361011219347</v>
      </c>
      <c r="N478" s="49">
        <f t="shared" si="23"/>
        <v>1.7638200172528373E-3</v>
      </c>
      <c r="O478" s="49">
        <v>2</v>
      </c>
    </row>
    <row r="479" spans="1:15" ht="112.05" customHeight="1" x14ac:dyDescent="0.3">
      <c r="A479" s="110" t="s">
        <v>114</v>
      </c>
      <c r="B479" s="110" t="s">
        <v>30</v>
      </c>
      <c r="C479" s="110" t="s">
        <v>29</v>
      </c>
      <c r="D479" s="111">
        <v>0.9</v>
      </c>
      <c r="E479" s="111">
        <f>FCCL!H139</f>
        <v>0.67753380767364924</v>
      </c>
      <c r="F479" s="111">
        <f>(FCCL!H36-FCCL!H65)/(FCCL!H61-FCCL!H256)</f>
        <v>0.89996358601017812</v>
      </c>
      <c r="G479" s="115" t="s">
        <v>180</v>
      </c>
      <c r="H479" s="115" t="str">
        <f t="shared" si="21"/>
        <v>Reproduced to precision</v>
      </c>
      <c r="I479" s="115" t="s">
        <v>181</v>
      </c>
      <c r="J479" s="115" t="s">
        <v>182</v>
      </c>
      <c r="K479" s="115" t="s">
        <v>132</v>
      </c>
      <c r="L479" s="115" t="s">
        <v>35</v>
      </c>
      <c r="M479" s="110">
        <f t="shared" si="22"/>
        <v>-0.22246619232635079</v>
      </c>
      <c r="N479" s="110">
        <f t="shared" si="23"/>
        <v>-3.6413989821904025E-5</v>
      </c>
      <c r="O479" s="110">
        <v>2</v>
      </c>
    </row>
    <row r="480" spans="1:15" ht="112.05" customHeight="1" x14ac:dyDescent="0.3">
      <c r="A480" s="49" t="s">
        <v>114</v>
      </c>
      <c r="B480" s="49" t="s">
        <v>145</v>
      </c>
      <c r="C480" s="49" t="s">
        <v>20</v>
      </c>
      <c r="D480" s="112">
        <v>0.86</v>
      </c>
      <c r="E480" s="112">
        <f>FCCL!D140</f>
        <v>0.14618299383526975</v>
      </c>
      <c r="F480" s="112">
        <f>(FCCL!D34+FCCL!D33)/FCCL!D61</f>
        <v>0.85986472874261866</v>
      </c>
      <c r="G480" s="116" t="s">
        <v>183</v>
      </c>
      <c r="H480" s="116" t="str">
        <f t="shared" si="21"/>
        <v>Reproduced to precision</v>
      </c>
      <c r="I480" s="116" t="s">
        <v>22</v>
      </c>
      <c r="J480" s="116" t="s">
        <v>182</v>
      </c>
      <c r="K480" s="116" t="s">
        <v>132</v>
      </c>
      <c r="L480" s="116" t="s">
        <v>25</v>
      </c>
      <c r="M480" s="49">
        <f t="shared" si="22"/>
        <v>-0.71381700616473021</v>
      </c>
      <c r="N480" s="49">
        <f t="shared" si="23"/>
        <v>-1.3527125738133083E-4</v>
      </c>
      <c r="O480" s="49">
        <v>2</v>
      </c>
    </row>
    <row r="481" spans="1:15" ht="112.05" customHeight="1" x14ac:dyDescent="0.3">
      <c r="A481" s="110" t="s">
        <v>114</v>
      </c>
      <c r="B481" s="110" t="s">
        <v>145</v>
      </c>
      <c r="C481" s="110" t="s">
        <v>26</v>
      </c>
      <c r="D481" s="111">
        <v>0.23</v>
      </c>
      <c r="E481" s="111">
        <f>FCCL!E140</f>
        <v>8.632203736853207E-2</v>
      </c>
      <c r="F481" s="111">
        <f>(FCCL!E34+FCCL!E33)/FCCL!E61</f>
        <v>0.23014051773694894</v>
      </c>
      <c r="G481" s="115" t="s">
        <v>183</v>
      </c>
      <c r="H481" s="115" t="str">
        <f t="shared" si="21"/>
        <v>Reproduced to precision</v>
      </c>
      <c r="I481" s="115" t="s">
        <v>22</v>
      </c>
      <c r="J481" s="115" t="s">
        <v>182</v>
      </c>
      <c r="K481" s="115" t="s">
        <v>132</v>
      </c>
      <c r="L481" s="115" t="s">
        <v>25</v>
      </c>
      <c r="M481" s="110">
        <f t="shared" si="22"/>
        <v>-0.14367796263146793</v>
      </c>
      <c r="N481" s="110">
        <f t="shared" si="23"/>
        <v>1.4051773694892522E-4</v>
      </c>
      <c r="O481" s="110">
        <v>2</v>
      </c>
    </row>
    <row r="482" spans="1:15" ht="112.05" customHeight="1" x14ac:dyDescent="0.3">
      <c r="A482" s="49" t="s">
        <v>114</v>
      </c>
      <c r="B482" s="49" t="s">
        <v>145</v>
      </c>
      <c r="C482" s="49" t="s">
        <v>27</v>
      </c>
      <c r="D482" s="112">
        <v>0.04</v>
      </c>
      <c r="E482" s="112">
        <f>FCCL!F140</f>
        <v>3.4066835387760418E-2</v>
      </c>
      <c r="F482" s="112">
        <f>(FCCL!F34+FCCL!F33)/FCCL!F61</f>
        <v>4.2842812939511914E-2</v>
      </c>
      <c r="G482" s="116" t="s">
        <v>183</v>
      </c>
      <c r="H482" s="116" t="str">
        <f t="shared" si="21"/>
        <v>Reproduced to precision</v>
      </c>
      <c r="I482" s="116" t="s">
        <v>22</v>
      </c>
      <c r="J482" s="116" t="s">
        <v>182</v>
      </c>
      <c r="K482" s="116" t="s">
        <v>132</v>
      </c>
      <c r="L482" s="116" t="s">
        <v>25</v>
      </c>
      <c r="M482" s="49">
        <f t="shared" si="22"/>
        <v>-5.9331646122395831E-3</v>
      </c>
      <c r="N482" s="49">
        <f t="shared" si="23"/>
        <v>2.8428129395119128E-3</v>
      </c>
      <c r="O482" s="49">
        <v>2</v>
      </c>
    </row>
    <row r="483" spans="1:15" ht="112.05" customHeight="1" x14ac:dyDescent="0.3">
      <c r="A483" s="110" t="s">
        <v>114</v>
      </c>
      <c r="B483" s="110" t="s">
        <v>145</v>
      </c>
      <c r="C483" s="110" t="s">
        <v>28</v>
      </c>
      <c r="D483" s="111">
        <v>0.12</v>
      </c>
      <c r="E483" s="111">
        <f>FCCL!G140</f>
        <v>0.10917301381732912</v>
      </c>
      <c r="F483" s="111">
        <f>(FCCL!G34+FCCL!G33)/FCCL!G61</f>
        <v>0.11847864025590918</v>
      </c>
      <c r="G483" s="115" t="s">
        <v>183</v>
      </c>
      <c r="H483" s="115" t="str">
        <f t="shared" si="21"/>
        <v>Reproduced to precision</v>
      </c>
      <c r="I483" s="115" t="s">
        <v>22</v>
      </c>
      <c r="J483" s="115" t="s">
        <v>182</v>
      </c>
      <c r="K483" s="115" t="s">
        <v>132</v>
      </c>
      <c r="L483" s="115" t="s">
        <v>25</v>
      </c>
      <c r="M483" s="110">
        <f t="shared" si="22"/>
        <v>-1.0826986182670875E-2</v>
      </c>
      <c r="N483" s="110">
        <f t="shared" si="23"/>
        <v>-1.5213597440908166E-3</v>
      </c>
      <c r="O483" s="110">
        <v>2</v>
      </c>
    </row>
    <row r="484" spans="1:15" ht="112.05" customHeight="1" x14ac:dyDescent="0.3">
      <c r="A484" s="49" t="s">
        <v>114</v>
      </c>
      <c r="B484" s="49" t="s">
        <v>145</v>
      </c>
      <c r="C484" s="49" t="s">
        <v>29</v>
      </c>
      <c r="D484" s="112">
        <v>0.39</v>
      </c>
      <c r="E484" s="112">
        <f>FCCL!H140</f>
        <v>8.6995944871083974E-2</v>
      </c>
      <c r="F484" s="112">
        <f>(FCCL!H34+FCCL!H33)/FCCL!H61</f>
        <v>0.38761123338502496</v>
      </c>
      <c r="G484" s="116" t="s">
        <v>183</v>
      </c>
      <c r="H484" s="116" t="str">
        <f t="shared" si="21"/>
        <v>Reproduced to precision</v>
      </c>
      <c r="I484" s="116" t="s">
        <v>22</v>
      </c>
      <c r="J484" s="116" t="s">
        <v>182</v>
      </c>
      <c r="K484" s="116" t="s">
        <v>132</v>
      </c>
      <c r="L484" s="116" t="s">
        <v>25</v>
      </c>
      <c r="M484" s="49">
        <f t="shared" si="22"/>
        <v>-0.30300405512891604</v>
      </c>
      <c r="N484" s="49">
        <f t="shared" si="23"/>
        <v>-2.3887666149750575E-3</v>
      </c>
      <c r="O484" s="49">
        <v>2</v>
      </c>
    </row>
    <row r="485" spans="1:15" ht="112.05" customHeight="1" x14ac:dyDescent="0.3">
      <c r="A485" s="110" t="s">
        <v>114</v>
      </c>
      <c r="B485" s="110" t="s">
        <v>134</v>
      </c>
      <c r="C485" s="110" t="s">
        <v>20</v>
      </c>
      <c r="D485" s="111">
        <v>24</v>
      </c>
      <c r="E485" s="111">
        <f>FCCL!D147</f>
        <v>101.57512558439446</v>
      </c>
      <c r="F485" s="111">
        <f>365*AVERAGE(FCCL!C31,FCCL!D31)/(-FCCL!D85)</f>
        <v>23.825794150343164</v>
      </c>
      <c r="G485" s="115" t="s">
        <v>109</v>
      </c>
      <c r="H485" s="115" t="str">
        <f t="shared" si="21"/>
        <v>Reproduced to precision</v>
      </c>
      <c r="I485" s="115" t="s">
        <v>22</v>
      </c>
      <c r="J485" s="115" t="s">
        <v>182</v>
      </c>
      <c r="K485" s="115" t="s">
        <v>132</v>
      </c>
      <c r="L485" s="115" t="s">
        <v>25</v>
      </c>
      <c r="M485" s="110">
        <f t="shared" si="22"/>
        <v>77.575125584394456</v>
      </c>
      <c r="N485" s="110">
        <f t="shared" si="23"/>
        <v>-0.17420584965683616</v>
      </c>
      <c r="O485" s="110">
        <v>0</v>
      </c>
    </row>
    <row r="486" spans="1:15" ht="112.05" customHeight="1" x14ac:dyDescent="0.3">
      <c r="A486" s="49" t="s">
        <v>114</v>
      </c>
      <c r="B486" s="49" t="s">
        <v>134</v>
      </c>
      <c r="C486" s="49" t="s">
        <v>26</v>
      </c>
      <c r="D486" s="112">
        <v>22</v>
      </c>
      <c r="E486" s="112">
        <f>FCCL!E147</f>
        <v>99.189403784088</v>
      </c>
      <c r="F486" s="112">
        <f>365*AVERAGE(FCCL!D31,FCCL!E31)/(-'Sources &amp; Validation'!E132)</f>
        <v>22.383948717708034</v>
      </c>
      <c r="G486" s="116" t="s">
        <v>184</v>
      </c>
      <c r="H486" s="116" t="str">
        <f t="shared" si="21"/>
        <v>Reproduced to precision</v>
      </c>
      <c r="I486" s="116" t="s">
        <v>185</v>
      </c>
      <c r="J486" s="116" t="s">
        <v>182</v>
      </c>
      <c r="K486" s="116" t="s">
        <v>132</v>
      </c>
      <c r="L486" s="116" t="s">
        <v>186</v>
      </c>
      <c r="M486" s="49">
        <f t="shared" si="22"/>
        <v>77.189403784088</v>
      </c>
      <c r="N486" s="49">
        <f t="shared" si="23"/>
        <v>0.38394871770803363</v>
      </c>
      <c r="O486" s="49">
        <v>0</v>
      </c>
    </row>
    <row r="487" spans="1:15" ht="112.05" customHeight="1" x14ac:dyDescent="0.3">
      <c r="A487" s="110" t="s">
        <v>114</v>
      </c>
      <c r="B487" s="110" t="s">
        <v>134</v>
      </c>
      <c r="C487" s="110" t="s">
        <v>27</v>
      </c>
      <c r="D487" s="111">
        <v>41</v>
      </c>
      <c r="E487" s="111">
        <f>FCCL!F147</f>
        <v>117.81056267061489</v>
      </c>
      <c r="F487" s="111">
        <f>365*AVERAGE(FCCL!E31,FCCL!F31)/(-FCCL!F85)</f>
        <v>41.401894351888124</v>
      </c>
      <c r="G487" s="115" t="s">
        <v>109</v>
      </c>
      <c r="H487" s="115" t="str">
        <f t="shared" si="21"/>
        <v>Reproduced to precision</v>
      </c>
      <c r="I487" s="115" t="s">
        <v>22</v>
      </c>
      <c r="J487" s="115" t="s">
        <v>182</v>
      </c>
      <c r="K487" s="115" t="s">
        <v>132</v>
      </c>
      <c r="L487" s="115" t="s">
        <v>25</v>
      </c>
      <c r="M487" s="110">
        <f t="shared" si="22"/>
        <v>76.810562670614885</v>
      </c>
      <c r="N487" s="110">
        <f t="shared" si="23"/>
        <v>0.40189435188812439</v>
      </c>
      <c r="O487" s="110">
        <v>0</v>
      </c>
    </row>
    <row r="488" spans="1:15" ht="112.05" customHeight="1" x14ac:dyDescent="0.3">
      <c r="A488" s="49" t="s">
        <v>114</v>
      </c>
      <c r="B488" s="49" t="s">
        <v>134</v>
      </c>
      <c r="C488" s="49" t="s">
        <v>28</v>
      </c>
      <c r="D488" s="112">
        <v>49</v>
      </c>
      <c r="E488" s="112">
        <f>FCCL!G147</f>
        <v>106.51412548353994</v>
      </c>
      <c r="F488" s="112">
        <f>365*AVERAGE(FCCL!F31,FCCL!G31)/(-FCCL!G85)</f>
        <v>49.055581292993985</v>
      </c>
      <c r="G488" s="116" t="s">
        <v>109</v>
      </c>
      <c r="H488" s="116" t="str">
        <f t="shared" si="21"/>
        <v>Reproduced to precision</v>
      </c>
      <c r="I488" s="116" t="s">
        <v>22</v>
      </c>
      <c r="J488" s="116" t="s">
        <v>182</v>
      </c>
      <c r="K488" s="116" t="s">
        <v>132</v>
      </c>
      <c r="L488" s="116" t="s">
        <v>25</v>
      </c>
      <c r="M488" s="49">
        <f t="shared" si="22"/>
        <v>57.514125483539942</v>
      </c>
      <c r="N488" s="49">
        <f t="shared" si="23"/>
        <v>5.5581292993984732E-2</v>
      </c>
      <c r="O488" s="49">
        <v>0</v>
      </c>
    </row>
    <row r="489" spans="1:15" ht="112.05" customHeight="1" x14ac:dyDescent="0.3">
      <c r="A489" s="110" t="s">
        <v>114</v>
      </c>
      <c r="B489" s="110" t="s">
        <v>134</v>
      </c>
      <c r="C489" s="110" t="s">
        <v>29</v>
      </c>
      <c r="D489" s="111">
        <v>54</v>
      </c>
      <c r="E489" s="111">
        <f>FCCL!H147</f>
        <v>115.47406099903009</v>
      </c>
      <c r="F489" s="111">
        <f>365*AVERAGE(FCCL!G31,FCCL!H31)/(-FCCL!H85)</f>
        <v>53.534589923516222</v>
      </c>
      <c r="G489" s="115" t="s">
        <v>109</v>
      </c>
      <c r="H489" s="115" t="str">
        <f t="shared" si="21"/>
        <v>Reproduced to precision</v>
      </c>
      <c r="I489" s="115" t="s">
        <v>22</v>
      </c>
      <c r="J489" s="115" t="s">
        <v>182</v>
      </c>
      <c r="K489" s="115" t="s">
        <v>132</v>
      </c>
      <c r="L489" s="115" t="s">
        <v>25</v>
      </c>
      <c r="M489" s="110">
        <f t="shared" si="22"/>
        <v>61.474060999030087</v>
      </c>
      <c r="N489" s="110">
        <f t="shared" si="23"/>
        <v>-0.46541007648377786</v>
      </c>
      <c r="O489" s="110">
        <v>0</v>
      </c>
    </row>
    <row r="490" spans="1:15" ht="112.05" customHeight="1" x14ac:dyDescent="0.3">
      <c r="A490" s="49" t="s">
        <v>114</v>
      </c>
      <c r="B490" s="49" t="s">
        <v>187</v>
      </c>
      <c r="C490" s="49" t="s">
        <v>20</v>
      </c>
      <c r="D490" s="112">
        <v>19</v>
      </c>
      <c r="E490" s="112">
        <f>FCCL!D148</f>
        <v>18.799738044359827</v>
      </c>
      <c r="F490" s="112">
        <f>365*AVERAGE(FCCL!C32,FCCL!D32)/FCCL!D84</f>
        <v>18.799738044359827</v>
      </c>
      <c r="G490" s="116" t="s">
        <v>72</v>
      </c>
      <c r="H490" s="116" t="str">
        <f t="shared" si="21"/>
        <v>Reproduced to precision</v>
      </c>
      <c r="I490" s="116" t="s">
        <v>188</v>
      </c>
      <c r="J490" s="116" t="s">
        <v>182</v>
      </c>
      <c r="K490" s="116" t="s">
        <v>132</v>
      </c>
      <c r="L490" s="116" t="s">
        <v>189</v>
      </c>
      <c r="M490" s="49">
        <f t="shared" si="22"/>
        <v>-0.20026195564017257</v>
      </c>
      <c r="N490" s="49">
        <f t="shared" si="23"/>
        <v>-0.20026195564017257</v>
      </c>
      <c r="O490" s="49">
        <v>0</v>
      </c>
    </row>
    <row r="491" spans="1:15" ht="112.05" customHeight="1" x14ac:dyDescent="0.3">
      <c r="A491" s="110" t="s">
        <v>114</v>
      </c>
      <c r="B491" s="110" t="s">
        <v>187</v>
      </c>
      <c r="C491" s="110" t="s">
        <v>26</v>
      </c>
      <c r="D491" s="111">
        <v>13</v>
      </c>
      <c r="E491" s="111">
        <f>FCCL!E148</f>
        <v>12.994834386179642</v>
      </c>
      <c r="F491" s="111">
        <f>365*AVERAGE(FCCL!D32,FCCL!E32)/FCCL!E84</f>
        <v>12.994834386179642</v>
      </c>
      <c r="G491" s="115" t="s">
        <v>72</v>
      </c>
      <c r="H491" s="115" t="str">
        <f t="shared" si="21"/>
        <v>Reproduced to precision</v>
      </c>
      <c r="I491" s="115" t="s">
        <v>188</v>
      </c>
      <c r="J491" s="115" t="s">
        <v>182</v>
      </c>
      <c r="K491" s="115" t="s">
        <v>132</v>
      </c>
      <c r="L491" s="115" t="s">
        <v>189</v>
      </c>
      <c r="M491" s="110">
        <f t="shared" si="22"/>
        <v>-5.1656138203579616E-3</v>
      </c>
      <c r="N491" s="110">
        <f t="shared" si="23"/>
        <v>-5.1656138203579616E-3</v>
      </c>
      <c r="O491" s="110">
        <v>0</v>
      </c>
    </row>
    <row r="492" spans="1:15" ht="112.05" customHeight="1" x14ac:dyDescent="0.3">
      <c r="A492" s="49" t="s">
        <v>114</v>
      </c>
      <c r="B492" s="49" t="s">
        <v>187</v>
      </c>
      <c r="C492" s="49" t="s">
        <v>27</v>
      </c>
      <c r="D492" s="112">
        <v>18</v>
      </c>
      <c r="E492" s="112">
        <f>FCCL!F148</f>
        <v>16.046879229606091</v>
      </c>
      <c r="F492" s="112">
        <f>365*AVERAGE(FCCL!E32,FCCL!F32)/FCCL!F84</f>
        <v>16.046879229606091</v>
      </c>
      <c r="G492" s="116" t="s">
        <v>72</v>
      </c>
      <c r="H492" s="116" t="str">
        <f t="shared" si="21"/>
        <v>Unresolved published value</v>
      </c>
      <c r="I492" s="116" t="s">
        <v>188</v>
      </c>
      <c r="J492" s="116" t="s">
        <v>182</v>
      </c>
      <c r="K492" s="116" t="s">
        <v>132</v>
      </c>
      <c r="L492" s="116" t="s">
        <v>189</v>
      </c>
      <c r="M492" s="49">
        <f t="shared" si="22"/>
        <v>-1.9531207703939089</v>
      </c>
      <c r="N492" s="49">
        <f t="shared" si="23"/>
        <v>-1.9531207703939089</v>
      </c>
      <c r="O492" s="49">
        <v>0</v>
      </c>
    </row>
    <row r="493" spans="1:15" ht="112.05" customHeight="1" x14ac:dyDescent="0.3">
      <c r="A493" s="110" t="s">
        <v>114</v>
      </c>
      <c r="B493" s="110" t="s">
        <v>187</v>
      </c>
      <c r="C493" s="110" t="s">
        <v>28</v>
      </c>
      <c r="D493" s="111">
        <v>26</v>
      </c>
      <c r="E493" s="111">
        <f>FCCL!G148</f>
        <v>20.792904753499183</v>
      </c>
      <c r="F493" s="111">
        <f>365*AVERAGE(FCCL!F32,FCCL!G32)/FCCL!G84</f>
        <v>20.792904753499183</v>
      </c>
      <c r="G493" s="115" t="s">
        <v>72</v>
      </c>
      <c r="H493" s="115" t="str">
        <f t="shared" si="21"/>
        <v>Unresolved published value</v>
      </c>
      <c r="I493" s="115" t="s">
        <v>188</v>
      </c>
      <c r="J493" s="115" t="s">
        <v>182</v>
      </c>
      <c r="K493" s="115" t="s">
        <v>132</v>
      </c>
      <c r="L493" s="115" t="s">
        <v>189</v>
      </c>
      <c r="M493" s="110">
        <f t="shared" si="22"/>
        <v>-5.2070952465008169</v>
      </c>
      <c r="N493" s="110">
        <f t="shared" si="23"/>
        <v>-5.2070952465008169</v>
      </c>
      <c r="O493" s="110">
        <v>0</v>
      </c>
    </row>
    <row r="494" spans="1:15" ht="112.05" customHeight="1" x14ac:dyDescent="0.3">
      <c r="A494" s="49" t="s">
        <v>114</v>
      </c>
      <c r="B494" s="49" t="s">
        <v>187</v>
      </c>
      <c r="C494" s="49" t="s">
        <v>29</v>
      </c>
      <c r="D494" s="112">
        <v>23</v>
      </c>
      <c r="E494" s="112">
        <f>FCCL!H148</f>
        <v>25.555492212987932</v>
      </c>
      <c r="F494" s="112">
        <f>365*AVERAGE(FCCL!G32,FCCL!H32)/FCCL!H84</f>
        <v>25.555492212987932</v>
      </c>
      <c r="G494" s="116" t="s">
        <v>72</v>
      </c>
      <c r="H494" s="116" t="str">
        <f t="shared" si="21"/>
        <v>Unresolved published value</v>
      </c>
      <c r="I494" s="116" t="s">
        <v>188</v>
      </c>
      <c r="J494" s="116" t="s">
        <v>182</v>
      </c>
      <c r="K494" s="116" t="s">
        <v>132</v>
      </c>
      <c r="L494" s="116" t="s">
        <v>189</v>
      </c>
      <c r="M494" s="49">
        <f t="shared" si="22"/>
        <v>2.5554922129879323</v>
      </c>
      <c r="N494" s="49">
        <f t="shared" si="23"/>
        <v>2.5554922129879323</v>
      </c>
      <c r="O494" s="49">
        <v>0</v>
      </c>
    </row>
    <row r="495" spans="1:15" ht="112.05" customHeight="1" x14ac:dyDescent="0.3">
      <c r="A495" s="110" t="s">
        <v>114</v>
      </c>
      <c r="B495" s="110" t="s">
        <v>190</v>
      </c>
      <c r="C495" s="110" t="s">
        <v>20</v>
      </c>
      <c r="D495" s="111">
        <v>15</v>
      </c>
      <c r="E495" s="111">
        <f>FCCL!D149</f>
        <v>12.205077421282503</v>
      </c>
      <c r="F495" s="111">
        <f>365*AVERAGE(FCCL!C50,FCCL!D50)/(-FCCL!D85)</f>
        <v>29.929595845087128</v>
      </c>
      <c r="G495" s="115" t="s">
        <v>191</v>
      </c>
      <c r="H495" s="115" t="str">
        <f t="shared" si="21"/>
        <v>Unresolved published value</v>
      </c>
      <c r="I495" s="115" t="s">
        <v>188</v>
      </c>
      <c r="J495" s="115" t="s">
        <v>182</v>
      </c>
      <c r="K495" s="115" t="s">
        <v>132</v>
      </c>
      <c r="L495" s="115" t="s">
        <v>189</v>
      </c>
      <c r="M495" s="110">
        <f t="shared" si="22"/>
        <v>-2.7949225787174967</v>
      </c>
      <c r="N495" s="110">
        <f t="shared" si="23"/>
        <v>14.929595845087128</v>
      </c>
      <c r="O495" s="110">
        <v>0</v>
      </c>
    </row>
    <row r="496" spans="1:15" ht="112.05" customHeight="1" x14ac:dyDescent="0.3">
      <c r="A496" s="49" t="s">
        <v>114</v>
      </c>
      <c r="B496" s="49" t="s">
        <v>190</v>
      </c>
      <c r="C496" s="49" t="s">
        <v>26</v>
      </c>
      <c r="D496" s="112">
        <v>17</v>
      </c>
      <c r="E496" s="112">
        <f>FCCL!E149</f>
        <v>16.688960895928066</v>
      </c>
      <c r="F496" s="112">
        <f>365*AVERAGE(FCCL!D50,FCCL!E50)/(-FCCL!E85)</f>
        <v>41.130239689267093</v>
      </c>
      <c r="G496" s="116" t="s">
        <v>191</v>
      </c>
      <c r="H496" s="116" t="str">
        <f t="shared" si="21"/>
        <v>Unresolved published value</v>
      </c>
      <c r="I496" s="116" t="s">
        <v>188</v>
      </c>
      <c r="J496" s="116" t="s">
        <v>182</v>
      </c>
      <c r="K496" s="116" t="s">
        <v>132</v>
      </c>
      <c r="L496" s="116" t="s">
        <v>189</v>
      </c>
      <c r="M496" s="49">
        <f t="shared" si="22"/>
        <v>-0.31103910407193425</v>
      </c>
      <c r="N496" s="49">
        <f t="shared" si="23"/>
        <v>24.130239689267093</v>
      </c>
      <c r="O496" s="49">
        <v>0</v>
      </c>
    </row>
    <row r="497" spans="1:15" ht="112.05" customHeight="1" x14ac:dyDescent="0.3">
      <c r="A497" s="110" t="s">
        <v>114</v>
      </c>
      <c r="B497" s="110" t="s">
        <v>190</v>
      </c>
      <c r="C497" s="110" t="s">
        <v>27</v>
      </c>
      <c r="D497" s="111">
        <v>30</v>
      </c>
      <c r="E497" s="111">
        <f>FCCL!F149</f>
        <v>20.323804785769745</v>
      </c>
      <c r="F497" s="111">
        <f>365*AVERAGE(FCCL!E50,FCCL!F50)/(-FCCL!F85)</f>
        <v>51.449997575067407</v>
      </c>
      <c r="G497" s="115" t="s">
        <v>191</v>
      </c>
      <c r="H497" s="115" t="str">
        <f t="shared" si="21"/>
        <v>Unresolved published value</v>
      </c>
      <c r="I497" s="115" t="s">
        <v>188</v>
      </c>
      <c r="J497" s="115" t="s">
        <v>182</v>
      </c>
      <c r="K497" s="115" t="s">
        <v>132</v>
      </c>
      <c r="L497" s="115" t="s">
        <v>189</v>
      </c>
      <c r="M497" s="110">
        <f t="shared" si="22"/>
        <v>-9.6761952142302547</v>
      </c>
      <c r="N497" s="110">
        <f t="shared" si="23"/>
        <v>21.449997575067407</v>
      </c>
      <c r="O497" s="110">
        <v>0</v>
      </c>
    </row>
    <row r="498" spans="1:15" ht="112.05" customHeight="1" x14ac:dyDescent="0.3">
      <c r="A498" s="49" t="s">
        <v>114</v>
      </c>
      <c r="B498" s="49" t="s">
        <v>190</v>
      </c>
      <c r="C498" s="49" t="s">
        <v>28</v>
      </c>
      <c r="D498" s="112">
        <v>36</v>
      </c>
      <c r="E498" s="112">
        <f>FCCL!G149</f>
        <v>17.96598297778959</v>
      </c>
      <c r="F498" s="112">
        <f>365*AVERAGE(FCCL!F50,FCCL!G50)/(-FCCL!G85)</f>
        <v>42.397160399876931</v>
      </c>
      <c r="G498" s="116" t="s">
        <v>191</v>
      </c>
      <c r="H498" s="116" t="str">
        <f t="shared" si="21"/>
        <v>Unresolved published value</v>
      </c>
      <c r="I498" s="116" t="s">
        <v>188</v>
      </c>
      <c r="J498" s="116" t="s">
        <v>182</v>
      </c>
      <c r="K498" s="116" t="s">
        <v>132</v>
      </c>
      <c r="L498" s="116" t="s">
        <v>189</v>
      </c>
      <c r="M498" s="49">
        <f t="shared" si="22"/>
        <v>-18.03401702221041</v>
      </c>
      <c r="N498" s="49">
        <f t="shared" si="23"/>
        <v>6.3971603998769311</v>
      </c>
      <c r="O498" s="49">
        <v>0</v>
      </c>
    </row>
    <row r="499" spans="1:15" ht="112.05" customHeight="1" x14ac:dyDescent="0.3">
      <c r="A499" s="110" t="s">
        <v>114</v>
      </c>
      <c r="B499" s="110" t="s">
        <v>190</v>
      </c>
      <c r="C499" s="110" t="s">
        <v>29</v>
      </c>
      <c r="D499" s="111">
        <v>30</v>
      </c>
      <c r="E499" s="111">
        <f>FCCL!H149</f>
        <v>15.14066821634052</v>
      </c>
      <c r="F499" s="111">
        <f>365*AVERAGE(FCCL!G50,FCCL!H50)/(-FCCL!H85)</f>
        <v>31.94044763770755</v>
      </c>
      <c r="G499" s="115" t="s">
        <v>191</v>
      </c>
      <c r="H499" s="115" t="str">
        <f t="shared" si="21"/>
        <v>Unresolved published value</v>
      </c>
      <c r="I499" s="115" t="s">
        <v>188</v>
      </c>
      <c r="J499" s="115" t="s">
        <v>182</v>
      </c>
      <c r="K499" s="115" t="s">
        <v>132</v>
      </c>
      <c r="L499" s="115" t="s">
        <v>189</v>
      </c>
      <c r="M499" s="110">
        <f t="shared" si="22"/>
        <v>-14.85933178365948</v>
      </c>
      <c r="N499" s="110">
        <f t="shared" si="23"/>
        <v>1.9404476377075497</v>
      </c>
      <c r="O499" s="110">
        <v>0</v>
      </c>
    </row>
    <row r="500" spans="1:15" ht="112.05" customHeight="1" x14ac:dyDescent="0.3">
      <c r="A500" s="49" t="s">
        <v>114</v>
      </c>
      <c r="B500" s="49" t="s">
        <v>192</v>
      </c>
      <c r="C500" s="49" t="s">
        <v>20</v>
      </c>
      <c r="D500" s="112">
        <v>58</v>
      </c>
      <c r="E500" s="112">
        <f>FCCL!D150</f>
        <v>120.37486362875428</v>
      </c>
      <c r="F500" s="112">
        <f>D485+D490+D495</f>
        <v>58</v>
      </c>
      <c r="G500" s="116" t="s">
        <v>193</v>
      </c>
      <c r="H500" s="116" t="str">
        <f t="shared" si="21"/>
        <v>Reproduced to precision</v>
      </c>
      <c r="I500" s="116" t="s">
        <v>194</v>
      </c>
      <c r="J500" s="116" t="s">
        <v>182</v>
      </c>
      <c r="K500" s="116" t="s">
        <v>132</v>
      </c>
      <c r="L500" s="116" t="s">
        <v>195</v>
      </c>
      <c r="M500" s="49">
        <f t="shared" si="22"/>
        <v>62.374863628754284</v>
      </c>
      <c r="N500" s="49">
        <f t="shared" si="23"/>
        <v>0</v>
      </c>
      <c r="O500" s="49">
        <v>0</v>
      </c>
    </row>
    <row r="501" spans="1:15" ht="112.05" customHeight="1" x14ac:dyDescent="0.3">
      <c r="A501" s="110" t="s">
        <v>114</v>
      </c>
      <c r="B501" s="110" t="s">
        <v>192</v>
      </c>
      <c r="C501" s="110" t="s">
        <v>26</v>
      </c>
      <c r="D501" s="111">
        <v>52</v>
      </c>
      <c r="E501" s="111">
        <f>FCCL!E150</f>
        <v>112.18423817026765</v>
      </c>
      <c r="F501" s="111">
        <f>D486+D491+D496</f>
        <v>52</v>
      </c>
      <c r="G501" s="115" t="s">
        <v>193</v>
      </c>
      <c r="H501" s="115" t="str">
        <f t="shared" si="21"/>
        <v>Reproduced to precision</v>
      </c>
      <c r="I501" s="115" t="s">
        <v>194</v>
      </c>
      <c r="J501" s="115" t="s">
        <v>182</v>
      </c>
      <c r="K501" s="115" t="s">
        <v>132</v>
      </c>
      <c r="L501" s="115" t="s">
        <v>195</v>
      </c>
      <c r="M501" s="110">
        <f t="shared" si="22"/>
        <v>60.184238170267648</v>
      </c>
      <c r="N501" s="110">
        <f t="shared" si="23"/>
        <v>0</v>
      </c>
      <c r="O501" s="110">
        <v>0</v>
      </c>
    </row>
    <row r="502" spans="1:15" ht="112.05" customHeight="1" x14ac:dyDescent="0.3">
      <c r="A502" s="49" t="s">
        <v>114</v>
      </c>
      <c r="B502" s="49" t="s">
        <v>192</v>
      </c>
      <c r="C502" s="49" t="s">
        <v>27</v>
      </c>
      <c r="D502" s="112">
        <v>90</v>
      </c>
      <c r="E502" s="112">
        <f>FCCL!F150</f>
        <v>133.85744190022098</v>
      </c>
      <c r="F502" s="112">
        <f>D487+D492+D497</f>
        <v>89</v>
      </c>
      <c r="G502" s="116" t="s">
        <v>193</v>
      </c>
      <c r="H502" s="116" t="str">
        <f t="shared" si="21"/>
        <v>Unresolved published value</v>
      </c>
      <c r="I502" s="116" t="s">
        <v>194</v>
      </c>
      <c r="J502" s="116" t="s">
        <v>182</v>
      </c>
      <c r="K502" s="116" t="s">
        <v>132</v>
      </c>
      <c r="L502" s="116" t="s">
        <v>195</v>
      </c>
      <c r="M502" s="49">
        <f t="shared" si="22"/>
        <v>43.857441900220977</v>
      </c>
      <c r="N502" s="49">
        <f t="shared" si="23"/>
        <v>-1</v>
      </c>
      <c r="O502" s="49">
        <v>0</v>
      </c>
    </row>
    <row r="503" spans="1:15" ht="112.05" customHeight="1" x14ac:dyDescent="0.3">
      <c r="A503" s="110" t="s">
        <v>114</v>
      </c>
      <c r="B503" s="110" t="s">
        <v>192</v>
      </c>
      <c r="C503" s="110" t="s">
        <v>28</v>
      </c>
      <c r="D503" s="111">
        <v>111</v>
      </c>
      <c r="E503" s="111">
        <f>FCCL!G150</f>
        <v>127.30703023703913</v>
      </c>
      <c r="F503" s="111">
        <f>D488+D493+D498</f>
        <v>111</v>
      </c>
      <c r="G503" s="115" t="s">
        <v>193</v>
      </c>
      <c r="H503" s="115" t="str">
        <f t="shared" si="21"/>
        <v>Reproduced to precision</v>
      </c>
      <c r="I503" s="115" t="s">
        <v>194</v>
      </c>
      <c r="J503" s="115" t="s">
        <v>182</v>
      </c>
      <c r="K503" s="115" t="s">
        <v>132</v>
      </c>
      <c r="L503" s="115" t="s">
        <v>195</v>
      </c>
      <c r="M503" s="110">
        <f t="shared" si="22"/>
        <v>16.307030237039129</v>
      </c>
      <c r="N503" s="110">
        <f t="shared" si="23"/>
        <v>0</v>
      </c>
      <c r="O503" s="110">
        <v>0</v>
      </c>
    </row>
    <row r="504" spans="1:15" ht="112.05" customHeight="1" x14ac:dyDescent="0.3">
      <c r="A504" s="49" t="s">
        <v>114</v>
      </c>
      <c r="B504" s="49" t="s">
        <v>192</v>
      </c>
      <c r="C504" s="49" t="s">
        <v>29</v>
      </c>
      <c r="D504" s="112">
        <v>107</v>
      </c>
      <c r="E504" s="112">
        <f>FCCL!H150</f>
        <v>141.02955321201802</v>
      </c>
      <c r="F504" s="112">
        <f>D489+D494+D499</f>
        <v>107</v>
      </c>
      <c r="G504" s="116" t="s">
        <v>193</v>
      </c>
      <c r="H504" s="116" t="str">
        <f t="shared" si="21"/>
        <v>Reproduced to precision</v>
      </c>
      <c r="I504" s="116" t="s">
        <v>194</v>
      </c>
      <c r="J504" s="116" t="s">
        <v>182</v>
      </c>
      <c r="K504" s="116" t="s">
        <v>132</v>
      </c>
      <c r="L504" s="116" t="s">
        <v>195</v>
      </c>
      <c r="M504" s="49">
        <f t="shared" si="22"/>
        <v>34.029553212018016</v>
      </c>
      <c r="N504" s="49">
        <f t="shared" si="23"/>
        <v>0</v>
      </c>
      <c r="O504" s="49">
        <v>0</v>
      </c>
    </row>
    <row r="505" spans="1:15" ht="112.05" customHeight="1" x14ac:dyDescent="0.3">
      <c r="A505" s="110" t="s">
        <v>114</v>
      </c>
      <c r="B505" s="110" t="s">
        <v>196</v>
      </c>
      <c r="C505" s="110" t="s">
        <v>20</v>
      </c>
      <c r="D505" s="111">
        <v>0.71</v>
      </c>
      <c r="E505" s="111">
        <f>FCCL!D152</f>
        <v>0.76734835914940258</v>
      </c>
      <c r="F505" s="111">
        <f>FCCL!D84/FCCL!D37</f>
        <v>0.71276636764269574</v>
      </c>
      <c r="G505" s="115" t="s">
        <v>46</v>
      </c>
      <c r="H505" s="115" t="str">
        <f t="shared" si="21"/>
        <v>Reproduced to precision</v>
      </c>
      <c r="I505" s="115" t="s">
        <v>197</v>
      </c>
      <c r="J505" s="115" t="s">
        <v>182</v>
      </c>
      <c r="K505" s="115" t="s">
        <v>132</v>
      </c>
      <c r="L505" s="115" t="s">
        <v>198</v>
      </c>
      <c r="M505" s="110">
        <f t="shared" si="22"/>
        <v>5.7348359149402617E-2</v>
      </c>
      <c r="N505" s="110">
        <f t="shared" si="23"/>
        <v>2.7663676426957773E-3</v>
      </c>
      <c r="O505" s="110">
        <v>2</v>
      </c>
    </row>
    <row r="506" spans="1:15" ht="112.05" customHeight="1" x14ac:dyDescent="0.3">
      <c r="A506" s="49" t="s">
        <v>114</v>
      </c>
      <c r="B506" s="49" t="s">
        <v>196</v>
      </c>
      <c r="C506" s="49" t="s">
        <v>26</v>
      </c>
      <c r="D506" s="112">
        <v>0.08</v>
      </c>
      <c r="E506" s="112">
        <f>FCCL!E152</f>
        <v>0.7342538737719585</v>
      </c>
      <c r="F506" s="112">
        <f>FCCL!E84/FCCL!E37</f>
        <v>0.4770803467502796</v>
      </c>
      <c r="G506" s="116" t="s">
        <v>46</v>
      </c>
      <c r="H506" s="116" t="str">
        <f t="shared" si="21"/>
        <v>Unresolved published value</v>
      </c>
      <c r="I506" s="116" t="s">
        <v>197</v>
      </c>
      <c r="J506" s="116" t="s">
        <v>182</v>
      </c>
      <c r="K506" s="116" t="s">
        <v>132</v>
      </c>
      <c r="L506" s="116" t="s">
        <v>198</v>
      </c>
      <c r="M506" s="49">
        <f t="shared" si="22"/>
        <v>0.65425387377195854</v>
      </c>
      <c r="N506" s="49">
        <f t="shared" si="23"/>
        <v>0.39708034675027959</v>
      </c>
      <c r="O506" s="49">
        <v>2</v>
      </c>
    </row>
    <row r="507" spans="1:15" ht="112.05" customHeight="1" x14ac:dyDescent="0.3">
      <c r="A507" s="110" t="s">
        <v>114</v>
      </c>
      <c r="B507" s="110" t="s">
        <v>196</v>
      </c>
      <c r="C507" s="110" t="s">
        <v>27</v>
      </c>
      <c r="D507" s="111">
        <v>7.0000000000000007E-2</v>
      </c>
      <c r="E507" s="111">
        <f>FCCL!F152</f>
        <v>0.53910589227730144</v>
      </c>
      <c r="F507" s="111">
        <f>FCCL!F84/FCCL!F37</f>
        <v>0.49031202866080159</v>
      </c>
      <c r="G507" s="115" t="s">
        <v>46</v>
      </c>
      <c r="H507" s="115" t="str">
        <f t="shared" si="21"/>
        <v>Unresolved published value</v>
      </c>
      <c r="I507" s="115" t="s">
        <v>197</v>
      </c>
      <c r="J507" s="115" t="s">
        <v>182</v>
      </c>
      <c r="K507" s="115" t="s">
        <v>132</v>
      </c>
      <c r="L507" s="115" t="s">
        <v>198</v>
      </c>
      <c r="M507" s="110">
        <f t="shared" si="22"/>
        <v>0.46910589227730143</v>
      </c>
      <c r="N507" s="110">
        <f t="shared" si="23"/>
        <v>0.42031202866080158</v>
      </c>
      <c r="O507" s="110">
        <v>2</v>
      </c>
    </row>
    <row r="508" spans="1:15" ht="112.05" customHeight="1" x14ac:dyDescent="0.3">
      <c r="A508" s="49" t="s">
        <v>114</v>
      </c>
      <c r="B508" s="49" t="s">
        <v>196</v>
      </c>
      <c r="C508" s="49" t="s">
        <v>28</v>
      </c>
      <c r="D508" s="112">
        <v>7.0000000000000007E-2</v>
      </c>
      <c r="E508" s="112">
        <f>FCCL!G152</f>
        <v>0.55871595475208058</v>
      </c>
      <c r="F508" s="112">
        <f>FCCL!G84/FCCL!G37</f>
        <v>0.54204979765850125</v>
      </c>
      <c r="G508" s="116" t="s">
        <v>46</v>
      </c>
      <c r="H508" s="116" t="str">
        <f t="shared" si="21"/>
        <v>Unresolved published value</v>
      </c>
      <c r="I508" s="116" t="s">
        <v>197</v>
      </c>
      <c r="J508" s="116" t="s">
        <v>182</v>
      </c>
      <c r="K508" s="116" t="s">
        <v>132</v>
      </c>
      <c r="L508" s="116" t="s">
        <v>198</v>
      </c>
      <c r="M508" s="49">
        <f t="shared" si="22"/>
        <v>0.48871595475208057</v>
      </c>
      <c r="N508" s="49">
        <f t="shared" si="23"/>
        <v>0.47204979765850125</v>
      </c>
      <c r="O508" s="49">
        <v>2</v>
      </c>
    </row>
    <row r="509" spans="1:15" ht="112.05" customHeight="1" x14ac:dyDescent="0.3">
      <c r="A509" s="110" t="s">
        <v>114</v>
      </c>
      <c r="B509" s="110" t="s">
        <v>196</v>
      </c>
      <c r="C509" s="110" t="s">
        <v>29</v>
      </c>
      <c r="D509" s="111">
        <v>0.08</v>
      </c>
      <c r="E509" s="111">
        <f>FCCL!H152</f>
        <v>0.57673689270626904</v>
      </c>
      <c r="F509" s="111">
        <f>FCCL!H84/FCCL!H37</f>
        <v>0.55305556508680442</v>
      </c>
      <c r="G509" s="115" t="s">
        <v>46</v>
      </c>
      <c r="H509" s="115" t="str">
        <f t="shared" si="21"/>
        <v>Unresolved published value</v>
      </c>
      <c r="I509" s="115" t="s">
        <v>197</v>
      </c>
      <c r="J509" s="115" t="s">
        <v>182</v>
      </c>
      <c r="K509" s="115" t="s">
        <v>132</v>
      </c>
      <c r="L509" s="115" t="s">
        <v>198</v>
      </c>
      <c r="M509" s="110">
        <f t="shared" si="22"/>
        <v>0.49673689270626903</v>
      </c>
      <c r="N509" s="110">
        <f t="shared" si="23"/>
        <v>0.47305556508680441</v>
      </c>
      <c r="O509" s="110">
        <v>2</v>
      </c>
    </row>
    <row r="510" spans="1:15" ht="112.05" customHeight="1" x14ac:dyDescent="0.3">
      <c r="A510" s="49" t="s">
        <v>114</v>
      </c>
      <c r="B510" s="49" t="s">
        <v>199</v>
      </c>
      <c r="C510" s="49" t="s">
        <v>20</v>
      </c>
      <c r="D510" s="112">
        <v>1.1299999999999999</v>
      </c>
      <c r="E510" s="112">
        <f>FCCL!D153</f>
        <v>1.121529000686929</v>
      </c>
      <c r="F510" s="112">
        <f>FCCL!D84/FCCL!D20</f>
        <v>1.1329960510619466</v>
      </c>
      <c r="G510" s="116" t="s">
        <v>113</v>
      </c>
      <c r="H510" s="116" t="str">
        <f t="shared" si="21"/>
        <v>Reproduced to precision</v>
      </c>
      <c r="I510" s="116" t="s">
        <v>197</v>
      </c>
      <c r="J510" s="116" t="s">
        <v>182</v>
      </c>
      <c r="K510" s="116" t="s">
        <v>132</v>
      </c>
      <c r="L510" s="116" t="s">
        <v>198</v>
      </c>
      <c r="M510" s="49">
        <f t="shared" si="22"/>
        <v>-8.4709993130709371E-3</v>
      </c>
      <c r="N510" s="49">
        <f t="shared" si="23"/>
        <v>2.9960510619466696E-3</v>
      </c>
      <c r="O510" s="49">
        <v>2</v>
      </c>
    </row>
    <row r="511" spans="1:15" ht="112.05" customHeight="1" x14ac:dyDescent="0.3">
      <c r="A511" s="110" t="s">
        <v>114</v>
      </c>
      <c r="B511" s="110" t="s">
        <v>199</v>
      </c>
      <c r="C511" s="110" t="s">
        <v>26</v>
      </c>
      <c r="D511" s="111">
        <v>0.16</v>
      </c>
      <c r="E511" s="111">
        <f>FCCL!E153</f>
        <v>1.6551596506379742</v>
      </c>
      <c r="F511" s="111">
        <f>FCCL!E84/FCCL!E20</f>
        <v>0.73176601318978285</v>
      </c>
      <c r="G511" s="115" t="s">
        <v>113</v>
      </c>
      <c r="H511" s="115" t="str">
        <f t="shared" si="21"/>
        <v>Unresolved published value</v>
      </c>
      <c r="I511" s="115" t="s">
        <v>197</v>
      </c>
      <c r="J511" s="115" t="s">
        <v>182</v>
      </c>
      <c r="K511" s="115" t="s">
        <v>132</v>
      </c>
      <c r="L511" s="115" t="s">
        <v>198</v>
      </c>
      <c r="M511" s="110">
        <f t="shared" si="22"/>
        <v>1.4951596506379743</v>
      </c>
      <c r="N511" s="110">
        <f t="shared" si="23"/>
        <v>0.57176601318978282</v>
      </c>
      <c r="O511" s="110">
        <v>2</v>
      </c>
    </row>
    <row r="512" spans="1:15" ht="112.05" customHeight="1" x14ac:dyDescent="0.3">
      <c r="A512" s="49" t="s">
        <v>114</v>
      </c>
      <c r="B512" s="49" t="s">
        <v>199</v>
      </c>
      <c r="C512" s="49" t="s">
        <v>27</v>
      </c>
      <c r="D512" s="112">
        <v>0.11</v>
      </c>
      <c r="E512" s="112">
        <f>FCCL!F153</f>
        <v>1.1919170397378338</v>
      </c>
      <c r="F512" s="112">
        <f>FCCL!F84/FCCL!F20</f>
        <v>0.65184739301529204</v>
      </c>
      <c r="G512" s="116" t="s">
        <v>113</v>
      </c>
      <c r="H512" s="116" t="str">
        <f t="shared" si="21"/>
        <v>Unresolved published value</v>
      </c>
      <c r="I512" s="116" t="s">
        <v>197</v>
      </c>
      <c r="J512" s="116" t="s">
        <v>182</v>
      </c>
      <c r="K512" s="116" t="s">
        <v>132</v>
      </c>
      <c r="L512" s="116" t="s">
        <v>198</v>
      </c>
      <c r="M512" s="49">
        <f t="shared" si="22"/>
        <v>1.0819170397378337</v>
      </c>
      <c r="N512" s="49">
        <f t="shared" si="23"/>
        <v>0.54184739301529206</v>
      </c>
      <c r="O512" s="49">
        <v>2</v>
      </c>
    </row>
    <row r="513" spans="1:15" ht="112.05" customHeight="1" x14ac:dyDescent="0.3">
      <c r="A513" s="110" t="s">
        <v>114</v>
      </c>
      <c r="B513" s="110" t="s">
        <v>199</v>
      </c>
      <c r="C513" s="110" t="s">
        <v>28</v>
      </c>
      <c r="D513" s="111">
        <v>0.09</v>
      </c>
      <c r="E513" s="111">
        <f>FCCL!G153</f>
        <v>0.88898511220750387</v>
      </c>
      <c r="F513" s="111">
        <f>FCCL!G84/FCCL!G20</f>
        <v>0.72196082222901214</v>
      </c>
      <c r="G513" s="115" t="s">
        <v>113</v>
      </c>
      <c r="H513" s="115" t="str">
        <f t="shared" si="21"/>
        <v>Unresolved published value</v>
      </c>
      <c r="I513" s="115" t="s">
        <v>197</v>
      </c>
      <c r="J513" s="115" t="s">
        <v>182</v>
      </c>
      <c r="K513" s="115" t="s">
        <v>132</v>
      </c>
      <c r="L513" s="115" t="s">
        <v>198</v>
      </c>
      <c r="M513" s="110">
        <f t="shared" si="22"/>
        <v>0.7989851122075039</v>
      </c>
      <c r="N513" s="110">
        <f t="shared" si="23"/>
        <v>0.63196082222901218</v>
      </c>
      <c r="O513" s="110">
        <v>2</v>
      </c>
    </row>
    <row r="514" spans="1:15" ht="112.05" customHeight="1" x14ac:dyDescent="0.3">
      <c r="A514" s="49" t="s">
        <v>114</v>
      </c>
      <c r="B514" s="49" t="s">
        <v>199</v>
      </c>
      <c r="C514" s="49" t="s">
        <v>29</v>
      </c>
      <c r="D514" s="112">
        <v>0.12</v>
      </c>
      <c r="E514" s="112">
        <f>FCCL!H153</f>
        <v>0.81080188367005523</v>
      </c>
      <c r="F514" s="112">
        <f>FCCL!H84/FCCL!H20</f>
        <v>0.81180021491144161</v>
      </c>
      <c r="G514" s="116" t="s">
        <v>113</v>
      </c>
      <c r="H514" s="116" t="str">
        <f t="shared" si="21"/>
        <v>Unresolved published value</v>
      </c>
      <c r="I514" s="116" t="s">
        <v>197</v>
      </c>
      <c r="J514" s="116" t="s">
        <v>182</v>
      </c>
      <c r="K514" s="116" t="s">
        <v>132</v>
      </c>
      <c r="L514" s="116" t="s">
        <v>198</v>
      </c>
      <c r="M514" s="49">
        <f t="shared" si="22"/>
        <v>0.69080188367005524</v>
      </c>
      <c r="N514" s="49">
        <f t="shared" si="23"/>
        <v>0.69180021491144161</v>
      </c>
      <c r="O514" s="49">
        <v>2</v>
      </c>
    </row>
    <row r="515" spans="1:15" ht="112.05" customHeight="1" x14ac:dyDescent="0.3">
      <c r="A515" s="110" t="s">
        <v>114</v>
      </c>
      <c r="B515" s="110" t="s">
        <v>154</v>
      </c>
      <c r="C515" s="110" t="s">
        <v>20</v>
      </c>
      <c r="D515" s="114">
        <v>0.25</v>
      </c>
      <c r="E515" s="114">
        <f>FCCL!D161</f>
        <v>0.24985924725452316</v>
      </c>
      <c r="F515" s="114">
        <f>FCCL!D86/FCCL!D84</f>
        <v>0.24985924725452316</v>
      </c>
      <c r="G515" s="115" t="s">
        <v>21</v>
      </c>
      <c r="H515" s="115" t="str">
        <f t="shared" si="21"/>
        <v>Reproduced to precision</v>
      </c>
      <c r="I515" s="115" t="s">
        <v>22</v>
      </c>
      <c r="J515" s="115" t="s">
        <v>182</v>
      </c>
      <c r="K515" s="115" t="s">
        <v>132</v>
      </c>
      <c r="L515" s="115" t="s">
        <v>25</v>
      </c>
      <c r="M515" s="110">
        <f t="shared" si="22"/>
        <v>-1.4075274547684091E-4</v>
      </c>
      <c r="N515" s="110">
        <f t="shared" si="23"/>
        <v>-1.4075274547684091E-4</v>
      </c>
      <c r="O515" s="110">
        <v>2</v>
      </c>
    </row>
    <row r="516" spans="1:15" ht="112.05" customHeight="1" x14ac:dyDescent="0.3">
      <c r="A516" s="49" t="s">
        <v>114</v>
      </c>
      <c r="B516" s="49" t="s">
        <v>154</v>
      </c>
      <c r="C516" s="49" t="s">
        <v>26</v>
      </c>
      <c r="D516" s="113">
        <v>0.28999999999999998</v>
      </c>
      <c r="E516" s="113">
        <f>FCCL!E161</f>
        <v>0.28507903988852556</v>
      </c>
      <c r="F516" s="113">
        <f>FCCL!E86/FCCL!E84</f>
        <v>0.28507903988852556</v>
      </c>
      <c r="G516" s="116" t="s">
        <v>21</v>
      </c>
      <c r="H516" s="116" t="str">
        <f t="shared" si="21"/>
        <v>Reproduced to precision</v>
      </c>
      <c r="I516" s="116" t="s">
        <v>22</v>
      </c>
      <c r="J516" s="116" t="s">
        <v>182</v>
      </c>
      <c r="K516" s="116" t="s">
        <v>132</v>
      </c>
      <c r="L516" s="116" t="s">
        <v>25</v>
      </c>
      <c r="M516" s="49">
        <f t="shared" si="22"/>
        <v>-4.920960111474415E-3</v>
      </c>
      <c r="N516" s="49">
        <f t="shared" si="23"/>
        <v>-4.920960111474415E-3</v>
      </c>
      <c r="O516" s="49">
        <v>2</v>
      </c>
    </row>
    <row r="517" spans="1:15" ht="112.05" customHeight="1" x14ac:dyDescent="0.3">
      <c r="A517" s="110" t="s">
        <v>114</v>
      </c>
      <c r="B517" s="110" t="s">
        <v>154</v>
      </c>
      <c r="C517" s="110" t="s">
        <v>27</v>
      </c>
      <c r="D517" s="114">
        <v>0.3</v>
      </c>
      <c r="E517" s="114">
        <f>FCCL!F161</f>
        <v>0.29996604048210768</v>
      </c>
      <c r="F517" s="114">
        <f>FCCL!F86/FCCL!F84</f>
        <v>0.29996604048210768</v>
      </c>
      <c r="G517" s="115" t="s">
        <v>21</v>
      </c>
      <c r="H517" s="115" t="str">
        <f t="shared" ref="H517:H534" si="24">IF(AND(ISNUMBER(D517),ISNUMBER(F517)),IF(ROUND(D517,O517)=ROUND(F517,O517),"Reproduced to precision","Unresolved published value"),"Not comparable")</f>
        <v>Reproduced to precision</v>
      </c>
      <c r="I517" s="115" t="s">
        <v>22</v>
      </c>
      <c r="J517" s="115" t="s">
        <v>182</v>
      </c>
      <c r="K517" s="115" t="s">
        <v>132</v>
      </c>
      <c r="L517" s="115" t="s">
        <v>25</v>
      </c>
      <c r="M517" s="110">
        <f t="shared" ref="M517:M548" si="25">IF(ISNUMBER(E517),E517-D517,"n/m")</f>
        <v>-3.3959517892312441E-5</v>
      </c>
      <c r="N517" s="110">
        <f t="shared" ref="N517:N534" si="26">IF(ISNUMBER(F517),F517-D517,"n/m")</f>
        <v>-3.3959517892312441E-5</v>
      </c>
      <c r="O517" s="110">
        <v>2</v>
      </c>
    </row>
    <row r="518" spans="1:15" ht="112.05" customHeight="1" x14ac:dyDescent="0.3">
      <c r="A518" s="49" t="s">
        <v>114</v>
      </c>
      <c r="B518" s="49" t="s">
        <v>154</v>
      </c>
      <c r="C518" s="49" t="s">
        <v>28</v>
      </c>
      <c r="D518" s="113">
        <v>0.32</v>
      </c>
      <c r="E518" s="113">
        <f>FCCL!G161</f>
        <v>0.32089986350224731</v>
      </c>
      <c r="F518" s="113">
        <f>FCCL!G86/FCCL!G84</f>
        <v>0.32089986350224731</v>
      </c>
      <c r="G518" s="116" t="s">
        <v>21</v>
      </c>
      <c r="H518" s="116" t="str">
        <f t="shared" si="24"/>
        <v>Reproduced to precision</v>
      </c>
      <c r="I518" s="116" t="s">
        <v>22</v>
      </c>
      <c r="J518" s="116" t="s">
        <v>182</v>
      </c>
      <c r="K518" s="116" t="s">
        <v>132</v>
      </c>
      <c r="L518" s="116" t="s">
        <v>25</v>
      </c>
      <c r="M518" s="49">
        <f t="shared" si="25"/>
        <v>8.9986350224730005E-4</v>
      </c>
      <c r="N518" s="49">
        <f t="shared" si="26"/>
        <v>8.9986350224730005E-4</v>
      </c>
      <c r="O518" s="49">
        <v>2</v>
      </c>
    </row>
    <row r="519" spans="1:15" ht="112.05" customHeight="1" x14ac:dyDescent="0.3">
      <c r="A519" s="110" t="s">
        <v>114</v>
      </c>
      <c r="B519" s="110" t="s">
        <v>154</v>
      </c>
      <c r="C519" s="110" t="s">
        <v>29</v>
      </c>
      <c r="D519" s="114">
        <v>0.35</v>
      </c>
      <c r="E519" s="114">
        <f>FCCL!H161</f>
        <v>0.35490842202929052</v>
      </c>
      <c r="F519" s="114">
        <f>FCCL!H86/FCCL!H84</f>
        <v>0.35490842202929052</v>
      </c>
      <c r="G519" s="115" t="s">
        <v>21</v>
      </c>
      <c r="H519" s="115" t="str">
        <f t="shared" si="24"/>
        <v>Reproduced to precision</v>
      </c>
      <c r="I519" s="115" t="s">
        <v>22</v>
      </c>
      <c r="J519" s="115" t="s">
        <v>182</v>
      </c>
      <c r="K519" s="115" t="s">
        <v>132</v>
      </c>
      <c r="L519" s="115" t="s">
        <v>25</v>
      </c>
      <c r="M519" s="110">
        <f t="shared" si="25"/>
        <v>4.9084220292905378E-3</v>
      </c>
      <c r="N519" s="110">
        <f t="shared" si="26"/>
        <v>4.9084220292905378E-3</v>
      </c>
      <c r="O519" s="110">
        <v>2</v>
      </c>
    </row>
    <row r="520" spans="1:15" ht="112.05" customHeight="1" x14ac:dyDescent="0.3">
      <c r="A520" s="49" t="s">
        <v>114</v>
      </c>
      <c r="B520" s="49" t="s">
        <v>155</v>
      </c>
      <c r="C520" s="49" t="s">
        <v>20</v>
      </c>
      <c r="D520" s="113">
        <v>0.14000000000000001</v>
      </c>
      <c r="E520" s="113">
        <f>FCCL!D163</f>
        <v>0.14302295902338913</v>
      </c>
      <c r="F520" s="113">
        <f>FCCL!D99/FCCL!D84</f>
        <v>0.14302295902338913</v>
      </c>
      <c r="G520" s="116" t="s">
        <v>21</v>
      </c>
      <c r="H520" s="116" t="str">
        <f t="shared" si="24"/>
        <v>Reproduced to precision</v>
      </c>
      <c r="I520" s="116" t="s">
        <v>22</v>
      </c>
      <c r="J520" s="116" t="s">
        <v>182</v>
      </c>
      <c r="K520" s="116" t="s">
        <v>132</v>
      </c>
      <c r="L520" s="116" t="s">
        <v>25</v>
      </c>
      <c r="M520" s="49">
        <f t="shared" si="25"/>
        <v>3.0229590233891157E-3</v>
      </c>
      <c r="N520" s="49">
        <f t="shared" si="26"/>
        <v>3.0229590233891157E-3</v>
      </c>
      <c r="O520" s="49">
        <v>2</v>
      </c>
    </row>
    <row r="521" spans="1:15" ht="112.05" customHeight="1" x14ac:dyDescent="0.3">
      <c r="A521" s="110" t="s">
        <v>114</v>
      </c>
      <c r="B521" s="110" t="s">
        <v>155</v>
      </c>
      <c r="C521" s="110" t="s">
        <v>26</v>
      </c>
      <c r="D521" s="114">
        <v>0.13</v>
      </c>
      <c r="E521" s="114">
        <f>FCCL!E163</f>
        <v>0.13112336204567002</v>
      </c>
      <c r="F521" s="114">
        <f>FCCL!E99/FCCL!E84</f>
        <v>0.13112336204567002</v>
      </c>
      <c r="G521" s="115" t="s">
        <v>21</v>
      </c>
      <c r="H521" s="115" t="str">
        <f t="shared" si="24"/>
        <v>Reproduced to precision</v>
      </c>
      <c r="I521" s="115" t="s">
        <v>22</v>
      </c>
      <c r="J521" s="115" t="s">
        <v>182</v>
      </c>
      <c r="K521" s="115" t="s">
        <v>132</v>
      </c>
      <c r="L521" s="115" t="s">
        <v>25</v>
      </c>
      <c r="M521" s="110">
        <f t="shared" si="25"/>
        <v>1.1233620456700122E-3</v>
      </c>
      <c r="N521" s="110">
        <f t="shared" si="26"/>
        <v>1.1233620456700122E-3</v>
      </c>
      <c r="O521" s="110">
        <v>2</v>
      </c>
    </row>
    <row r="522" spans="1:15" ht="112.05" customHeight="1" x14ac:dyDescent="0.3">
      <c r="A522" s="49" t="s">
        <v>114</v>
      </c>
      <c r="B522" s="49" t="s">
        <v>155</v>
      </c>
      <c r="C522" s="49" t="s">
        <v>27</v>
      </c>
      <c r="D522" s="113">
        <v>0.11</v>
      </c>
      <c r="E522" s="113">
        <f>FCCL!F163</f>
        <v>0.10929571726641699</v>
      </c>
      <c r="F522" s="113">
        <f>FCCL!F99/FCCL!F84</f>
        <v>0.10929571726641699</v>
      </c>
      <c r="G522" s="116" t="s">
        <v>21</v>
      </c>
      <c r="H522" s="116" t="str">
        <f t="shared" si="24"/>
        <v>Reproduced to precision</v>
      </c>
      <c r="I522" s="116" t="s">
        <v>22</v>
      </c>
      <c r="J522" s="116" t="s">
        <v>182</v>
      </c>
      <c r="K522" s="116" t="s">
        <v>132</v>
      </c>
      <c r="L522" s="116" t="s">
        <v>25</v>
      </c>
      <c r="M522" s="49">
        <f t="shared" si="25"/>
        <v>-7.042827335830143E-4</v>
      </c>
      <c r="N522" s="49">
        <f t="shared" si="26"/>
        <v>-7.042827335830143E-4</v>
      </c>
      <c r="O522" s="49">
        <v>2</v>
      </c>
    </row>
    <row r="523" spans="1:15" ht="112.05" customHeight="1" x14ac:dyDescent="0.3">
      <c r="A523" s="110" t="s">
        <v>114</v>
      </c>
      <c r="B523" s="110" t="s">
        <v>155</v>
      </c>
      <c r="C523" s="110" t="s">
        <v>28</v>
      </c>
      <c r="D523" s="114">
        <v>0.1</v>
      </c>
      <c r="E523" s="114">
        <f>FCCL!G163</f>
        <v>0.10275526425549537</v>
      </c>
      <c r="F523" s="114">
        <f>FCCL!G99/FCCL!G84</f>
        <v>0.10275526425549537</v>
      </c>
      <c r="G523" s="115" t="s">
        <v>21</v>
      </c>
      <c r="H523" s="115" t="str">
        <f t="shared" si="24"/>
        <v>Reproduced to precision</v>
      </c>
      <c r="I523" s="115" t="s">
        <v>22</v>
      </c>
      <c r="J523" s="115" t="s">
        <v>182</v>
      </c>
      <c r="K523" s="115" t="s">
        <v>132</v>
      </c>
      <c r="L523" s="115" t="s">
        <v>25</v>
      </c>
      <c r="M523" s="110">
        <f t="shared" si="25"/>
        <v>2.7552642554953682E-3</v>
      </c>
      <c r="N523" s="110">
        <f t="shared" si="26"/>
        <v>2.7552642554953682E-3</v>
      </c>
      <c r="O523" s="110">
        <v>2</v>
      </c>
    </row>
    <row r="524" spans="1:15" ht="112.05" customHeight="1" x14ac:dyDescent="0.3">
      <c r="A524" s="49" t="s">
        <v>114</v>
      </c>
      <c r="B524" s="49" t="s">
        <v>155</v>
      </c>
      <c r="C524" s="49" t="s">
        <v>29</v>
      </c>
      <c r="D524" s="113">
        <v>0.15</v>
      </c>
      <c r="E524" s="113">
        <f>FCCL!H163</f>
        <v>0.14980611609777766</v>
      </c>
      <c r="F524" s="113">
        <f>FCCL!H99/FCCL!H84</f>
        <v>0.14980611609777766</v>
      </c>
      <c r="G524" s="116" t="s">
        <v>21</v>
      </c>
      <c r="H524" s="116" t="str">
        <f t="shared" si="24"/>
        <v>Reproduced to precision</v>
      </c>
      <c r="I524" s="116" t="s">
        <v>22</v>
      </c>
      <c r="J524" s="116" t="s">
        <v>182</v>
      </c>
      <c r="K524" s="116" t="s">
        <v>132</v>
      </c>
      <c r="L524" s="116" t="s">
        <v>25</v>
      </c>
      <c r="M524" s="49">
        <f t="shared" si="25"/>
        <v>-1.9388390222233043E-4</v>
      </c>
      <c r="N524" s="49">
        <f t="shared" si="26"/>
        <v>-1.9388390222233043E-4</v>
      </c>
      <c r="O524" s="49">
        <v>2</v>
      </c>
    </row>
    <row r="525" spans="1:15" ht="112.05" customHeight="1" x14ac:dyDescent="0.3">
      <c r="A525" s="110" t="s">
        <v>114</v>
      </c>
      <c r="B525" s="110" t="s">
        <v>53</v>
      </c>
      <c r="C525" s="110" t="s">
        <v>20</v>
      </c>
      <c r="D525" s="114">
        <v>0.15</v>
      </c>
      <c r="E525" s="114">
        <f>FCCL!D165</f>
        <v>0.16115839021414832</v>
      </c>
      <c r="F525" s="114">
        <f>FCCL!D99/FCCL!D41</f>
        <v>0.14914074872427949</v>
      </c>
      <c r="G525" s="115" t="s">
        <v>54</v>
      </c>
      <c r="H525" s="115" t="str">
        <f t="shared" si="24"/>
        <v>Reproduced to precision</v>
      </c>
      <c r="I525" s="115" t="s">
        <v>22</v>
      </c>
      <c r="J525" s="115" t="s">
        <v>182</v>
      </c>
      <c r="K525" s="115" t="s">
        <v>132</v>
      </c>
      <c r="L525" s="115" t="s">
        <v>25</v>
      </c>
      <c r="M525" s="110">
        <f t="shared" si="25"/>
        <v>1.1158390214148328E-2</v>
      </c>
      <c r="N525" s="110">
        <f t="shared" si="26"/>
        <v>-8.592512757205073E-4</v>
      </c>
      <c r="O525" s="110">
        <v>2</v>
      </c>
    </row>
    <row r="526" spans="1:15" ht="112.05" customHeight="1" x14ac:dyDescent="0.3">
      <c r="A526" s="49" t="s">
        <v>114</v>
      </c>
      <c r="B526" s="49" t="s">
        <v>53</v>
      </c>
      <c r="C526" s="49" t="s">
        <v>26</v>
      </c>
      <c r="D526" s="113">
        <v>0.12</v>
      </c>
      <c r="E526" s="113">
        <f>FCCL!E165</f>
        <v>0.17559284966237051</v>
      </c>
      <c r="F526" s="113">
        <f>FCCL!E99/FCCL!E41</f>
        <v>0.12319061073378482</v>
      </c>
      <c r="G526" s="116" t="s">
        <v>54</v>
      </c>
      <c r="H526" s="116" t="str">
        <f t="shared" si="24"/>
        <v>Reproduced to precision</v>
      </c>
      <c r="I526" s="116" t="s">
        <v>22</v>
      </c>
      <c r="J526" s="116" t="s">
        <v>182</v>
      </c>
      <c r="K526" s="116" t="s">
        <v>132</v>
      </c>
      <c r="L526" s="116" t="s">
        <v>25</v>
      </c>
      <c r="M526" s="49">
        <f t="shared" si="25"/>
        <v>5.5592849662370519E-2</v>
      </c>
      <c r="N526" s="49">
        <f t="shared" si="26"/>
        <v>3.1906107337848211E-3</v>
      </c>
      <c r="O526" s="49">
        <v>2</v>
      </c>
    </row>
    <row r="527" spans="1:15" ht="112.05" customHeight="1" x14ac:dyDescent="0.3">
      <c r="A527" s="110" t="s">
        <v>114</v>
      </c>
      <c r="B527" s="110" t="s">
        <v>53</v>
      </c>
      <c r="C527" s="110" t="s">
        <v>27</v>
      </c>
      <c r="D527" s="114">
        <v>0.11</v>
      </c>
      <c r="E527" s="114">
        <f>FCCL!F165</f>
        <v>0.12105723655011702</v>
      </c>
      <c r="F527" s="114">
        <f>FCCL!F99/FCCL!F41</f>
        <v>0.11414801492770245</v>
      </c>
      <c r="G527" s="115" t="s">
        <v>54</v>
      </c>
      <c r="H527" s="115" t="str">
        <f t="shared" si="24"/>
        <v>Reproduced to precision</v>
      </c>
      <c r="I527" s="115" t="s">
        <v>22</v>
      </c>
      <c r="J527" s="115" t="s">
        <v>182</v>
      </c>
      <c r="K527" s="115" t="s">
        <v>132</v>
      </c>
      <c r="L527" s="115" t="s">
        <v>25</v>
      </c>
      <c r="M527" s="110">
        <f t="shared" si="25"/>
        <v>1.1057236550117019E-2</v>
      </c>
      <c r="N527" s="110">
        <f t="shared" si="26"/>
        <v>4.1480149277024481E-3</v>
      </c>
      <c r="O527" s="110">
        <v>2</v>
      </c>
    </row>
    <row r="528" spans="1:15" ht="112.05" customHeight="1" x14ac:dyDescent="0.3">
      <c r="A528" s="49" t="s">
        <v>114</v>
      </c>
      <c r="B528" s="49" t="s">
        <v>53</v>
      </c>
      <c r="C528" s="49" t="s">
        <v>28</v>
      </c>
      <c r="D528" s="113">
        <v>0.11</v>
      </c>
      <c r="E528" s="113">
        <f>FCCL!G165</f>
        <v>0.11868144080382984</v>
      </c>
      <c r="F528" s="113">
        <f>FCCL!G99/FCCL!G41</f>
        <v>0.1120333038446799</v>
      </c>
      <c r="G528" s="116" t="s">
        <v>54</v>
      </c>
      <c r="H528" s="116" t="str">
        <f t="shared" si="24"/>
        <v>Reproduced to precision</v>
      </c>
      <c r="I528" s="116" t="s">
        <v>22</v>
      </c>
      <c r="J528" s="116" t="s">
        <v>182</v>
      </c>
      <c r="K528" s="116" t="s">
        <v>132</v>
      </c>
      <c r="L528" s="116" t="s">
        <v>25</v>
      </c>
      <c r="M528" s="49">
        <f t="shared" si="25"/>
        <v>8.6814408038298346E-3</v>
      </c>
      <c r="N528" s="49">
        <f t="shared" si="26"/>
        <v>2.0333038446798957E-3</v>
      </c>
      <c r="O528" s="49">
        <v>2</v>
      </c>
    </row>
    <row r="529" spans="1:15" ht="112.05" customHeight="1" x14ac:dyDescent="0.3">
      <c r="A529" s="110" t="s">
        <v>114</v>
      </c>
      <c r="B529" s="110" t="s">
        <v>53</v>
      </c>
      <c r="C529" s="110" t="s">
        <v>29</v>
      </c>
      <c r="D529" s="114">
        <v>0.16</v>
      </c>
      <c r="E529" s="114">
        <f>FCCL!H165</f>
        <v>0.16903802023631961</v>
      </c>
      <c r="F529" s="114">
        <f>FCCL!H99/FCCL!H41</f>
        <v>0.15813282120245373</v>
      </c>
      <c r="G529" s="115" t="s">
        <v>54</v>
      </c>
      <c r="H529" s="115" t="str">
        <f t="shared" si="24"/>
        <v>Reproduced to precision</v>
      </c>
      <c r="I529" s="115" t="s">
        <v>22</v>
      </c>
      <c r="J529" s="115" t="s">
        <v>182</v>
      </c>
      <c r="K529" s="115" t="s">
        <v>132</v>
      </c>
      <c r="L529" s="115" t="s">
        <v>25</v>
      </c>
      <c r="M529" s="110">
        <f t="shared" si="25"/>
        <v>9.0380202363196105E-3</v>
      </c>
      <c r="N529" s="110">
        <f t="shared" si="26"/>
        <v>-1.8671787975462761E-3</v>
      </c>
      <c r="O529" s="110">
        <v>2</v>
      </c>
    </row>
    <row r="530" spans="1:15" ht="112.05" customHeight="1" x14ac:dyDescent="0.3">
      <c r="A530" s="49" t="s">
        <v>114</v>
      </c>
      <c r="B530" s="49" t="s">
        <v>162</v>
      </c>
      <c r="C530" s="49" t="s">
        <v>20</v>
      </c>
      <c r="D530" s="112">
        <v>1.36</v>
      </c>
      <c r="E530" s="112">
        <f>FCCL!D170</f>
        <v>1.3634728296339984</v>
      </c>
      <c r="F530" s="112">
        <f>'PSX Prices'!F26/'PSX Prices'!M26</f>
        <v>1.3633669235328985</v>
      </c>
      <c r="G530" s="116" t="s">
        <v>59</v>
      </c>
      <c r="H530" s="116" t="str">
        <f t="shared" si="24"/>
        <v>Reproduced to precision</v>
      </c>
      <c r="I530" s="116" t="s">
        <v>22</v>
      </c>
      <c r="J530" s="116" t="s">
        <v>200</v>
      </c>
      <c r="K530" s="116" t="s">
        <v>132</v>
      </c>
      <c r="L530" s="116" t="s">
        <v>25</v>
      </c>
      <c r="M530" s="49">
        <f t="shared" si="25"/>
        <v>3.4728296339983089E-3</v>
      </c>
      <c r="N530" s="49">
        <f t="shared" si="26"/>
        <v>3.3669235328983582E-3</v>
      </c>
      <c r="O530" s="49">
        <v>2</v>
      </c>
    </row>
    <row r="531" spans="1:15" ht="112.05" customHeight="1" x14ac:dyDescent="0.3">
      <c r="A531" s="110" t="s">
        <v>114</v>
      </c>
      <c r="B531" s="110" t="s">
        <v>162</v>
      </c>
      <c r="C531" s="110" t="s">
        <v>26</v>
      </c>
      <c r="D531" s="111">
        <v>0.54</v>
      </c>
      <c r="E531" s="111">
        <f>FCCL!E170</f>
        <v>0.53510718726613404</v>
      </c>
      <c r="F531" s="111">
        <f>'PSX Prices'!F27/'PSX Prices'!M27</f>
        <v>0.53512084592145015</v>
      </c>
      <c r="G531" s="115" t="s">
        <v>59</v>
      </c>
      <c r="H531" s="115" t="str">
        <f t="shared" si="24"/>
        <v>Reproduced to precision</v>
      </c>
      <c r="I531" s="115" t="s">
        <v>22</v>
      </c>
      <c r="J531" s="115" t="s">
        <v>200</v>
      </c>
      <c r="K531" s="115" t="s">
        <v>132</v>
      </c>
      <c r="L531" s="115" t="s">
        <v>25</v>
      </c>
      <c r="M531" s="110">
        <f t="shared" si="25"/>
        <v>-4.8928127338659921E-3</v>
      </c>
      <c r="N531" s="110">
        <f t="shared" si="26"/>
        <v>-4.8791540785498855E-3</v>
      </c>
      <c r="O531" s="110">
        <v>2</v>
      </c>
    </row>
    <row r="532" spans="1:15" ht="112.05" customHeight="1" x14ac:dyDescent="0.3">
      <c r="A532" s="49" t="s">
        <v>114</v>
      </c>
      <c r="B532" s="49" t="s">
        <v>162</v>
      </c>
      <c r="C532" s="49" t="s">
        <v>27</v>
      </c>
      <c r="D532" s="112">
        <v>0.44</v>
      </c>
      <c r="E532" s="112">
        <f>FCCL!F170</f>
        <v>0.44258015488186969</v>
      </c>
      <c r="F532" s="112">
        <f>'PSX Prices'!F28/'PSX Prices'!M28</f>
        <v>0.44260444109898378</v>
      </c>
      <c r="G532" s="116" t="s">
        <v>59</v>
      </c>
      <c r="H532" s="116" t="str">
        <f t="shared" si="24"/>
        <v>Reproduced to precision</v>
      </c>
      <c r="I532" s="116" t="s">
        <v>22</v>
      </c>
      <c r="J532" s="116" t="s">
        <v>200</v>
      </c>
      <c r="K532" s="116" t="s">
        <v>132</v>
      </c>
      <c r="L532" s="116" t="s">
        <v>25</v>
      </c>
      <c r="M532" s="49">
        <f t="shared" si="25"/>
        <v>2.5801548818696896E-3</v>
      </c>
      <c r="N532" s="49">
        <f t="shared" si="26"/>
        <v>2.6044410989837785E-3</v>
      </c>
      <c r="O532" s="49">
        <v>2</v>
      </c>
    </row>
    <row r="533" spans="1:15" ht="112.05" customHeight="1" x14ac:dyDescent="0.3">
      <c r="A533" s="110" t="s">
        <v>114</v>
      </c>
      <c r="B533" s="110" t="s">
        <v>162</v>
      </c>
      <c r="C533" s="110" t="s">
        <v>28</v>
      </c>
      <c r="D533" s="111">
        <v>0.77</v>
      </c>
      <c r="E533" s="111">
        <f>FCCL!G170</f>
        <v>0.76560785651514207</v>
      </c>
      <c r="F533" s="111">
        <f>'PSX Prices'!F29/'PSX Prices'!M29</f>
        <v>0.76570855614973254</v>
      </c>
      <c r="G533" s="115" t="s">
        <v>59</v>
      </c>
      <c r="H533" s="115" t="str">
        <f t="shared" si="24"/>
        <v>Reproduced to precision</v>
      </c>
      <c r="I533" s="115" t="s">
        <v>22</v>
      </c>
      <c r="J533" s="115" t="s">
        <v>200</v>
      </c>
      <c r="K533" s="115" t="s">
        <v>132</v>
      </c>
      <c r="L533" s="115" t="s">
        <v>25</v>
      </c>
      <c r="M533" s="110">
        <f t="shared" si="25"/>
        <v>-4.3921434848579466E-3</v>
      </c>
      <c r="N533" s="110">
        <f t="shared" si="26"/>
        <v>-4.2914438502674734E-3</v>
      </c>
      <c r="O533" s="110">
        <v>2</v>
      </c>
    </row>
    <row r="534" spans="1:15" ht="112.05" customHeight="1" x14ac:dyDescent="0.3">
      <c r="A534" s="49" t="s">
        <v>114</v>
      </c>
      <c r="B534" s="49" t="s">
        <v>162</v>
      </c>
      <c r="C534" s="49" t="s">
        <v>29</v>
      </c>
      <c r="D534" s="112">
        <v>1.3</v>
      </c>
      <c r="E534" s="112">
        <f>FCCL!H170</f>
        <v>1.3001759998029245</v>
      </c>
      <c r="F534" s="112">
        <f>'PSX Prices'!F30/'PSX Prices'!M30</f>
        <v>1.3000582072176952</v>
      </c>
      <c r="G534" s="116" t="s">
        <v>59</v>
      </c>
      <c r="H534" s="116" t="str">
        <f t="shared" si="24"/>
        <v>Reproduced to precision</v>
      </c>
      <c r="I534" s="116" t="s">
        <v>22</v>
      </c>
      <c r="J534" s="116" t="s">
        <v>200</v>
      </c>
      <c r="K534" s="116" t="s">
        <v>132</v>
      </c>
      <c r="L534" s="116" t="s">
        <v>25</v>
      </c>
      <c r="M534" s="49">
        <f t="shared" si="25"/>
        <v>1.7599980292448691E-4</v>
      </c>
      <c r="N534" s="49">
        <f t="shared" si="26"/>
        <v>5.8207217695116498E-5</v>
      </c>
      <c r="O534" s="49">
        <v>2</v>
      </c>
    </row>
    <row r="535" spans="1:15" x14ac:dyDescent="0.3">
      <c r="A535" s="49" t="s">
        <v>106</v>
      </c>
      <c r="B535" s="49" t="s">
        <v>201</v>
      </c>
      <c r="C535" s="49" t="s">
        <v>20</v>
      </c>
      <c r="D535" s="123">
        <v>5473.9679999999998</v>
      </c>
      <c r="E535" s="123">
        <f>MLCF!D141</f>
        <v>5473.9680000000026</v>
      </c>
      <c r="F535" s="123">
        <f>MLCF!D36-MLCF!D61</f>
        <v>5473.9680000000026</v>
      </c>
      <c r="G535" s="116" t="s">
        <v>202</v>
      </c>
      <c r="H535" s="116" t="str">
        <f t="shared" ref="H535:H548" si="27">IF(ROUND(D535,O535)=ROUND(F535,O535),"Reproduced to precision","Unresolved published value")</f>
        <v>Reproduced to precision</v>
      </c>
      <c r="I535" s="116" t="s">
        <v>203</v>
      </c>
      <c r="J535" s="116" t="s">
        <v>204</v>
      </c>
      <c r="K535" s="116" t="s">
        <v>132</v>
      </c>
      <c r="L535" s="116" t="s">
        <v>205</v>
      </c>
      <c r="M535" s="49">
        <f t="shared" si="25"/>
        <v>2.7284841053187847E-12</v>
      </c>
      <c r="N535" s="49">
        <f t="shared" ref="N535:N548" si="28">F535-D535</f>
        <v>0</v>
      </c>
      <c r="O535" s="49">
        <v>3</v>
      </c>
    </row>
    <row r="536" spans="1:15" x14ac:dyDescent="0.3">
      <c r="A536" s="49" t="s">
        <v>106</v>
      </c>
      <c r="B536" s="49" t="s">
        <v>201</v>
      </c>
      <c r="C536" s="49" t="s">
        <v>26</v>
      </c>
      <c r="D536" s="123">
        <v>4128.598</v>
      </c>
      <c r="E536" s="123">
        <f>MLCF!E141</f>
        <v>4128.5980000000036</v>
      </c>
      <c r="F536" s="123">
        <f>MLCF!E36-MLCF!E61</f>
        <v>4128.5980000000036</v>
      </c>
      <c r="G536" s="116" t="s">
        <v>202</v>
      </c>
      <c r="H536" s="116" t="str">
        <f t="shared" si="27"/>
        <v>Reproduced to precision</v>
      </c>
      <c r="I536" s="116" t="s">
        <v>203</v>
      </c>
      <c r="J536" s="116" t="s">
        <v>204</v>
      </c>
      <c r="K536" s="116" t="s">
        <v>132</v>
      </c>
      <c r="L536" s="116" t="s">
        <v>205</v>
      </c>
      <c r="M536" s="49">
        <f t="shared" si="25"/>
        <v>3.637978807091713E-12</v>
      </c>
      <c r="N536" s="49">
        <f t="shared" si="28"/>
        <v>0</v>
      </c>
      <c r="O536" s="49">
        <v>3</v>
      </c>
    </row>
    <row r="537" spans="1:15" x14ac:dyDescent="0.3">
      <c r="A537" s="49" t="s">
        <v>106</v>
      </c>
      <c r="B537" s="49" t="s">
        <v>201</v>
      </c>
      <c r="C537" s="49" t="s">
        <v>27</v>
      </c>
      <c r="D537" s="123">
        <v>6024.6459999999997</v>
      </c>
      <c r="E537" s="123">
        <f>MLCF!F141</f>
        <v>6024.645999999997</v>
      </c>
      <c r="F537" s="123">
        <f>MLCF!F36-MLCF!F61</f>
        <v>6024.645999999997</v>
      </c>
      <c r="G537" s="116" t="s">
        <v>202</v>
      </c>
      <c r="H537" s="116" t="str">
        <f t="shared" si="27"/>
        <v>Reproduced to precision</v>
      </c>
      <c r="I537" s="116" t="s">
        <v>203</v>
      </c>
      <c r="J537" s="116" t="s">
        <v>204</v>
      </c>
      <c r="K537" s="116" t="s">
        <v>132</v>
      </c>
      <c r="L537" s="116" t="s">
        <v>205</v>
      </c>
      <c r="M537" s="49">
        <f t="shared" si="25"/>
        <v>-2.7284841053187847E-12</v>
      </c>
      <c r="N537" s="49">
        <f t="shared" si="28"/>
        <v>0</v>
      </c>
      <c r="O537" s="49">
        <v>3</v>
      </c>
    </row>
    <row r="538" spans="1:15" x14ac:dyDescent="0.3">
      <c r="A538" s="49" t="s">
        <v>106</v>
      </c>
      <c r="B538" s="49" t="s">
        <v>201</v>
      </c>
      <c r="C538" s="49" t="s">
        <v>28</v>
      </c>
      <c r="D538" s="123">
        <v>8270.0370000000003</v>
      </c>
      <c r="E538" s="123">
        <f>MLCF!G141</f>
        <v>8270.0370000000003</v>
      </c>
      <c r="F538" s="123">
        <f>MLCF!G36-MLCF!G61</f>
        <v>8270.0370000000003</v>
      </c>
      <c r="G538" s="116" t="s">
        <v>202</v>
      </c>
      <c r="H538" s="116" t="str">
        <f t="shared" si="27"/>
        <v>Reproduced to precision</v>
      </c>
      <c r="I538" s="116" t="s">
        <v>203</v>
      </c>
      <c r="J538" s="116" t="s">
        <v>204</v>
      </c>
      <c r="K538" s="116" t="s">
        <v>132</v>
      </c>
      <c r="L538" s="116" t="s">
        <v>205</v>
      </c>
      <c r="M538" s="49">
        <f t="shared" si="25"/>
        <v>0</v>
      </c>
      <c r="N538" s="49">
        <f t="shared" si="28"/>
        <v>0</v>
      </c>
      <c r="O538" s="49">
        <v>3</v>
      </c>
    </row>
    <row r="539" spans="1:15" x14ac:dyDescent="0.3">
      <c r="A539" s="49" t="s">
        <v>106</v>
      </c>
      <c r="B539" s="49" t="s">
        <v>201</v>
      </c>
      <c r="C539" s="49" t="s">
        <v>29</v>
      </c>
      <c r="D539" s="123">
        <v>12422.112999999999</v>
      </c>
      <c r="E539" s="123">
        <f>MLCF!H141</f>
        <v>12422.112999999994</v>
      </c>
      <c r="F539" s="123">
        <f>MLCF!H36-MLCF!H61</f>
        <v>12422.112999999994</v>
      </c>
      <c r="G539" s="116" t="s">
        <v>202</v>
      </c>
      <c r="H539" s="116" t="str">
        <f t="shared" si="27"/>
        <v>Reproduced to precision</v>
      </c>
      <c r="I539" s="116" t="s">
        <v>203</v>
      </c>
      <c r="J539" s="116" t="s">
        <v>204</v>
      </c>
      <c r="K539" s="116" t="s">
        <v>132</v>
      </c>
      <c r="L539" s="116" t="s">
        <v>205</v>
      </c>
      <c r="M539" s="49">
        <f t="shared" si="25"/>
        <v>-5.4569682106375694E-12</v>
      </c>
      <c r="N539" s="49">
        <f t="shared" si="28"/>
        <v>0</v>
      </c>
      <c r="O539" s="49">
        <v>3</v>
      </c>
    </row>
    <row r="540" spans="1:15" ht="27" x14ac:dyDescent="0.3">
      <c r="A540" s="49" t="s">
        <v>18</v>
      </c>
      <c r="B540" s="49" t="s">
        <v>104</v>
      </c>
      <c r="C540" s="49" t="s">
        <v>20</v>
      </c>
      <c r="D540" s="113">
        <v>0</v>
      </c>
      <c r="E540" s="113">
        <f>KOHC!D173</f>
        <v>0</v>
      </c>
      <c r="F540" s="113">
        <f>KOHC!D131/KOHC!D130</f>
        <v>0</v>
      </c>
      <c r="G540" s="116" t="s">
        <v>206</v>
      </c>
      <c r="H540" s="116" t="str">
        <f t="shared" si="27"/>
        <v>Reproduced to precision</v>
      </c>
      <c r="I540" s="116" t="s">
        <v>207</v>
      </c>
      <c r="J540" s="116" t="s">
        <v>208</v>
      </c>
      <c r="K540" s="116" t="s">
        <v>132</v>
      </c>
      <c r="L540" s="116" t="s">
        <v>209</v>
      </c>
      <c r="M540" s="49">
        <f t="shared" si="25"/>
        <v>0</v>
      </c>
      <c r="N540" s="49">
        <f t="shared" si="28"/>
        <v>0</v>
      </c>
      <c r="O540" s="49">
        <v>4</v>
      </c>
    </row>
    <row r="541" spans="1:15" ht="27" x14ac:dyDescent="0.3">
      <c r="A541" s="49" t="s">
        <v>18</v>
      </c>
      <c r="B541" s="49" t="s">
        <v>104</v>
      </c>
      <c r="C541" s="49" t="s">
        <v>26</v>
      </c>
      <c r="D541" s="113">
        <v>0</v>
      </c>
      <c r="E541" s="113">
        <f>KOHC!E173</f>
        <v>0</v>
      </c>
      <c r="F541" s="113">
        <f>KOHC!E131/KOHC!E130</f>
        <v>0</v>
      </c>
      <c r="G541" s="116" t="s">
        <v>206</v>
      </c>
      <c r="H541" s="116" t="str">
        <f t="shared" si="27"/>
        <v>Reproduced to precision</v>
      </c>
      <c r="I541" s="116" t="s">
        <v>207</v>
      </c>
      <c r="J541" s="116" t="s">
        <v>208</v>
      </c>
      <c r="K541" s="116" t="s">
        <v>132</v>
      </c>
      <c r="L541" s="116" t="s">
        <v>209</v>
      </c>
      <c r="M541" s="49">
        <f t="shared" si="25"/>
        <v>0</v>
      </c>
      <c r="N541" s="49">
        <f t="shared" si="28"/>
        <v>0</v>
      </c>
      <c r="O541" s="49">
        <v>4</v>
      </c>
    </row>
    <row r="542" spans="1:15" ht="27" x14ac:dyDescent="0.3">
      <c r="A542" s="49" t="s">
        <v>18</v>
      </c>
      <c r="B542" s="49" t="s">
        <v>104</v>
      </c>
      <c r="C542" s="49" t="s">
        <v>27</v>
      </c>
      <c r="D542" s="113">
        <v>0</v>
      </c>
      <c r="E542" s="113">
        <f>KOHC!F173</f>
        <v>0</v>
      </c>
      <c r="F542" s="113">
        <f>KOHC!F131/KOHC!F130</f>
        <v>0</v>
      </c>
      <c r="G542" s="116" t="s">
        <v>206</v>
      </c>
      <c r="H542" s="116" t="str">
        <f t="shared" si="27"/>
        <v>Reproduced to precision</v>
      </c>
      <c r="I542" s="116" t="s">
        <v>207</v>
      </c>
      <c r="J542" s="116" t="s">
        <v>208</v>
      </c>
      <c r="K542" s="116" t="s">
        <v>132</v>
      </c>
      <c r="L542" s="116" t="s">
        <v>209</v>
      </c>
      <c r="M542" s="49">
        <f t="shared" si="25"/>
        <v>0</v>
      </c>
      <c r="N542" s="49">
        <f t="shared" si="28"/>
        <v>0</v>
      </c>
      <c r="O542" s="49">
        <v>4</v>
      </c>
    </row>
    <row r="543" spans="1:15" ht="27" x14ac:dyDescent="0.3">
      <c r="A543" s="49" t="s">
        <v>18</v>
      </c>
      <c r="B543" s="49" t="s">
        <v>104</v>
      </c>
      <c r="C543" s="49" t="s">
        <v>28</v>
      </c>
      <c r="D543" s="113">
        <v>0</v>
      </c>
      <c r="E543" s="113">
        <f>KOHC!G173</f>
        <v>0</v>
      </c>
      <c r="F543" s="113">
        <f>KOHC!G131/KOHC!G130</f>
        <v>0</v>
      </c>
      <c r="G543" s="116" t="s">
        <v>206</v>
      </c>
      <c r="H543" s="116" t="str">
        <f t="shared" si="27"/>
        <v>Reproduced to precision</v>
      </c>
      <c r="I543" s="116" t="s">
        <v>207</v>
      </c>
      <c r="J543" s="116" t="s">
        <v>208</v>
      </c>
      <c r="K543" s="116" t="s">
        <v>132</v>
      </c>
      <c r="L543" s="116" t="s">
        <v>209</v>
      </c>
      <c r="M543" s="49">
        <f t="shared" si="25"/>
        <v>0</v>
      </c>
      <c r="N543" s="49">
        <f t="shared" si="28"/>
        <v>0</v>
      </c>
      <c r="O543" s="49">
        <v>4</v>
      </c>
    </row>
    <row r="544" spans="1:15" ht="27" x14ac:dyDescent="0.3">
      <c r="A544" s="49" t="s">
        <v>18</v>
      </c>
      <c r="B544" s="49" t="s">
        <v>124</v>
      </c>
      <c r="C544" s="49" t="s">
        <v>20</v>
      </c>
      <c r="D544" s="113">
        <v>0</v>
      </c>
      <c r="E544" s="113">
        <f>KOHC!D174</f>
        <v>0</v>
      </c>
      <c r="F544" s="113">
        <f>KOHC!D131/(KOHC!D99/KOHC!D129)</f>
        <v>0</v>
      </c>
      <c r="G544" s="116" t="s">
        <v>206</v>
      </c>
      <c r="H544" s="116" t="str">
        <f t="shared" si="27"/>
        <v>Reproduced to precision</v>
      </c>
      <c r="I544" s="116" t="s">
        <v>207</v>
      </c>
      <c r="J544" s="116" t="s">
        <v>208</v>
      </c>
      <c r="K544" s="116" t="s">
        <v>132</v>
      </c>
      <c r="L544" s="116" t="s">
        <v>209</v>
      </c>
      <c r="M544" s="49">
        <f t="shared" si="25"/>
        <v>0</v>
      </c>
      <c r="N544" s="49">
        <f t="shared" si="28"/>
        <v>0</v>
      </c>
      <c r="O544" s="49">
        <v>4</v>
      </c>
    </row>
    <row r="545" spans="1:15" ht="27" x14ac:dyDescent="0.3">
      <c r="A545" s="49" t="s">
        <v>18</v>
      </c>
      <c r="B545" s="49" t="s">
        <v>124</v>
      </c>
      <c r="C545" s="49" t="s">
        <v>26</v>
      </c>
      <c r="D545" s="113">
        <v>0</v>
      </c>
      <c r="E545" s="113">
        <f>KOHC!E174</f>
        <v>0</v>
      </c>
      <c r="F545" s="113">
        <f>KOHC!E131/(KOHC!E99/KOHC!E129)</f>
        <v>0</v>
      </c>
      <c r="G545" s="116" t="s">
        <v>206</v>
      </c>
      <c r="H545" s="116" t="str">
        <f t="shared" si="27"/>
        <v>Reproduced to precision</v>
      </c>
      <c r="I545" s="116" t="s">
        <v>207</v>
      </c>
      <c r="J545" s="116" t="s">
        <v>208</v>
      </c>
      <c r="K545" s="116" t="s">
        <v>132</v>
      </c>
      <c r="L545" s="116" t="s">
        <v>209</v>
      </c>
      <c r="M545" s="49">
        <f t="shared" si="25"/>
        <v>0</v>
      </c>
      <c r="N545" s="49">
        <f t="shared" si="28"/>
        <v>0</v>
      </c>
      <c r="O545" s="49">
        <v>4</v>
      </c>
    </row>
    <row r="546" spans="1:15" ht="27" x14ac:dyDescent="0.3">
      <c r="A546" s="49" t="s">
        <v>18</v>
      </c>
      <c r="B546" s="49" t="s">
        <v>124</v>
      </c>
      <c r="C546" s="49" t="s">
        <v>27</v>
      </c>
      <c r="D546" s="113">
        <v>0</v>
      </c>
      <c r="E546" s="113">
        <f>KOHC!F174</f>
        <v>0</v>
      </c>
      <c r="F546" s="113">
        <f>KOHC!F131/(KOHC!F99/KOHC!F129)</f>
        <v>0</v>
      </c>
      <c r="G546" s="116" t="s">
        <v>206</v>
      </c>
      <c r="H546" s="116" t="str">
        <f t="shared" si="27"/>
        <v>Reproduced to precision</v>
      </c>
      <c r="I546" s="116" t="s">
        <v>207</v>
      </c>
      <c r="J546" s="116" t="s">
        <v>208</v>
      </c>
      <c r="K546" s="116" t="s">
        <v>132</v>
      </c>
      <c r="L546" s="116" t="s">
        <v>209</v>
      </c>
      <c r="M546" s="49">
        <f t="shared" si="25"/>
        <v>0</v>
      </c>
      <c r="N546" s="49">
        <f t="shared" si="28"/>
        <v>0</v>
      </c>
      <c r="O546" s="49">
        <v>4</v>
      </c>
    </row>
    <row r="547" spans="1:15" ht="27" x14ac:dyDescent="0.3">
      <c r="A547" s="49" t="s">
        <v>18</v>
      </c>
      <c r="B547" s="49" t="s">
        <v>124</v>
      </c>
      <c r="C547" s="49" t="s">
        <v>28</v>
      </c>
      <c r="D547" s="113">
        <v>0</v>
      </c>
      <c r="E547" s="113">
        <f>KOHC!G174</f>
        <v>0</v>
      </c>
      <c r="F547" s="113">
        <f>KOHC!G131/(KOHC!G99/KOHC!G129)</f>
        <v>0</v>
      </c>
      <c r="G547" s="116" t="s">
        <v>206</v>
      </c>
      <c r="H547" s="116" t="str">
        <f t="shared" si="27"/>
        <v>Reproduced to precision</v>
      </c>
      <c r="I547" s="116" t="s">
        <v>207</v>
      </c>
      <c r="J547" s="116" t="s">
        <v>208</v>
      </c>
      <c r="K547" s="116" t="s">
        <v>132</v>
      </c>
      <c r="L547" s="116" t="s">
        <v>209</v>
      </c>
      <c r="M547" s="49">
        <f t="shared" si="25"/>
        <v>0</v>
      </c>
      <c r="N547" s="49">
        <f t="shared" si="28"/>
        <v>0</v>
      </c>
      <c r="O547" s="49">
        <v>4</v>
      </c>
    </row>
    <row r="548" spans="1:15" ht="27" x14ac:dyDescent="0.3">
      <c r="A548" s="49" t="s">
        <v>114</v>
      </c>
      <c r="B548" s="49" t="s">
        <v>210</v>
      </c>
      <c r="C548" s="49" t="s">
        <v>29</v>
      </c>
      <c r="D548" s="113">
        <v>8.2500000000000004E-2</v>
      </c>
      <c r="E548" s="113">
        <f>FCCL!H164</f>
        <v>8.6398713906626887E-2</v>
      </c>
      <c r="F548" s="113">
        <f>ROUND(FCCL!H99/FCCL!H84,2)*ROUND(FCCL!H84/FCCL!H37,2)</f>
        <v>8.2500000000000004E-2</v>
      </c>
      <c r="G548" s="116" t="s">
        <v>211</v>
      </c>
      <c r="H548" s="116" t="str">
        <f t="shared" si="27"/>
        <v>Reproduced to precision</v>
      </c>
      <c r="I548" s="116" t="s">
        <v>212</v>
      </c>
      <c r="J548" s="116" t="s">
        <v>213</v>
      </c>
      <c r="K548" s="116" t="s">
        <v>132</v>
      </c>
      <c r="L548" s="116" t="s">
        <v>214</v>
      </c>
      <c r="M548" s="49">
        <f t="shared" si="25"/>
        <v>3.8987139066268828E-3</v>
      </c>
      <c r="N548" s="49">
        <f t="shared" si="28"/>
        <v>0</v>
      </c>
      <c r="O548" s="49">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J400"/>
  <sheetViews>
    <sheetView showGridLines="0" workbookViewId="0">
      <pane xSplit="2" ySplit="17" topLeftCell="C18" activePane="bottomRight" state="frozen"/>
      <selection pane="topRight"/>
      <selection pane="bottomLeft"/>
      <selection pane="bottomRight" activeCell="C18" sqref="C18"/>
    </sheetView>
  </sheetViews>
  <sheetFormatPr defaultColWidth="8.6640625" defaultRowHeight="14.4" x14ac:dyDescent="0.3"/>
  <cols>
    <col min="1" max="1" width="58" customWidth="1"/>
    <col min="2" max="2" width="46" customWidth="1"/>
    <col min="3" max="8" width="11" customWidth="1"/>
    <col min="9" max="9" width="9" customWidth="1"/>
    <col min="10" max="10" width="62" customWidth="1"/>
  </cols>
  <sheetData>
    <row r="1" spans="1:10" ht="18" x14ac:dyDescent="0.35">
      <c r="A1" s="138" t="s">
        <v>215</v>
      </c>
      <c r="B1" s="139"/>
    </row>
    <row r="2" spans="1:10" x14ac:dyDescent="0.3">
      <c r="A2" s="140" t="s">
        <v>216</v>
      </c>
      <c r="B2" s="139"/>
    </row>
    <row r="3" spans="1:10" x14ac:dyDescent="0.3">
      <c r="A3" s="141" t="s">
        <v>9355</v>
      </c>
      <c r="B3" s="139"/>
    </row>
    <row r="4" spans="1:10" x14ac:dyDescent="0.3">
      <c r="A4" s="139"/>
      <c r="B4" s="139"/>
    </row>
    <row r="5" spans="1:10" x14ac:dyDescent="0.3">
      <c r="A5" s="142" t="s">
        <v>217</v>
      </c>
      <c r="B5" s="143"/>
      <c r="C5" s="10"/>
      <c r="D5" s="10"/>
      <c r="E5" s="10"/>
      <c r="F5" s="10"/>
      <c r="G5" s="10"/>
      <c r="H5" s="10"/>
      <c r="I5" s="10"/>
      <c r="J5" s="10"/>
    </row>
    <row r="6" spans="1:10" ht="15" customHeight="1" x14ac:dyDescent="0.3">
      <c r="A6" s="144" t="s">
        <v>1</v>
      </c>
      <c r="B6" s="210" t="s">
        <v>218</v>
      </c>
      <c r="C6" s="211"/>
      <c r="D6" s="211"/>
      <c r="E6" s="211"/>
      <c r="F6" s="211"/>
      <c r="G6" s="211"/>
      <c r="H6" s="211"/>
      <c r="I6" s="211"/>
      <c r="J6" s="211"/>
    </row>
    <row r="7" spans="1:10" ht="15" customHeight="1" x14ac:dyDescent="0.3">
      <c r="A7" s="144" t="s">
        <v>219</v>
      </c>
      <c r="B7" s="210" t="s">
        <v>18</v>
      </c>
      <c r="C7" s="211"/>
      <c r="D7" s="211"/>
      <c r="E7" s="211"/>
      <c r="F7" s="211"/>
      <c r="G7" s="211"/>
      <c r="H7" s="211"/>
      <c r="I7" s="211"/>
      <c r="J7" s="211"/>
    </row>
    <row r="8" spans="1:10" ht="15" customHeight="1" x14ac:dyDescent="0.3">
      <c r="A8" s="144" t="s">
        <v>220</v>
      </c>
      <c r="B8" s="210" t="s">
        <v>221</v>
      </c>
      <c r="C8" s="211"/>
      <c r="D8" s="211"/>
      <c r="E8" s="211"/>
      <c r="F8" s="211"/>
      <c r="G8" s="211"/>
      <c r="H8" s="211"/>
      <c r="I8" s="211"/>
      <c r="J8" s="211"/>
    </row>
    <row r="9" spans="1:10" ht="15" customHeight="1" x14ac:dyDescent="0.3">
      <c r="A9" s="144" t="s">
        <v>222</v>
      </c>
      <c r="B9" s="210" t="s">
        <v>223</v>
      </c>
      <c r="C9" s="211"/>
      <c r="D9" s="211"/>
      <c r="E9" s="211"/>
      <c r="F9" s="211"/>
      <c r="G9" s="211"/>
      <c r="H9" s="211"/>
      <c r="I9" s="211"/>
      <c r="J9" s="211"/>
    </row>
    <row r="10" spans="1:10" ht="15" customHeight="1" x14ac:dyDescent="0.3">
      <c r="A10" s="144" t="s">
        <v>224</v>
      </c>
      <c r="B10" s="210" t="s">
        <v>225</v>
      </c>
      <c r="C10" s="211"/>
      <c r="D10" s="211"/>
      <c r="E10" s="211"/>
      <c r="F10" s="211"/>
      <c r="G10" s="211"/>
      <c r="H10" s="211"/>
      <c r="I10" s="211"/>
      <c r="J10" s="211"/>
    </row>
    <row r="11" spans="1:10" ht="15" customHeight="1" x14ac:dyDescent="0.3">
      <c r="A11" s="144" t="s">
        <v>226</v>
      </c>
      <c r="B11" s="210" t="s">
        <v>227</v>
      </c>
      <c r="C11" s="211"/>
      <c r="D11" s="211"/>
      <c r="E11" s="211"/>
      <c r="F11" s="211"/>
      <c r="G11" s="211"/>
      <c r="H11" s="211"/>
      <c r="I11" s="211"/>
      <c r="J11" s="211"/>
    </row>
    <row r="12" spans="1:10" ht="27.75" customHeight="1" x14ac:dyDescent="0.3">
      <c r="A12" s="144" t="s">
        <v>228</v>
      </c>
      <c r="B12" s="210" t="s">
        <v>229</v>
      </c>
      <c r="C12" s="211"/>
      <c r="D12" s="211"/>
      <c r="E12" s="211"/>
      <c r="F12" s="211"/>
      <c r="G12" s="211"/>
      <c r="H12" s="211"/>
      <c r="I12" s="211"/>
      <c r="J12" s="211"/>
    </row>
    <row r="13" spans="1:10" ht="27.75" customHeight="1" x14ac:dyDescent="0.3">
      <c r="A13" s="144" t="s">
        <v>230</v>
      </c>
      <c r="B13" s="210" t="s">
        <v>231</v>
      </c>
      <c r="C13" s="211"/>
      <c r="D13" s="211"/>
      <c r="E13" s="211"/>
      <c r="F13" s="211"/>
      <c r="G13" s="211"/>
      <c r="H13" s="211"/>
      <c r="I13" s="211"/>
      <c r="J13" s="211"/>
    </row>
    <row r="14" spans="1:10" ht="27.75" customHeight="1" x14ac:dyDescent="0.3">
      <c r="A14" s="144" t="s">
        <v>232</v>
      </c>
      <c r="B14" s="210" t="s">
        <v>233</v>
      </c>
      <c r="C14" s="211"/>
      <c r="D14" s="211"/>
      <c r="E14" s="211"/>
      <c r="F14" s="211"/>
      <c r="G14" s="211"/>
      <c r="H14" s="211"/>
      <c r="I14" s="211"/>
      <c r="J14" s="211"/>
    </row>
    <row r="15" spans="1:10" ht="27.75" customHeight="1" x14ac:dyDescent="0.3">
      <c r="A15" s="144" t="s">
        <v>234</v>
      </c>
      <c r="B15" s="210" t="s">
        <v>235</v>
      </c>
      <c r="C15" s="211"/>
      <c r="D15" s="211"/>
      <c r="E15" s="211"/>
      <c r="F15" s="211"/>
      <c r="G15" s="211"/>
      <c r="H15" s="211"/>
      <c r="I15" s="211"/>
      <c r="J15" s="211"/>
    </row>
    <row r="16" spans="1:10" x14ac:dyDescent="0.3">
      <c r="A16" s="139"/>
      <c r="B16" s="139"/>
    </row>
    <row r="17" spans="1:10" x14ac:dyDescent="0.3">
      <c r="A17" s="145" t="s">
        <v>236</v>
      </c>
      <c r="B17" s="145" t="s">
        <v>237</v>
      </c>
      <c r="C17" s="11" t="s">
        <v>238</v>
      </c>
      <c r="D17" s="11" t="s">
        <v>20</v>
      </c>
      <c r="E17" s="11" t="s">
        <v>26</v>
      </c>
      <c r="F17" s="11" t="s">
        <v>27</v>
      </c>
      <c r="G17" s="11" t="s">
        <v>28</v>
      </c>
      <c r="H17" s="11" t="s">
        <v>29</v>
      </c>
      <c r="I17" s="11" t="s">
        <v>239</v>
      </c>
      <c r="J17" s="11" t="s">
        <v>240</v>
      </c>
    </row>
    <row r="18" spans="1:10" x14ac:dyDescent="0.3">
      <c r="A18" s="142" t="s">
        <v>241</v>
      </c>
      <c r="B18" s="143"/>
      <c r="C18" s="10"/>
      <c r="D18" s="10"/>
      <c r="E18" s="10"/>
      <c r="F18" s="10"/>
      <c r="G18" s="10"/>
      <c r="H18" s="10"/>
      <c r="I18" s="10"/>
      <c r="J18" s="10"/>
    </row>
    <row r="19" spans="1:10" x14ac:dyDescent="0.3">
      <c r="A19" s="146" t="s">
        <v>242</v>
      </c>
      <c r="B19" s="147"/>
      <c r="C19" s="13"/>
      <c r="D19" s="13"/>
      <c r="E19" s="13"/>
      <c r="F19" s="13"/>
      <c r="G19" s="13"/>
      <c r="H19" s="13"/>
      <c r="I19" s="13"/>
      <c r="J19" s="13"/>
    </row>
    <row r="20" spans="1:10" x14ac:dyDescent="0.3">
      <c r="A20" s="139" t="s">
        <v>243</v>
      </c>
      <c r="B20" s="141" t="s">
        <v>244</v>
      </c>
      <c r="C20" s="14">
        <v>22777.666270999998</v>
      </c>
      <c r="D20" s="14">
        <v>22027.544913000002</v>
      </c>
      <c r="E20" s="14">
        <v>21331.296362000001</v>
      </c>
      <c r="F20" s="14">
        <v>22229.434463000001</v>
      </c>
      <c r="G20" s="14">
        <v>22156.640533000002</v>
      </c>
      <c r="H20" s="14">
        <v>23359.980509000001</v>
      </c>
      <c r="I20" s="8" t="s">
        <v>245</v>
      </c>
    </row>
    <row r="21" spans="1:10" x14ac:dyDescent="0.3">
      <c r="A21" s="139" t="s">
        <v>246</v>
      </c>
      <c r="B21" s="141" t="s">
        <v>247</v>
      </c>
      <c r="C21" s="14">
        <v>164.578022</v>
      </c>
      <c r="D21" s="14">
        <v>273.93955899999997</v>
      </c>
      <c r="E21" s="14">
        <v>130.89794699999999</v>
      </c>
      <c r="F21" s="14">
        <v>1943.019581</v>
      </c>
      <c r="G21" s="14">
        <v>999.32660499999997</v>
      </c>
      <c r="H21" s="14">
        <v>2486.634755</v>
      </c>
      <c r="I21" s="8" t="s">
        <v>245</v>
      </c>
    </row>
    <row r="22" spans="1:10" x14ac:dyDescent="0.3">
      <c r="A22" s="139" t="s">
        <v>248</v>
      </c>
      <c r="B22" s="141" t="s">
        <v>249</v>
      </c>
      <c r="C22" s="15">
        <f t="shared" ref="C22:H22" si="0">C20-C21</f>
        <v>22613.088248999997</v>
      </c>
      <c r="D22" s="15">
        <f t="shared" si="0"/>
        <v>21753.605354000003</v>
      </c>
      <c r="E22" s="15">
        <f t="shared" si="0"/>
        <v>21200.398415</v>
      </c>
      <c r="F22" s="15">
        <f t="shared" si="0"/>
        <v>20286.414882000001</v>
      </c>
      <c r="G22" s="15">
        <f t="shared" si="0"/>
        <v>21157.313928000003</v>
      </c>
      <c r="H22" s="15">
        <f t="shared" si="0"/>
        <v>20873.345754000002</v>
      </c>
      <c r="I22" s="8" t="s">
        <v>245</v>
      </c>
    </row>
    <row r="23" spans="1:10" x14ac:dyDescent="0.3">
      <c r="A23" s="139" t="s">
        <v>250</v>
      </c>
      <c r="B23" s="141" t="s">
        <v>251</v>
      </c>
      <c r="C23" s="14">
        <v>0</v>
      </c>
      <c r="D23" s="14">
        <v>0</v>
      </c>
      <c r="E23" s="14">
        <v>0</v>
      </c>
      <c r="F23" s="14">
        <v>0</v>
      </c>
      <c r="G23" s="14">
        <v>0</v>
      </c>
      <c r="H23" s="14">
        <v>0</v>
      </c>
      <c r="I23" s="8" t="s">
        <v>245</v>
      </c>
    </row>
    <row r="24" spans="1:10" x14ac:dyDescent="0.3">
      <c r="A24" s="139" t="s">
        <v>252</v>
      </c>
      <c r="B24" s="141" t="s">
        <v>253</v>
      </c>
      <c r="C24" s="14">
        <v>11.210982</v>
      </c>
      <c r="D24" s="14">
        <v>6.725911</v>
      </c>
      <c r="E24" s="14">
        <v>2.7013569999999998</v>
      </c>
      <c r="F24" s="14">
        <v>1.567709</v>
      </c>
      <c r="G24" s="14">
        <v>0.50822599999999996</v>
      </c>
      <c r="H24" s="14">
        <v>0.25974199999999997</v>
      </c>
      <c r="I24" s="8" t="s">
        <v>245</v>
      </c>
    </row>
    <row r="25" spans="1:10" x14ac:dyDescent="0.3">
      <c r="A25" s="139" t="s">
        <v>254</v>
      </c>
      <c r="B25" s="141" t="s">
        <v>255</v>
      </c>
      <c r="C25" s="14">
        <v>3691.8396349999998</v>
      </c>
      <c r="D25" s="14">
        <v>4134.0861590000004</v>
      </c>
      <c r="E25" s="14">
        <v>4134.2552089999999</v>
      </c>
      <c r="F25" s="14">
        <v>4324.9107430000004</v>
      </c>
      <c r="G25" s="14">
        <v>4326.3615589999999</v>
      </c>
      <c r="H25" s="14">
        <v>4326.3615589999999</v>
      </c>
      <c r="I25" s="8" t="s">
        <v>245</v>
      </c>
    </row>
    <row r="26" spans="1:10" x14ac:dyDescent="0.3">
      <c r="A26" s="139" t="s">
        <v>256</v>
      </c>
      <c r="B26" s="141" t="s">
        <v>257</v>
      </c>
      <c r="C26" s="14">
        <v>0</v>
      </c>
      <c r="D26" s="14">
        <v>0</v>
      </c>
      <c r="E26" s="14">
        <v>0</v>
      </c>
      <c r="F26" s="14">
        <v>0</v>
      </c>
      <c r="G26" s="14">
        <v>0</v>
      </c>
      <c r="H26" s="14">
        <v>0</v>
      </c>
      <c r="I26" s="8" t="s">
        <v>245</v>
      </c>
    </row>
    <row r="27" spans="1:10" x14ac:dyDescent="0.3">
      <c r="A27" s="139" t="s">
        <v>258</v>
      </c>
      <c r="B27" s="141" t="s">
        <v>259</v>
      </c>
      <c r="C27" s="14">
        <v>38.326639999999998</v>
      </c>
      <c r="D27" s="14">
        <v>69.765739999999994</v>
      </c>
      <c r="E27" s="14">
        <v>106.58346899999999</v>
      </c>
      <c r="F27" s="14">
        <v>60.785981</v>
      </c>
      <c r="G27" s="14">
        <v>147.38810599999999</v>
      </c>
      <c r="H27" s="14">
        <v>492.917464</v>
      </c>
      <c r="I27" s="8" t="s">
        <v>245</v>
      </c>
    </row>
    <row r="28" spans="1:10" x14ac:dyDescent="0.3">
      <c r="A28" s="144" t="s">
        <v>260</v>
      </c>
      <c r="B28" s="141" t="s">
        <v>261</v>
      </c>
      <c r="C28" s="16">
        <f t="shared" ref="C28:H28" si="1">C20+C23+C24+C25+C26+C27</f>
        <v>26519.043527999998</v>
      </c>
      <c r="D28" s="16">
        <f t="shared" si="1"/>
        <v>26238.122723000004</v>
      </c>
      <c r="E28" s="16">
        <f t="shared" si="1"/>
        <v>25574.836397000003</v>
      </c>
      <c r="F28" s="16">
        <f t="shared" si="1"/>
        <v>26616.698896000002</v>
      </c>
      <c r="G28" s="16">
        <f t="shared" si="1"/>
        <v>26630.898424000003</v>
      </c>
      <c r="H28" s="16">
        <f t="shared" si="1"/>
        <v>28179.519273999998</v>
      </c>
      <c r="I28" s="8" t="s">
        <v>245</v>
      </c>
    </row>
    <row r="29" spans="1:10" x14ac:dyDescent="0.3">
      <c r="A29" s="146" t="s">
        <v>262</v>
      </c>
      <c r="B29" s="147"/>
      <c r="C29" s="13"/>
      <c r="D29" s="13"/>
      <c r="E29" s="13"/>
      <c r="F29" s="13"/>
      <c r="G29" s="13"/>
      <c r="H29" s="13"/>
      <c r="I29" s="13"/>
      <c r="J29" s="13"/>
    </row>
    <row r="30" spans="1:10" x14ac:dyDescent="0.3">
      <c r="A30" s="139" t="s">
        <v>263</v>
      </c>
      <c r="B30" s="141" t="s">
        <v>264</v>
      </c>
      <c r="C30" s="14">
        <v>2250.1564370000001</v>
      </c>
      <c r="D30" s="14">
        <v>3070.7691009999999</v>
      </c>
      <c r="E30" s="14">
        <v>4214.8296360000004</v>
      </c>
      <c r="F30" s="14">
        <v>4713.1297640000003</v>
      </c>
      <c r="G30" s="14">
        <v>5785.6834859999999</v>
      </c>
      <c r="H30" s="14">
        <v>4991.3114750000004</v>
      </c>
      <c r="I30" s="8" t="s">
        <v>245</v>
      </c>
    </row>
    <row r="31" spans="1:10" x14ac:dyDescent="0.3">
      <c r="A31" s="139" t="s">
        <v>265</v>
      </c>
      <c r="B31" s="141" t="s">
        <v>266</v>
      </c>
      <c r="C31" s="14">
        <v>1016.024223</v>
      </c>
      <c r="D31" s="14">
        <v>1112.7762660000001</v>
      </c>
      <c r="E31" s="14">
        <v>1456.156782</v>
      </c>
      <c r="F31" s="14">
        <v>2942.8615540000001</v>
      </c>
      <c r="G31" s="14">
        <v>1793.74244</v>
      </c>
      <c r="H31" s="14">
        <v>2513.556552</v>
      </c>
      <c r="I31" s="8" t="s">
        <v>245</v>
      </c>
    </row>
    <row r="32" spans="1:10" x14ac:dyDescent="0.3">
      <c r="A32" s="139" t="s">
        <v>267</v>
      </c>
      <c r="B32" s="141" t="s">
        <v>268</v>
      </c>
      <c r="C32" s="14">
        <v>494.31520599999999</v>
      </c>
      <c r="D32" s="14">
        <v>983.56822299999999</v>
      </c>
      <c r="E32" s="14">
        <v>916.03946900000005</v>
      </c>
      <c r="F32" s="14">
        <v>1205.553375</v>
      </c>
      <c r="G32" s="14">
        <v>2110.2479020000001</v>
      </c>
      <c r="H32" s="14">
        <v>1692.217832</v>
      </c>
      <c r="I32" s="8" t="s">
        <v>245</v>
      </c>
    </row>
    <row r="33" spans="1:10" x14ac:dyDescent="0.3">
      <c r="A33" s="139" t="s">
        <v>269</v>
      </c>
      <c r="B33" s="141" t="s">
        <v>270</v>
      </c>
      <c r="C33" s="14">
        <v>160.13059999999999</v>
      </c>
      <c r="D33" s="14">
        <v>2999.496423</v>
      </c>
      <c r="E33" s="14">
        <v>10124.095692999999</v>
      </c>
      <c r="F33" s="14">
        <v>12335.073816</v>
      </c>
      <c r="G33" s="14">
        <v>20279.745954000002</v>
      </c>
      <c r="H33" s="14">
        <v>26941.632205000002</v>
      </c>
      <c r="I33" s="8" t="s">
        <v>245</v>
      </c>
    </row>
    <row r="34" spans="1:10" x14ac:dyDescent="0.3">
      <c r="A34" s="139" t="s">
        <v>271</v>
      </c>
      <c r="B34" s="141" t="s">
        <v>272</v>
      </c>
      <c r="C34" s="14">
        <v>891.606087</v>
      </c>
      <c r="D34" s="14">
        <v>1197.729351</v>
      </c>
      <c r="E34" s="14">
        <v>480.76563199999998</v>
      </c>
      <c r="F34" s="14">
        <v>933.537193</v>
      </c>
      <c r="G34" s="14">
        <v>1102.6491719999999</v>
      </c>
      <c r="H34" s="14">
        <v>1450.7027230000001</v>
      </c>
      <c r="I34" s="8" t="s">
        <v>245</v>
      </c>
    </row>
    <row r="35" spans="1:10" x14ac:dyDescent="0.3">
      <c r="A35" s="139" t="s">
        <v>273</v>
      </c>
      <c r="B35" s="141" t="s">
        <v>274</v>
      </c>
      <c r="C35" s="14">
        <v>425.39122600000002</v>
      </c>
      <c r="D35" s="14">
        <v>484.45934999999997</v>
      </c>
      <c r="E35" s="14">
        <v>583.94423500000005</v>
      </c>
      <c r="F35" s="14">
        <v>783.22094700000002</v>
      </c>
      <c r="G35" s="14">
        <v>1140.3278190000001</v>
      </c>
      <c r="H35" s="14">
        <v>1025.371707</v>
      </c>
      <c r="I35" s="8" t="s">
        <v>245</v>
      </c>
    </row>
    <row r="36" spans="1:10" x14ac:dyDescent="0.3">
      <c r="A36" s="144" t="s">
        <v>275</v>
      </c>
      <c r="B36" s="141" t="s">
        <v>276</v>
      </c>
      <c r="C36" s="16">
        <f t="shared" ref="C36:H36" si="2">C30+C31+C32+C33+C34+C35</f>
        <v>5237.6237789999996</v>
      </c>
      <c r="D36" s="16">
        <f t="shared" si="2"/>
        <v>9848.7987139999987</v>
      </c>
      <c r="E36" s="16">
        <f t="shared" si="2"/>
        <v>17775.831446999997</v>
      </c>
      <c r="F36" s="16">
        <f t="shared" si="2"/>
        <v>22913.376649000002</v>
      </c>
      <c r="G36" s="16">
        <f t="shared" si="2"/>
        <v>32212.396773</v>
      </c>
      <c r="H36" s="16">
        <f t="shared" si="2"/>
        <v>38614.792494000001</v>
      </c>
      <c r="I36" s="8" t="s">
        <v>245</v>
      </c>
    </row>
    <row r="37" spans="1:10" x14ac:dyDescent="0.3">
      <c r="A37" s="144" t="s">
        <v>277</v>
      </c>
      <c r="B37" s="141" t="s">
        <v>278</v>
      </c>
      <c r="C37" s="16">
        <f t="shared" ref="C37:H37" si="3">C28+C36</f>
        <v>31756.667306999996</v>
      </c>
      <c r="D37" s="16">
        <f t="shared" si="3"/>
        <v>36086.921437000005</v>
      </c>
      <c r="E37" s="16">
        <f t="shared" si="3"/>
        <v>43350.667843999996</v>
      </c>
      <c r="F37" s="16">
        <f t="shared" si="3"/>
        <v>49530.075545</v>
      </c>
      <c r="G37" s="16">
        <f t="shared" si="3"/>
        <v>58843.295196999999</v>
      </c>
      <c r="H37" s="16">
        <f t="shared" si="3"/>
        <v>66794.311768</v>
      </c>
      <c r="I37" s="8" t="s">
        <v>245</v>
      </c>
    </row>
    <row r="38" spans="1:10" x14ac:dyDescent="0.3">
      <c r="A38" s="146" t="s">
        <v>279</v>
      </c>
      <c r="B38" s="147"/>
      <c r="C38" s="13"/>
      <c r="D38" s="13"/>
      <c r="E38" s="13"/>
      <c r="F38" s="13"/>
      <c r="G38" s="13"/>
      <c r="H38" s="13"/>
      <c r="I38" s="13"/>
      <c r="J38" s="13"/>
    </row>
    <row r="39" spans="1:10" x14ac:dyDescent="0.3">
      <c r="A39" s="139" t="s">
        <v>280</v>
      </c>
      <c r="B39" s="141" t="s">
        <v>281</v>
      </c>
      <c r="C39" s="14">
        <v>2008.6129699999999</v>
      </c>
      <c r="D39" s="14">
        <v>2008.6129699999999</v>
      </c>
      <c r="E39" s="14">
        <v>2008.6129699999999</v>
      </c>
      <c r="F39" s="14">
        <v>2008.6129699999999</v>
      </c>
      <c r="G39" s="14">
        <v>1958.6129699999999</v>
      </c>
      <c r="H39" s="14">
        <v>1838.6129699999999</v>
      </c>
      <c r="I39" s="8" t="s">
        <v>245</v>
      </c>
    </row>
    <row r="40" spans="1:10" x14ac:dyDescent="0.3">
      <c r="A40" s="139" t="s">
        <v>282</v>
      </c>
      <c r="B40" s="141" t="s">
        <v>283</v>
      </c>
      <c r="C40" s="14">
        <v>16718.060354000001</v>
      </c>
      <c r="D40" s="14">
        <v>20214.926401000001</v>
      </c>
      <c r="E40" s="14">
        <v>25237.607261000001</v>
      </c>
      <c r="F40" s="14">
        <v>30601.432002000001</v>
      </c>
      <c r="G40" s="14">
        <v>39131.692321000002</v>
      </c>
      <c r="H40" s="14">
        <v>46116.581816999998</v>
      </c>
      <c r="I40" s="8" t="s">
        <v>245</v>
      </c>
    </row>
    <row r="41" spans="1:10" x14ac:dyDescent="0.3">
      <c r="A41" s="144" t="s">
        <v>284</v>
      </c>
      <c r="B41" s="141" t="s">
        <v>285</v>
      </c>
      <c r="C41" s="16">
        <f t="shared" ref="C41:H41" si="4">C39+C40</f>
        <v>18726.673323999999</v>
      </c>
      <c r="D41" s="16">
        <f t="shared" si="4"/>
        <v>22223.539370999999</v>
      </c>
      <c r="E41" s="16">
        <f t="shared" si="4"/>
        <v>27246.220230999999</v>
      </c>
      <c r="F41" s="16">
        <f t="shared" si="4"/>
        <v>32610.044972</v>
      </c>
      <c r="G41" s="16">
        <f t="shared" si="4"/>
        <v>41090.305291000004</v>
      </c>
      <c r="H41" s="16">
        <f t="shared" si="4"/>
        <v>47955.194787</v>
      </c>
      <c r="I41" s="8" t="s">
        <v>245</v>
      </c>
    </row>
    <row r="42" spans="1:10" x14ac:dyDescent="0.3">
      <c r="A42" s="146" t="s">
        <v>286</v>
      </c>
      <c r="B42" s="147"/>
      <c r="C42" s="13"/>
      <c r="D42" s="13"/>
      <c r="E42" s="13"/>
      <c r="F42" s="13"/>
      <c r="G42" s="13"/>
      <c r="H42" s="13"/>
      <c r="I42" s="13"/>
      <c r="J42" s="13"/>
    </row>
    <row r="43" spans="1:10" x14ac:dyDescent="0.3">
      <c r="A43" s="139" t="s">
        <v>287</v>
      </c>
      <c r="B43" s="141" t="s">
        <v>288</v>
      </c>
      <c r="C43" s="14">
        <v>5439.2261420000004</v>
      </c>
      <c r="D43" s="14">
        <v>4405.7653060000002</v>
      </c>
      <c r="E43" s="14">
        <v>3179.400118</v>
      </c>
      <c r="F43" s="14">
        <v>2149.0173749999999</v>
      </c>
      <c r="G43" s="14">
        <v>1118.642478</v>
      </c>
      <c r="H43" s="14">
        <v>1448.977799</v>
      </c>
      <c r="I43" s="8" t="s">
        <v>245</v>
      </c>
    </row>
    <row r="44" spans="1:10" x14ac:dyDescent="0.3">
      <c r="A44" s="139" t="s">
        <v>289</v>
      </c>
      <c r="B44" s="141" t="s">
        <v>290</v>
      </c>
      <c r="C44" s="14">
        <v>0</v>
      </c>
      <c r="D44" s="14">
        <v>0</v>
      </c>
      <c r="E44" s="14">
        <v>0</v>
      </c>
      <c r="F44" s="14">
        <v>0</v>
      </c>
      <c r="G44" s="14">
        <v>0</v>
      </c>
      <c r="H44" s="14">
        <v>0</v>
      </c>
      <c r="I44" s="8" t="s">
        <v>245</v>
      </c>
    </row>
    <row r="45" spans="1:10" x14ac:dyDescent="0.3">
      <c r="A45" s="139" t="s">
        <v>291</v>
      </c>
      <c r="B45" s="141" t="s">
        <v>292</v>
      </c>
      <c r="C45" s="14">
        <v>0</v>
      </c>
      <c r="D45" s="14">
        <v>1.328937</v>
      </c>
      <c r="E45" s="14">
        <v>0</v>
      </c>
      <c r="F45" s="14">
        <v>0</v>
      </c>
      <c r="G45" s="14">
        <v>0</v>
      </c>
      <c r="H45" s="14">
        <v>0</v>
      </c>
      <c r="I45" s="8" t="s">
        <v>245</v>
      </c>
    </row>
    <row r="46" spans="1:10" x14ac:dyDescent="0.3">
      <c r="A46" s="139" t="s">
        <v>293</v>
      </c>
      <c r="B46" s="141" t="s">
        <v>294</v>
      </c>
      <c r="C46" s="14">
        <v>1287.9421130000001</v>
      </c>
      <c r="D46" s="14">
        <v>1857.649347</v>
      </c>
      <c r="E46" s="14">
        <v>3407.3736180000001</v>
      </c>
      <c r="F46" s="14">
        <v>4823.1584460000004</v>
      </c>
      <c r="G46" s="14">
        <v>5505.8239940000003</v>
      </c>
      <c r="H46" s="14">
        <v>5688.1160399999999</v>
      </c>
      <c r="I46" s="8" t="s">
        <v>245</v>
      </c>
    </row>
    <row r="47" spans="1:10" x14ac:dyDescent="0.3">
      <c r="A47" s="139" t="s">
        <v>295</v>
      </c>
      <c r="B47" s="141" t="s">
        <v>296</v>
      </c>
      <c r="C47" s="14">
        <v>23.277456000000001</v>
      </c>
      <c r="D47" s="14">
        <v>26.394535999999999</v>
      </c>
      <c r="E47" s="14">
        <v>29.683198000000001</v>
      </c>
      <c r="F47" s="14">
        <v>35.383341000000001</v>
      </c>
      <c r="G47" s="14">
        <v>32.887203</v>
      </c>
      <c r="H47" s="14">
        <v>40.322031000000003</v>
      </c>
      <c r="I47" s="8" t="s">
        <v>245</v>
      </c>
    </row>
    <row r="48" spans="1:10" x14ac:dyDescent="0.3">
      <c r="A48" s="144" t="s">
        <v>297</v>
      </c>
      <c r="B48" s="141" t="s">
        <v>298</v>
      </c>
      <c r="C48" s="16">
        <f t="shared" ref="C48:H48" si="5">C43+C44+C45+C46+C47</f>
        <v>6750.4457110000003</v>
      </c>
      <c r="D48" s="16">
        <f t="shared" si="5"/>
        <v>6291.1381259999998</v>
      </c>
      <c r="E48" s="16">
        <f t="shared" si="5"/>
        <v>6616.4569339999998</v>
      </c>
      <c r="F48" s="16">
        <f t="shared" si="5"/>
        <v>7007.5591620000005</v>
      </c>
      <c r="G48" s="16">
        <f t="shared" si="5"/>
        <v>6657.3536750000003</v>
      </c>
      <c r="H48" s="16">
        <f t="shared" si="5"/>
        <v>7177.4158699999998</v>
      </c>
      <c r="I48" s="8" t="s">
        <v>245</v>
      </c>
    </row>
    <row r="49" spans="1:10" x14ac:dyDescent="0.3">
      <c r="A49" s="146" t="s">
        <v>299</v>
      </c>
      <c r="B49" s="147"/>
      <c r="C49" s="13"/>
      <c r="D49" s="13"/>
      <c r="E49" s="13"/>
      <c r="F49" s="13"/>
      <c r="G49" s="13"/>
      <c r="H49" s="13"/>
      <c r="I49" s="13"/>
      <c r="J49" s="13"/>
    </row>
    <row r="50" spans="1:10" x14ac:dyDescent="0.3">
      <c r="A50" s="139" t="s">
        <v>300</v>
      </c>
      <c r="B50" s="141" t="s">
        <v>301</v>
      </c>
      <c r="C50" s="14">
        <v>4293.205395</v>
      </c>
      <c r="D50" s="14">
        <v>4985.3855290000001</v>
      </c>
      <c r="E50" s="14">
        <v>5525.2212079999999</v>
      </c>
      <c r="F50" s="14">
        <v>5307.0753530000002</v>
      </c>
      <c r="G50" s="14">
        <v>6223.1533209999998</v>
      </c>
      <c r="H50" s="14">
        <v>7710.0123979999998</v>
      </c>
      <c r="I50" s="8" t="s">
        <v>245</v>
      </c>
    </row>
    <row r="51" spans="1:10" x14ac:dyDescent="0.3">
      <c r="A51" s="139" t="s">
        <v>302</v>
      </c>
      <c r="B51" s="141" t="s">
        <v>303</v>
      </c>
      <c r="C51" s="14">
        <v>1091.3009709999999</v>
      </c>
      <c r="D51" s="14">
        <v>1555.157545</v>
      </c>
      <c r="E51" s="14">
        <v>1281.5597969999999</v>
      </c>
      <c r="F51" s="14">
        <v>674.67428399999994</v>
      </c>
      <c r="G51" s="14">
        <v>1781.4468710000001</v>
      </c>
      <c r="H51" s="14">
        <v>2107.1359750000001</v>
      </c>
      <c r="I51" s="8" t="s">
        <v>245</v>
      </c>
    </row>
    <row r="52" spans="1:10" x14ac:dyDescent="0.3">
      <c r="A52" s="139" t="s">
        <v>304</v>
      </c>
      <c r="B52" s="141" t="s">
        <v>305</v>
      </c>
      <c r="C52" s="14">
        <v>126.582689</v>
      </c>
      <c r="D52" s="14">
        <v>137.0915</v>
      </c>
      <c r="E52" s="14">
        <v>264.98440799999997</v>
      </c>
      <c r="F52" s="14">
        <v>253.13594499999999</v>
      </c>
      <c r="G52" s="14">
        <v>113.418606</v>
      </c>
      <c r="H52" s="14">
        <v>144.300907</v>
      </c>
      <c r="I52" s="8" t="s">
        <v>245</v>
      </c>
    </row>
    <row r="53" spans="1:10" x14ac:dyDescent="0.3">
      <c r="A53" s="139" t="s">
        <v>306</v>
      </c>
      <c r="B53" s="141" t="s">
        <v>307</v>
      </c>
      <c r="C53" s="14">
        <v>208.76675599999999</v>
      </c>
      <c r="D53" s="14">
        <v>122.613973</v>
      </c>
      <c r="E53" s="14">
        <v>142.17199299999999</v>
      </c>
      <c r="F53" s="14">
        <v>192.67479</v>
      </c>
      <c r="G53" s="14">
        <v>0</v>
      </c>
      <c r="H53" s="14">
        <v>0</v>
      </c>
      <c r="I53" s="8" t="s">
        <v>245</v>
      </c>
    </row>
    <row r="54" spans="1:10" x14ac:dyDescent="0.3">
      <c r="A54" s="139" t="s">
        <v>308</v>
      </c>
      <c r="B54" s="141" t="s">
        <v>309</v>
      </c>
      <c r="C54" s="14">
        <v>1301.6090999999999</v>
      </c>
      <c r="D54" s="14">
        <v>498</v>
      </c>
      <c r="E54" s="14">
        <v>0</v>
      </c>
      <c r="F54" s="14">
        <v>0</v>
      </c>
      <c r="G54" s="14">
        <v>6.1253000000000002E-2</v>
      </c>
      <c r="H54" s="14">
        <v>3.7048839999999998</v>
      </c>
      <c r="I54" s="8" t="s">
        <v>245</v>
      </c>
    </row>
    <row r="55" spans="1:10" x14ac:dyDescent="0.3">
      <c r="A55" s="139" t="s">
        <v>310</v>
      </c>
      <c r="B55" s="141" t="s">
        <v>311</v>
      </c>
      <c r="C55" s="14">
        <v>248.49632199999999</v>
      </c>
      <c r="D55" s="14">
        <v>1147.020843</v>
      </c>
      <c r="E55" s="14">
        <v>1071.912356</v>
      </c>
      <c r="F55" s="14">
        <v>1034.355873</v>
      </c>
      <c r="G55" s="14">
        <v>1169.2956429999999</v>
      </c>
      <c r="H55" s="14">
        <v>837.35925799999995</v>
      </c>
      <c r="I55" s="8" t="s">
        <v>245</v>
      </c>
    </row>
    <row r="56" spans="1:10" x14ac:dyDescent="0.3">
      <c r="A56" s="139" t="s">
        <v>312</v>
      </c>
      <c r="B56" s="141" t="s">
        <v>313</v>
      </c>
      <c r="C56" s="14">
        <v>0</v>
      </c>
      <c r="D56" s="14">
        <v>0</v>
      </c>
      <c r="E56" s="14">
        <v>0</v>
      </c>
      <c r="F56" s="14">
        <v>0</v>
      </c>
      <c r="G56" s="14">
        <v>0</v>
      </c>
      <c r="H56" s="14">
        <v>0</v>
      </c>
      <c r="I56" s="8" t="s">
        <v>245</v>
      </c>
    </row>
    <row r="57" spans="1:10" x14ac:dyDescent="0.3">
      <c r="A57" s="139" t="s">
        <v>314</v>
      </c>
      <c r="B57" s="141" t="s">
        <v>315</v>
      </c>
      <c r="C57" s="14">
        <v>0</v>
      </c>
      <c r="D57" s="14">
        <v>0</v>
      </c>
      <c r="E57" s="14">
        <v>0</v>
      </c>
      <c r="F57" s="14">
        <v>0</v>
      </c>
      <c r="G57" s="14">
        <v>0</v>
      </c>
      <c r="H57" s="14">
        <v>0</v>
      </c>
      <c r="I57" s="8" t="s">
        <v>245</v>
      </c>
    </row>
    <row r="58" spans="1:10" x14ac:dyDescent="0.3">
      <c r="A58" s="139" t="s">
        <v>316</v>
      </c>
      <c r="B58" s="141" t="s">
        <v>317</v>
      </c>
      <c r="C58" s="14">
        <v>48.014347999999998</v>
      </c>
      <c r="D58" s="14">
        <v>46.197552000000002</v>
      </c>
      <c r="E58" s="14">
        <v>45.648049</v>
      </c>
      <c r="F58" s="14">
        <v>45.47522</v>
      </c>
      <c r="G58" s="14">
        <v>45.338931000000002</v>
      </c>
      <c r="H58" s="14">
        <v>42.181257000000002</v>
      </c>
      <c r="I58" s="8" t="s">
        <v>245</v>
      </c>
    </row>
    <row r="59" spans="1:10" x14ac:dyDescent="0.3">
      <c r="A59" s="139" t="s">
        <v>318</v>
      </c>
      <c r="B59" s="141" t="s">
        <v>319</v>
      </c>
      <c r="C59" s="14">
        <v>52.873660999999998</v>
      </c>
      <c r="D59" s="14">
        <v>635.93454299999996</v>
      </c>
      <c r="E59" s="14">
        <v>2438.0526650000002</v>
      </c>
      <c r="F59" s="14">
        <v>3079.75423</v>
      </c>
      <c r="G59" s="14">
        <v>3544.368477</v>
      </c>
      <c r="H59" s="14">
        <v>2924.1424069999998</v>
      </c>
      <c r="I59" s="8" t="s">
        <v>245</v>
      </c>
    </row>
    <row r="60" spans="1:10" x14ac:dyDescent="0.3">
      <c r="A60" s="139" t="s">
        <v>320</v>
      </c>
      <c r="B60" s="141" t="s">
        <v>321</v>
      </c>
      <c r="C60" s="14">
        <v>0</v>
      </c>
      <c r="D60" s="14">
        <v>0</v>
      </c>
      <c r="E60" s="14">
        <v>0</v>
      </c>
      <c r="F60" s="14">
        <v>0</v>
      </c>
      <c r="G60" s="14">
        <v>0</v>
      </c>
      <c r="H60" s="14">
        <v>0</v>
      </c>
      <c r="I60" s="8" t="s">
        <v>245</v>
      </c>
    </row>
    <row r="61" spans="1:10" x14ac:dyDescent="0.3">
      <c r="A61" s="144" t="s">
        <v>322</v>
      </c>
      <c r="B61" s="141" t="s">
        <v>323</v>
      </c>
      <c r="C61" s="16">
        <f t="shared" ref="C61:H61" si="6">C50+C52+C53+C54+C55+C56+C57+C58+C59+C60</f>
        <v>6279.5482709999987</v>
      </c>
      <c r="D61" s="16">
        <f t="shared" si="6"/>
        <v>7572.2439400000003</v>
      </c>
      <c r="E61" s="16">
        <f t="shared" si="6"/>
        <v>9487.9906790000005</v>
      </c>
      <c r="F61" s="16">
        <f t="shared" si="6"/>
        <v>9912.4714110000004</v>
      </c>
      <c r="G61" s="16">
        <f t="shared" si="6"/>
        <v>11095.636231</v>
      </c>
      <c r="H61" s="16">
        <f t="shared" si="6"/>
        <v>11661.701110999998</v>
      </c>
      <c r="I61" s="8" t="s">
        <v>245</v>
      </c>
      <c r="J61" s="8" t="s">
        <v>324</v>
      </c>
    </row>
    <row r="62" spans="1:10" x14ac:dyDescent="0.3">
      <c r="A62" s="144" t="s">
        <v>325</v>
      </c>
      <c r="B62" s="141" t="s">
        <v>326</v>
      </c>
      <c r="C62" s="16">
        <f t="shared" ref="C62:H62" si="7">C48+C61</f>
        <v>13029.993982</v>
      </c>
      <c r="D62" s="16">
        <f t="shared" si="7"/>
        <v>13863.382066</v>
      </c>
      <c r="E62" s="16">
        <f t="shared" si="7"/>
        <v>16104.447613</v>
      </c>
      <c r="F62" s="16">
        <f t="shared" si="7"/>
        <v>16920.030573</v>
      </c>
      <c r="G62" s="16">
        <f t="shared" si="7"/>
        <v>17752.989906000003</v>
      </c>
      <c r="H62" s="16">
        <f t="shared" si="7"/>
        <v>18839.116980999999</v>
      </c>
      <c r="I62" s="8" t="s">
        <v>245</v>
      </c>
    </row>
    <row r="63" spans="1:10" x14ac:dyDescent="0.3">
      <c r="A63" s="144" t="s">
        <v>327</v>
      </c>
      <c r="B63" s="141" t="s">
        <v>328</v>
      </c>
      <c r="C63" s="16">
        <f t="shared" ref="C63:H63" si="8">C41+C62</f>
        <v>31756.667305999999</v>
      </c>
      <c r="D63" s="16">
        <f t="shared" si="8"/>
        <v>36086.921436999997</v>
      </c>
      <c r="E63" s="16">
        <f t="shared" si="8"/>
        <v>43350.667843999996</v>
      </c>
      <c r="F63" s="16">
        <f t="shared" si="8"/>
        <v>49530.075545</v>
      </c>
      <c r="G63" s="16">
        <f t="shared" si="8"/>
        <v>58843.295197000007</v>
      </c>
      <c r="H63" s="16">
        <f t="shared" si="8"/>
        <v>66794.311768</v>
      </c>
      <c r="I63" s="8" t="s">
        <v>245</v>
      </c>
    </row>
    <row r="64" spans="1:10" x14ac:dyDescent="0.3">
      <c r="A64" s="146" t="s">
        <v>329</v>
      </c>
      <c r="B64" s="147"/>
      <c r="C64" s="13"/>
      <c r="D64" s="13"/>
      <c r="E64" s="13"/>
      <c r="F64" s="13"/>
      <c r="G64" s="13"/>
      <c r="H64" s="13"/>
      <c r="I64" s="13"/>
      <c r="J64" s="13"/>
    </row>
    <row r="65" spans="1:10" x14ac:dyDescent="0.3">
      <c r="A65" s="139" t="s">
        <v>330</v>
      </c>
      <c r="B65" s="141" t="s">
        <v>331</v>
      </c>
      <c r="C65" s="15">
        <f t="shared" ref="C65:H65" si="9">C30+C31</f>
        <v>3266.18066</v>
      </c>
      <c r="D65" s="15">
        <f t="shared" si="9"/>
        <v>4183.5453669999997</v>
      </c>
      <c r="E65" s="15">
        <f t="shared" si="9"/>
        <v>5670.9864180000004</v>
      </c>
      <c r="F65" s="15">
        <f t="shared" si="9"/>
        <v>7655.9913180000003</v>
      </c>
      <c r="G65" s="15">
        <f t="shared" si="9"/>
        <v>7579.4259259999999</v>
      </c>
      <c r="H65" s="15">
        <f t="shared" si="9"/>
        <v>7504.8680270000004</v>
      </c>
      <c r="I65" s="8" t="s">
        <v>245</v>
      </c>
    </row>
    <row r="66" spans="1:10" x14ac:dyDescent="0.3">
      <c r="A66" s="139" t="s">
        <v>332</v>
      </c>
      <c r="B66" s="141" t="s">
        <v>333</v>
      </c>
      <c r="C66" s="15">
        <f t="shared" ref="C66:H66" si="10">C43+C44+C54+C55+C56-C251-C252</f>
        <v>6989.3315640000001</v>
      </c>
      <c r="D66" s="15">
        <f t="shared" si="10"/>
        <v>6050.7861490000005</v>
      </c>
      <c r="E66" s="15">
        <f t="shared" si="10"/>
        <v>4251.3124740000003</v>
      </c>
      <c r="F66" s="15">
        <f t="shared" si="10"/>
        <v>3183.3732479999999</v>
      </c>
      <c r="G66" s="15">
        <f t="shared" si="10"/>
        <v>2153.059604</v>
      </c>
      <c r="H66" s="15">
        <f t="shared" si="10"/>
        <v>2242.6215440000001</v>
      </c>
      <c r="I66" s="8" t="s">
        <v>245</v>
      </c>
    </row>
    <row r="67" spans="1:10" x14ac:dyDescent="0.3">
      <c r="A67" s="139" t="s">
        <v>334</v>
      </c>
      <c r="B67" s="141" t="s">
        <v>335</v>
      </c>
      <c r="C67" s="15">
        <f t="shared" ref="C67:H67" si="11">C43+C44</f>
        <v>5439.2261420000004</v>
      </c>
      <c r="D67" s="15">
        <f t="shared" si="11"/>
        <v>4405.7653060000002</v>
      </c>
      <c r="E67" s="15">
        <f t="shared" si="11"/>
        <v>3179.400118</v>
      </c>
      <c r="F67" s="15">
        <f t="shared" si="11"/>
        <v>2149.0173749999999</v>
      </c>
      <c r="G67" s="15">
        <f t="shared" si="11"/>
        <v>1118.642478</v>
      </c>
      <c r="H67" s="15">
        <f t="shared" si="11"/>
        <v>1448.977799</v>
      </c>
      <c r="I67" s="8" t="s">
        <v>245</v>
      </c>
    </row>
    <row r="68" spans="1:10" x14ac:dyDescent="0.3">
      <c r="A68" s="139"/>
      <c r="B68" s="141"/>
      <c r="C68" s="15"/>
      <c r="D68" s="15"/>
      <c r="E68" s="15"/>
      <c r="F68" s="15"/>
      <c r="G68" s="15"/>
      <c r="H68" s="15"/>
      <c r="I68" s="8" t="s">
        <v>245</v>
      </c>
    </row>
    <row r="69" spans="1:10" x14ac:dyDescent="0.3">
      <c r="A69" s="139"/>
      <c r="B69" s="141"/>
      <c r="C69" s="15"/>
      <c r="D69" s="15"/>
      <c r="E69" s="15"/>
      <c r="F69" s="15"/>
      <c r="G69" s="15"/>
      <c r="H69" s="15"/>
      <c r="I69" s="8" t="s">
        <v>245</v>
      </c>
    </row>
    <row r="70" spans="1:10" x14ac:dyDescent="0.3">
      <c r="A70" s="139" t="s">
        <v>336</v>
      </c>
      <c r="B70" s="141" t="s">
        <v>337</v>
      </c>
      <c r="C70" s="15">
        <f t="shared" ref="C70:H70" si="12">C66+C41</f>
        <v>25716.004887999999</v>
      </c>
      <c r="D70" s="15">
        <f t="shared" si="12"/>
        <v>28274.325519999999</v>
      </c>
      <c r="E70" s="15">
        <f t="shared" si="12"/>
        <v>31497.532704999998</v>
      </c>
      <c r="F70" s="15">
        <f t="shared" si="12"/>
        <v>35793.41822</v>
      </c>
      <c r="G70" s="15">
        <f t="shared" si="12"/>
        <v>43243.364895000006</v>
      </c>
      <c r="H70" s="15">
        <f t="shared" si="12"/>
        <v>50197.816331000002</v>
      </c>
      <c r="I70" s="8" t="s">
        <v>245</v>
      </c>
    </row>
    <row r="71" spans="1:10" x14ac:dyDescent="0.3">
      <c r="A71" s="139" t="s">
        <v>338</v>
      </c>
      <c r="B71" s="141" t="s">
        <v>339</v>
      </c>
      <c r="C71" s="15">
        <f t="shared" ref="C71:H71" si="13">C37-C61</f>
        <v>25477.119035999996</v>
      </c>
      <c r="D71" s="15">
        <f t="shared" si="13"/>
        <v>28514.677497000004</v>
      </c>
      <c r="E71" s="15">
        <f t="shared" si="13"/>
        <v>33862.677164999994</v>
      </c>
      <c r="F71" s="15">
        <f t="shared" si="13"/>
        <v>39617.604134000001</v>
      </c>
      <c r="G71" s="15">
        <f t="shared" si="13"/>
        <v>47747.658966000003</v>
      </c>
      <c r="H71" s="15">
        <f t="shared" si="13"/>
        <v>55132.610656999997</v>
      </c>
      <c r="I71" s="8" t="s">
        <v>245</v>
      </c>
    </row>
    <row r="72" spans="1:10" x14ac:dyDescent="0.3">
      <c r="A72" s="139" t="s">
        <v>340</v>
      </c>
      <c r="B72" s="141" t="s">
        <v>341</v>
      </c>
      <c r="C72" s="15">
        <f t="shared" ref="C72:H72" si="14">C36-C34-C33</f>
        <v>4185.887091999999</v>
      </c>
      <c r="D72" s="15">
        <f t="shared" si="14"/>
        <v>5651.5729399999982</v>
      </c>
      <c r="E72" s="15">
        <f t="shared" si="14"/>
        <v>7170.9701219999988</v>
      </c>
      <c r="F72" s="15">
        <f t="shared" si="14"/>
        <v>9644.7656400000014</v>
      </c>
      <c r="G72" s="15">
        <f t="shared" si="14"/>
        <v>10830.001646999997</v>
      </c>
      <c r="H72" s="15">
        <f t="shared" si="14"/>
        <v>10222.457565999997</v>
      </c>
      <c r="I72" s="8" t="s">
        <v>245</v>
      </c>
    </row>
    <row r="73" spans="1:10" x14ac:dyDescent="0.3">
      <c r="A73" s="139" t="s">
        <v>342</v>
      </c>
      <c r="B73" s="141" t="s">
        <v>343</v>
      </c>
      <c r="C73" s="15">
        <f t="shared" ref="C73:H73" si="15">C61-C54-C55-C56-C57-C53-C58</f>
        <v>4472.6617449999994</v>
      </c>
      <c r="D73" s="15">
        <f t="shared" si="15"/>
        <v>5758.411572</v>
      </c>
      <c r="E73" s="15">
        <f t="shared" si="15"/>
        <v>8228.2582810000004</v>
      </c>
      <c r="F73" s="15">
        <f t="shared" si="15"/>
        <v>8639.9655280000006</v>
      </c>
      <c r="G73" s="15">
        <f t="shared" si="15"/>
        <v>9880.9404040000009</v>
      </c>
      <c r="H73" s="15">
        <f t="shared" si="15"/>
        <v>10778.455711999997</v>
      </c>
      <c r="I73" s="8" t="s">
        <v>245</v>
      </c>
    </row>
    <row r="74" spans="1:10" x14ac:dyDescent="0.3">
      <c r="A74" s="146" t="s">
        <v>344</v>
      </c>
      <c r="B74" s="147"/>
      <c r="C74" s="13"/>
      <c r="D74" s="13"/>
      <c r="E74" s="13"/>
      <c r="F74" s="13"/>
      <c r="G74" s="13"/>
      <c r="H74" s="13"/>
      <c r="I74" s="13"/>
      <c r="J74" s="13"/>
    </row>
    <row r="75" spans="1:10" x14ac:dyDescent="0.3">
      <c r="A75" s="139" t="s">
        <v>345</v>
      </c>
      <c r="B75" s="141" t="s">
        <v>346</v>
      </c>
      <c r="C75" s="14">
        <v>31756.667305999999</v>
      </c>
      <c r="D75" s="14">
        <v>36086.921436999997</v>
      </c>
      <c r="E75" s="14">
        <v>43350.667844000003</v>
      </c>
      <c r="F75" s="14">
        <v>49530.075545</v>
      </c>
      <c r="G75" s="14">
        <v>58843.295196999999</v>
      </c>
      <c r="H75" s="14">
        <v>66794.311768</v>
      </c>
      <c r="I75" s="8" t="s">
        <v>245</v>
      </c>
    </row>
    <row r="76" spans="1:10" x14ac:dyDescent="0.3">
      <c r="A76" s="139" t="s">
        <v>347</v>
      </c>
      <c r="B76" s="141" t="s">
        <v>348</v>
      </c>
      <c r="C76" s="14">
        <v>18726.673323999999</v>
      </c>
      <c r="D76" s="14">
        <v>22223.539370999999</v>
      </c>
      <c r="E76" s="14">
        <v>27246.220230999999</v>
      </c>
      <c r="F76" s="14">
        <v>32610.044972</v>
      </c>
      <c r="G76" s="14">
        <v>41090.305290999997</v>
      </c>
      <c r="H76" s="14">
        <v>47955.194787</v>
      </c>
      <c r="I76" s="8" t="s">
        <v>245</v>
      </c>
    </row>
    <row r="77" spans="1:10" x14ac:dyDescent="0.3">
      <c r="A77" s="139" t="s">
        <v>349</v>
      </c>
      <c r="B77" s="141" t="s">
        <v>350</v>
      </c>
      <c r="C77" s="14">
        <v>5237.6237780000001</v>
      </c>
      <c r="D77" s="14">
        <v>9848.7987140000005</v>
      </c>
      <c r="E77" s="14">
        <v>17775.831447</v>
      </c>
      <c r="F77" s="14">
        <v>22913.376649000002</v>
      </c>
      <c r="G77" s="14">
        <v>32212.396773</v>
      </c>
      <c r="H77" s="14">
        <v>38614.792494000001</v>
      </c>
      <c r="I77" s="8" t="s">
        <v>245</v>
      </c>
    </row>
    <row r="78" spans="1:10" x14ac:dyDescent="0.3">
      <c r="A78" s="139" t="s">
        <v>351</v>
      </c>
      <c r="B78" s="141" t="s">
        <v>352</v>
      </c>
      <c r="C78" s="14">
        <v>6279.5482709999997</v>
      </c>
      <c r="D78" s="14">
        <v>7572.2439400000003</v>
      </c>
      <c r="E78" s="14">
        <v>9487.9906790000005</v>
      </c>
      <c r="F78" s="14">
        <v>9912.4714110000004</v>
      </c>
      <c r="G78" s="14">
        <v>11095.636231</v>
      </c>
      <c r="H78" s="14">
        <v>11661.701111</v>
      </c>
      <c r="I78" s="8" t="s">
        <v>245</v>
      </c>
    </row>
    <row r="79" spans="1:10" x14ac:dyDescent="0.3">
      <c r="A79" s="139" t="s">
        <v>353</v>
      </c>
      <c r="B79" s="141" t="s">
        <v>354</v>
      </c>
      <c r="C79" s="17" t="str">
        <f t="shared" ref="C79:H79" si="16">IF(ABS(C37-C63)&lt;0.005,"PASS","FAIL")</f>
        <v>PASS</v>
      </c>
      <c r="D79" s="17" t="str">
        <f t="shared" si="16"/>
        <v>PASS</v>
      </c>
      <c r="E79" s="17" t="str">
        <f t="shared" si="16"/>
        <v>PASS</v>
      </c>
      <c r="F79" s="17" t="str">
        <f t="shared" si="16"/>
        <v>PASS</v>
      </c>
      <c r="G79" s="17" t="str">
        <f t="shared" si="16"/>
        <v>PASS</v>
      </c>
      <c r="H79" s="17" t="str">
        <f t="shared" si="16"/>
        <v>PASS</v>
      </c>
      <c r="I79" s="8"/>
    </row>
    <row r="80" spans="1:10" x14ac:dyDescent="0.3">
      <c r="A80" s="139" t="s">
        <v>355</v>
      </c>
      <c r="B80" s="141" t="s">
        <v>354</v>
      </c>
      <c r="C80" s="17" t="str">
        <f t="shared" ref="C80:H80" si="17">IF(ABS(C37-C75)&lt;0.005,"PASS","FAIL")</f>
        <v>PASS</v>
      </c>
      <c r="D80" s="17" t="str">
        <f t="shared" si="17"/>
        <v>PASS</v>
      </c>
      <c r="E80" s="17" t="str">
        <f t="shared" si="17"/>
        <v>PASS</v>
      </c>
      <c r="F80" s="17" t="str">
        <f t="shared" si="17"/>
        <v>PASS</v>
      </c>
      <c r="G80" s="17" t="str">
        <f t="shared" si="17"/>
        <v>PASS</v>
      </c>
      <c r="H80" s="17" t="str">
        <f t="shared" si="17"/>
        <v>PASS</v>
      </c>
      <c r="I80" s="8"/>
    </row>
    <row r="81" spans="1:10" x14ac:dyDescent="0.3">
      <c r="A81" s="139" t="s">
        <v>356</v>
      </c>
      <c r="B81" s="141" t="s">
        <v>354</v>
      </c>
      <c r="C81" s="17" t="str">
        <f t="shared" ref="C81:H81" si="18">IF(AND(ABS(C41-C76)&lt;0.005,ABS(C36-C77)&lt;0.005,ABS(C61-C78)&lt;0.005),"PASS","FAIL")</f>
        <v>PASS</v>
      </c>
      <c r="D81" s="17" t="str">
        <f t="shared" si="18"/>
        <v>PASS</v>
      </c>
      <c r="E81" s="17" t="str">
        <f t="shared" si="18"/>
        <v>PASS</v>
      </c>
      <c r="F81" s="17" t="str">
        <f t="shared" si="18"/>
        <v>PASS</v>
      </c>
      <c r="G81" s="17" t="str">
        <f t="shared" si="18"/>
        <v>PASS</v>
      </c>
      <c r="H81" s="17" t="str">
        <f t="shared" si="18"/>
        <v>PASS</v>
      </c>
      <c r="I81" s="8"/>
    </row>
    <row r="82" spans="1:10" x14ac:dyDescent="0.3">
      <c r="A82" s="139"/>
      <c r="B82" s="139"/>
    </row>
    <row r="83" spans="1:10" x14ac:dyDescent="0.3">
      <c r="A83" s="142" t="s">
        <v>357</v>
      </c>
      <c r="B83" s="143"/>
      <c r="C83" s="10"/>
      <c r="D83" s="10"/>
      <c r="E83" s="10"/>
      <c r="F83" s="10"/>
      <c r="G83" s="10"/>
      <c r="H83" s="10"/>
      <c r="I83" s="10"/>
      <c r="J83" s="10"/>
    </row>
    <row r="84" spans="1:10" x14ac:dyDescent="0.3">
      <c r="A84" s="139" t="s">
        <v>358</v>
      </c>
      <c r="B84" s="141" t="s">
        <v>359</v>
      </c>
      <c r="C84" s="18"/>
      <c r="D84" s="14">
        <v>24057.375992000001</v>
      </c>
      <c r="E84" s="14">
        <v>32876.949179000003</v>
      </c>
      <c r="F84" s="14">
        <v>38921.635349999997</v>
      </c>
      <c r="G84" s="14">
        <v>38647.767972000001</v>
      </c>
      <c r="H84" s="14">
        <v>37535.700371999999</v>
      </c>
      <c r="I84" s="8" t="s">
        <v>245</v>
      </c>
    </row>
    <row r="85" spans="1:10" x14ac:dyDescent="0.3">
      <c r="A85" s="139" t="s">
        <v>360</v>
      </c>
      <c r="B85" s="141" t="s">
        <v>361</v>
      </c>
      <c r="C85" s="18"/>
      <c r="D85" s="14">
        <v>-18092.026933000001</v>
      </c>
      <c r="E85" s="14">
        <v>-23065.180670000002</v>
      </c>
      <c r="F85" s="14">
        <v>-28488.941331000002</v>
      </c>
      <c r="G85" s="14">
        <v>-27391.276476999999</v>
      </c>
      <c r="H85" s="14">
        <v>-22814.094271000002</v>
      </c>
      <c r="I85" s="8" t="s">
        <v>245</v>
      </c>
    </row>
    <row r="86" spans="1:10" x14ac:dyDescent="0.3">
      <c r="A86" s="144" t="s">
        <v>362</v>
      </c>
      <c r="B86" s="141" t="s">
        <v>363</v>
      </c>
      <c r="C86" s="19"/>
      <c r="D86" s="16">
        <f>D84+D85</f>
        <v>5965.3490590000001</v>
      </c>
      <c r="E86" s="16">
        <f>E84+E85</f>
        <v>9811.7685090000014</v>
      </c>
      <c r="F86" s="16">
        <f>F84+F85</f>
        <v>10432.694018999995</v>
      </c>
      <c r="G86" s="16">
        <f>G84+G85</f>
        <v>11256.491495000002</v>
      </c>
      <c r="H86" s="16">
        <f>H84+H85</f>
        <v>14721.606100999998</v>
      </c>
      <c r="I86" s="8" t="s">
        <v>245</v>
      </c>
    </row>
    <row r="87" spans="1:10" x14ac:dyDescent="0.3">
      <c r="A87" s="139" t="s">
        <v>364</v>
      </c>
      <c r="B87" s="141" t="s">
        <v>365</v>
      </c>
      <c r="C87" s="18"/>
      <c r="D87" s="14">
        <v>-94.165965</v>
      </c>
      <c r="E87" s="14">
        <v>-122.136736</v>
      </c>
      <c r="F87" s="14">
        <v>-176.123458</v>
      </c>
      <c r="G87" s="14">
        <v>-197.25935899999999</v>
      </c>
      <c r="H87" s="14">
        <v>-225.60041699999999</v>
      </c>
      <c r="I87" s="8" t="s">
        <v>245</v>
      </c>
    </row>
    <row r="88" spans="1:10" x14ac:dyDescent="0.3">
      <c r="A88" s="139" t="s">
        <v>366</v>
      </c>
      <c r="B88" s="141" t="s">
        <v>367</v>
      </c>
      <c r="C88" s="18"/>
      <c r="D88" s="14">
        <v>-313.52467000000001</v>
      </c>
      <c r="E88" s="14">
        <v>-353.52284600000002</v>
      </c>
      <c r="F88" s="14">
        <v>-396.23005499999999</v>
      </c>
      <c r="G88" s="14">
        <v>-488.04283099999998</v>
      </c>
      <c r="H88" s="14">
        <v>-695.55311800000004</v>
      </c>
      <c r="I88" s="8" t="s">
        <v>245</v>
      </c>
    </row>
    <row r="89" spans="1:10" x14ac:dyDescent="0.3">
      <c r="A89" s="139" t="s">
        <v>368</v>
      </c>
      <c r="B89" s="141" t="s">
        <v>369</v>
      </c>
      <c r="C89" s="18"/>
      <c r="D89" s="14">
        <v>0</v>
      </c>
      <c r="E89" s="14">
        <v>0</v>
      </c>
      <c r="F89" s="14">
        <v>0</v>
      </c>
      <c r="G89" s="14">
        <v>2.010516</v>
      </c>
      <c r="H89" s="14">
        <v>-44.078564999999998</v>
      </c>
      <c r="I89" s="8" t="s">
        <v>245</v>
      </c>
    </row>
    <row r="90" spans="1:10" x14ac:dyDescent="0.3">
      <c r="A90" s="139" t="s">
        <v>370</v>
      </c>
      <c r="B90" s="141" t="s">
        <v>371</v>
      </c>
      <c r="C90" s="18"/>
      <c r="D90" s="14">
        <v>-325.32307400000002</v>
      </c>
      <c r="E90" s="14">
        <v>-563.05238199999997</v>
      </c>
      <c r="F90" s="14">
        <v>-736.51295900000002</v>
      </c>
      <c r="G90" s="14">
        <v>-571.95038899999997</v>
      </c>
      <c r="H90" s="14">
        <v>-940.35906499999999</v>
      </c>
      <c r="I90" s="8" t="s">
        <v>245</v>
      </c>
    </row>
    <row r="91" spans="1:10" x14ac:dyDescent="0.3">
      <c r="A91" s="139" t="s">
        <v>372</v>
      </c>
      <c r="B91" s="141" t="s">
        <v>373</v>
      </c>
      <c r="C91" s="18"/>
      <c r="D91" s="15">
        <f>D86+D87+D88+D89+D90</f>
        <v>5232.3353500000003</v>
      </c>
      <c r="E91" s="15">
        <f>E86+E87+E88+E89+E90</f>
        <v>8773.0565450000013</v>
      </c>
      <c r="F91" s="15">
        <f>F86+F87+F88+F89+F90</f>
        <v>9123.8275469999953</v>
      </c>
      <c r="G91" s="15">
        <f>G86+G87+G88+G89+G90</f>
        <v>10001.249432000002</v>
      </c>
      <c r="H91" s="15">
        <f>H86+H87+H88+H89+H90</f>
        <v>12816.014935999998</v>
      </c>
      <c r="I91" s="8" t="s">
        <v>245</v>
      </c>
    </row>
    <row r="92" spans="1:10" x14ac:dyDescent="0.3">
      <c r="A92" s="139" t="s">
        <v>374</v>
      </c>
      <c r="B92" s="141" t="s">
        <v>375</v>
      </c>
      <c r="C92" s="18"/>
      <c r="D92" s="14">
        <v>170.67466999999999</v>
      </c>
      <c r="E92" s="14">
        <v>690.14339600000005</v>
      </c>
      <c r="F92" s="14">
        <v>2085.8080530000002</v>
      </c>
      <c r="G92" s="14">
        <v>4452.4165130000001</v>
      </c>
      <c r="H92" s="14">
        <v>5280.7191970000003</v>
      </c>
      <c r="I92" s="8" t="s">
        <v>245</v>
      </c>
    </row>
    <row r="93" spans="1:10" x14ac:dyDescent="0.3">
      <c r="A93" s="139" t="s">
        <v>376</v>
      </c>
      <c r="B93" s="141" t="s">
        <v>377</v>
      </c>
      <c r="C93" s="18"/>
      <c r="D93" s="14">
        <v>0</v>
      </c>
      <c r="E93" s="14">
        <v>0</v>
      </c>
      <c r="F93" s="14">
        <v>0</v>
      </c>
      <c r="G93" s="14">
        <v>0</v>
      </c>
      <c r="H93" s="14">
        <v>0</v>
      </c>
      <c r="I93" s="8" t="s">
        <v>245</v>
      </c>
    </row>
    <row r="94" spans="1:10" x14ac:dyDescent="0.3">
      <c r="A94" s="139" t="s">
        <v>378</v>
      </c>
      <c r="B94" s="141" t="s">
        <v>379</v>
      </c>
      <c r="C94" s="18"/>
      <c r="D94" s="14">
        <v>0</v>
      </c>
      <c r="E94" s="14">
        <v>0</v>
      </c>
      <c r="F94" s="14">
        <v>0</v>
      </c>
      <c r="G94" s="14">
        <v>0</v>
      </c>
      <c r="H94" s="14">
        <v>0</v>
      </c>
      <c r="I94" s="8" t="s">
        <v>245</v>
      </c>
    </row>
    <row r="95" spans="1:10" x14ac:dyDescent="0.3">
      <c r="A95" s="139" t="s">
        <v>380</v>
      </c>
      <c r="B95" s="141" t="s">
        <v>381</v>
      </c>
      <c r="C95" s="18"/>
      <c r="D95" s="14">
        <v>-517.05541300000004</v>
      </c>
      <c r="E95" s="14">
        <v>-537.71081500000003</v>
      </c>
      <c r="F95" s="14">
        <v>-740.307772</v>
      </c>
      <c r="G95" s="14">
        <v>-677.38084500000002</v>
      </c>
      <c r="H95" s="14">
        <v>-349.91071599999998</v>
      </c>
      <c r="I95" s="8" t="s">
        <v>245</v>
      </c>
    </row>
    <row r="96" spans="1:10" x14ac:dyDescent="0.3">
      <c r="A96" s="144" t="s">
        <v>382</v>
      </c>
      <c r="B96" s="141" t="s">
        <v>383</v>
      </c>
      <c r="C96" s="19"/>
      <c r="D96" s="16">
        <f>D91+D92+D93+D94+D95</f>
        <v>4885.9546070000006</v>
      </c>
      <c r="E96" s="16">
        <f>E91+E92+E93+E94+E95</f>
        <v>8925.4891260000004</v>
      </c>
      <c r="F96" s="16">
        <f>F91+F92+F93+F94+F95</f>
        <v>10469.327827999996</v>
      </c>
      <c r="G96" s="16">
        <f>G91+G92+G93+G94+G95</f>
        <v>13776.285100000003</v>
      </c>
      <c r="H96" s="16">
        <f>H91+H92+H93+H94+H95</f>
        <v>17746.823417</v>
      </c>
      <c r="I96" s="8" t="s">
        <v>245</v>
      </c>
    </row>
    <row r="97" spans="1:10" x14ac:dyDescent="0.3">
      <c r="A97" s="139" t="s">
        <v>384</v>
      </c>
      <c r="B97" s="141" t="s">
        <v>385</v>
      </c>
      <c r="C97" s="18"/>
      <c r="D97" s="14">
        <v>0</v>
      </c>
      <c r="E97" s="14">
        <v>0</v>
      </c>
      <c r="F97" s="14">
        <v>-343.98100499999998</v>
      </c>
      <c r="G97" s="14">
        <v>-844.15136500000006</v>
      </c>
      <c r="H97" s="14">
        <v>-58.631368000000002</v>
      </c>
      <c r="I97" s="8" t="s">
        <v>245</v>
      </c>
    </row>
    <row r="98" spans="1:10" x14ac:dyDescent="0.3">
      <c r="A98" s="139" t="s">
        <v>386</v>
      </c>
      <c r="B98" s="141" t="s">
        <v>387</v>
      </c>
      <c r="C98" s="18"/>
      <c r="D98" s="14">
        <v>-1388.4473599999999</v>
      </c>
      <c r="E98" s="14">
        <v>-3901.2088659999999</v>
      </c>
      <c r="F98" s="14">
        <v>-4304.5956779999997</v>
      </c>
      <c r="G98" s="14">
        <v>-4038.6789480000002</v>
      </c>
      <c r="H98" s="14">
        <v>-6113.0379780000003</v>
      </c>
      <c r="I98" s="8" t="s">
        <v>245</v>
      </c>
    </row>
    <row r="99" spans="1:10" x14ac:dyDescent="0.3">
      <c r="A99" s="144" t="s">
        <v>388</v>
      </c>
      <c r="B99" s="141" t="s">
        <v>389</v>
      </c>
      <c r="C99" s="19"/>
      <c r="D99" s="16">
        <f>D96+D97+D98</f>
        <v>3497.5072470000005</v>
      </c>
      <c r="E99" s="16">
        <f>E96+E97+E98</f>
        <v>5024.2802600000005</v>
      </c>
      <c r="F99" s="16">
        <f>F96+F97+F98</f>
        <v>5820.7511449999965</v>
      </c>
      <c r="G99" s="16">
        <f>G96+G97+G98</f>
        <v>8893.4547870000024</v>
      </c>
      <c r="H99" s="16">
        <f>H96+H97+H98</f>
        <v>11575.154071000001</v>
      </c>
      <c r="I99" s="8" t="s">
        <v>245</v>
      </c>
    </row>
    <row r="100" spans="1:10" x14ac:dyDescent="0.3">
      <c r="A100" s="139" t="s">
        <v>390</v>
      </c>
      <c r="B100" s="141" t="s">
        <v>391</v>
      </c>
      <c r="C100" s="18"/>
      <c r="D100" s="14">
        <v>5965.3490590000001</v>
      </c>
      <c r="E100" s="14">
        <v>9811.7685089999995</v>
      </c>
      <c r="F100" s="14">
        <v>10432.694019</v>
      </c>
      <c r="G100" s="14">
        <v>11256.491495</v>
      </c>
      <c r="H100" s="14">
        <v>14721.606100999999</v>
      </c>
      <c r="I100" s="8" t="s">
        <v>245</v>
      </c>
    </row>
    <row r="101" spans="1:10" x14ac:dyDescent="0.3">
      <c r="A101" s="139" t="s">
        <v>392</v>
      </c>
      <c r="B101" s="141" t="s">
        <v>393</v>
      </c>
      <c r="C101" s="18"/>
      <c r="D101" s="14">
        <v>4885.9546069999997</v>
      </c>
      <c r="E101" s="14">
        <v>8925.4891260000004</v>
      </c>
      <c r="F101" s="14">
        <v>10469.327827999999</v>
      </c>
      <c r="G101" s="14">
        <v>13776.285099999999</v>
      </c>
      <c r="H101" s="14">
        <v>17746.823417</v>
      </c>
      <c r="I101" s="8" t="s">
        <v>245</v>
      </c>
    </row>
    <row r="102" spans="1:10" x14ac:dyDescent="0.3">
      <c r="A102" s="139" t="s">
        <v>394</v>
      </c>
      <c r="B102" s="141" t="s">
        <v>395</v>
      </c>
      <c r="C102" s="18"/>
      <c r="D102" s="14">
        <v>3497.507247</v>
      </c>
      <c r="E102" s="14">
        <v>5024.2802600000005</v>
      </c>
      <c r="F102" s="14">
        <v>5820.7511450000002</v>
      </c>
      <c r="G102" s="14">
        <v>8893.4547870000006</v>
      </c>
      <c r="H102" s="14">
        <v>11575.154071000001</v>
      </c>
      <c r="I102" s="8" t="s">
        <v>245</v>
      </c>
    </row>
    <row r="103" spans="1:10" x14ac:dyDescent="0.3">
      <c r="A103" s="139" t="s">
        <v>396</v>
      </c>
      <c r="B103" s="141" t="s">
        <v>354</v>
      </c>
      <c r="C103" s="18"/>
      <c r="D103" s="17" t="str">
        <f>IF(AND(ABS(D86-D100)&lt;0.005,ABS(D96-D101)&lt;0.005,ABS(D99-D102)&lt;0.005),"PASS","FAIL")</f>
        <v>PASS</v>
      </c>
      <c r="E103" s="17" t="str">
        <f>IF(AND(ABS(E86-E100)&lt;0.005,ABS(E96-E101)&lt;0.005,ABS(E99-E102)&lt;0.005),"PASS","FAIL")</f>
        <v>PASS</v>
      </c>
      <c r="F103" s="17" t="str">
        <f>IF(AND(ABS(F86-F100)&lt;0.005,ABS(F96-F101)&lt;0.005,ABS(F99-F102)&lt;0.005),"PASS","FAIL")</f>
        <v>PASS</v>
      </c>
      <c r="G103" s="17" t="str">
        <f>IF(AND(ABS(G86-G100)&lt;0.005,ABS(G96-G101)&lt;0.005,ABS(G99-G102)&lt;0.005),"PASS","FAIL")</f>
        <v>PASS</v>
      </c>
      <c r="H103" s="17" t="str">
        <f>IF(AND(ABS(H86-H100)&lt;0.005,ABS(H96-H101)&lt;0.005,ABS(H99-H102)&lt;0.005),"PASS","FAIL")</f>
        <v>PASS</v>
      </c>
      <c r="I103" s="8"/>
    </row>
    <row r="104" spans="1:10" x14ac:dyDescent="0.3">
      <c r="A104" s="146" t="s">
        <v>397</v>
      </c>
      <c r="B104" s="147"/>
      <c r="C104" s="13"/>
      <c r="D104" s="13"/>
      <c r="E104" s="13"/>
      <c r="F104" s="13"/>
      <c r="G104" s="13"/>
      <c r="H104" s="13"/>
      <c r="I104" s="13"/>
      <c r="J104" s="13"/>
    </row>
    <row r="105" spans="1:10" x14ac:dyDescent="0.3">
      <c r="A105" s="139" t="s">
        <v>398</v>
      </c>
      <c r="B105" s="141" t="s">
        <v>399</v>
      </c>
      <c r="C105" s="18"/>
      <c r="D105" s="14">
        <v>26.751082</v>
      </c>
      <c r="E105" s="14">
        <v>22.374466000000002</v>
      </c>
      <c r="F105" s="14">
        <v>56.744442999999997</v>
      </c>
      <c r="G105" s="14">
        <v>31.196709999999999</v>
      </c>
      <c r="H105" s="14">
        <v>43.699976999999997</v>
      </c>
      <c r="I105" s="8" t="s">
        <v>245</v>
      </c>
    </row>
    <row r="106" spans="1:10" x14ac:dyDescent="0.3">
      <c r="A106" s="139" t="s">
        <v>400</v>
      </c>
      <c r="B106" s="141" t="s">
        <v>401</v>
      </c>
      <c r="C106" s="18"/>
      <c r="D106" s="15">
        <f>-D95-D105</f>
        <v>490.30433100000005</v>
      </c>
      <c r="E106" s="15">
        <f>-E95-E105</f>
        <v>515.33634900000004</v>
      </c>
      <c r="F106" s="15">
        <f>-F95-F105</f>
        <v>683.56332899999995</v>
      </c>
      <c r="G106" s="15">
        <f>-G95-G105</f>
        <v>646.18413499999997</v>
      </c>
      <c r="H106" s="15">
        <f>-H95-H105</f>
        <v>306.21073899999999</v>
      </c>
      <c r="I106" s="8" t="s">
        <v>245</v>
      </c>
    </row>
    <row r="107" spans="1:10" x14ac:dyDescent="0.3">
      <c r="A107" s="139" t="s">
        <v>402</v>
      </c>
      <c r="B107" s="141" t="s">
        <v>403</v>
      </c>
      <c r="C107" s="18"/>
      <c r="D107" s="14">
        <v>1230.6927009999999</v>
      </c>
      <c r="E107" s="14">
        <v>1118.1098159999999</v>
      </c>
      <c r="F107" s="14">
        <v>1116.0133900000001</v>
      </c>
      <c r="G107" s="14">
        <v>1182.7871740000001</v>
      </c>
      <c r="H107" s="14">
        <v>1264.994747</v>
      </c>
      <c r="I107" s="8" t="s">
        <v>245</v>
      </c>
    </row>
    <row r="108" spans="1:10" x14ac:dyDescent="0.3">
      <c r="A108" s="144" t="s">
        <v>404</v>
      </c>
      <c r="B108" s="141" t="s">
        <v>405</v>
      </c>
      <c r="C108" s="19"/>
      <c r="D108" s="16">
        <f>D96-D95</f>
        <v>5403.0100200000006</v>
      </c>
      <c r="E108" s="16">
        <f>E96-E95</f>
        <v>9463.1999410000008</v>
      </c>
      <c r="F108" s="16">
        <f>F96-F95</f>
        <v>11209.635599999996</v>
      </c>
      <c r="G108" s="16">
        <f>G96-G95</f>
        <v>14453.665945000002</v>
      </c>
      <c r="H108" s="16">
        <f>H96-H95</f>
        <v>18096.734132999998</v>
      </c>
      <c r="I108" s="8" t="s">
        <v>245</v>
      </c>
    </row>
    <row r="109" spans="1:10" x14ac:dyDescent="0.3">
      <c r="A109" s="144" t="s">
        <v>406</v>
      </c>
      <c r="B109" s="141" t="s">
        <v>407</v>
      </c>
      <c r="C109" s="19"/>
      <c r="D109" s="16">
        <f>D108+D107</f>
        <v>6633.7027210000006</v>
      </c>
      <c r="E109" s="16">
        <f>E108+E107</f>
        <v>10581.309757000001</v>
      </c>
      <c r="F109" s="16">
        <f>F108+F107</f>
        <v>12325.648989999996</v>
      </c>
      <c r="G109" s="16">
        <f>G108+G107</f>
        <v>15636.453119000002</v>
      </c>
      <c r="H109" s="16">
        <f>H108+H107</f>
        <v>19361.728879999999</v>
      </c>
      <c r="I109" s="8" t="s">
        <v>245</v>
      </c>
    </row>
    <row r="110" spans="1:10" x14ac:dyDescent="0.3">
      <c r="A110" s="139" t="s">
        <v>408</v>
      </c>
      <c r="B110" s="141" t="s">
        <v>409</v>
      </c>
      <c r="C110" s="18"/>
      <c r="D110" s="15">
        <f>-(D97+D98)</f>
        <v>1388.4473599999999</v>
      </c>
      <c r="E110" s="15">
        <f>-(E97+E98)</f>
        <v>3901.2088659999999</v>
      </c>
      <c r="F110" s="15">
        <f>-(F97+F98)</f>
        <v>4648.5766829999993</v>
      </c>
      <c r="G110" s="15">
        <f>-(G97+G98)</f>
        <v>4882.8303130000004</v>
      </c>
      <c r="H110" s="15">
        <f>-(H97+H98)</f>
        <v>6171.6693460000006</v>
      </c>
      <c r="I110" s="8" t="s">
        <v>245</v>
      </c>
    </row>
    <row r="111" spans="1:10" x14ac:dyDescent="0.3">
      <c r="A111" s="139" t="s">
        <v>410</v>
      </c>
      <c r="B111" s="141" t="s">
        <v>411</v>
      </c>
      <c r="C111" s="18"/>
      <c r="D111" s="20">
        <f>IF(D96&lt;=0,"n/m",D110/D96)</f>
        <v>0.28417115419181377</v>
      </c>
      <c r="E111" s="20">
        <f>IF(E96&lt;=0,"n/m",E110/E96)</f>
        <v>0.43708628299548946</v>
      </c>
      <c r="F111" s="20">
        <f>IF(F96&lt;=0,"n/m",F110/F96)</f>
        <v>0.44401863800343316</v>
      </c>
      <c r="G111" s="20">
        <f>IF(G96&lt;=0,"n/m",G110/G96)</f>
        <v>0.35443737390423197</v>
      </c>
      <c r="H111" s="20">
        <f>IF(H96&lt;=0,"n/m",H110/H96)</f>
        <v>0.34776191778006016</v>
      </c>
      <c r="I111" s="8" t="s">
        <v>412</v>
      </c>
    </row>
    <row r="112" spans="1:10" x14ac:dyDescent="0.3">
      <c r="A112" s="139" t="s">
        <v>413</v>
      </c>
      <c r="B112" s="141" t="s">
        <v>414</v>
      </c>
      <c r="C112" s="18"/>
      <c r="D112" s="20">
        <f>D111</f>
        <v>0.28417115419181377</v>
      </c>
      <c r="E112" s="20">
        <f>E111</f>
        <v>0.43708628299548946</v>
      </c>
      <c r="F112" s="20">
        <f>F111</f>
        <v>0.44401863800343316</v>
      </c>
      <c r="G112" s="20">
        <f>G111</f>
        <v>0.35443737390423197</v>
      </c>
      <c r="H112" s="20">
        <f>H111</f>
        <v>0.34776191778006016</v>
      </c>
      <c r="I112" s="8" t="s">
        <v>412</v>
      </c>
    </row>
    <row r="113" spans="1:10" x14ac:dyDescent="0.3">
      <c r="A113" s="139" t="s">
        <v>415</v>
      </c>
      <c r="B113" s="141" t="s">
        <v>416</v>
      </c>
      <c r="C113" s="18"/>
      <c r="D113" s="15">
        <f>IF(ISNUMBER(D112),D108*(1-D112),"n/m")</f>
        <v>3867.630426506666</v>
      </c>
      <c r="E113" s="15">
        <f>IF(ISNUMBER(E112),E108*(1-E112),"n/m")</f>
        <v>5326.9650535451756</v>
      </c>
      <c r="F113" s="15">
        <f>IF(ISNUMBER(F112),F108*(1-F112),"n/m")</f>
        <v>6232.3484683731995</v>
      </c>
      <c r="G113" s="15">
        <f>IF(ISNUMBER(G112),G108*(1-G112),"n/m")</f>
        <v>9330.746544165173</v>
      </c>
      <c r="H113" s="15">
        <f>IF(ISNUMBER(H112),H108*(1-H112),"n/m")</f>
        <v>11803.379165352044</v>
      </c>
      <c r="I113" s="8" t="s">
        <v>245</v>
      </c>
    </row>
    <row r="114" spans="1:10" x14ac:dyDescent="0.3">
      <c r="A114" s="139"/>
      <c r="B114" s="139"/>
    </row>
    <row r="115" spans="1:10" x14ac:dyDescent="0.3">
      <c r="A115" s="142" t="s">
        <v>417</v>
      </c>
      <c r="B115" s="143"/>
      <c r="C115" s="10"/>
      <c r="D115" s="10"/>
      <c r="E115" s="10"/>
      <c r="F115" s="10"/>
      <c r="G115" s="10"/>
      <c r="H115" s="10"/>
      <c r="I115" s="10"/>
      <c r="J115" s="10"/>
    </row>
    <row r="116" spans="1:10" x14ac:dyDescent="0.3">
      <c r="A116" s="139" t="s">
        <v>418</v>
      </c>
      <c r="B116" s="141" t="s">
        <v>419</v>
      </c>
      <c r="C116" s="18"/>
      <c r="D116" s="14">
        <v>6012.0307430000003</v>
      </c>
      <c r="E116" s="14">
        <v>9429.2529919999997</v>
      </c>
      <c r="F116" s="14">
        <v>7862.5932089999997</v>
      </c>
      <c r="G116" s="14">
        <v>11482.975487</v>
      </c>
      <c r="H116" s="14">
        <v>16574.725509</v>
      </c>
      <c r="I116" s="8" t="s">
        <v>245</v>
      </c>
    </row>
    <row r="117" spans="1:10" x14ac:dyDescent="0.3">
      <c r="A117" s="139" t="s">
        <v>420</v>
      </c>
      <c r="B117" s="141" t="s">
        <v>421</v>
      </c>
      <c r="C117" s="18"/>
      <c r="D117" s="14">
        <v>5089.3158640000001</v>
      </c>
      <c r="E117" s="14">
        <v>8181.3578900000002</v>
      </c>
      <c r="F117" s="14">
        <v>4452.0817610000004</v>
      </c>
      <c r="G117" s="14">
        <v>6647.173409</v>
      </c>
      <c r="H117" s="14">
        <v>9378.2885380000007</v>
      </c>
      <c r="I117" s="8" t="s">
        <v>245</v>
      </c>
    </row>
    <row r="118" spans="1:10" x14ac:dyDescent="0.3">
      <c r="A118" s="139" t="s">
        <v>422</v>
      </c>
      <c r="B118" s="141" t="s">
        <v>423</v>
      </c>
      <c r="C118" s="18"/>
      <c r="D118" s="14">
        <v>-599.22721799999999</v>
      </c>
      <c r="E118" s="14">
        <v>-514.17181700000003</v>
      </c>
      <c r="F118" s="14">
        <v>-685.82399699999996</v>
      </c>
      <c r="G118" s="14">
        <v>-731.07363399999997</v>
      </c>
      <c r="H118" s="14">
        <v>-391.06182100000001</v>
      </c>
      <c r="I118" s="8" t="s">
        <v>245</v>
      </c>
    </row>
    <row r="119" spans="1:10" x14ac:dyDescent="0.3">
      <c r="A119" s="139" t="s">
        <v>424</v>
      </c>
      <c r="B119" s="141" t="s">
        <v>425</v>
      </c>
      <c r="C119" s="18"/>
      <c r="D119" s="21" t="s">
        <v>426</v>
      </c>
      <c r="E119" s="21" t="s">
        <v>426</v>
      </c>
      <c r="F119" s="21" t="s">
        <v>426</v>
      </c>
      <c r="G119" s="21" t="s">
        <v>426</v>
      </c>
      <c r="H119" s="21" t="s">
        <v>426</v>
      </c>
      <c r="I119" s="8" t="s">
        <v>427</v>
      </c>
    </row>
    <row r="120" spans="1:10" x14ac:dyDescent="0.3">
      <c r="A120" s="139" t="s">
        <v>428</v>
      </c>
      <c r="B120" s="141" t="s">
        <v>429</v>
      </c>
      <c r="C120" s="18"/>
      <c r="D120" s="15">
        <f>IF(D119="Financing",D117+D118,D117)</f>
        <v>5089.3158640000001</v>
      </c>
      <c r="E120" s="15">
        <f>IF(E119="Financing",E117+E118,E117)</f>
        <v>8181.3578900000002</v>
      </c>
      <c r="F120" s="15">
        <f>IF(F119="Financing",F117+F118,F117)</f>
        <v>4452.0817610000004</v>
      </c>
      <c r="G120" s="15">
        <f>IF(G119="Financing",G117+G118,G117)</f>
        <v>6647.173409</v>
      </c>
      <c r="H120" s="15">
        <f>IF(H119="Financing",H117+H118,H117)</f>
        <v>9378.2885380000007</v>
      </c>
      <c r="I120" s="8" t="s">
        <v>245</v>
      </c>
    </row>
    <row r="121" spans="1:10" x14ac:dyDescent="0.3">
      <c r="A121" s="139" t="s">
        <v>430</v>
      </c>
      <c r="B121" s="141" t="s">
        <v>431</v>
      </c>
      <c r="C121" s="18"/>
      <c r="D121" s="14">
        <v>-610.59704499999998</v>
      </c>
      <c r="E121" s="14">
        <v>-461.84737000000001</v>
      </c>
      <c r="F121" s="14">
        <v>-2015.8970380000001</v>
      </c>
      <c r="G121" s="14">
        <v>-1107.2849329999999</v>
      </c>
      <c r="H121" s="14">
        <v>-2398.9193359999999</v>
      </c>
      <c r="I121" s="8" t="s">
        <v>245</v>
      </c>
    </row>
    <row r="122" spans="1:10" x14ac:dyDescent="0.3">
      <c r="A122" s="139" t="s">
        <v>432</v>
      </c>
      <c r="B122" s="141" t="s">
        <v>433</v>
      </c>
      <c r="C122" s="18"/>
      <c r="D122" s="14">
        <v>-3950.1783479999999</v>
      </c>
      <c r="E122" s="14">
        <v>-7092.9885160000003</v>
      </c>
      <c r="F122" s="14">
        <v>-2470.5157629999999</v>
      </c>
      <c r="G122" s="14">
        <v>-5030.3240939999996</v>
      </c>
      <c r="H122" s="14">
        <v>-4398.5957699999999</v>
      </c>
      <c r="I122" s="8" t="s">
        <v>245</v>
      </c>
    </row>
    <row r="123" spans="1:10" x14ac:dyDescent="0.3">
      <c r="A123" s="139" t="s">
        <v>434</v>
      </c>
      <c r="B123" s="141" t="s">
        <v>435</v>
      </c>
      <c r="C123" s="18"/>
      <c r="D123" s="14">
        <v>-943.01425200000006</v>
      </c>
      <c r="E123" s="14">
        <v>-1805.333093</v>
      </c>
      <c r="F123" s="14">
        <v>-1528.794437</v>
      </c>
      <c r="G123" s="14">
        <v>-1447.7373359999999</v>
      </c>
      <c r="H123" s="14">
        <v>-4631.6392169999999</v>
      </c>
      <c r="I123" s="8" t="s">
        <v>245</v>
      </c>
    </row>
    <row r="124" spans="1:10" x14ac:dyDescent="0.3">
      <c r="A124" s="139" t="s">
        <v>436</v>
      </c>
      <c r="B124" s="141" t="s">
        <v>437</v>
      </c>
      <c r="C124" s="18"/>
      <c r="D124" s="14">
        <v>-1.8167960000000001</v>
      </c>
      <c r="E124" s="14">
        <v>-0.54950299999999996</v>
      </c>
      <c r="F124" s="14">
        <v>-0.17282900000000001</v>
      </c>
      <c r="G124" s="14">
        <v>-0.13628899999999999</v>
      </c>
      <c r="H124" s="14">
        <v>-3.1576740000000001</v>
      </c>
      <c r="I124" s="8" t="s">
        <v>245</v>
      </c>
    </row>
    <row r="125" spans="1:10" x14ac:dyDescent="0.3">
      <c r="A125" s="139"/>
      <c r="B125" s="139"/>
    </row>
    <row r="126" spans="1:10" x14ac:dyDescent="0.3">
      <c r="A126" s="142" t="s">
        <v>438</v>
      </c>
      <c r="B126" s="143"/>
      <c r="C126" s="10"/>
      <c r="D126" s="10"/>
      <c r="E126" s="10"/>
      <c r="F126" s="10"/>
      <c r="G126" s="10"/>
      <c r="H126" s="10"/>
      <c r="I126" s="10"/>
      <c r="J126" s="10"/>
    </row>
    <row r="127" spans="1:10" x14ac:dyDescent="0.3">
      <c r="A127" s="139" t="s">
        <v>439</v>
      </c>
      <c r="B127" s="141" t="s">
        <v>440</v>
      </c>
      <c r="C127" s="18"/>
      <c r="D127" s="22">
        <v>10</v>
      </c>
      <c r="E127" s="22">
        <v>10</v>
      </c>
      <c r="F127" s="22">
        <v>10</v>
      </c>
      <c r="G127" s="22">
        <v>10</v>
      </c>
      <c r="H127" s="22">
        <v>10</v>
      </c>
      <c r="I127" s="8" t="s">
        <v>441</v>
      </c>
    </row>
    <row r="128" spans="1:10" x14ac:dyDescent="0.3">
      <c r="A128" s="139" t="s">
        <v>442</v>
      </c>
      <c r="B128" s="141" t="s">
        <v>443</v>
      </c>
      <c r="C128" s="18"/>
      <c r="D128" s="23">
        <f>D39/D127-D135</f>
        <v>200.86129699999998</v>
      </c>
      <c r="E128" s="23">
        <f>E39/E127-E135</f>
        <v>200.86129699999998</v>
      </c>
      <c r="F128" s="23">
        <f>F39/F127-F135</f>
        <v>200.86129699999998</v>
      </c>
      <c r="G128" s="23">
        <f>G39/G127-G135</f>
        <v>195.86129699999998</v>
      </c>
      <c r="H128" s="23">
        <f>H39/H127-H135</f>
        <v>183.86129699999998</v>
      </c>
      <c r="I128" s="8" t="s">
        <v>444</v>
      </c>
    </row>
    <row r="129" spans="1:10" x14ac:dyDescent="0.3">
      <c r="A129" s="139" t="s">
        <v>445</v>
      </c>
      <c r="B129" s="141" t="s">
        <v>446</v>
      </c>
      <c r="C129" s="18"/>
      <c r="D129" s="24">
        <v>200.86129700000001</v>
      </c>
      <c r="E129" s="24">
        <v>200.86129700000001</v>
      </c>
      <c r="F129" s="24">
        <v>200.86129700000001</v>
      </c>
      <c r="G129" s="24">
        <v>196.435067</v>
      </c>
      <c r="H129" s="24">
        <v>193.42841999999999</v>
      </c>
      <c r="I129" s="8" t="s">
        <v>444</v>
      </c>
    </row>
    <row r="130" spans="1:10" x14ac:dyDescent="0.3">
      <c r="A130" s="139" t="s">
        <v>447</v>
      </c>
      <c r="B130" s="141" t="s">
        <v>448</v>
      </c>
      <c r="C130" s="18"/>
      <c r="D130" s="22">
        <v>206.49</v>
      </c>
      <c r="E130" s="22">
        <v>130.13</v>
      </c>
      <c r="F130" s="22">
        <v>173.47</v>
      </c>
      <c r="G130" s="22">
        <v>250.43</v>
      </c>
      <c r="H130" s="22">
        <v>379.36</v>
      </c>
      <c r="I130" s="8" t="s">
        <v>441</v>
      </c>
    </row>
    <row r="131" spans="1:10" x14ac:dyDescent="0.3">
      <c r="A131" s="139" t="s">
        <v>449</v>
      </c>
      <c r="B131" s="141" t="s">
        <v>450</v>
      </c>
      <c r="C131" s="18"/>
      <c r="D131" s="22">
        <v>0</v>
      </c>
      <c r="E131" s="22">
        <v>0</v>
      </c>
      <c r="F131" s="22">
        <v>0</v>
      </c>
      <c r="G131" s="22">
        <v>0</v>
      </c>
      <c r="H131" s="22">
        <v>0</v>
      </c>
      <c r="I131" s="8" t="s">
        <v>441</v>
      </c>
    </row>
    <row r="132" spans="1:10" x14ac:dyDescent="0.3">
      <c r="A132" s="139" t="s">
        <v>451</v>
      </c>
      <c r="B132" s="141" t="s">
        <v>452</v>
      </c>
      <c r="C132" s="18"/>
      <c r="D132" s="22">
        <v>17.41</v>
      </c>
      <c r="E132" s="22">
        <v>25.01</v>
      </c>
      <c r="F132" s="22">
        <v>28.98</v>
      </c>
      <c r="G132" s="22">
        <v>45.27</v>
      </c>
      <c r="H132" s="22">
        <v>11.97</v>
      </c>
      <c r="I132" s="8" t="s">
        <v>441</v>
      </c>
    </row>
    <row r="133" spans="1:10" x14ac:dyDescent="0.3">
      <c r="A133" s="139" t="s">
        <v>453</v>
      </c>
      <c r="B133" s="141" t="s">
        <v>454</v>
      </c>
      <c r="C133" s="18"/>
      <c r="D133" s="15">
        <f>D130*D128</f>
        <v>41475.849217529998</v>
      </c>
      <c r="E133" s="15">
        <f>E130*E128</f>
        <v>26138.080578609995</v>
      </c>
      <c r="F133" s="15">
        <f>F130*F128</f>
        <v>34843.409190589999</v>
      </c>
      <c r="G133" s="15">
        <f>G130*G128</f>
        <v>49049.544607709999</v>
      </c>
      <c r="H133" s="15">
        <f>H130*H128</f>
        <v>69749.621629919988</v>
      </c>
      <c r="I133" s="8" t="s">
        <v>245</v>
      </c>
    </row>
    <row r="134" spans="1:10" x14ac:dyDescent="0.3">
      <c r="A134" s="139" t="s">
        <v>455</v>
      </c>
      <c r="B134" s="141" t="s">
        <v>456</v>
      </c>
      <c r="C134" s="18"/>
      <c r="D134" s="22">
        <v>5</v>
      </c>
      <c r="E134" s="22">
        <v>5</v>
      </c>
      <c r="F134" s="22">
        <v>5</v>
      </c>
      <c r="G134" s="22">
        <v>5</v>
      </c>
      <c r="H134" s="22">
        <v>5</v>
      </c>
      <c r="I134" s="8" t="s">
        <v>457</v>
      </c>
    </row>
    <row r="135" spans="1:10" x14ac:dyDescent="0.3">
      <c r="A135" s="139" t="s">
        <v>458</v>
      </c>
      <c r="B135" s="141"/>
      <c r="C135" s="18"/>
      <c r="D135" s="22">
        <v>0</v>
      </c>
      <c r="E135" s="22">
        <v>0</v>
      </c>
      <c r="F135" s="22">
        <v>0</v>
      </c>
      <c r="G135" s="22">
        <v>0</v>
      </c>
      <c r="H135" s="22">
        <v>0</v>
      </c>
    </row>
    <row r="136" spans="1:10" x14ac:dyDescent="0.3">
      <c r="A136" s="142" t="s">
        <v>9356</v>
      </c>
      <c r="B136" s="143"/>
      <c r="C136" s="10"/>
      <c r="D136" s="10"/>
      <c r="E136" s="10"/>
      <c r="F136" s="10"/>
      <c r="G136" s="10"/>
      <c r="H136" s="10"/>
      <c r="I136" s="10"/>
      <c r="J136" s="10"/>
    </row>
    <row r="137" spans="1:10" ht="22.05" customHeight="1" x14ac:dyDescent="0.3">
      <c r="A137" s="207" t="s">
        <v>459</v>
      </c>
      <c r="B137" s="205"/>
      <c r="C137" s="206"/>
      <c r="D137" s="206"/>
      <c r="E137" s="206"/>
      <c r="F137" s="206"/>
      <c r="G137" s="206"/>
      <c r="H137" s="206"/>
      <c r="I137" s="13"/>
      <c r="J137" s="13"/>
    </row>
    <row r="138" spans="1:10" x14ac:dyDescent="0.3">
      <c r="A138" s="150" t="s">
        <v>460</v>
      </c>
      <c r="B138" s="148" t="s">
        <v>461</v>
      </c>
      <c r="C138" s="18"/>
      <c r="D138" s="87">
        <f>IF(OR((D61)&lt;=0,(D36)&lt;0),"n/m",(D36)/(D61))</f>
        <v>1.3006446691414961</v>
      </c>
      <c r="E138" s="87">
        <f>IF(OR((E61)&lt;=0,(E36)&lt;0),"n/m",(E36)/(E61))</f>
        <v>1.8735085276109804</v>
      </c>
      <c r="F138" s="87">
        <f>IF(OR((F61)&lt;=0,(F36)&lt;0),"n/m",(F36)/(F61))</f>
        <v>2.311570515459215</v>
      </c>
      <c r="G138" s="87">
        <f>IF(OR((G61)&lt;=0,(G36)&lt;0),"n/m",(G36)/(G61))</f>
        <v>2.9031590530160019</v>
      </c>
      <c r="H138" s="87">
        <f>IF(OR((H61)&lt;=0,(H36)&lt;0),"n/m",(H36)/(H61))</f>
        <v>3.311248687172772</v>
      </c>
      <c r="I138" s="8" t="s">
        <v>462</v>
      </c>
    </row>
    <row r="139" spans="1:10" x14ac:dyDescent="0.3">
      <c r="A139" s="150" t="s">
        <v>463</v>
      </c>
      <c r="B139" s="148" t="s">
        <v>464</v>
      </c>
      <c r="C139" s="18"/>
      <c r="D139" s="87">
        <f>IF(OR((D61)&lt;=0,(D36-D65)&lt;0),"n/m",(D36-D65)/(D61))</f>
        <v>0.74816043855554903</v>
      </c>
      <c r="E139" s="87">
        <f>IF(OR((E61)&lt;=0,(E36-E65)&lt;0),"n/m",(E36-E65)/(E61))</f>
        <v>1.2758070110452304</v>
      </c>
      <c r="F139" s="87">
        <f>IF(OR((F61)&lt;=0,(F36-F65)&lt;0),"n/m",(F36-F65)/(F61))</f>
        <v>1.5392110300634694</v>
      </c>
      <c r="G139" s="87">
        <f>IF(OR((G61)&lt;=0,(G36-G65)&lt;0),"n/m",(G36-G65)/(G61))</f>
        <v>2.2200593399212352</v>
      </c>
      <c r="H139" s="87">
        <f>IF(OR((H61)&lt;=0,(H36-H65)&lt;0),"n/m",(H36-H65)/(H61))</f>
        <v>2.6677003784340947</v>
      </c>
      <c r="I139" s="8" t="s">
        <v>462</v>
      </c>
    </row>
    <row r="140" spans="1:10" x14ac:dyDescent="0.3">
      <c r="A140" s="150" t="s">
        <v>465</v>
      </c>
      <c r="B140" s="148" t="s">
        <v>466</v>
      </c>
      <c r="C140" s="18"/>
      <c r="D140" s="87">
        <f>IF(OR((D61)&lt;=0,(D34)&lt;0),"n/m",(D34)/(D61))</f>
        <v>0.15817363525137568</v>
      </c>
      <c r="E140" s="87">
        <f>IF(OR((E61)&lt;=0,(E34)&lt;0),"n/m",(E34)/(E61))</f>
        <v>5.0670963775722312E-2</v>
      </c>
      <c r="F140" s="87">
        <f>IF(OR((F61)&lt;=0,(F34)&lt;0),"n/m",(F34)/(F61))</f>
        <v>9.4178046452072631E-2</v>
      </c>
      <c r="G140" s="87">
        <f>IF(OR((G61)&lt;=0,(G34)&lt;0),"n/m",(G34)/(G61))</f>
        <v>9.9376831489781367E-2</v>
      </c>
      <c r="H140" s="87">
        <f>IF(OR((H61)&lt;=0,(H34)&lt;0),"n/m",(H34)/(H61))</f>
        <v>0.1243988942257843</v>
      </c>
      <c r="I140" s="8" t="s">
        <v>462</v>
      </c>
    </row>
    <row r="141" spans="1:10" x14ac:dyDescent="0.3">
      <c r="A141" s="150" t="s">
        <v>467</v>
      </c>
      <c r="B141" s="148" t="s">
        <v>468</v>
      </c>
      <c r="C141" s="18"/>
      <c r="D141" s="88">
        <f>IF(OR((1)&lt;=0,(D36-D61)&lt;0),"n/m",(D36-D61)/(1))</f>
        <v>2276.5547739999984</v>
      </c>
      <c r="E141" s="88">
        <f>IF(OR((1)&lt;=0,(E36-E61)&lt;0),"n/m",(E36-E61)/(1))</f>
        <v>8287.8407679999964</v>
      </c>
      <c r="F141" s="88">
        <f>IF(OR((1)&lt;=0,(F36-F61)&lt;0),"n/m",(F36-F61)/(1))</f>
        <v>13000.905238000001</v>
      </c>
      <c r="G141" s="88">
        <f>IF(OR((1)&lt;=0,(G36-G61)&lt;0),"n/m",(G36-G61)/(1))</f>
        <v>21116.760542</v>
      </c>
      <c r="H141" s="88">
        <f>IF(OR((1)&lt;=0,(H36-H61)&lt;0),"n/m",(H36-H61)/(1))</f>
        <v>26953.091383000003</v>
      </c>
      <c r="I141" s="8" t="s">
        <v>245</v>
      </c>
    </row>
    <row r="142" spans="1:10" x14ac:dyDescent="0.3">
      <c r="A142" s="150" t="s">
        <v>469</v>
      </c>
      <c r="B142" s="148" t="s">
        <v>470</v>
      </c>
      <c r="C142" s="18"/>
      <c r="D142" s="88" t="str">
        <f>IF(OR((1)&lt;=0,(D72-D73)&lt;0),"n/m",(D72-D73)/(1))</f>
        <v>n/m</v>
      </c>
      <c r="E142" s="88" t="str">
        <f>IF(OR((1)&lt;=0,(E72-E73)&lt;0),"n/m",(E72-E73)/(1))</f>
        <v>n/m</v>
      </c>
      <c r="F142" s="88">
        <f>IF(OR((1)&lt;=0,(F72-F73)&lt;0),"n/m",(F72-F73)/(1))</f>
        <v>1004.8001120000008</v>
      </c>
      <c r="G142" s="88">
        <f>IF(OR((1)&lt;=0,(G72-G73)&lt;0),"n/m",(G72-G73)/(1))</f>
        <v>949.06124299999647</v>
      </c>
      <c r="H142" s="88" t="str">
        <f>IF(OR((1)&lt;=0,(H72-H73)&lt;0),"n/m",(H72-H73)/(1))</f>
        <v>n/m</v>
      </c>
      <c r="I142" s="8" t="s">
        <v>245</v>
      </c>
    </row>
    <row r="143" spans="1:10" ht="22.05" customHeight="1" x14ac:dyDescent="0.3">
      <c r="A143" s="207" t="s">
        <v>471</v>
      </c>
      <c r="B143" s="205"/>
      <c r="C143" s="206"/>
      <c r="D143" s="206"/>
      <c r="E143" s="206"/>
      <c r="F143" s="206"/>
      <c r="G143" s="206"/>
      <c r="H143" s="206"/>
      <c r="I143" s="13"/>
      <c r="J143" s="13"/>
    </row>
    <row r="144" spans="1:10" x14ac:dyDescent="0.3">
      <c r="A144" s="150" t="s">
        <v>472</v>
      </c>
      <c r="B144" s="148" t="s">
        <v>473</v>
      </c>
      <c r="C144" s="18"/>
      <c r="D144" s="87">
        <f>IF(OR((AVERAGE(C65,D65))&lt;=0,(-D85)&lt;0),"n/m",(-D85)/(AVERAGE(C65,D65)))</f>
        <v>4.8570986013255171</v>
      </c>
      <c r="E144" s="87">
        <f>IF(OR((AVERAGE(D65,E65))&lt;=0,(-E85)&lt;0),"n/m",(-E85)/(AVERAGE(D65,E65)))</f>
        <v>4.6811317215716919</v>
      </c>
      <c r="F144" s="87">
        <f>IF(OR((AVERAGE(E65,F65))&lt;=0,(-F85)&lt;0),"n/m",(-F85)/(AVERAGE(E65,F65)))</f>
        <v>4.2753791437713859</v>
      </c>
      <c r="G144" s="87">
        <f>IF(OR((AVERAGE(F65,G65))&lt;=0,(-G85)&lt;0),"n/m",(-G85)/(AVERAGE(F65,G65)))</f>
        <v>3.5957369645110586</v>
      </c>
      <c r="H144" s="87">
        <f>IF(OR((AVERAGE(G65,H65))&lt;=0,(-H85)&lt;0),"n/m",(-H85)/(AVERAGE(G65,H65)))</f>
        <v>3.024880626442934</v>
      </c>
      <c r="I144" s="8" t="s">
        <v>462</v>
      </c>
    </row>
    <row r="145" spans="1:10" x14ac:dyDescent="0.3">
      <c r="A145" s="150" t="s">
        <v>474</v>
      </c>
      <c r="B145" s="148" t="s">
        <v>475</v>
      </c>
      <c r="C145" s="18"/>
      <c r="D145" s="87">
        <f>IF(OR((AVERAGE(C32,D32))&lt;=0,(D84)&lt;0),"n/m",(D84)/(AVERAGE(C32,D32)))</f>
        <v>32.556527152183129</v>
      </c>
      <c r="E145" s="87">
        <f>IF(OR((AVERAGE(D32,E32))&lt;=0,(E84)&lt;0),"n/m",(E84)/(AVERAGE(D32,E32)))</f>
        <v>34.614462046513971</v>
      </c>
      <c r="F145" s="87">
        <f>IF(OR((AVERAGE(E32,F32))&lt;=0,(F84)&lt;0),"n/m",(F84)/(AVERAGE(E32,F32)))</f>
        <v>36.690956476472735</v>
      </c>
      <c r="G145" s="87">
        <f>IF(OR((AVERAGE(F32,G32))&lt;=0,(G84)&lt;0),"n/m",(G84)/(AVERAGE(F32,G32)))</f>
        <v>23.311269128267483</v>
      </c>
      <c r="H145" s="87">
        <f>IF(OR((AVERAGE(G32,H32))&lt;=0,(H84)&lt;0),"n/m",(H84)/(AVERAGE(G32,H32)))</f>
        <v>19.742821104933064</v>
      </c>
      <c r="I145" s="8" t="s">
        <v>462</v>
      </c>
    </row>
    <row r="146" spans="1:10" x14ac:dyDescent="0.3">
      <c r="A146" s="150" t="s">
        <v>476</v>
      </c>
      <c r="B146" s="148" t="s">
        <v>477</v>
      </c>
      <c r="C146" s="18"/>
      <c r="D146" s="87">
        <f>IF(OR((AVERAGE(C51,D51))&lt;=0,(-D85)&lt;0),"n/m",(-D85)/(AVERAGE(C51,D51)))</f>
        <v>13.672632178905467</v>
      </c>
      <c r="E146" s="87">
        <f>IF(OR((AVERAGE(D51,E51))&lt;=0,(-E85)&lt;0),"n/m",(-E85)/(AVERAGE(D51,E51)))</f>
        <v>16.261881526580382</v>
      </c>
      <c r="F146" s="87">
        <f>IF(OR((AVERAGE(E51,F51))&lt;=0,(-F85)&lt;0),"n/m",(-F85)/(AVERAGE(E51,F51)))</f>
        <v>29.126311219807445</v>
      </c>
      <c r="G146" s="87">
        <f>IF(OR((AVERAGE(F51,G51))&lt;=0,(-G85)&lt;0),"n/m",(-G85)/(AVERAGE(F51,G51)))</f>
        <v>22.304499451290301</v>
      </c>
      <c r="H146" s="87">
        <f>IF(OR((AVERAGE(G51,H51))&lt;=0,(-H85)&lt;0),"n/m",(-H85)/(AVERAGE(G51,H51)))</f>
        <v>11.733886186566796</v>
      </c>
      <c r="I146" s="8" t="s">
        <v>462</v>
      </c>
    </row>
    <row r="147" spans="1:10" x14ac:dyDescent="0.3">
      <c r="A147" s="150" t="s">
        <v>478</v>
      </c>
      <c r="B147" s="148" t="s">
        <v>479</v>
      </c>
      <c r="C147" s="18"/>
      <c r="D147" s="89">
        <f>IF(OR((-D85)&lt;=0,(365*AVERAGE(C65,D65))&lt;0),"n/m",(365*AVERAGE(C65,D65))/(-D85))</f>
        <v>75.147743531578783</v>
      </c>
      <c r="E147" s="89">
        <f>IF(OR((-E85)&lt;=0,(365*AVERAGE(D65,E65))&lt;0),"n/m",(365*AVERAGE(D65,E65))/(-E85))</f>
        <v>77.972597591731756</v>
      </c>
      <c r="F147" s="89">
        <f>IF(OR((-F85)&lt;=0,(365*AVERAGE(E65,F65))&lt;0),"n/m",(365*AVERAGE(E65,F65))/(-F85))</f>
        <v>85.372545387407953</v>
      </c>
      <c r="G147" s="89">
        <f>IF(OR((-G85)&lt;=0,(365*AVERAGE(F65,G65))&lt;0),"n/m",(365*AVERAGE(F65,G65))/(-G85))</f>
        <v>101.50909357454404</v>
      </c>
      <c r="H147" s="89">
        <f>IF(OR((-H85)&lt;=0,(365*AVERAGE(G65,H65))&lt;0),"n/m",(365*AVERAGE(G65,H65))/(-H85))</f>
        <v>120.66591878345184</v>
      </c>
      <c r="I147" s="8" t="s">
        <v>480</v>
      </c>
    </row>
    <row r="148" spans="1:10" x14ac:dyDescent="0.3">
      <c r="A148" s="150" t="s">
        <v>481</v>
      </c>
      <c r="B148" s="148" t="s">
        <v>482</v>
      </c>
      <c r="C148" s="18"/>
      <c r="D148" s="89">
        <f>IF(OR((D84)&lt;=0,(365*AVERAGE(C32,D32))&lt;0),"n/m",(365*AVERAGE(C32,D32))/(D84))</f>
        <v>11.211269503464973</v>
      </c>
      <c r="E148" s="89">
        <f>IF(OR((E84)&lt;=0,(365*AVERAGE(D32,E32))&lt;0),"n/m",(365*AVERAGE(D32,E32))/(E84))</f>
        <v>10.544725482358297</v>
      </c>
      <c r="F148" s="89">
        <f>IF(OR((F84)&lt;=0,(365*AVERAGE(E32,F32))&lt;0),"n/m",(365*AVERAGE(E32,F32))/(F84))</f>
        <v>9.9479554378487851</v>
      </c>
      <c r="G148" s="89">
        <f>IF(OR((G84)&lt;=0,(365*AVERAGE(F32,G32))&lt;0),"n/m",(365*AVERAGE(F32,G32))/(G84))</f>
        <v>15.657663166755571</v>
      </c>
      <c r="H148" s="89">
        <f>IF(OR((H84)&lt;=0,(365*AVERAGE(G32,H32))&lt;0),"n/m",(365*AVERAGE(G32,H32))/(H84))</f>
        <v>18.487732733839078</v>
      </c>
      <c r="I148" s="8" t="s">
        <v>480</v>
      </c>
    </row>
    <row r="149" spans="1:10" x14ac:dyDescent="0.3">
      <c r="A149" s="150" t="s">
        <v>483</v>
      </c>
      <c r="B149" s="148" t="s">
        <v>484</v>
      </c>
      <c r="C149" s="18"/>
      <c r="D149" s="89">
        <f>IF(OR((-D85)&lt;=0,(365*AVERAGE(C51,D51))&lt;0),"n/m",(365*AVERAGE(C51,D51))/(-D85))</f>
        <v>26.695664391757177</v>
      </c>
      <c r="E149" s="89">
        <f>IF(OR((-E85)&lt;=0,(365*AVERAGE(D51,E51))&lt;0),"n/m",(365*AVERAGE(D51,E51))/(-E85))</f>
        <v>22.445127238407188</v>
      </c>
      <c r="F149" s="89">
        <f>IF(OR((-F85)&lt;=0,(365*AVERAGE(E51,F51))&lt;0),"n/m",(365*AVERAGE(E51,F51))/(-F85))</f>
        <v>12.531624662163896</v>
      </c>
      <c r="G149" s="89">
        <f>IF(OR((-G85)&lt;=0,(365*AVERAGE(F51,G51))&lt;0),"n/m",(365*AVERAGE(F51,G51))/(-G85))</f>
        <v>16.364411171705761</v>
      </c>
      <c r="H149" s="89">
        <f>IF(OR((-H85)&lt;=0,(365*AVERAGE(G51,H51))&lt;0),"n/m",(365*AVERAGE(G51,H51))/(-H85))</f>
        <v>31.106488864521271</v>
      </c>
      <c r="I149" s="8" t="s">
        <v>480</v>
      </c>
    </row>
    <row r="150" spans="1:10" x14ac:dyDescent="0.3">
      <c r="A150" s="150" t="s">
        <v>485</v>
      </c>
      <c r="B150" s="148" t="s">
        <v>486</v>
      </c>
      <c r="C150" s="18"/>
      <c r="D150" s="89">
        <f>IF(OR((1)&lt;=0,(365*AVERAGE(C65,D65)/(-D85)+365*AVERAGE(C32,D32)/D84)&lt;0),"n/m",(365*AVERAGE(C65,D65)/(-D85)+365*AVERAGE(C32,D32)/D84)/(1))</f>
        <v>86.359013035043759</v>
      </c>
      <c r="E150" s="89">
        <f>IF(OR((1)&lt;=0,(365*AVERAGE(D65,E65)/(-E85)+365*AVERAGE(D32,E32)/E84)&lt;0),"n/m",(365*AVERAGE(D65,E65)/(-E85)+365*AVERAGE(D32,E32)/E84)/(1))</f>
        <v>88.517323074090058</v>
      </c>
      <c r="F150" s="89">
        <f>IF(OR((1)&lt;=0,(365*AVERAGE(E65,F65)/(-F85)+365*AVERAGE(E32,F32)/F84)&lt;0),"n/m",(365*AVERAGE(E65,F65)/(-F85)+365*AVERAGE(E32,F32)/F84)/(1))</f>
        <v>95.320500825256744</v>
      </c>
      <c r="G150" s="89">
        <f>IF(OR((1)&lt;=0,(365*AVERAGE(F65,G65)/(-G85)+365*AVERAGE(F32,G32)/G84)&lt;0),"n/m",(365*AVERAGE(F65,G65)/(-G85)+365*AVERAGE(F32,G32)/G84)/(1))</f>
        <v>117.16675674129961</v>
      </c>
      <c r="H150" s="89">
        <f>IF(OR((1)&lt;=0,(365*AVERAGE(G65,H65)/(-H85)+365*AVERAGE(G32,H32)/H84)&lt;0),"n/m",(365*AVERAGE(G65,H65)/(-H85)+365*AVERAGE(G32,H32)/H84)/(1))</f>
        <v>139.15365151729091</v>
      </c>
      <c r="I150" s="8" t="s">
        <v>480</v>
      </c>
    </row>
    <row r="151" spans="1:10" x14ac:dyDescent="0.3">
      <c r="A151" s="150" t="s">
        <v>487</v>
      </c>
      <c r="B151" s="148" t="s">
        <v>488</v>
      </c>
      <c r="C151" s="18"/>
      <c r="D151" s="89">
        <f>IF(OR((1)&lt;=0,(365*AVERAGE(C65,D65)/(-D85)+365*AVERAGE(C32,D32)/D84-365*AVERAGE(C51,D51)/(-D85))&lt;0),"n/m",(365*AVERAGE(C65,D65)/(-D85)+365*AVERAGE(C32,D32)/D84-365*AVERAGE(C51,D51)/(-D85))/(1))</f>
        <v>59.663348643286582</v>
      </c>
      <c r="E151" s="89">
        <f>IF(OR((1)&lt;=0,(365*AVERAGE(D65,E65)/(-E85)+365*AVERAGE(D32,E32)/E84-365*AVERAGE(D51,E51)/(-E85))&lt;0),"n/m",(365*AVERAGE(D65,E65)/(-E85)+365*AVERAGE(D32,E32)/E84-365*AVERAGE(D51,E51)/(-E85))/(1))</f>
        <v>66.072195835682862</v>
      </c>
      <c r="F151" s="89">
        <f>IF(OR((1)&lt;=0,(365*AVERAGE(E65,F65)/(-F85)+365*AVERAGE(E32,F32)/F84-365*AVERAGE(E51,F51)/(-F85))&lt;0),"n/m",(365*AVERAGE(E65,F65)/(-F85)+365*AVERAGE(E32,F32)/F84-365*AVERAGE(E51,F51)/(-F85))/(1))</f>
        <v>82.788876163092851</v>
      </c>
      <c r="G151" s="89">
        <f>IF(OR((1)&lt;=0,(365*AVERAGE(F65,G65)/(-G85)+365*AVERAGE(F32,G32)/G84-365*AVERAGE(F51,G51)/(-G85))&lt;0),"n/m",(365*AVERAGE(F65,G65)/(-G85)+365*AVERAGE(F32,G32)/G84-365*AVERAGE(F51,G51)/(-G85))/(1))</f>
        <v>100.80234556959385</v>
      </c>
      <c r="H151" s="89">
        <f>IF(OR((1)&lt;=0,(365*AVERAGE(G65,H65)/(-H85)+365*AVERAGE(G32,H32)/H84-365*AVERAGE(G51,H51)/(-H85))&lt;0),"n/m",(365*AVERAGE(G65,H65)/(-H85)+365*AVERAGE(G32,H32)/H84-365*AVERAGE(G51,H51)/(-H85))/(1))</f>
        <v>108.04716265276964</v>
      </c>
      <c r="I151" s="8" t="s">
        <v>480</v>
      </c>
    </row>
    <row r="152" spans="1:10" x14ac:dyDescent="0.3">
      <c r="A152" s="150" t="s">
        <v>489</v>
      </c>
      <c r="B152" s="148" t="s">
        <v>490</v>
      </c>
      <c r="C152" s="18"/>
      <c r="D152" s="87">
        <f>IF(OR((AVERAGE(C37,D37))&lt;=0,(D84)&lt;0),"n/m",(D84)/(AVERAGE(C37,D37)))</f>
        <v>0.70920116218432216</v>
      </c>
      <c r="E152" s="87">
        <f>IF(OR((AVERAGE(D37,E37))&lt;=0,(E84)&lt;0),"n/m",(E84)/(AVERAGE(D37,E37)))</f>
        <v>0.82774287277782643</v>
      </c>
      <c r="F152" s="87">
        <f>IF(OR((AVERAGE(E37,F37))&lt;=0,(F84)&lt;0),"n/m",(F84)/(AVERAGE(E37,F37)))</f>
        <v>0.83809913508098699</v>
      </c>
      <c r="G152" s="87">
        <f>IF(OR((AVERAGE(F37,G37))&lt;=0,(G84)&lt;0),"n/m",(G84)/(AVERAGE(F37,G37)))</f>
        <v>0.71323366076722194</v>
      </c>
      <c r="H152" s="87">
        <f>IF(OR((AVERAGE(G37,H37))&lt;=0,(H84)&lt;0),"n/m",(H84)/(AVERAGE(G37,H37)))</f>
        <v>0.59752332567837996</v>
      </c>
      <c r="I152" s="8" t="s">
        <v>462</v>
      </c>
    </row>
    <row r="153" spans="1:10" x14ac:dyDescent="0.3">
      <c r="A153" s="150" t="s">
        <v>491</v>
      </c>
      <c r="B153" s="148" t="s">
        <v>492</v>
      </c>
      <c r="C153" s="18"/>
      <c r="D153" s="87">
        <f>IF(OR((AVERAGE(C22,D22))&lt;=0,(D84)&lt;0),"n/m",(D84)/(AVERAGE(C22,D22)))</f>
        <v>1.0844791007988606</v>
      </c>
      <c r="E153" s="87">
        <f>IF(OR((AVERAGE(D22,E22))&lt;=0,(E84)&lt;0),"n/m",(E84)/(AVERAGE(D22,E22)))</f>
        <v>1.5307978904973403</v>
      </c>
      <c r="F153" s="87">
        <f>IF(OR((AVERAGE(E22,F22))&lt;=0,(F84)&lt;0),"n/m",(F84)/(AVERAGE(E22,F22)))</f>
        <v>1.876337672472641</v>
      </c>
      <c r="G153" s="87">
        <f>IF(OR((AVERAGE(F22,G22))&lt;=0,(G84)&lt;0),"n/m",(G84)/(AVERAGE(F22,G22)))</f>
        <v>1.8650719460684553</v>
      </c>
      <c r="H153" s="87">
        <f>IF(OR((AVERAGE(G22,H22))&lt;=0,(H84)&lt;0),"n/m",(H84)/(AVERAGE(G22,H22)))</f>
        <v>1.7861104563188661</v>
      </c>
      <c r="I153" s="8" t="s">
        <v>462</v>
      </c>
    </row>
    <row r="154" spans="1:10" ht="22.05" customHeight="1" x14ac:dyDescent="0.3">
      <c r="A154" s="207" t="s">
        <v>493</v>
      </c>
      <c r="B154" s="205"/>
      <c r="C154" s="206"/>
      <c r="D154" s="206"/>
      <c r="E154" s="206"/>
      <c r="F154" s="206"/>
      <c r="G154" s="206"/>
      <c r="H154" s="206"/>
      <c r="I154" s="13"/>
      <c r="J154" s="13"/>
    </row>
    <row r="155" spans="1:10" x14ac:dyDescent="0.3">
      <c r="A155" s="150" t="s">
        <v>494</v>
      </c>
      <c r="B155" s="148" t="s">
        <v>495</v>
      </c>
      <c r="C155" s="18"/>
      <c r="D155" s="90">
        <f>IF(OR((D37)&lt;=0,(D62)&lt;0),"n/m",(D62)/(D37))</f>
        <v>0.38416638255503399</v>
      </c>
      <c r="E155" s="90">
        <f>IF(OR((E37)&lt;=0,(E62)&lt;0),"n/m",(E62)/(E37))</f>
        <v>0.37149249167170456</v>
      </c>
      <c r="F155" s="90">
        <f>IF(OR((F37)&lt;=0,(F62)&lt;0),"n/m",(F62)/(F37))</f>
        <v>0.34161124098483342</v>
      </c>
      <c r="G155" s="90">
        <f>IF(OR((G37)&lt;=0,(G62)&lt;0),"n/m",(G62)/(G37))</f>
        <v>0.30169945185029512</v>
      </c>
      <c r="H155" s="90">
        <f>IF(OR((H37)&lt;=0,(H62)&lt;0),"n/m",(H62)/(H37))</f>
        <v>0.28204672647028445</v>
      </c>
      <c r="I155" s="8" t="s">
        <v>412</v>
      </c>
    </row>
    <row r="156" spans="1:10" x14ac:dyDescent="0.3">
      <c r="A156" s="150" t="s">
        <v>496</v>
      </c>
      <c r="B156" s="148" t="s">
        <v>497</v>
      </c>
      <c r="C156" s="18"/>
      <c r="D156" s="87">
        <f>IF(OR((D41)&lt;=0,(D62)&lt;0),"n/m",(D62)/(D41))</f>
        <v>0.6238152183846396</v>
      </c>
      <c r="E156" s="87">
        <f>IF(OR((E41)&lt;=0,(E62)&lt;0),"n/m",(E62)/(E41))</f>
        <v>0.59107088896964888</v>
      </c>
      <c r="F156" s="87">
        <f>IF(OR((F41)&lt;=0,(F62)&lt;0),"n/m",(F62)/(F41))</f>
        <v>0.51885946761275747</v>
      </c>
      <c r="G156" s="87">
        <f>IF(OR((G41)&lt;=0,(G62)&lt;0),"n/m",(G62)/(G41))</f>
        <v>0.43204813836923311</v>
      </c>
      <c r="H156" s="87">
        <f>IF(OR((H41)&lt;=0,(H62)&lt;0),"n/m",(H62)/(H41))</f>
        <v>0.39284830485365951</v>
      </c>
      <c r="I156" s="8" t="s">
        <v>462</v>
      </c>
    </row>
    <row r="157" spans="1:10" x14ac:dyDescent="0.3">
      <c r="A157" s="150" t="s">
        <v>498</v>
      </c>
      <c r="B157" s="148" t="s">
        <v>499</v>
      </c>
      <c r="C157" s="18"/>
      <c r="D157" s="90">
        <f>IF(OR((D66+D41)&lt;=0,(D66)&lt;0),"n/m",(D66)/(D66+D41))</f>
        <v>0.21400284667161887</v>
      </c>
      <c r="E157" s="90">
        <f>IF(OR((E66+E41)&lt;=0,(E66)&lt;0),"n/m",(E66)/(E66+E41))</f>
        <v>0.13497287275854264</v>
      </c>
      <c r="F157" s="90">
        <f>IF(OR((F66+F41)&lt;=0,(F66)&lt;0),"n/m",(F66)/(F66+F41))</f>
        <v>8.8937391462133447E-2</v>
      </c>
      <c r="G157" s="90">
        <f>IF(OR((G66+G41)&lt;=0,(G66)&lt;0),"n/m",(G66)/(G66+G41))</f>
        <v>4.9789363275218823E-2</v>
      </c>
      <c r="H157" s="90">
        <f>IF(OR((H66+H41)&lt;=0,(H66)&lt;0),"n/m",(H66)/(H66+H41))</f>
        <v>4.4675679300715997E-2</v>
      </c>
      <c r="I157" s="8" t="s">
        <v>412</v>
      </c>
    </row>
    <row r="158" spans="1:10" x14ac:dyDescent="0.3">
      <c r="A158" s="150" t="s">
        <v>500</v>
      </c>
      <c r="B158" s="148" t="s">
        <v>501</v>
      </c>
      <c r="C158" s="18"/>
      <c r="D158" s="90">
        <f>IF(OR((D37)&lt;=0,(D67)&lt;0),"n/m",(D67)/(D37))</f>
        <v>0.1220875910318789</v>
      </c>
      <c r="E158" s="90">
        <f>IF(OR((E37)&lt;=0,(E67)&lt;0),"n/m",(E67)/(E37))</f>
        <v>7.3341433387860686E-2</v>
      </c>
      <c r="F158" s="90">
        <f>IF(OR((F37)&lt;=0,(F67)&lt;0),"n/m",(F67)/(F37))</f>
        <v>4.338813037035516E-2</v>
      </c>
      <c r="G158" s="90">
        <f>IF(OR((G37)&lt;=0,(G67)&lt;0),"n/m",(G67)/(G37))</f>
        <v>1.901053423767185E-2</v>
      </c>
      <c r="H158" s="90">
        <f>IF(OR((H37)&lt;=0,(H67)&lt;0),"n/m",(H67)/(H37))</f>
        <v>2.1693131655174568E-2</v>
      </c>
      <c r="I158" s="8" t="s">
        <v>412</v>
      </c>
    </row>
    <row r="159" spans="1:10" x14ac:dyDescent="0.3">
      <c r="A159" s="150" t="s">
        <v>502</v>
      </c>
      <c r="B159" s="148" t="s">
        <v>503</v>
      </c>
      <c r="C159" s="18"/>
      <c r="D159" s="87">
        <f>IF(OR((D106)&lt;=0,(D108)&lt;0),"n/m",(D108)/(D106))</f>
        <v>11.019706901181747</v>
      </c>
      <c r="E159" s="87">
        <f>IF(OR((E106)&lt;=0,(E108)&lt;0),"n/m",(E108)/(E106))</f>
        <v>18.36315245249661</v>
      </c>
      <c r="F159" s="87">
        <f>IF(OR((F106)&lt;=0,(F108)&lt;0),"n/m",(F108)/(F106))</f>
        <v>16.398825279873954</v>
      </c>
      <c r="G159" s="87">
        <f>IF(OR((G106)&lt;=0,(G108)&lt;0),"n/m",(G108)/(G106))</f>
        <v>22.367720224205137</v>
      </c>
      <c r="H159" s="87">
        <f>IF(OR((H106)&lt;=0,(H108)&lt;0),"n/m",(H108)/(H106))</f>
        <v>59.098953198372307</v>
      </c>
      <c r="I159" s="8" t="s">
        <v>462</v>
      </c>
    </row>
    <row r="160" spans="1:10" ht="22.05" customHeight="1" x14ac:dyDescent="0.3">
      <c r="A160" s="205" t="s">
        <v>504</v>
      </c>
      <c r="B160" s="207"/>
      <c r="C160" s="206"/>
      <c r="D160" s="208"/>
      <c r="E160" s="208"/>
      <c r="F160" s="208"/>
      <c r="G160" s="208"/>
      <c r="H160" s="208"/>
      <c r="I160" s="8" t="s">
        <v>462</v>
      </c>
    </row>
    <row r="161" spans="1:10" x14ac:dyDescent="0.3">
      <c r="A161" s="150" t="s">
        <v>505</v>
      </c>
      <c r="B161" s="148" t="s">
        <v>506</v>
      </c>
      <c r="C161" s="18"/>
      <c r="D161" s="90">
        <f>IF(OR((D84)&lt;=0,(D86)&lt;0),"n/m",(D86)/(D84))</f>
        <v>0.24796341300828931</v>
      </c>
      <c r="E161" s="90">
        <f>IF(OR((E84)&lt;=0,(E86)&lt;0),"n/m",(E86)/(E84))</f>
        <v>0.29843914213509881</v>
      </c>
      <c r="F161" s="90">
        <f>IF(OR((F84)&lt;=0,(F86)&lt;0),"n/m",(F86)/(F84))</f>
        <v>0.26804356818989611</v>
      </c>
      <c r="G161" s="90">
        <f>IF(OR((G84)&lt;=0,(G86)&lt;0),"n/m",(G86)/(G84))</f>
        <v>0.29125851467425595</v>
      </c>
      <c r="H161" s="90">
        <f>IF(OR((H84)&lt;=0,(H86)&lt;0),"n/m",(H86)/(H84))</f>
        <v>0.39220278175445145</v>
      </c>
      <c r="I161" s="13"/>
      <c r="J161" s="13"/>
    </row>
    <row r="162" spans="1:10" x14ac:dyDescent="0.3">
      <c r="A162" s="150" t="s">
        <v>507</v>
      </c>
      <c r="B162" s="148" t="s">
        <v>508</v>
      </c>
      <c r="C162" s="18"/>
      <c r="D162" s="90">
        <f>IF(OR((D84)&lt;=0,(D91)&lt;0),"n/m",(D91)/(D84))</f>
        <v>0.21749401729182569</v>
      </c>
      <c r="E162" s="90">
        <f>IF(OR((E84)&lt;=0,(E91)&lt;0),"n/m",(E91)/(E84))</f>
        <v>0.26684521417223683</v>
      </c>
      <c r="F162" s="90">
        <f>IF(OR((F84)&lt;=0,(F91)&lt;0),"n/m",(F91)/(F84))</f>
        <v>0.23441531849714523</v>
      </c>
      <c r="G162" s="90">
        <f>IF(OR((G84)&lt;=0,(G91)&lt;0),"n/m",(G91)/(G84))</f>
        <v>0.25877948344250634</v>
      </c>
      <c r="H162" s="90">
        <f>IF(OR((H84)&lt;=0,(H91)&lt;0),"n/m",(H91)/(H84))</f>
        <v>0.34143534845456586</v>
      </c>
      <c r="I162" s="8" t="s">
        <v>412</v>
      </c>
    </row>
    <row r="163" spans="1:10" x14ac:dyDescent="0.3">
      <c r="A163" s="150" t="s">
        <v>509</v>
      </c>
      <c r="B163" s="148" t="s">
        <v>510</v>
      </c>
      <c r="C163" s="18"/>
      <c r="D163" s="90">
        <f>IF(OR((D84)&lt;=0,(D99)&lt;0),"n/m",(D99)/(D84))</f>
        <v>0.1453819089897026</v>
      </c>
      <c r="E163" s="90">
        <f>IF(OR((E84)&lt;=0,(E99)&lt;0),"n/m",(E99)/(E84))</f>
        <v>0.15282075695786385</v>
      </c>
      <c r="F163" s="90">
        <f>IF(OR((F84)&lt;=0,(F99)&lt;0),"n/m",(F99)/(F84))</f>
        <v>0.14955052871384544</v>
      </c>
      <c r="G163" s="90">
        <f>IF(OR((G84)&lt;=0,(G99)&lt;0),"n/m",(G99)/(G84))</f>
        <v>0.23011561219895646</v>
      </c>
      <c r="H163" s="90">
        <f>IF(OR((H84)&lt;=0,(H99)&lt;0),"n/m",(H99)/(H84))</f>
        <v>0.30837719707594857</v>
      </c>
      <c r="I163" s="8" t="s">
        <v>412</v>
      </c>
    </row>
    <row r="164" spans="1:10" x14ac:dyDescent="0.3">
      <c r="A164" s="150" t="s">
        <v>511</v>
      </c>
      <c r="B164" s="148" t="s">
        <v>512</v>
      </c>
      <c r="C164" s="18"/>
      <c r="D164" s="90">
        <f>IF(OR((AVERAGE(C37,D37))&lt;=0,(D99)&lt;0),"n/m",(D99)/(AVERAGE(C37,D37)))</f>
        <v>0.10310501881607244</v>
      </c>
      <c r="E164" s="90">
        <f>IF(OR((AVERAGE(D37,E37))&lt;=0,(E99)&lt;0),"n/m",(E99)/(AVERAGE(D37,E37)))</f>
        <v>0.12649629238438423</v>
      </c>
      <c r="F164" s="90">
        <f>IF(OR((AVERAGE(E37,F37))&lt;=0,(F99)&lt;0),"n/m",(F99)/(AVERAGE(E37,F37)))</f>
        <v>0.12533816876597817</v>
      </c>
      <c r="G164" s="90">
        <f>IF(OR((AVERAGE(F37,G37))&lt;=0,(G99)&lt;0),"n/m",(G99)/(AVERAGE(F37,G37)))</f>
        <v>0.16412620048835211</v>
      </c>
      <c r="H164" s="90">
        <f>IF(OR((AVERAGE(G37,H37))&lt;=0,(H99)&lt;0),"n/m",(H99)/(AVERAGE(G37,H37)))</f>
        <v>0.184262568360198</v>
      </c>
      <c r="I164" s="8" t="s">
        <v>412</v>
      </c>
    </row>
    <row r="165" spans="1:10" x14ac:dyDescent="0.3">
      <c r="A165" s="150" t="s">
        <v>513</v>
      </c>
      <c r="B165" s="148" t="s">
        <v>514</v>
      </c>
      <c r="C165" s="18"/>
      <c r="D165" s="90">
        <f>IF(OR((AVERAGE(C41,D41))&lt;=0,(D99)&lt;0),"n/m",(D99)/(AVERAGE(C41,D41)))</f>
        <v>0.17081753753269491</v>
      </c>
      <c r="E165" s="90">
        <f>IF(OR((AVERAGE(D41,E41))&lt;=0,(E99)&lt;0),"n/m",(E99)/(AVERAGE(D41,E41)))</f>
        <v>0.20312531536122019</v>
      </c>
      <c r="F165" s="90">
        <f>IF(OR((AVERAGE(E41,F41))&lt;=0,(F99)&lt;0),"n/m",(F99)/(AVERAGE(E41,F41)))</f>
        <v>0.19449095680324069</v>
      </c>
      <c r="G165" s="90">
        <f>IF(OR((AVERAGE(F41,G41))&lt;=0,(G99)&lt;0),"n/m",(G99)/(AVERAGE(F41,G41)))</f>
        <v>0.24134090965005384</v>
      </c>
      <c r="H165" s="90">
        <f>IF(OR((AVERAGE(G41,H41))&lt;=0,(H99)&lt;0),"n/m",(H99)/(AVERAGE(G41,H41)))</f>
        <v>0.25998290898160303</v>
      </c>
      <c r="I165" s="8" t="s">
        <v>412</v>
      </c>
    </row>
    <row r="166" spans="1:10" x14ac:dyDescent="0.3">
      <c r="A166" s="150" t="s">
        <v>515</v>
      </c>
      <c r="B166" s="148" t="s">
        <v>516</v>
      </c>
      <c r="C166" s="18"/>
      <c r="D166" s="90">
        <f>IF(OR((AVERAGE(C70,D70))&lt;=0,(D113)&lt;0),"n/m",(D113)/(AVERAGE(C70,D70)))</f>
        <v>0.14327122643181978</v>
      </c>
      <c r="E166" s="90">
        <f>IF(OR((AVERAGE(D70,E70))&lt;=0,(E113)&lt;0),"n/m",(E113)/(AVERAGE(D70,E70)))</f>
        <v>0.17824324729851332</v>
      </c>
      <c r="F166" s="90">
        <f>IF(OR((AVERAGE(E70,F70))&lt;=0,(F113)&lt;0),"n/m",(F113)/(AVERAGE(E70,F70)))</f>
        <v>0.18523585661078099</v>
      </c>
      <c r="G166" s="90">
        <f>IF(OR((AVERAGE(F70,G70))&lt;=0,(G113)&lt;0),"n/m",(G113)/(AVERAGE(F70,G70)))</f>
        <v>0.23611149584842697</v>
      </c>
      <c r="H166" s="90">
        <f>IF(OR((AVERAGE(G70,H70))&lt;=0,(H113)&lt;0),"n/m",(H113)/(AVERAGE(G70,H70)))</f>
        <v>0.2526376274461683</v>
      </c>
      <c r="I166" s="8" t="s">
        <v>412</v>
      </c>
    </row>
    <row r="167" spans="1:10" x14ac:dyDescent="0.3">
      <c r="A167" s="150" t="s">
        <v>517</v>
      </c>
      <c r="B167" s="148" t="s">
        <v>518</v>
      </c>
      <c r="C167" s="18"/>
      <c r="D167" s="90">
        <f>IF(OR((AVERAGE(C37,D37))&lt;=0,(D108)&lt;0),"n/m",(D108)/(AVERAGE(C37,D37)))</f>
        <v>0.15927842615719043</v>
      </c>
      <c r="E167" s="90">
        <f>IF(OR((AVERAGE(D37,E37))&lt;=0,(E108)&lt;0),"n/m",(E108)/(AVERAGE(D37,E37)))</f>
        <v>0.23825496283693048</v>
      </c>
      <c r="F167" s="90">
        <f>IF(OR((AVERAGE(E37,F37))&lt;=0,(F108)&lt;0),"n/m",(F108)/(AVERAGE(E37,F37)))</f>
        <v>0.24137695696625033</v>
      </c>
      <c r="G167" s="90">
        <f>IF(OR((AVERAGE(F37,G37))&lt;=0,(G108)&lt;0),"n/m",(G108)/(AVERAGE(F37,G37)))</f>
        <v>0.26673832964758931</v>
      </c>
      <c r="H167" s="90">
        <f>IF(OR((AVERAGE(G37,H37))&lt;=0,(H108)&lt;0),"n/m",(H108)/(AVERAGE(G37,H37)))</f>
        <v>0.28807830028219766</v>
      </c>
      <c r="I167" s="8" t="s">
        <v>412</v>
      </c>
    </row>
    <row r="168" spans="1:10" ht="22.05" customHeight="1" x14ac:dyDescent="0.3">
      <c r="A168" s="205" t="s">
        <v>519</v>
      </c>
      <c r="B168" s="207"/>
      <c r="C168" s="206"/>
      <c r="D168" s="209"/>
      <c r="E168" s="209"/>
      <c r="F168" s="209"/>
      <c r="G168" s="209"/>
      <c r="H168" s="209"/>
      <c r="I168" s="8" t="s">
        <v>412</v>
      </c>
    </row>
    <row r="169" spans="1:10" x14ac:dyDescent="0.3">
      <c r="A169" s="150" t="s">
        <v>520</v>
      </c>
      <c r="B169" s="148" t="s">
        <v>521</v>
      </c>
      <c r="C169" s="18"/>
      <c r="D169" s="91">
        <f>IF(OR((D128)&lt;=0,(D41)&lt;0),"n/m",(D41)/(D128))</f>
        <v>110.64122209168052</v>
      </c>
      <c r="E169" s="91">
        <f>IF(OR((E128)&lt;=0,(E41)&lt;0),"n/m",(E41)/(E128))</f>
        <v>135.64693964412666</v>
      </c>
      <c r="F169" s="91">
        <f>IF(OR((F128)&lt;=0,(F41)&lt;0),"n/m",(F41)/(F128))</f>
        <v>162.35106244484723</v>
      </c>
      <c r="G169" s="91">
        <f>IF(OR((G128)&lt;=0,(G41)&lt;0),"n/m",(G41)/(G128))</f>
        <v>209.79287853383309</v>
      </c>
      <c r="H169" s="91">
        <f>IF(OR((H128)&lt;=0,(H41)&lt;0),"n/m",(H41)/(H128))</f>
        <v>260.8226721418157</v>
      </c>
      <c r="I169" s="8" t="s">
        <v>412</v>
      </c>
    </row>
    <row r="170" spans="1:10" x14ac:dyDescent="0.3">
      <c r="A170" s="150" t="s">
        <v>522</v>
      </c>
      <c r="B170" s="148" t="s">
        <v>523</v>
      </c>
      <c r="C170" s="18"/>
      <c r="D170" s="87">
        <f>IF(OR((D41/D128)&lt;=0,(D130)&lt;0),"n/m",(D130)/(D41/D128))</f>
        <v>1.8663025958706099</v>
      </c>
      <c r="E170" s="87">
        <f>IF(OR((E41/E128)&lt;=0,(E130)&lt;0),"n/m",(E130)/(E41/E128))</f>
        <v>0.95932868328175702</v>
      </c>
      <c r="F170" s="87">
        <f>IF(OR((F41/F128)&lt;=0,(F130)&lt;0),"n/m",(F130)/(F41/F128))</f>
        <v>1.0684870021034203</v>
      </c>
      <c r="G170" s="87">
        <f>IF(OR((G41/G128)&lt;=0,(G130)&lt;0),"n/m",(G130)/(G41/G128))</f>
        <v>1.1937011482475723</v>
      </c>
      <c r="H170" s="87">
        <f>IF(OR((H41/H128)&lt;=0,(H130)&lt;0),"n/m",(H130)/(H41/H128))</f>
        <v>1.4544747850514033</v>
      </c>
      <c r="I170" s="13"/>
      <c r="J170" s="13"/>
    </row>
    <row r="171" spans="1:10" x14ac:dyDescent="0.3">
      <c r="A171" s="150" t="s">
        <v>524</v>
      </c>
      <c r="B171" s="148" t="s">
        <v>525</v>
      </c>
      <c r="C171" s="18"/>
      <c r="D171" s="91">
        <f>IF(OR((D129)&lt;=0,(D99)&lt;0),"n/m",(D99)/(D129))</f>
        <v>17.412549352402124</v>
      </c>
      <c r="E171" s="91">
        <f>IF(OR((E129)&lt;=0,(E99)&lt;0),"n/m",(E99)/(E129))</f>
        <v>25.013680261160516</v>
      </c>
      <c r="F171" s="91">
        <f>IF(OR((F129)&lt;=0,(F99)&lt;0),"n/m",(F99)/(F129))</f>
        <v>28.978958275869324</v>
      </c>
      <c r="G171" s="91">
        <f>IF(OR((G129)&lt;=0,(G99)&lt;0),"n/m",(G99)/(G129))</f>
        <v>45.274272678614977</v>
      </c>
      <c r="H171" s="91">
        <f>IF(OR((H129)&lt;=0,(H99)&lt;0),"n/m",(H99)/(H129))</f>
        <v>59.842054600869929</v>
      </c>
      <c r="I171" s="8" t="s">
        <v>441</v>
      </c>
    </row>
    <row r="172" spans="1:10" x14ac:dyDescent="0.3">
      <c r="A172" s="150" t="s">
        <v>526</v>
      </c>
      <c r="B172" s="148" t="s">
        <v>527</v>
      </c>
      <c r="C172" s="18"/>
      <c r="D172" s="87">
        <f>IF(OR((D99/D129)&lt;=0,(D130)&lt;0),"n/m",(D130)/(D99/D129))</f>
        <v>11.858688571154802</v>
      </c>
      <c r="E172" s="87">
        <f>IF(OR((E99/E129)&lt;=0,(E130)&lt;0),"n/m",(E130)/(E99/E129))</f>
        <v>5.2023532179731546</v>
      </c>
      <c r="F172" s="87">
        <f>IF(OR((F99/F129)&lt;=0,(F130)&lt;0),"n/m",(F130)/(F99/F129))</f>
        <v>5.9860674889907219</v>
      </c>
      <c r="G172" s="87">
        <f>IF(OR((G99/G129)&lt;=0,(G130)&lt;0),"n/m",(G130)/(G99/G129))</f>
        <v>5.5313975285193058</v>
      </c>
      <c r="H172" s="87">
        <f>IF(OR((H99/H129)&lt;=0,(H130)&lt;0),"n/m",(H130)/(H99/H129))</f>
        <v>6.3393545313613817</v>
      </c>
      <c r="I172" s="8" t="s">
        <v>462</v>
      </c>
    </row>
    <row r="173" spans="1:10" x14ac:dyDescent="0.3">
      <c r="A173" s="150" t="s">
        <v>528</v>
      </c>
      <c r="B173" s="148" t="s">
        <v>529</v>
      </c>
      <c r="C173" s="18"/>
      <c r="D173" s="90">
        <f>IF(OR((D130)&lt;=0,(D131)&lt;0),"n/m",(D131)/(D130))</f>
        <v>0</v>
      </c>
      <c r="E173" s="90">
        <f>IF(OR((E130)&lt;=0,(E131)&lt;0),"n/m",(E131)/(E130))</f>
        <v>0</v>
      </c>
      <c r="F173" s="90">
        <f>IF(OR((F130)&lt;=0,(F131)&lt;0),"n/m",(F131)/(F130))</f>
        <v>0</v>
      </c>
      <c r="G173" s="90">
        <f>IF(OR((G130)&lt;=0,(G131)&lt;0),"n/m",(G131)/(G130))</f>
        <v>0</v>
      </c>
      <c r="H173" s="90">
        <f>IF(OR((H130)&lt;=0,(H131)&lt;0),"n/m",(H131)/(H130))</f>
        <v>0</v>
      </c>
      <c r="I173" s="8" t="s">
        <v>441</v>
      </c>
    </row>
    <row r="174" spans="1:10" x14ac:dyDescent="0.3">
      <c r="A174" s="150" t="s">
        <v>530</v>
      </c>
      <c r="B174" s="148" t="s">
        <v>531</v>
      </c>
      <c r="C174" s="18"/>
      <c r="D174" s="90">
        <f>IF(OR((D99/D129)&lt;=0,(D131)&lt;0),"n/m",(D131)/(D99/D129))</f>
        <v>0</v>
      </c>
      <c r="E174" s="90">
        <f>IF(OR((E99/E129)&lt;=0,(E131)&lt;0),"n/m",(E131)/(E99/E129))</f>
        <v>0</v>
      </c>
      <c r="F174" s="90">
        <f>IF(OR((F99/F129)&lt;=0,(F131)&lt;0),"n/m",(F131)/(F99/F129))</f>
        <v>0</v>
      </c>
      <c r="G174" s="90">
        <f>IF(OR((G99/G129)&lt;=0,(G131)&lt;0),"n/m",(G131)/(G99/G129))</f>
        <v>0</v>
      </c>
      <c r="H174" s="90">
        <f>IF(OR((H99/H129)&lt;=0,(H131)&lt;0),"n/m",(H131)/(H99/H129))</f>
        <v>0</v>
      </c>
      <c r="I174" s="8" t="s">
        <v>462</v>
      </c>
    </row>
    <row r="175" spans="1:10" x14ac:dyDescent="0.3">
      <c r="A175" s="139"/>
      <c r="B175" s="139"/>
      <c r="I175" s="8" t="s">
        <v>412</v>
      </c>
    </row>
    <row r="176" spans="1:10" x14ac:dyDescent="0.3">
      <c r="A176" s="149" t="s">
        <v>9357</v>
      </c>
      <c r="B176" s="149"/>
      <c r="C176" s="92"/>
      <c r="D176" s="92"/>
      <c r="E176" s="92"/>
      <c r="F176" s="92"/>
      <c r="G176" s="92"/>
      <c r="H176" s="92"/>
      <c r="I176" s="8" t="s">
        <v>412</v>
      </c>
    </row>
    <row r="177" spans="1:10" x14ac:dyDescent="0.3">
      <c r="A177" s="149" t="s">
        <v>532</v>
      </c>
      <c r="B177" s="149"/>
      <c r="C177" s="92"/>
      <c r="D177" s="92"/>
      <c r="E177" s="92"/>
      <c r="F177" s="92"/>
      <c r="G177" s="92"/>
      <c r="H177" s="92"/>
      <c r="I177" s="13"/>
      <c r="J177" s="13"/>
    </row>
    <row r="178" spans="1:10" x14ac:dyDescent="0.3">
      <c r="A178" s="149" t="s">
        <v>533</v>
      </c>
      <c r="B178" s="149"/>
      <c r="C178" s="92"/>
      <c r="D178" s="92"/>
      <c r="E178" s="92"/>
      <c r="F178" s="92"/>
      <c r="G178" s="92"/>
      <c r="H178" s="92"/>
      <c r="I178" s="8" t="s">
        <v>462</v>
      </c>
    </row>
    <row r="179" spans="1:10" x14ac:dyDescent="0.3">
      <c r="A179" s="139"/>
      <c r="B179" s="139"/>
      <c r="I179" s="13"/>
      <c r="J179" s="13"/>
    </row>
    <row r="180" spans="1:10" x14ac:dyDescent="0.3">
      <c r="A180" s="139"/>
      <c r="B180" s="139"/>
      <c r="I180" s="8" t="s">
        <v>412</v>
      </c>
    </row>
    <row r="181" spans="1:10" x14ac:dyDescent="0.3">
      <c r="A181" s="139"/>
      <c r="B181" s="139"/>
      <c r="I181" s="8" t="s">
        <v>412</v>
      </c>
    </row>
    <row r="182" spans="1:10" x14ac:dyDescent="0.3">
      <c r="A182" s="139"/>
      <c r="B182" s="139"/>
      <c r="I182" s="8" t="s">
        <v>462</v>
      </c>
    </row>
    <row r="183" spans="1:10" x14ac:dyDescent="0.3">
      <c r="A183" s="146"/>
      <c r="B183" s="147"/>
      <c r="C183" s="13"/>
      <c r="D183" s="13"/>
      <c r="E183" s="13"/>
      <c r="F183" s="13"/>
      <c r="G183" s="13"/>
      <c r="H183" s="13"/>
      <c r="I183" s="13"/>
      <c r="J183" s="13"/>
    </row>
    <row r="184" spans="1:10" x14ac:dyDescent="0.3">
      <c r="A184" s="139"/>
      <c r="B184" s="141"/>
      <c r="C184" s="18"/>
      <c r="D184" s="25"/>
      <c r="E184" s="25"/>
      <c r="F184" s="25"/>
      <c r="G184" s="25"/>
      <c r="H184" s="25"/>
      <c r="I184" s="8"/>
    </row>
    <row r="185" spans="1:10" x14ac:dyDescent="0.3">
      <c r="A185" s="139"/>
      <c r="B185" s="141"/>
      <c r="C185" s="18"/>
      <c r="D185" s="25"/>
      <c r="E185" s="25"/>
      <c r="F185" s="25"/>
      <c r="G185" s="25"/>
      <c r="H185" s="25"/>
      <c r="I185" s="8"/>
    </row>
    <row r="186" spans="1:10" x14ac:dyDescent="0.3">
      <c r="A186" s="139"/>
      <c r="B186" s="141"/>
      <c r="C186" s="18"/>
      <c r="D186" s="26"/>
      <c r="E186" s="26"/>
      <c r="F186" s="26"/>
      <c r="G186" s="26"/>
      <c r="H186" s="26"/>
      <c r="I186" s="8"/>
    </row>
    <row r="187" spans="1:10" x14ac:dyDescent="0.3">
      <c r="A187" s="139"/>
      <c r="B187" s="141"/>
      <c r="C187" s="18"/>
      <c r="D187" s="25"/>
      <c r="E187" s="25"/>
      <c r="F187" s="25"/>
      <c r="G187" s="25"/>
      <c r="H187" s="25"/>
      <c r="I187" s="8"/>
    </row>
    <row r="188" spans="1:10" x14ac:dyDescent="0.3">
      <c r="A188" s="139"/>
      <c r="B188" s="141"/>
      <c r="C188" s="18"/>
      <c r="D188" s="28"/>
      <c r="E188" s="28"/>
      <c r="F188" s="28"/>
      <c r="G188" s="28"/>
      <c r="H188" s="28"/>
      <c r="I188" s="8"/>
    </row>
    <row r="189" spans="1:10" x14ac:dyDescent="0.3">
      <c r="A189" s="139"/>
      <c r="B189" s="141"/>
      <c r="C189" s="18"/>
      <c r="D189" s="27"/>
      <c r="E189" s="27"/>
      <c r="F189" s="27"/>
      <c r="G189" s="27"/>
      <c r="H189" s="27"/>
      <c r="I189" s="8"/>
    </row>
    <row r="190" spans="1:10" x14ac:dyDescent="0.3">
      <c r="A190" s="139"/>
      <c r="B190" s="139"/>
    </row>
    <row r="191" spans="1:10" x14ac:dyDescent="0.3">
      <c r="A191" s="142" t="s">
        <v>534</v>
      </c>
      <c r="B191" s="143"/>
      <c r="C191" s="10"/>
      <c r="D191" s="10"/>
      <c r="E191" s="10"/>
      <c r="F191" s="10"/>
      <c r="G191" s="10"/>
      <c r="H191" s="10"/>
      <c r="I191" s="10"/>
      <c r="J191" s="10"/>
    </row>
    <row r="192" spans="1:10" x14ac:dyDescent="0.3">
      <c r="A192" s="146" t="s">
        <v>535</v>
      </c>
      <c r="B192" s="147"/>
      <c r="C192" s="13"/>
      <c r="D192" s="13"/>
      <c r="E192" s="13"/>
      <c r="F192" s="13"/>
      <c r="G192" s="13"/>
      <c r="H192" s="13"/>
      <c r="I192" s="13"/>
      <c r="J192" s="13"/>
    </row>
    <row r="193" spans="1:10" x14ac:dyDescent="0.3">
      <c r="A193" s="139" t="s">
        <v>536</v>
      </c>
      <c r="B193" s="141" t="s">
        <v>537</v>
      </c>
      <c r="C193" s="29">
        <f t="shared" ref="C193:H193" si="19">IF(C37=0,"n/m",C22/C37)</f>
        <v>0.71207372078415432</v>
      </c>
      <c r="D193" s="29">
        <f t="shared" si="19"/>
        <v>0.60281133684338006</v>
      </c>
      <c r="E193" s="29">
        <f t="shared" si="19"/>
        <v>0.48904433240315737</v>
      </c>
      <c r="F193" s="29">
        <f t="shared" si="19"/>
        <v>0.40957770927623571</v>
      </c>
      <c r="G193" s="29">
        <f t="shared" si="19"/>
        <v>0.35955352019576675</v>
      </c>
      <c r="H193" s="29">
        <f t="shared" si="19"/>
        <v>0.31250184636231348</v>
      </c>
      <c r="I193" t="s">
        <v>412</v>
      </c>
    </row>
    <row r="194" spans="1:10" x14ac:dyDescent="0.3">
      <c r="A194" s="139" t="s">
        <v>538</v>
      </c>
      <c r="B194" s="141" t="s">
        <v>539</v>
      </c>
      <c r="C194" s="29">
        <f t="shared" ref="C194:H194" si="20">IF(C37=0,"n/m",C21/C37)</f>
        <v>5.1824714605276838E-3</v>
      </c>
      <c r="D194" s="29">
        <f t="shared" si="20"/>
        <v>7.59110359353428E-3</v>
      </c>
      <c r="E194" s="29">
        <f t="shared" si="20"/>
        <v>3.0195139662217933E-3</v>
      </c>
      <c r="F194" s="29">
        <f t="shared" si="20"/>
        <v>3.9229085754870115E-2</v>
      </c>
      <c r="G194" s="29">
        <f t="shared" si="20"/>
        <v>1.6982845737214061E-2</v>
      </c>
      <c r="H194" s="29">
        <f t="shared" si="20"/>
        <v>3.7228241285529699E-2</v>
      </c>
      <c r="I194" t="s">
        <v>412</v>
      </c>
    </row>
    <row r="195" spans="1:10" x14ac:dyDescent="0.3">
      <c r="A195" s="139" t="s">
        <v>260</v>
      </c>
      <c r="B195" s="141" t="s">
        <v>540</v>
      </c>
      <c r="C195" s="29">
        <f t="shared" ref="C195:H195" si="21">IF(C37=0,"n/m",C28/C37)</f>
        <v>0.83507010580277452</v>
      </c>
      <c r="D195" s="29">
        <f t="shared" si="21"/>
        <v>0.72708121608007259</v>
      </c>
      <c r="E195" s="29">
        <f t="shared" si="21"/>
        <v>0.5899525351958268</v>
      </c>
      <c r="F195" s="29">
        <f t="shared" si="21"/>
        <v>0.53738458104748288</v>
      </c>
      <c r="G195" s="29">
        <f t="shared" si="21"/>
        <v>0.45257320030843079</v>
      </c>
      <c r="H195" s="29">
        <f t="shared" si="21"/>
        <v>0.42188501577615356</v>
      </c>
      <c r="I195" t="s">
        <v>412</v>
      </c>
    </row>
    <row r="196" spans="1:10" x14ac:dyDescent="0.3">
      <c r="A196" s="139" t="s">
        <v>541</v>
      </c>
      <c r="B196" s="141" t="s">
        <v>542</v>
      </c>
      <c r="C196" s="29">
        <f t="shared" ref="C196:H196" si="22">IF(C37=0,"n/m",C65/C37)</f>
        <v>0.10285023388710719</v>
      </c>
      <c r="D196" s="29">
        <f t="shared" si="22"/>
        <v>0.11592968312089379</v>
      </c>
      <c r="E196" s="29">
        <f t="shared" si="22"/>
        <v>0.13081658714941574</v>
      </c>
      <c r="F196" s="29">
        <f t="shared" si="22"/>
        <v>0.15457257502149849</v>
      </c>
      <c r="G196" s="29">
        <f t="shared" si="22"/>
        <v>0.1288069592402164</v>
      </c>
      <c r="H196" s="29">
        <f t="shared" si="22"/>
        <v>0.11235789138852169</v>
      </c>
      <c r="I196" t="s">
        <v>412</v>
      </c>
    </row>
    <row r="197" spans="1:10" x14ac:dyDescent="0.3">
      <c r="A197" s="139" t="s">
        <v>267</v>
      </c>
      <c r="B197" s="141" t="s">
        <v>543</v>
      </c>
      <c r="C197" s="29">
        <f t="shared" ref="C197:H197" si="23">IF(C37=0,"n/m",C32/C37)</f>
        <v>1.55657141607879E-2</v>
      </c>
      <c r="D197" s="29">
        <f t="shared" si="23"/>
        <v>2.7255531473281764E-2</v>
      </c>
      <c r="E197" s="29">
        <f t="shared" si="23"/>
        <v>2.1130919419659774E-2</v>
      </c>
      <c r="F197" s="29">
        <f t="shared" si="23"/>
        <v>2.4339825080717026E-2</v>
      </c>
      <c r="G197" s="29">
        <f t="shared" si="23"/>
        <v>3.5862163988864895E-2</v>
      </c>
      <c r="H197" s="29">
        <f t="shared" si="23"/>
        <v>2.5334759610633677E-2</v>
      </c>
      <c r="I197" t="s">
        <v>412</v>
      </c>
    </row>
    <row r="198" spans="1:10" x14ac:dyDescent="0.3">
      <c r="A198" s="139" t="s">
        <v>269</v>
      </c>
      <c r="B198" s="141" t="s">
        <v>544</v>
      </c>
      <c r="C198" s="29">
        <f t="shared" ref="C198:H198" si="24">IF(C37=0,"n/m",C33/C37)</f>
        <v>5.0424245860554466E-3</v>
      </c>
      <c r="D198" s="29">
        <f t="shared" si="24"/>
        <v>8.3118656387369455E-2</v>
      </c>
      <c r="E198" s="29">
        <f t="shared" si="24"/>
        <v>0.23353955536353374</v>
      </c>
      <c r="F198" s="29">
        <f t="shared" si="24"/>
        <v>0.24904209574227493</v>
      </c>
      <c r="G198" s="29">
        <f t="shared" si="24"/>
        <v>0.34463987589590195</v>
      </c>
      <c r="H198" s="29">
        <f t="shared" si="24"/>
        <v>0.40335219409966694</v>
      </c>
      <c r="I198" t="s">
        <v>412</v>
      </c>
    </row>
    <row r="199" spans="1:10" x14ac:dyDescent="0.3">
      <c r="A199" s="139" t="s">
        <v>545</v>
      </c>
      <c r="B199" s="141" t="s">
        <v>546</v>
      </c>
      <c r="C199" s="29">
        <f t="shared" ref="C199:H199" si="25">IF(C37=0,"n/m",C34/C37)</f>
        <v>2.8076185651995881E-2</v>
      </c>
      <c r="D199" s="29">
        <f t="shared" si="25"/>
        <v>3.3190122717754615E-2</v>
      </c>
      <c r="E199" s="29">
        <f t="shared" si="25"/>
        <v>1.1090155144323594E-2</v>
      </c>
      <c r="F199" s="29">
        <f t="shared" si="25"/>
        <v>1.8847885506490802E-2</v>
      </c>
      <c r="G199" s="29">
        <f t="shared" si="25"/>
        <v>1.8738739363736656E-2</v>
      </c>
      <c r="H199" s="29">
        <f t="shared" si="25"/>
        <v>2.1718956069774295E-2</v>
      </c>
      <c r="I199" t="s">
        <v>412</v>
      </c>
    </row>
    <row r="200" spans="1:10" x14ac:dyDescent="0.3">
      <c r="A200" s="139" t="s">
        <v>275</v>
      </c>
      <c r="B200" s="141" t="s">
        <v>547</v>
      </c>
      <c r="C200" s="29">
        <f t="shared" ref="C200:H200" si="26">IF(C37=0,"n/m",C36/C37)</f>
        <v>0.16492989419722551</v>
      </c>
      <c r="D200" s="29">
        <f t="shared" si="26"/>
        <v>0.27291878391992735</v>
      </c>
      <c r="E200" s="29">
        <f t="shared" si="26"/>
        <v>0.41004746480417331</v>
      </c>
      <c r="F200" s="29">
        <f t="shared" si="26"/>
        <v>0.46261541895251718</v>
      </c>
      <c r="G200" s="29">
        <f t="shared" si="26"/>
        <v>0.54742679969156927</v>
      </c>
      <c r="H200" s="29">
        <f t="shared" si="26"/>
        <v>0.57811498422384644</v>
      </c>
      <c r="I200" t="s">
        <v>412</v>
      </c>
    </row>
    <row r="201" spans="1:10" x14ac:dyDescent="0.3">
      <c r="A201" s="139" t="s">
        <v>284</v>
      </c>
      <c r="B201" s="141" t="s">
        <v>548</v>
      </c>
      <c r="C201" s="29">
        <f t="shared" ref="C201:H201" si="27">IF(C37=0,"n/m",C41/C37)</f>
        <v>0.58969265077359534</v>
      </c>
      <c r="D201" s="29">
        <f t="shared" si="27"/>
        <v>0.6158336174449659</v>
      </c>
      <c r="E201" s="29">
        <f t="shared" si="27"/>
        <v>0.62850750832829549</v>
      </c>
      <c r="F201" s="29">
        <f t="shared" si="27"/>
        <v>0.65838875901516658</v>
      </c>
      <c r="G201" s="29">
        <f t="shared" si="27"/>
        <v>0.69830054814970499</v>
      </c>
      <c r="H201" s="29">
        <f t="shared" si="27"/>
        <v>0.7179532735297155</v>
      </c>
      <c r="I201" t="s">
        <v>412</v>
      </c>
    </row>
    <row r="202" spans="1:10" x14ac:dyDescent="0.3">
      <c r="A202" s="139" t="s">
        <v>549</v>
      </c>
      <c r="B202" s="141" t="s">
        <v>550</v>
      </c>
      <c r="C202" s="29">
        <f t="shared" ref="C202:H202" si="28">IF(C37=0,"n/m",C67/C37)</f>
        <v>0.17127824180722684</v>
      </c>
      <c r="D202" s="29">
        <f t="shared" si="28"/>
        <v>0.1220875910318789</v>
      </c>
      <c r="E202" s="29">
        <f t="shared" si="28"/>
        <v>7.3341433387860686E-2</v>
      </c>
      <c r="F202" s="29">
        <f t="shared" si="28"/>
        <v>4.338813037035516E-2</v>
      </c>
      <c r="G202" s="29">
        <f t="shared" si="28"/>
        <v>1.901053423767185E-2</v>
      </c>
      <c r="H202" s="29">
        <f t="shared" si="28"/>
        <v>2.1693131655174568E-2</v>
      </c>
      <c r="I202" t="s">
        <v>412</v>
      </c>
    </row>
    <row r="203" spans="1:10" x14ac:dyDescent="0.3">
      <c r="A203" s="139" t="s">
        <v>297</v>
      </c>
      <c r="B203" s="141" t="s">
        <v>551</v>
      </c>
      <c r="C203" s="29">
        <f t="shared" ref="C203:H203" si="29">IF(C37=0,"n/m",C48/C37)</f>
        <v>0.21256782538739594</v>
      </c>
      <c r="D203" s="29">
        <f t="shared" si="29"/>
        <v>0.17433291274189106</v>
      </c>
      <c r="E203" s="29">
        <f t="shared" si="29"/>
        <v>0.15262641299575178</v>
      </c>
      <c r="F203" s="29">
        <f t="shared" si="29"/>
        <v>0.14148088984102922</v>
      </c>
      <c r="G203" s="29">
        <f t="shared" si="29"/>
        <v>0.11313699636826952</v>
      </c>
      <c r="H203" s="29">
        <f t="shared" si="29"/>
        <v>0.10745549553575273</v>
      </c>
      <c r="I203" t="s">
        <v>412</v>
      </c>
    </row>
    <row r="204" spans="1:10" x14ac:dyDescent="0.3">
      <c r="A204" s="139" t="s">
        <v>300</v>
      </c>
      <c r="B204" s="141" t="s">
        <v>552</v>
      </c>
      <c r="C204" s="29">
        <f t="shared" ref="C204:H204" si="30">IF(C37=0,"n/m",C50/C37)</f>
        <v>0.13519067833839307</v>
      </c>
      <c r="D204" s="29">
        <f t="shared" si="30"/>
        <v>0.13814937186324996</v>
      </c>
      <c r="E204" s="29">
        <f t="shared" si="30"/>
        <v>0.1274541196892939</v>
      </c>
      <c r="F204" s="29">
        <f t="shared" si="30"/>
        <v>0.10714854145898316</v>
      </c>
      <c r="G204" s="29">
        <f t="shared" si="30"/>
        <v>0.1057580698049907</v>
      </c>
      <c r="H204" s="29">
        <f t="shared" si="30"/>
        <v>0.11542917643615476</v>
      </c>
      <c r="I204" t="s">
        <v>412</v>
      </c>
    </row>
    <row r="205" spans="1:10" x14ac:dyDescent="0.3">
      <c r="A205" s="139" t="s">
        <v>553</v>
      </c>
      <c r="B205" s="141" t="s">
        <v>554</v>
      </c>
      <c r="C205" s="29">
        <f t="shared" ref="C205:H205" si="31">IF(C37=0,"n/m",C66/C37)</f>
        <v>0.22009020960645229</v>
      </c>
      <c r="D205" s="29">
        <f t="shared" si="31"/>
        <v>0.16767255027734551</v>
      </c>
      <c r="E205" s="29">
        <f t="shared" si="31"/>
        <v>9.8067981081597311E-2</v>
      </c>
      <c r="F205" s="29">
        <f t="shared" si="31"/>
        <v>6.4271520141490221E-2</v>
      </c>
      <c r="G205" s="29">
        <f t="shared" si="31"/>
        <v>3.6589718451215648E-2</v>
      </c>
      <c r="H205" s="29">
        <f t="shared" si="31"/>
        <v>3.3575037823421382E-2</v>
      </c>
      <c r="I205" t="s">
        <v>412</v>
      </c>
    </row>
    <row r="206" spans="1:10" x14ac:dyDescent="0.3">
      <c r="A206" s="139" t="s">
        <v>322</v>
      </c>
      <c r="B206" s="141" t="s">
        <v>555</v>
      </c>
      <c r="C206" s="29">
        <f t="shared" ref="C206:H206" si="32">IF(C37=0,"n/m",C61/C37)</f>
        <v>0.19773952380751941</v>
      </c>
      <c r="D206" s="29">
        <f t="shared" si="32"/>
        <v>0.20983346981314291</v>
      </c>
      <c r="E206" s="29">
        <f t="shared" si="32"/>
        <v>0.21886607867595281</v>
      </c>
      <c r="F206" s="29">
        <f t="shared" si="32"/>
        <v>0.20013035114380423</v>
      </c>
      <c r="G206" s="29">
        <f t="shared" si="32"/>
        <v>0.18856245548202555</v>
      </c>
      <c r="H206" s="29">
        <f t="shared" si="32"/>
        <v>0.17459123093453174</v>
      </c>
      <c r="I206" t="s">
        <v>412</v>
      </c>
    </row>
    <row r="207" spans="1:10" x14ac:dyDescent="0.3">
      <c r="A207" s="139" t="s">
        <v>325</v>
      </c>
      <c r="B207" s="141" t="s">
        <v>556</v>
      </c>
      <c r="C207" s="29">
        <f t="shared" ref="C207:H207" si="33">IF(C37=0,"n/m",C62/C37)</f>
        <v>0.41030734919491535</v>
      </c>
      <c r="D207" s="29">
        <f t="shared" si="33"/>
        <v>0.38416638255503399</v>
      </c>
      <c r="E207" s="29">
        <f t="shared" si="33"/>
        <v>0.37149249167170456</v>
      </c>
      <c r="F207" s="29">
        <f t="shared" si="33"/>
        <v>0.34161124098483342</v>
      </c>
      <c r="G207" s="29">
        <f t="shared" si="33"/>
        <v>0.30169945185029512</v>
      </c>
      <c r="H207" s="29">
        <f t="shared" si="33"/>
        <v>0.28204672647028445</v>
      </c>
      <c r="I207" t="s">
        <v>412</v>
      </c>
    </row>
    <row r="208" spans="1:10" x14ac:dyDescent="0.3">
      <c r="A208" s="146" t="s">
        <v>557</v>
      </c>
      <c r="B208" s="147"/>
      <c r="C208" s="13"/>
      <c r="D208" s="13"/>
      <c r="E208" s="13"/>
      <c r="F208" s="13"/>
      <c r="G208" s="13"/>
      <c r="H208" s="13"/>
      <c r="I208" s="13"/>
      <c r="J208" s="13"/>
    </row>
    <row r="209" spans="1:10" x14ac:dyDescent="0.3">
      <c r="A209" s="139" t="s">
        <v>360</v>
      </c>
      <c r="B209" s="141" t="s">
        <v>558</v>
      </c>
      <c r="C209" s="18"/>
      <c r="D209" s="29">
        <f>IF(D84=0,"n/m",D85/D84)</f>
        <v>-0.75203658699171072</v>
      </c>
      <c r="E209" s="29">
        <f>IF(E84=0,"n/m",E85/E84)</f>
        <v>-0.70156085786490119</v>
      </c>
      <c r="F209" s="29">
        <f>IF(F84=0,"n/m",F85/F84)</f>
        <v>-0.73195643181010395</v>
      </c>
      <c r="G209" s="29">
        <f>IF(G84=0,"n/m",G85/G84)</f>
        <v>-0.70874148532574399</v>
      </c>
      <c r="H209" s="29">
        <f>IF(H84=0,"n/m",H85/H84)</f>
        <v>-0.60779721824554855</v>
      </c>
      <c r="I209" t="s">
        <v>412</v>
      </c>
    </row>
    <row r="210" spans="1:10" x14ac:dyDescent="0.3">
      <c r="A210" s="139" t="s">
        <v>362</v>
      </c>
      <c r="B210" s="141" t="s">
        <v>559</v>
      </c>
      <c r="C210" s="18"/>
      <c r="D210" s="29">
        <f>IF(D84=0,"n/m",D86/D84)</f>
        <v>0.24796341300828931</v>
      </c>
      <c r="E210" s="29">
        <f>IF(E84=0,"n/m",E86/E84)</f>
        <v>0.29843914213509881</v>
      </c>
      <c r="F210" s="29">
        <f>IF(F84=0,"n/m",F86/F84)</f>
        <v>0.26804356818989611</v>
      </c>
      <c r="G210" s="29">
        <f>IF(G84=0,"n/m",G86/G84)</f>
        <v>0.29125851467425595</v>
      </c>
      <c r="H210" s="29">
        <f>IF(H84=0,"n/m",H86/H84)</f>
        <v>0.39220278175445145</v>
      </c>
      <c r="I210" t="s">
        <v>412</v>
      </c>
    </row>
    <row r="211" spans="1:10" x14ac:dyDescent="0.3">
      <c r="A211" s="139" t="s">
        <v>560</v>
      </c>
      <c r="B211" s="141" t="s">
        <v>561</v>
      </c>
      <c r="C211" s="18"/>
      <c r="D211" s="29">
        <f>IF(D84=0,"n/m",D87/D84)</f>
        <v>-3.9142242708146468E-3</v>
      </c>
      <c r="E211" s="29">
        <f>IF(E84=0,"n/m",E87/E84)</f>
        <v>-3.7149656233314452E-3</v>
      </c>
      <c r="F211" s="29">
        <f>IF(F84=0,"n/m",F87/F84)</f>
        <v>-4.5250785691870986E-3</v>
      </c>
      <c r="G211" s="29">
        <f>IF(G84=0,"n/m",G87/G84)</f>
        <v>-5.104029788807282E-3</v>
      </c>
      <c r="H211" s="29">
        <f>IF(H84=0,"n/m",H87/H84)</f>
        <v>-6.0102892649976526E-3</v>
      </c>
      <c r="I211" t="s">
        <v>412</v>
      </c>
    </row>
    <row r="212" spans="1:10" x14ac:dyDescent="0.3">
      <c r="A212" s="139" t="s">
        <v>562</v>
      </c>
      <c r="B212" s="141" t="s">
        <v>563</v>
      </c>
      <c r="C212" s="18"/>
      <c r="D212" s="29">
        <f>IF(D84=0,"n/m",D88/D84)</f>
        <v>-1.3032371864007903E-2</v>
      </c>
      <c r="E212" s="29">
        <f>IF(E84=0,"n/m",E88/E84)</f>
        <v>-1.0752909099783841E-2</v>
      </c>
      <c r="F212" s="29">
        <f>IF(F84=0,"n/m",F88/F84)</f>
        <v>-1.0180200586047575E-2</v>
      </c>
      <c r="G212" s="29">
        <f>IF(G84=0,"n/m",G88/G84)</f>
        <v>-1.2627969391494565E-2</v>
      </c>
      <c r="H212" s="29">
        <f>IF(H84=0,"n/m",H88/H84)</f>
        <v>-1.8530441982077747E-2</v>
      </c>
      <c r="I212" t="s">
        <v>412</v>
      </c>
    </row>
    <row r="213" spans="1:10" x14ac:dyDescent="0.3">
      <c r="A213" s="139" t="s">
        <v>564</v>
      </c>
      <c r="B213" s="141" t="s">
        <v>565</v>
      </c>
      <c r="C213" s="18"/>
      <c r="D213" s="29">
        <f>IF(D84=0,"n/m",(D90+D89)/D84)</f>
        <v>-1.352279958164109E-2</v>
      </c>
      <c r="E213" s="29">
        <f>IF(E84=0,"n/m",(E90+E89)/E84)</f>
        <v>-1.712605323974668E-2</v>
      </c>
      <c r="F213" s="29">
        <f>IF(F84=0,"n/m",(F90+F89)/F84)</f>
        <v>-1.8922970537516227E-2</v>
      </c>
      <c r="G213" s="29">
        <f>IF(G84=0,"n/m",(G90+G89)/G84)</f>
        <v>-1.4747032051447753E-2</v>
      </c>
      <c r="H213" s="29">
        <f>IF(H84=0,"n/m",(H90+H89)/H84)</f>
        <v>-2.6226702052810174E-2</v>
      </c>
      <c r="I213" t="s">
        <v>412</v>
      </c>
    </row>
    <row r="214" spans="1:10" x14ac:dyDescent="0.3">
      <c r="A214" s="139" t="s">
        <v>566</v>
      </c>
      <c r="B214" s="141" t="s">
        <v>567</v>
      </c>
      <c r="C214" s="18"/>
      <c r="D214" s="29">
        <f>IF(D84=0,"n/m",D91/D84)</f>
        <v>0.21749401729182569</v>
      </c>
      <c r="E214" s="29">
        <f>IF(E84=0,"n/m",E91/E84)</f>
        <v>0.26684521417223683</v>
      </c>
      <c r="F214" s="29">
        <f>IF(F84=0,"n/m",F91/F84)</f>
        <v>0.23441531849714523</v>
      </c>
      <c r="G214" s="29">
        <f>IF(G84=0,"n/m",G91/G84)</f>
        <v>0.25877948344250634</v>
      </c>
      <c r="H214" s="29">
        <f>IF(H84=0,"n/m",H91/H84)</f>
        <v>0.34143534845456586</v>
      </c>
      <c r="I214" t="s">
        <v>412</v>
      </c>
    </row>
    <row r="215" spans="1:10" x14ac:dyDescent="0.3">
      <c r="A215" s="139" t="s">
        <v>374</v>
      </c>
      <c r="B215" s="141" t="s">
        <v>568</v>
      </c>
      <c r="C215" s="18"/>
      <c r="D215" s="29">
        <f>IF(D84=0,"n/m",(D92+D93+D94)/D84)</f>
        <v>7.0944840391884744E-3</v>
      </c>
      <c r="E215" s="29">
        <f>IF(E84=0,"n/m",(E92+E93+E94)/E84)</f>
        <v>2.0991710399966976E-2</v>
      </c>
      <c r="F215" s="29">
        <f>IF(F84=0,"n/m",(F92+F93+F94)/F84)</f>
        <v>5.3589938712582906E-2</v>
      </c>
      <c r="G215" s="29">
        <f>IF(G84=0,"n/m",(G92+G93+G94)/G84)</f>
        <v>0.11520501044784114</v>
      </c>
      <c r="H215" s="29">
        <f>IF(H84=0,"n/m",(H92+H93+H94)/H84)</f>
        <v>0.14068524483798328</v>
      </c>
      <c r="I215" t="s">
        <v>412</v>
      </c>
    </row>
    <row r="216" spans="1:10" x14ac:dyDescent="0.3">
      <c r="A216" s="139" t="s">
        <v>380</v>
      </c>
      <c r="B216" s="141" t="s">
        <v>569</v>
      </c>
      <c r="C216" s="18"/>
      <c r="D216" s="29">
        <f>IF(D84=0,"n/m",D95/D84)</f>
        <v>-2.1492593920963813E-2</v>
      </c>
      <c r="E216" s="29">
        <f>IF(E84=0,"n/m",E95/E84)</f>
        <v>-1.635525279649306E-2</v>
      </c>
      <c r="F216" s="29">
        <f>IF(F84=0,"n/m",F95/F84)</f>
        <v>-1.9020469344179291E-2</v>
      </c>
      <c r="G216" s="29">
        <f>IF(G84=0,"n/m",G95/G84)</f>
        <v>-1.7527036632251494E-2</v>
      </c>
      <c r="H216" s="29">
        <f>IF(H84=0,"n/m",H95/H84)</f>
        <v>-9.3220777162058271E-3</v>
      </c>
      <c r="I216" t="s">
        <v>412</v>
      </c>
    </row>
    <row r="217" spans="1:10" x14ac:dyDescent="0.3">
      <c r="A217" s="139" t="s">
        <v>570</v>
      </c>
      <c r="B217" s="141" t="s">
        <v>571</v>
      </c>
      <c r="C217" s="18"/>
      <c r="D217" s="29">
        <f>IF(D84=0,"n/m",D96/D84)</f>
        <v>0.20309590741005035</v>
      </c>
      <c r="E217" s="29">
        <f>IF(E84=0,"n/m",E96/E84)</f>
        <v>0.2714816717757107</v>
      </c>
      <c r="F217" s="29">
        <f>IF(F84=0,"n/m",F96/F84)</f>
        <v>0.26898478786554886</v>
      </c>
      <c r="G217" s="29">
        <f>IF(G84=0,"n/m",G96/G84)</f>
        <v>0.35645745725809602</v>
      </c>
      <c r="H217" s="29">
        <f>IF(H84=0,"n/m",H96/H84)</f>
        <v>0.47279851557634339</v>
      </c>
      <c r="I217" t="s">
        <v>412</v>
      </c>
    </row>
    <row r="218" spans="1:10" x14ac:dyDescent="0.3">
      <c r="A218" s="139" t="s">
        <v>572</v>
      </c>
      <c r="B218" s="141" t="s">
        <v>573</v>
      </c>
      <c r="C218" s="18"/>
      <c r="D218" s="29">
        <f>IF(D84=0,"n/m",-D110/D84)</f>
        <v>-5.7713998420347745E-2</v>
      </c>
      <c r="E218" s="29">
        <f>IF(E84=0,"n/m",-E110/E84)</f>
        <v>-0.11866091481784687</v>
      </c>
      <c r="F218" s="29">
        <f>IF(F84=0,"n/m",-F110/F84)</f>
        <v>-0.11943425915170339</v>
      </c>
      <c r="G218" s="29">
        <f>IF(G84=0,"n/m",-G110/G84)</f>
        <v>-0.12634184505913956</v>
      </c>
      <c r="H218" s="29">
        <f>IF(H84=0,"n/m",-H110/H84)</f>
        <v>-0.16442131850039482</v>
      </c>
      <c r="I218" t="s">
        <v>412</v>
      </c>
    </row>
    <row r="219" spans="1:10" x14ac:dyDescent="0.3">
      <c r="A219" s="139" t="s">
        <v>574</v>
      </c>
      <c r="B219" s="141" t="s">
        <v>575</v>
      </c>
      <c r="C219" s="18"/>
      <c r="D219" s="29">
        <f>IF(D84=0,"n/m",D99/D84)</f>
        <v>0.1453819089897026</v>
      </c>
      <c r="E219" s="29">
        <f>IF(E84=0,"n/m",E99/E84)</f>
        <v>0.15282075695786385</v>
      </c>
      <c r="F219" s="29">
        <f>IF(F84=0,"n/m",F99/F84)</f>
        <v>0.14955052871384544</v>
      </c>
      <c r="G219" s="29">
        <f>IF(G84=0,"n/m",G99/G84)</f>
        <v>0.23011561219895646</v>
      </c>
      <c r="H219" s="29">
        <f>IF(H84=0,"n/m",H99/H84)</f>
        <v>0.30837719707594857</v>
      </c>
      <c r="I219" t="s">
        <v>412</v>
      </c>
    </row>
    <row r="220" spans="1:10" x14ac:dyDescent="0.3">
      <c r="A220" s="139"/>
      <c r="B220" s="141"/>
      <c r="C220" s="18"/>
      <c r="D220" s="29"/>
      <c r="E220" s="29"/>
      <c r="F220" s="29"/>
      <c r="G220" s="29"/>
      <c r="H220" s="29"/>
      <c r="I220" t="s">
        <v>412</v>
      </c>
    </row>
    <row r="221" spans="1:10" x14ac:dyDescent="0.3">
      <c r="A221" s="139"/>
      <c r="B221" s="139"/>
    </row>
    <row r="222" spans="1:10" x14ac:dyDescent="0.3">
      <c r="A222" s="142" t="s">
        <v>576</v>
      </c>
      <c r="B222" s="143"/>
      <c r="C222" s="10"/>
      <c r="D222" s="10"/>
      <c r="E222" s="10"/>
      <c r="F222" s="10"/>
      <c r="G222" s="10"/>
      <c r="H222" s="10"/>
      <c r="I222" s="10"/>
      <c r="J222" s="10"/>
    </row>
    <row r="223" spans="1:10" x14ac:dyDescent="0.3">
      <c r="A223" s="139" t="s">
        <v>577</v>
      </c>
      <c r="B223" s="141" t="s">
        <v>578</v>
      </c>
      <c r="C223" s="18"/>
      <c r="D223" s="30" t="s">
        <v>579</v>
      </c>
      <c r="E223" s="31">
        <f>E84-D84</f>
        <v>8819.5731870000018</v>
      </c>
      <c r="F223" s="31">
        <f>F84-E84</f>
        <v>6044.6861709999939</v>
      </c>
      <c r="G223" s="31">
        <f>G84-F84</f>
        <v>-273.86737799999537</v>
      </c>
      <c r="H223" s="31">
        <f>H84-G84</f>
        <v>-1112.0676000000021</v>
      </c>
      <c r="I223" t="s">
        <v>245</v>
      </c>
    </row>
    <row r="224" spans="1:10" x14ac:dyDescent="0.3">
      <c r="A224" s="139" t="s">
        <v>580</v>
      </c>
      <c r="B224" s="141" t="s">
        <v>581</v>
      </c>
      <c r="C224" s="18"/>
      <c r="D224" s="30" t="str">
        <f>IF(OR(C84&lt;=0,D84&lt;C84),"n/m",D84/C84-1)</f>
        <v>n/m</v>
      </c>
      <c r="E224" s="29">
        <f>IF(OR(D84&lt;=0,E84&lt;D84),"n/m",E84/D84-1)</f>
        <v>0.36660578401953936</v>
      </c>
      <c r="F224" s="29">
        <f>IF(OR(E84&lt;=0,F84&lt;E84),"n/m",F84/E84-1)</f>
        <v>0.18385787981997459</v>
      </c>
      <c r="G224" s="29" t="str">
        <f>IF(OR(F84&lt;=0,G84&lt;F84),"n/m",G84/F84-1)</f>
        <v>n/m</v>
      </c>
      <c r="H224" s="29" t="str">
        <f>IF(OR(G84&lt;=0,H84&lt;G84),"n/m",H84/G84-1)</f>
        <v>n/m</v>
      </c>
      <c r="I224" t="s">
        <v>412</v>
      </c>
    </row>
    <row r="225" spans="1:9" x14ac:dyDescent="0.3">
      <c r="A225" s="139" t="s">
        <v>582</v>
      </c>
      <c r="B225" s="141" t="s">
        <v>578</v>
      </c>
      <c r="C225" s="18"/>
      <c r="D225" s="30" t="s">
        <v>579</v>
      </c>
      <c r="E225" s="31">
        <f>E86-D86</f>
        <v>3846.4194500000012</v>
      </c>
      <c r="F225" s="31">
        <f>F86-E86</f>
        <v>620.92550999999366</v>
      </c>
      <c r="G225" s="31">
        <f>G86-F86</f>
        <v>823.79747600000701</v>
      </c>
      <c r="H225" s="31">
        <f>H86-G86</f>
        <v>3465.1146059999955</v>
      </c>
      <c r="I225" t="s">
        <v>245</v>
      </c>
    </row>
    <row r="226" spans="1:9" x14ac:dyDescent="0.3">
      <c r="A226" s="139" t="s">
        <v>583</v>
      </c>
      <c r="B226" s="141" t="s">
        <v>581</v>
      </c>
      <c r="C226" s="18"/>
      <c r="D226" s="30" t="str">
        <f>IF(OR(C86&lt;=0,D86&lt;C86),"n/m",D86/C86-1)</f>
        <v>n/m</v>
      </c>
      <c r="E226" s="29">
        <f>IF(OR(D86&lt;=0,E86&lt;D86),"n/m",E86/D86-1)</f>
        <v>0.64479369303575917</v>
      </c>
      <c r="F226" s="29">
        <f>IF(OR(E86&lt;=0,F86&lt;E86),"n/m",F86/E86-1)</f>
        <v>6.3283750470716882E-2</v>
      </c>
      <c r="G226" s="29">
        <f>IF(OR(F86&lt;=0,G86&lt;F86),"n/m",G86/F86-1)</f>
        <v>7.8963063087991392E-2</v>
      </c>
      <c r="H226" s="29">
        <f>IF(OR(G86&lt;=0,H86&lt;G86),"n/m",H86/G86-1)</f>
        <v>0.30783256110833102</v>
      </c>
      <c r="I226" t="s">
        <v>412</v>
      </c>
    </row>
    <row r="227" spans="1:9" x14ac:dyDescent="0.3">
      <c r="A227" s="139" t="s">
        <v>584</v>
      </c>
      <c r="B227" s="141" t="s">
        <v>578</v>
      </c>
      <c r="C227" s="18"/>
      <c r="D227" s="30" t="s">
        <v>579</v>
      </c>
      <c r="E227" s="31">
        <f>E91-D91</f>
        <v>3540.721195000001</v>
      </c>
      <c r="F227" s="31">
        <f>F91-E91</f>
        <v>350.77100199999404</v>
      </c>
      <c r="G227" s="31">
        <f>G91-F91</f>
        <v>877.42188500000702</v>
      </c>
      <c r="H227" s="31">
        <f>H91-G91</f>
        <v>2814.7655039999954</v>
      </c>
      <c r="I227" t="s">
        <v>245</v>
      </c>
    </row>
    <row r="228" spans="1:9" x14ac:dyDescent="0.3">
      <c r="A228" s="139" t="s">
        <v>585</v>
      </c>
      <c r="B228" s="141" t="s">
        <v>581</v>
      </c>
      <c r="C228" s="18"/>
      <c r="D228" s="30" t="str">
        <f>IF(OR(C91&lt;=0,D91&lt;C91),"n/m",D91/C91-1)</f>
        <v>n/m</v>
      </c>
      <c r="E228" s="29">
        <f>IF(OR(D91&lt;=0,E91&lt;D91),"n/m",E91/D91-1)</f>
        <v>0.67669997394184622</v>
      </c>
      <c r="F228" s="29">
        <f>IF(OR(E91&lt;=0,F91&lt;E91),"n/m",F91/E91-1)</f>
        <v>3.9982758597390866E-2</v>
      </c>
      <c r="G228" s="29">
        <f>IF(OR(F91&lt;=0,G91&lt;F91),"n/m",G91/F91-1)</f>
        <v>9.6168179470743187E-2</v>
      </c>
      <c r="H228" s="29">
        <f>IF(OR(G91&lt;=0,H91&lt;G91),"n/m",H91/G91-1)</f>
        <v>0.28144138621259374</v>
      </c>
      <c r="I228" t="s">
        <v>412</v>
      </c>
    </row>
    <row r="229" spans="1:9" x14ac:dyDescent="0.3">
      <c r="A229" s="139"/>
      <c r="B229" s="141"/>
      <c r="C229" s="18"/>
      <c r="D229" s="30"/>
      <c r="E229" s="31"/>
      <c r="F229" s="31"/>
      <c r="G229" s="31"/>
      <c r="H229" s="31"/>
      <c r="I229" t="s">
        <v>245</v>
      </c>
    </row>
    <row r="230" spans="1:9" x14ac:dyDescent="0.3">
      <c r="A230" s="139"/>
      <c r="B230" s="141"/>
      <c r="C230" s="18"/>
      <c r="D230" s="30"/>
      <c r="E230" s="29"/>
      <c r="F230" s="29"/>
      <c r="G230" s="29"/>
      <c r="H230" s="29"/>
      <c r="I230" t="s">
        <v>412</v>
      </c>
    </row>
    <row r="231" spans="1:9" x14ac:dyDescent="0.3">
      <c r="A231" s="139" t="s">
        <v>586</v>
      </c>
      <c r="B231" s="141" t="s">
        <v>578</v>
      </c>
      <c r="C231" s="18"/>
      <c r="D231" s="30" t="s">
        <v>579</v>
      </c>
      <c r="E231" s="31">
        <f>E99-D99</f>
        <v>1526.773013</v>
      </c>
      <c r="F231" s="31">
        <f>F99-E99</f>
        <v>796.47088499999609</v>
      </c>
      <c r="G231" s="31">
        <f>G99-F99</f>
        <v>3072.7036420000059</v>
      </c>
      <c r="H231" s="31">
        <f>H99-G99</f>
        <v>2681.6992839999984</v>
      </c>
      <c r="I231" t="s">
        <v>245</v>
      </c>
    </row>
    <row r="232" spans="1:9" x14ac:dyDescent="0.3">
      <c r="A232" s="139" t="s">
        <v>587</v>
      </c>
      <c r="B232" s="141" t="s">
        <v>581</v>
      </c>
      <c r="C232" s="18"/>
      <c r="D232" s="30" t="str">
        <f>IF(OR(C99&lt;=0,D99&lt;C99),"n/m",D99/C99-1)</f>
        <v>n/m</v>
      </c>
      <c r="E232" s="29">
        <f>IF(OR(D99&lt;=0,E99&lt;D99),"n/m",E99/D99-1)</f>
        <v>0.4365317653907923</v>
      </c>
      <c r="F232" s="29">
        <f>IF(OR(E99&lt;=0,F99&lt;E99),"n/m",F99/E99-1)</f>
        <v>0.15852437439467115</v>
      </c>
      <c r="G232" s="29">
        <f>IF(OR(F99&lt;=0,G99&lt;F99),"n/m",G99/F99-1)</f>
        <v>0.52788782159832537</v>
      </c>
      <c r="H232" s="29">
        <f>IF(OR(G99&lt;=0,H99&lt;G99),"n/m",H99/G99-1)</f>
        <v>0.30153628125708454</v>
      </c>
      <c r="I232" t="s">
        <v>412</v>
      </c>
    </row>
    <row r="233" spans="1:9" x14ac:dyDescent="0.3">
      <c r="A233" s="139" t="s">
        <v>588</v>
      </c>
      <c r="B233" s="141" t="s">
        <v>578</v>
      </c>
      <c r="C233" s="18"/>
      <c r="D233" s="30" t="s">
        <v>579</v>
      </c>
      <c r="E233" s="31">
        <f>E117-D117</f>
        <v>3092.0420260000001</v>
      </c>
      <c r="F233" s="31">
        <f>F117-E117</f>
        <v>-3729.2761289999999</v>
      </c>
      <c r="G233" s="31">
        <f>G117-F117</f>
        <v>2195.0916479999996</v>
      </c>
      <c r="H233" s="31">
        <f>H117-G117</f>
        <v>2731.1151290000007</v>
      </c>
      <c r="I233" t="s">
        <v>245</v>
      </c>
    </row>
    <row r="234" spans="1:9" x14ac:dyDescent="0.3">
      <c r="A234" s="139" t="s">
        <v>589</v>
      </c>
      <c r="B234" s="141" t="s">
        <v>581</v>
      </c>
      <c r="C234" s="18"/>
      <c r="D234" s="30" t="str">
        <f>IF(OR(C117&lt;=0,D117&lt;C117),"n/m",D117/C117-1)</f>
        <v>n/m</v>
      </c>
      <c r="E234" s="29">
        <f>IF(OR(D117&lt;=0,E117&lt;D117),"n/m",E117/D117-1)</f>
        <v>0.60755553568054199</v>
      </c>
      <c r="F234" s="29" t="str">
        <f>IF(OR(E117&lt;=0,F117&lt;E117),"n/m",F117/E117-1)</f>
        <v>n/m</v>
      </c>
      <c r="G234" s="29">
        <f>IF(OR(F117&lt;=0,G117&lt;F117),"n/m",G117/F117-1)</f>
        <v>0.49304836834509325</v>
      </c>
      <c r="H234" s="29">
        <f>IF(OR(G117&lt;=0,H117&lt;G117),"n/m",H117/G117-1)</f>
        <v>0.41086864460346151</v>
      </c>
      <c r="I234" t="s">
        <v>412</v>
      </c>
    </row>
    <row r="235" spans="1:9" x14ac:dyDescent="0.3">
      <c r="A235" s="139" t="s">
        <v>590</v>
      </c>
      <c r="B235" s="141" t="s">
        <v>578</v>
      </c>
      <c r="C235" s="18"/>
      <c r="D235" s="31">
        <f>D37-C37</f>
        <v>4330.2541300000084</v>
      </c>
      <c r="E235" s="31">
        <f>E37-D37</f>
        <v>7263.7464069999914</v>
      </c>
      <c r="F235" s="31">
        <f>F37-E37</f>
        <v>6179.4077010000037</v>
      </c>
      <c r="G235" s="31">
        <f>G37-F37</f>
        <v>9313.2196519999998</v>
      </c>
      <c r="H235" s="31">
        <f>H37-G37</f>
        <v>7951.0165710000001</v>
      </c>
      <c r="I235" t="s">
        <v>245</v>
      </c>
    </row>
    <row r="236" spans="1:9" x14ac:dyDescent="0.3">
      <c r="A236" s="139" t="s">
        <v>591</v>
      </c>
      <c r="B236" s="141" t="s">
        <v>581</v>
      </c>
      <c r="C236" s="18"/>
      <c r="D236" s="29">
        <f>IF(OR(C37&lt;=0,D37&lt;C37),"n/m",D37/C37-1)</f>
        <v>0.13635732264152001</v>
      </c>
      <c r="E236" s="29">
        <f>IF(OR(D37&lt;=0,E37&lt;D37),"n/m",E37/D37-1)</f>
        <v>0.20128473468375319</v>
      </c>
      <c r="F236" s="29">
        <f>IF(OR(E37&lt;=0,F37&lt;E37),"n/m",F37/E37-1)</f>
        <v>0.14254469442632289</v>
      </c>
      <c r="G236" s="29">
        <f>IF(OR(F37&lt;=0,G37&lt;F37),"n/m",G37/F37-1)</f>
        <v>0.18803160603982083</v>
      </c>
      <c r="H236" s="29">
        <f>IF(OR(G37&lt;=0,H37&lt;G37),"n/m",H37/G37-1)</f>
        <v>0.13512187827654776</v>
      </c>
      <c r="I236" t="s">
        <v>412</v>
      </c>
    </row>
    <row r="237" spans="1:9" x14ac:dyDescent="0.3">
      <c r="A237" s="139" t="s">
        <v>592</v>
      </c>
      <c r="B237" s="141" t="s">
        <v>578</v>
      </c>
      <c r="C237" s="18"/>
      <c r="D237" s="31">
        <f>D41-C41</f>
        <v>3496.8660469999995</v>
      </c>
      <c r="E237" s="31">
        <f>E41-D41</f>
        <v>5022.6808600000004</v>
      </c>
      <c r="F237" s="31">
        <f>F41-E41</f>
        <v>5363.8247410000004</v>
      </c>
      <c r="G237" s="31">
        <f>G41-F41</f>
        <v>8480.2603190000045</v>
      </c>
      <c r="H237" s="31">
        <f>H41-G41</f>
        <v>6864.8894959999961</v>
      </c>
      <c r="I237" t="s">
        <v>245</v>
      </c>
    </row>
    <row r="238" spans="1:9" x14ac:dyDescent="0.3">
      <c r="A238" s="139" t="s">
        <v>593</v>
      </c>
      <c r="B238" s="141" t="s">
        <v>581</v>
      </c>
      <c r="C238" s="18"/>
      <c r="D238" s="29">
        <f>IF(OR(C41&lt;=0,D41&lt;C41),"n/m",D41/C41-1)</f>
        <v>0.18673183359900003</v>
      </c>
      <c r="E238" s="29">
        <f>IF(OR(D41&lt;=0,E41&lt;D41),"n/m",E41/D41-1)</f>
        <v>0.22600724286763296</v>
      </c>
      <c r="F238" s="29">
        <f>IF(OR(E41&lt;=0,F41&lt;E41),"n/m",F41/E41-1)</f>
        <v>0.19686491173910392</v>
      </c>
      <c r="G238" s="29">
        <f>IF(OR(F41&lt;=0,G41&lt;F41),"n/m",G41/F41-1)</f>
        <v>0.26005055578063208</v>
      </c>
      <c r="H238" s="29">
        <f>IF(OR(G41&lt;=0,H41&lt;G41),"n/m",H41/G41-1)</f>
        <v>0.16706834975751828</v>
      </c>
      <c r="I238" t="s">
        <v>412</v>
      </c>
    </row>
    <row r="239" spans="1:9" x14ac:dyDescent="0.3">
      <c r="A239" s="139" t="s">
        <v>594</v>
      </c>
      <c r="B239" s="141" t="s">
        <v>578</v>
      </c>
      <c r="C239" s="18"/>
      <c r="D239" s="31">
        <f>D66-C66</f>
        <v>-938.54541499999959</v>
      </c>
      <c r="E239" s="31">
        <f>E66-D66</f>
        <v>-1799.4736750000002</v>
      </c>
      <c r="F239" s="31">
        <f>F66-E66</f>
        <v>-1067.9392260000004</v>
      </c>
      <c r="G239" s="31">
        <f>G66-F66</f>
        <v>-1030.3136439999998</v>
      </c>
      <c r="H239" s="31">
        <f>H66-G66</f>
        <v>89.56194000000005</v>
      </c>
      <c r="I239" t="s">
        <v>245</v>
      </c>
    </row>
    <row r="240" spans="1:9" x14ac:dyDescent="0.3">
      <c r="A240" s="139" t="s">
        <v>595</v>
      </c>
      <c r="B240" s="141" t="s">
        <v>581</v>
      </c>
      <c r="C240" s="18"/>
      <c r="D240" s="29" t="str">
        <f>IF(OR(C66&lt;=0,D66&lt;C66),"n/m",D66/C66-1)</f>
        <v>n/m</v>
      </c>
      <c r="E240" s="29" t="str">
        <f>IF(OR(D66&lt;=0,E66&lt;D66),"n/m",E66/D66-1)</f>
        <v>n/m</v>
      </c>
      <c r="F240" s="29" t="str">
        <f>IF(OR(E66&lt;=0,F66&lt;E66),"n/m",F66/E66-1)</f>
        <v>n/m</v>
      </c>
      <c r="G240" s="29" t="str">
        <f>IF(OR(F66&lt;=0,G66&lt;F66),"n/m",G66/F66-1)</f>
        <v>n/m</v>
      </c>
      <c r="H240" s="29">
        <f>IF(OR(G66&lt;=0,H66&lt;G66),"n/m",H66/G66-1)</f>
        <v>4.1597520028525903E-2</v>
      </c>
      <c r="I240" t="s">
        <v>412</v>
      </c>
    </row>
    <row r="241" spans="1:10" x14ac:dyDescent="0.3">
      <c r="A241" s="139" t="s">
        <v>596</v>
      </c>
      <c r="B241" s="141" t="s">
        <v>578</v>
      </c>
      <c r="C241" s="18"/>
      <c r="D241" s="31">
        <f>D65-C65</f>
        <v>917.36470699999973</v>
      </c>
      <c r="E241" s="31">
        <f>E65-D65</f>
        <v>1487.4410510000007</v>
      </c>
      <c r="F241" s="31">
        <f>F65-E65</f>
        <v>1985.0048999999999</v>
      </c>
      <c r="G241" s="31">
        <f>G65-F65</f>
        <v>-76.565392000000429</v>
      </c>
      <c r="H241" s="31">
        <f>H65-G65</f>
        <v>-74.557898999999452</v>
      </c>
      <c r="I241" t="s">
        <v>245</v>
      </c>
    </row>
    <row r="242" spans="1:10" x14ac:dyDescent="0.3">
      <c r="A242" s="139" t="s">
        <v>597</v>
      </c>
      <c r="B242" s="141" t="s">
        <v>581</v>
      </c>
      <c r="C242" s="18"/>
      <c r="D242" s="29">
        <f>IF(OR(C65&lt;=0,D65&lt;C65),"n/m",D65/C65-1)</f>
        <v>0.28086771752545969</v>
      </c>
      <c r="E242" s="29">
        <f>IF(OR(D65&lt;=0,E65&lt;D65),"n/m",E65/D65-1)</f>
        <v>0.3555455769006366</v>
      </c>
      <c r="F242" s="29">
        <f>IF(OR(E65&lt;=0,F65&lt;E65),"n/m",F65/E65-1)</f>
        <v>0.35002815272127852</v>
      </c>
      <c r="G242" s="29" t="str">
        <f>IF(OR(F65&lt;=0,G65&lt;F65),"n/m",G65/F65-1)</f>
        <v>n/m</v>
      </c>
      <c r="H242" s="29" t="str">
        <f>IF(OR(G65&lt;=0,H65&lt;G65),"n/m",H65/G65-1)</f>
        <v>n/m</v>
      </c>
      <c r="I242" t="s">
        <v>412</v>
      </c>
    </row>
    <row r="243" spans="1:10" x14ac:dyDescent="0.3">
      <c r="A243" s="139" t="s">
        <v>598</v>
      </c>
      <c r="B243" s="141" t="s">
        <v>578</v>
      </c>
      <c r="C243" s="18"/>
      <c r="D243" s="31">
        <f>D32-C32</f>
        <v>489.253017</v>
      </c>
      <c r="E243" s="31">
        <f>E32-D32</f>
        <v>-67.528753999999935</v>
      </c>
      <c r="F243" s="31">
        <f>F32-E32</f>
        <v>289.51390599999991</v>
      </c>
      <c r="G243" s="31">
        <f>G32-F32</f>
        <v>904.69452700000011</v>
      </c>
      <c r="H243" s="31">
        <f>H32-G32</f>
        <v>-418.03007000000002</v>
      </c>
      <c r="I243" t="s">
        <v>245</v>
      </c>
    </row>
    <row r="244" spans="1:10" x14ac:dyDescent="0.3">
      <c r="A244" s="139" t="s">
        <v>599</v>
      </c>
      <c r="B244" s="141" t="s">
        <v>581</v>
      </c>
      <c r="C244" s="18"/>
      <c r="D244" s="29">
        <f>IF(OR(C32&lt;=0,D32&lt;C32),"n/m",D32/C32-1)</f>
        <v>0.9897591881889225</v>
      </c>
      <c r="E244" s="29" t="str">
        <f>IF(OR(D32&lt;=0,E32&lt;D32),"n/m",E32/D32-1)</f>
        <v>n/m</v>
      </c>
      <c r="F244" s="29">
        <f>IF(OR(E32&lt;=0,F32&lt;E32),"n/m",F32/E32-1)</f>
        <v>0.3160495980768705</v>
      </c>
      <c r="G244" s="29">
        <f>IF(OR(F32&lt;=0,G32&lt;F32),"n/m",G32/F32-1)</f>
        <v>0.75043921385894685</v>
      </c>
      <c r="H244" s="29" t="str">
        <f>IF(OR(G32&lt;=0,H32&lt;G32),"n/m",H32/G32-1)</f>
        <v>n/m</v>
      </c>
      <c r="I244" t="s">
        <v>412</v>
      </c>
    </row>
    <row r="245" spans="1:10" x14ac:dyDescent="0.3">
      <c r="A245" s="139" t="s">
        <v>600</v>
      </c>
      <c r="B245" s="141" t="s">
        <v>578</v>
      </c>
      <c r="C245" s="18"/>
      <c r="D245" s="31">
        <f>D34-C34</f>
        <v>306.12326399999995</v>
      </c>
      <c r="E245" s="31">
        <f>E34-D34</f>
        <v>-716.96371899999997</v>
      </c>
      <c r="F245" s="31">
        <f>F34-E34</f>
        <v>452.77156100000002</v>
      </c>
      <c r="G245" s="31">
        <f>G34-F34</f>
        <v>169.11197899999991</v>
      </c>
      <c r="H245" s="31">
        <f>H34-G34</f>
        <v>348.0535510000002</v>
      </c>
      <c r="I245" t="s">
        <v>245</v>
      </c>
    </row>
    <row r="246" spans="1:10" x14ac:dyDescent="0.3">
      <c r="A246" s="139" t="s">
        <v>601</v>
      </c>
      <c r="B246" s="141" t="s">
        <v>581</v>
      </c>
      <c r="C246" s="18"/>
      <c r="D246" s="29">
        <f>IF(OR(C34&lt;=0,D34&lt;C34),"n/m",D34/C34-1)</f>
        <v>0.34333913649021541</v>
      </c>
      <c r="E246" s="29" t="str">
        <f>IF(OR(D34&lt;=0,E34&lt;D34),"n/m",E34/D34-1)</f>
        <v>n/m</v>
      </c>
      <c r="F246" s="29">
        <f>IF(OR(E34&lt;=0,F34&lt;E34),"n/m",F34/E34-1)</f>
        <v>0.94177189645702475</v>
      </c>
      <c r="G246" s="29">
        <f>IF(OR(F34&lt;=0,G34&lt;F34),"n/m",G34/F34-1)</f>
        <v>0.18115183869272999</v>
      </c>
      <c r="H246" s="29">
        <f>IF(OR(G34&lt;=0,H34&lt;G34),"n/m",H34/G34-1)</f>
        <v>0.31565212203324466</v>
      </c>
      <c r="I246" t="s">
        <v>412</v>
      </c>
    </row>
    <row r="247" spans="1:10" x14ac:dyDescent="0.3">
      <c r="A247" s="139"/>
      <c r="B247" s="139"/>
    </row>
    <row r="248" spans="1:10" x14ac:dyDescent="0.3">
      <c r="A248" s="142" t="s">
        <v>602</v>
      </c>
      <c r="B248" s="143"/>
      <c r="C248" s="10"/>
      <c r="D248" s="10"/>
      <c r="E248" s="10"/>
      <c r="F248" s="10"/>
      <c r="G248" s="10"/>
      <c r="H248" s="10"/>
      <c r="I248" s="10"/>
      <c r="J248" s="10"/>
    </row>
    <row r="249" spans="1:10" x14ac:dyDescent="0.3">
      <c r="A249" s="139"/>
      <c r="B249" s="139"/>
    </row>
    <row r="250" spans="1:10" ht="22.05" customHeight="1" x14ac:dyDescent="0.3">
      <c r="A250" s="205" t="s">
        <v>603</v>
      </c>
      <c r="B250" s="205"/>
      <c r="C250" s="206"/>
      <c r="D250" s="206"/>
      <c r="E250" s="206"/>
      <c r="F250" s="206"/>
      <c r="G250" s="206"/>
      <c r="H250" s="206"/>
    </row>
    <row r="251" spans="1:10" x14ac:dyDescent="0.3">
      <c r="A251" s="139" t="s">
        <v>604</v>
      </c>
      <c r="B251" s="139"/>
      <c r="C251" s="93">
        <v>0</v>
      </c>
      <c r="D251" s="93">
        <v>0</v>
      </c>
      <c r="E251" s="93">
        <v>0</v>
      </c>
      <c r="F251" s="93">
        <v>0</v>
      </c>
      <c r="G251" s="93">
        <v>0</v>
      </c>
      <c r="H251" s="93">
        <v>0</v>
      </c>
    </row>
    <row r="252" spans="1:10" x14ac:dyDescent="0.3">
      <c r="A252" s="139" t="s">
        <v>605</v>
      </c>
      <c r="B252" s="139"/>
      <c r="C252" s="93">
        <v>0</v>
      </c>
      <c r="D252" s="93">
        <v>0</v>
      </c>
      <c r="E252" s="93">
        <v>0</v>
      </c>
      <c r="F252" s="93">
        <v>0</v>
      </c>
      <c r="G252" s="93">
        <v>134.93977000000001</v>
      </c>
      <c r="H252" s="93">
        <v>47.420397000000001</v>
      </c>
    </row>
    <row r="253" spans="1:10" x14ac:dyDescent="0.3">
      <c r="A253" s="139" t="s">
        <v>606</v>
      </c>
      <c r="B253" s="139"/>
      <c r="C253" s="93">
        <v>0</v>
      </c>
      <c r="D253" s="93">
        <v>0</v>
      </c>
      <c r="E253" s="93">
        <v>0</v>
      </c>
      <c r="F253" s="93">
        <v>0</v>
      </c>
      <c r="G253" s="93">
        <v>0</v>
      </c>
      <c r="H253" s="93">
        <v>0</v>
      </c>
    </row>
    <row r="254" spans="1:10" x14ac:dyDescent="0.3">
      <c r="A254" s="139" t="s">
        <v>607</v>
      </c>
      <c r="B254" s="139"/>
      <c r="C254" s="93">
        <v>187.147806</v>
      </c>
      <c r="D254" s="93">
        <v>117.088053</v>
      </c>
      <c r="E254" s="93">
        <v>43.471738000000002</v>
      </c>
      <c r="F254" s="93">
        <v>38.593713000000001</v>
      </c>
      <c r="G254" s="93">
        <v>46.432357000000003</v>
      </c>
      <c r="H254" s="93">
        <v>67.320364999999995</v>
      </c>
    </row>
    <row r="255" spans="1:10" x14ac:dyDescent="0.3">
      <c r="A255" s="139" t="s">
        <v>608</v>
      </c>
      <c r="B255" s="139"/>
      <c r="C255" s="93">
        <v>0</v>
      </c>
      <c r="D255" s="93">
        <v>0</v>
      </c>
      <c r="E255" s="93">
        <v>0</v>
      </c>
      <c r="F255" s="93">
        <v>0</v>
      </c>
      <c r="G255" s="93">
        <v>0</v>
      </c>
      <c r="H255" s="93">
        <v>0</v>
      </c>
    </row>
    <row r="256" spans="1:10" x14ac:dyDescent="0.3">
      <c r="A256" s="139" t="s">
        <v>609</v>
      </c>
      <c r="B256" s="139"/>
      <c r="C256" s="93">
        <v>0</v>
      </c>
      <c r="D256" s="93">
        <v>0</v>
      </c>
      <c r="E256" s="93">
        <v>0</v>
      </c>
      <c r="F256" s="93">
        <v>0</v>
      </c>
      <c r="G256" s="93">
        <v>0</v>
      </c>
      <c r="H256" s="93">
        <v>0</v>
      </c>
    </row>
    <row r="257" spans="1:8" x14ac:dyDescent="0.3">
      <c r="A257" s="139" t="s">
        <v>610</v>
      </c>
      <c r="B257" s="139"/>
      <c r="C257" s="93">
        <v>0</v>
      </c>
      <c r="D257" s="93">
        <v>0</v>
      </c>
      <c r="E257" s="93">
        <v>0</v>
      </c>
      <c r="F257" s="93">
        <v>0</v>
      </c>
      <c r="G257" s="93">
        <v>0</v>
      </c>
      <c r="H257" s="93">
        <v>0</v>
      </c>
    </row>
    <row r="258" spans="1:8" x14ac:dyDescent="0.3">
      <c r="A258" s="139"/>
      <c r="B258" s="139"/>
    </row>
    <row r="259" spans="1:8" x14ac:dyDescent="0.3">
      <c r="A259" s="139"/>
      <c r="B259" s="139"/>
    </row>
    <row r="260" spans="1:8" x14ac:dyDescent="0.3">
      <c r="A260" s="149" t="s">
        <v>611</v>
      </c>
      <c r="B260" s="149"/>
      <c r="C260" s="92"/>
      <c r="D260" s="92"/>
      <c r="E260" s="92"/>
      <c r="F260" s="92"/>
      <c r="G260" s="92"/>
      <c r="H260" s="92"/>
    </row>
    <row r="261" spans="1:8" x14ac:dyDescent="0.3">
      <c r="A261" s="139" t="s">
        <v>612</v>
      </c>
      <c r="B261" s="139"/>
    </row>
    <row r="262" spans="1:8" x14ac:dyDescent="0.3">
      <c r="A262" s="139"/>
      <c r="B262" s="139"/>
    </row>
    <row r="263" spans="1:8" x14ac:dyDescent="0.3">
      <c r="A263" s="139"/>
      <c r="B263" s="139"/>
    </row>
    <row r="264" spans="1:8" x14ac:dyDescent="0.3">
      <c r="A264" s="139"/>
      <c r="B264" s="139"/>
    </row>
    <row r="265" spans="1:8" x14ac:dyDescent="0.3">
      <c r="A265" s="139"/>
      <c r="B265" s="139"/>
    </row>
    <row r="266" spans="1:8" x14ac:dyDescent="0.3">
      <c r="A266" s="139"/>
      <c r="B266" s="139"/>
    </row>
    <row r="267" spans="1:8" x14ac:dyDescent="0.3">
      <c r="A267" s="139"/>
      <c r="B267" s="139"/>
    </row>
    <row r="268" spans="1:8" x14ac:dyDescent="0.3">
      <c r="A268" s="139"/>
      <c r="B268" s="139"/>
    </row>
    <row r="269" spans="1:8" x14ac:dyDescent="0.3">
      <c r="A269" s="139"/>
      <c r="B269" s="139"/>
    </row>
    <row r="270" spans="1:8" x14ac:dyDescent="0.3">
      <c r="A270" s="139"/>
      <c r="B270" s="139"/>
    </row>
    <row r="271" spans="1:8" x14ac:dyDescent="0.3">
      <c r="A271" s="139"/>
      <c r="B271" s="139"/>
    </row>
    <row r="272" spans="1:8" x14ac:dyDescent="0.3">
      <c r="A272" s="139"/>
      <c r="B272" s="139"/>
    </row>
    <row r="273" spans="1:2" x14ac:dyDescent="0.3">
      <c r="A273" s="139"/>
      <c r="B273" s="139"/>
    </row>
    <row r="274" spans="1:2" x14ac:dyDescent="0.3">
      <c r="A274" s="139"/>
      <c r="B274" s="139"/>
    </row>
    <row r="275" spans="1:2" x14ac:dyDescent="0.3">
      <c r="A275" s="139"/>
      <c r="B275" s="139"/>
    </row>
    <row r="276" spans="1:2" x14ac:dyDescent="0.3">
      <c r="A276" s="139"/>
      <c r="B276" s="139"/>
    </row>
    <row r="277" spans="1:2" x14ac:dyDescent="0.3">
      <c r="A277" s="139"/>
      <c r="B277" s="139"/>
    </row>
    <row r="278" spans="1:2" x14ac:dyDescent="0.3">
      <c r="A278" s="139"/>
      <c r="B278" s="139"/>
    </row>
    <row r="279" spans="1:2" x14ac:dyDescent="0.3">
      <c r="A279" s="139"/>
      <c r="B279" s="139"/>
    </row>
    <row r="280" spans="1:2" x14ac:dyDescent="0.3">
      <c r="A280" s="139"/>
      <c r="B280" s="139"/>
    </row>
    <row r="281" spans="1:2" x14ac:dyDescent="0.3">
      <c r="A281" s="139"/>
      <c r="B281" s="139"/>
    </row>
    <row r="282" spans="1:2" x14ac:dyDescent="0.3">
      <c r="A282" s="139"/>
      <c r="B282" s="139"/>
    </row>
    <row r="283" spans="1:2" x14ac:dyDescent="0.3">
      <c r="A283" s="139"/>
      <c r="B283" s="139"/>
    </row>
    <row r="284" spans="1:2" x14ac:dyDescent="0.3">
      <c r="A284" s="139"/>
      <c r="B284" s="139"/>
    </row>
    <row r="285" spans="1:2" x14ac:dyDescent="0.3">
      <c r="A285" s="139"/>
      <c r="B285" s="139"/>
    </row>
    <row r="286" spans="1:2" x14ac:dyDescent="0.3">
      <c r="A286" s="139"/>
      <c r="B286" s="139"/>
    </row>
    <row r="287" spans="1:2" x14ac:dyDescent="0.3">
      <c r="A287" s="139"/>
      <c r="B287" s="139"/>
    </row>
    <row r="288" spans="1:2" x14ac:dyDescent="0.3">
      <c r="A288" s="139"/>
      <c r="B288" s="139"/>
    </row>
    <row r="289" spans="1:2" x14ac:dyDescent="0.3">
      <c r="A289" s="139"/>
      <c r="B289" s="139"/>
    </row>
    <row r="290" spans="1:2" x14ac:dyDescent="0.3">
      <c r="A290" s="139"/>
      <c r="B290" s="139"/>
    </row>
    <row r="291" spans="1:2" x14ac:dyDescent="0.3">
      <c r="A291" s="139"/>
      <c r="B291" s="139"/>
    </row>
    <row r="292" spans="1:2" x14ac:dyDescent="0.3">
      <c r="A292" s="139"/>
      <c r="B292" s="139"/>
    </row>
    <row r="293" spans="1:2" x14ac:dyDescent="0.3">
      <c r="A293" s="139"/>
      <c r="B293" s="139"/>
    </row>
    <row r="294" spans="1:2" x14ac:dyDescent="0.3">
      <c r="A294" s="139"/>
      <c r="B294" s="139"/>
    </row>
    <row r="295" spans="1:2" x14ac:dyDescent="0.3">
      <c r="A295" s="139"/>
      <c r="B295" s="139"/>
    </row>
    <row r="296" spans="1:2" x14ac:dyDescent="0.3">
      <c r="A296" s="139"/>
      <c r="B296" s="139"/>
    </row>
    <row r="297" spans="1:2" x14ac:dyDescent="0.3">
      <c r="A297" s="139"/>
      <c r="B297" s="139"/>
    </row>
    <row r="298" spans="1:2" x14ac:dyDescent="0.3">
      <c r="A298" s="139"/>
      <c r="B298" s="139"/>
    </row>
    <row r="299" spans="1:2" x14ac:dyDescent="0.3">
      <c r="A299" s="139"/>
      <c r="B299" s="139"/>
    </row>
    <row r="300" spans="1:2" x14ac:dyDescent="0.3">
      <c r="A300" s="139"/>
      <c r="B300" s="139"/>
    </row>
    <row r="301" spans="1:2" x14ac:dyDescent="0.3">
      <c r="A301" s="139"/>
      <c r="B301" s="139"/>
    </row>
    <row r="302" spans="1:2" x14ac:dyDescent="0.3">
      <c r="A302" s="139"/>
      <c r="B302" s="139"/>
    </row>
    <row r="303" spans="1:2" x14ac:dyDescent="0.3">
      <c r="A303" s="139"/>
      <c r="B303" s="139"/>
    </row>
    <row r="304" spans="1:2" x14ac:dyDescent="0.3">
      <c r="A304" s="139"/>
      <c r="B304" s="139"/>
    </row>
    <row r="305" spans="1:2" x14ac:dyDescent="0.3">
      <c r="A305" s="139"/>
      <c r="B305" s="139"/>
    </row>
    <row r="306" spans="1:2" x14ac:dyDescent="0.3">
      <c r="A306" s="139"/>
      <c r="B306" s="139"/>
    </row>
    <row r="307" spans="1:2" x14ac:dyDescent="0.3">
      <c r="A307" s="139"/>
      <c r="B307" s="139"/>
    </row>
    <row r="308" spans="1:2" x14ac:dyDescent="0.3">
      <c r="A308" s="139"/>
      <c r="B308" s="139"/>
    </row>
    <row r="309" spans="1:2" x14ac:dyDescent="0.3">
      <c r="A309" s="139"/>
      <c r="B309" s="139"/>
    </row>
    <row r="310" spans="1:2" x14ac:dyDescent="0.3">
      <c r="A310" s="139"/>
      <c r="B310" s="139"/>
    </row>
    <row r="311" spans="1:2" x14ac:dyDescent="0.3">
      <c r="A311" s="139"/>
      <c r="B311" s="139"/>
    </row>
    <row r="312" spans="1:2" x14ac:dyDescent="0.3">
      <c r="A312" s="139"/>
      <c r="B312" s="139"/>
    </row>
    <row r="313" spans="1:2" x14ac:dyDescent="0.3">
      <c r="A313" s="139"/>
      <c r="B313" s="139"/>
    </row>
    <row r="314" spans="1:2" x14ac:dyDescent="0.3">
      <c r="A314" s="139"/>
      <c r="B314" s="139"/>
    </row>
    <row r="315" spans="1:2" x14ac:dyDescent="0.3">
      <c r="A315" s="139"/>
      <c r="B315" s="139"/>
    </row>
    <row r="316" spans="1:2" x14ac:dyDescent="0.3">
      <c r="A316" s="139"/>
      <c r="B316" s="139"/>
    </row>
    <row r="317" spans="1:2" x14ac:dyDescent="0.3">
      <c r="A317" s="139"/>
      <c r="B317" s="139"/>
    </row>
    <row r="318" spans="1:2" x14ac:dyDescent="0.3">
      <c r="A318" s="139"/>
      <c r="B318" s="139"/>
    </row>
    <row r="319" spans="1:2" x14ac:dyDescent="0.3">
      <c r="A319" s="139"/>
      <c r="B319" s="139"/>
    </row>
    <row r="320" spans="1:2" x14ac:dyDescent="0.3">
      <c r="A320" s="139"/>
      <c r="B320" s="139"/>
    </row>
    <row r="321" spans="1:2" x14ac:dyDescent="0.3">
      <c r="A321" s="139"/>
      <c r="B321" s="139"/>
    </row>
    <row r="322" spans="1:2" x14ac:dyDescent="0.3">
      <c r="A322" s="139"/>
      <c r="B322" s="139"/>
    </row>
    <row r="323" spans="1:2" x14ac:dyDescent="0.3">
      <c r="A323" s="139"/>
      <c r="B323" s="139"/>
    </row>
    <row r="324" spans="1:2" x14ac:dyDescent="0.3">
      <c r="A324" s="139"/>
      <c r="B324" s="139"/>
    </row>
    <row r="325" spans="1:2" x14ac:dyDescent="0.3">
      <c r="A325" s="139"/>
      <c r="B325" s="139"/>
    </row>
    <row r="326" spans="1:2" x14ac:dyDescent="0.3">
      <c r="A326" s="139"/>
      <c r="B326" s="139"/>
    </row>
    <row r="327" spans="1:2" x14ac:dyDescent="0.3">
      <c r="A327" s="139"/>
      <c r="B327" s="139"/>
    </row>
    <row r="328" spans="1:2" x14ac:dyDescent="0.3">
      <c r="A328" s="139"/>
      <c r="B328" s="139"/>
    </row>
    <row r="329" spans="1:2" x14ac:dyDescent="0.3">
      <c r="A329" s="139"/>
      <c r="B329" s="139"/>
    </row>
    <row r="330" spans="1:2" x14ac:dyDescent="0.3">
      <c r="A330" s="139"/>
      <c r="B330" s="139"/>
    </row>
    <row r="331" spans="1:2" x14ac:dyDescent="0.3">
      <c r="A331" s="139"/>
      <c r="B331" s="139"/>
    </row>
    <row r="332" spans="1:2" x14ac:dyDescent="0.3">
      <c r="A332" s="139"/>
      <c r="B332" s="139"/>
    </row>
    <row r="333" spans="1:2" x14ac:dyDescent="0.3">
      <c r="A333" s="139"/>
      <c r="B333" s="139"/>
    </row>
    <row r="334" spans="1:2" x14ac:dyDescent="0.3">
      <c r="A334" s="139"/>
      <c r="B334" s="139"/>
    </row>
    <row r="335" spans="1:2" x14ac:dyDescent="0.3">
      <c r="A335" s="139"/>
      <c r="B335" s="139"/>
    </row>
    <row r="336" spans="1:2" x14ac:dyDescent="0.3">
      <c r="A336" s="139"/>
      <c r="B336" s="139"/>
    </row>
    <row r="337" spans="1:2" x14ac:dyDescent="0.3">
      <c r="A337" s="139"/>
      <c r="B337" s="139"/>
    </row>
    <row r="338" spans="1:2" x14ac:dyDescent="0.3">
      <c r="A338" s="139"/>
      <c r="B338" s="139"/>
    </row>
    <row r="339" spans="1:2" x14ac:dyDescent="0.3">
      <c r="A339" s="139"/>
      <c r="B339" s="139"/>
    </row>
    <row r="340" spans="1:2" x14ac:dyDescent="0.3">
      <c r="A340" s="139"/>
      <c r="B340" s="139"/>
    </row>
    <row r="341" spans="1:2" x14ac:dyDescent="0.3">
      <c r="A341" s="139"/>
      <c r="B341" s="139"/>
    </row>
    <row r="342" spans="1:2" x14ac:dyDescent="0.3">
      <c r="A342" s="139"/>
      <c r="B342" s="139"/>
    </row>
    <row r="343" spans="1:2" x14ac:dyDescent="0.3">
      <c r="A343" s="139"/>
      <c r="B343" s="139"/>
    </row>
    <row r="344" spans="1:2" x14ac:dyDescent="0.3">
      <c r="A344" s="139"/>
      <c r="B344" s="139"/>
    </row>
    <row r="345" spans="1:2" x14ac:dyDescent="0.3">
      <c r="A345" s="139"/>
      <c r="B345" s="139"/>
    </row>
    <row r="346" spans="1:2" x14ac:dyDescent="0.3">
      <c r="A346" s="139"/>
      <c r="B346" s="139"/>
    </row>
    <row r="347" spans="1:2" x14ac:dyDescent="0.3">
      <c r="A347" s="139"/>
      <c r="B347" s="139"/>
    </row>
    <row r="348" spans="1:2" x14ac:dyDescent="0.3">
      <c r="A348" s="139"/>
      <c r="B348" s="139"/>
    </row>
    <row r="349" spans="1:2" x14ac:dyDescent="0.3">
      <c r="A349" s="139"/>
      <c r="B349" s="139"/>
    </row>
    <row r="350" spans="1:2" x14ac:dyDescent="0.3">
      <c r="A350" s="139"/>
      <c r="B350" s="139"/>
    </row>
    <row r="351" spans="1:2" x14ac:dyDescent="0.3">
      <c r="A351" s="139"/>
      <c r="B351" s="139"/>
    </row>
    <row r="352" spans="1:2" x14ac:dyDescent="0.3">
      <c r="A352" s="139"/>
      <c r="B352" s="139"/>
    </row>
    <row r="353" spans="1:2" x14ac:dyDescent="0.3">
      <c r="A353" s="139"/>
      <c r="B353" s="139"/>
    </row>
    <row r="354" spans="1:2" x14ac:dyDescent="0.3">
      <c r="A354" s="139"/>
      <c r="B354" s="139"/>
    </row>
    <row r="355" spans="1:2" x14ac:dyDescent="0.3">
      <c r="A355" s="139"/>
      <c r="B355" s="139"/>
    </row>
    <row r="356" spans="1:2" x14ac:dyDescent="0.3">
      <c r="A356" s="139"/>
      <c r="B356" s="139"/>
    </row>
    <row r="357" spans="1:2" x14ac:dyDescent="0.3">
      <c r="A357" s="139"/>
      <c r="B357" s="139"/>
    </row>
    <row r="358" spans="1:2" x14ac:dyDescent="0.3">
      <c r="A358" s="139"/>
      <c r="B358" s="139"/>
    </row>
    <row r="359" spans="1:2" x14ac:dyDescent="0.3">
      <c r="A359" s="139"/>
      <c r="B359" s="139"/>
    </row>
    <row r="360" spans="1:2" x14ac:dyDescent="0.3">
      <c r="A360" s="139"/>
      <c r="B360" s="139"/>
    </row>
    <row r="361" spans="1:2" x14ac:dyDescent="0.3">
      <c r="A361" s="139"/>
      <c r="B361" s="139"/>
    </row>
    <row r="362" spans="1:2" x14ac:dyDescent="0.3">
      <c r="A362" s="139"/>
      <c r="B362" s="139"/>
    </row>
    <row r="363" spans="1:2" x14ac:dyDescent="0.3">
      <c r="A363" s="139"/>
      <c r="B363" s="139"/>
    </row>
    <row r="364" spans="1:2" x14ac:dyDescent="0.3">
      <c r="A364" s="139"/>
      <c r="B364" s="139"/>
    </row>
    <row r="365" spans="1:2" x14ac:dyDescent="0.3">
      <c r="A365" s="139"/>
      <c r="B365" s="139"/>
    </row>
    <row r="366" spans="1:2" x14ac:dyDescent="0.3">
      <c r="A366" s="139"/>
      <c r="B366" s="139"/>
    </row>
    <row r="367" spans="1:2" x14ac:dyDescent="0.3">
      <c r="A367" s="139"/>
      <c r="B367" s="139"/>
    </row>
    <row r="368" spans="1:2" x14ac:dyDescent="0.3">
      <c r="A368" s="139"/>
      <c r="B368" s="139"/>
    </row>
    <row r="369" spans="1:2" x14ac:dyDescent="0.3">
      <c r="A369" s="139"/>
      <c r="B369" s="139"/>
    </row>
    <row r="370" spans="1:2" x14ac:dyDescent="0.3">
      <c r="A370" s="139"/>
      <c r="B370" s="139"/>
    </row>
    <row r="371" spans="1:2" x14ac:dyDescent="0.3">
      <c r="A371" s="139"/>
      <c r="B371" s="139"/>
    </row>
    <row r="372" spans="1:2" x14ac:dyDescent="0.3">
      <c r="A372" s="139"/>
      <c r="B372" s="139"/>
    </row>
    <row r="373" spans="1:2" x14ac:dyDescent="0.3">
      <c r="A373" s="139"/>
      <c r="B373" s="139"/>
    </row>
    <row r="374" spans="1:2" x14ac:dyDescent="0.3">
      <c r="A374" s="139"/>
      <c r="B374" s="139"/>
    </row>
    <row r="375" spans="1:2" x14ac:dyDescent="0.3">
      <c r="A375" s="139"/>
      <c r="B375" s="139"/>
    </row>
    <row r="376" spans="1:2" x14ac:dyDescent="0.3">
      <c r="A376" s="139"/>
      <c r="B376" s="139"/>
    </row>
    <row r="377" spans="1:2" x14ac:dyDescent="0.3">
      <c r="A377" s="139"/>
      <c r="B377" s="139"/>
    </row>
    <row r="378" spans="1:2" x14ac:dyDescent="0.3">
      <c r="A378" s="139"/>
      <c r="B378" s="139"/>
    </row>
    <row r="379" spans="1:2" x14ac:dyDescent="0.3">
      <c r="A379" s="139"/>
      <c r="B379" s="139"/>
    </row>
    <row r="380" spans="1:2" x14ac:dyDescent="0.3">
      <c r="A380" s="139"/>
      <c r="B380" s="139"/>
    </row>
    <row r="381" spans="1:2" x14ac:dyDescent="0.3">
      <c r="A381" s="139"/>
      <c r="B381" s="139"/>
    </row>
    <row r="382" spans="1:2" x14ac:dyDescent="0.3">
      <c r="A382" s="139"/>
      <c r="B382" s="139"/>
    </row>
    <row r="383" spans="1:2" x14ac:dyDescent="0.3">
      <c r="A383" s="139"/>
      <c r="B383" s="139"/>
    </row>
    <row r="384" spans="1:2" x14ac:dyDescent="0.3">
      <c r="A384" s="139"/>
      <c r="B384" s="139"/>
    </row>
    <row r="385" spans="1:2" x14ac:dyDescent="0.3">
      <c r="A385" s="139"/>
      <c r="B385" s="139"/>
    </row>
    <row r="386" spans="1:2" x14ac:dyDescent="0.3">
      <c r="A386" s="139"/>
      <c r="B386" s="139"/>
    </row>
    <row r="387" spans="1:2" x14ac:dyDescent="0.3">
      <c r="A387" s="139"/>
      <c r="B387" s="139"/>
    </row>
    <row r="388" spans="1:2" x14ac:dyDescent="0.3">
      <c r="A388" s="139"/>
      <c r="B388" s="139"/>
    </row>
    <row r="389" spans="1:2" x14ac:dyDescent="0.3">
      <c r="A389" s="139"/>
      <c r="B389" s="139"/>
    </row>
    <row r="390" spans="1:2" x14ac:dyDescent="0.3">
      <c r="A390" s="139"/>
      <c r="B390" s="139"/>
    </row>
    <row r="391" spans="1:2" x14ac:dyDescent="0.3">
      <c r="A391" s="139"/>
      <c r="B391" s="139"/>
    </row>
    <row r="392" spans="1:2" x14ac:dyDescent="0.3">
      <c r="A392" s="139"/>
      <c r="B392" s="139"/>
    </row>
    <row r="393" spans="1:2" x14ac:dyDescent="0.3">
      <c r="A393" s="139"/>
      <c r="B393" s="139"/>
    </row>
    <row r="394" spans="1:2" x14ac:dyDescent="0.3">
      <c r="A394" s="139"/>
      <c r="B394" s="139"/>
    </row>
    <row r="395" spans="1:2" x14ac:dyDescent="0.3">
      <c r="A395" s="139"/>
      <c r="B395" s="139"/>
    </row>
    <row r="396" spans="1:2" x14ac:dyDescent="0.3">
      <c r="A396" s="139"/>
      <c r="B396" s="139"/>
    </row>
    <row r="397" spans="1:2" x14ac:dyDescent="0.3">
      <c r="A397" s="139"/>
      <c r="B397" s="139"/>
    </row>
    <row r="398" spans="1:2" x14ac:dyDescent="0.3">
      <c r="A398" s="139"/>
      <c r="B398" s="139"/>
    </row>
    <row r="399" spans="1:2" x14ac:dyDescent="0.3">
      <c r="A399" s="139"/>
      <c r="B399" s="139"/>
    </row>
    <row r="400" spans="1:2" x14ac:dyDescent="0.3">
      <c r="A400" s="139"/>
      <c r="B400" s="139"/>
    </row>
  </sheetData>
  <mergeCells count="16">
    <mergeCell ref="B6:J6"/>
    <mergeCell ref="B7:J7"/>
    <mergeCell ref="B8:J8"/>
    <mergeCell ref="B9:J9"/>
    <mergeCell ref="B10:J10"/>
    <mergeCell ref="B11:J11"/>
    <mergeCell ref="B12:J12"/>
    <mergeCell ref="B13:J13"/>
    <mergeCell ref="B14:J14"/>
    <mergeCell ref="B15:J15"/>
    <mergeCell ref="A250:H250"/>
    <mergeCell ref="A137:H137"/>
    <mergeCell ref="A143:H143"/>
    <mergeCell ref="A154:H154"/>
    <mergeCell ref="A160:H160"/>
    <mergeCell ref="A168:H16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EA9DB"/>
  </sheetPr>
  <dimension ref="A1:J400"/>
  <sheetViews>
    <sheetView showGridLines="0" workbookViewId="0">
      <pane xSplit="2" ySplit="17" topLeftCell="C18" activePane="bottomRight" state="frozen"/>
      <selection pane="topRight"/>
      <selection pane="bottomLeft"/>
      <selection pane="bottomRight" activeCell="C18" sqref="C18"/>
    </sheetView>
  </sheetViews>
  <sheetFormatPr defaultColWidth="8.6640625" defaultRowHeight="14.4" x14ac:dyDescent="0.3"/>
  <cols>
    <col min="1" max="1" width="58" customWidth="1"/>
    <col min="2" max="2" width="46" customWidth="1"/>
    <col min="3" max="8" width="11" customWidth="1"/>
    <col min="9" max="9" width="9" customWidth="1"/>
    <col min="10" max="10" width="62" customWidth="1"/>
  </cols>
  <sheetData>
    <row r="1" spans="1:10" ht="18" x14ac:dyDescent="0.35">
      <c r="A1" s="138" t="s">
        <v>613</v>
      </c>
      <c r="B1" s="139"/>
    </row>
    <row r="2" spans="1:10" x14ac:dyDescent="0.3">
      <c r="A2" s="140" t="s">
        <v>614</v>
      </c>
      <c r="B2" s="139"/>
    </row>
    <row r="3" spans="1:10" x14ac:dyDescent="0.3">
      <c r="A3" s="141" t="s">
        <v>9355</v>
      </c>
      <c r="B3" s="139"/>
    </row>
    <row r="4" spans="1:10" x14ac:dyDescent="0.3">
      <c r="A4" s="139"/>
      <c r="B4" s="139"/>
    </row>
    <row r="5" spans="1:10" x14ac:dyDescent="0.3">
      <c r="A5" s="142" t="s">
        <v>217</v>
      </c>
      <c r="B5" s="143"/>
      <c r="C5" s="10"/>
      <c r="D5" s="10"/>
      <c r="E5" s="10"/>
      <c r="F5" s="10"/>
      <c r="G5" s="10"/>
      <c r="H5" s="10"/>
      <c r="I5" s="10"/>
      <c r="J5" s="10"/>
    </row>
    <row r="6" spans="1:10" ht="15" customHeight="1" x14ac:dyDescent="0.3">
      <c r="A6" s="144" t="s">
        <v>1</v>
      </c>
      <c r="B6" s="210" t="s">
        <v>615</v>
      </c>
      <c r="C6" s="211"/>
      <c r="D6" s="211"/>
      <c r="E6" s="211"/>
      <c r="F6" s="211"/>
      <c r="G6" s="211"/>
      <c r="H6" s="211"/>
      <c r="I6" s="211"/>
      <c r="J6" s="211"/>
    </row>
    <row r="7" spans="1:10" ht="15" customHeight="1" x14ac:dyDescent="0.3">
      <c r="A7" s="144" t="s">
        <v>219</v>
      </c>
      <c r="B7" s="210" t="s">
        <v>68</v>
      </c>
      <c r="C7" s="211"/>
      <c r="D7" s="211"/>
      <c r="E7" s="211"/>
      <c r="F7" s="211"/>
      <c r="G7" s="211"/>
      <c r="H7" s="211"/>
      <c r="I7" s="211"/>
      <c r="J7" s="211"/>
    </row>
    <row r="8" spans="1:10" ht="15" customHeight="1" x14ac:dyDescent="0.3">
      <c r="A8" s="144" t="s">
        <v>220</v>
      </c>
      <c r="B8" s="210" t="s">
        <v>616</v>
      </c>
      <c r="C8" s="211"/>
      <c r="D8" s="211"/>
      <c r="E8" s="211"/>
      <c r="F8" s="211"/>
      <c r="G8" s="211"/>
      <c r="H8" s="211"/>
      <c r="I8" s="211"/>
      <c r="J8" s="211"/>
    </row>
    <row r="9" spans="1:10" ht="15" customHeight="1" x14ac:dyDescent="0.3">
      <c r="A9" s="144" t="s">
        <v>222</v>
      </c>
      <c r="B9" s="210" t="s">
        <v>223</v>
      </c>
      <c r="C9" s="211"/>
      <c r="D9" s="211"/>
      <c r="E9" s="211"/>
      <c r="F9" s="211"/>
      <c r="G9" s="211"/>
      <c r="H9" s="211"/>
      <c r="I9" s="211"/>
      <c r="J9" s="211"/>
    </row>
    <row r="10" spans="1:10" ht="15" customHeight="1" x14ac:dyDescent="0.3">
      <c r="A10" s="144" t="s">
        <v>224</v>
      </c>
      <c r="B10" s="210" t="s">
        <v>617</v>
      </c>
      <c r="C10" s="211"/>
      <c r="D10" s="211"/>
      <c r="E10" s="211"/>
      <c r="F10" s="211"/>
      <c r="G10" s="211"/>
      <c r="H10" s="211"/>
      <c r="I10" s="211"/>
      <c r="J10" s="211"/>
    </row>
    <row r="11" spans="1:10" ht="15" customHeight="1" x14ac:dyDescent="0.3">
      <c r="A11" s="144" t="s">
        <v>226</v>
      </c>
      <c r="B11" s="210" t="s">
        <v>618</v>
      </c>
      <c r="C11" s="211"/>
      <c r="D11" s="211"/>
      <c r="E11" s="211"/>
      <c r="F11" s="211"/>
      <c r="G11" s="211"/>
      <c r="H11" s="211"/>
      <c r="I11" s="211"/>
      <c r="J11" s="211"/>
    </row>
    <row r="12" spans="1:10" ht="15" customHeight="1" x14ac:dyDescent="0.3">
      <c r="A12" s="144" t="s">
        <v>228</v>
      </c>
      <c r="B12" s="210" t="s">
        <v>619</v>
      </c>
      <c r="C12" s="211"/>
      <c r="D12" s="211"/>
      <c r="E12" s="211"/>
      <c r="F12" s="211"/>
      <c r="G12" s="211"/>
      <c r="H12" s="211"/>
      <c r="I12" s="211"/>
      <c r="J12" s="211"/>
    </row>
    <row r="13" spans="1:10" ht="27.75" customHeight="1" x14ac:dyDescent="0.3">
      <c r="A13" s="144" t="s">
        <v>230</v>
      </c>
      <c r="B13" s="210" t="s">
        <v>231</v>
      </c>
      <c r="C13" s="211"/>
      <c r="D13" s="211"/>
      <c r="E13" s="211"/>
      <c r="F13" s="211"/>
      <c r="G13" s="211"/>
      <c r="H13" s="211"/>
      <c r="I13" s="211"/>
      <c r="J13" s="211"/>
    </row>
    <row r="14" spans="1:10" ht="27.75" customHeight="1" x14ac:dyDescent="0.3">
      <c r="A14" s="144" t="s">
        <v>232</v>
      </c>
      <c r="B14" s="210" t="s">
        <v>233</v>
      </c>
      <c r="C14" s="211"/>
      <c r="D14" s="211"/>
      <c r="E14" s="211"/>
      <c r="F14" s="211"/>
      <c r="G14" s="211"/>
      <c r="H14" s="211"/>
      <c r="I14" s="211"/>
      <c r="J14" s="211"/>
    </row>
    <row r="15" spans="1:10" ht="27.75" customHeight="1" x14ac:dyDescent="0.3">
      <c r="A15" s="144" t="s">
        <v>234</v>
      </c>
      <c r="B15" s="210" t="s">
        <v>235</v>
      </c>
      <c r="C15" s="211"/>
      <c r="D15" s="211"/>
      <c r="E15" s="211"/>
      <c r="F15" s="211"/>
      <c r="G15" s="211"/>
      <c r="H15" s="211"/>
      <c r="I15" s="211"/>
      <c r="J15" s="211"/>
    </row>
    <row r="16" spans="1:10" x14ac:dyDescent="0.3">
      <c r="A16" s="139"/>
      <c r="B16" s="139"/>
    </row>
    <row r="17" spans="1:10" x14ac:dyDescent="0.3">
      <c r="A17" s="145" t="s">
        <v>236</v>
      </c>
      <c r="B17" s="145" t="s">
        <v>237</v>
      </c>
      <c r="C17" s="11" t="s">
        <v>238</v>
      </c>
      <c r="D17" s="11" t="s">
        <v>20</v>
      </c>
      <c r="E17" s="11" t="s">
        <v>26</v>
      </c>
      <c r="F17" s="11" t="s">
        <v>27</v>
      </c>
      <c r="G17" s="11" t="s">
        <v>28</v>
      </c>
      <c r="H17" s="11" t="s">
        <v>29</v>
      </c>
      <c r="I17" s="11" t="s">
        <v>239</v>
      </c>
      <c r="J17" s="11" t="s">
        <v>240</v>
      </c>
    </row>
    <row r="18" spans="1:10" x14ac:dyDescent="0.3">
      <c r="A18" s="142" t="s">
        <v>241</v>
      </c>
      <c r="B18" s="143"/>
      <c r="C18" s="10"/>
      <c r="D18" s="10"/>
      <c r="E18" s="10"/>
      <c r="F18" s="10"/>
      <c r="G18" s="10"/>
      <c r="H18" s="10"/>
      <c r="I18" s="10"/>
      <c r="J18" s="10"/>
    </row>
    <row r="19" spans="1:10" x14ac:dyDescent="0.3">
      <c r="A19" s="146" t="s">
        <v>242</v>
      </c>
      <c r="B19" s="147"/>
      <c r="C19" s="13"/>
      <c r="D19" s="13"/>
      <c r="E19" s="13"/>
      <c r="F19" s="13"/>
      <c r="G19" s="13"/>
      <c r="H19" s="13"/>
      <c r="I19" s="13"/>
      <c r="J19" s="13"/>
    </row>
    <row r="20" spans="1:10" x14ac:dyDescent="0.3">
      <c r="A20" s="139" t="s">
        <v>243</v>
      </c>
      <c r="B20" s="141" t="s">
        <v>620</v>
      </c>
      <c r="C20" s="14">
        <v>60247.57</v>
      </c>
      <c r="D20" s="14">
        <v>62389.947</v>
      </c>
      <c r="E20" s="14">
        <v>82301.05</v>
      </c>
      <c r="F20" s="14">
        <v>95620.305999999997</v>
      </c>
      <c r="G20" s="14">
        <v>107258.973</v>
      </c>
      <c r="H20" s="14">
        <v>107409.588</v>
      </c>
      <c r="I20" s="8" t="s">
        <v>245</v>
      </c>
    </row>
    <row r="21" spans="1:10" x14ac:dyDescent="0.3">
      <c r="A21" s="139" t="s">
        <v>246</v>
      </c>
      <c r="B21" s="141" t="s">
        <v>621</v>
      </c>
      <c r="C21" s="14">
        <v>334.19099999999997</v>
      </c>
      <c r="D21" s="14">
        <v>4015.0439999999999</v>
      </c>
      <c r="E21" s="14">
        <v>21911.214</v>
      </c>
      <c r="F21" s="14">
        <v>5562.1450000000004</v>
      </c>
      <c r="G21" s="14">
        <v>11633.303</v>
      </c>
      <c r="H21" s="14">
        <v>5420.7420000000002</v>
      </c>
      <c r="I21" s="8" t="s">
        <v>245</v>
      </c>
    </row>
    <row r="22" spans="1:10" x14ac:dyDescent="0.3">
      <c r="A22" s="139" t="s">
        <v>248</v>
      </c>
      <c r="B22" s="141" t="s">
        <v>249</v>
      </c>
      <c r="C22" s="15">
        <f t="shared" ref="C22:H22" si="0">C20-C21</f>
        <v>59913.379000000001</v>
      </c>
      <c r="D22" s="15">
        <f t="shared" si="0"/>
        <v>58374.902999999998</v>
      </c>
      <c r="E22" s="15">
        <f t="shared" si="0"/>
        <v>60389.836000000003</v>
      </c>
      <c r="F22" s="15">
        <f t="shared" si="0"/>
        <v>90058.160999999993</v>
      </c>
      <c r="G22" s="15">
        <f t="shared" si="0"/>
        <v>95625.67</v>
      </c>
      <c r="H22" s="15">
        <f t="shared" si="0"/>
        <v>101988.84600000001</v>
      </c>
      <c r="I22" s="8" t="s">
        <v>245</v>
      </c>
    </row>
    <row r="23" spans="1:10" x14ac:dyDescent="0.3">
      <c r="A23" s="139" t="s">
        <v>250</v>
      </c>
      <c r="B23" s="141" t="s">
        <v>622</v>
      </c>
      <c r="C23" s="14">
        <v>0</v>
      </c>
      <c r="D23" s="14">
        <v>0</v>
      </c>
      <c r="E23" s="14">
        <v>0</v>
      </c>
      <c r="F23" s="14">
        <v>0</v>
      </c>
      <c r="G23" s="14">
        <v>0</v>
      </c>
      <c r="H23" s="14">
        <v>0</v>
      </c>
      <c r="I23" s="8" t="s">
        <v>245</v>
      </c>
    </row>
    <row r="24" spans="1:10" x14ac:dyDescent="0.3">
      <c r="A24" s="139" t="s">
        <v>252</v>
      </c>
      <c r="B24" s="141" t="s">
        <v>623</v>
      </c>
      <c r="C24" s="14">
        <v>11.323</v>
      </c>
      <c r="D24" s="14">
        <v>0.67</v>
      </c>
      <c r="E24" s="14">
        <v>51.351999999999997</v>
      </c>
      <c r="F24" s="14">
        <v>85.587999999999994</v>
      </c>
      <c r="G24" s="14">
        <v>69.394000000000005</v>
      </c>
      <c r="H24" s="14">
        <v>46.228999999999999</v>
      </c>
      <c r="I24" s="8" t="s">
        <v>245</v>
      </c>
    </row>
    <row r="25" spans="1:10" x14ac:dyDescent="0.3">
      <c r="A25" s="139" t="s">
        <v>254</v>
      </c>
      <c r="B25" s="141" t="s">
        <v>624</v>
      </c>
      <c r="C25" s="14">
        <v>0</v>
      </c>
      <c r="D25" s="14">
        <v>0</v>
      </c>
      <c r="E25" s="14">
        <v>0</v>
      </c>
      <c r="F25" s="14">
        <v>0</v>
      </c>
      <c r="G25" s="14">
        <v>0</v>
      </c>
      <c r="H25" s="14">
        <v>0</v>
      </c>
      <c r="I25" s="8" t="s">
        <v>245</v>
      </c>
    </row>
    <row r="26" spans="1:10" x14ac:dyDescent="0.3">
      <c r="A26" s="139" t="s">
        <v>256</v>
      </c>
      <c r="B26" s="141" t="s">
        <v>625</v>
      </c>
      <c r="C26" s="14">
        <v>47144.485000000001</v>
      </c>
      <c r="D26" s="14">
        <v>53194.485000000001</v>
      </c>
      <c r="E26" s="14">
        <v>57594.485000000001</v>
      </c>
      <c r="F26" s="14">
        <v>57594.485000000001</v>
      </c>
      <c r="G26" s="14">
        <v>58072.373</v>
      </c>
      <c r="H26" s="14">
        <v>58555.707000000002</v>
      </c>
      <c r="I26" s="8" t="s">
        <v>245</v>
      </c>
    </row>
    <row r="27" spans="1:10" x14ac:dyDescent="0.3">
      <c r="A27" s="139" t="s">
        <v>258</v>
      </c>
      <c r="B27" s="141" t="s">
        <v>626</v>
      </c>
      <c r="C27" s="14">
        <v>90.183000000000007</v>
      </c>
      <c r="D27" s="14">
        <v>106.592</v>
      </c>
      <c r="E27" s="14">
        <v>199.79</v>
      </c>
      <c r="F27" s="14">
        <v>202.04599999999999</v>
      </c>
      <c r="G27" s="14">
        <v>165.26599999999999</v>
      </c>
      <c r="H27" s="14">
        <v>189.14699999999999</v>
      </c>
      <c r="I27" s="8" t="s">
        <v>245</v>
      </c>
    </row>
    <row r="28" spans="1:10" x14ac:dyDescent="0.3">
      <c r="A28" s="144" t="s">
        <v>260</v>
      </c>
      <c r="B28" s="141" t="s">
        <v>261</v>
      </c>
      <c r="C28" s="16">
        <f t="shared" ref="C28:H28" si="1">C20+C23+C24+C25+C26+C27</f>
        <v>107493.561</v>
      </c>
      <c r="D28" s="16">
        <f t="shared" si="1"/>
        <v>115691.694</v>
      </c>
      <c r="E28" s="16">
        <f t="shared" si="1"/>
        <v>140146.677</v>
      </c>
      <c r="F28" s="16">
        <f t="shared" si="1"/>
        <v>153502.42500000002</v>
      </c>
      <c r="G28" s="16">
        <f t="shared" si="1"/>
        <v>165566.00599999999</v>
      </c>
      <c r="H28" s="16">
        <f t="shared" si="1"/>
        <v>166200.671</v>
      </c>
      <c r="I28" s="8" t="s">
        <v>245</v>
      </c>
    </row>
    <row r="29" spans="1:10" x14ac:dyDescent="0.3">
      <c r="A29" s="146" t="s">
        <v>262</v>
      </c>
      <c r="B29" s="147"/>
      <c r="C29" s="13"/>
      <c r="D29" s="13"/>
      <c r="E29" s="13"/>
      <c r="F29" s="13"/>
      <c r="G29" s="13"/>
      <c r="H29" s="13"/>
      <c r="I29" s="13"/>
      <c r="J29" s="13"/>
    </row>
    <row r="30" spans="1:10" x14ac:dyDescent="0.3">
      <c r="A30" s="139" t="s">
        <v>263</v>
      </c>
      <c r="B30" s="141" t="s">
        <v>627</v>
      </c>
      <c r="C30" s="14">
        <v>6520.17</v>
      </c>
      <c r="D30" s="14">
        <v>10526.573</v>
      </c>
      <c r="E30" s="14">
        <v>11206.843000000001</v>
      </c>
      <c r="F30" s="14">
        <v>14084.018</v>
      </c>
      <c r="G30" s="14">
        <v>14591.821</v>
      </c>
      <c r="H30" s="14">
        <v>19895.13</v>
      </c>
      <c r="I30" s="8" t="s">
        <v>245</v>
      </c>
    </row>
    <row r="31" spans="1:10" x14ac:dyDescent="0.3">
      <c r="A31" s="139" t="s">
        <v>265</v>
      </c>
      <c r="B31" s="141" t="s">
        <v>628</v>
      </c>
      <c r="C31" s="14">
        <v>2915.5520000000001</v>
      </c>
      <c r="D31" s="14">
        <v>3105.0369999999998</v>
      </c>
      <c r="E31" s="14">
        <v>7171.3639999999996</v>
      </c>
      <c r="F31" s="14">
        <v>6048.5069999999996</v>
      </c>
      <c r="G31" s="14">
        <v>8505.4259999999995</v>
      </c>
      <c r="H31" s="14">
        <v>4774.5770000000002</v>
      </c>
      <c r="I31" s="8" t="s">
        <v>245</v>
      </c>
    </row>
    <row r="32" spans="1:10" x14ac:dyDescent="0.3">
      <c r="A32" s="139" t="s">
        <v>267</v>
      </c>
      <c r="B32" s="141" t="s">
        <v>629</v>
      </c>
      <c r="C32" s="14">
        <v>3422.7669999999998</v>
      </c>
      <c r="D32" s="14">
        <v>2710.0810000000001</v>
      </c>
      <c r="E32" s="14">
        <v>3522.931</v>
      </c>
      <c r="F32" s="14">
        <v>5089.6670000000004</v>
      </c>
      <c r="G32" s="14">
        <v>6932.4790000000003</v>
      </c>
      <c r="H32" s="14">
        <v>6353.1940000000004</v>
      </c>
      <c r="I32" s="8" t="s">
        <v>245</v>
      </c>
    </row>
    <row r="33" spans="1:10" x14ac:dyDescent="0.3">
      <c r="A33" s="139" t="s">
        <v>269</v>
      </c>
      <c r="B33" s="141" t="s">
        <v>630</v>
      </c>
      <c r="C33" s="14">
        <v>2970.9989999999998</v>
      </c>
      <c r="D33" s="14">
        <v>16227.102999999999</v>
      </c>
      <c r="E33" s="14">
        <v>12751.155000000001</v>
      </c>
      <c r="F33" s="14">
        <v>21898.495999999999</v>
      </c>
      <c r="G33" s="14">
        <v>29837.628000000001</v>
      </c>
      <c r="H33" s="14">
        <v>61298.052000000003</v>
      </c>
      <c r="I33" s="8" t="s">
        <v>245</v>
      </c>
    </row>
    <row r="34" spans="1:10" x14ac:dyDescent="0.3">
      <c r="A34" s="139" t="s">
        <v>271</v>
      </c>
      <c r="B34" s="141" t="s">
        <v>631</v>
      </c>
      <c r="C34" s="14">
        <v>7816.6059999999998</v>
      </c>
      <c r="D34" s="14">
        <v>2825.424</v>
      </c>
      <c r="E34" s="14">
        <v>3871.078</v>
      </c>
      <c r="F34" s="14">
        <v>4116.1809999999996</v>
      </c>
      <c r="G34" s="14">
        <v>2567.1759999999999</v>
      </c>
      <c r="H34" s="14">
        <v>2790.3229999999999</v>
      </c>
      <c r="I34" s="8" t="s">
        <v>245</v>
      </c>
    </row>
    <row r="35" spans="1:10" x14ac:dyDescent="0.3">
      <c r="A35" s="139" t="s">
        <v>273</v>
      </c>
      <c r="B35" s="141" t="s">
        <v>632</v>
      </c>
      <c r="C35" s="14">
        <v>4728.8190000000004</v>
      </c>
      <c r="D35" s="14">
        <v>5282.15</v>
      </c>
      <c r="E35" s="14">
        <v>6292.32</v>
      </c>
      <c r="F35" s="14">
        <v>8339.7729999999992</v>
      </c>
      <c r="G35" s="14">
        <v>6017.5540000000001</v>
      </c>
      <c r="H35" s="14">
        <v>5436.0829999999996</v>
      </c>
      <c r="I35" s="8" t="s">
        <v>245</v>
      </c>
    </row>
    <row r="36" spans="1:10" x14ac:dyDescent="0.3">
      <c r="A36" s="144" t="s">
        <v>275</v>
      </c>
      <c r="B36" s="141" t="s">
        <v>276</v>
      </c>
      <c r="C36" s="16">
        <f t="shared" ref="C36:H36" si="2">C30+C31+C32+C33+C34+C35</f>
        <v>28374.912999999997</v>
      </c>
      <c r="D36" s="16">
        <f t="shared" si="2"/>
        <v>40676.368000000002</v>
      </c>
      <c r="E36" s="16">
        <f t="shared" si="2"/>
        <v>44815.691000000006</v>
      </c>
      <c r="F36" s="16">
        <f t="shared" si="2"/>
        <v>59576.642</v>
      </c>
      <c r="G36" s="16">
        <f t="shared" si="2"/>
        <v>68452.084000000003</v>
      </c>
      <c r="H36" s="16">
        <f t="shared" si="2"/>
        <v>100547.35900000001</v>
      </c>
      <c r="I36" s="8" t="s">
        <v>245</v>
      </c>
    </row>
    <row r="37" spans="1:10" x14ac:dyDescent="0.3">
      <c r="A37" s="144" t="s">
        <v>277</v>
      </c>
      <c r="B37" s="141" t="s">
        <v>278</v>
      </c>
      <c r="C37" s="16">
        <f t="shared" ref="C37:H37" si="3">C28+C36</f>
        <v>135868.47399999999</v>
      </c>
      <c r="D37" s="16">
        <f t="shared" si="3"/>
        <v>156368.06200000001</v>
      </c>
      <c r="E37" s="16">
        <f t="shared" si="3"/>
        <v>184962.36800000002</v>
      </c>
      <c r="F37" s="16">
        <f t="shared" si="3"/>
        <v>213079.06700000001</v>
      </c>
      <c r="G37" s="16">
        <f t="shared" si="3"/>
        <v>234018.09</v>
      </c>
      <c r="H37" s="16">
        <f t="shared" si="3"/>
        <v>266748.03000000003</v>
      </c>
      <c r="I37" s="8" t="s">
        <v>245</v>
      </c>
    </row>
    <row r="38" spans="1:10" x14ac:dyDescent="0.3">
      <c r="A38" s="146" t="s">
        <v>279</v>
      </c>
      <c r="B38" s="147"/>
      <c r="C38" s="13"/>
      <c r="D38" s="13"/>
      <c r="E38" s="13"/>
      <c r="F38" s="13"/>
      <c r="G38" s="13"/>
      <c r="H38" s="13"/>
      <c r="I38" s="13"/>
      <c r="J38" s="13"/>
    </row>
    <row r="39" spans="1:10" x14ac:dyDescent="0.3">
      <c r="A39" s="139" t="s">
        <v>280</v>
      </c>
      <c r="B39" s="141" t="s">
        <v>633</v>
      </c>
      <c r="C39" s="14">
        <v>3233.75</v>
      </c>
      <c r="D39" s="14">
        <v>3233.75</v>
      </c>
      <c r="E39" s="14">
        <v>3233.75</v>
      </c>
      <c r="F39" s="14">
        <v>3118.386</v>
      </c>
      <c r="G39" s="14">
        <v>2930</v>
      </c>
      <c r="H39" s="14">
        <v>2930</v>
      </c>
      <c r="I39" s="8" t="s">
        <v>245</v>
      </c>
    </row>
    <row r="40" spans="1:10" x14ac:dyDescent="0.3">
      <c r="A40" s="139" t="s">
        <v>282</v>
      </c>
      <c r="B40" s="141" t="s">
        <v>634</v>
      </c>
      <c r="C40" s="14">
        <v>95950.111000000004</v>
      </c>
      <c r="D40" s="14">
        <v>109966.508</v>
      </c>
      <c r="E40" s="14">
        <v>125306.57399999999</v>
      </c>
      <c r="F40" s="14">
        <v>134247.94</v>
      </c>
      <c r="G40" s="14">
        <v>144831.277</v>
      </c>
      <c r="H40" s="14">
        <v>172980.4</v>
      </c>
      <c r="I40" s="8" t="s">
        <v>245</v>
      </c>
    </row>
    <row r="41" spans="1:10" x14ac:dyDescent="0.3">
      <c r="A41" s="144" t="s">
        <v>284</v>
      </c>
      <c r="B41" s="141" t="s">
        <v>285</v>
      </c>
      <c r="C41" s="16">
        <f t="shared" ref="C41:H41" si="4">C39+C40</f>
        <v>99183.861000000004</v>
      </c>
      <c r="D41" s="16">
        <f t="shared" si="4"/>
        <v>113200.258</v>
      </c>
      <c r="E41" s="16">
        <f t="shared" si="4"/>
        <v>128540.32399999999</v>
      </c>
      <c r="F41" s="16">
        <f t="shared" si="4"/>
        <v>137366.326</v>
      </c>
      <c r="G41" s="16">
        <f t="shared" si="4"/>
        <v>147761.277</v>
      </c>
      <c r="H41" s="16">
        <f t="shared" si="4"/>
        <v>175910.39999999999</v>
      </c>
      <c r="I41" s="8" t="s">
        <v>245</v>
      </c>
    </row>
    <row r="42" spans="1:10" x14ac:dyDescent="0.3">
      <c r="A42" s="146" t="s">
        <v>286</v>
      </c>
      <c r="B42" s="147"/>
      <c r="C42" s="13"/>
      <c r="D42" s="13"/>
      <c r="E42" s="13"/>
      <c r="F42" s="13"/>
      <c r="G42" s="13"/>
      <c r="H42" s="13"/>
      <c r="I42" s="13"/>
      <c r="J42" s="13"/>
    </row>
    <row r="43" spans="1:10" x14ac:dyDescent="0.3">
      <c r="A43" s="139" t="s">
        <v>287</v>
      </c>
      <c r="B43" s="141" t="s">
        <v>635</v>
      </c>
      <c r="C43" s="14">
        <v>320.46100000000001</v>
      </c>
      <c r="D43" s="14">
        <v>2934.0439999999999</v>
      </c>
      <c r="E43" s="14">
        <v>14108.446</v>
      </c>
      <c r="F43" s="14">
        <v>14557.294</v>
      </c>
      <c r="G43" s="14">
        <v>12760.637000000001</v>
      </c>
      <c r="H43" s="14">
        <v>9184.5220000000008</v>
      </c>
      <c r="I43" s="8" t="s">
        <v>245</v>
      </c>
    </row>
    <row r="44" spans="1:10" x14ac:dyDescent="0.3">
      <c r="A44" s="139" t="s">
        <v>289</v>
      </c>
      <c r="B44" s="141" t="s">
        <v>636</v>
      </c>
      <c r="C44" s="14">
        <v>0</v>
      </c>
      <c r="D44" s="14">
        <v>0</v>
      </c>
      <c r="E44" s="14">
        <v>0</v>
      </c>
      <c r="F44" s="14">
        <v>0</v>
      </c>
      <c r="G44" s="14">
        <v>0</v>
      </c>
      <c r="H44" s="14">
        <v>0</v>
      </c>
      <c r="I44" s="8" t="s">
        <v>245</v>
      </c>
    </row>
    <row r="45" spans="1:10" x14ac:dyDescent="0.3">
      <c r="A45" s="139" t="s">
        <v>291</v>
      </c>
      <c r="B45" s="141" t="s">
        <v>637</v>
      </c>
      <c r="C45" s="14">
        <v>59.72</v>
      </c>
      <c r="D45" s="14">
        <v>1107.94</v>
      </c>
      <c r="E45" s="14">
        <v>2164.4549999999999</v>
      </c>
      <c r="F45" s="14">
        <v>2121.3069999999998</v>
      </c>
      <c r="G45" s="14">
        <v>1766.0550000000001</v>
      </c>
      <c r="H45" s="14">
        <v>1382.6510000000001</v>
      </c>
      <c r="I45" s="8" t="s">
        <v>245</v>
      </c>
    </row>
    <row r="46" spans="1:10" x14ac:dyDescent="0.3">
      <c r="A46" s="139" t="s">
        <v>293</v>
      </c>
      <c r="B46" s="141" t="s">
        <v>638</v>
      </c>
      <c r="C46" s="14">
        <v>5167.1610000000001</v>
      </c>
      <c r="D46" s="14">
        <v>6157.2240000000002</v>
      </c>
      <c r="E46" s="14">
        <v>6941.1719999999996</v>
      </c>
      <c r="F46" s="14">
        <v>10025.499</v>
      </c>
      <c r="G46" s="14">
        <v>0</v>
      </c>
      <c r="H46" s="14">
        <v>0</v>
      </c>
      <c r="I46" s="8" t="s">
        <v>245</v>
      </c>
    </row>
    <row r="47" spans="1:10" x14ac:dyDescent="0.3">
      <c r="A47" s="139" t="s">
        <v>295</v>
      </c>
      <c r="B47" s="141" t="s">
        <v>639</v>
      </c>
      <c r="C47" s="14">
        <v>2181.5189999999998</v>
      </c>
      <c r="D47" s="14">
        <v>2581.5300000000002</v>
      </c>
      <c r="E47" s="14">
        <v>2846.6129999999998</v>
      </c>
      <c r="F47" s="14">
        <v>2827.7620000000002</v>
      </c>
      <c r="G47" s="14">
        <v>17541.648000000001</v>
      </c>
      <c r="H47" s="14">
        <v>21629.074000000001</v>
      </c>
      <c r="I47" s="8" t="s">
        <v>245</v>
      </c>
    </row>
    <row r="48" spans="1:10" x14ac:dyDescent="0.3">
      <c r="A48" s="144" t="s">
        <v>297</v>
      </c>
      <c r="B48" s="141" t="s">
        <v>298</v>
      </c>
      <c r="C48" s="16">
        <f t="shared" ref="C48:H48" si="5">C43+C44+C45+C46+C47</f>
        <v>7728.8610000000008</v>
      </c>
      <c r="D48" s="16">
        <f t="shared" si="5"/>
        <v>12780.738000000001</v>
      </c>
      <c r="E48" s="16">
        <f t="shared" si="5"/>
        <v>26060.686000000002</v>
      </c>
      <c r="F48" s="16">
        <f t="shared" si="5"/>
        <v>29531.861999999997</v>
      </c>
      <c r="G48" s="16">
        <f t="shared" si="5"/>
        <v>32068.340000000004</v>
      </c>
      <c r="H48" s="16">
        <f t="shared" si="5"/>
        <v>32196.247000000003</v>
      </c>
      <c r="I48" s="8" t="s">
        <v>245</v>
      </c>
    </row>
    <row r="49" spans="1:10" x14ac:dyDescent="0.3">
      <c r="A49" s="146" t="s">
        <v>299</v>
      </c>
      <c r="B49" s="147"/>
      <c r="C49" s="13"/>
      <c r="D49" s="13"/>
      <c r="E49" s="13"/>
      <c r="F49" s="13"/>
      <c r="G49" s="13"/>
      <c r="H49" s="13"/>
      <c r="I49" s="13"/>
      <c r="J49" s="13"/>
    </row>
    <row r="50" spans="1:10" x14ac:dyDescent="0.3">
      <c r="A50" s="139" t="s">
        <v>300</v>
      </c>
      <c r="B50" s="141" t="s">
        <v>640</v>
      </c>
      <c r="C50" s="14">
        <v>19354.794000000002</v>
      </c>
      <c r="D50" s="14">
        <v>20789.759999999998</v>
      </c>
      <c r="E50" s="14">
        <v>23191.483</v>
      </c>
      <c r="F50" s="14">
        <v>29918.702000000001</v>
      </c>
      <c r="G50" s="14">
        <v>30006.625</v>
      </c>
      <c r="H50" s="14">
        <v>27300.919000000002</v>
      </c>
      <c r="I50" s="8" t="s">
        <v>245</v>
      </c>
    </row>
    <row r="51" spans="1:10" x14ac:dyDescent="0.3">
      <c r="A51" s="139" t="s">
        <v>302</v>
      </c>
      <c r="B51" s="141" t="s">
        <v>641</v>
      </c>
      <c r="C51" s="14">
        <v>2599.29</v>
      </c>
      <c r="D51" s="14">
        <v>2882.4340000000002</v>
      </c>
      <c r="E51" s="14">
        <v>3352.998</v>
      </c>
      <c r="F51" s="14">
        <v>5030.5460000000003</v>
      </c>
      <c r="G51" s="14">
        <v>7172.1440000000002</v>
      </c>
      <c r="H51" s="14">
        <v>6426.9750000000004</v>
      </c>
      <c r="I51" s="8" t="s">
        <v>245</v>
      </c>
    </row>
    <row r="52" spans="1:10" x14ac:dyDescent="0.3">
      <c r="A52" s="139" t="s">
        <v>304</v>
      </c>
      <c r="B52" s="141" t="s">
        <v>642</v>
      </c>
      <c r="C52" s="14">
        <v>0</v>
      </c>
      <c r="D52" s="14">
        <v>0</v>
      </c>
      <c r="E52" s="14">
        <v>0</v>
      </c>
      <c r="F52" s="14">
        <v>0</v>
      </c>
      <c r="G52" s="14">
        <v>0</v>
      </c>
      <c r="H52" s="14">
        <v>0</v>
      </c>
      <c r="I52" s="8" t="s">
        <v>245</v>
      </c>
    </row>
    <row r="53" spans="1:10" x14ac:dyDescent="0.3">
      <c r="A53" s="139" t="s">
        <v>306</v>
      </c>
      <c r="B53" s="141" t="s">
        <v>643</v>
      </c>
      <c r="C53" s="14">
        <v>46.173000000000002</v>
      </c>
      <c r="D53" s="14">
        <v>70.867999999999995</v>
      </c>
      <c r="E53" s="14">
        <v>135.452</v>
      </c>
      <c r="F53" s="14">
        <v>497.745</v>
      </c>
      <c r="G53" s="14">
        <v>342.935</v>
      </c>
      <c r="H53" s="14">
        <v>185.61600000000001</v>
      </c>
      <c r="I53" s="8" t="s">
        <v>245</v>
      </c>
    </row>
    <row r="54" spans="1:10" x14ac:dyDescent="0.3">
      <c r="A54" s="139" t="s">
        <v>308</v>
      </c>
      <c r="B54" s="141" t="s">
        <v>644</v>
      </c>
      <c r="C54" s="14">
        <v>7931.4440000000004</v>
      </c>
      <c r="D54" s="14">
        <v>7050</v>
      </c>
      <c r="E54" s="14">
        <v>1000</v>
      </c>
      <c r="F54" s="14">
        <v>5885</v>
      </c>
      <c r="G54" s="14">
        <v>5485</v>
      </c>
      <c r="H54" s="14">
        <v>6485</v>
      </c>
      <c r="I54" s="8" t="s">
        <v>245</v>
      </c>
    </row>
    <row r="55" spans="1:10" x14ac:dyDescent="0.3">
      <c r="A55" s="139" t="s">
        <v>310</v>
      </c>
      <c r="B55" s="141" t="s">
        <v>645</v>
      </c>
      <c r="C55" s="14">
        <v>126.727</v>
      </c>
      <c r="D55" s="14">
        <v>506.90800000000002</v>
      </c>
      <c r="E55" s="14">
        <v>487.202</v>
      </c>
      <c r="F55" s="14">
        <v>599.65300000000002</v>
      </c>
      <c r="G55" s="14">
        <v>2099.1469999999999</v>
      </c>
      <c r="H55" s="14">
        <v>1866.085</v>
      </c>
      <c r="I55" s="8" t="s">
        <v>245</v>
      </c>
    </row>
    <row r="56" spans="1:10" x14ac:dyDescent="0.3">
      <c r="A56" s="139" t="s">
        <v>312</v>
      </c>
      <c r="B56" s="141" t="s">
        <v>646</v>
      </c>
      <c r="C56" s="14">
        <v>0</v>
      </c>
      <c r="D56" s="14">
        <v>0</v>
      </c>
      <c r="E56" s="14">
        <v>0</v>
      </c>
      <c r="F56" s="14">
        <v>0</v>
      </c>
      <c r="G56" s="14">
        <v>0</v>
      </c>
      <c r="H56" s="14">
        <v>0</v>
      </c>
      <c r="I56" s="8" t="s">
        <v>245</v>
      </c>
    </row>
    <row r="57" spans="1:10" x14ac:dyDescent="0.3">
      <c r="A57" s="139" t="s">
        <v>314</v>
      </c>
      <c r="B57" s="141" t="s">
        <v>647</v>
      </c>
      <c r="C57" s="14">
        <v>0</v>
      </c>
      <c r="D57" s="14">
        <v>0</v>
      </c>
      <c r="E57" s="14">
        <v>0</v>
      </c>
      <c r="F57" s="14">
        <v>0</v>
      </c>
      <c r="G57" s="14">
        <v>0</v>
      </c>
      <c r="H57" s="14">
        <v>0</v>
      </c>
      <c r="I57" s="8" t="s">
        <v>245</v>
      </c>
    </row>
    <row r="58" spans="1:10" x14ac:dyDescent="0.3">
      <c r="A58" s="139" t="s">
        <v>316</v>
      </c>
      <c r="B58" s="141" t="s">
        <v>648</v>
      </c>
      <c r="C58" s="14">
        <v>73.346999999999994</v>
      </c>
      <c r="D58" s="14">
        <v>53.457999999999998</v>
      </c>
      <c r="E58" s="14">
        <v>51.03</v>
      </c>
      <c r="F58" s="14">
        <v>50.115000000000002</v>
      </c>
      <c r="G58" s="14">
        <v>59.148000000000003</v>
      </c>
      <c r="H58" s="14">
        <v>65.745000000000005</v>
      </c>
      <c r="I58" s="8" t="s">
        <v>245</v>
      </c>
    </row>
    <row r="59" spans="1:10" x14ac:dyDescent="0.3">
      <c r="A59" s="139" t="s">
        <v>318</v>
      </c>
      <c r="B59" s="141" t="s">
        <v>649</v>
      </c>
      <c r="C59" s="14">
        <v>1422.867</v>
      </c>
      <c r="D59" s="14">
        <v>1916.0719999999999</v>
      </c>
      <c r="E59" s="14">
        <v>5496.1909999999998</v>
      </c>
      <c r="F59" s="14">
        <v>9229.6640000000007</v>
      </c>
      <c r="G59" s="14">
        <v>16195.618</v>
      </c>
      <c r="H59" s="14">
        <v>22738.018</v>
      </c>
      <c r="I59" s="8" t="s">
        <v>245</v>
      </c>
    </row>
    <row r="60" spans="1:10" x14ac:dyDescent="0.3">
      <c r="A60" s="139" t="s">
        <v>320</v>
      </c>
      <c r="B60" s="141" t="s">
        <v>650</v>
      </c>
      <c r="C60" s="14">
        <v>0</v>
      </c>
      <c r="D60" s="14">
        <v>0</v>
      </c>
      <c r="E60" s="14">
        <v>0</v>
      </c>
      <c r="F60" s="14">
        <v>0</v>
      </c>
      <c r="G60" s="14">
        <v>0</v>
      </c>
      <c r="H60" s="14">
        <v>0</v>
      </c>
      <c r="I60" s="8" t="s">
        <v>245</v>
      </c>
    </row>
    <row r="61" spans="1:10" x14ac:dyDescent="0.3">
      <c r="A61" s="144" t="s">
        <v>322</v>
      </c>
      <c r="B61" s="141" t="s">
        <v>323</v>
      </c>
      <c r="C61" s="16">
        <f t="shared" ref="C61:H61" si="6">C50+C52+C53+C54+C55+C56+C57+C58+C59+C60</f>
        <v>28955.351999999999</v>
      </c>
      <c r="D61" s="16">
        <f t="shared" si="6"/>
        <v>30387.065999999995</v>
      </c>
      <c r="E61" s="16">
        <f t="shared" si="6"/>
        <v>30361.358</v>
      </c>
      <c r="F61" s="16">
        <f t="shared" si="6"/>
        <v>46180.879000000001</v>
      </c>
      <c r="G61" s="16">
        <f t="shared" si="6"/>
        <v>54188.472999999998</v>
      </c>
      <c r="H61" s="16">
        <f t="shared" si="6"/>
        <v>58641.383000000002</v>
      </c>
      <c r="I61" s="8" t="s">
        <v>245</v>
      </c>
      <c r="J61" s="8" t="s">
        <v>324</v>
      </c>
    </row>
    <row r="62" spans="1:10" x14ac:dyDescent="0.3">
      <c r="A62" s="144" t="s">
        <v>325</v>
      </c>
      <c r="B62" s="141" t="s">
        <v>326</v>
      </c>
      <c r="C62" s="16">
        <f t="shared" ref="C62:H62" si="7">C48+C61</f>
        <v>36684.213000000003</v>
      </c>
      <c r="D62" s="16">
        <f t="shared" si="7"/>
        <v>43167.803999999996</v>
      </c>
      <c r="E62" s="16">
        <f t="shared" si="7"/>
        <v>56422.044000000002</v>
      </c>
      <c r="F62" s="16">
        <f t="shared" si="7"/>
        <v>75712.740999999995</v>
      </c>
      <c r="G62" s="16">
        <f t="shared" si="7"/>
        <v>86256.812999999995</v>
      </c>
      <c r="H62" s="16">
        <f t="shared" si="7"/>
        <v>90837.63</v>
      </c>
      <c r="I62" s="8" t="s">
        <v>245</v>
      </c>
    </row>
    <row r="63" spans="1:10" x14ac:dyDescent="0.3">
      <c r="A63" s="144" t="s">
        <v>327</v>
      </c>
      <c r="B63" s="141" t="s">
        <v>328</v>
      </c>
      <c r="C63" s="16">
        <f t="shared" ref="C63:H63" si="8">C41+C62</f>
        <v>135868.07400000002</v>
      </c>
      <c r="D63" s="16">
        <f t="shared" si="8"/>
        <v>156368.06200000001</v>
      </c>
      <c r="E63" s="16">
        <f t="shared" si="8"/>
        <v>184962.36799999999</v>
      </c>
      <c r="F63" s="16">
        <f t="shared" si="8"/>
        <v>213079.06699999998</v>
      </c>
      <c r="G63" s="16">
        <f t="shared" si="8"/>
        <v>234018.09</v>
      </c>
      <c r="H63" s="16">
        <f t="shared" si="8"/>
        <v>266748.03000000003</v>
      </c>
      <c r="I63" s="8" t="s">
        <v>245</v>
      </c>
    </row>
    <row r="64" spans="1:10" x14ac:dyDescent="0.3">
      <c r="A64" s="146" t="s">
        <v>329</v>
      </c>
      <c r="B64" s="147"/>
      <c r="C64" s="13"/>
      <c r="D64" s="13"/>
      <c r="E64" s="13"/>
      <c r="F64" s="13"/>
      <c r="G64" s="13"/>
      <c r="H64" s="13"/>
      <c r="I64" s="13"/>
      <c r="J64" s="13"/>
    </row>
    <row r="65" spans="1:10" x14ac:dyDescent="0.3">
      <c r="A65" s="139" t="s">
        <v>330</v>
      </c>
      <c r="B65" s="141" t="s">
        <v>331</v>
      </c>
      <c r="C65" s="15">
        <f t="shared" ref="C65:H65" si="9">C30+C31</f>
        <v>9435.7219999999998</v>
      </c>
      <c r="D65" s="15">
        <f t="shared" si="9"/>
        <v>13631.61</v>
      </c>
      <c r="E65" s="15">
        <f t="shared" si="9"/>
        <v>18378.207000000002</v>
      </c>
      <c r="F65" s="15">
        <f t="shared" si="9"/>
        <v>20132.525000000001</v>
      </c>
      <c r="G65" s="15">
        <f t="shared" si="9"/>
        <v>23097.246999999999</v>
      </c>
      <c r="H65" s="15">
        <f t="shared" si="9"/>
        <v>24669.707000000002</v>
      </c>
      <c r="I65" s="8" t="s">
        <v>245</v>
      </c>
    </row>
    <row r="66" spans="1:10" x14ac:dyDescent="0.3">
      <c r="A66" s="139" t="s">
        <v>332</v>
      </c>
      <c r="B66" s="141" t="s">
        <v>333</v>
      </c>
      <c r="C66" s="15">
        <f t="shared" ref="C66:H66" si="10">C43+C44+C54+C55+C56-C251-C252</f>
        <v>8378.6320000000014</v>
      </c>
      <c r="D66" s="15">
        <f t="shared" si="10"/>
        <v>10490.951999999999</v>
      </c>
      <c r="E66" s="15">
        <f t="shared" si="10"/>
        <v>15595.647999999999</v>
      </c>
      <c r="F66" s="15">
        <f t="shared" si="10"/>
        <v>21041.947</v>
      </c>
      <c r="G66" s="15">
        <f t="shared" si="10"/>
        <v>20344.784000000003</v>
      </c>
      <c r="H66" s="15">
        <f t="shared" si="10"/>
        <v>17535.607</v>
      </c>
      <c r="I66" s="8" t="s">
        <v>245</v>
      </c>
    </row>
    <row r="67" spans="1:10" x14ac:dyDescent="0.3">
      <c r="A67" s="139" t="s">
        <v>334</v>
      </c>
      <c r="B67" s="141" t="s">
        <v>335</v>
      </c>
      <c r="C67" s="15">
        <f t="shared" ref="C67:H67" si="11">C43+C44</f>
        <v>320.46100000000001</v>
      </c>
      <c r="D67" s="15">
        <f t="shared" si="11"/>
        <v>2934.0439999999999</v>
      </c>
      <c r="E67" s="15">
        <f t="shared" si="11"/>
        <v>14108.446</v>
      </c>
      <c r="F67" s="15">
        <f t="shared" si="11"/>
        <v>14557.294</v>
      </c>
      <c r="G67" s="15">
        <f t="shared" si="11"/>
        <v>12760.637000000001</v>
      </c>
      <c r="H67" s="15">
        <f t="shared" si="11"/>
        <v>9184.5220000000008</v>
      </c>
      <c r="I67" s="8" t="s">
        <v>245</v>
      </c>
    </row>
    <row r="68" spans="1:10" x14ac:dyDescent="0.3">
      <c r="A68" s="139"/>
      <c r="B68" s="141"/>
      <c r="C68" s="15"/>
      <c r="D68" s="15"/>
      <c r="E68" s="15"/>
      <c r="F68" s="15"/>
      <c r="G68" s="15"/>
      <c r="H68" s="15"/>
      <c r="I68" s="8" t="s">
        <v>245</v>
      </c>
    </row>
    <row r="69" spans="1:10" x14ac:dyDescent="0.3">
      <c r="A69" s="139"/>
      <c r="B69" s="141"/>
      <c r="C69" s="15"/>
      <c r="D69" s="15"/>
      <c r="E69" s="15"/>
      <c r="F69" s="15"/>
      <c r="G69" s="15"/>
      <c r="H69" s="15"/>
      <c r="I69" s="8" t="s">
        <v>245</v>
      </c>
    </row>
    <row r="70" spans="1:10" x14ac:dyDescent="0.3">
      <c r="A70" s="139" t="s">
        <v>336</v>
      </c>
      <c r="B70" s="141" t="s">
        <v>337</v>
      </c>
      <c r="C70" s="15">
        <f t="shared" ref="C70:H70" si="12">C66+C41</f>
        <v>107562.493</v>
      </c>
      <c r="D70" s="15">
        <f t="shared" si="12"/>
        <v>123691.21</v>
      </c>
      <c r="E70" s="15">
        <f t="shared" si="12"/>
        <v>144135.97199999998</v>
      </c>
      <c r="F70" s="15">
        <f t="shared" si="12"/>
        <v>158408.27299999999</v>
      </c>
      <c r="G70" s="15">
        <f t="shared" si="12"/>
        <v>168106.06100000002</v>
      </c>
      <c r="H70" s="15">
        <f t="shared" si="12"/>
        <v>193446.00699999998</v>
      </c>
      <c r="I70" s="8" t="s">
        <v>245</v>
      </c>
    </row>
    <row r="71" spans="1:10" x14ac:dyDescent="0.3">
      <c r="A71" s="139" t="s">
        <v>338</v>
      </c>
      <c r="B71" s="141" t="s">
        <v>339</v>
      </c>
      <c r="C71" s="15">
        <f t="shared" ref="C71:H71" si="13">C37-C61</f>
        <v>106913.12199999999</v>
      </c>
      <c r="D71" s="15">
        <f t="shared" si="13"/>
        <v>125980.99600000001</v>
      </c>
      <c r="E71" s="15">
        <f t="shared" si="13"/>
        <v>154601.01</v>
      </c>
      <c r="F71" s="15">
        <f t="shared" si="13"/>
        <v>166898.18800000002</v>
      </c>
      <c r="G71" s="15">
        <f t="shared" si="13"/>
        <v>179829.617</v>
      </c>
      <c r="H71" s="15">
        <f t="shared" si="13"/>
        <v>208106.64700000003</v>
      </c>
      <c r="I71" s="8" t="s">
        <v>245</v>
      </c>
    </row>
    <row r="72" spans="1:10" x14ac:dyDescent="0.3">
      <c r="A72" s="139" t="s">
        <v>340</v>
      </c>
      <c r="B72" s="141" t="s">
        <v>341</v>
      </c>
      <c r="C72" s="15">
        <f t="shared" ref="C72:H72" si="14">C36-C34-C33</f>
        <v>17587.307999999997</v>
      </c>
      <c r="D72" s="15">
        <f t="shared" si="14"/>
        <v>21623.841000000004</v>
      </c>
      <c r="E72" s="15">
        <f t="shared" si="14"/>
        <v>28193.458000000006</v>
      </c>
      <c r="F72" s="15">
        <f t="shared" si="14"/>
        <v>33561.965000000004</v>
      </c>
      <c r="G72" s="15">
        <f t="shared" si="14"/>
        <v>36047.279999999999</v>
      </c>
      <c r="H72" s="15">
        <f t="shared" si="14"/>
        <v>36458.984000000004</v>
      </c>
      <c r="I72" s="8" t="s">
        <v>245</v>
      </c>
    </row>
    <row r="73" spans="1:10" x14ac:dyDescent="0.3">
      <c r="A73" s="139" t="s">
        <v>342</v>
      </c>
      <c r="B73" s="141" t="s">
        <v>343</v>
      </c>
      <c r="C73" s="15">
        <f t="shared" ref="C73:H73" si="15">C61-C54-C55-C56-C57-C53-C58</f>
        <v>20777.661</v>
      </c>
      <c r="D73" s="15">
        <f t="shared" si="15"/>
        <v>22705.831999999999</v>
      </c>
      <c r="E73" s="15">
        <f t="shared" si="15"/>
        <v>28687.673999999999</v>
      </c>
      <c r="F73" s="15">
        <f t="shared" si="15"/>
        <v>39148.366000000002</v>
      </c>
      <c r="G73" s="15">
        <f t="shared" si="15"/>
        <v>46202.243000000002</v>
      </c>
      <c r="H73" s="15">
        <f t="shared" si="15"/>
        <v>50038.936999999998</v>
      </c>
      <c r="I73" s="8" t="s">
        <v>245</v>
      </c>
    </row>
    <row r="74" spans="1:10" x14ac:dyDescent="0.3">
      <c r="A74" s="146" t="s">
        <v>344</v>
      </c>
      <c r="B74" s="147"/>
      <c r="C74" s="13"/>
      <c r="D74" s="13"/>
      <c r="E74" s="13"/>
      <c r="F74" s="13"/>
      <c r="G74" s="13"/>
      <c r="H74" s="13"/>
      <c r="I74" s="13"/>
      <c r="J74" s="13"/>
    </row>
    <row r="75" spans="1:10" x14ac:dyDescent="0.3">
      <c r="A75" s="139" t="s">
        <v>345</v>
      </c>
      <c r="B75" s="141" t="s">
        <v>651</v>
      </c>
      <c r="C75" s="14">
        <v>135868.47399999999</v>
      </c>
      <c r="D75" s="14">
        <v>156368.06200000001</v>
      </c>
      <c r="E75" s="14">
        <v>184962.36799999999</v>
      </c>
      <c r="F75" s="14">
        <v>213079.06700000001</v>
      </c>
      <c r="G75" s="14">
        <v>234018.09</v>
      </c>
      <c r="H75" s="14">
        <v>266748.03000000003</v>
      </c>
      <c r="I75" s="8" t="s">
        <v>245</v>
      </c>
    </row>
    <row r="76" spans="1:10" x14ac:dyDescent="0.3">
      <c r="A76" s="139" t="s">
        <v>347</v>
      </c>
      <c r="B76" s="141" t="s">
        <v>652</v>
      </c>
      <c r="C76" s="14">
        <v>99183.861000000004</v>
      </c>
      <c r="D76" s="14">
        <v>113200.258</v>
      </c>
      <c r="E76" s="14">
        <v>128540.32399999999</v>
      </c>
      <c r="F76" s="14">
        <v>137366.326</v>
      </c>
      <c r="G76" s="14">
        <v>147761.277</v>
      </c>
      <c r="H76" s="14">
        <v>175910.39999999999</v>
      </c>
      <c r="I76" s="8" t="s">
        <v>245</v>
      </c>
    </row>
    <row r="77" spans="1:10" x14ac:dyDescent="0.3">
      <c r="A77" s="139" t="s">
        <v>349</v>
      </c>
      <c r="B77" s="141" t="s">
        <v>653</v>
      </c>
      <c r="C77" s="14">
        <v>28374.913</v>
      </c>
      <c r="D77" s="14">
        <v>40676.368000000002</v>
      </c>
      <c r="E77" s="14">
        <v>44815.690999999999</v>
      </c>
      <c r="F77" s="14">
        <v>59576.642</v>
      </c>
      <c r="G77" s="14">
        <v>68452.084000000003</v>
      </c>
      <c r="H77" s="14">
        <v>100547.359</v>
      </c>
      <c r="I77" s="8" t="s">
        <v>245</v>
      </c>
    </row>
    <row r="78" spans="1:10" x14ac:dyDescent="0.3">
      <c r="A78" s="139" t="s">
        <v>351</v>
      </c>
      <c r="B78" s="141" t="s">
        <v>654</v>
      </c>
      <c r="C78" s="14">
        <v>28955.351999999999</v>
      </c>
      <c r="D78" s="14">
        <v>30387.065999999999</v>
      </c>
      <c r="E78" s="14">
        <v>30361.358</v>
      </c>
      <c r="F78" s="14">
        <v>46180.879000000001</v>
      </c>
      <c r="G78" s="14">
        <v>54188.472999999998</v>
      </c>
      <c r="H78" s="14">
        <v>58641.383000000002</v>
      </c>
      <c r="I78" s="8" t="s">
        <v>245</v>
      </c>
    </row>
    <row r="79" spans="1:10" x14ac:dyDescent="0.3">
      <c r="A79" s="139" t="s">
        <v>353</v>
      </c>
      <c r="B79" s="141" t="s">
        <v>354</v>
      </c>
      <c r="C79" s="17" t="str">
        <f t="shared" ref="C79:H79" si="16">IF(ABS(C37-C63)&lt;0.005,"PASS","FAIL")</f>
        <v>FAIL</v>
      </c>
      <c r="D79" s="17" t="str">
        <f t="shared" si="16"/>
        <v>PASS</v>
      </c>
      <c r="E79" s="17" t="str">
        <f t="shared" si="16"/>
        <v>PASS</v>
      </c>
      <c r="F79" s="17" t="str">
        <f t="shared" si="16"/>
        <v>PASS</v>
      </c>
      <c r="G79" s="17" t="str">
        <f t="shared" si="16"/>
        <v>PASS</v>
      </c>
      <c r="H79" s="17" t="str">
        <f t="shared" si="16"/>
        <v>PASS</v>
      </c>
      <c r="I79" s="8"/>
    </row>
    <row r="80" spans="1:10" x14ac:dyDescent="0.3">
      <c r="A80" s="139" t="s">
        <v>355</v>
      </c>
      <c r="B80" s="141" t="s">
        <v>354</v>
      </c>
      <c r="C80" s="17" t="str">
        <f t="shared" ref="C80:H80" si="17">IF(ABS(C37-C75)&lt;0.005,"PASS","FAIL")</f>
        <v>PASS</v>
      </c>
      <c r="D80" s="17" t="str">
        <f t="shared" si="17"/>
        <v>PASS</v>
      </c>
      <c r="E80" s="17" t="str">
        <f t="shared" si="17"/>
        <v>PASS</v>
      </c>
      <c r="F80" s="17" t="str">
        <f t="shared" si="17"/>
        <v>PASS</v>
      </c>
      <c r="G80" s="17" t="str">
        <f t="shared" si="17"/>
        <v>PASS</v>
      </c>
      <c r="H80" s="17" t="str">
        <f t="shared" si="17"/>
        <v>PASS</v>
      </c>
      <c r="I80" s="8"/>
    </row>
    <row r="81" spans="1:10" x14ac:dyDescent="0.3">
      <c r="A81" s="139" t="s">
        <v>356</v>
      </c>
      <c r="B81" s="141" t="s">
        <v>354</v>
      </c>
      <c r="C81" s="17" t="str">
        <f t="shared" ref="C81:H81" si="18">IF(AND(ABS(C41-C76)&lt;0.005,ABS(C36-C77)&lt;0.005,ABS(C61-C78)&lt;0.005),"PASS","FAIL")</f>
        <v>PASS</v>
      </c>
      <c r="D81" s="17" t="str">
        <f t="shared" si="18"/>
        <v>PASS</v>
      </c>
      <c r="E81" s="17" t="str">
        <f t="shared" si="18"/>
        <v>PASS</v>
      </c>
      <c r="F81" s="17" t="str">
        <f t="shared" si="18"/>
        <v>PASS</v>
      </c>
      <c r="G81" s="17" t="str">
        <f t="shared" si="18"/>
        <v>PASS</v>
      </c>
      <c r="H81" s="17" t="str">
        <f t="shared" si="18"/>
        <v>PASS</v>
      </c>
      <c r="I81" s="8"/>
    </row>
    <row r="82" spans="1:10" x14ac:dyDescent="0.3">
      <c r="A82" s="139"/>
      <c r="B82" s="139"/>
    </row>
    <row r="83" spans="1:10" x14ac:dyDescent="0.3">
      <c r="A83" s="142" t="s">
        <v>357</v>
      </c>
      <c r="B83" s="143"/>
      <c r="C83" s="10"/>
      <c r="D83" s="10"/>
      <c r="E83" s="10"/>
      <c r="F83" s="10"/>
      <c r="G83" s="10"/>
      <c r="H83" s="10"/>
      <c r="I83" s="10"/>
      <c r="J83" s="10"/>
    </row>
    <row r="84" spans="1:10" x14ac:dyDescent="0.3">
      <c r="A84" s="139" t="s">
        <v>358</v>
      </c>
      <c r="B84" s="141" t="s">
        <v>655</v>
      </c>
      <c r="C84" s="18"/>
      <c r="D84" s="14">
        <v>62940.805</v>
      </c>
      <c r="E84" s="14">
        <v>81093.524999999994</v>
      </c>
      <c r="F84" s="14">
        <v>95832.146999999997</v>
      </c>
      <c r="G84" s="14">
        <v>115324.942</v>
      </c>
      <c r="H84" s="14">
        <v>124511.74400000001</v>
      </c>
      <c r="I84" s="8" t="s">
        <v>245</v>
      </c>
    </row>
    <row r="85" spans="1:10" x14ac:dyDescent="0.3">
      <c r="A85" s="139" t="s">
        <v>360</v>
      </c>
      <c r="B85" s="141" t="s">
        <v>656</v>
      </c>
      <c r="C85" s="18"/>
      <c r="D85" s="14">
        <v>-43984.873</v>
      </c>
      <c r="E85" s="14">
        <v>-58541.684000000001</v>
      </c>
      <c r="F85" s="14">
        <v>-69771.468999999997</v>
      </c>
      <c r="G85" s="14">
        <v>-76520.37</v>
      </c>
      <c r="H85" s="14">
        <v>-81827.06</v>
      </c>
      <c r="I85" s="8" t="s">
        <v>245</v>
      </c>
    </row>
    <row r="86" spans="1:10" x14ac:dyDescent="0.3">
      <c r="A86" s="144" t="s">
        <v>362</v>
      </c>
      <c r="B86" s="141" t="s">
        <v>363</v>
      </c>
      <c r="C86" s="19"/>
      <c r="D86" s="16">
        <f>D84+D85</f>
        <v>18955.932000000001</v>
      </c>
      <c r="E86" s="16">
        <f>E84+E85</f>
        <v>22551.840999999993</v>
      </c>
      <c r="F86" s="16">
        <f>F84+F85</f>
        <v>26060.678</v>
      </c>
      <c r="G86" s="16">
        <f>G84+G85</f>
        <v>38804.572</v>
      </c>
      <c r="H86" s="16">
        <f>H84+H85</f>
        <v>42684.684000000008</v>
      </c>
      <c r="I86" s="8" t="s">
        <v>245</v>
      </c>
    </row>
    <row r="87" spans="1:10" x14ac:dyDescent="0.3">
      <c r="A87" s="139" t="s">
        <v>364</v>
      </c>
      <c r="B87" s="141" t="s">
        <v>657</v>
      </c>
      <c r="C87" s="18"/>
      <c r="D87" s="14">
        <v>-4859.0959999999995</v>
      </c>
      <c r="E87" s="14">
        <v>-4764.5739999999996</v>
      </c>
      <c r="F87" s="14">
        <v>-5326.8940000000002</v>
      </c>
      <c r="G87" s="14">
        <v>-7773.8850000000002</v>
      </c>
      <c r="H87" s="14">
        <v>-8972.8150000000005</v>
      </c>
      <c r="I87" s="8" t="s">
        <v>245</v>
      </c>
    </row>
    <row r="88" spans="1:10" x14ac:dyDescent="0.3">
      <c r="A88" s="139" t="s">
        <v>366</v>
      </c>
      <c r="B88" s="141" t="s">
        <v>658</v>
      </c>
      <c r="C88" s="18"/>
      <c r="D88" s="14">
        <v>-1257.0740000000001</v>
      </c>
      <c r="E88" s="14">
        <v>-1512.279</v>
      </c>
      <c r="F88" s="14">
        <v>-1825.578</v>
      </c>
      <c r="G88" s="14">
        <v>-2160.6819999999998</v>
      </c>
      <c r="H88" s="14">
        <v>-2427.2489999999998</v>
      </c>
      <c r="I88" s="8" t="s">
        <v>245</v>
      </c>
    </row>
    <row r="89" spans="1:10" x14ac:dyDescent="0.3">
      <c r="A89" s="139" t="s">
        <v>368</v>
      </c>
      <c r="B89" s="141" t="s">
        <v>659</v>
      </c>
      <c r="C89" s="18"/>
      <c r="D89" s="14">
        <v>0</v>
      </c>
      <c r="E89" s="14">
        <v>0</v>
      </c>
      <c r="F89" s="14">
        <v>0</v>
      </c>
      <c r="G89" s="14">
        <v>0</v>
      </c>
      <c r="H89" s="14">
        <v>0</v>
      </c>
      <c r="I89" s="8" t="s">
        <v>245</v>
      </c>
    </row>
    <row r="90" spans="1:10" x14ac:dyDescent="0.3">
      <c r="A90" s="139" t="s">
        <v>370</v>
      </c>
      <c r="B90" s="141" t="s">
        <v>660</v>
      </c>
      <c r="C90" s="18"/>
      <c r="D90" s="14">
        <v>-1507.673</v>
      </c>
      <c r="E90" s="14">
        <v>-1847.039</v>
      </c>
      <c r="F90" s="14">
        <v>-2442.585</v>
      </c>
      <c r="G90" s="14">
        <v>-2476.636</v>
      </c>
      <c r="H90" s="14">
        <v>-3056.913</v>
      </c>
      <c r="I90" s="8" t="s">
        <v>245</v>
      </c>
    </row>
    <row r="91" spans="1:10" x14ac:dyDescent="0.3">
      <c r="A91" s="139" t="s">
        <v>372</v>
      </c>
      <c r="B91" s="141" t="s">
        <v>373</v>
      </c>
      <c r="C91" s="18"/>
      <c r="D91" s="15">
        <f>D86+D87+D88+D89+D90</f>
        <v>11332.089</v>
      </c>
      <c r="E91" s="15">
        <f>E86+E87+E88+E89+E90</f>
        <v>14427.948999999991</v>
      </c>
      <c r="F91" s="15">
        <f>F86+F87+F88+F89+F90</f>
        <v>16465.620999999999</v>
      </c>
      <c r="G91" s="15">
        <f>G86+G87+G88+G89+G90</f>
        <v>26393.368999999999</v>
      </c>
      <c r="H91" s="15">
        <f>H86+H87+H88+H89+H90</f>
        <v>28227.707000000006</v>
      </c>
      <c r="I91" s="8" t="s">
        <v>245</v>
      </c>
    </row>
    <row r="92" spans="1:10" x14ac:dyDescent="0.3">
      <c r="A92" s="139" t="s">
        <v>374</v>
      </c>
      <c r="B92" s="141" t="s">
        <v>661</v>
      </c>
      <c r="C92" s="18"/>
      <c r="D92" s="14">
        <v>5993.0290000000005</v>
      </c>
      <c r="E92" s="14">
        <v>7387.8</v>
      </c>
      <c r="F92" s="14">
        <v>6047.4229999999998</v>
      </c>
      <c r="G92" s="14">
        <v>16575.363000000001</v>
      </c>
      <c r="H92" s="14">
        <v>20465.920999999998</v>
      </c>
      <c r="I92" s="8" t="s">
        <v>245</v>
      </c>
    </row>
    <row r="93" spans="1:10" x14ac:dyDescent="0.3">
      <c r="A93" s="139" t="s">
        <v>376</v>
      </c>
      <c r="B93" s="141" t="s">
        <v>662</v>
      </c>
      <c r="C93" s="18"/>
      <c r="D93" s="14">
        <v>0</v>
      </c>
      <c r="E93" s="14">
        <v>0</v>
      </c>
      <c r="F93" s="14">
        <v>0</v>
      </c>
      <c r="G93" s="14">
        <v>0</v>
      </c>
      <c r="H93" s="14">
        <v>0</v>
      </c>
      <c r="I93" s="8" t="s">
        <v>245</v>
      </c>
    </row>
    <row r="94" spans="1:10" x14ac:dyDescent="0.3">
      <c r="A94" s="139" t="s">
        <v>378</v>
      </c>
      <c r="B94" s="141" t="s">
        <v>663</v>
      </c>
      <c r="C94" s="18"/>
      <c r="D94" s="14">
        <v>0</v>
      </c>
      <c r="E94" s="14">
        <v>0</v>
      </c>
      <c r="F94" s="14">
        <v>0</v>
      </c>
      <c r="G94" s="14">
        <v>0</v>
      </c>
      <c r="H94" s="14">
        <v>0</v>
      </c>
      <c r="I94" s="8" t="s">
        <v>245</v>
      </c>
    </row>
    <row r="95" spans="1:10" x14ac:dyDescent="0.3">
      <c r="A95" s="139" t="s">
        <v>380</v>
      </c>
      <c r="B95" s="141" t="s">
        <v>664</v>
      </c>
      <c r="C95" s="18"/>
      <c r="D95" s="14">
        <v>-332.90499999999997</v>
      </c>
      <c r="E95" s="14">
        <v>-394.517</v>
      </c>
      <c r="F95" s="14">
        <v>-1169.77</v>
      </c>
      <c r="G95" s="14">
        <v>-1581.1679999999999</v>
      </c>
      <c r="H95" s="14">
        <v>-1370.569</v>
      </c>
      <c r="I95" s="8" t="s">
        <v>245</v>
      </c>
    </row>
    <row r="96" spans="1:10" x14ac:dyDescent="0.3">
      <c r="A96" s="144" t="s">
        <v>382</v>
      </c>
      <c r="B96" s="141" t="s">
        <v>383</v>
      </c>
      <c r="C96" s="19"/>
      <c r="D96" s="16">
        <f>D91+D92+D93+D94+D95</f>
        <v>16992.213000000003</v>
      </c>
      <c r="E96" s="16">
        <f>E91+E92+E93+E94+E95</f>
        <v>21421.231999999993</v>
      </c>
      <c r="F96" s="16">
        <f>F91+F92+F93+F94+F95</f>
        <v>21343.273999999998</v>
      </c>
      <c r="G96" s="16">
        <f>G91+G92+G93+G94+G95</f>
        <v>41387.564000000006</v>
      </c>
      <c r="H96" s="16">
        <f>H91+H92+H93+H94+H95</f>
        <v>47323.059000000001</v>
      </c>
      <c r="I96" s="8" t="s">
        <v>245</v>
      </c>
    </row>
    <row r="97" spans="1:10" x14ac:dyDescent="0.3">
      <c r="A97" s="139" t="s">
        <v>384</v>
      </c>
      <c r="B97" s="141" t="s">
        <v>665</v>
      </c>
      <c r="C97" s="18"/>
      <c r="D97" s="14">
        <v>0</v>
      </c>
      <c r="E97" s="14">
        <v>0</v>
      </c>
      <c r="F97" s="14">
        <v>-437.83300000000003</v>
      </c>
      <c r="G97" s="14">
        <v>-953.05100000000004</v>
      </c>
      <c r="H97" s="14">
        <v>-329.6</v>
      </c>
      <c r="I97" s="8" t="s">
        <v>245</v>
      </c>
    </row>
    <row r="98" spans="1:10" x14ac:dyDescent="0.3">
      <c r="A98" s="139" t="s">
        <v>386</v>
      </c>
      <c r="B98" s="141" t="s">
        <v>666</v>
      </c>
      <c r="C98" s="18"/>
      <c r="D98" s="14">
        <v>-2922.0239999999999</v>
      </c>
      <c r="E98" s="14">
        <v>-6122.6139999999996</v>
      </c>
      <c r="F98" s="14">
        <v>-7179.6270000000004</v>
      </c>
      <c r="G98" s="14">
        <v>-12327.974</v>
      </c>
      <c r="H98" s="14">
        <v>-13901.297</v>
      </c>
      <c r="I98" s="8" t="s">
        <v>245</v>
      </c>
    </row>
    <row r="99" spans="1:10" x14ac:dyDescent="0.3">
      <c r="A99" s="144" t="s">
        <v>388</v>
      </c>
      <c r="B99" s="141" t="s">
        <v>389</v>
      </c>
      <c r="C99" s="19"/>
      <c r="D99" s="16">
        <f>D96+D97+D98</f>
        <v>14070.189000000004</v>
      </c>
      <c r="E99" s="16">
        <f>E96+E97+E98</f>
        <v>15298.617999999993</v>
      </c>
      <c r="F99" s="16">
        <f>F96+F97+F98</f>
        <v>13725.813999999998</v>
      </c>
      <c r="G99" s="16">
        <f>G96+G97+G98</f>
        <v>28106.539000000004</v>
      </c>
      <c r="H99" s="16">
        <f>H96+H97+H98</f>
        <v>33092.162000000004</v>
      </c>
      <c r="I99" s="8" t="s">
        <v>245</v>
      </c>
    </row>
    <row r="100" spans="1:10" x14ac:dyDescent="0.3">
      <c r="A100" s="139" t="s">
        <v>390</v>
      </c>
      <c r="B100" s="141" t="s">
        <v>667</v>
      </c>
      <c r="C100" s="18"/>
      <c r="D100" s="14">
        <v>18955.932000000001</v>
      </c>
      <c r="E100" s="14">
        <v>22551.841</v>
      </c>
      <c r="F100" s="14">
        <v>26060.678</v>
      </c>
      <c r="G100" s="14">
        <v>38804.572</v>
      </c>
      <c r="H100" s="14">
        <v>42684.684000000001</v>
      </c>
      <c r="I100" s="8" t="s">
        <v>245</v>
      </c>
    </row>
    <row r="101" spans="1:10" x14ac:dyDescent="0.3">
      <c r="A101" s="139" t="s">
        <v>392</v>
      </c>
      <c r="B101" s="141" t="s">
        <v>668</v>
      </c>
      <c r="C101" s="18"/>
      <c r="D101" s="14">
        <v>16992.213</v>
      </c>
      <c r="E101" s="14">
        <v>21421.232</v>
      </c>
      <c r="F101" s="14">
        <v>21343.274000000001</v>
      </c>
      <c r="G101" s="14">
        <v>41387.563999999998</v>
      </c>
      <c r="H101" s="14">
        <v>47323.059000000001</v>
      </c>
      <c r="I101" s="8" t="s">
        <v>245</v>
      </c>
    </row>
    <row r="102" spans="1:10" x14ac:dyDescent="0.3">
      <c r="A102" s="139" t="s">
        <v>394</v>
      </c>
      <c r="B102" s="141" t="s">
        <v>669</v>
      </c>
      <c r="C102" s="18"/>
      <c r="D102" s="14">
        <v>14070.189</v>
      </c>
      <c r="E102" s="14">
        <v>15298.618</v>
      </c>
      <c r="F102" s="14">
        <v>13725.814</v>
      </c>
      <c r="G102" s="14">
        <v>28106.539000000001</v>
      </c>
      <c r="H102" s="14">
        <v>33092.161999999997</v>
      </c>
      <c r="I102" s="8" t="s">
        <v>245</v>
      </c>
    </row>
    <row r="103" spans="1:10" x14ac:dyDescent="0.3">
      <c r="A103" s="139" t="s">
        <v>396</v>
      </c>
      <c r="B103" s="141" t="s">
        <v>354</v>
      </c>
      <c r="C103" s="18"/>
      <c r="D103" s="17" t="str">
        <f>IF(AND(ABS(D86-D100)&lt;0.005,ABS(D96-D101)&lt;0.005,ABS(D99-D102)&lt;0.005),"PASS","FAIL")</f>
        <v>PASS</v>
      </c>
      <c r="E103" s="17" t="str">
        <f>IF(AND(ABS(E86-E100)&lt;0.005,ABS(E96-E101)&lt;0.005,ABS(E99-E102)&lt;0.005),"PASS","FAIL")</f>
        <v>PASS</v>
      </c>
      <c r="F103" s="17" t="str">
        <f>IF(AND(ABS(F86-F100)&lt;0.005,ABS(F96-F101)&lt;0.005,ABS(F99-F102)&lt;0.005),"PASS","FAIL")</f>
        <v>PASS</v>
      </c>
      <c r="G103" s="17" t="str">
        <f>IF(AND(ABS(G86-G100)&lt;0.005,ABS(G96-G101)&lt;0.005,ABS(G99-G102)&lt;0.005),"PASS","FAIL")</f>
        <v>PASS</v>
      </c>
      <c r="H103" s="17" t="str">
        <f>IF(AND(ABS(H86-H100)&lt;0.005,ABS(H96-H101)&lt;0.005,ABS(H99-H102)&lt;0.005),"PASS","FAIL")</f>
        <v>PASS</v>
      </c>
      <c r="I103" s="8"/>
    </row>
    <row r="104" spans="1:10" x14ac:dyDescent="0.3">
      <c r="A104" s="146" t="s">
        <v>397</v>
      </c>
      <c r="B104" s="147"/>
      <c r="C104" s="13"/>
      <c r="D104" s="13"/>
      <c r="E104" s="13"/>
      <c r="F104" s="13"/>
      <c r="G104" s="13"/>
      <c r="H104" s="13"/>
      <c r="I104" s="13"/>
      <c r="J104" s="13"/>
    </row>
    <row r="105" spans="1:10" x14ac:dyDescent="0.3">
      <c r="A105" s="139" t="s">
        <v>398</v>
      </c>
      <c r="B105" s="141" t="s">
        <v>670</v>
      </c>
      <c r="C105" s="18"/>
      <c r="D105" s="14">
        <v>0</v>
      </c>
      <c r="E105" s="14">
        <v>0</v>
      </c>
      <c r="F105" s="14">
        <v>10.974</v>
      </c>
      <c r="G105" s="14">
        <v>20.632999999999999</v>
      </c>
      <c r="H105" s="14">
        <v>44.521999999999998</v>
      </c>
      <c r="I105" s="8" t="s">
        <v>245</v>
      </c>
    </row>
    <row r="106" spans="1:10" x14ac:dyDescent="0.3">
      <c r="A106" s="139" t="s">
        <v>400</v>
      </c>
      <c r="B106" s="141" t="s">
        <v>401</v>
      </c>
      <c r="C106" s="18"/>
      <c r="D106" s="15">
        <f>-D95-D105</f>
        <v>332.90499999999997</v>
      </c>
      <c r="E106" s="15">
        <f>-E95-E105</f>
        <v>394.517</v>
      </c>
      <c r="F106" s="15">
        <f>-F95-F105</f>
        <v>1158.796</v>
      </c>
      <c r="G106" s="15">
        <f>-G95-G105</f>
        <v>1560.5349999999999</v>
      </c>
      <c r="H106" s="15">
        <f>-H95-H105</f>
        <v>1326.047</v>
      </c>
      <c r="I106" s="8" t="s">
        <v>245</v>
      </c>
    </row>
    <row r="107" spans="1:10" x14ac:dyDescent="0.3">
      <c r="A107" s="139" t="s">
        <v>402</v>
      </c>
      <c r="B107" s="141" t="s">
        <v>671</v>
      </c>
      <c r="C107" s="18"/>
      <c r="D107" s="14">
        <v>4298.76</v>
      </c>
      <c r="E107" s="14">
        <v>4527.7610000000004</v>
      </c>
      <c r="F107" s="14">
        <v>5314.7619999999997</v>
      </c>
      <c r="G107" s="14">
        <v>6097.4219999999996</v>
      </c>
      <c r="H107" s="14">
        <v>6937.732</v>
      </c>
      <c r="I107" s="8" t="s">
        <v>245</v>
      </c>
    </row>
    <row r="108" spans="1:10" x14ac:dyDescent="0.3">
      <c r="A108" s="144" t="s">
        <v>404</v>
      </c>
      <c r="B108" s="141" t="s">
        <v>405</v>
      </c>
      <c r="C108" s="19"/>
      <c r="D108" s="16">
        <f>D96-D95</f>
        <v>17325.118000000002</v>
      </c>
      <c r="E108" s="16">
        <f>E96-E95</f>
        <v>21815.748999999993</v>
      </c>
      <c r="F108" s="16">
        <f>F96-F95</f>
        <v>22513.043999999998</v>
      </c>
      <c r="G108" s="16">
        <f>G96-G95</f>
        <v>42968.732000000004</v>
      </c>
      <c r="H108" s="16">
        <f>H96-H95</f>
        <v>48693.628000000004</v>
      </c>
      <c r="I108" s="8" t="s">
        <v>245</v>
      </c>
    </row>
    <row r="109" spans="1:10" x14ac:dyDescent="0.3">
      <c r="A109" s="144" t="s">
        <v>406</v>
      </c>
      <c r="B109" s="141" t="s">
        <v>407</v>
      </c>
      <c r="C109" s="19"/>
      <c r="D109" s="16">
        <f>D108+D107</f>
        <v>21623.878000000004</v>
      </c>
      <c r="E109" s="16">
        <f>E108+E107</f>
        <v>26343.509999999995</v>
      </c>
      <c r="F109" s="16">
        <f>F108+F107</f>
        <v>27827.805999999997</v>
      </c>
      <c r="G109" s="16">
        <f>G108+G107</f>
        <v>49066.154000000002</v>
      </c>
      <c r="H109" s="16">
        <f>H108+H107</f>
        <v>55631.360000000001</v>
      </c>
      <c r="I109" s="8" t="s">
        <v>245</v>
      </c>
    </row>
    <row r="110" spans="1:10" x14ac:dyDescent="0.3">
      <c r="A110" s="139" t="s">
        <v>408</v>
      </c>
      <c r="B110" s="141" t="s">
        <v>409</v>
      </c>
      <c r="C110" s="18"/>
      <c r="D110" s="15">
        <f>-(D97+D98)</f>
        <v>2922.0239999999999</v>
      </c>
      <c r="E110" s="15">
        <f>-(E97+E98)</f>
        <v>6122.6139999999996</v>
      </c>
      <c r="F110" s="15">
        <f>-(F97+F98)</f>
        <v>7617.46</v>
      </c>
      <c r="G110" s="15">
        <f>-(G97+G98)</f>
        <v>13281.025</v>
      </c>
      <c r="H110" s="15">
        <f>-(H97+H98)</f>
        <v>14230.897000000001</v>
      </c>
      <c r="I110" s="8" t="s">
        <v>245</v>
      </c>
    </row>
    <row r="111" spans="1:10" x14ac:dyDescent="0.3">
      <c r="A111" s="139" t="s">
        <v>410</v>
      </c>
      <c r="B111" s="141" t="s">
        <v>411</v>
      </c>
      <c r="C111" s="18"/>
      <c r="D111" s="20">
        <f>IF(D96&lt;=0,"n/m",D110/D96)</f>
        <v>0.17196253366174255</v>
      </c>
      <c r="E111" s="20">
        <f>IF(E96&lt;=0,"n/m",E110/E96)</f>
        <v>0.28581988188167712</v>
      </c>
      <c r="F111" s="20">
        <f>IF(F96&lt;=0,"n/m",F110/F96)</f>
        <v>0.35690213225955875</v>
      </c>
      <c r="G111" s="20">
        <f>IF(G96&lt;=0,"n/m",G110/G96)</f>
        <v>0.32089409756032022</v>
      </c>
      <c r="H111" s="20">
        <f>IF(H96&lt;=0,"n/m",H110/H96)</f>
        <v>0.30071802839288136</v>
      </c>
      <c r="I111" s="8" t="s">
        <v>412</v>
      </c>
    </row>
    <row r="112" spans="1:10" x14ac:dyDescent="0.3">
      <c r="A112" s="139" t="s">
        <v>413</v>
      </c>
      <c r="B112" s="141" t="s">
        <v>414</v>
      </c>
      <c r="C112" s="18"/>
      <c r="D112" s="20">
        <f>D111</f>
        <v>0.17196253366174255</v>
      </c>
      <c r="E112" s="20">
        <f>E111</f>
        <v>0.28581988188167712</v>
      </c>
      <c r="F112" s="20">
        <f>F111</f>
        <v>0.35690213225955875</v>
      </c>
      <c r="G112" s="20">
        <f>G111</f>
        <v>0.32089409756032022</v>
      </c>
      <c r="H112" s="20">
        <f>H111</f>
        <v>0.30071802839288136</v>
      </c>
      <c r="I112" s="8" t="s">
        <v>412</v>
      </c>
    </row>
    <row r="113" spans="1:10" x14ac:dyDescent="0.3">
      <c r="A113" s="139" t="s">
        <v>415</v>
      </c>
      <c r="B113" s="141" t="s">
        <v>416</v>
      </c>
      <c r="C113" s="18"/>
      <c r="D113" s="15">
        <f>IF(ISNUMBER(D112),D108*(1-D112),"n/m")</f>
        <v>14345.846812731341</v>
      </c>
      <c r="E113" s="15">
        <f>IF(ISNUMBER(E112),E108*(1-E112),"n/m")</f>
        <v>15580.374197659679</v>
      </c>
      <c r="F113" s="15">
        <f>IF(ISNUMBER(F112),F108*(1-F112),"n/m")</f>
        <v>14478.090592746734</v>
      </c>
      <c r="G113" s="15">
        <f>IF(ISNUMBER(G112),G108*(1-G112),"n/m")</f>
        <v>29180.319521548747</v>
      </c>
      <c r="H113" s="15">
        <f>IF(ISNUMBER(H112),H108*(1-H112),"n/m")</f>
        <v>34050.576192543595</v>
      </c>
      <c r="I113" s="8" t="s">
        <v>245</v>
      </c>
    </row>
    <row r="114" spans="1:10" x14ac:dyDescent="0.3">
      <c r="A114" s="139"/>
      <c r="B114" s="139"/>
    </row>
    <row r="115" spans="1:10" x14ac:dyDescent="0.3">
      <c r="A115" s="142" t="s">
        <v>417</v>
      </c>
      <c r="B115" s="143"/>
      <c r="C115" s="10"/>
      <c r="D115" s="10"/>
      <c r="E115" s="10"/>
      <c r="F115" s="10"/>
      <c r="G115" s="10"/>
      <c r="H115" s="10"/>
      <c r="I115" s="10"/>
      <c r="J115" s="10"/>
    </row>
    <row r="116" spans="1:10" x14ac:dyDescent="0.3">
      <c r="A116" s="139" t="s">
        <v>418</v>
      </c>
      <c r="B116" s="141" t="s">
        <v>672</v>
      </c>
      <c r="C116" s="18"/>
      <c r="D116" s="14">
        <v>13285.674000000001</v>
      </c>
      <c r="E116" s="14">
        <v>18126.508000000002</v>
      </c>
      <c r="F116" s="14">
        <v>24515.258000000002</v>
      </c>
      <c r="G116" s="14">
        <v>30937.432000000001</v>
      </c>
      <c r="H116" s="14">
        <v>33808.781000000003</v>
      </c>
      <c r="I116" s="8" t="s">
        <v>245</v>
      </c>
    </row>
    <row r="117" spans="1:10" x14ac:dyDescent="0.3">
      <c r="A117" s="139" t="s">
        <v>420</v>
      </c>
      <c r="B117" s="141" t="s">
        <v>673</v>
      </c>
      <c r="C117" s="18"/>
      <c r="D117" s="14">
        <v>12492.630999999999</v>
      </c>
      <c r="E117" s="14">
        <v>15469.449000000001</v>
      </c>
      <c r="F117" s="14">
        <v>23242.896000000001</v>
      </c>
      <c r="G117" s="14">
        <v>27580.741000000002</v>
      </c>
      <c r="H117" s="14">
        <v>27572.566999999999</v>
      </c>
      <c r="I117" s="8" t="s">
        <v>245</v>
      </c>
    </row>
    <row r="118" spans="1:10" x14ac:dyDescent="0.3">
      <c r="A118" s="139" t="s">
        <v>422</v>
      </c>
      <c r="B118" s="141" t="s">
        <v>674</v>
      </c>
      <c r="C118" s="18"/>
      <c r="D118" s="14">
        <v>-308.20999999999998</v>
      </c>
      <c r="E118" s="14">
        <v>-329.93299999999999</v>
      </c>
      <c r="F118" s="14">
        <v>-807.47699999999998</v>
      </c>
      <c r="G118" s="14">
        <v>-1735.9780000000001</v>
      </c>
      <c r="H118" s="14">
        <v>-1527.8879999999999</v>
      </c>
      <c r="I118" s="8" t="s">
        <v>245</v>
      </c>
    </row>
    <row r="119" spans="1:10" x14ac:dyDescent="0.3">
      <c r="A119" s="139" t="s">
        <v>424</v>
      </c>
      <c r="B119" s="141" t="s">
        <v>675</v>
      </c>
      <c r="C119" s="18"/>
      <c r="D119" s="21" t="s">
        <v>426</v>
      </c>
      <c r="E119" s="21" t="s">
        <v>426</v>
      </c>
      <c r="F119" s="21" t="s">
        <v>426</v>
      </c>
      <c r="G119" s="21" t="s">
        <v>426</v>
      </c>
      <c r="H119" s="21" t="s">
        <v>426</v>
      </c>
      <c r="I119" s="8" t="s">
        <v>427</v>
      </c>
    </row>
    <row r="120" spans="1:10" x14ac:dyDescent="0.3">
      <c r="A120" s="139" t="s">
        <v>428</v>
      </c>
      <c r="B120" s="141" t="s">
        <v>429</v>
      </c>
      <c r="C120" s="18"/>
      <c r="D120" s="15">
        <f>IF(D119="Financing",D117+D118,D117)</f>
        <v>12492.630999999999</v>
      </c>
      <c r="E120" s="15">
        <f>IF(E119="Financing",E117+E118,E117)</f>
        <v>15469.449000000001</v>
      </c>
      <c r="F120" s="15">
        <f>IF(F119="Financing",F117+F118,F117)</f>
        <v>23242.896000000001</v>
      </c>
      <c r="G120" s="15">
        <f>IF(G119="Financing",G117+G118,G117)</f>
        <v>27580.741000000002</v>
      </c>
      <c r="H120" s="15">
        <f>IF(H119="Financing",H117+H118,H117)</f>
        <v>27572.566999999999</v>
      </c>
      <c r="I120" s="8" t="s">
        <v>245</v>
      </c>
    </row>
    <row r="121" spans="1:10" x14ac:dyDescent="0.3">
      <c r="A121" s="139" t="s">
        <v>430</v>
      </c>
      <c r="B121" s="141" t="s">
        <v>676</v>
      </c>
      <c r="C121" s="18"/>
      <c r="D121" s="14">
        <v>-6470.9129999999996</v>
      </c>
      <c r="E121" s="14">
        <v>-24537.83</v>
      </c>
      <c r="F121" s="14">
        <v>-18644.905999999999</v>
      </c>
      <c r="G121" s="14">
        <v>-17709.901999999998</v>
      </c>
      <c r="H121" s="14">
        <v>-7048.7250000000004</v>
      </c>
      <c r="I121" s="8" t="s">
        <v>245</v>
      </c>
    </row>
    <row r="122" spans="1:10" x14ac:dyDescent="0.3">
      <c r="A122" s="139" t="s">
        <v>432</v>
      </c>
      <c r="B122" s="141" t="s">
        <v>677</v>
      </c>
      <c r="C122" s="18"/>
      <c r="D122" s="14">
        <v>-5762.3249999999998</v>
      </c>
      <c r="E122" s="14">
        <v>-24826.255000000001</v>
      </c>
      <c r="F122" s="14">
        <v>-12978.915000000001</v>
      </c>
      <c r="G122" s="14">
        <v>-2580.0210000000002</v>
      </c>
      <c r="H122" s="14">
        <v>11714.661</v>
      </c>
      <c r="I122" s="8" t="s">
        <v>245</v>
      </c>
    </row>
    <row r="123" spans="1:10" x14ac:dyDescent="0.3">
      <c r="A123" s="139" t="s">
        <v>434</v>
      </c>
      <c r="B123" s="141" t="s">
        <v>678</v>
      </c>
      <c r="C123" s="18"/>
      <c r="D123" s="14">
        <v>4022.0949999999998</v>
      </c>
      <c r="E123" s="14">
        <v>6158.7830000000004</v>
      </c>
      <c r="F123" s="14">
        <v>244.58199999999999</v>
      </c>
      <c r="G123" s="14">
        <v>-18620.168000000001</v>
      </c>
      <c r="H123" s="14">
        <v>-7580.9840000000004</v>
      </c>
      <c r="I123" s="8" t="s">
        <v>245</v>
      </c>
    </row>
    <row r="124" spans="1:10" x14ac:dyDescent="0.3">
      <c r="A124" s="139" t="s">
        <v>436</v>
      </c>
      <c r="B124" s="141" t="s">
        <v>679</v>
      </c>
      <c r="C124" s="18"/>
      <c r="D124" s="14">
        <v>-19.888999999999999</v>
      </c>
      <c r="E124" s="14">
        <v>-2.4279999999999999</v>
      </c>
      <c r="F124" s="14">
        <v>-0.91500000000000004</v>
      </c>
      <c r="G124" s="14">
        <v>-5443.0839999999998</v>
      </c>
      <c r="H124" s="14">
        <v>-4388.4030000000002</v>
      </c>
      <c r="I124" s="8" t="s">
        <v>245</v>
      </c>
    </row>
    <row r="125" spans="1:10" x14ac:dyDescent="0.3">
      <c r="A125" s="139"/>
      <c r="B125" s="139"/>
    </row>
    <row r="126" spans="1:10" x14ac:dyDescent="0.3">
      <c r="A126" s="142" t="s">
        <v>438</v>
      </c>
      <c r="B126" s="143"/>
      <c r="C126" s="10"/>
      <c r="D126" s="10"/>
      <c r="E126" s="10"/>
      <c r="F126" s="10"/>
      <c r="G126" s="10"/>
      <c r="H126" s="10"/>
      <c r="I126" s="10"/>
      <c r="J126" s="10"/>
    </row>
    <row r="127" spans="1:10" x14ac:dyDescent="0.3">
      <c r="A127" s="139" t="s">
        <v>439</v>
      </c>
      <c r="B127" s="141" t="s">
        <v>680</v>
      </c>
      <c r="C127" s="18"/>
      <c r="D127" s="22">
        <v>10</v>
      </c>
      <c r="E127" s="22">
        <v>10</v>
      </c>
      <c r="F127" s="22">
        <v>10</v>
      </c>
      <c r="G127" s="22">
        <v>10</v>
      </c>
      <c r="H127" s="22">
        <v>2</v>
      </c>
      <c r="I127" s="8" t="s">
        <v>441</v>
      </c>
    </row>
    <row r="128" spans="1:10" x14ac:dyDescent="0.3">
      <c r="A128" s="139" t="s">
        <v>442</v>
      </c>
      <c r="B128" s="141" t="s">
        <v>443</v>
      </c>
      <c r="C128" s="18"/>
      <c r="D128" s="23">
        <f>D39/D127-D135</f>
        <v>323.375</v>
      </c>
      <c r="E128" s="23">
        <f>E39/E127-E135</f>
        <v>323.375</v>
      </c>
      <c r="F128" s="23">
        <f>F39/F127-F135</f>
        <v>311.83859999999999</v>
      </c>
      <c r="G128" s="23">
        <f>G39/G127-G135</f>
        <v>293</v>
      </c>
      <c r="H128" s="23">
        <f>H39/H127-H135</f>
        <v>1465</v>
      </c>
      <c r="I128" s="8" t="s">
        <v>444</v>
      </c>
    </row>
    <row r="129" spans="1:10" x14ac:dyDescent="0.3">
      <c r="A129" s="139" t="s">
        <v>445</v>
      </c>
      <c r="B129" s="141" t="s">
        <v>681</v>
      </c>
      <c r="C129" s="18"/>
      <c r="D129" s="24">
        <v>323.375</v>
      </c>
      <c r="E129" s="24">
        <v>323.375</v>
      </c>
      <c r="F129" s="24">
        <v>318.74900000000002</v>
      </c>
      <c r="G129" s="24">
        <v>297.29599999999999</v>
      </c>
      <c r="H129" s="24">
        <v>1465</v>
      </c>
      <c r="I129" s="8" t="s">
        <v>444</v>
      </c>
    </row>
    <row r="130" spans="1:10" x14ac:dyDescent="0.3">
      <c r="A130" s="139" t="s">
        <v>447</v>
      </c>
      <c r="B130" s="141" t="s">
        <v>682</v>
      </c>
      <c r="C130" s="18"/>
      <c r="D130" s="22">
        <v>863.44</v>
      </c>
      <c r="E130" s="22">
        <v>459.04</v>
      </c>
      <c r="F130" s="22">
        <v>522.09</v>
      </c>
      <c r="G130" s="22">
        <v>906.73</v>
      </c>
      <c r="H130" s="22">
        <v>355.24</v>
      </c>
      <c r="I130" s="8" t="s">
        <v>441</v>
      </c>
    </row>
    <row r="131" spans="1:10" x14ac:dyDescent="0.3">
      <c r="A131" s="139" t="s">
        <v>449</v>
      </c>
      <c r="B131" s="141" t="s">
        <v>683</v>
      </c>
      <c r="C131" s="18"/>
      <c r="D131" s="22">
        <v>0</v>
      </c>
      <c r="E131" s="22">
        <v>0</v>
      </c>
      <c r="F131" s="22">
        <v>18</v>
      </c>
      <c r="G131" s="22">
        <v>15</v>
      </c>
      <c r="H131" s="22">
        <v>4</v>
      </c>
      <c r="I131" s="8" t="s">
        <v>441</v>
      </c>
    </row>
    <row r="132" spans="1:10" x14ac:dyDescent="0.3">
      <c r="A132" s="139" t="s">
        <v>451</v>
      </c>
      <c r="B132" s="141" t="s">
        <v>684</v>
      </c>
      <c r="C132" s="18"/>
      <c r="D132" s="22">
        <v>43.51</v>
      </c>
      <c r="E132" s="22">
        <v>47.31</v>
      </c>
      <c r="F132" s="22">
        <v>43.06</v>
      </c>
      <c r="G132" s="22">
        <v>94.54</v>
      </c>
      <c r="H132" s="22">
        <v>22.59</v>
      </c>
      <c r="I132" s="8" t="s">
        <v>441</v>
      </c>
    </row>
    <row r="133" spans="1:10" x14ac:dyDescent="0.3">
      <c r="A133" s="139" t="s">
        <v>453</v>
      </c>
      <c r="B133" s="141" t="s">
        <v>454</v>
      </c>
      <c r="C133" s="18"/>
      <c r="D133" s="15">
        <f>D130*D128</f>
        <v>279214.91000000003</v>
      </c>
      <c r="E133" s="15">
        <f>E130*E128</f>
        <v>148442.06</v>
      </c>
      <c r="F133" s="15">
        <f>F130*F128</f>
        <v>162807.81467399999</v>
      </c>
      <c r="G133" s="15">
        <f>G130*G128</f>
        <v>265671.89</v>
      </c>
      <c r="H133" s="15">
        <f>H130*H128</f>
        <v>520426.60000000003</v>
      </c>
      <c r="I133" s="8" t="s">
        <v>245</v>
      </c>
    </row>
    <row r="134" spans="1:10" x14ac:dyDescent="0.3">
      <c r="A134" s="139" t="s">
        <v>455</v>
      </c>
      <c r="B134" s="141" t="s">
        <v>685</v>
      </c>
      <c r="C134" s="18"/>
      <c r="D134" s="22">
        <v>5</v>
      </c>
      <c r="E134" s="22">
        <v>5</v>
      </c>
      <c r="F134" s="22">
        <v>5</v>
      </c>
      <c r="G134" s="22">
        <v>5</v>
      </c>
      <c r="H134" s="22">
        <v>1</v>
      </c>
      <c r="I134" s="8" t="s">
        <v>457</v>
      </c>
    </row>
    <row r="135" spans="1:10" x14ac:dyDescent="0.3">
      <c r="A135" s="139" t="s">
        <v>458</v>
      </c>
      <c r="B135" s="141"/>
      <c r="C135" s="18"/>
      <c r="D135" s="22">
        <v>0</v>
      </c>
      <c r="E135" s="22">
        <v>0</v>
      </c>
      <c r="F135" s="22">
        <v>0</v>
      </c>
      <c r="G135" s="22">
        <v>0</v>
      </c>
      <c r="H135" s="22">
        <v>0</v>
      </c>
    </row>
    <row r="136" spans="1:10" x14ac:dyDescent="0.3">
      <c r="A136" s="142" t="s">
        <v>9356</v>
      </c>
      <c r="B136" s="143"/>
      <c r="C136" s="10"/>
      <c r="D136" s="10"/>
      <c r="E136" s="10"/>
      <c r="F136" s="10"/>
      <c r="G136" s="10"/>
      <c r="H136" s="10"/>
      <c r="I136" s="10"/>
      <c r="J136" s="10"/>
    </row>
    <row r="137" spans="1:10" ht="22.05" customHeight="1" x14ac:dyDescent="0.3">
      <c r="A137" s="207" t="s">
        <v>459</v>
      </c>
      <c r="B137" s="205"/>
      <c r="C137" s="206"/>
      <c r="D137" s="206"/>
      <c r="E137" s="206"/>
      <c r="F137" s="206"/>
      <c r="G137" s="206"/>
      <c r="H137" s="206"/>
      <c r="I137" s="13"/>
      <c r="J137" s="13"/>
    </row>
    <row r="138" spans="1:10" x14ac:dyDescent="0.3">
      <c r="A138" s="150" t="s">
        <v>460</v>
      </c>
      <c r="B138" s="148" t="s">
        <v>461</v>
      </c>
      <c r="C138" s="18"/>
      <c r="D138" s="87">
        <f>IF(OR((D61)&lt;=0,(D36)&lt;0),"n/m",(D36)/(D61))</f>
        <v>1.3386079458938223</v>
      </c>
      <c r="E138" s="87">
        <f>IF(OR((E61)&lt;=0,(E36)&lt;0),"n/m",(E36)/(E61))</f>
        <v>1.4760766300374313</v>
      </c>
      <c r="F138" s="87">
        <f>IF(OR((F61)&lt;=0,(F36)&lt;0),"n/m",(F36)/(F61))</f>
        <v>1.290071633326858</v>
      </c>
      <c r="G138" s="87">
        <f>IF(OR((G61)&lt;=0,(G36)&lt;0),"n/m",(G36)/(G61))</f>
        <v>1.2632222354743232</v>
      </c>
      <c r="H138" s="87">
        <f>IF(OR((H61)&lt;=0,(H36)&lt;0),"n/m",(H36)/(H61))</f>
        <v>1.7146143875904156</v>
      </c>
      <c r="I138" s="8" t="s">
        <v>462</v>
      </c>
    </row>
    <row r="139" spans="1:10" x14ac:dyDescent="0.3">
      <c r="A139" s="150" t="s">
        <v>463</v>
      </c>
      <c r="B139" s="148" t="s">
        <v>464</v>
      </c>
      <c r="C139" s="18"/>
      <c r="D139" s="87">
        <f>IF(OR((D61)&lt;=0,(D36-D65)&lt;0),"n/m",(D36-D65)/(D61))</f>
        <v>0.89000886100685095</v>
      </c>
      <c r="E139" s="87">
        <f>IF(OR((E61)&lt;=0,(E36-E65)&lt;0),"n/m",(E36-E65)/(E61))</f>
        <v>0.87076091919208631</v>
      </c>
      <c r="F139" s="87">
        <f>IF(OR((F61)&lt;=0,(F36-F65)&lt;0),"n/m",(F36-F65)/(F61))</f>
        <v>0.85412226562426408</v>
      </c>
      <c r="G139" s="87">
        <f>IF(OR((G61)&lt;=0,(G36-G65)&lt;0),"n/m",(G36-G65)/(G61))</f>
        <v>0.83698311631700717</v>
      </c>
      <c r="H139" s="87">
        <f>IF(OR((H61)&lt;=0,(H36-H65)&lt;0),"n/m",(H36-H65)/(H61))</f>
        <v>1.2939267138361998</v>
      </c>
      <c r="I139" s="8" t="s">
        <v>462</v>
      </c>
    </row>
    <row r="140" spans="1:10" x14ac:dyDescent="0.3">
      <c r="A140" s="150" t="s">
        <v>465</v>
      </c>
      <c r="B140" s="148" t="s">
        <v>466</v>
      </c>
      <c r="C140" s="18"/>
      <c r="D140" s="87">
        <f>IF(OR((D61)&lt;=0,(D34)&lt;0),"n/m",(D34)/(D61))</f>
        <v>9.2981138751599135E-2</v>
      </c>
      <c r="E140" s="87">
        <f>IF(OR((E61)&lt;=0,(E34)&lt;0),"n/m",(E34)/(E61))</f>
        <v>0.12750015990720837</v>
      </c>
      <c r="F140" s="87">
        <f>IF(OR((F61)&lt;=0,(F34)&lt;0),"n/m",(F34)/(F61))</f>
        <v>8.9131716180629636E-2</v>
      </c>
      <c r="G140" s="87">
        <f>IF(OR((G61)&lt;=0,(G34)&lt;0),"n/m",(G34)/(G61))</f>
        <v>4.7374946328530058E-2</v>
      </c>
      <c r="H140" s="87">
        <f>IF(OR((H61)&lt;=0,(H34)&lt;0),"n/m",(H34)/(H61))</f>
        <v>4.7582830711888222E-2</v>
      </c>
      <c r="I140" s="8" t="s">
        <v>462</v>
      </c>
    </row>
    <row r="141" spans="1:10" x14ac:dyDescent="0.3">
      <c r="A141" s="150" t="s">
        <v>467</v>
      </c>
      <c r="B141" s="148" t="s">
        <v>468</v>
      </c>
      <c r="C141" s="18"/>
      <c r="D141" s="88">
        <f>IF(OR((1)&lt;=0,(D36-D61)&lt;0),"n/m",(D36-D61)/(1))</f>
        <v>10289.302000000007</v>
      </c>
      <c r="E141" s="88">
        <f>IF(OR((1)&lt;=0,(E36-E61)&lt;0),"n/m",(E36-E61)/(1))</f>
        <v>14454.333000000006</v>
      </c>
      <c r="F141" s="88">
        <f>IF(OR((1)&lt;=0,(F36-F61)&lt;0),"n/m",(F36-F61)/(1))</f>
        <v>13395.762999999999</v>
      </c>
      <c r="G141" s="88">
        <f>IF(OR((1)&lt;=0,(G36-G61)&lt;0),"n/m",(G36-G61)/(1))</f>
        <v>14263.611000000004</v>
      </c>
      <c r="H141" s="88">
        <f>IF(OR((1)&lt;=0,(H36-H61)&lt;0),"n/m",(H36-H61)/(1))</f>
        <v>41905.97600000001</v>
      </c>
      <c r="I141" s="8" t="s">
        <v>245</v>
      </c>
    </row>
    <row r="142" spans="1:10" x14ac:dyDescent="0.3">
      <c r="A142" s="150" t="s">
        <v>469</v>
      </c>
      <c r="B142" s="148" t="s">
        <v>470</v>
      </c>
      <c r="C142" s="18"/>
      <c r="D142" s="88" t="str">
        <f>IF(OR((1)&lt;=0,(D72-D73)&lt;0),"n/m",(D72-D73)/(1))</f>
        <v>n/m</v>
      </c>
      <c r="E142" s="88" t="str">
        <f>IF(OR((1)&lt;=0,(E72-E73)&lt;0),"n/m",(E72-E73)/(1))</f>
        <v>n/m</v>
      </c>
      <c r="F142" s="88" t="str">
        <f>IF(OR((1)&lt;=0,(F72-F73)&lt;0),"n/m",(F72-F73)/(1))</f>
        <v>n/m</v>
      </c>
      <c r="G142" s="88" t="str">
        <f>IF(OR((1)&lt;=0,(G72-G73)&lt;0),"n/m",(G72-G73)/(1))</f>
        <v>n/m</v>
      </c>
      <c r="H142" s="88" t="str">
        <f>IF(OR((1)&lt;=0,(H72-H73)&lt;0),"n/m",(H72-H73)/(1))</f>
        <v>n/m</v>
      </c>
      <c r="I142" s="8" t="s">
        <v>245</v>
      </c>
    </row>
    <row r="143" spans="1:10" ht="22.05" customHeight="1" x14ac:dyDescent="0.3">
      <c r="A143" s="207" t="s">
        <v>471</v>
      </c>
      <c r="B143" s="205"/>
      <c r="C143" s="206"/>
      <c r="D143" s="206"/>
      <c r="E143" s="206"/>
      <c r="F143" s="206"/>
      <c r="G143" s="206"/>
      <c r="H143" s="206"/>
      <c r="I143" s="13"/>
      <c r="J143" s="13"/>
    </row>
    <row r="144" spans="1:10" x14ac:dyDescent="0.3">
      <c r="A144" s="150" t="s">
        <v>472</v>
      </c>
      <c r="B144" s="148" t="s">
        <v>473</v>
      </c>
      <c r="C144" s="18"/>
      <c r="D144" s="87">
        <f>IF(OR((AVERAGE(C65,D65))&lt;=0,(-D85)&lt;0),"n/m",(-D85)/(AVERAGE(C65,D65)))</f>
        <v>3.8136073127139278</v>
      </c>
      <c r="E144" s="87">
        <f>IF(OR((AVERAGE(D65,E65))&lt;=0,(-E85)&lt;0),"n/m",(-E85)/(AVERAGE(D65,E65)))</f>
        <v>3.657733126059421</v>
      </c>
      <c r="F144" s="87">
        <f>IF(OR((AVERAGE(E65,F65))&lt;=0,(-F85)&lt;0),"n/m",(-F85)/(AVERAGE(E65,F65)))</f>
        <v>3.6234818387767853</v>
      </c>
      <c r="G144" s="87">
        <f>IF(OR((AVERAGE(F65,G65))&lt;=0,(-G85)&lt;0),"n/m",(-G85)/(AVERAGE(F65,G65)))</f>
        <v>3.5401699550948362</v>
      </c>
      <c r="H144" s="87">
        <f>IF(OR((AVERAGE(G65,H65))&lt;=0,(-H85)&lt;0),"n/m",(-H85)/(AVERAGE(G65,H65)))</f>
        <v>3.4260949525900268</v>
      </c>
      <c r="I144" s="8" t="s">
        <v>462</v>
      </c>
    </row>
    <row r="145" spans="1:10" x14ac:dyDescent="0.3">
      <c r="A145" s="150" t="s">
        <v>474</v>
      </c>
      <c r="B145" s="148" t="s">
        <v>475</v>
      </c>
      <c r="C145" s="18"/>
      <c r="D145" s="87">
        <f>IF(OR((AVERAGE(C32,D32))&lt;=0,(D84)&lt;0),"n/m",(D84)/(AVERAGE(C32,D32)))</f>
        <v>20.525799758937445</v>
      </c>
      <c r="E145" s="87">
        <f>IF(OR((AVERAGE(D32,E32))&lt;=0,(E84)&lt;0),"n/m",(E84)/(AVERAGE(D32,E32)))</f>
        <v>26.020654219821807</v>
      </c>
      <c r="F145" s="87">
        <f>IF(OR((AVERAGE(E32,F32))&lt;=0,(F84)&lt;0),"n/m",(F84)/(AVERAGE(E32,F32)))</f>
        <v>22.253946370189343</v>
      </c>
      <c r="G145" s="87">
        <f>IF(OR((AVERAGE(F32,G32))&lt;=0,(G84)&lt;0),"n/m",(G84)/(AVERAGE(F32,G32)))</f>
        <v>19.185416979630755</v>
      </c>
      <c r="H145" s="87">
        <f>IF(OR((AVERAGE(G32,H32))&lt;=0,(H84)&lt;0),"n/m",(H84)/(AVERAGE(G32,H32)))</f>
        <v>18.743761644592638</v>
      </c>
      <c r="I145" s="8" t="s">
        <v>462</v>
      </c>
    </row>
    <row r="146" spans="1:10" x14ac:dyDescent="0.3">
      <c r="A146" s="150" t="s">
        <v>476</v>
      </c>
      <c r="B146" s="148" t="s">
        <v>477</v>
      </c>
      <c r="C146" s="18"/>
      <c r="D146" s="87">
        <f>IF(OR((AVERAGE(C51,D51))&lt;=0,(-D85)&lt;0),"n/m",(-D85)/(AVERAGE(C51,D51)))</f>
        <v>16.047824735429948</v>
      </c>
      <c r="E146" s="87">
        <f>IF(OR((AVERAGE(D51,E51))&lt;=0,(-E85)&lt;0),"n/m",(-E85)/(AVERAGE(D51,E51)))</f>
        <v>18.777106060975406</v>
      </c>
      <c r="F146" s="87">
        <f>IF(OR((AVERAGE(E51,F51))&lt;=0,(-F85)&lt;0),"n/m",(-F85)/(AVERAGE(E51,F51)))</f>
        <v>16.644862602259856</v>
      </c>
      <c r="G146" s="87">
        <f>IF(OR((AVERAGE(F51,G51))&lt;=0,(-G85)&lt;0),"n/m",(-G85)/(AVERAGE(F51,G51)))</f>
        <v>12.541557640159668</v>
      </c>
      <c r="H146" s="87">
        <f>IF(OR((AVERAGE(G51,H51))&lt;=0,(-H85)&lt;0),"n/m",(-H85)/(AVERAGE(G51,H51)))</f>
        <v>12.034170742972393</v>
      </c>
      <c r="I146" s="8" t="s">
        <v>462</v>
      </c>
    </row>
    <row r="147" spans="1:10" x14ac:dyDescent="0.3">
      <c r="A147" s="150" t="s">
        <v>478</v>
      </c>
      <c r="B147" s="148" t="s">
        <v>479</v>
      </c>
      <c r="C147" s="18"/>
      <c r="D147" s="89">
        <f>IF(OR((-D85)&lt;=0,(365*AVERAGE(C65,D65))&lt;0),"n/m",(365*AVERAGE(C65,D65))/(-D85))</f>
        <v>95.709906676324849</v>
      </c>
      <c r="E147" s="89">
        <f>IF(OR((-E85)&lt;=0,(365*AVERAGE(D65,E65))&lt;0),"n/m",(365*AVERAGE(D65,E65))/(-E85))</f>
        <v>99.788581457615734</v>
      </c>
      <c r="F147" s="89">
        <f>IF(OR((-F85)&lt;=0,(365*AVERAGE(E65,F65))&lt;0),"n/m",(365*AVERAGE(E65,F65))/(-F85))</f>
        <v>100.73184197970664</v>
      </c>
      <c r="G147" s="89">
        <f>IF(OR((-G85)&lt;=0,(365*AVERAGE(F65,G65))&lt;0),"n/m",(365*AVERAGE(F65,G65))/(-G85))</f>
        <v>103.10239469568691</v>
      </c>
      <c r="H147" s="89">
        <f>IF(OR((-H85)&lt;=0,(365*AVERAGE(G65,H65))&lt;0),"n/m",(365*AVERAGE(G65,H65))/(-H85))</f>
        <v>106.53528435458882</v>
      </c>
      <c r="I147" s="8" t="s">
        <v>480</v>
      </c>
    </row>
    <row r="148" spans="1:10" x14ac:dyDescent="0.3">
      <c r="A148" s="150" t="s">
        <v>481</v>
      </c>
      <c r="B148" s="148" t="s">
        <v>482</v>
      </c>
      <c r="C148" s="18"/>
      <c r="D148" s="89">
        <f>IF(OR((D84)&lt;=0,(365*AVERAGE(C32,D32))&lt;0),"n/m",(365*AVERAGE(C32,D32))/(D84))</f>
        <v>17.782498333156049</v>
      </c>
      <c r="E148" s="89">
        <f>IF(OR((E84)&lt;=0,(365*AVERAGE(D32,E32))&lt;0),"n/m",(365*AVERAGE(D32,E32))/(E84))</f>
        <v>14.027318333985361</v>
      </c>
      <c r="F148" s="89">
        <f>IF(OR((F84)&lt;=0,(365*AVERAGE(E32,F32))&lt;0),"n/m",(365*AVERAGE(E32,F32))/(F84))</f>
        <v>16.401585315624828</v>
      </c>
      <c r="G148" s="89">
        <f>IF(OR((G84)&lt;=0,(365*AVERAGE(F32,G32))&lt;0),"n/m",(365*AVERAGE(F32,G32))/(G84))</f>
        <v>19.024866667611246</v>
      </c>
      <c r="H148" s="89">
        <f>IF(OR((H84)&lt;=0,(365*AVERAGE(G32,H32))&lt;0),"n/m",(365*AVERAGE(G32,H32))/(H84))</f>
        <v>19.473145621508603</v>
      </c>
      <c r="I148" s="8" t="s">
        <v>480</v>
      </c>
    </row>
    <row r="149" spans="1:10" x14ac:dyDescent="0.3">
      <c r="A149" s="150" t="s">
        <v>483</v>
      </c>
      <c r="B149" s="148" t="s">
        <v>484</v>
      </c>
      <c r="C149" s="18"/>
      <c r="D149" s="89">
        <f>IF(OR((-D85)&lt;=0,(365*AVERAGE(C51,D51))&lt;0),"n/m",(365*AVERAGE(C51,D51))/(-D85))</f>
        <v>22.744515597441875</v>
      </c>
      <c r="E149" s="89">
        <f>IF(OR((-E85)&lt;=0,(365*AVERAGE(D51,E51))&lt;0),"n/m",(365*AVERAGE(D51,E51))/(-E85))</f>
        <v>19.438565176908817</v>
      </c>
      <c r="F149" s="89">
        <f>IF(OR((-F85)&lt;=0,(365*AVERAGE(E51,F51))&lt;0),"n/m",(365*AVERAGE(E51,F51))/(-F85))</f>
        <v>21.928688071624236</v>
      </c>
      <c r="G149" s="89">
        <f>IF(OR((-G85)&lt;=0,(365*AVERAGE(F51,G51))&lt;0),"n/m",(365*AVERAGE(F51,G51))/(-G85))</f>
        <v>29.103243031888116</v>
      </c>
      <c r="H149" s="89">
        <f>IF(OR((-H85)&lt;=0,(365*AVERAGE(G51,H51))&lt;0),"n/m",(365*AVERAGE(G51,H51))/(-H85))</f>
        <v>30.330299261637901</v>
      </c>
      <c r="I149" s="8" t="s">
        <v>480</v>
      </c>
    </row>
    <row r="150" spans="1:10" x14ac:dyDescent="0.3">
      <c r="A150" s="150" t="s">
        <v>485</v>
      </c>
      <c r="B150" s="148" t="s">
        <v>486</v>
      </c>
      <c r="C150" s="18"/>
      <c r="D150" s="89">
        <f>IF(OR((1)&lt;=0,(365*AVERAGE(C65,D65)/(-D85)+365*AVERAGE(C32,D32)/D84)&lt;0),"n/m",(365*AVERAGE(C65,D65)/(-D85)+365*AVERAGE(C32,D32)/D84)/(1))</f>
        <v>113.4924050094809</v>
      </c>
      <c r="E150" s="89">
        <f>IF(OR((1)&lt;=0,(365*AVERAGE(D65,E65)/(-E85)+365*AVERAGE(D32,E32)/E84)&lt;0),"n/m",(365*AVERAGE(D65,E65)/(-E85)+365*AVERAGE(D32,E32)/E84)/(1))</f>
        <v>113.8158997916011</v>
      </c>
      <c r="F150" s="89">
        <f>IF(OR((1)&lt;=0,(365*AVERAGE(E65,F65)/(-F85)+365*AVERAGE(E32,F32)/F84)&lt;0),"n/m",(365*AVERAGE(E65,F65)/(-F85)+365*AVERAGE(E32,F32)/F84)/(1))</f>
        <v>117.13342729533147</v>
      </c>
      <c r="G150" s="89">
        <f>IF(OR((1)&lt;=0,(365*AVERAGE(F65,G65)/(-G85)+365*AVERAGE(F32,G32)/G84)&lt;0),"n/m",(365*AVERAGE(F65,G65)/(-G85)+365*AVERAGE(F32,G32)/G84)/(1))</f>
        <v>122.12726136329816</v>
      </c>
      <c r="H150" s="89">
        <f>IF(OR((1)&lt;=0,(365*AVERAGE(G65,H65)/(-H85)+365*AVERAGE(G32,H32)/H84)&lt;0),"n/m",(365*AVERAGE(G65,H65)/(-H85)+365*AVERAGE(G32,H32)/H84)/(1))</f>
        <v>126.00842997609743</v>
      </c>
      <c r="I150" s="8" t="s">
        <v>480</v>
      </c>
    </row>
    <row r="151" spans="1:10" x14ac:dyDescent="0.3">
      <c r="A151" s="150" t="s">
        <v>487</v>
      </c>
      <c r="B151" s="148" t="s">
        <v>488</v>
      </c>
      <c r="C151" s="18"/>
      <c r="D151" s="89">
        <f>IF(OR((1)&lt;=0,(365*AVERAGE(C65,D65)/(-D85)+365*AVERAGE(C32,D32)/D84-365*AVERAGE(C51,D51)/(-D85))&lt;0),"n/m",(365*AVERAGE(C65,D65)/(-D85)+365*AVERAGE(C32,D32)/D84-365*AVERAGE(C51,D51)/(-D85))/(1))</f>
        <v>90.747889412039029</v>
      </c>
      <c r="E151" s="89">
        <f>IF(OR((1)&lt;=0,(365*AVERAGE(D65,E65)/(-E85)+365*AVERAGE(D32,E32)/E84-365*AVERAGE(D51,E51)/(-E85))&lt;0),"n/m",(365*AVERAGE(D65,E65)/(-E85)+365*AVERAGE(D32,E32)/E84-365*AVERAGE(D51,E51)/(-E85))/(1))</f>
        <v>94.377334614692273</v>
      </c>
      <c r="F151" s="89">
        <f>IF(OR((1)&lt;=0,(365*AVERAGE(E65,F65)/(-F85)+365*AVERAGE(E32,F32)/F84-365*AVERAGE(E51,F51)/(-F85))&lt;0),"n/m",(365*AVERAGE(E65,F65)/(-F85)+365*AVERAGE(E32,F32)/F84-365*AVERAGE(E51,F51)/(-F85))/(1))</f>
        <v>95.204739223707236</v>
      </c>
      <c r="G151" s="89">
        <f>IF(OR((1)&lt;=0,(365*AVERAGE(F65,G65)/(-G85)+365*AVERAGE(F32,G32)/G84-365*AVERAGE(F51,G51)/(-G85))&lt;0),"n/m",(365*AVERAGE(F65,G65)/(-G85)+365*AVERAGE(F32,G32)/G84-365*AVERAGE(F51,G51)/(-G85))/(1))</f>
        <v>93.024018331410048</v>
      </c>
      <c r="H151" s="89">
        <f>IF(OR((1)&lt;=0,(365*AVERAGE(G65,H65)/(-H85)+365*AVERAGE(G32,H32)/H84-365*AVERAGE(G51,H51)/(-H85))&lt;0),"n/m",(365*AVERAGE(G65,H65)/(-H85)+365*AVERAGE(G32,H32)/H84-365*AVERAGE(G51,H51)/(-H85))/(1))</f>
        <v>95.678130714459527</v>
      </c>
      <c r="I151" s="8" t="s">
        <v>480</v>
      </c>
    </row>
    <row r="152" spans="1:10" x14ac:dyDescent="0.3">
      <c r="A152" s="150" t="s">
        <v>489</v>
      </c>
      <c r="B152" s="148" t="s">
        <v>490</v>
      </c>
      <c r="C152" s="18"/>
      <c r="D152" s="87">
        <f>IF(OR((AVERAGE(C37,D37))&lt;=0,(D84)&lt;0),"n/m",(D84)/(AVERAGE(C37,D37)))</f>
        <v>0.43075247100519976</v>
      </c>
      <c r="E152" s="87">
        <f>IF(OR((AVERAGE(D37,E37))&lt;=0,(E84)&lt;0),"n/m",(E84)/(AVERAGE(D37,E37)))</f>
        <v>0.47516141470304879</v>
      </c>
      <c r="F152" s="87">
        <f>IF(OR((AVERAGE(E37,F37))&lt;=0,(F84)&lt;0),"n/m",(F84)/(AVERAGE(E37,F37)))</f>
        <v>0.4815184479475107</v>
      </c>
      <c r="G152" s="87">
        <f>IF(OR((AVERAGE(F37,G37))&lt;=0,(G84)&lt;0),"n/m",(G84)/(AVERAGE(F37,G37)))</f>
        <v>0.51588313723050583</v>
      </c>
      <c r="H152" s="87">
        <f>IF(OR((AVERAGE(G37,H37))&lt;=0,(H84)&lt;0),"n/m",(H84)/(AVERAGE(G37,H37)))</f>
        <v>0.49728501600707337</v>
      </c>
      <c r="I152" s="8" t="s">
        <v>462</v>
      </c>
    </row>
    <row r="153" spans="1:10" x14ac:dyDescent="0.3">
      <c r="A153" s="150" t="s">
        <v>491</v>
      </c>
      <c r="B153" s="148" t="s">
        <v>492</v>
      </c>
      <c r="C153" s="18"/>
      <c r="D153" s="87">
        <f>IF(OR((AVERAGE(C22,D22))&lt;=0,(D84)&lt;0),"n/m",(D84)/(AVERAGE(C22,D22)))</f>
        <v>1.0641934084392231</v>
      </c>
      <c r="E153" s="87">
        <f>IF(OR((AVERAGE(D22,E22))&lt;=0,(E84)&lt;0),"n/m",(E84)/(AVERAGE(D22,E22)))</f>
        <v>1.3656161868044014</v>
      </c>
      <c r="F153" s="87">
        <f>IF(OR((AVERAGE(E22,F22))&lt;=0,(F84)&lt;0),"n/m",(F84)/(AVERAGE(E22,F22)))</f>
        <v>1.2739571002729932</v>
      </c>
      <c r="G153" s="87">
        <f>IF(OR((AVERAGE(F22,G22))&lt;=0,(G84)&lt;0),"n/m",(G84)/(AVERAGE(F22,G22)))</f>
        <v>1.242164612598929</v>
      </c>
      <c r="H153" s="87">
        <f>IF(OR((AVERAGE(G22,H22))&lt;=0,(H84)&lt;0),"n/m",(H84)/(AVERAGE(G22,H22)))</f>
        <v>1.2601477514941262</v>
      </c>
      <c r="I153" s="8" t="s">
        <v>462</v>
      </c>
    </row>
    <row r="154" spans="1:10" ht="22.05" customHeight="1" x14ac:dyDescent="0.3">
      <c r="A154" s="207" t="s">
        <v>493</v>
      </c>
      <c r="B154" s="205"/>
      <c r="C154" s="206"/>
      <c r="D154" s="206"/>
      <c r="E154" s="206"/>
      <c r="F154" s="206"/>
      <c r="G154" s="206"/>
      <c r="H154" s="206"/>
      <c r="I154" s="13"/>
      <c r="J154" s="13"/>
    </row>
    <row r="155" spans="1:10" x14ac:dyDescent="0.3">
      <c r="A155" s="150" t="s">
        <v>494</v>
      </c>
      <c r="B155" s="148" t="s">
        <v>495</v>
      </c>
      <c r="C155" s="18"/>
      <c r="D155" s="90">
        <f>IF(OR((D37)&lt;=0,(D62)&lt;0),"n/m",(D62)/(D37))</f>
        <v>0.27606535150381284</v>
      </c>
      <c r="E155" s="90">
        <f>IF(OR((E37)&lt;=0,(E62)&lt;0),"n/m",(E62)/(E37))</f>
        <v>0.30504607293955061</v>
      </c>
      <c r="F155" s="90">
        <f>IF(OR((F37)&lt;=0,(F62)&lt;0),"n/m",(F62)/(F37))</f>
        <v>0.35532697822447284</v>
      </c>
      <c r="G155" s="90">
        <f>IF(OR((G37)&lt;=0,(G62)&lt;0),"n/m",(G62)/(G37))</f>
        <v>0.36859036410390322</v>
      </c>
      <c r="H155" s="90">
        <f>IF(OR((H37)&lt;=0,(H62)&lt;0),"n/m",(H62)/(H37))</f>
        <v>0.34053721034041001</v>
      </c>
      <c r="I155" s="8" t="s">
        <v>412</v>
      </c>
    </row>
    <row r="156" spans="1:10" x14ac:dyDescent="0.3">
      <c r="A156" s="150" t="s">
        <v>496</v>
      </c>
      <c r="B156" s="148" t="s">
        <v>497</v>
      </c>
      <c r="C156" s="18"/>
      <c r="D156" s="87">
        <f>IF(OR((D41)&lt;=0,(D62)&lt;0),"n/m",(D62)/(D41))</f>
        <v>0.38134015560282553</v>
      </c>
      <c r="E156" s="87">
        <f>IF(OR((E41)&lt;=0,(E62)&lt;0),"n/m",(E62)/(E41))</f>
        <v>0.43894431135866752</v>
      </c>
      <c r="F156" s="87">
        <f>IF(OR((F41)&lt;=0,(F62)&lt;0),"n/m",(F62)/(F41))</f>
        <v>0.5511739536514938</v>
      </c>
      <c r="G156" s="87">
        <f>IF(OR((G41)&lt;=0,(G62)&lt;0),"n/m",(G62)/(G41))</f>
        <v>0.58375790160503283</v>
      </c>
      <c r="H156" s="87">
        <f>IF(OR((H41)&lt;=0,(H62)&lt;0),"n/m",(H62)/(H41))</f>
        <v>0.5163857850360184</v>
      </c>
      <c r="I156" s="8" t="s">
        <v>462</v>
      </c>
    </row>
    <row r="157" spans="1:10" x14ac:dyDescent="0.3">
      <c r="A157" s="150" t="s">
        <v>498</v>
      </c>
      <c r="B157" s="148" t="s">
        <v>499</v>
      </c>
      <c r="C157" s="18"/>
      <c r="D157" s="90">
        <f>IF(OR((D66+D41)&lt;=0,(D66)&lt;0),"n/m",(D66)/(D66+D41))</f>
        <v>8.4815663134025443E-2</v>
      </c>
      <c r="E157" s="90">
        <f>IF(OR((E66+E41)&lt;=0,(E66)&lt;0),"n/m",(E66)/(E66+E41))</f>
        <v>0.10820094237127705</v>
      </c>
      <c r="F157" s="90">
        <f>IF(OR((F66+F41)&lt;=0,(F66)&lt;0),"n/m",(F66)/(F66+F41))</f>
        <v>0.13283363678865434</v>
      </c>
      <c r="G157" s="90">
        <f>IF(OR((G66+G41)&lt;=0,(G66)&lt;0),"n/m",(G66)/(G66+G41))</f>
        <v>0.12102350075289672</v>
      </c>
      <c r="H157" s="90">
        <f>IF(OR((H66+H41)&lt;=0,(H66)&lt;0),"n/m",(H66)/(H66+H41))</f>
        <v>9.0648585990198302E-2</v>
      </c>
      <c r="I157" s="8" t="s">
        <v>412</v>
      </c>
    </row>
    <row r="158" spans="1:10" x14ac:dyDescent="0.3">
      <c r="A158" s="150" t="s">
        <v>500</v>
      </c>
      <c r="B158" s="148" t="s">
        <v>501</v>
      </c>
      <c r="C158" s="18"/>
      <c r="D158" s="90">
        <f>IF(OR((D37)&lt;=0,(D67)&lt;0),"n/m",(D67)/(D37))</f>
        <v>1.8763703805448454E-2</v>
      </c>
      <c r="E158" s="90">
        <f>IF(OR((E37)&lt;=0,(E67)&lt;0),"n/m",(E67)/(E37))</f>
        <v>7.6277386327579882E-2</v>
      </c>
      <c r="F158" s="90">
        <f>IF(OR((F37)&lt;=0,(F67)&lt;0),"n/m",(F67)/(F37))</f>
        <v>6.8318742919969699E-2</v>
      </c>
      <c r="G158" s="90">
        <f>IF(OR((G37)&lt;=0,(G67)&lt;0),"n/m",(G67)/(G37))</f>
        <v>5.4528421285721974E-2</v>
      </c>
      <c r="H158" s="90">
        <f>IF(OR((H37)&lt;=0,(H67)&lt;0),"n/m",(H67)/(H37))</f>
        <v>3.4431452033591402E-2</v>
      </c>
      <c r="I158" s="8" t="s">
        <v>412</v>
      </c>
    </row>
    <row r="159" spans="1:10" x14ac:dyDescent="0.3">
      <c r="A159" s="150" t="s">
        <v>502</v>
      </c>
      <c r="B159" s="148" t="s">
        <v>503</v>
      </c>
      <c r="C159" s="18"/>
      <c r="D159" s="87">
        <f>IF(OR((D106)&lt;=0,(D108)&lt;0),"n/m",(D108)/(D106))</f>
        <v>52.042228263318378</v>
      </c>
      <c r="E159" s="87">
        <f>IF(OR((E106)&lt;=0,(E108)&lt;0),"n/m",(E108)/(E106))</f>
        <v>55.297361076962446</v>
      </c>
      <c r="F159" s="87">
        <f>IF(OR((F106)&lt;=0,(F108)&lt;0),"n/m",(F108)/(F106))</f>
        <v>19.427961435835122</v>
      </c>
      <c r="G159" s="87">
        <f>IF(OR((G106)&lt;=0,(G108)&lt;0),"n/m",(G108)/(G106))</f>
        <v>27.534616013098077</v>
      </c>
      <c r="H159" s="87">
        <f>IF(OR((H106)&lt;=0,(H108)&lt;0),"n/m",(H108)/(H106))</f>
        <v>36.720891491779703</v>
      </c>
      <c r="I159" s="8" t="s">
        <v>462</v>
      </c>
    </row>
    <row r="160" spans="1:10" ht="22.05" customHeight="1" x14ac:dyDescent="0.3">
      <c r="A160" s="205" t="s">
        <v>504</v>
      </c>
      <c r="B160" s="207"/>
      <c r="C160" s="206"/>
      <c r="D160" s="208"/>
      <c r="E160" s="208"/>
      <c r="F160" s="208"/>
      <c r="G160" s="208"/>
      <c r="H160" s="208"/>
      <c r="I160" s="8" t="s">
        <v>462</v>
      </c>
    </row>
    <row r="161" spans="1:10" x14ac:dyDescent="0.3">
      <c r="A161" s="150" t="s">
        <v>505</v>
      </c>
      <c r="B161" s="148" t="s">
        <v>506</v>
      </c>
      <c r="C161" s="18"/>
      <c r="D161" s="90">
        <f>IF(OR((D84)&lt;=0,(D86)&lt;0),"n/m",(D86)/(D84))</f>
        <v>0.30117079055471246</v>
      </c>
      <c r="E161" s="90">
        <f>IF(OR((E84)&lt;=0,(E86)&lt;0),"n/m",(E86)/(E84))</f>
        <v>0.27809669144361399</v>
      </c>
      <c r="F161" s="90">
        <f>IF(OR((F84)&lt;=0,(F86)&lt;0),"n/m",(F86)/(F84))</f>
        <v>0.27194087595679139</v>
      </c>
      <c r="G161" s="90">
        <f>IF(OR((G84)&lt;=0,(G86)&lt;0),"n/m",(G86)/(G84))</f>
        <v>0.33648030796321582</v>
      </c>
      <c r="H161" s="90">
        <f>IF(OR((H84)&lt;=0,(H86)&lt;0),"n/m",(H86)/(H84))</f>
        <v>0.34281652982067301</v>
      </c>
      <c r="I161" s="13"/>
      <c r="J161" s="13"/>
    </row>
    <row r="162" spans="1:10" x14ac:dyDescent="0.3">
      <c r="A162" s="150" t="s">
        <v>507</v>
      </c>
      <c r="B162" s="148" t="s">
        <v>508</v>
      </c>
      <c r="C162" s="18"/>
      <c r="D162" s="90">
        <f>IF(OR((D84)&lt;=0,(D91)&lt;0),"n/m",(D91)/(D84))</f>
        <v>0.18004359810777762</v>
      </c>
      <c r="E162" s="90">
        <f>IF(OR((E84)&lt;=0,(E91)&lt;0),"n/m",(E91)/(E84))</f>
        <v>0.1779173984606045</v>
      </c>
      <c r="F162" s="90">
        <f>IF(OR((F84)&lt;=0,(F91)&lt;0),"n/m",(F91)/(F84))</f>
        <v>0.17181730260097375</v>
      </c>
      <c r="G162" s="90">
        <f>IF(OR((G84)&lt;=0,(G91)&lt;0),"n/m",(G91)/(G84))</f>
        <v>0.22886089116784467</v>
      </c>
      <c r="H162" s="90">
        <f>IF(OR((H84)&lt;=0,(H91)&lt;0),"n/m",(H91)/(H84))</f>
        <v>0.22670718514712962</v>
      </c>
      <c r="I162" s="8" t="s">
        <v>412</v>
      </c>
    </row>
    <row r="163" spans="1:10" x14ac:dyDescent="0.3">
      <c r="A163" s="150" t="s">
        <v>509</v>
      </c>
      <c r="B163" s="148" t="s">
        <v>510</v>
      </c>
      <c r="C163" s="18"/>
      <c r="D163" s="90">
        <f>IF(OR((D84)&lt;=0,(D99)&lt;0),"n/m",(D99)/(D84))</f>
        <v>0.22354637821997994</v>
      </c>
      <c r="E163" s="90">
        <f>IF(OR((E84)&lt;=0,(E99)&lt;0),"n/m",(E99)/(E84))</f>
        <v>0.18865400166042842</v>
      </c>
      <c r="F163" s="90">
        <f>IF(OR((F84)&lt;=0,(F99)&lt;0),"n/m",(F99)/(F84))</f>
        <v>0.14322765825125466</v>
      </c>
      <c r="G163" s="90">
        <f>IF(OR((G84)&lt;=0,(G99)&lt;0),"n/m",(G99)/(G84))</f>
        <v>0.24371604713228476</v>
      </c>
      <c r="H163" s="90">
        <f>IF(OR((H84)&lt;=0,(H99)&lt;0),"n/m",(H99)/(H84))</f>
        <v>0.26577542757733763</v>
      </c>
      <c r="I163" s="8" t="s">
        <v>412</v>
      </c>
    </row>
    <row r="164" spans="1:10" x14ac:dyDescent="0.3">
      <c r="A164" s="150" t="s">
        <v>511</v>
      </c>
      <c r="B164" s="148" t="s">
        <v>512</v>
      </c>
      <c r="C164" s="18"/>
      <c r="D164" s="90">
        <f>IF(OR((AVERAGE(C37,D37))&lt;=0,(D99)&lt;0),"n/m",(D99)/(AVERAGE(C37,D37)))</f>
        <v>9.6293154802519321E-2</v>
      </c>
      <c r="E164" s="90">
        <f>IF(OR((AVERAGE(D37,E37))&lt;=0,(E99)&lt;0),"n/m",(E99)/(AVERAGE(D37,E37)))</f>
        <v>8.9641102318360491E-2</v>
      </c>
      <c r="F164" s="90">
        <f>IF(OR((AVERAGE(E37,F37))&lt;=0,(F99)&lt;0),"n/m",(F99)/(AVERAGE(E37,F37)))</f>
        <v>6.896675970430062E-2</v>
      </c>
      <c r="G164" s="90">
        <f>IF(OR((AVERAGE(F37,G37))&lt;=0,(G99)&lt;0),"n/m",(G99)/(AVERAGE(F37,G37)))</f>
        <v>0.12572899898802087</v>
      </c>
      <c r="H164" s="90">
        <f>IF(OR((AVERAGE(G37,H37))&lt;=0,(H99)&lt;0),"n/m",(H99)/(AVERAGE(G37,H37)))</f>
        <v>0.13216613775708311</v>
      </c>
      <c r="I164" s="8" t="s">
        <v>412</v>
      </c>
    </row>
    <row r="165" spans="1:10" x14ac:dyDescent="0.3">
      <c r="A165" s="150" t="s">
        <v>513</v>
      </c>
      <c r="B165" s="148" t="s">
        <v>514</v>
      </c>
      <c r="C165" s="18"/>
      <c r="D165" s="90">
        <f>IF(OR((AVERAGE(C41,D41))&lt;=0,(D99)&lt;0),"n/m",(D99)/(AVERAGE(C41,D41)))</f>
        <v>0.13249756211762712</v>
      </c>
      <c r="E165" s="90">
        <f>IF(OR((AVERAGE(D41,E41))&lt;=0,(E99)&lt;0),"n/m",(E99)/(AVERAGE(D41,E41)))</f>
        <v>0.12657053998488341</v>
      </c>
      <c r="F165" s="90">
        <f>IF(OR((AVERAGE(E41,F41))&lt;=0,(F99)&lt;0),"n/m",(F99)/(AVERAGE(E41,F41)))</f>
        <v>0.10323783929435384</v>
      </c>
      <c r="G165" s="90">
        <f>IF(OR((AVERAGE(F41,G41))&lt;=0,(G99)&lt;0),"n/m",(G99)/(AVERAGE(F41,G41)))</f>
        <v>0.19715059997190104</v>
      </c>
      <c r="H165" s="90">
        <f>IF(OR((AVERAGE(G41,H41))&lt;=0,(H99)&lt;0),"n/m",(H99)/(AVERAGE(G41,H41)))</f>
        <v>0.2044798130421526</v>
      </c>
      <c r="I165" s="8" t="s">
        <v>412</v>
      </c>
    </row>
    <row r="166" spans="1:10" x14ac:dyDescent="0.3">
      <c r="A166" s="150" t="s">
        <v>515</v>
      </c>
      <c r="B166" s="148" t="s">
        <v>516</v>
      </c>
      <c r="C166" s="18"/>
      <c r="D166" s="90">
        <f>IF(OR((AVERAGE(C70,D70))&lt;=0,(D113)&lt;0),"n/m",(D113)/(AVERAGE(C70,D70)))</f>
        <v>0.12407020191785936</v>
      </c>
      <c r="E166" s="90">
        <f>IF(OR((AVERAGE(D70,E70))&lt;=0,(E113)&lt;0),"n/m",(E113)/(AVERAGE(D70,E70)))</f>
        <v>0.11634647447890245</v>
      </c>
      <c r="F166" s="90">
        <f>IF(OR((AVERAGE(E70,F70))&lt;=0,(F113)&lt;0),"n/m",(F113)/(AVERAGE(E70,F70)))</f>
        <v>9.5708914196974623E-2</v>
      </c>
      <c r="G166" s="90">
        <f>IF(OR((AVERAGE(F70,G70))&lt;=0,(G113)&lt;0),"n/m",(G113)/(AVERAGE(F70,G70)))</f>
        <v>0.17873836755692779</v>
      </c>
      <c r="H166" s="90">
        <f>IF(OR((AVERAGE(G70,H70))&lt;=0,(H113)&lt;0),"n/m",(H113)/(AVERAGE(G70,H70)))</f>
        <v>0.18835780074997993</v>
      </c>
      <c r="I166" s="8" t="s">
        <v>412</v>
      </c>
    </row>
    <row r="167" spans="1:10" x14ac:dyDescent="0.3">
      <c r="A167" s="150" t="s">
        <v>517</v>
      </c>
      <c r="B167" s="148" t="s">
        <v>518</v>
      </c>
      <c r="C167" s="18"/>
      <c r="D167" s="90">
        <f>IF(OR((AVERAGE(C37,D37))&lt;=0,(D108)&lt;0),"n/m",(D108)/(AVERAGE(C37,D37)))</f>
        <v>0.11856914427701815</v>
      </c>
      <c r="E167" s="90">
        <f>IF(OR((AVERAGE(D37,E37))&lt;=0,(E108)&lt;0),"n/m",(E108)/(AVERAGE(D37,E37)))</f>
        <v>0.12782774158166904</v>
      </c>
      <c r="F167" s="90">
        <f>IF(OR((AVERAGE(E37,F37))&lt;=0,(F108)&lt;0),"n/m",(F108)/(AVERAGE(E37,F37)))</f>
        <v>0.11311909776428172</v>
      </c>
      <c r="G167" s="90">
        <f>IF(OR((AVERAGE(F37,G37))&lt;=0,(G108)&lt;0),"n/m",(G108)/(AVERAGE(F37,G37)))</f>
        <v>0.19221205649491527</v>
      </c>
      <c r="H167" s="90">
        <f>IF(OR((AVERAGE(G37,H37))&lt;=0,(H108)&lt;0),"n/m",(H108)/(AVERAGE(G37,H37)))</f>
        <v>0.19447652728583156</v>
      </c>
      <c r="I167" s="8" t="s">
        <v>412</v>
      </c>
    </row>
    <row r="168" spans="1:10" ht="22.05" customHeight="1" x14ac:dyDescent="0.3">
      <c r="A168" s="205" t="s">
        <v>519</v>
      </c>
      <c r="B168" s="207"/>
      <c r="C168" s="206"/>
      <c r="D168" s="209"/>
      <c r="E168" s="209"/>
      <c r="F168" s="209"/>
      <c r="G168" s="209"/>
      <c r="H168" s="209"/>
      <c r="I168" s="8" t="s">
        <v>412</v>
      </c>
    </row>
    <row r="169" spans="1:10" x14ac:dyDescent="0.3">
      <c r="A169" s="150" t="s">
        <v>520</v>
      </c>
      <c r="B169" s="148" t="s">
        <v>521</v>
      </c>
      <c r="C169" s="18"/>
      <c r="D169" s="91">
        <f>IF(OR((D128)&lt;=0,(D41)&lt;0),"n/m",(D41)/(D128))</f>
        <v>350.05878005411677</v>
      </c>
      <c r="E169" s="91">
        <f>IF(OR((E128)&lt;=0,(E41)&lt;0),"n/m",(E41)/(E128))</f>
        <v>397.49617008117508</v>
      </c>
      <c r="F169" s="91">
        <f>IF(OR((F128)&lt;=0,(F41)&lt;0),"n/m",(F41)/(F128))</f>
        <v>440.50456229600826</v>
      </c>
      <c r="G169" s="91">
        <f>IF(OR((G128)&lt;=0,(G41)&lt;0),"n/m",(G41)/(G128))</f>
        <v>504.3046996587031</v>
      </c>
      <c r="H169" s="91">
        <f>IF(OR((H128)&lt;=0,(H41)&lt;0),"n/m",(H41)/(H128))</f>
        <v>120.07535836177475</v>
      </c>
      <c r="I169" s="8" t="s">
        <v>412</v>
      </c>
    </row>
    <row r="170" spans="1:10" x14ac:dyDescent="0.3">
      <c r="A170" s="150" t="s">
        <v>522</v>
      </c>
      <c r="B170" s="148" t="s">
        <v>523</v>
      </c>
      <c r="C170" s="18"/>
      <c r="D170" s="87">
        <f>IF(OR((D41/D128)&lt;=0,(D130)&lt;0),"n/m",(D130)/(D41/D128))</f>
        <v>2.4665571875286716</v>
      </c>
      <c r="E170" s="87">
        <f>IF(OR((E41/E128)&lt;=0,(E130)&lt;0),"n/m",(E130)/(E41/E128))</f>
        <v>1.1548287368561481</v>
      </c>
      <c r="F170" s="87">
        <f>IF(OR((F41/F128)&lt;=0,(F130)&lt;0),"n/m",(F130)/(F41/F128))</f>
        <v>1.1852090640758639</v>
      </c>
      <c r="G170" s="87">
        <f>IF(OR((G41/G128)&lt;=0,(G130)&lt;0),"n/m",(G130)/(G41/G128))</f>
        <v>1.7979804681845026</v>
      </c>
      <c r="H170" s="87">
        <f>IF(OR((H41/H128)&lt;=0,(H130)&lt;0),"n/m",(H130)/(H41/H128))</f>
        <v>2.9584754511387614</v>
      </c>
      <c r="I170" s="13"/>
      <c r="J170" s="13"/>
    </row>
    <row r="171" spans="1:10" x14ac:dyDescent="0.3">
      <c r="A171" s="150" t="s">
        <v>524</v>
      </c>
      <c r="B171" s="148" t="s">
        <v>525</v>
      </c>
      <c r="C171" s="18"/>
      <c r="D171" s="91">
        <f>IF(OR((D129)&lt;=0,(D99)&lt;0),"n/m",(D99)/(D129))</f>
        <v>43.510441437959038</v>
      </c>
      <c r="E171" s="91">
        <f>IF(OR((E129)&lt;=0,(E99)&lt;0),"n/m",(E99)/(E129))</f>
        <v>47.309216853498242</v>
      </c>
      <c r="F171" s="91">
        <f>IF(OR((F129)&lt;=0,(F99)&lt;0),"n/m",(F99)/(F129))</f>
        <v>43.061512349842658</v>
      </c>
      <c r="G171" s="91">
        <f>IF(OR((G129)&lt;=0,(G99)&lt;0),"n/m",(G99)/(G129))</f>
        <v>94.540589177116431</v>
      </c>
      <c r="H171" s="91">
        <f>IF(OR((H129)&lt;=0,(H99)&lt;0),"n/m",(H99)/(H129))</f>
        <v>22.588506484641641</v>
      </c>
      <c r="I171" s="8" t="s">
        <v>441</v>
      </c>
    </row>
    <row r="172" spans="1:10" x14ac:dyDescent="0.3">
      <c r="A172" s="150" t="s">
        <v>526</v>
      </c>
      <c r="B172" s="148" t="s">
        <v>527</v>
      </c>
      <c r="C172" s="18"/>
      <c r="D172" s="87">
        <f>IF(OR((D99/D129)&lt;=0,(D130)&lt;0),"n/m",(D130)/(D99/D129))</f>
        <v>19.844432082610968</v>
      </c>
      <c r="E172" s="87">
        <f>IF(OR((E99/E129)&lt;=0,(E130)&lt;0),"n/m",(E130)/(E99/E129))</f>
        <v>9.7029718632101325</v>
      </c>
      <c r="F172" s="87">
        <f>IF(OR((F99/F129)&lt;=0,(F130)&lt;0),"n/m",(F130)/(F99/F129))</f>
        <v>12.124283879265743</v>
      </c>
      <c r="G172" s="87">
        <f>IF(OR((G99/G129)&lt;=0,(G130)&lt;0),"n/m",(G130)/(G99/G129))</f>
        <v>9.5909070156236584</v>
      </c>
      <c r="H172" s="87">
        <f>IF(OR((H99/H129)&lt;=0,(H130)&lt;0),"n/m",(H130)/(H99/H129))</f>
        <v>15.726582022655393</v>
      </c>
      <c r="I172" s="8" t="s">
        <v>462</v>
      </c>
    </row>
    <row r="173" spans="1:10" x14ac:dyDescent="0.3">
      <c r="A173" s="150" t="s">
        <v>528</v>
      </c>
      <c r="B173" s="148" t="s">
        <v>529</v>
      </c>
      <c r="C173" s="18"/>
      <c r="D173" s="90">
        <f>IF(OR((D130)&lt;=0,(D131)&lt;0),"n/m",(D131)/(D130))</f>
        <v>0</v>
      </c>
      <c r="E173" s="90">
        <f>IF(OR((E130)&lt;=0,(E131)&lt;0),"n/m",(E131)/(E130))</f>
        <v>0</v>
      </c>
      <c r="F173" s="90">
        <f>IF(OR((F130)&lt;=0,(F131)&lt;0),"n/m",(F131)/(F130))</f>
        <v>3.4476814342354764E-2</v>
      </c>
      <c r="G173" s="90">
        <f>IF(OR((G130)&lt;=0,(G131)&lt;0),"n/m",(G131)/(G130))</f>
        <v>1.6542962072502287E-2</v>
      </c>
      <c r="H173" s="90">
        <f>IF(OR((H130)&lt;=0,(H131)&lt;0),"n/m",(H131)/(H130))</f>
        <v>1.1259993244004052E-2</v>
      </c>
      <c r="I173" s="8" t="s">
        <v>441</v>
      </c>
    </row>
    <row r="174" spans="1:10" x14ac:dyDescent="0.3">
      <c r="A174" s="150" t="s">
        <v>530</v>
      </c>
      <c r="B174" s="148" t="s">
        <v>531</v>
      </c>
      <c r="C174" s="18"/>
      <c r="D174" s="90">
        <f>IF(OR((D99/D129)&lt;=0,(D131)&lt;0),"n/m",(D131)/(D99/D129))</f>
        <v>0</v>
      </c>
      <c r="E174" s="90">
        <f>IF(OR((E99/E129)&lt;=0,(E131)&lt;0),"n/m",(E131)/(E99/E129))</f>
        <v>0</v>
      </c>
      <c r="F174" s="90">
        <f>IF(OR((F99/F129)&lt;=0,(F131)&lt;0),"n/m",(F131)/(F99/F129))</f>
        <v>0.41800668433944982</v>
      </c>
      <c r="G174" s="90">
        <f>IF(OR((G99/G129)&lt;=0,(G131)&lt;0),"n/m",(G131)/(G99/G129))</f>
        <v>0.15866201100035829</v>
      </c>
      <c r="H174" s="90">
        <f>IF(OR((H99/H129)&lt;=0,(H131)&lt;0),"n/m",(H131)/(H99/H129))</f>
        <v>0.17708120732637533</v>
      </c>
      <c r="I174" s="8" t="s">
        <v>462</v>
      </c>
    </row>
    <row r="175" spans="1:10" x14ac:dyDescent="0.3">
      <c r="A175" s="139"/>
      <c r="B175" s="139"/>
      <c r="I175" s="8" t="s">
        <v>412</v>
      </c>
    </row>
    <row r="176" spans="1:10" x14ac:dyDescent="0.3">
      <c r="A176" s="149" t="s">
        <v>9357</v>
      </c>
      <c r="B176" s="149"/>
      <c r="C176" s="92"/>
      <c r="D176" s="92"/>
      <c r="E176" s="92"/>
      <c r="F176" s="92"/>
      <c r="G176" s="92"/>
      <c r="H176" s="92"/>
      <c r="I176" s="8" t="s">
        <v>412</v>
      </c>
    </row>
    <row r="177" spans="1:10" x14ac:dyDescent="0.3">
      <c r="A177" s="149" t="s">
        <v>532</v>
      </c>
      <c r="B177" s="149"/>
      <c r="C177" s="92"/>
      <c r="D177" s="92"/>
      <c r="E177" s="92"/>
      <c r="F177" s="92"/>
      <c r="G177" s="92"/>
      <c r="H177" s="92"/>
      <c r="I177" s="13"/>
      <c r="J177" s="13"/>
    </row>
    <row r="178" spans="1:10" x14ac:dyDescent="0.3">
      <c r="A178" s="149" t="s">
        <v>533</v>
      </c>
      <c r="B178" s="149"/>
      <c r="C178" s="92"/>
      <c r="D178" s="92"/>
      <c r="E178" s="92"/>
      <c r="F178" s="92"/>
      <c r="G178" s="92"/>
      <c r="H178" s="92"/>
      <c r="I178" s="8" t="s">
        <v>462</v>
      </c>
    </row>
    <row r="179" spans="1:10" x14ac:dyDescent="0.3">
      <c r="A179" s="139"/>
      <c r="B179" s="139"/>
      <c r="I179" s="13"/>
      <c r="J179" s="13"/>
    </row>
    <row r="180" spans="1:10" x14ac:dyDescent="0.3">
      <c r="A180" s="139"/>
      <c r="B180" s="139"/>
      <c r="I180" s="8" t="s">
        <v>412</v>
      </c>
    </row>
    <row r="181" spans="1:10" x14ac:dyDescent="0.3">
      <c r="A181" s="139"/>
      <c r="B181" s="139"/>
      <c r="I181" s="8" t="s">
        <v>412</v>
      </c>
    </row>
    <row r="182" spans="1:10" x14ac:dyDescent="0.3">
      <c r="A182" s="139"/>
      <c r="B182" s="139"/>
      <c r="I182" s="8" t="s">
        <v>462</v>
      </c>
    </row>
    <row r="183" spans="1:10" x14ac:dyDescent="0.3">
      <c r="A183" s="146"/>
      <c r="B183" s="147"/>
      <c r="C183" s="13"/>
      <c r="D183" s="13"/>
      <c r="E183" s="13"/>
      <c r="F183" s="13"/>
      <c r="G183" s="13"/>
      <c r="H183" s="13"/>
      <c r="I183" s="13"/>
      <c r="J183" s="13"/>
    </row>
    <row r="184" spans="1:10" x14ac:dyDescent="0.3">
      <c r="A184" s="139"/>
      <c r="B184" s="141"/>
      <c r="C184" s="18"/>
      <c r="D184" s="25"/>
      <c r="E184" s="25"/>
      <c r="F184" s="25"/>
      <c r="G184" s="25"/>
      <c r="H184" s="25"/>
      <c r="I184" s="8"/>
    </row>
    <row r="185" spans="1:10" x14ac:dyDescent="0.3">
      <c r="A185" s="139"/>
      <c r="B185" s="141"/>
      <c r="C185" s="18"/>
      <c r="D185" s="25"/>
      <c r="E185" s="25"/>
      <c r="F185" s="25"/>
      <c r="G185" s="25"/>
      <c r="H185" s="25"/>
      <c r="I185" s="8"/>
    </row>
    <row r="186" spans="1:10" x14ac:dyDescent="0.3">
      <c r="A186" s="139"/>
      <c r="B186" s="141"/>
      <c r="C186" s="18"/>
      <c r="D186" s="26"/>
      <c r="E186" s="26"/>
      <c r="F186" s="26"/>
      <c r="G186" s="26"/>
      <c r="H186" s="26"/>
      <c r="I186" s="8"/>
    </row>
    <row r="187" spans="1:10" x14ac:dyDescent="0.3">
      <c r="A187" s="139"/>
      <c r="B187" s="141"/>
      <c r="C187" s="18"/>
      <c r="D187" s="25"/>
      <c r="E187" s="25"/>
      <c r="F187" s="25"/>
      <c r="G187" s="25"/>
      <c r="H187" s="25"/>
      <c r="I187" s="8"/>
    </row>
    <row r="188" spans="1:10" x14ac:dyDescent="0.3">
      <c r="A188" s="139"/>
      <c r="B188" s="141"/>
      <c r="C188" s="18"/>
      <c r="D188" s="28"/>
      <c r="E188" s="28"/>
      <c r="F188" s="28"/>
      <c r="G188" s="28"/>
      <c r="H188" s="28"/>
      <c r="I188" s="8"/>
    </row>
    <row r="189" spans="1:10" x14ac:dyDescent="0.3">
      <c r="A189" s="139"/>
      <c r="B189" s="141"/>
      <c r="C189" s="18"/>
      <c r="D189" s="27"/>
      <c r="E189" s="27"/>
      <c r="F189" s="27"/>
      <c r="G189" s="27"/>
      <c r="H189" s="27"/>
      <c r="I189" s="8"/>
    </row>
    <row r="190" spans="1:10" x14ac:dyDescent="0.3">
      <c r="A190" s="139"/>
      <c r="B190" s="139"/>
    </row>
    <row r="191" spans="1:10" x14ac:dyDescent="0.3">
      <c r="A191" s="142" t="s">
        <v>534</v>
      </c>
      <c r="B191" s="143"/>
      <c r="C191" s="10"/>
      <c r="D191" s="10"/>
      <c r="E191" s="10"/>
      <c r="F191" s="10"/>
      <c r="G191" s="10"/>
      <c r="H191" s="10"/>
      <c r="I191" s="10"/>
      <c r="J191" s="10"/>
    </row>
    <row r="192" spans="1:10" x14ac:dyDescent="0.3">
      <c r="A192" s="146" t="s">
        <v>535</v>
      </c>
      <c r="B192" s="147"/>
      <c r="C192" s="13"/>
      <c r="D192" s="13"/>
      <c r="E192" s="13"/>
      <c r="F192" s="13"/>
      <c r="G192" s="13"/>
      <c r="H192" s="13"/>
      <c r="I192" s="13"/>
      <c r="J192" s="13"/>
    </row>
    <row r="193" spans="1:10" x14ac:dyDescent="0.3">
      <c r="A193" s="139" t="s">
        <v>536</v>
      </c>
      <c r="B193" s="141" t="s">
        <v>537</v>
      </c>
      <c r="C193" s="29">
        <f t="shared" ref="C193:H193" si="19">IF(C37=0,"n/m",C22/C37)</f>
        <v>0.44096601099678212</v>
      </c>
      <c r="D193" s="29">
        <f t="shared" si="19"/>
        <v>0.37331730184134404</v>
      </c>
      <c r="E193" s="29">
        <f t="shared" si="19"/>
        <v>0.32649796092575978</v>
      </c>
      <c r="F193" s="29">
        <f t="shared" si="19"/>
        <v>0.42265137663663593</v>
      </c>
      <c r="G193" s="29">
        <f t="shared" si="19"/>
        <v>0.40862511953669906</v>
      </c>
      <c r="H193" s="29">
        <f t="shared" si="19"/>
        <v>0.38234151532440558</v>
      </c>
      <c r="I193" t="s">
        <v>412</v>
      </c>
    </row>
    <row r="194" spans="1:10" x14ac:dyDescent="0.3">
      <c r="A194" s="139" t="s">
        <v>538</v>
      </c>
      <c r="B194" s="141" t="s">
        <v>539</v>
      </c>
      <c r="C194" s="29">
        <f t="shared" ref="C194:H194" si="20">IF(C37=0,"n/m",C21/C37)</f>
        <v>2.4596655144592263E-3</v>
      </c>
      <c r="D194" s="29">
        <f t="shared" si="20"/>
        <v>2.5676880231463122E-2</v>
      </c>
      <c r="E194" s="29">
        <f t="shared" si="20"/>
        <v>0.11846309190851188</v>
      </c>
      <c r="F194" s="29">
        <f t="shared" si="20"/>
        <v>2.610366695476473E-2</v>
      </c>
      <c r="G194" s="29">
        <f t="shared" si="20"/>
        <v>4.9711127032957152E-2</v>
      </c>
      <c r="H194" s="29">
        <f t="shared" si="20"/>
        <v>2.032158213127197E-2</v>
      </c>
      <c r="I194" t="s">
        <v>412</v>
      </c>
    </row>
    <row r="195" spans="1:10" x14ac:dyDescent="0.3">
      <c r="A195" s="139" t="s">
        <v>260</v>
      </c>
      <c r="B195" s="141" t="s">
        <v>540</v>
      </c>
      <c r="C195" s="29">
        <f t="shared" ref="C195:H195" si="21">IF(C37=0,"n/m",C28/C37)</f>
        <v>0.79115896304244948</v>
      </c>
      <c r="D195" s="29">
        <f t="shared" si="21"/>
        <v>0.73986779985800422</v>
      </c>
      <c r="E195" s="29">
        <f t="shared" si="21"/>
        <v>0.75770373463211704</v>
      </c>
      <c r="F195" s="29">
        <f t="shared" si="21"/>
        <v>0.72040124429491714</v>
      </c>
      <c r="G195" s="29">
        <f t="shared" si="21"/>
        <v>0.70749233958793523</v>
      </c>
      <c r="H195" s="29">
        <f t="shared" si="21"/>
        <v>0.62306241211978208</v>
      </c>
      <c r="I195" t="s">
        <v>412</v>
      </c>
    </row>
    <row r="196" spans="1:10" x14ac:dyDescent="0.3">
      <c r="A196" s="139" t="s">
        <v>541</v>
      </c>
      <c r="B196" s="141" t="s">
        <v>542</v>
      </c>
      <c r="C196" s="29">
        <f t="shared" ref="C196:H196" si="22">IF(C37=0,"n/m",C65/C37)</f>
        <v>6.9447471677646144E-2</v>
      </c>
      <c r="D196" s="29">
        <f t="shared" si="22"/>
        <v>8.7176433765611294E-2</v>
      </c>
      <c r="E196" s="29">
        <f t="shared" si="22"/>
        <v>9.9361871275350455E-2</v>
      </c>
      <c r="F196" s="29">
        <f t="shared" si="22"/>
        <v>9.4483823697238178E-2</v>
      </c>
      <c r="G196" s="29">
        <f t="shared" si="22"/>
        <v>9.8698553603270581E-2</v>
      </c>
      <c r="H196" s="29">
        <f t="shared" si="22"/>
        <v>9.2483183474682082E-2</v>
      </c>
      <c r="I196" t="s">
        <v>412</v>
      </c>
    </row>
    <row r="197" spans="1:10" x14ac:dyDescent="0.3">
      <c r="A197" s="139" t="s">
        <v>267</v>
      </c>
      <c r="B197" s="141" t="s">
        <v>543</v>
      </c>
      <c r="C197" s="29">
        <f t="shared" ref="C197:H197" si="23">IF(C37=0,"n/m",C32/C37)</f>
        <v>2.5191767444153381E-2</v>
      </c>
      <c r="D197" s="29">
        <f t="shared" si="23"/>
        <v>1.7331422832368416E-2</v>
      </c>
      <c r="E197" s="29">
        <f t="shared" si="23"/>
        <v>1.9046744687005734E-2</v>
      </c>
      <c r="F197" s="29">
        <f t="shared" si="23"/>
        <v>2.3886283489311506E-2</v>
      </c>
      <c r="G197" s="29">
        <f t="shared" si="23"/>
        <v>2.9623688493483562E-2</v>
      </c>
      <c r="H197" s="29">
        <f t="shared" si="23"/>
        <v>2.381721057133955E-2</v>
      </c>
      <c r="I197" t="s">
        <v>412</v>
      </c>
    </row>
    <row r="198" spans="1:10" x14ac:dyDescent="0.3">
      <c r="A198" s="139" t="s">
        <v>269</v>
      </c>
      <c r="B198" s="141" t="s">
        <v>544</v>
      </c>
      <c r="C198" s="29">
        <f t="shared" ref="C198:H198" si="24">IF(C37=0,"n/m",C33/C37)</f>
        <v>2.1866728259566676E-2</v>
      </c>
      <c r="D198" s="29">
        <f t="shared" si="24"/>
        <v>0.10377504710648648</v>
      </c>
      <c r="E198" s="29">
        <f t="shared" si="24"/>
        <v>6.8939185510427714E-2</v>
      </c>
      <c r="F198" s="29">
        <f t="shared" si="24"/>
        <v>0.10277169084844923</v>
      </c>
      <c r="G198" s="29">
        <f t="shared" si="24"/>
        <v>0.127501373932246</v>
      </c>
      <c r="H198" s="29">
        <f t="shared" si="24"/>
        <v>0.22979758088560204</v>
      </c>
      <c r="I198" t="s">
        <v>412</v>
      </c>
    </row>
    <row r="199" spans="1:10" x14ac:dyDescent="0.3">
      <c r="A199" s="139" t="s">
        <v>545</v>
      </c>
      <c r="B199" s="141" t="s">
        <v>546</v>
      </c>
      <c r="C199" s="29">
        <f t="shared" ref="C199:H199" si="25">IF(C37=0,"n/m",C34/C37)</f>
        <v>5.7530682209619877E-2</v>
      </c>
      <c r="D199" s="29">
        <f t="shared" si="25"/>
        <v>1.8069060675574528E-2</v>
      </c>
      <c r="E199" s="29">
        <f t="shared" si="25"/>
        <v>2.0929003244595137E-2</v>
      </c>
      <c r="F199" s="29">
        <f t="shared" si="25"/>
        <v>1.9317622598751097E-2</v>
      </c>
      <c r="G199" s="29">
        <f t="shared" si="25"/>
        <v>1.0969989542261456E-2</v>
      </c>
      <c r="H199" s="29">
        <f t="shared" si="25"/>
        <v>1.0460519614709056E-2</v>
      </c>
      <c r="I199" t="s">
        <v>412</v>
      </c>
    </row>
    <row r="200" spans="1:10" x14ac:dyDescent="0.3">
      <c r="A200" s="139" t="s">
        <v>275</v>
      </c>
      <c r="B200" s="141" t="s">
        <v>547</v>
      </c>
      <c r="C200" s="29">
        <f t="shared" ref="C200:H200" si="26">IF(C37=0,"n/m",C36/C37)</f>
        <v>0.20884103695755057</v>
      </c>
      <c r="D200" s="29">
        <f t="shared" si="26"/>
        <v>0.26013220014199573</v>
      </c>
      <c r="E200" s="29">
        <f t="shared" si="26"/>
        <v>0.24229626536788285</v>
      </c>
      <c r="F200" s="29">
        <f t="shared" si="26"/>
        <v>0.27959875570508291</v>
      </c>
      <c r="G200" s="29">
        <f t="shared" si="26"/>
        <v>0.29250766041206472</v>
      </c>
      <c r="H200" s="29">
        <f t="shared" si="26"/>
        <v>0.37693758788021792</v>
      </c>
      <c r="I200" t="s">
        <v>412</v>
      </c>
    </row>
    <row r="201" spans="1:10" x14ac:dyDescent="0.3">
      <c r="A201" s="139" t="s">
        <v>284</v>
      </c>
      <c r="B201" s="141" t="s">
        <v>548</v>
      </c>
      <c r="C201" s="29">
        <f t="shared" ref="C201:H201" si="27">IF(C37=0,"n/m",C41/C37)</f>
        <v>0.72999907984541001</v>
      </c>
      <c r="D201" s="29">
        <f t="shared" si="27"/>
        <v>0.72393464849618716</v>
      </c>
      <c r="E201" s="29">
        <f t="shared" si="27"/>
        <v>0.69495392706044934</v>
      </c>
      <c r="F201" s="29">
        <f t="shared" si="27"/>
        <v>0.6446730217755271</v>
      </c>
      <c r="G201" s="29">
        <f t="shared" si="27"/>
        <v>0.63140963589609678</v>
      </c>
      <c r="H201" s="29">
        <f t="shared" si="27"/>
        <v>0.65946278965958993</v>
      </c>
      <c r="I201" t="s">
        <v>412</v>
      </c>
    </row>
    <row r="202" spans="1:10" x14ac:dyDescent="0.3">
      <c r="A202" s="139" t="s">
        <v>549</v>
      </c>
      <c r="B202" s="141" t="s">
        <v>550</v>
      </c>
      <c r="C202" s="29">
        <f t="shared" ref="C202:H202" si="28">IF(C37=0,"n/m",C67/C37)</f>
        <v>2.3586119028612923E-3</v>
      </c>
      <c r="D202" s="29">
        <f t="shared" si="28"/>
        <v>1.8763703805448454E-2</v>
      </c>
      <c r="E202" s="29">
        <f t="shared" si="28"/>
        <v>7.6277386327579882E-2</v>
      </c>
      <c r="F202" s="29">
        <f t="shared" si="28"/>
        <v>6.8318742919969699E-2</v>
      </c>
      <c r="G202" s="29">
        <f t="shared" si="28"/>
        <v>5.4528421285721974E-2</v>
      </c>
      <c r="H202" s="29">
        <f t="shared" si="28"/>
        <v>3.4431452033591402E-2</v>
      </c>
      <c r="I202" t="s">
        <v>412</v>
      </c>
    </row>
    <row r="203" spans="1:10" x14ac:dyDescent="0.3">
      <c r="A203" s="139" t="s">
        <v>297</v>
      </c>
      <c r="B203" s="141" t="s">
        <v>551</v>
      </c>
      <c r="C203" s="29">
        <f t="shared" ref="C203:H203" si="29">IF(C37=0,"n/m",C48/C37)</f>
        <v>5.6884873822900237E-2</v>
      </c>
      <c r="D203" s="29">
        <f t="shared" si="29"/>
        <v>8.1734964522358802E-2</v>
      </c>
      <c r="E203" s="29">
        <f t="shared" si="29"/>
        <v>0.14089723375513877</v>
      </c>
      <c r="F203" s="29">
        <f t="shared" si="29"/>
        <v>0.13859579176775724</v>
      </c>
      <c r="G203" s="29">
        <f t="shared" si="29"/>
        <v>0.13703359428324538</v>
      </c>
      <c r="H203" s="29">
        <f t="shared" si="29"/>
        <v>0.12069909944602028</v>
      </c>
      <c r="I203" t="s">
        <v>412</v>
      </c>
    </row>
    <row r="204" spans="1:10" x14ac:dyDescent="0.3">
      <c r="A204" s="139" t="s">
        <v>300</v>
      </c>
      <c r="B204" s="141" t="s">
        <v>552</v>
      </c>
      <c r="C204" s="29">
        <f t="shared" ref="C204:H204" si="30">IF(C37=0,"n/m",C50/C37)</f>
        <v>0.14245242792673157</v>
      </c>
      <c r="D204" s="29">
        <f t="shared" si="30"/>
        <v>0.13295400437974347</v>
      </c>
      <c r="E204" s="29">
        <f t="shared" si="30"/>
        <v>0.12538487288398037</v>
      </c>
      <c r="F204" s="29">
        <f t="shared" si="30"/>
        <v>0.1404112680857571</v>
      </c>
      <c r="G204" s="29">
        <f t="shared" si="30"/>
        <v>0.12822352750592914</v>
      </c>
      <c r="H204" s="29">
        <f t="shared" si="30"/>
        <v>0.10234721883419345</v>
      </c>
      <c r="I204" t="s">
        <v>412</v>
      </c>
    </row>
    <row r="205" spans="1:10" x14ac:dyDescent="0.3">
      <c r="A205" s="139" t="s">
        <v>553</v>
      </c>
      <c r="B205" s="141" t="s">
        <v>554</v>
      </c>
      <c r="C205" s="29">
        <f t="shared" ref="C205:H205" si="31">IF(C37=0,"n/m",C66/C37)</f>
        <v>6.166722679169858E-2</v>
      </c>
      <c r="D205" s="29">
        <f t="shared" si="31"/>
        <v>6.7091398753794107E-2</v>
      </c>
      <c r="E205" s="29">
        <f t="shared" si="31"/>
        <v>8.4317951638681429E-2</v>
      </c>
      <c r="F205" s="29">
        <f t="shared" si="31"/>
        <v>9.8751826241101376E-2</v>
      </c>
      <c r="G205" s="29">
        <f t="shared" si="31"/>
        <v>8.6936800484099339E-2</v>
      </c>
      <c r="H205" s="29">
        <f t="shared" si="31"/>
        <v>6.5738468621492713E-2</v>
      </c>
      <c r="I205" t="s">
        <v>412</v>
      </c>
    </row>
    <row r="206" spans="1:10" x14ac:dyDescent="0.3">
      <c r="A206" s="139" t="s">
        <v>322</v>
      </c>
      <c r="B206" s="141" t="s">
        <v>555</v>
      </c>
      <c r="C206" s="29">
        <f t="shared" ref="C206:H206" si="32">IF(C37=0,"n/m",C61/C37)</f>
        <v>0.21311310230804537</v>
      </c>
      <c r="D206" s="29">
        <f t="shared" si="32"/>
        <v>0.19433038698145402</v>
      </c>
      <c r="E206" s="29">
        <f t="shared" si="32"/>
        <v>0.16414883918441181</v>
      </c>
      <c r="F206" s="29">
        <f t="shared" si="32"/>
        <v>0.2167311864567156</v>
      </c>
      <c r="G206" s="29">
        <f t="shared" si="32"/>
        <v>0.23155676982065787</v>
      </c>
      <c r="H206" s="29">
        <f t="shared" si="32"/>
        <v>0.21983811089438973</v>
      </c>
      <c r="I206" t="s">
        <v>412</v>
      </c>
    </row>
    <row r="207" spans="1:10" x14ac:dyDescent="0.3">
      <c r="A207" s="139" t="s">
        <v>325</v>
      </c>
      <c r="B207" s="141" t="s">
        <v>556</v>
      </c>
      <c r="C207" s="29">
        <f t="shared" ref="C207:H207" si="33">IF(C37=0,"n/m",C62/C37)</f>
        <v>0.26999797613094562</v>
      </c>
      <c r="D207" s="29">
        <f t="shared" si="33"/>
        <v>0.27606535150381284</v>
      </c>
      <c r="E207" s="29">
        <f t="shared" si="33"/>
        <v>0.30504607293955061</v>
      </c>
      <c r="F207" s="29">
        <f t="shared" si="33"/>
        <v>0.35532697822447284</v>
      </c>
      <c r="G207" s="29">
        <f t="shared" si="33"/>
        <v>0.36859036410390322</v>
      </c>
      <c r="H207" s="29">
        <f t="shared" si="33"/>
        <v>0.34053721034041001</v>
      </c>
      <c r="I207" t="s">
        <v>412</v>
      </c>
    </row>
    <row r="208" spans="1:10" x14ac:dyDescent="0.3">
      <c r="A208" s="146" t="s">
        <v>557</v>
      </c>
      <c r="B208" s="147"/>
      <c r="C208" s="13"/>
      <c r="D208" s="13"/>
      <c r="E208" s="13"/>
      <c r="F208" s="13"/>
      <c r="G208" s="13"/>
      <c r="H208" s="13"/>
      <c r="I208" s="13"/>
      <c r="J208" s="13"/>
    </row>
    <row r="209" spans="1:10" x14ac:dyDescent="0.3">
      <c r="A209" s="139" t="s">
        <v>360</v>
      </c>
      <c r="B209" s="141" t="s">
        <v>558</v>
      </c>
      <c r="C209" s="18"/>
      <c r="D209" s="29">
        <f>IF(D84=0,"n/m",D85/D84)</f>
        <v>-0.69882920944528748</v>
      </c>
      <c r="E209" s="29">
        <f>IF(E84=0,"n/m",E85/E84)</f>
        <v>-0.72190330855638607</v>
      </c>
      <c r="F209" s="29">
        <f>IF(F84=0,"n/m",F85/F84)</f>
        <v>-0.72805912404320861</v>
      </c>
      <c r="G209" s="29">
        <f>IF(G84=0,"n/m",G85/G84)</f>
        <v>-0.66351969203678418</v>
      </c>
      <c r="H209" s="29">
        <f>IF(H84=0,"n/m",H85/H84)</f>
        <v>-0.65718347017932699</v>
      </c>
      <c r="I209" t="s">
        <v>412</v>
      </c>
    </row>
    <row r="210" spans="1:10" x14ac:dyDescent="0.3">
      <c r="A210" s="139" t="s">
        <v>362</v>
      </c>
      <c r="B210" s="141" t="s">
        <v>559</v>
      </c>
      <c r="C210" s="18"/>
      <c r="D210" s="29">
        <f>IF(D84=0,"n/m",D86/D84)</f>
        <v>0.30117079055471246</v>
      </c>
      <c r="E210" s="29">
        <f>IF(E84=0,"n/m",E86/E84)</f>
        <v>0.27809669144361399</v>
      </c>
      <c r="F210" s="29">
        <f>IF(F84=0,"n/m",F86/F84)</f>
        <v>0.27194087595679139</v>
      </c>
      <c r="G210" s="29">
        <f>IF(G84=0,"n/m",G86/G84)</f>
        <v>0.33648030796321582</v>
      </c>
      <c r="H210" s="29">
        <f>IF(H84=0,"n/m",H86/H84)</f>
        <v>0.34281652982067301</v>
      </c>
      <c r="I210" t="s">
        <v>412</v>
      </c>
    </row>
    <row r="211" spans="1:10" x14ac:dyDescent="0.3">
      <c r="A211" s="139" t="s">
        <v>560</v>
      </c>
      <c r="B211" s="141" t="s">
        <v>561</v>
      </c>
      <c r="C211" s="18"/>
      <c r="D211" s="29">
        <f>IF(D84=0,"n/m",D87/D84)</f>
        <v>-7.7201046284679706E-2</v>
      </c>
      <c r="E211" s="29">
        <f>IF(E84=0,"n/m",E87/E84)</f>
        <v>-5.8754062053659649E-2</v>
      </c>
      <c r="F211" s="29">
        <f>IF(F84=0,"n/m",F87/F84)</f>
        <v>-5.5585668971811726E-2</v>
      </c>
      <c r="G211" s="29">
        <f>IF(G84=0,"n/m",G87/G84)</f>
        <v>-6.7408531625361673E-2</v>
      </c>
      <c r="H211" s="29">
        <f>IF(H84=0,"n/m",H87/H84)</f>
        <v>-7.206400546441627E-2</v>
      </c>
      <c r="I211" t="s">
        <v>412</v>
      </c>
    </row>
    <row r="212" spans="1:10" x14ac:dyDescent="0.3">
      <c r="A212" s="139" t="s">
        <v>562</v>
      </c>
      <c r="B212" s="141" t="s">
        <v>563</v>
      </c>
      <c r="C212" s="18"/>
      <c r="D212" s="29">
        <f>IF(D84=0,"n/m",D88/D84)</f>
        <v>-1.9972321612346713E-2</v>
      </c>
      <c r="E212" s="29">
        <f>IF(E84=0,"n/m",E88/E84)</f>
        <v>-1.8648578909351888E-2</v>
      </c>
      <c r="F212" s="29">
        <f>IF(F84=0,"n/m",F88/F84)</f>
        <v>-1.9049745384500254E-2</v>
      </c>
      <c r="G212" s="29">
        <f>IF(G84=0,"n/m",G88/G84)</f>
        <v>-1.8735600144502998E-2</v>
      </c>
      <c r="H212" s="29">
        <f>IF(H84=0,"n/m",H88/H84)</f>
        <v>-1.9494137034977196E-2</v>
      </c>
      <c r="I212" t="s">
        <v>412</v>
      </c>
    </row>
    <row r="213" spans="1:10" x14ac:dyDescent="0.3">
      <c r="A213" s="139" t="s">
        <v>564</v>
      </c>
      <c r="B213" s="141" t="s">
        <v>565</v>
      </c>
      <c r="C213" s="18"/>
      <c r="D213" s="29">
        <f>IF(D84=0,"n/m",(D90+D89)/D84)</f>
        <v>-2.395382454990844E-2</v>
      </c>
      <c r="E213" s="29">
        <f>IF(E84=0,"n/m",(E90+E89)/E84)</f>
        <v>-2.2776652019997901E-2</v>
      </c>
      <c r="F213" s="29">
        <f>IF(F84=0,"n/m",(F90+F89)/F84)</f>
        <v>-2.548815899950567E-2</v>
      </c>
      <c r="G213" s="29">
        <f>IF(G84=0,"n/m",(G90+G89)/G84)</f>
        <v>-2.1475285025506451E-2</v>
      </c>
      <c r="H213" s="29">
        <f>IF(H84=0,"n/m",(H90+H89)/H84)</f>
        <v>-2.4551202174149932E-2</v>
      </c>
      <c r="I213" t="s">
        <v>412</v>
      </c>
    </row>
    <row r="214" spans="1:10" x14ac:dyDescent="0.3">
      <c r="A214" s="139" t="s">
        <v>566</v>
      </c>
      <c r="B214" s="141" t="s">
        <v>567</v>
      </c>
      <c r="C214" s="18"/>
      <c r="D214" s="29">
        <f>IF(D84=0,"n/m",D91/D84)</f>
        <v>0.18004359810777762</v>
      </c>
      <c r="E214" s="29">
        <f>IF(E84=0,"n/m",E91/E84)</f>
        <v>0.1779173984606045</v>
      </c>
      <c r="F214" s="29">
        <f>IF(F84=0,"n/m",F91/F84)</f>
        <v>0.17181730260097375</v>
      </c>
      <c r="G214" s="29">
        <f>IF(G84=0,"n/m",G91/G84)</f>
        <v>0.22886089116784467</v>
      </c>
      <c r="H214" s="29">
        <f>IF(H84=0,"n/m",H91/H84)</f>
        <v>0.22670718514712962</v>
      </c>
      <c r="I214" t="s">
        <v>412</v>
      </c>
    </row>
    <row r="215" spans="1:10" x14ac:dyDescent="0.3">
      <c r="A215" s="139" t="s">
        <v>374</v>
      </c>
      <c r="B215" s="141" t="s">
        <v>568</v>
      </c>
      <c r="C215" s="18"/>
      <c r="D215" s="29">
        <f>IF(D84=0,"n/m",(D92+D93+D94)/D84)</f>
        <v>9.5216910555878664E-2</v>
      </c>
      <c r="E215" s="29">
        <f>IF(E84=0,"n/m",(E92+E93+E94)/E84)</f>
        <v>9.1102218087079093E-2</v>
      </c>
      <c r="F215" s="29">
        <f>IF(F84=0,"n/m",(F92+F93+F94)/F84)</f>
        <v>6.310432552450275E-2</v>
      </c>
      <c r="G215" s="29">
        <f>IF(G84=0,"n/m",(G92+G93+G94)/G84)</f>
        <v>0.14372747744369124</v>
      </c>
      <c r="H215" s="29">
        <f>IF(H84=0,"n/m",(H92+H93+H94)/H84)</f>
        <v>0.1643694027769782</v>
      </c>
      <c r="I215" t="s">
        <v>412</v>
      </c>
    </row>
    <row r="216" spans="1:10" x14ac:dyDescent="0.3">
      <c r="A216" s="139" t="s">
        <v>380</v>
      </c>
      <c r="B216" s="141" t="s">
        <v>569</v>
      </c>
      <c r="C216" s="18"/>
      <c r="D216" s="29">
        <f>IF(D84=0,"n/m",D95/D84)</f>
        <v>-5.2891760758382415E-3</v>
      </c>
      <c r="E216" s="29">
        <f>IF(E84=0,"n/m",E95/E84)</f>
        <v>-4.8649630164677143E-3</v>
      </c>
      <c r="F216" s="29">
        <f>IF(F84=0,"n/m",F95/F84)</f>
        <v>-1.2206446757370468E-2</v>
      </c>
      <c r="G216" s="29">
        <f>IF(G84=0,"n/m",G95/G84)</f>
        <v>-1.3710546674283175E-2</v>
      </c>
      <c r="H216" s="29">
        <f>IF(H84=0,"n/m",H95/H84)</f>
        <v>-1.1007548010892852E-2</v>
      </c>
      <c r="I216" t="s">
        <v>412</v>
      </c>
    </row>
    <row r="217" spans="1:10" x14ac:dyDescent="0.3">
      <c r="A217" s="139" t="s">
        <v>570</v>
      </c>
      <c r="B217" s="141" t="s">
        <v>571</v>
      </c>
      <c r="C217" s="18"/>
      <c r="D217" s="29">
        <f>IF(D84=0,"n/m",D96/D84)</f>
        <v>0.26997133258781808</v>
      </c>
      <c r="E217" s="29">
        <f>IF(E84=0,"n/m",E96/E84)</f>
        <v>0.26415465353121587</v>
      </c>
      <c r="F217" s="29">
        <f>IF(F84=0,"n/m",F96/F84)</f>
        <v>0.22271518136810603</v>
      </c>
      <c r="G217" s="29">
        <f>IF(G84=0,"n/m",G96/G84)</f>
        <v>0.35887782193725282</v>
      </c>
      <c r="H217" s="29">
        <f>IF(H84=0,"n/m",H96/H84)</f>
        <v>0.38006903991321495</v>
      </c>
      <c r="I217" t="s">
        <v>412</v>
      </c>
    </row>
    <row r="218" spans="1:10" x14ac:dyDescent="0.3">
      <c r="A218" s="139" t="s">
        <v>572</v>
      </c>
      <c r="B218" s="141" t="s">
        <v>573</v>
      </c>
      <c r="C218" s="18"/>
      <c r="D218" s="29">
        <f>IF(D84=0,"n/m",-D110/D84)</f>
        <v>-4.642495436783816E-2</v>
      </c>
      <c r="E218" s="29">
        <f>IF(E84=0,"n/m",-E110/E84)</f>
        <v>-7.5500651870787458E-2</v>
      </c>
      <c r="F218" s="29">
        <f>IF(F84=0,"n/m",-F110/F84)</f>
        <v>-7.948752311685138E-2</v>
      </c>
      <c r="G218" s="29">
        <f>IF(G84=0,"n/m",-G110/G84)</f>
        <v>-0.11516177480496803</v>
      </c>
      <c r="H218" s="29">
        <f>IF(H84=0,"n/m",-H110/H84)</f>
        <v>-0.11429361233587733</v>
      </c>
      <c r="I218" t="s">
        <v>412</v>
      </c>
    </row>
    <row r="219" spans="1:10" x14ac:dyDescent="0.3">
      <c r="A219" s="139" t="s">
        <v>574</v>
      </c>
      <c r="B219" s="141" t="s">
        <v>575</v>
      </c>
      <c r="C219" s="18"/>
      <c r="D219" s="29">
        <f>IF(D84=0,"n/m",D99/D84)</f>
        <v>0.22354637821997994</v>
      </c>
      <c r="E219" s="29">
        <f>IF(E84=0,"n/m",E99/E84)</f>
        <v>0.18865400166042842</v>
      </c>
      <c r="F219" s="29">
        <f>IF(F84=0,"n/m",F99/F84)</f>
        <v>0.14322765825125466</v>
      </c>
      <c r="G219" s="29">
        <f>IF(G84=0,"n/m",G99/G84)</f>
        <v>0.24371604713228476</v>
      </c>
      <c r="H219" s="29">
        <f>IF(H84=0,"n/m",H99/H84)</f>
        <v>0.26577542757733763</v>
      </c>
      <c r="I219" t="s">
        <v>412</v>
      </c>
    </row>
    <row r="220" spans="1:10" x14ac:dyDescent="0.3">
      <c r="A220" s="139"/>
      <c r="B220" s="141"/>
      <c r="C220" s="18"/>
      <c r="D220" s="29"/>
      <c r="E220" s="29"/>
      <c r="F220" s="29"/>
      <c r="G220" s="29"/>
      <c r="H220" s="29"/>
      <c r="I220" t="s">
        <v>412</v>
      </c>
    </row>
    <row r="221" spans="1:10" x14ac:dyDescent="0.3">
      <c r="A221" s="139"/>
      <c r="B221" s="139"/>
    </row>
    <row r="222" spans="1:10" x14ac:dyDescent="0.3">
      <c r="A222" s="142" t="s">
        <v>576</v>
      </c>
      <c r="B222" s="143"/>
      <c r="C222" s="10"/>
      <c r="D222" s="10"/>
      <c r="E222" s="10"/>
      <c r="F222" s="10"/>
      <c r="G222" s="10"/>
      <c r="H222" s="10"/>
      <c r="I222" s="10"/>
      <c r="J222" s="10"/>
    </row>
    <row r="223" spans="1:10" x14ac:dyDescent="0.3">
      <c r="A223" s="139" t="s">
        <v>577</v>
      </c>
      <c r="B223" s="141" t="s">
        <v>578</v>
      </c>
      <c r="C223" s="18"/>
      <c r="D223" s="30" t="s">
        <v>579</v>
      </c>
      <c r="E223" s="31">
        <f>E84-D84</f>
        <v>18152.719999999994</v>
      </c>
      <c r="F223" s="31">
        <f>F84-E84</f>
        <v>14738.622000000003</v>
      </c>
      <c r="G223" s="31">
        <f>G84-F84</f>
        <v>19492.794999999998</v>
      </c>
      <c r="H223" s="31">
        <f>H84-G84</f>
        <v>9186.8020000000106</v>
      </c>
      <c r="I223" t="s">
        <v>245</v>
      </c>
    </row>
    <row r="224" spans="1:10" x14ac:dyDescent="0.3">
      <c r="A224" s="139" t="s">
        <v>580</v>
      </c>
      <c r="B224" s="141" t="s">
        <v>581</v>
      </c>
      <c r="C224" s="18"/>
      <c r="D224" s="30" t="str">
        <f>IF(OR(C84&lt;=0,D84&lt;C84),"n/m",D84/C84-1)</f>
        <v>n/m</v>
      </c>
      <c r="E224" s="29">
        <f>IF(OR(D84&lt;=0,E84&lt;D84),"n/m",E84/D84-1)</f>
        <v>0.28840940308914065</v>
      </c>
      <c r="F224" s="29">
        <f>IF(OR(E84&lt;=0,F84&lt;E84),"n/m",F84/E84-1)</f>
        <v>0.181748444157533</v>
      </c>
      <c r="G224" s="29">
        <f>IF(OR(F84&lt;=0,G84&lt;F84),"n/m",G84/F84-1)</f>
        <v>0.20340559624527654</v>
      </c>
      <c r="H224" s="29">
        <f>IF(OR(G84&lt;=0,H84&lt;G84),"n/m",H84/G84-1)</f>
        <v>7.9660148452535218E-2</v>
      </c>
      <c r="I224" t="s">
        <v>412</v>
      </c>
    </row>
    <row r="225" spans="1:9" x14ac:dyDescent="0.3">
      <c r="A225" s="139" t="s">
        <v>582</v>
      </c>
      <c r="B225" s="141" t="s">
        <v>578</v>
      </c>
      <c r="C225" s="18"/>
      <c r="D225" s="30" t="s">
        <v>579</v>
      </c>
      <c r="E225" s="31">
        <f>E86-D86</f>
        <v>3595.9089999999924</v>
      </c>
      <c r="F225" s="31">
        <f>F86-E86</f>
        <v>3508.8370000000068</v>
      </c>
      <c r="G225" s="31">
        <f>G86-F86</f>
        <v>12743.894</v>
      </c>
      <c r="H225" s="31">
        <f>H86-G86</f>
        <v>3880.1120000000083</v>
      </c>
      <c r="I225" t="s">
        <v>245</v>
      </c>
    </row>
    <row r="226" spans="1:9" x14ac:dyDescent="0.3">
      <c r="A226" s="139" t="s">
        <v>583</v>
      </c>
      <c r="B226" s="141" t="s">
        <v>581</v>
      </c>
      <c r="C226" s="18"/>
      <c r="D226" s="30" t="str">
        <f>IF(OR(C86&lt;=0,D86&lt;C86),"n/m",D86/C86-1)</f>
        <v>n/m</v>
      </c>
      <c r="E226" s="29">
        <f>IF(OR(D86&lt;=0,E86&lt;D86),"n/m",E86/D86-1)</f>
        <v>0.18969834878073999</v>
      </c>
      <c r="F226" s="29">
        <f>IF(OR(E86&lt;=0,F86&lt;E86),"n/m",F86/E86-1)</f>
        <v>0.15558982523865827</v>
      </c>
      <c r="G226" s="29">
        <f>IF(OR(F86&lt;=0,G86&lt;F86),"n/m",G86/F86-1)</f>
        <v>0.4890085361555061</v>
      </c>
      <c r="H226" s="29">
        <f>IF(OR(G86&lt;=0,H86&lt;G86),"n/m",H86/G86-1)</f>
        <v>9.9991104141027742E-2</v>
      </c>
      <c r="I226" t="s">
        <v>412</v>
      </c>
    </row>
    <row r="227" spans="1:9" x14ac:dyDescent="0.3">
      <c r="A227" s="139" t="s">
        <v>584</v>
      </c>
      <c r="B227" s="141" t="s">
        <v>578</v>
      </c>
      <c r="C227" s="18"/>
      <c r="D227" s="30" t="s">
        <v>579</v>
      </c>
      <c r="E227" s="31">
        <f>E91-D91</f>
        <v>3095.8599999999915</v>
      </c>
      <c r="F227" s="31">
        <f>F91-E91</f>
        <v>2037.6720000000078</v>
      </c>
      <c r="G227" s="31">
        <f>G91-F91</f>
        <v>9927.7479999999996</v>
      </c>
      <c r="H227" s="31">
        <f>H91-G91</f>
        <v>1834.338000000007</v>
      </c>
      <c r="I227" t="s">
        <v>245</v>
      </c>
    </row>
    <row r="228" spans="1:9" x14ac:dyDescent="0.3">
      <c r="A228" s="139" t="s">
        <v>585</v>
      </c>
      <c r="B228" s="141" t="s">
        <v>581</v>
      </c>
      <c r="C228" s="18"/>
      <c r="D228" s="30" t="str">
        <f>IF(OR(C91&lt;=0,D91&lt;C91),"n/m",D91/C91-1)</f>
        <v>n/m</v>
      </c>
      <c r="E228" s="29">
        <f>IF(OR(D91&lt;=0,E91&lt;D91),"n/m",E91/D91-1)</f>
        <v>0.27319411275361416</v>
      </c>
      <c r="F228" s="29">
        <f>IF(OR(E91&lt;=0,F91&lt;E91),"n/m",F91/E91-1)</f>
        <v>0.14123088458380395</v>
      </c>
      <c r="G228" s="29">
        <f>IF(OR(F91&lt;=0,G91&lt;F91),"n/m",G91/F91-1)</f>
        <v>0.60293796389458976</v>
      </c>
      <c r="H228" s="29">
        <f>IF(OR(G91&lt;=0,H91&lt;G91),"n/m",H91/G91-1)</f>
        <v>6.9499956598947588E-2</v>
      </c>
      <c r="I228" t="s">
        <v>412</v>
      </c>
    </row>
    <row r="229" spans="1:9" x14ac:dyDescent="0.3">
      <c r="A229" s="139"/>
      <c r="B229" s="141"/>
      <c r="C229" s="18"/>
      <c r="D229" s="30"/>
      <c r="E229" s="31"/>
      <c r="F229" s="31"/>
      <c r="G229" s="31"/>
      <c r="H229" s="31"/>
      <c r="I229" t="s">
        <v>245</v>
      </c>
    </row>
    <row r="230" spans="1:9" x14ac:dyDescent="0.3">
      <c r="A230" s="139"/>
      <c r="B230" s="141"/>
      <c r="C230" s="18"/>
      <c r="D230" s="30"/>
      <c r="E230" s="29"/>
      <c r="F230" s="29"/>
      <c r="G230" s="29"/>
      <c r="H230" s="29"/>
      <c r="I230" t="s">
        <v>412</v>
      </c>
    </row>
    <row r="231" spans="1:9" x14ac:dyDescent="0.3">
      <c r="A231" s="139" t="s">
        <v>586</v>
      </c>
      <c r="B231" s="141" t="s">
        <v>578</v>
      </c>
      <c r="C231" s="18"/>
      <c r="D231" s="30" t="s">
        <v>579</v>
      </c>
      <c r="E231" s="31">
        <f>E99-D99</f>
        <v>1228.4289999999892</v>
      </c>
      <c r="F231" s="31">
        <f>F99-E99</f>
        <v>-1572.8039999999946</v>
      </c>
      <c r="G231" s="31">
        <f>G99-F99</f>
        <v>14380.725000000006</v>
      </c>
      <c r="H231" s="31">
        <f>H99-G99</f>
        <v>4985.6229999999996</v>
      </c>
      <c r="I231" t="s">
        <v>245</v>
      </c>
    </row>
    <row r="232" spans="1:9" x14ac:dyDescent="0.3">
      <c r="A232" s="139" t="s">
        <v>587</v>
      </c>
      <c r="B232" s="141" t="s">
        <v>581</v>
      </c>
      <c r="C232" s="18"/>
      <c r="D232" s="30" t="str">
        <f>IF(OR(C99&lt;=0,D99&lt;C99),"n/m",D99/C99-1)</f>
        <v>n/m</v>
      </c>
      <c r="E232" s="29">
        <f>IF(OR(D99&lt;=0,E99&lt;D99),"n/m",E99/D99-1)</f>
        <v>8.7307213854766808E-2</v>
      </c>
      <c r="F232" s="29" t="str">
        <f>IF(OR(E99&lt;=0,F99&lt;E99),"n/m",F99/E99-1)</f>
        <v>n/m</v>
      </c>
      <c r="G232" s="29">
        <f>IF(OR(F99&lt;=0,G99&lt;F99),"n/m",G99/F99-1)</f>
        <v>1.0477138186485702</v>
      </c>
      <c r="H232" s="29">
        <f>IF(OR(G99&lt;=0,H99&lt;G99),"n/m",H99/G99-1)</f>
        <v>0.17738302819852692</v>
      </c>
      <c r="I232" t="s">
        <v>412</v>
      </c>
    </row>
    <row r="233" spans="1:9" x14ac:dyDescent="0.3">
      <c r="A233" s="139" t="s">
        <v>588</v>
      </c>
      <c r="B233" s="141" t="s">
        <v>578</v>
      </c>
      <c r="C233" s="18"/>
      <c r="D233" s="30" t="s">
        <v>579</v>
      </c>
      <c r="E233" s="31">
        <f>E117-D117</f>
        <v>2976.8180000000011</v>
      </c>
      <c r="F233" s="31">
        <f>F117-E117</f>
        <v>7773.4470000000001</v>
      </c>
      <c r="G233" s="31">
        <f>G117-F117</f>
        <v>4337.8450000000012</v>
      </c>
      <c r="H233" s="31">
        <f>H117-G117</f>
        <v>-8.1740000000027067</v>
      </c>
      <c r="I233" t="s">
        <v>245</v>
      </c>
    </row>
    <row r="234" spans="1:9" x14ac:dyDescent="0.3">
      <c r="A234" s="139" t="s">
        <v>589</v>
      </c>
      <c r="B234" s="141" t="s">
        <v>581</v>
      </c>
      <c r="C234" s="18"/>
      <c r="D234" s="30" t="str">
        <f>IF(OR(C117&lt;=0,D117&lt;C117),"n/m",D117/C117-1)</f>
        <v>n/m</v>
      </c>
      <c r="E234" s="29">
        <f>IF(OR(D117&lt;=0,E117&lt;D117),"n/m",E117/D117-1)</f>
        <v>0.23828591431220536</v>
      </c>
      <c r="F234" s="29">
        <f>IF(OR(E117&lt;=0,F117&lt;E117),"n/m",F117/E117-1)</f>
        <v>0.50250315961479952</v>
      </c>
      <c r="G234" s="29">
        <f>IF(OR(F117&lt;=0,G117&lt;F117),"n/m",G117/F117-1)</f>
        <v>0.18663100329666316</v>
      </c>
      <c r="H234" s="29" t="str">
        <f>IF(OR(G117&lt;=0,H117&lt;G117),"n/m",H117/G117-1)</f>
        <v>n/m</v>
      </c>
      <c r="I234" t="s">
        <v>412</v>
      </c>
    </row>
    <row r="235" spans="1:9" x14ac:dyDescent="0.3">
      <c r="A235" s="139" t="s">
        <v>590</v>
      </c>
      <c r="B235" s="141" t="s">
        <v>578</v>
      </c>
      <c r="C235" s="18"/>
      <c r="D235" s="31">
        <f>D37-C37</f>
        <v>20499.588000000018</v>
      </c>
      <c r="E235" s="31">
        <f>E37-D37</f>
        <v>28594.306000000011</v>
      </c>
      <c r="F235" s="31">
        <f>F37-E37</f>
        <v>28116.698999999993</v>
      </c>
      <c r="G235" s="31">
        <f>G37-F37</f>
        <v>20939.022999999986</v>
      </c>
      <c r="H235" s="31">
        <f>H37-G37</f>
        <v>32729.940000000031</v>
      </c>
      <c r="I235" t="s">
        <v>245</v>
      </c>
    </row>
    <row r="236" spans="1:9" x14ac:dyDescent="0.3">
      <c r="A236" s="139" t="s">
        <v>591</v>
      </c>
      <c r="B236" s="141" t="s">
        <v>581</v>
      </c>
      <c r="C236" s="18"/>
      <c r="D236" s="29">
        <f>IF(OR(C37&lt;=0,D37&lt;C37),"n/m",D37/C37-1)</f>
        <v>0.15087817943697535</v>
      </c>
      <c r="E236" s="29">
        <f>IF(OR(D37&lt;=0,E37&lt;D37),"n/m",E37/D37-1)</f>
        <v>0.18286538589958368</v>
      </c>
      <c r="F236" s="29">
        <f>IF(OR(E37&lt;=0,F37&lt;E37),"n/m",F37/E37-1)</f>
        <v>0.15201307868203751</v>
      </c>
      <c r="G236" s="29">
        <f>IF(OR(F37&lt;=0,G37&lt;F37),"n/m",G37/F37-1)</f>
        <v>9.8268794278135285E-2</v>
      </c>
      <c r="H236" s="29">
        <f>IF(OR(G37&lt;=0,H37&lt;G37),"n/m",H37/G37-1)</f>
        <v>0.13986072615155543</v>
      </c>
      <c r="I236" t="s">
        <v>412</v>
      </c>
    </row>
    <row r="237" spans="1:9" x14ac:dyDescent="0.3">
      <c r="A237" s="139" t="s">
        <v>592</v>
      </c>
      <c r="B237" s="141" t="s">
        <v>578</v>
      </c>
      <c r="C237" s="18"/>
      <c r="D237" s="31">
        <f>D41-C41</f>
        <v>14016.396999999997</v>
      </c>
      <c r="E237" s="31">
        <f>E41-D41</f>
        <v>15340.065999999992</v>
      </c>
      <c r="F237" s="31">
        <f>F41-E41</f>
        <v>8826.0020000000077</v>
      </c>
      <c r="G237" s="31">
        <f>G41-F41</f>
        <v>10394.951000000001</v>
      </c>
      <c r="H237" s="31">
        <f>H41-G41</f>
        <v>28149.122999999992</v>
      </c>
      <c r="I237" t="s">
        <v>245</v>
      </c>
    </row>
    <row r="238" spans="1:9" x14ac:dyDescent="0.3">
      <c r="A238" s="139" t="s">
        <v>593</v>
      </c>
      <c r="B238" s="141" t="s">
        <v>581</v>
      </c>
      <c r="C238" s="18"/>
      <c r="D238" s="29">
        <f>IF(OR(C41&lt;=0,D41&lt;C41),"n/m",D41/C41-1)</f>
        <v>0.14131731572740436</v>
      </c>
      <c r="E238" s="29">
        <f>IF(OR(D41&lt;=0,E41&lt;D41),"n/m",E41/D41-1)</f>
        <v>0.13551264167613453</v>
      </c>
      <c r="F238" s="29">
        <f>IF(OR(E41&lt;=0,F41&lt;E41),"n/m",F41/E41-1)</f>
        <v>6.8663293551368465E-2</v>
      </c>
      <c r="G238" s="29">
        <f>IF(OR(F41&lt;=0,G41&lt;F41),"n/m",G41/F41-1)</f>
        <v>7.5673211206070956E-2</v>
      </c>
      <c r="H238" s="29">
        <f>IF(OR(G41&lt;=0,H41&lt;G41),"n/m",H41/G41-1)</f>
        <v>0.19050405878666021</v>
      </c>
      <c r="I238" t="s">
        <v>412</v>
      </c>
    </row>
    <row r="239" spans="1:9" x14ac:dyDescent="0.3">
      <c r="A239" s="139" t="s">
        <v>594</v>
      </c>
      <c r="B239" s="141" t="s">
        <v>578</v>
      </c>
      <c r="C239" s="18"/>
      <c r="D239" s="31">
        <f>D66-C66</f>
        <v>2112.3199999999979</v>
      </c>
      <c r="E239" s="31">
        <f>E66-D66</f>
        <v>5104.6959999999999</v>
      </c>
      <c r="F239" s="31">
        <f>F66-E66</f>
        <v>5446.2990000000009</v>
      </c>
      <c r="G239" s="31">
        <f>G66-F66</f>
        <v>-697.16299999999683</v>
      </c>
      <c r="H239" s="31">
        <f>H66-G66</f>
        <v>-2809.1770000000033</v>
      </c>
      <c r="I239" t="s">
        <v>245</v>
      </c>
    </row>
    <row r="240" spans="1:9" x14ac:dyDescent="0.3">
      <c r="A240" s="139" t="s">
        <v>595</v>
      </c>
      <c r="B240" s="141" t="s">
        <v>581</v>
      </c>
      <c r="C240" s="18"/>
      <c r="D240" s="29">
        <f>IF(OR(C66&lt;=0,D66&lt;C66),"n/m",D66/C66-1)</f>
        <v>0.2521079813506546</v>
      </c>
      <c r="E240" s="29">
        <f>IF(OR(D66&lt;=0,E66&lt;D66),"n/m",E66/D66-1)</f>
        <v>0.48658081745107595</v>
      </c>
      <c r="F240" s="29">
        <f>IF(OR(E66&lt;=0,F66&lt;E66),"n/m",F66/E66-1)</f>
        <v>0.34921915395884806</v>
      </c>
      <c r="G240" s="29" t="str">
        <f>IF(OR(F66&lt;=0,G66&lt;F66),"n/m",G66/F66-1)</f>
        <v>n/m</v>
      </c>
      <c r="H240" s="29" t="str">
        <f>IF(OR(G66&lt;=0,H66&lt;G66),"n/m",H66/G66-1)</f>
        <v>n/m</v>
      </c>
      <c r="I240" t="s">
        <v>412</v>
      </c>
    </row>
    <row r="241" spans="1:10" x14ac:dyDescent="0.3">
      <c r="A241" s="139" t="s">
        <v>596</v>
      </c>
      <c r="B241" s="141" t="s">
        <v>578</v>
      </c>
      <c r="C241" s="18"/>
      <c r="D241" s="31">
        <f>D65-C65</f>
        <v>4195.8880000000008</v>
      </c>
      <c r="E241" s="31">
        <f>E65-D65</f>
        <v>4746.5970000000016</v>
      </c>
      <c r="F241" s="31">
        <f>F65-E65</f>
        <v>1754.3179999999993</v>
      </c>
      <c r="G241" s="31">
        <f>G65-F65</f>
        <v>2964.7219999999979</v>
      </c>
      <c r="H241" s="31">
        <f>H65-G65</f>
        <v>1572.4600000000028</v>
      </c>
      <c r="I241" t="s">
        <v>245</v>
      </c>
    </row>
    <row r="242" spans="1:10" x14ac:dyDescent="0.3">
      <c r="A242" s="139" t="s">
        <v>597</v>
      </c>
      <c r="B242" s="141" t="s">
        <v>581</v>
      </c>
      <c r="C242" s="18"/>
      <c r="D242" s="29">
        <f>IF(OR(C65&lt;=0,D65&lt;C65),"n/m",D65/C65-1)</f>
        <v>0.44468118072999618</v>
      </c>
      <c r="E242" s="29">
        <f>IF(OR(D65&lt;=0,E65&lt;D65),"n/m",E65/D65-1)</f>
        <v>0.34820516432028215</v>
      </c>
      <c r="F242" s="29">
        <f>IF(OR(E65&lt;=0,F65&lt;E65),"n/m",F65/E65-1)</f>
        <v>9.5456428366488488E-2</v>
      </c>
      <c r="G242" s="29">
        <f>IF(OR(F65&lt;=0,G65&lt;F65),"n/m",G65/F65-1)</f>
        <v>0.14726031632892544</v>
      </c>
      <c r="H242" s="29">
        <f>IF(OR(G65&lt;=0,H65&lt;G65),"n/m",H65/G65-1)</f>
        <v>6.8079975072353971E-2</v>
      </c>
      <c r="I242" t="s">
        <v>412</v>
      </c>
    </row>
    <row r="243" spans="1:10" x14ac:dyDescent="0.3">
      <c r="A243" s="139" t="s">
        <v>598</v>
      </c>
      <c r="B243" s="141" t="s">
        <v>578</v>
      </c>
      <c r="C243" s="18"/>
      <c r="D243" s="31">
        <f>D32-C32</f>
        <v>-712.68599999999969</v>
      </c>
      <c r="E243" s="31">
        <f>E32-D32</f>
        <v>812.84999999999991</v>
      </c>
      <c r="F243" s="31">
        <f>F32-E32</f>
        <v>1566.7360000000003</v>
      </c>
      <c r="G243" s="31">
        <f>G32-F32</f>
        <v>1842.8119999999999</v>
      </c>
      <c r="H243" s="31">
        <f>H32-G32</f>
        <v>-579.28499999999985</v>
      </c>
      <c r="I243" t="s">
        <v>245</v>
      </c>
    </row>
    <row r="244" spans="1:10" x14ac:dyDescent="0.3">
      <c r="A244" s="139" t="s">
        <v>599</v>
      </c>
      <c r="B244" s="141" t="s">
        <v>581</v>
      </c>
      <c r="C244" s="18"/>
      <c r="D244" s="29" t="str">
        <f>IF(OR(C32&lt;=0,D32&lt;C32),"n/m",D32/C32-1)</f>
        <v>n/m</v>
      </c>
      <c r="E244" s="29">
        <f>IF(OR(D32&lt;=0,E32&lt;D32),"n/m",E32/D32-1)</f>
        <v>0.29993568457916941</v>
      </c>
      <c r="F244" s="29">
        <f>IF(OR(E32&lt;=0,F32&lt;E32),"n/m",F32/E32-1)</f>
        <v>0.44472514505677241</v>
      </c>
      <c r="G244" s="29">
        <f>IF(OR(F32&lt;=0,G32&lt;F32),"n/m",G32/F32-1)</f>
        <v>0.36206926700705555</v>
      </c>
      <c r="H244" s="29" t="str">
        <f>IF(OR(G32&lt;=0,H32&lt;G32),"n/m",H32/G32-1)</f>
        <v>n/m</v>
      </c>
      <c r="I244" t="s">
        <v>412</v>
      </c>
    </row>
    <row r="245" spans="1:10" x14ac:dyDescent="0.3">
      <c r="A245" s="139" t="s">
        <v>600</v>
      </c>
      <c r="B245" s="141" t="s">
        <v>578</v>
      </c>
      <c r="C245" s="18"/>
      <c r="D245" s="31">
        <f>D34-C34</f>
        <v>-4991.1819999999998</v>
      </c>
      <c r="E245" s="31">
        <f>E34-D34</f>
        <v>1045.654</v>
      </c>
      <c r="F245" s="31">
        <f>F34-E34</f>
        <v>245.10299999999961</v>
      </c>
      <c r="G245" s="31">
        <f>G34-F34</f>
        <v>-1549.0049999999997</v>
      </c>
      <c r="H245" s="31">
        <f>H34-G34</f>
        <v>223.14699999999993</v>
      </c>
      <c r="I245" t="s">
        <v>245</v>
      </c>
    </row>
    <row r="246" spans="1:10" x14ac:dyDescent="0.3">
      <c r="A246" s="139" t="s">
        <v>601</v>
      </c>
      <c r="B246" s="141" t="s">
        <v>581</v>
      </c>
      <c r="C246" s="18"/>
      <c r="D246" s="29" t="str">
        <f>IF(OR(C34&lt;=0,D34&lt;C34),"n/m",D34/C34-1)</f>
        <v>n/m</v>
      </c>
      <c r="E246" s="29">
        <f>IF(OR(D34&lt;=0,E34&lt;D34),"n/m",E34/D34-1)</f>
        <v>0.37008746297900785</v>
      </c>
      <c r="F246" s="29">
        <f>IF(OR(E34&lt;=0,F34&lt;E34),"n/m",F34/E34-1)</f>
        <v>6.3316471535835639E-2</v>
      </c>
      <c r="G246" s="29" t="str">
        <f>IF(OR(F34&lt;=0,G34&lt;F34),"n/m",G34/F34-1)</f>
        <v>n/m</v>
      </c>
      <c r="H246" s="29">
        <f>IF(OR(G34&lt;=0,H34&lt;G34),"n/m",H34/G34-1)</f>
        <v>8.692314044693461E-2</v>
      </c>
      <c r="I246" t="s">
        <v>412</v>
      </c>
    </row>
    <row r="247" spans="1:10" x14ac:dyDescent="0.3">
      <c r="A247" s="139"/>
      <c r="B247" s="139"/>
    </row>
    <row r="248" spans="1:10" x14ac:dyDescent="0.3">
      <c r="A248" s="142" t="s">
        <v>602</v>
      </c>
      <c r="B248" s="143"/>
      <c r="C248" s="10"/>
      <c r="D248" s="10"/>
      <c r="E248" s="10"/>
      <c r="F248" s="10"/>
      <c r="G248" s="10"/>
      <c r="H248" s="10"/>
      <c r="I248" s="10"/>
      <c r="J248" s="10"/>
    </row>
    <row r="249" spans="1:10" x14ac:dyDescent="0.3">
      <c r="A249" s="139"/>
      <c r="B249" s="139"/>
    </row>
    <row r="250" spans="1:10" ht="22.05" customHeight="1" x14ac:dyDescent="0.3">
      <c r="A250" s="205" t="s">
        <v>603</v>
      </c>
      <c r="B250" s="205"/>
      <c r="C250" s="206"/>
      <c r="D250" s="206"/>
      <c r="E250" s="206"/>
      <c r="F250" s="206"/>
      <c r="G250" s="206"/>
      <c r="H250" s="206"/>
    </row>
    <row r="251" spans="1:10" x14ac:dyDescent="0.3">
      <c r="A251" s="139" t="s">
        <v>604</v>
      </c>
      <c r="B251" s="139"/>
      <c r="C251" s="93">
        <v>0</v>
      </c>
      <c r="D251" s="93">
        <v>0</v>
      </c>
      <c r="E251" s="93">
        <v>0</v>
      </c>
      <c r="F251" s="93">
        <v>0</v>
      </c>
      <c r="G251" s="93">
        <v>0</v>
      </c>
      <c r="H251" s="93">
        <v>0</v>
      </c>
    </row>
    <row r="252" spans="1:10" x14ac:dyDescent="0.3">
      <c r="A252" s="139" t="s">
        <v>605</v>
      </c>
      <c r="B252" s="139"/>
      <c r="C252" s="93">
        <v>0</v>
      </c>
      <c r="D252" s="93">
        <v>0</v>
      </c>
      <c r="E252" s="93">
        <v>0</v>
      </c>
      <c r="F252" s="93">
        <v>0</v>
      </c>
      <c r="G252" s="93">
        <v>0</v>
      </c>
      <c r="H252" s="93">
        <v>0</v>
      </c>
    </row>
    <row r="253" spans="1:10" x14ac:dyDescent="0.3">
      <c r="A253" s="139" t="s">
        <v>606</v>
      </c>
      <c r="B253" s="139"/>
      <c r="C253" s="93">
        <v>0</v>
      </c>
      <c r="D253" s="93">
        <v>0</v>
      </c>
      <c r="E253" s="93">
        <v>0</v>
      </c>
      <c r="F253" s="93">
        <v>0</v>
      </c>
      <c r="G253" s="93">
        <v>0</v>
      </c>
      <c r="H253" s="93">
        <v>0</v>
      </c>
    </row>
    <row r="254" spans="1:10" x14ac:dyDescent="0.3">
      <c r="A254" s="139" t="s">
        <v>607</v>
      </c>
      <c r="B254" s="139"/>
      <c r="C254" s="93">
        <v>0</v>
      </c>
      <c r="D254" s="93">
        <v>0</v>
      </c>
      <c r="E254" s="93">
        <v>0</v>
      </c>
      <c r="F254" s="93">
        <v>0</v>
      </c>
      <c r="G254" s="93">
        <v>0</v>
      </c>
      <c r="H254" s="93">
        <v>0</v>
      </c>
    </row>
    <row r="255" spans="1:10" x14ac:dyDescent="0.3">
      <c r="A255" s="139" t="s">
        <v>608</v>
      </c>
      <c r="B255" s="139"/>
      <c r="C255" s="93">
        <v>0</v>
      </c>
      <c r="D255" s="93">
        <v>0</v>
      </c>
      <c r="E255" s="93">
        <v>0</v>
      </c>
      <c r="F255" s="93">
        <v>0</v>
      </c>
      <c r="G255" s="93">
        <v>0</v>
      </c>
      <c r="H255" s="93">
        <v>0</v>
      </c>
    </row>
    <row r="256" spans="1:10" x14ac:dyDescent="0.3">
      <c r="A256" s="139" t="s">
        <v>609</v>
      </c>
      <c r="B256" s="139"/>
      <c r="C256" s="93">
        <v>0</v>
      </c>
      <c r="D256" s="93">
        <v>0</v>
      </c>
      <c r="E256" s="93">
        <v>0</v>
      </c>
      <c r="F256" s="93">
        <v>0</v>
      </c>
      <c r="G256" s="93">
        <v>0</v>
      </c>
      <c r="H256" s="93">
        <v>0</v>
      </c>
    </row>
    <row r="257" spans="1:9" x14ac:dyDescent="0.3">
      <c r="A257" s="139" t="s">
        <v>610</v>
      </c>
      <c r="B257" s="139"/>
      <c r="C257" s="93">
        <v>0</v>
      </c>
      <c r="D257" s="93">
        <v>11641.039000000001</v>
      </c>
      <c r="E257" s="93">
        <v>14493.016</v>
      </c>
      <c r="F257" s="93">
        <v>26001.579000000002</v>
      </c>
      <c r="G257" s="93">
        <v>32382.131000000001</v>
      </c>
      <c r="H257" s="93">
        <v>64088.375</v>
      </c>
    </row>
    <row r="258" spans="1:9" x14ac:dyDescent="0.3">
      <c r="A258" s="139"/>
      <c r="B258" s="139"/>
    </row>
    <row r="259" spans="1:9" ht="34.950000000000003" customHeight="1" x14ac:dyDescent="0.3">
      <c r="A259" s="212" t="s">
        <v>686</v>
      </c>
      <c r="B259" s="212"/>
      <c r="D259">
        <v>0</v>
      </c>
      <c r="E259">
        <v>0</v>
      </c>
      <c r="F259">
        <v>1.5363610000000001</v>
      </c>
      <c r="G259">
        <v>0</v>
      </c>
      <c r="H259">
        <v>0</v>
      </c>
      <c r="I259" t="s">
        <v>687</v>
      </c>
    </row>
    <row r="260" spans="1:9" x14ac:dyDescent="0.3">
      <c r="A260" s="149" t="s">
        <v>611</v>
      </c>
      <c r="B260" s="149"/>
      <c r="C260" s="92"/>
      <c r="D260" s="92"/>
      <c r="E260" s="92"/>
      <c r="F260" s="92"/>
      <c r="G260" s="92"/>
      <c r="H260" s="92"/>
    </row>
    <row r="261" spans="1:9" x14ac:dyDescent="0.3">
      <c r="A261" s="139" t="s">
        <v>688</v>
      </c>
      <c r="B261" s="139"/>
    </row>
    <row r="262" spans="1:9" x14ac:dyDescent="0.3">
      <c r="A262" s="139" t="s">
        <v>689</v>
      </c>
      <c r="B262" s="139"/>
    </row>
    <row r="263" spans="1:9" x14ac:dyDescent="0.3">
      <c r="A263" s="139"/>
      <c r="B263" s="139"/>
    </row>
    <row r="264" spans="1:9" x14ac:dyDescent="0.3">
      <c r="A264" s="139"/>
      <c r="B264" s="139"/>
    </row>
    <row r="265" spans="1:9" x14ac:dyDescent="0.3">
      <c r="A265" s="139"/>
      <c r="B265" s="139"/>
    </row>
    <row r="266" spans="1:9" x14ac:dyDescent="0.3">
      <c r="A266" s="139"/>
      <c r="B266" s="139"/>
    </row>
    <row r="267" spans="1:9" x14ac:dyDescent="0.3">
      <c r="A267" s="139"/>
      <c r="B267" s="139"/>
    </row>
    <row r="268" spans="1:9" x14ac:dyDescent="0.3">
      <c r="A268" s="139"/>
      <c r="B268" s="139"/>
    </row>
    <row r="269" spans="1:9" x14ac:dyDescent="0.3">
      <c r="A269" s="139"/>
      <c r="B269" s="139"/>
    </row>
    <row r="270" spans="1:9" x14ac:dyDescent="0.3">
      <c r="A270" s="139"/>
      <c r="B270" s="139"/>
    </row>
    <row r="271" spans="1:9" x14ac:dyDescent="0.3">
      <c r="A271" s="139"/>
      <c r="B271" s="139"/>
    </row>
    <row r="272" spans="1:9" x14ac:dyDescent="0.3">
      <c r="A272" s="139"/>
      <c r="B272" s="139"/>
    </row>
    <row r="273" spans="1:2" x14ac:dyDescent="0.3">
      <c r="A273" s="139"/>
      <c r="B273" s="139"/>
    </row>
    <row r="274" spans="1:2" x14ac:dyDescent="0.3">
      <c r="A274" s="139"/>
      <c r="B274" s="139"/>
    </row>
    <row r="275" spans="1:2" x14ac:dyDescent="0.3">
      <c r="A275" s="139"/>
      <c r="B275" s="139"/>
    </row>
    <row r="276" spans="1:2" x14ac:dyDescent="0.3">
      <c r="A276" s="139"/>
      <c r="B276" s="139"/>
    </row>
    <row r="277" spans="1:2" x14ac:dyDescent="0.3">
      <c r="A277" s="139"/>
      <c r="B277" s="139"/>
    </row>
    <row r="278" spans="1:2" x14ac:dyDescent="0.3">
      <c r="A278" s="139"/>
      <c r="B278" s="139"/>
    </row>
    <row r="279" spans="1:2" x14ac:dyDescent="0.3">
      <c r="A279" s="139"/>
      <c r="B279" s="139"/>
    </row>
    <row r="280" spans="1:2" x14ac:dyDescent="0.3">
      <c r="A280" s="139"/>
      <c r="B280" s="139"/>
    </row>
    <row r="281" spans="1:2" x14ac:dyDescent="0.3">
      <c r="A281" s="139"/>
      <c r="B281" s="139"/>
    </row>
    <row r="282" spans="1:2" x14ac:dyDescent="0.3">
      <c r="A282" s="139"/>
      <c r="B282" s="139"/>
    </row>
    <row r="283" spans="1:2" x14ac:dyDescent="0.3">
      <c r="A283" s="139"/>
      <c r="B283" s="139"/>
    </row>
    <row r="284" spans="1:2" x14ac:dyDescent="0.3">
      <c r="A284" s="139"/>
      <c r="B284" s="139"/>
    </row>
    <row r="285" spans="1:2" x14ac:dyDescent="0.3">
      <c r="A285" s="139"/>
      <c r="B285" s="139"/>
    </row>
    <row r="286" spans="1:2" x14ac:dyDescent="0.3">
      <c r="A286" s="139"/>
      <c r="B286" s="139"/>
    </row>
    <row r="287" spans="1:2" x14ac:dyDescent="0.3">
      <c r="A287" s="139"/>
      <c r="B287" s="139"/>
    </row>
    <row r="288" spans="1:2" x14ac:dyDescent="0.3">
      <c r="A288" s="139"/>
      <c r="B288" s="139"/>
    </row>
    <row r="289" spans="1:2" x14ac:dyDescent="0.3">
      <c r="A289" s="139"/>
      <c r="B289" s="139"/>
    </row>
    <row r="290" spans="1:2" x14ac:dyDescent="0.3">
      <c r="A290" s="139"/>
      <c r="B290" s="139"/>
    </row>
    <row r="291" spans="1:2" x14ac:dyDescent="0.3">
      <c r="A291" s="139"/>
      <c r="B291" s="139"/>
    </row>
    <row r="292" spans="1:2" x14ac:dyDescent="0.3">
      <c r="A292" s="139"/>
      <c r="B292" s="139"/>
    </row>
    <row r="293" spans="1:2" x14ac:dyDescent="0.3">
      <c r="A293" s="139"/>
      <c r="B293" s="139"/>
    </row>
    <row r="294" spans="1:2" x14ac:dyDescent="0.3">
      <c r="A294" s="139"/>
      <c r="B294" s="139"/>
    </row>
    <row r="295" spans="1:2" x14ac:dyDescent="0.3">
      <c r="A295" s="139"/>
      <c r="B295" s="139"/>
    </row>
    <row r="296" spans="1:2" x14ac:dyDescent="0.3">
      <c r="A296" s="139"/>
      <c r="B296" s="139"/>
    </row>
    <row r="297" spans="1:2" x14ac:dyDescent="0.3">
      <c r="A297" s="139"/>
      <c r="B297" s="139"/>
    </row>
    <row r="298" spans="1:2" x14ac:dyDescent="0.3">
      <c r="A298" s="139"/>
      <c r="B298" s="139"/>
    </row>
    <row r="299" spans="1:2" x14ac:dyDescent="0.3">
      <c r="A299" s="139"/>
      <c r="B299" s="139"/>
    </row>
    <row r="300" spans="1:2" x14ac:dyDescent="0.3">
      <c r="A300" s="139"/>
      <c r="B300" s="139"/>
    </row>
    <row r="301" spans="1:2" x14ac:dyDescent="0.3">
      <c r="A301" s="139"/>
      <c r="B301" s="139"/>
    </row>
    <row r="302" spans="1:2" x14ac:dyDescent="0.3">
      <c r="A302" s="139"/>
      <c r="B302" s="139"/>
    </row>
    <row r="303" spans="1:2" x14ac:dyDescent="0.3">
      <c r="A303" s="139"/>
      <c r="B303" s="139"/>
    </row>
    <row r="304" spans="1:2" x14ac:dyDescent="0.3">
      <c r="A304" s="139"/>
      <c r="B304" s="139"/>
    </row>
    <row r="305" spans="1:2" x14ac:dyDescent="0.3">
      <c r="A305" s="139"/>
      <c r="B305" s="139"/>
    </row>
    <row r="306" spans="1:2" x14ac:dyDescent="0.3">
      <c r="A306" s="139"/>
      <c r="B306" s="139"/>
    </row>
    <row r="307" spans="1:2" x14ac:dyDescent="0.3">
      <c r="A307" s="139"/>
      <c r="B307" s="139"/>
    </row>
    <row r="308" spans="1:2" x14ac:dyDescent="0.3">
      <c r="A308" s="139"/>
      <c r="B308" s="139"/>
    </row>
    <row r="309" spans="1:2" x14ac:dyDescent="0.3">
      <c r="A309" s="139"/>
      <c r="B309" s="139"/>
    </row>
    <row r="310" spans="1:2" x14ac:dyDescent="0.3">
      <c r="A310" s="139"/>
      <c r="B310" s="139"/>
    </row>
    <row r="311" spans="1:2" x14ac:dyDescent="0.3">
      <c r="A311" s="139"/>
      <c r="B311" s="139"/>
    </row>
    <row r="312" spans="1:2" x14ac:dyDescent="0.3">
      <c r="A312" s="139"/>
      <c r="B312" s="139"/>
    </row>
    <row r="313" spans="1:2" x14ac:dyDescent="0.3">
      <c r="A313" s="139"/>
      <c r="B313" s="139"/>
    </row>
    <row r="314" spans="1:2" x14ac:dyDescent="0.3">
      <c r="A314" s="139"/>
      <c r="B314" s="139"/>
    </row>
    <row r="315" spans="1:2" x14ac:dyDescent="0.3">
      <c r="A315" s="139"/>
      <c r="B315" s="139"/>
    </row>
    <row r="316" spans="1:2" x14ac:dyDescent="0.3">
      <c r="A316" s="139"/>
      <c r="B316" s="139"/>
    </row>
    <row r="317" spans="1:2" x14ac:dyDescent="0.3">
      <c r="A317" s="139"/>
      <c r="B317" s="139"/>
    </row>
    <row r="318" spans="1:2" x14ac:dyDescent="0.3">
      <c r="A318" s="139"/>
      <c r="B318" s="139"/>
    </row>
    <row r="319" spans="1:2" x14ac:dyDescent="0.3">
      <c r="A319" s="139"/>
      <c r="B319" s="139"/>
    </row>
    <row r="320" spans="1:2" x14ac:dyDescent="0.3">
      <c r="A320" s="139"/>
      <c r="B320" s="139"/>
    </row>
    <row r="321" spans="1:2" x14ac:dyDescent="0.3">
      <c r="A321" s="139"/>
      <c r="B321" s="139"/>
    </row>
    <row r="322" spans="1:2" x14ac:dyDescent="0.3">
      <c r="A322" s="139"/>
      <c r="B322" s="139"/>
    </row>
    <row r="323" spans="1:2" x14ac:dyDescent="0.3">
      <c r="A323" s="139"/>
      <c r="B323" s="139"/>
    </row>
    <row r="324" spans="1:2" x14ac:dyDescent="0.3">
      <c r="A324" s="139"/>
      <c r="B324" s="139"/>
    </row>
    <row r="325" spans="1:2" x14ac:dyDescent="0.3">
      <c r="A325" s="139"/>
      <c r="B325" s="139"/>
    </row>
    <row r="326" spans="1:2" x14ac:dyDescent="0.3">
      <c r="A326" s="139"/>
      <c r="B326" s="139"/>
    </row>
    <row r="327" spans="1:2" x14ac:dyDescent="0.3">
      <c r="A327" s="139"/>
      <c r="B327" s="139"/>
    </row>
    <row r="328" spans="1:2" x14ac:dyDescent="0.3">
      <c r="A328" s="139"/>
      <c r="B328" s="139"/>
    </row>
    <row r="329" spans="1:2" x14ac:dyDescent="0.3">
      <c r="A329" s="139"/>
      <c r="B329" s="139"/>
    </row>
    <row r="330" spans="1:2" x14ac:dyDescent="0.3">
      <c r="A330" s="139"/>
      <c r="B330" s="139"/>
    </row>
    <row r="331" spans="1:2" x14ac:dyDescent="0.3">
      <c r="A331" s="139"/>
      <c r="B331" s="139"/>
    </row>
    <row r="332" spans="1:2" x14ac:dyDescent="0.3">
      <c r="A332" s="139"/>
      <c r="B332" s="139"/>
    </row>
    <row r="333" spans="1:2" x14ac:dyDescent="0.3">
      <c r="A333" s="139"/>
      <c r="B333" s="139"/>
    </row>
    <row r="334" spans="1:2" x14ac:dyDescent="0.3">
      <c r="A334" s="139"/>
      <c r="B334" s="139"/>
    </row>
    <row r="335" spans="1:2" x14ac:dyDescent="0.3">
      <c r="A335" s="139"/>
      <c r="B335" s="139"/>
    </row>
    <row r="336" spans="1:2" x14ac:dyDescent="0.3">
      <c r="A336" s="139"/>
      <c r="B336" s="139"/>
    </row>
    <row r="337" spans="1:2" x14ac:dyDescent="0.3">
      <c r="A337" s="139"/>
      <c r="B337" s="139"/>
    </row>
    <row r="338" spans="1:2" x14ac:dyDescent="0.3">
      <c r="A338" s="139"/>
      <c r="B338" s="139"/>
    </row>
    <row r="339" spans="1:2" x14ac:dyDescent="0.3">
      <c r="A339" s="139"/>
      <c r="B339" s="139"/>
    </row>
    <row r="340" spans="1:2" x14ac:dyDescent="0.3">
      <c r="A340" s="139"/>
      <c r="B340" s="139"/>
    </row>
    <row r="341" spans="1:2" x14ac:dyDescent="0.3">
      <c r="A341" s="139"/>
      <c r="B341" s="139"/>
    </row>
    <row r="342" spans="1:2" x14ac:dyDescent="0.3">
      <c r="A342" s="139"/>
      <c r="B342" s="139"/>
    </row>
    <row r="343" spans="1:2" x14ac:dyDescent="0.3">
      <c r="A343" s="139"/>
      <c r="B343" s="139"/>
    </row>
    <row r="344" spans="1:2" x14ac:dyDescent="0.3">
      <c r="A344" s="139"/>
      <c r="B344" s="139"/>
    </row>
    <row r="345" spans="1:2" x14ac:dyDescent="0.3">
      <c r="A345" s="139"/>
      <c r="B345" s="139"/>
    </row>
    <row r="346" spans="1:2" x14ac:dyDescent="0.3">
      <c r="A346" s="139"/>
      <c r="B346" s="139"/>
    </row>
    <row r="347" spans="1:2" x14ac:dyDescent="0.3">
      <c r="A347" s="139"/>
      <c r="B347" s="139"/>
    </row>
    <row r="348" spans="1:2" x14ac:dyDescent="0.3">
      <c r="A348" s="139"/>
      <c r="B348" s="139"/>
    </row>
    <row r="349" spans="1:2" x14ac:dyDescent="0.3">
      <c r="A349" s="139"/>
      <c r="B349" s="139"/>
    </row>
    <row r="350" spans="1:2" x14ac:dyDescent="0.3">
      <c r="A350" s="139"/>
      <c r="B350" s="139"/>
    </row>
    <row r="351" spans="1:2" x14ac:dyDescent="0.3">
      <c r="A351" s="139"/>
      <c r="B351" s="139"/>
    </row>
    <row r="352" spans="1:2" x14ac:dyDescent="0.3">
      <c r="A352" s="139"/>
      <c r="B352" s="139"/>
    </row>
    <row r="353" spans="1:2" x14ac:dyDescent="0.3">
      <c r="A353" s="139"/>
      <c r="B353" s="139"/>
    </row>
    <row r="354" spans="1:2" x14ac:dyDescent="0.3">
      <c r="A354" s="139"/>
      <c r="B354" s="139"/>
    </row>
    <row r="355" spans="1:2" x14ac:dyDescent="0.3">
      <c r="A355" s="139"/>
      <c r="B355" s="139"/>
    </row>
    <row r="356" spans="1:2" x14ac:dyDescent="0.3">
      <c r="A356" s="139"/>
      <c r="B356" s="139"/>
    </row>
    <row r="357" spans="1:2" x14ac:dyDescent="0.3">
      <c r="A357" s="139"/>
      <c r="B357" s="139"/>
    </row>
    <row r="358" spans="1:2" x14ac:dyDescent="0.3">
      <c r="A358" s="139"/>
      <c r="B358" s="139"/>
    </row>
    <row r="359" spans="1:2" x14ac:dyDescent="0.3">
      <c r="A359" s="139"/>
      <c r="B359" s="139"/>
    </row>
    <row r="360" spans="1:2" x14ac:dyDescent="0.3">
      <c r="A360" s="139"/>
      <c r="B360" s="139"/>
    </row>
    <row r="361" spans="1:2" x14ac:dyDescent="0.3">
      <c r="A361" s="139"/>
      <c r="B361" s="139"/>
    </row>
    <row r="362" spans="1:2" x14ac:dyDescent="0.3">
      <c r="A362" s="139"/>
      <c r="B362" s="139"/>
    </row>
    <row r="363" spans="1:2" x14ac:dyDescent="0.3">
      <c r="A363" s="139"/>
      <c r="B363" s="139"/>
    </row>
    <row r="364" spans="1:2" x14ac:dyDescent="0.3">
      <c r="A364" s="139"/>
      <c r="B364" s="139"/>
    </row>
    <row r="365" spans="1:2" x14ac:dyDescent="0.3">
      <c r="A365" s="139"/>
      <c r="B365" s="139"/>
    </row>
    <row r="366" spans="1:2" x14ac:dyDescent="0.3">
      <c r="A366" s="139"/>
      <c r="B366" s="139"/>
    </row>
    <row r="367" spans="1:2" x14ac:dyDescent="0.3">
      <c r="A367" s="139"/>
      <c r="B367" s="139"/>
    </row>
    <row r="368" spans="1:2" x14ac:dyDescent="0.3">
      <c r="A368" s="139"/>
      <c r="B368" s="139"/>
    </row>
    <row r="369" spans="1:2" x14ac:dyDescent="0.3">
      <c r="A369" s="139"/>
      <c r="B369" s="139"/>
    </row>
    <row r="370" spans="1:2" x14ac:dyDescent="0.3">
      <c r="A370" s="139"/>
      <c r="B370" s="139"/>
    </row>
    <row r="371" spans="1:2" x14ac:dyDescent="0.3">
      <c r="A371" s="139"/>
      <c r="B371" s="139"/>
    </row>
    <row r="372" spans="1:2" x14ac:dyDescent="0.3">
      <c r="A372" s="139"/>
      <c r="B372" s="139"/>
    </row>
    <row r="373" spans="1:2" x14ac:dyDescent="0.3">
      <c r="A373" s="139"/>
      <c r="B373" s="139"/>
    </row>
    <row r="374" spans="1:2" x14ac:dyDescent="0.3">
      <c r="A374" s="139"/>
      <c r="B374" s="139"/>
    </row>
    <row r="375" spans="1:2" x14ac:dyDescent="0.3">
      <c r="A375" s="139"/>
      <c r="B375" s="139"/>
    </row>
    <row r="376" spans="1:2" x14ac:dyDescent="0.3">
      <c r="A376" s="139"/>
      <c r="B376" s="139"/>
    </row>
    <row r="377" spans="1:2" x14ac:dyDescent="0.3">
      <c r="A377" s="139"/>
      <c r="B377" s="139"/>
    </row>
    <row r="378" spans="1:2" x14ac:dyDescent="0.3">
      <c r="A378" s="139"/>
      <c r="B378" s="139"/>
    </row>
    <row r="379" spans="1:2" x14ac:dyDescent="0.3">
      <c r="A379" s="139"/>
      <c r="B379" s="139"/>
    </row>
    <row r="380" spans="1:2" x14ac:dyDescent="0.3">
      <c r="A380" s="139"/>
      <c r="B380" s="139"/>
    </row>
    <row r="381" spans="1:2" x14ac:dyDescent="0.3">
      <c r="A381" s="139"/>
      <c r="B381" s="139"/>
    </row>
    <row r="382" spans="1:2" x14ac:dyDescent="0.3">
      <c r="A382" s="139"/>
      <c r="B382" s="139"/>
    </row>
    <row r="383" spans="1:2" x14ac:dyDescent="0.3">
      <c r="A383" s="139"/>
      <c r="B383" s="139"/>
    </row>
    <row r="384" spans="1:2" x14ac:dyDescent="0.3">
      <c r="A384" s="139"/>
      <c r="B384" s="139"/>
    </row>
    <row r="385" spans="1:2" x14ac:dyDescent="0.3">
      <c r="A385" s="139"/>
      <c r="B385" s="139"/>
    </row>
    <row r="386" spans="1:2" x14ac:dyDescent="0.3">
      <c r="A386" s="139"/>
      <c r="B386" s="139"/>
    </row>
    <row r="387" spans="1:2" x14ac:dyDescent="0.3">
      <c r="A387" s="139"/>
      <c r="B387" s="139"/>
    </row>
    <row r="388" spans="1:2" x14ac:dyDescent="0.3">
      <c r="A388" s="139"/>
      <c r="B388" s="139"/>
    </row>
    <row r="389" spans="1:2" x14ac:dyDescent="0.3">
      <c r="A389" s="139"/>
      <c r="B389" s="139"/>
    </row>
    <row r="390" spans="1:2" x14ac:dyDescent="0.3">
      <c r="A390" s="139"/>
      <c r="B390" s="139"/>
    </row>
    <row r="391" spans="1:2" x14ac:dyDescent="0.3">
      <c r="A391" s="139"/>
      <c r="B391" s="139"/>
    </row>
    <row r="392" spans="1:2" x14ac:dyDescent="0.3">
      <c r="A392" s="139"/>
      <c r="B392" s="139"/>
    </row>
    <row r="393" spans="1:2" x14ac:dyDescent="0.3">
      <c r="A393" s="139"/>
      <c r="B393" s="139"/>
    </row>
    <row r="394" spans="1:2" x14ac:dyDescent="0.3">
      <c r="A394" s="139"/>
      <c r="B394" s="139"/>
    </row>
    <row r="395" spans="1:2" x14ac:dyDescent="0.3">
      <c r="A395" s="139"/>
      <c r="B395" s="139"/>
    </row>
    <row r="396" spans="1:2" x14ac:dyDescent="0.3">
      <c r="A396" s="139"/>
      <c r="B396" s="139"/>
    </row>
    <row r="397" spans="1:2" x14ac:dyDescent="0.3">
      <c r="A397" s="139"/>
      <c r="B397" s="139"/>
    </row>
    <row r="398" spans="1:2" x14ac:dyDescent="0.3">
      <c r="A398" s="139"/>
      <c r="B398" s="139"/>
    </row>
    <row r="399" spans="1:2" x14ac:dyDescent="0.3">
      <c r="A399" s="139"/>
      <c r="B399" s="139"/>
    </row>
    <row r="400" spans="1:2" x14ac:dyDescent="0.3">
      <c r="A400" s="139"/>
      <c r="B400" s="139"/>
    </row>
  </sheetData>
  <mergeCells count="17">
    <mergeCell ref="B6:J6"/>
    <mergeCell ref="B7:J7"/>
    <mergeCell ref="B8:J8"/>
    <mergeCell ref="B9:J9"/>
    <mergeCell ref="B10:J10"/>
    <mergeCell ref="B11:J11"/>
    <mergeCell ref="B12:J12"/>
    <mergeCell ref="B13:J13"/>
    <mergeCell ref="B14:J14"/>
    <mergeCell ref="B15:J15"/>
    <mergeCell ref="A250:H250"/>
    <mergeCell ref="A259:B259"/>
    <mergeCell ref="A137:H137"/>
    <mergeCell ref="A143:H143"/>
    <mergeCell ref="A154:H154"/>
    <mergeCell ref="A160:H160"/>
    <mergeCell ref="A168:H16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EA9DB"/>
  </sheetPr>
  <dimension ref="A1:J400"/>
  <sheetViews>
    <sheetView showGridLines="0" workbookViewId="0">
      <pane xSplit="2" ySplit="17" topLeftCell="C18" activePane="bottomRight" state="frozen"/>
      <selection pane="topRight"/>
      <selection pane="bottomLeft"/>
      <selection pane="bottomRight" activeCell="C18" sqref="C18"/>
    </sheetView>
  </sheetViews>
  <sheetFormatPr defaultColWidth="8.6640625" defaultRowHeight="14.4" x14ac:dyDescent="0.3"/>
  <cols>
    <col min="1" max="1" width="58" customWidth="1"/>
    <col min="2" max="2" width="46" customWidth="1"/>
    <col min="3" max="8" width="11" customWidth="1"/>
    <col min="9" max="9" width="9" customWidth="1"/>
    <col min="10" max="10" width="62" customWidth="1"/>
  </cols>
  <sheetData>
    <row r="1" spans="1:10" ht="18" x14ac:dyDescent="0.35">
      <c r="A1" s="138" t="s">
        <v>690</v>
      </c>
      <c r="B1" s="139"/>
    </row>
    <row r="2" spans="1:10" x14ac:dyDescent="0.3">
      <c r="A2" s="140" t="s">
        <v>691</v>
      </c>
      <c r="B2" s="139"/>
    </row>
    <row r="3" spans="1:10" x14ac:dyDescent="0.3">
      <c r="A3" s="141" t="s">
        <v>9355</v>
      </c>
      <c r="B3" s="139"/>
    </row>
    <row r="4" spans="1:10" x14ac:dyDescent="0.3">
      <c r="A4" s="139"/>
      <c r="B4" s="139"/>
    </row>
    <row r="5" spans="1:10" x14ac:dyDescent="0.3">
      <c r="A5" s="142" t="s">
        <v>217</v>
      </c>
      <c r="B5" s="143"/>
      <c r="C5" s="10"/>
      <c r="D5" s="10"/>
      <c r="E5" s="10"/>
      <c r="F5" s="10"/>
      <c r="G5" s="10"/>
      <c r="H5" s="10"/>
      <c r="I5" s="10"/>
      <c r="J5" s="10"/>
    </row>
    <row r="6" spans="1:10" ht="15" customHeight="1" x14ac:dyDescent="0.3">
      <c r="A6" s="144" t="s">
        <v>1</v>
      </c>
      <c r="B6" s="210" t="s">
        <v>692</v>
      </c>
      <c r="C6" s="211"/>
      <c r="D6" s="211"/>
      <c r="E6" s="211"/>
      <c r="F6" s="211"/>
      <c r="G6" s="211"/>
      <c r="H6" s="211"/>
      <c r="I6" s="211"/>
      <c r="J6" s="211"/>
    </row>
    <row r="7" spans="1:10" ht="15" customHeight="1" x14ac:dyDescent="0.3">
      <c r="A7" s="144" t="s">
        <v>219</v>
      </c>
      <c r="B7" s="210" t="s">
        <v>86</v>
      </c>
      <c r="C7" s="211"/>
      <c r="D7" s="211"/>
      <c r="E7" s="211"/>
      <c r="F7" s="211"/>
      <c r="G7" s="211"/>
      <c r="H7" s="211"/>
      <c r="I7" s="211"/>
      <c r="J7" s="211"/>
    </row>
    <row r="8" spans="1:10" ht="15" customHeight="1" x14ac:dyDescent="0.3">
      <c r="A8" s="144" t="s">
        <v>220</v>
      </c>
      <c r="B8" s="210" t="s">
        <v>693</v>
      </c>
      <c r="C8" s="211"/>
      <c r="D8" s="211"/>
      <c r="E8" s="211"/>
      <c r="F8" s="211"/>
      <c r="G8" s="211"/>
      <c r="H8" s="211"/>
      <c r="I8" s="211"/>
      <c r="J8" s="211"/>
    </row>
    <row r="9" spans="1:10" ht="15" customHeight="1" x14ac:dyDescent="0.3">
      <c r="A9" s="144" t="s">
        <v>222</v>
      </c>
      <c r="B9" s="210" t="s">
        <v>223</v>
      </c>
      <c r="C9" s="211"/>
      <c r="D9" s="211"/>
      <c r="E9" s="211"/>
      <c r="F9" s="211"/>
      <c r="G9" s="211"/>
      <c r="H9" s="211"/>
      <c r="I9" s="211"/>
      <c r="J9" s="211"/>
    </row>
    <row r="10" spans="1:10" ht="15" customHeight="1" x14ac:dyDescent="0.3">
      <c r="A10" s="144" t="s">
        <v>224</v>
      </c>
      <c r="B10" s="210" t="s">
        <v>617</v>
      </c>
      <c r="C10" s="211"/>
      <c r="D10" s="211"/>
      <c r="E10" s="211"/>
      <c r="F10" s="211"/>
      <c r="G10" s="211"/>
      <c r="H10" s="211"/>
      <c r="I10" s="211"/>
      <c r="J10" s="211"/>
    </row>
    <row r="11" spans="1:10" ht="15" customHeight="1" x14ac:dyDescent="0.3">
      <c r="A11" s="144" t="s">
        <v>226</v>
      </c>
      <c r="B11" s="210" t="s">
        <v>694</v>
      </c>
      <c r="C11" s="211"/>
      <c r="D11" s="211"/>
      <c r="E11" s="211"/>
      <c r="F11" s="211"/>
      <c r="G11" s="211"/>
      <c r="H11" s="211"/>
      <c r="I11" s="211"/>
      <c r="J11" s="211"/>
    </row>
    <row r="12" spans="1:10" ht="27.75" customHeight="1" x14ac:dyDescent="0.3">
      <c r="A12" s="144" t="s">
        <v>228</v>
      </c>
      <c r="B12" s="210" t="s">
        <v>695</v>
      </c>
      <c r="C12" s="211"/>
      <c r="D12" s="211"/>
      <c r="E12" s="211"/>
      <c r="F12" s="211"/>
      <c r="G12" s="211"/>
      <c r="H12" s="211"/>
      <c r="I12" s="211"/>
      <c r="J12" s="211"/>
    </row>
    <row r="13" spans="1:10" ht="27.75" customHeight="1" x14ac:dyDescent="0.3">
      <c r="A13" s="144" t="s">
        <v>230</v>
      </c>
      <c r="B13" s="210" t="s">
        <v>231</v>
      </c>
      <c r="C13" s="211"/>
      <c r="D13" s="211"/>
      <c r="E13" s="211"/>
      <c r="F13" s="211"/>
      <c r="G13" s="211"/>
      <c r="H13" s="211"/>
      <c r="I13" s="211"/>
      <c r="J13" s="211"/>
    </row>
    <row r="14" spans="1:10" ht="27.75" customHeight="1" x14ac:dyDescent="0.3">
      <c r="A14" s="144" t="s">
        <v>232</v>
      </c>
      <c r="B14" s="210" t="s">
        <v>233</v>
      </c>
      <c r="C14" s="211"/>
      <c r="D14" s="211"/>
      <c r="E14" s="211"/>
      <c r="F14" s="211"/>
      <c r="G14" s="211"/>
      <c r="H14" s="211"/>
      <c r="I14" s="211"/>
      <c r="J14" s="211"/>
    </row>
    <row r="15" spans="1:10" ht="27.75" customHeight="1" x14ac:dyDescent="0.3">
      <c r="A15" s="144" t="s">
        <v>234</v>
      </c>
      <c r="B15" s="210" t="s">
        <v>235</v>
      </c>
      <c r="C15" s="211"/>
      <c r="D15" s="211"/>
      <c r="E15" s="211"/>
      <c r="F15" s="211"/>
      <c r="G15" s="211"/>
      <c r="H15" s="211"/>
      <c r="I15" s="211"/>
      <c r="J15" s="211"/>
    </row>
    <row r="16" spans="1:10" x14ac:dyDescent="0.3">
      <c r="A16" s="139"/>
      <c r="B16" s="139"/>
    </row>
    <row r="17" spans="1:10" x14ac:dyDescent="0.3">
      <c r="A17" s="145" t="s">
        <v>236</v>
      </c>
      <c r="B17" s="145" t="s">
        <v>237</v>
      </c>
      <c r="C17" s="11" t="s">
        <v>238</v>
      </c>
      <c r="D17" s="11" t="s">
        <v>20</v>
      </c>
      <c r="E17" s="11" t="s">
        <v>26</v>
      </c>
      <c r="F17" s="11" t="s">
        <v>27</v>
      </c>
      <c r="G17" s="11" t="s">
        <v>28</v>
      </c>
      <c r="H17" s="11" t="s">
        <v>29</v>
      </c>
      <c r="I17" s="11" t="s">
        <v>239</v>
      </c>
      <c r="J17" s="11" t="s">
        <v>240</v>
      </c>
    </row>
    <row r="18" spans="1:10" x14ac:dyDescent="0.3">
      <c r="A18" s="142" t="s">
        <v>241</v>
      </c>
      <c r="B18" s="143"/>
      <c r="C18" s="10"/>
      <c r="D18" s="10"/>
      <c r="E18" s="10"/>
      <c r="F18" s="10"/>
      <c r="G18" s="10"/>
      <c r="H18" s="10"/>
      <c r="I18" s="10"/>
      <c r="J18" s="10"/>
    </row>
    <row r="19" spans="1:10" x14ac:dyDescent="0.3">
      <c r="A19" s="146" t="s">
        <v>242</v>
      </c>
      <c r="B19" s="147"/>
      <c r="C19" s="13"/>
      <c r="D19" s="13"/>
      <c r="E19" s="13"/>
      <c r="F19" s="13"/>
      <c r="G19" s="13"/>
      <c r="H19" s="13"/>
      <c r="I19" s="13"/>
      <c r="J19" s="13"/>
    </row>
    <row r="20" spans="1:10" x14ac:dyDescent="0.3">
      <c r="A20" s="139" t="s">
        <v>243</v>
      </c>
      <c r="B20" s="141" t="s">
        <v>696</v>
      </c>
      <c r="C20" s="14">
        <v>83537.294999999998</v>
      </c>
      <c r="D20" s="14">
        <v>85020.108999999997</v>
      </c>
      <c r="E20" s="14">
        <v>82803.86</v>
      </c>
      <c r="F20" s="14">
        <v>82245.649999999994</v>
      </c>
      <c r="G20" s="14">
        <v>79877.839000000007</v>
      </c>
      <c r="H20" s="14">
        <v>77252.558999999994</v>
      </c>
      <c r="I20" s="8" t="s">
        <v>245</v>
      </c>
    </row>
    <row r="21" spans="1:10" x14ac:dyDescent="0.3">
      <c r="A21" s="139" t="s">
        <v>246</v>
      </c>
      <c r="B21" s="141" t="s">
        <v>697</v>
      </c>
      <c r="C21" s="14">
        <v>6358.259</v>
      </c>
      <c r="D21" s="14">
        <v>7726.72</v>
      </c>
      <c r="E21" s="14">
        <v>724.16800000000001</v>
      </c>
      <c r="F21" s="14">
        <v>2006.864</v>
      </c>
      <c r="G21" s="14">
        <v>1341.029</v>
      </c>
      <c r="H21" s="14">
        <v>798.31200000000001</v>
      </c>
      <c r="I21" s="8" t="s">
        <v>245</v>
      </c>
    </row>
    <row r="22" spans="1:10" x14ac:dyDescent="0.3">
      <c r="A22" s="139" t="s">
        <v>248</v>
      </c>
      <c r="B22" s="141" t="s">
        <v>249</v>
      </c>
      <c r="C22" s="15">
        <f t="shared" ref="C22:H22" si="0">C20-C21</f>
        <v>77179.035999999993</v>
      </c>
      <c r="D22" s="15">
        <f t="shared" si="0"/>
        <v>77293.388999999996</v>
      </c>
      <c r="E22" s="15">
        <f t="shared" si="0"/>
        <v>82079.691999999995</v>
      </c>
      <c r="F22" s="15">
        <f t="shared" si="0"/>
        <v>80238.785999999993</v>
      </c>
      <c r="G22" s="15">
        <f t="shared" si="0"/>
        <v>78536.810000000012</v>
      </c>
      <c r="H22" s="15">
        <f t="shared" si="0"/>
        <v>76454.246999999988</v>
      </c>
      <c r="I22" s="8" t="s">
        <v>245</v>
      </c>
    </row>
    <row r="23" spans="1:10" x14ac:dyDescent="0.3">
      <c r="A23" s="139" t="s">
        <v>250</v>
      </c>
      <c r="B23" s="141" t="s">
        <v>698</v>
      </c>
      <c r="C23" s="14">
        <v>0</v>
      </c>
      <c r="D23" s="14">
        <v>0</v>
      </c>
      <c r="E23" s="14">
        <v>0</v>
      </c>
      <c r="F23" s="14">
        <v>0</v>
      </c>
      <c r="G23" s="14">
        <v>0</v>
      </c>
      <c r="H23" s="14">
        <v>0</v>
      </c>
      <c r="I23" s="8" t="s">
        <v>245</v>
      </c>
    </row>
    <row r="24" spans="1:10" x14ac:dyDescent="0.3">
      <c r="A24" s="139" t="s">
        <v>252</v>
      </c>
      <c r="B24" s="141" t="s">
        <v>699</v>
      </c>
      <c r="C24" s="14">
        <v>0</v>
      </c>
      <c r="D24" s="14">
        <v>0</v>
      </c>
      <c r="E24" s="14">
        <v>17.318999999999999</v>
      </c>
      <c r="F24" s="14">
        <v>10.151999999999999</v>
      </c>
      <c r="G24" s="14">
        <v>42.762</v>
      </c>
      <c r="H24" s="14">
        <v>13.076000000000001</v>
      </c>
      <c r="I24" s="8" t="s">
        <v>245</v>
      </c>
    </row>
    <row r="25" spans="1:10" x14ac:dyDescent="0.3">
      <c r="A25" s="139" t="s">
        <v>254</v>
      </c>
      <c r="B25" s="141" t="s">
        <v>700</v>
      </c>
      <c r="C25" s="14">
        <v>0</v>
      </c>
      <c r="D25" s="14">
        <v>0</v>
      </c>
      <c r="E25" s="14">
        <v>0</v>
      </c>
      <c r="F25" s="14">
        <v>0</v>
      </c>
      <c r="G25" s="14">
        <v>0</v>
      </c>
      <c r="H25" s="14">
        <v>0</v>
      </c>
      <c r="I25" s="8" t="s">
        <v>245</v>
      </c>
    </row>
    <row r="26" spans="1:10" x14ac:dyDescent="0.3">
      <c r="A26" s="139" t="s">
        <v>256</v>
      </c>
      <c r="B26" s="141" t="s">
        <v>701</v>
      </c>
      <c r="C26" s="14">
        <v>11849.828</v>
      </c>
      <c r="D26" s="14">
        <v>15965.811</v>
      </c>
      <c r="E26" s="14">
        <v>12866.145</v>
      </c>
      <c r="F26" s="14">
        <v>13366.36</v>
      </c>
      <c r="G26" s="14">
        <v>16633.063999999998</v>
      </c>
      <c r="H26" s="14">
        <v>20689.544999999998</v>
      </c>
      <c r="I26" s="8" t="s">
        <v>245</v>
      </c>
    </row>
    <row r="27" spans="1:10" x14ac:dyDescent="0.3">
      <c r="A27" s="139" t="s">
        <v>258</v>
      </c>
      <c r="B27" s="141" t="s">
        <v>702</v>
      </c>
      <c r="C27" s="14">
        <v>57.984000000000002</v>
      </c>
      <c r="D27" s="14">
        <v>57.512999999999998</v>
      </c>
      <c r="E27" s="14">
        <v>61.526000000000003</v>
      </c>
      <c r="F27" s="14">
        <v>64.426000000000002</v>
      </c>
      <c r="G27" s="14">
        <v>61.567999999999998</v>
      </c>
      <c r="H27" s="14">
        <v>61.012999999999998</v>
      </c>
      <c r="I27" s="8" t="s">
        <v>245</v>
      </c>
    </row>
    <row r="28" spans="1:10" x14ac:dyDescent="0.3">
      <c r="A28" s="144" t="s">
        <v>260</v>
      </c>
      <c r="B28" s="141" t="s">
        <v>261</v>
      </c>
      <c r="C28" s="16">
        <f t="shared" ref="C28:H28" si="1">C20+C23+C24+C25+C26+C27</f>
        <v>95445.106999999989</v>
      </c>
      <c r="D28" s="16">
        <f t="shared" si="1"/>
        <v>101043.433</v>
      </c>
      <c r="E28" s="16">
        <f t="shared" si="1"/>
        <v>95748.85</v>
      </c>
      <c r="F28" s="16">
        <f t="shared" si="1"/>
        <v>95686.588000000003</v>
      </c>
      <c r="G28" s="16">
        <f t="shared" si="1"/>
        <v>96615.233000000007</v>
      </c>
      <c r="H28" s="16">
        <f t="shared" si="1"/>
        <v>98016.192999999999</v>
      </c>
      <c r="I28" s="8" t="s">
        <v>245</v>
      </c>
    </row>
    <row r="29" spans="1:10" x14ac:dyDescent="0.3">
      <c r="A29" s="146" t="s">
        <v>262</v>
      </c>
      <c r="B29" s="147"/>
      <c r="C29" s="13"/>
      <c r="D29" s="13"/>
      <c r="E29" s="13"/>
      <c r="F29" s="13"/>
      <c r="G29" s="13"/>
      <c r="H29" s="13"/>
      <c r="I29" s="13"/>
      <c r="J29" s="13"/>
    </row>
    <row r="30" spans="1:10" x14ac:dyDescent="0.3">
      <c r="A30" s="139" t="s">
        <v>263</v>
      </c>
      <c r="B30" s="141" t="s">
        <v>703</v>
      </c>
      <c r="C30" s="14">
        <v>8237.99</v>
      </c>
      <c r="D30" s="14">
        <v>12879.348</v>
      </c>
      <c r="E30" s="14">
        <v>16813.883000000002</v>
      </c>
      <c r="F30" s="14">
        <v>13852.004999999999</v>
      </c>
      <c r="G30" s="14">
        <v>12559.773999999999</v>
      </c>
      <c r="H30" s="14">
        <v>12306.679</v>
      </c>
      <c r="I30" s="8" t="s">
        <v>245</v>
      </c>
    </row>
    <row r="31" spans="1:10" x14ac:dyDescent="0.3">
      <c r="A31" s="139" t="s">
        <v>265</v>
      </c>
      <c r="B31" s="141" t="s">
        <v>704</v>
      </c>
      <c r="C31" s="14">
        <v>4352.9949999999999</v>
      </c>
      <c r="D31" s="14">
        <v>2728.5889999999999</v>
      </c>
      <c r="E31" s="14">
        <v>5981.5150000000003</v>
      </c>
      <c r="F31" s="14">
        <v>8873.17</v>
      </c>
      <c r="G31" s="14">
        <v>7693.067</v>
      </c>
      <c r="H31" s="14">
        <v>8188.6779999999999</v>
      </c>
      <c r="I31" s="8" t="s">
        <v>245</v>
      </c>
    </row>
    <row r="32" spans="1:10" x14ac:dyDescent="0.3">
      <c r="A32" s="139" t="s">
        <v>267</v>
      </c>
      <c r="B32" s="141" t="s">
        <v>705</v>
      </c>
      <c r="C32" s="14">
        <v>2286.0839999999998</v>
      </c>
      <c r="D32" s="14">
        <v>1676.2449999999999</v>
      </c>
      <c r="E32" s="14">
        <v>1467.8620000000001</v>
      </c>
      <c r="F32" s="14">
        <v>1193.44</v>
      </c>
      <c r="G32" s="14">
        <v>855.74199999999996</v>
      </c>
      <c r="H32" s="14">
        <v>1493.08</v>
      </c>
      <c r="I32" s="8" t="s">
        <v>245</v>
      </c>
    </row>
    <row r="33" spans="1:10" x14ac:dyDescent="0.3">
      <c r="A33" s="139" t="s">
        <v>269</v>
      </c>
      <c r="B33" s="141" t="s">
        <v>706</v>
      </c>
      <c r="C33" s="14">
        <v>13126.388000000001</v>
      </c>
      <c r="D33" s="14">
        <v>12946.786</v>
      </c>
      <c r="E33" s="14">
        <v>9962.4210000000003</v>
      </c>
      <c r="F33" s="14">
        <v>9270.8979999999992</v>
      </c>
      <c r="G33" s="14">
        <v>18384.882000000001</v>
      </c>
      <c r="H33" s="14">
        <v>24005.1</v>
      </c>
      <c r="I33" s="8" t="s">
        <v>245</v>
      </c>
    </row>
    <row r="34" spans="1:10" x14ac:dyDescent="0.3">
      <c r="A34" s="139" t="s">
        <v>271</v>
      </c>
      <c r="B34" s="141" t="s">
        <v>707</v>
      </c>
      <c r="C34" s="14">
        <v>347.834</v>
      </c>
      <c r="D34" s="14">
        <v>806.37300000000005</v>
      </c>
      <c r="E34" s="14">
        <v>410.803</v>
      </c>
      <c r="F34" s="14">
        <v>674.97199999999998</v>
      </c>
      <c r="G34" s="14">
        <v>732.16800000000001</v>
      </c>
      <c r="H34" s="14">
        <v>568.83199999999999</v>
      </c>
      <c r="I34" s="8" t="s">
        <v>245</v>
      </c>
    </row>
    <row r="35" spans="1:10" x14ac:dyDescent="0.3">
      <c r="A35" s="139" t="s">
        <v>273</v>
      </c>
      <c r="B35" s="141" t="s">
        <v>708</v>
      </c>
      <c r="C35" s="14">
        <v>5755.1360000000004</v>
      </c>
      <c r="D35" s="14">
        <v>5813.9229999999998</v>
      </c>
      <c r="E35" s="14">
        <v>6176.6790000000001</v>
      </c>
      <c r="F35" s="14">
        <v>5162.1809999999996</v>
      </c>
      <c r="G35" s="14">
        <v>1544.8879999999999</v>
      </c>
      <c r="H35" s="14">
        <v>1345.673</v>
      </c>
      <c r="I35" s="8" t="s">
        <v>245</v>
      </c>
    </row>
    <row r="36" spans="1:10" x14ac:dyDescent="0.3">
      <c r="A36" s="144" t="s">
        <v>275</v>
      </c>
      <c r="B36" s="141" t="s">
        <v>276</v>
      </c>
      <c r="C36" s="16">
        <f t="shared" ref="C36:H36" si="2">C30+C31+C32+C33+C34+C35</f>
        <v>34106.427000000003</v>
      </c>
      <c r="D36" s="16">
        <f t="shared" si="2"/>
        <v>36851.264000000003</v>
      </c>
      <c r="E36" s="16">
        <f t="shared" si="2"/>
        <v>40813.163</v>
      </c>
      <c r="F36" s="16">
        <f t="shared" si="2"/>
        <v>39026.665999999997</v>
      </c>
      <c r="G36" s="16">
        <f t="shared" si="2"/>
        <v>41770.520999999993</v>
      </c>
      <c r="H36" s="16">
        <f t="shared" si="2"/>
        <v>47908.042000000001</v>
      </c>
      <c r="I36" s="8" t="s">
        <v>245</v>
      </c>
    </row>
    <row r="37" spans="1:10" x14ac:dyDescent="0.3">
      <c r="A37" s="144" t="s">
        <v>277</v>
      </c>
      <c r="B37" s="141" t="s">
        <v>278</v>
      </c>
      <c r="C37" s="16">
        <f t="shared" ref="C37:H37" si="3">C28+C36</f>
        <v>129551.53399999999</v>
      </c>
      <c r="D37" s="16">
        <f t="shared" si="3"/>
        <v>137894.69700000001</v>
      </c>
      <c r="E37" s="16">
        <f t="shared" si="3"/>
        <v>136562.01300000001</v>
      </c>
      <c r="F37" s="16">
        <f t="shared" si="3"/>
        <v>134713.25400000002</v>
      </c>
      <c r="G37" s="16">
        <f t="shared" si="3"/>
        <v>138385.75400000002</v>
      </c>
      <c r="H37" s="16">
        <f t="shared" si="3"/>
        <v>145924.23499999999</v>
      </c>
      <c r="I37" s="8" t="s">
        <v>245</v>
      </c>
    </row>
    <row r="38" spans="1:10" x14ac:dyDescent="0.3">
      <c r="A38" s="146" t="s">
        <v>279</v>
      </c>
      <c r="B38" s="147"/>
      <c r="C38" s="13"/>
      <c r="D38" s="13"/>
      <c r="E38" s="13"/>
      <c r="F38" s="13"/>
      <c r="G38" s="13"/>
      <c r="H38" s="13"/>
      <c r="I38" s="13"/>
      <c r="J38" s="13"/>
    </row>
    <row r="39" spans="1:10" x14ac:dyDescent="0.3">
      <c r="A39" s="139" t="s">
        <v>280</v>
      </c>
      <c r="B39" s="141" t="s">
        <v>709</v>
      </c>
      <c r="C39" s="14">
        <v>4381.1909999999998</v>
      </c>
      <c r="D39" s="14">
        <v>4381.1909999999998</v>
      </c>
      <c r="E39" s="14">
        <v>4381.1909999999998</v>
      </c>
      <c r="F39" s="14">
        <v>4381.1909999999998</v>
      </c>
      <c r="G39" s="14">
        <v>4381.1909999999998</v>
      </c>
      <c r="H39" s="14">
        <v>4381.1909999999998</v>
      </c>
      <c r="I39" s="8" t="s">
        <v>245</v>
      </c>
    </row>
    <row r="40" spans="1:10" x14ac:dyDescent="0.3">
      <c r="A40" s="139" t="s">
        <v>282</v>
      </c>
      <c r="B40" s="141" t="s">
        <v>710</v>
      </c>
      <c r="C40" s="14">
        <v>62262.966</v>
      </c>
      <c r="D40" s="14">
        <v>69096.682000000001</v>
      </c>
      <c r="E40" s="14">
        <v>65536.910999999993</v>
      </c>
      <c r="F40" s="14">
        <v>59811.086000000003</v>
      </c>
      <c r="G40" s="14">
        <v>71466.346999999994</v>
      </c>
      <c r="H40" s="14">
        <v>90286.286999999997</v>
      </c>
      <c r="I40" s="8" t="s">
        <v>245</v>
      </c>
    </row>
    <row r="41" spans="1:10" x14ac:dyDescent="0.3">
      <c r="A41" s="144" t="s">
        <v>284</v>
      </c>
      <c r="B41" s="141" t="s">
        <v>285</v>
      </c>
      <c r="C41" s="16">
        <f t="shared" ref="C41:H41" si="4">C39+C40</f>
        <v>66644.157000000007</v>
      </c>
      <c r="D41" s="16">
        <f t="shared" si="4"/>
        <v>73477.873000000007</v>
      </c>
      <c r="E41" s="16">
        <f t="shared" si="4"/>
        <v>69918.101999999999</v>
      </c>
      <c r="F41" s="16">
        <f t="shared" si="4"/>
        <v>64192.277000000002</v>
      </c>
      <c r="G41" s="16">
        <f t="shared" si="4"/>
        <v>75847.538</v>
      </c>
      <c r="H41" s="16">
        <f t="shared" si="4"/>
        <v>94667.478000000003</v>
      </c>
      <c r="I41" s="8" t="s">
        <v>245</v>
      </c>
    </row>
    <row r="42" spans="1:10" x14ac:dyDescent="0.3">
      <c r="A42" s="146" t="s">
        <v>286</v>
      </c>
      <c r="B42" s="147"/>
      <c r="C42" s="13"/>
      <c r="D42" s="13"/>
      <c r="E42" s="13"/>
      <c r="F42" s="13"/>
      <c r="G42" s="13"/>
      <c r="H42" s="13"/>
      <c r="I42" s="13"/>
      <c r="J42" s="13"/>
    </row>
    <row r="43" spans="1:10" x14ac:dyDescent="0.3">
      <c r="A43" s="139" t="s">
        <v>287</v>
      </c>
      <c r="B43" s="141" t="s">
        <v>711</v>
      </c>
      <c r="C43" s="14">
        <v>21972</v>
      </c>
      <c r="D43" s="14">
        <v>19300.063999999998</v>
      </c>
      <c r="E43" s="14">
        <v>14168.228999999999</v>
      </c>
      <c r="F43" s="14">
        <v>9663.6190000000006</v>
      </c>
      <c r="G43" s="14">
        <v>15965.116</v>
      </c>
      <c r="H43" s="14">
        <v>10093.829</v>
      </c>
      <c r="I43" s="8" t="s">
        <v>245</v>
      </c>
    </row>
    <row r="44" spans="1:10" x14ac:dyDescent="0.3">
      <c r="A44" s="139" t="s">
        <v>289</v>
      </c>
      <c r="B44" s="141" t="s">
        <v>712</v>
      </c>
      <c r="C44" s="14">
        <v>0</v>
      </c>
      <c r="D44" s="14">
        <v>0</v>
      </c>
      <c r="E44" s="14">
        <v>0</v>
      </c>
      <c r="F44" s="14">
        <v>0</v>
      </c>
      <c r="G44" s="14">
        <v>0</v>
      </c>
      <c r="H44" s="14">
        <v>0</v>
      </c>
      <c r="I44" s="8" t="s">
        <v>245</v>
      </c>
    </row>
    <row r="45" spans="1:10" x14ac:dyDescent="0.3">
      <c r="A45" s="139" t="s">
        <v>291</v>
      </c>
      <c r="B45" s="141" t="s">
        <v>713</v>
      </c>
      <c r="C45" s="14">
        <v>0</v>
      </c>
      <c r="D45" s="14">
        <v>664.50400000000002</v>
      </c>
      <c r="E45" s="14">
        <v>450.68400000000003</v>
      </c>
      <c r="F45" s="14">
        <v>278.75299999999999</v>
      </c>
      <c r="G45" s="14">
        <v>154.614</v>
      </c>
      <c r="H45" s="14">
        <v>70.135000000000005</v>
      </c>
      <c r="I45" s="8" t="s">
        <v>245</v>
      </c>
    </row>
    <row r="46" spans="1:10" x14ac:dyDescent="0.3">
      <c r="A46" s="139" t="s">
        <v>293</v>
      </c>
      <c r="B46" s="141" t="s">
        <v>714</v>
      </c>
      <c r="C46" s="14">
        <v>2535.3490000000002</v>
      </c>
      <c r="D46" s="14">
        <v>3378.9409999999998</v>
      </c>
      <c r="E46" s="14">
        <v>4942.1499999999996</v>
      </c>
      <c r="F46" s="14">
        <v>10613.602999999999</v>
      </c>
      <c r="G46" s="14">
        <v>12675.472</v>
      </c>
      <c r="H46" s="14">
        <v>13286.941999999999</v>
      </c>
      <c r="I46" s="8" t="s">
        <v>245</v>
      </c>
    </row>
    <row r="47" spans="1:10" x14ac:dyDescent="0.3">
      <c r="A47" s="139" t="s">
        <v>295</v>
      </c>
      <c r="B47" s="141" t="s">
        <v>715</v>
      </c>
      <c r="C47" s="14">
        <v>775.77099999999996</v>
      </c>
      <c r="D47" s="14">
        <v>777.79499999999996</v>
      </c>
      <c r="E47" s="14">
        <v>993.81700000000001</v>
      </c>
      <c r="F47" s="14">
        <v>1289.212</v>
      </c>
      <c r="G47" s="14">
        <v>1517.297</v>
      </c>
      <c r="H47" s="14">
        <v>1894.931</v>
      </c>
      <c r="I47" s="8" t="s">
        <v>245</v>
      </c>
    </row>
    <row r="48" spans="1:10" x14ac:dyDescent="0.3">
      <c r="A48" s="144" t="s">
        <v>297</v>
      </c>
      <c r="B48" s="141" t="s">
        <v>298</v>
      </c>
      <c r="C48" s="16">
        <f t="shared" ref="C48:H48" si="5">C43+C44+C45+C46+C47</f>
        <v>25283.120000000003</v>
      </c>
      <c r="D48" s="16">
        <f t="shared" si="5"/>
        <v>24121.303999999996</v>
      </c>
      <c r="E48" s="16">
        <f t="shared" si="5"/>
        <v>20554.879999999997</v>
      </c>
      <c r="F48" s="16">
        <f t="shared" si="5"/>
        <v>21845.186999999998</v>
      </c>
      <c r="G48" s="16">
        <f t="shared" si="5"/>
        <v>30312.498999999996</v>
      </c>
      <c r="H48" s="16">
        <f t="shared" si="5"/>
        <v>25345.837</v>
      </c>
      <c r="I48" s="8" t="s">
        <v>245</v>
      </c>
    </row>
    <row r="49" spans="1:10" x14ac:dyDescent="0.3">
      <c r="A49" s="146" t="s">
        <v>299</v>
      </c>
      <c r="B49" s="147"/>
      <c r="C49" s="13"/>
      <c r="D49" s="13"/>
      <c r="E49" s="13"/>
      <c r="F49" s="13"/>
      <c r="G49" s="13"/>
      <c r="H49" s="13"/>
      <c r="I49" s="13"/>
      <c r="J49" s="13"/>
    </row>
    <row r="50" spans="1:10" x14ac:dyDescent="0.3">
      <c r="A50" s="139" t="s">
        <v>300</v>
      </c>
      <c r="B50" s="141" t="s">
        <v>716</v>
      </c>
      <c r="C50" s="14">
        <v>11298.187</v>
      </c>
      <c r="D50" s="14">
        <v>14923.151</v>
      </c>
      <c r="E50" s="14">
        <v>12591.709000000001</v>
      </c>
      <c r="F50" s="14">
        <v>13783.299000000001</v>
      </c>
      <c r="G50" s="14">
        <v>12394.455</v>
      </c>
      <c r="H50" s="14">
        <v>13333.448</v>
      </c>
      <c r="I50" s="8" t="s">
        <v>245</v>
      </c>
    </row>
    <row r="51" spans="1:10" x14ac:dyDescent="0.3">
      <c r="A51" s="139" t="s">
        <v>302</v>
      </c>
      <c r="B51" s="141" t="s">
        <v>717</v>
      </c>
      <c r="C51" s="14">
        <v>4325.32</v>
      </c>
      <c r="D51" s="14">
        <v>7375.63</v>
      </c>
      <c r="E51" s="14">
        <v>3871.2069999999999</v>
      </c>
      <c r="F51" s="14">
        <v>6530.049</v>
      </c>
      <c r="G51" s="14">
        <v>5046.7439999999997</v>
      </c>
      <c r="H51" s="14">
        <v>3900.1419999999998</v>
      </c>
      <c r="I51" s="8" t="s">
        <v>245</v>
      </c>
    </row>
    <row r="52" spans="1:10" x14ac:dyDescent="0.3">
      <c r="A52" s="139" t="s">
        <v>304</v>
      </c>
      <c r="B52" s="141" t="s">
        <v>718</v>
      </c>
      <c r="C52" s="14">
        <v>0</v>
      </c>
      <c r="D52" s="14">
        <v>0</v>
      </c>
      <c r="E52" s="14">
        <v>0</v>
      </c>
      <c r="F52" s="14">
        <v>0</v>
      </c>
      <c r="G52" s="14">
        <v>0</v>
      </c>
      <c r="H52" s="14">
        <v>0</v>
      </c>
      <c r="I52" s="8" t="s">
        <v>245</v>
      </c>
    </row>
    <row r="53" spans="1:10" x14ac:dyDescent="0.3">
      <c r="A53" s="139" t="s">
        <v>306</v>
      </c>
      <c r="B53" s="141" t="s">
        <v>719</v>
      </c>
      <c r="C53" s="14">
        <v>712.27499999999998</v>
      </c>
      <c r="D53" s="14">
        <v>507.76900000000001</v>
      </c>
      <c r="E53" s="14">
        <v>883.22900000000004</v>
      </c>
      <c r="F53" s="14">
        <v>1739.547</v>
      </c>
      <c r="G53" s="14">
        <v>1280.4459999999999</v>
      </c>
      <c r="H53" s="14">
        <v>229.65199999999999</v>
      </c>
      <c r="I53" s="8" t="s">
        <v>245</v>
      </c>
    </row>
    <row r="54" spans="1:10" x14ac:dyDescent="0.3">
      <c r="A54" s="139" t="s">
        <v>308</v>
      </c>
      <c r="B54" s="141" t="s">
        <v>720</v>
      </c>
      <c r="C54" s="14">
        <v>23495.967000000001</v>
      </c>
      <c r="D54" s="14">
        <v>18362.05</v>
      </c>
      <c r="E54" s="14">
        <v>25210.506000000001</v>
      </c>
      <c r="F54" s="14">
        <v>25494.293000000001</v>
      </c>
      <c r="G54" s="14">
        <v>13064.718000000001</v>
      </c>
      <c r="H54" s="14">
        <v>9878.4989999999998</v>
      </c>
      <c r="I54" s="8" t="s">
        <v>245</v>
      </c>
    </row>
    <row r="55" spans="1:10" x14ac:dyDescent="0.3">
      <c r="A55" s="139" t="s">
        <v>310</v>
      </c>
      <c r="B55" s="141" t="s">
        <v>721</v>
      </c>
      <c r="C55" s="14">
        <v>2010.6210000000001</v>
      </c>
      <c r="D55" s="14">
        <v>6130.7030000000004</v>
      </c>
      <c r="E55" s="14">
        <v>7097.1660000000002</v>
      </c>
      <c r="F55" s="14">
        <v>7370.3639999999996</v>
      </c>
      <c r="G55" s="14">
        <v>5291.9719999999998</v>
      </c>
      <c r="H55" s="14">
        <v>1934.7719999999999</v>
      </c>
      <c r="I55" s="8" t="s">
        <v>245</v>
      </c>
    </row>
    <row r="56" spans="1:10" x14ac:dyDescent="0.3">
      <c r="A56" s="139" t="s">
        <v>312</v>
      </c>
      <c r="B56" s="141" t="s">
        <v>722</v>
      </c>
      <c r="C56" s="14">
        <v>0</v>
      </c>
      <c r="D56" s="14">
        <v>0</v>
      </c>
      <c r="E56" s="14">
        <v>0</v>
      </c>
      <c r="F56" s="14">
        <v>0</v>
      </c>
      <c r="G56" s="14">
        <v>0</v>
      </c>
      <c r="H56" s="14">
        <v>0</v>
      </c>
      <c r="I56" s="8" t="s">
        <v>245</v>
      </c>
    </row>
    <row r="57" spans="1:10" x14ac:dyDescent="0.3">
      <c r="A57" s="139" t="s">
        <v>314</v>
      </c>
      <c r="B57" s="141" t="s">
        <v>723</v>
      </c>
      <c r="C57" s="14">
        <v>0</v>
      </c>
      <c r="D57" s="14">
        <v>262.52300000000002</v>
      </c>
      <c r="E57" s="14">
        <v>213.88300000000001</v>
      </c>
      <c r="F57" s="14">
        <v>171.58099999999999</v>
      </c>
      <c r="G57" s="14">
        <v>124.13800000000001</v>
      </c>
      <c r="H57" s="14">
        <v>79.465000000000003</v>
      </c>
      <c r="I57" s="8" t="s">
        <v>245</v>
      </c>
    </row>
    <row r="58" spans="1:10" x14ac:dyDescent="0.3">
      <c r="A58" s="139" t="s">
        <v>316</v>
      </c>
      <c r="B58" s="141" t="s">
        <v>724</v>
      </c>
      <c r="C58" s="14">
        <v>33.837000000000003</v>
      </c>
      <c r="D58" s="14">
        <v>33.517000000000003</v>
      </c>
      <c r="E58" s="14">
        <v>34.512</v>
      </c>
      <c r="F58" s="14">
        <v>34.704000000000001</v>
      </c>
      <c r="G58" s="14">
        <v>34.201000000000001</v>
      </c>
      <c r="H58" s="14">
        <v>34.154000000000003</v>
      </c>
      <c r="I58" s="8" t="s">
        <v>245</v>
      </c>
    </row>
    <row r="59" spans="1:10" x14ac:dyDescent="0.3">
      <c r="A59" s="139" t="s">
        <v>318</v>
      </c>
      <c r="B59" s="141" t="s">
        <v>725</v>
      </c>
      <c r="C59" s="14">
        <v>35.090000000000003</v>
      </c>
      <c r="D59" s="14">
        <v>35.090000000000003</v>
      </c>
      <c r="E59" s="14">
        <v>35.090000000000003</v>
      </c>
      <c r="F59" s="14">
        <v>35.090000000000003</v>
      </c>
      <c r="G59" s="14">
        <v>35.090000000000003</v>
      </c>
      <c r="H59" s="14">
        <v>365.92399999999998</v>
      </c>
      <c r="I59" s="8" t="s">
        <v>245</v>
      </c>
    </row>
    <row r="60" spans="1:10" x14ac:dyDescent="0.3">
      <c r="A60" s="139" t="s">
        <v>320</v>
      </c>
      <c r="B60" s="141" t="s">
        <v>726</v>
      </c>
      <c r="C60" s="14">
        <v>38.28</v>
      </c>
      <c r="D60" s="14">
        <v>40.716999999999999</v>
      </c>
      <c r="E60" s="14">
        <v>22.936</v>
      </c>
      <c r="F60" s="14">
        <v>46.911999999999999</v>
      </c>
      <c r="G60" s="14">
        <v>0.69699999999999995</v>
      </c>
      <c r="H60" s="14">
        <v>55.006</v>
      </c>
      <c r="I60" s="8" t="s">
        <v>245</v>
      </c>
    </row>
    <row r="61" spans="1:10" x14ac:dyDescent="0.3">
      <c r="A61" s="144" t="s">
        <v>322</v>
      </c>
      <c r="B61" s="141" t="s">
        <v>323</v>
      </c>
      <c r="C61" s="16">
        <f t="shared" ref="C61:H61" si="6">C50+C52+C53+C54+C55+C56+C57+C58+C59+C60</f>
        <v>37624.256999999998</v>
      </c>
      <c r="D61" s="16">
        <f t="shared" si="6"/>
        <v>40295.519999999997</v>
      </c>
      <c r="E61" s="16">
        <f t="shared" si="6"/>
        <v>46089.031000000003</v>
      </c>
      <c r="F61" s="16">
        <f t="shared" si="6"/>
        <v>48675.789999999994</v>
      </c>
      <c r="G61" s="16">
        <f t="shared" si="6"/>
        <v>32225.717000000001</v>
      </c>
      <c r="H61" s="16">
        <f t="shared" si="6"/>
        <v>25910.920000000002</v>
      </c>
      <c r="I61" s="8" t="s">
        <v>245</v>
      </c>
      <c r="J61" s="8" t="s">
        <v>324</v>
      </c>
    </row>
    <row r="62" spans="1:10" x14ac:dyDescent="0.3">
      <c r="A62" s="144" t="s">
        <v>325</v>
      </c>
      <c r="B62" s="141" t="s">
        <v>326</v>
      </c>
      <c r="C62" s="16">
        <f t="shared" ref="C62:H62" si="7">C48+C61</f>
        <v>62907.377</v>
      </c>
      <c r="D62" s="16">
        <f t="shared" si="7"/>
        <v>64416.823999999993</v>
      </c>
      <c r="E62" s="16">
        <f t="shared" si="7"/>
        <v>66643.910999999993</v>
      </c>
      <c r="F62" s="16">
        <f t="shared" si="7"/>
        <v>70520.976999999984</v>
      </c>
      <c r="G62" s="16">
        <f t="shared" si="7"/>
        <v>62538.216</v>
      </c>
      <c r="H62" s="16">
        <f t="shared" si="7"/>
        <v>51256.756999999998</v>
      </c>
      <c r="I62" s="8" t="s">
        <v>245</v>
      </c>
    </row>
    <row r="63" spans="1:10" x14ac:dyDescent="0.3">
      <c r="A63" s="144" t="s">
        <v>327</v>
      </c>
      <c r="B63" s="141" t="s">
        <v>328</v>
      </c>
      <c r="C63" s="16">
        <f t="shared" ref="C63:H63" si="8">C41+C62</f>
        <v>129551.53400000001</v>
      </c>
      <c r="D63" s="16">
        <f t="shared" si="8"/>
        <v>137894.69699999999</v>
      </c>
      <c r="E63" s="16">
        <f t="shared" si="8"/>
        <v>136562.01299999998</v>
      </c>
      <c r="F63" s="16">
        <f t="shared" si="8"/>
        <v>134713.25399999999</v>
      </c>
      <c r="G63" s="16">
        <f t="shared" si="8"/>
        <v>138385.75400000002</v>
      </c>
      <c r="H63" s="16">
        <f t="shared" si="8"/>
        <v>145924.23499999999</v>
      </c>
      <c r="I63" s="8" t="s">
        <v>245</v>
      </c>
    </row>
    <row r="64" spans="1:10" x14ac:dyDescent="0.3">
      <c r="A64" s="146" t="s">
        <v>329</v>
      </c>
      <c r="B64" s="147"/>
      <c r="C64" s="13"/>
      <c r="D64" s="13"/>
      <c r="E64" s="13"/>
      <c r="F64" s="13"/>
      <c r="G64" s="13"/>
      <c r="H64" s="13"/>
      <c r="I64" s="13"/>
      <c r="J64" s="13"/>
    </row>
    <row r="65" spans="1:10" x14ac:dyDescent="0.3">
      <c r="A65" s="139" t="s">
        <v>330</v>
      </c>
      <c r="B65" s="141" t="s">
        <v>331</v>
      </c>
      <c r="C65" s="15">
        <f t="shared" ref="C65:H65" si="9">C30+C31</f>
        <v>12590.985000000001</v>
      </c>
      <c r="D65" s="15">
        <f t="shared" si="9"/>
        <v>15607.937</v>
      </c>
      <c r="E65" s="15">
        <f t="shared" si="9"/>
        <v>22795.398000000001</v>
      </c>
      <c r="F65" s="15">
        <f t="shared" si="9"/>
        <v>22725.174999999999</v>
      </c>
      <c r="G65" s="15">
        <f t="shared" si="9"/>
        <v>20252.841</v>
      </c>
      <c r="H65" s="15">
        <f t="shared" si="9"/>
        <v>20495.357</v>
      </c>
      <c r="I65" s="8" t="s">
        <v>245</v>
      </c>
    </row>
    <row r="66" spans="1:10" x14ac:dyDescent="0.3">
      <c r="A66" s="139" t="s">
        <v>332</v>
      </c>
      <c r="B66" s="141" t="s">
        <v>333</v>
      </c>
      <c r="C66" s="15">
        <f t="shared" ref="C66:H66" si="10">C43+C44+C54+C55+C56-C251-C252</f>
        <v>47478.588000000003</v>
      </c>
      <c r="D66" s="15">
        <f t="shared" si="10"/>
        <v>43792.817000000003</v>
      </c>
      <c r="E66" s="15">
        <f t="shared" si="10"/>
        <v>46475.900999999998</v>
      </c>
      <c r="F66" s="15">
        <f t="shared" si="10"/>
        <v>42528.276000000005</v>
      </c>
      <c r="G66" s="15">
        <f t="shared" si="10"/>
        <v>34321.806000000004</v>
      </c>
      <c r="H66" s="15">
        <f t="shared" si="10"/>
        <v>21907.100000000002</v>
      </c>
      <c r="I66" s="8" t="s">
        <v>245</v>
      </c>
    </row>
    <row r="67" spans="1:10" x14ac:dyDescent="0.3">
      <c r="A67" s="139" t="s">
        <v>334</v>
      </c>
      <c r="B67" s="141" t="s">
        <v>335</v>
      </c>
      <c r="C67" s="15">
        <f t="shared" ref="C67:H67" si="11">C43+C44</f>
        <v>21972</v>
      </c>
      <c r="D67" s="15">
        <f t="shared" si="11"/>
        <v>19300.063999999998</v>
      </c>
      <c r="E67" s="15">
        <f t="shared" si="11"/>
        <v>14168.228999999999</v>
      </c>
      <c r="F67" s="15">
        <f t="shared" si="11"/>
        <v>9663.6190000000006</v>
      </c>
      <c r="G67" s="15">
        <f t="shared" si="11"/>
        <v>15965.116</v>
      </c>
      <c r="H67" s="15">
        <f t="shared" si="11"/>
        <v>10093.829</v>
      </c>
      <c r="I67" s="8" t="s">
        <v>245</v>
      </c>
    </row>
    <row r="68" spans="1:10" x14ac:dyDescent="0.3">
      <c r="A68" s="139"/>
      <c r="B68" s="141"/>
      <c r="C68" s="15"/>
      <c r="D68" s="15"/>
      <c r="E68" s="15"/>
      <c r="F68" s="15"/>
      <c r="G68" s="15"/>
      <c r="H68" s="15"/>
      <c r="I68" s="8" t="s">
        <v>245</v>
      </c>
    </row>
    <row r="69" spans="1:10" x14ac:dyDescent="0.3">
      <c r="A69" s="139"/>
      <c r="B69" s="141"/>
      <c r="C69" s="15"/>
      <c r="D69" s="15"/>
      <c r="E69" s="15"/>
      <c r="F69" s="15"/>
      <c r="G69" s="15"/>
      <c r="H69" s="15"/>
      <c r="I69" s="8" t="s">
        <v>245</v>
      </c>
    </row>
    <row r="70" spans="1:10" x14ac:dyDescent="0.3">
      <c r="A70" s="139" t="s">
        <v>336</v>
      </c>
      <c r="B70" s="141" t="s">
        <v>337</v>
      </c>
      <c r="C70" s="15">
        <f t="shared" ref="C70:H70" si="12">C66+C41</f>
        <v>114122.74500000001</v>
      </c>
      <c r="D70" s="15">
        <f t="shared" si="12"/>
        <v>117270.69</v>
      </c>
      <c r="E70" s="15">
        <f t="shared" si="12"/>
        <v>116394.003</v>
      </c>
      <c r="F70" s="15">
        <f t="shared" si="12"/>
        <v>106720.55300000001</v>
      </c>
      <c r="G70" s="15">
        <f t="shared" si="12"/>
        <v>110169.34400000001</v>
      </c>
      <c r="H70" s="15">
        <f t="shared" si="12"/>
        <v>116574.57800000001</v>
      </c>
      <c r="I70" s="8" t="s">
        <v>245</v>
      </c>
    </row>
    <row r="71" spans="1:10" x14ac:dyDescent="0.3">
      <c r="A71" s="139" t="s">
        <v>338</v>
      </c>
      <c r="B71" s="141" t="s">
        <v>339</v>
      </c>
      <c r="C71" s="15">
        <f t="shared" ref="C71:H71" si="13">C37-C61</f>
        <v>91927.276999999987</v>
      </c>
      <c r="D71" s="15">
        <f t="shared" si="13"/>
        <v>97599.177000000025</v>
      </c>
      <c r="E71" s="15">
        <f t="shared" si="13"/>
        <v>90472.982000000004</v>
      </c>
      <c r="F71" s="15">
        <f t="shared" si="13"/>
        <v>86037.464000000022</v>
      </c>
      <c r="G71" s="15">
        <f t="shared" si="13"/>
        <v>106160.03700000001</v>
      </c>
      <c r="H71" s="15">
        <f t="shared" si="13"/>
        <v>120013.31499999999</v>
      </c>
      <c r="I71" s="8" t="s">
        <v>245</v>
      </c>
    </row>
    <row r="72" spans="1:10" x14ac:dyDescent="0.3">
      <c r="A72" s="139" t="s">
        <v>340</v>
      </c>
      <c r="B72" s="141" t="s">
        <v>341</v>
      </c>
      <c r="C72" s="15">
        <f t="shared" ref="C72:H72" si="14">C36-C34-C33</f>
        <v>20632.205000000002</v>
      </c>
      <c r="D72" s="15">
        <f t="shared" si="14"/>
        <v>23098.105000000003</v>
      </c>
      <c r="E72" s="15">
        <f t="shared" si="14"/>
        <v>30439.938999999998</v>
      </c>
      <c r="F72" s="15">
        <f t="shared" si="14"/>
        <v>29080.795999999995</v>
      </c>
      <c r="G72" s="15">
        <f t="shared" si="14"/>
        <v>22653.470999999994</v>
      </c>
      <c r="H72" s="15">
        <f t="shared" si="14"/>
        <v>23334.11</v>
      </c>
      <c r="I72" s="8" t="s">
        <v>245</v>
      </c>
    </row>
    <row r="73" spans="1:10" x14ac:dyDescent="0.3">
      <c r="A73" s="139" t="s">
        <v>342</v>
      </c>
      <c r="B73" s="141" t="s">
        <v>343</v>
      </c>
      <c r="C73" s="15">
        <f t="shared" ref="C73:H73" si="15">C61-C54-C55-C56-C57-C53-C58</f>
        <v>11371.556999999999</v>
      </c>
      <c r="D73" s="15">
        <f t="shared" si="15"/>
        <v>14998.957999999997</v>
      </c>
      <c r="E73" s="15">
        <f t="shared" si="15"/>
        <v>12649.735000000001</v>
      </c>
      <c r="F73" s="15">
        <f t="shared" si="15"/>
        <v>13865.300999999992</v>
      </c>
      <c r="G73" s="15">
        <f t="shared" si="15"/>
        <v>12430.242</v>
      </c>
      <c r="H73" s="15">
        <f t="shared" si="15"/>
        <v>13754.378000000001</v>
      </c>
      <c r="I73" s="8" t="s">
        <v>245</v>
      </c>
    </row>
    <row r="74" spans="1:10" x14ac:dyDescent="0.3">
      <c r="A74" s="146" t="s">
        <v>344</v>
      </c>
      <c r="B74" s="147"/>
      <c r="C74" s="13"/>
      <c r="D74" s="13"/>
      <c r="E74" s="13"/>
      <c r="F74" s="13"/>
      <c r="G74" s="13"/>
      <c r="H74" s="13"/>
      <c r="I74" s="13"/>
      <c r="J74" s="13"/>
    </row>
    <row r="75" spans="1:10" x14ac:dyDescent="0.3">
      <c r="A75" s="139" t="s">
        <v>345</v>
      </c>
      <c r="B75" s="141" t="s">
        <v>727</v>
      </c>
      <c r="C75" s="14">
        <v>129551.534</v>
      </c>
      <c r="D75" s="14">
        <v>137894.69699999999</v>
      </c>
      <c r="E75" s="14">
        <v>136562.01300000001</v>
      </c>
      <c r="F75" s="14">
        <v>134713.25399999999</v>
      </c>
      <c r="G75" s="14">
        <v>138385.75399999999</v>
      </c>
      <c r="H75" s="14">
        <v>145924.23499999999</v>
      </c>
      <c r="I75" s="8" t="s">
        <v>245</v>
      </c>
    </row>
    <row r="76" spans="1:10" x14ac:dyDescent="0.3">
      <c r="A76" s="139" t="s">
        <v>347</v>
      </c>
      <c r="B76" s="141" t="s">
        <v>728</v>
      </c>
      <c r="C76" s="14">
        <v>66644.157000000007</v>
      </c>
      <c r="D76" s="14">
        <v>73477.873000000007</v>
      </c>
      <c r="E76" s="14">
        <v>69918.101999999999</v>
      </c>
      <c r="F76" s="14">
        <v>64192.277000000002</v>
      </c>
      <c r="G76" s="14">
        <v>75847.538</v>
      </c>
      <c r="H76" s="14">
        <v>94667.478000000003</v>
      </c>
      <c r="I76" s="8" t="s">
        <v>245</v>
      </c>
    </row>
    <row r="77" spans="1:10" x14ac:dyDescent="0.3">
      <c r="A77" s="139" t="s">
        <v>349</v>
      </c>
      <c r="B77" s="141" t="s">
        <v>729</v>
      </c>
      <c r="C77" s="14">
        <v>34106.427000000003</v>
      </c>
      <c r="D77" s="14">
        <v>36851.264000000003</v>
      </c>
      <c r="E77" s="14">
        <v>40813.163</v>
      </c>
      <c r="F77" s="14">
        <v>39026.665999999997</v>
      </c>
      <c r="G77" s="14">
        <v>41770.521000000001</v>
      </c>
      <c r="H77" s="14">
        <v>47908.042000000001</v>
      </c>
      <c r="I77" s="8" t="s">
        <v>245</v>
      </c>
    </row>
    <row r="78" spans="1:10" x14ac:dyDescent="0.3">
      <c r="A78" s="139" t="s">
        <v>351</v>
      </c>
      <c r="B78" s="141" t="s">
        <v>730</v>
      </c>
      <c r="C78" s="14">
        <v>37624.256999999998</v>
      </c>
      <c r="D78" s="14">
        <v>40295.519999999997</v>
      </c>
      <c r="E78" s="14">
        <v>46089.031000000003</v>
      </c>
      <c r="F78" s="14">
        <v>48675.79</v>
      </c>
      <c r="G78" s="14">
        <v>32225.717000000001</v>
      </c>
      <c r="H78" s="14">
        <v>25910.92</v>
      </c>
      <c r="I78" s="8" t="s">
        <v>245</v>
      </c>
    </row>
    <row r="79" spans="1:10" x14ac:dyDescent="0.3">
      <c r="A79" s="139" t="s">
        <v>353</v>
      </c>
      <c r="B79" s="141" t="s">
        <v>354</v>
      </c>
      <c r="C79" s="17" t="str">
        <f t="shared" ref="C79:H79" si="16">IF(ABS(C37-C63)&lt;0.005,"PASS","FAIL")</f>
        <v>PASS</v>
      </c>
      <c r="D79" s="17" t="str">
        <f t="shared" si="16"/>
        <v>PASS</v>
      </c>
      <c r="E79" s="17" t="str">
        <f t="shared" si="16"/>
        <v>PASS</v>
      </c>
      <c r="F79" s="17" t="str">
        <f t="shared" si="16"/>
        <v>PASS</v>
      </c>
      <c r="G79" s="17" t="str">
        <f t="shared" si="16"/>
        <v>PASS</v>
      </c>
      <c r="H79" s="17" t="str">
        <f t="shared" si="16"/>
        <v>PASS</v>
      </c>
      <c r="I79" s="8"/>
    </row>
    <row r="80" spans="1:10" x14ac:dyDescent="0.3">
      <c r="A80" s="139" t="s">
        <v>355</v>
      </c>
      <c r="B80" s="141" t="s">
        <v>354</v>
      </c>
      <c r="C80" s="17" t="str">
        <f t="shared" ref="C80:H80" si="17">IF(ABS(C37-C75)&lt;0.005,"PASS","FAIL")</f>
        <v>PASS</v>
      </c>
      <c r="D80" s="17" t="str">
        <f t="shared" si="17"/>
        <v>PASS</v>
      </c>
      <c r="E80" s="17" t="str">
        <f t="shared" si="17"/>
        <v>PASS</v>
      </c>
      <c r="F80" s="17" t="str">
        <f t="shared" si="17"/>
        <v>PASS</v>
      </c>
      <c r="G80" s="17" t="str">
        <f t="shared" si="17"/>
        <v>PASS</v>
      </c>
      <c r="H80" s="17" t="str">
        <f t="shared" si="17"/>
        <v>PASS</v>
      </c>
      <c r="I80" s="8"/>
    </row>
    <row r="81" spans="1:10" x14ac:dyDescent="0.3">
      <c r="A81" s="139" t="s">
        <v>356</v>
      </c>
      <c r="B81" s="141" t="s">
        <v>354</v>
      </c>
      <c r="C81" s="17" t="str">
        <f t="shared" ref="C81:H81" si="18">IF(AND(ABS(C41-C76)&lt;0.005,ABS(C36-C77)&lt;0.005,ABS(C61-C78)&lt;0.005),"PASS","FAIL")</f>
        <v>PASS</v>
      </c>
      <c r="D81" s="17" t="str">
        <f t="shared" si="18"/>
        <v>PASS</v>
      </c>
      <c r="E81" s="17" t="str">
        <f t="shared" si="18"/>
        <v>PASS</v>
      </c>
      <c r="F81" s="17" t="str">
        <f t="shared" si="18"/>
        <v>PASS</v>
      </c>
      <c r="G81" s="17" t="str">
        <f t="shared" si="18"/>
        <v>PASS</v>
      </c>
      <c r="H81" s="17" t="str">
        <f t="shared" si="18"/>
        <v>PASS</v>
      </c>
      <c r="I81" s="8"/>
    </row>
    <row r="82" spans="1:10" x14ac:dyDescent="0.3">
      <c r="A82" s="139"/>
      <c r="B82" s="139"/>
    </row>
    <row r="83" spans="1:10" x14ac:dyDescent="0.3">
      <c r="A83" s="142" t="s">
        <v>357</v>
      </c>
      <c r="B83" s="143"/>
      <c r="C83" s="10"/>
      <c r="D83" s="10"/>
      <c r="E83" s="10"/>
      <c r="F83" s="10"/>
      <c r="G83" s="10"/>
      <c r="H83" s="10"/>
      <c r="I83" s="10"/>
      <c r="J83" s="10"/>
    </row>
    <row r="84" spans="1:10" x14ac:dyDescent="0.3">
      <c r="A84" s="139" t="s">
        <v>358</v>
      </c>
      <c r="B84" s="141" t="s">
        <v>731</v>
      </c>
      <c r="C84" s="18"/>
      <c r="D84" s="14">
        <v>45107.69</v>
      </c>
      <c r="E84" s="14">
        <v>58043.862999999998</v>
      </c>
      <c r="F84" s="14">
        <v>64983.821000000004</v>
      </c>
      <c r="G84" s="14">
        <v>66038.688999999998</v>
      </c>
      <c r="H84" s="14">
        <v>71892.837</v>
      </c>
      <c r="I84" s="8" t="s">
        <v>245</v>
      </c>
    </row>
    <row r="85" spans="1:10" x14ac:dyDescent="0.3">
      <c r="A85" s="139" t="s">
        <v>360</v>
      </c>
      <c r="B85" s="141" t="s">
        <v>732</v>
      </c>
      <c r="C85" s="18"/>
      <c r="D85" s="14">
        <v>-37035.798000000003</v>
      </c>
      <c r="E85" s="14">
        <v>-47615.550999999999</v>
      </c>
      <c r="F85" s="14">
        <v>-55428.046000000002</v>
      </c>
      <c r="G85" s="14">
        <v>-55510.428999999996</v>
      </c>
      <c r="H85" s="14">
        <v>-53387.165999999997</v>
      </c>
      <c r="I85" s="8" t="s">
        <v>245</v>
      </c>
    </row>
    <row r="86" spans="1:10" x14ac:dyDescent="0.3">
      <c r="A86" s="144" t="s">
        <v>362</v>
      </c>
      <c r="B86" s="141" t="s">
        <v>363</v>
      </c>
      <c r="C86" s="19"/>
      <c r="D86" s="16">
        <f>D84+D85</f>
        <v>8071.8919999999998</v>
      </c>
      <c r="E86" s="16">
        <f>E84+E85</f>
        <v>10428.311999999998</v>
      </c>
      <c r="F86" s="16">
        <f>F84+F85</f>
        <v>9555.7750000000015</v>
      </c>
      <c r="G86" s="16">
        <f>G84+G85</f>
        <v>10528.260000000002</v>
      </c>
      <c r="H86" s="16">
        <f>H84+H85</f>
        <v>18505.671000000002</v>
      </c>
      <c r="I86" s="8" t="s">
        <v>245</v>
      </c>
    </row>
    <row r="87" spans="1:10" x14ac:dyDescent="0.3">
      <c r="A87" s="139" t="s">
        <v>364</v>
      </c>
      <c r="B87" s="141" t="s">
        <v>733</v>
      </c>
      <c r="C87" s="18"/>
      <c r="D87" s="14">
        <v>-1950.056</v>
      </c>
      <c r="E87" s="14">
        <v>-1748.8589999999999</v>
      </c>
      <c r="F87" s="14">
        <v>-1818.028</v>
      </c>
      <c r="G87" s="14">
        <v>-2608.5369999999998</v>
      </c>
      <c r="H87" s="14">
        <v>-3874.6880000000001</v>
      </c>
      <c r="I87" s="8" t="s">
        <v>245</v>
      </c>
    </row>
    <row r="88" spans="1:10" x14ac:dyDescent="0.3">
      <c r="A88" s="139" t="s">
        <v>366</v>
      </c>
      <c r="B88" s="141" t="s">
        <v>734</v>
      </c>
      <c r="C88" s="18"/>
      <c r="D88" s="14">
        <v>-646.76199999999994</v>
      </c>
      <c r="E88" s="14">
        <v>-751.05200000000002</v>
      </c>
      <c r="F88" s="14">
        <v>-879.35599999999999</v>
      </c>
      <c r="G88" s="14">
        <v>-1206.105</v>
      </c>
      <c r="H88" s="14">
        <v>-1294.9739999999999</v>
      </c>
      <c r="I88" s="8" t="s">
        <v>245</v>
      </c>
    </row>
    <row r="89" spans="1:10" x14ac:dyDescent="0.3">
      <c r="A89" s="139" t="s">
        <v>368</v>
      </c>
      <c r="B89" s="141" t="s">
        <v>735</v>
      </c>
      <c r="C89" s="18"/>
      <c r="D89" s="14">
        <v>104.703</v>
      </c>
      <c r="E89" s="14">
        <v>-8.99</v>
      </c>
      <c r="F89" s="14">
        <v>-104.09399999999999</v>
      </c>
      <c r="G89" s="14">
        <v>-103.367</v>
      </c>
      <c r="H89" s="14">
        <v>-6.899</v>
      </c>
      <c r="I89" s="8" t="s">
        <v>245</v>
      </c>
    </row>
    <row r="90" spans="1:10" x14ac:dyDescent="0.3">
      <c r="A90" s="139" t="s">
        <v>370</v>
      </c>
      <c r="B90" s="141" t="s">
        <v>736</v>
      </c>
      <c r="C90" s="18"/>
      <c r="D90" s="14">
        <v>-414.315</v>
      </c>
      <c r="E90" s="14">
        <v>-1042.8030000000001</v>
      </c>
      <c r="F90" s="14">
        <v>-96.460999999999999</v>
      </c>
      <c r="G90" s="14">
        <v>-5.0330000000000004</v>
      </c>
      <c r="H90" s="14">
        <v>-725.66300000000001</v>
      </c>
      <c r="I90" s="8" t="s">
        <v>245</v>
      </c>
    </row>
    <row r="91" spans="1:10" x14ac:dyDescent="0.3">
      <c r="A91" s="139" t="s">
        <v>372</v>
      </c>
      <c r="B91" s="141" t="s">
        <v>373</v>
      </c>
      <c r="C91" s="18"/>
      <c r="D91" s="15">
        <f>D86+D87+D88+D89+D90</f>
        <v>5165.4620000000004</v>
      </c>
      <c r="E91" s="15">
        <f>E86+E87+E88+E89+E90</f>
        <v>6876.6079999999984</v>
      </c>
      <c r="F91" s="15">
        <f>F86+F87+F88+F89+F90</f>
        <v>6657.8360000000011</v>
      </c>
      <c r="G91" s="15">
        <f>G86+G87+G88+G89+G90</f>
        <v>6605.2180000000017</v>
      </c>
      <c r="H91" s="15">
        <f>H86+H87+H88+H89+H90</f>
        <v>12603.447000000002</v>
      </c>
      <c r="I91" s="8" t="s">
        <v>245</v>
      </c>
    </row>
    <row r="92" spans="1:10" x14ac:dyDescent="0.3">
      <c r="A92" s="139" t="s">
        <v>374</v>
      </c>
      <c r="B92" s="141" t="s">
        <v>737</v>
      </c>
      <c r="C92" s="18"/>
      <c r="D92" s="14">
        <v>2526.8180000000002</v>
      </c>
      <c r="E92" s="14">
        <v>2714.34</v>
      </c>
      <c r="F92" s="14">
        <v>3246.9989999999998</v>
      </c>
      <c r="G92" s="14">
        <v>4234.7969999999996</v>
      </c>
      <c r="H92" s="14">
        <v>4271.57</v>
      </c>
      <c r="I92" s="8" t="s">
        <v>245</v>
      </c>
    </row>
    <row r="93" spans="1:10" x14ac:dyDescent="0.3">
      <c r="A93" s="139" t="s">
        <v>376</v>
      </c>
      <c r="B93" s="141" t="s">
        <v>738</v>
      </c>
      <c r="C93" s="18"/>
      <c r="D93" s="14">
        <v>0</v>
      </c>
      <c r="E93" s="14">
        <v>0</v>
      </c>
      <c r="F93" s="14">
        <v>0</v>
      </c>
      <c r="G93" s="14">
        <v>0</v>
      </c>
      <c r="H93" s="14">
        <v>0</v>
      </c>
      <c r="I93" s="8" t="s">
        <v>245</v>
      </c>
    </row>
    <row r="94" spans="1:10" x14ac:dyDescent="0.3">
      <c r="A94" s="139" t="s">
        <v>378</v>
      </c>
      <c r="B94" s="141" t="s">
        <v>739</v>
      </c>
      <c r="C94" s="18"/>
      <c r="D94" s="14">
        <v>0</v>
      </c>
      <c r="E94" s="14">
        <v>0</v>
      </c>
      <c r="F94" s="14">
        <v>0</v>
      </c>
      <c r="G94" s="14">
        <v>0</v>
      </c>
      <c r="H94" s="14">
        <v>0</v>
      </c>
      <c r="I94" s="8" t="s">
        <v>245</v>
      </c>
    </row>
    <row r="95" spans="1:10" x14ac:dyDescent="0.3">
      <c r="A95" s="139" t="s">
        <v>380</v>
      </c>
      <c r="B95" s="141" t="s">
        <v>740</v>
      </c>
      <c r="C95" s="18"/>
      <c r="D95" s="14">
        <v>-2920.875</v>
      </c>
      <c r="E95" s="14">
        <v>-3571.1869999999999</v>
      </c>
      <c r="F95" s="14">
        <v>-6742.2920000000004</v>
      </c>
      <c r="G95" s="14">
        <v>-8001.1049999999996</v>
      </c>
      <c r="H95" s="14">
        <v>-3870.4050000000002</v>
      </c>
      <c r="I95" s="8" t="s">
        <v>245</v>
      </c>
    </row>
    <row r="96" spans="1:10" x14ac:dyDescent="0.3">
      <c r="A96" s="144" t="s">
        <v>382</v>
      </c>
      <c r="B96" s="141" t="s">
        <v>383</v>
      </c>
      <c r="C96" s="19"/>
      <c r="D96" s="16">
        <f>D91+D92+D93+D94+D95</f>
        <v>4771.4050000000007</v>
      </c>
      <c r="E96" s="16">
        <f>E91+E92+E93+E94+E95</f>
        <v>6019.7609999999986</v>
      </c>
      <c r="F96" s="16">
        <f>F91+F92+F93+F94+F95</f>
        <v>3162.5430000000006</v>
      </c>
      <c r="G96" s="16">
        <f>G91+G92+G93+G94+G95</f>
        <v>2838.9100000000017</v>
      </c>
      <c r="H96" s="16">
        <f>H91+H92+H93+H94+H95</f>
        <v>13004.611999999999</v>
      </c>
      <c r="I96" s="8" t="s">
        <v>245</v>
      </c>
    </row>
    <row r="97" spans="1:10" x14ac:dyDescent="0.3">
      <c r="A97" s="139" t="s">
        <v>384</v>
      </c>
      <c r="B97" s="141" t="s">
        <v>741</v>
      </c>
      <c r="C97" s="18"/>
      <c r="D97" s="14">
        <v>0</v>
      </c>
      <c r="E97" s="14">
        <v>0</v>
      </c>
      <c r="F97" s="14">
        <v>-364.05399999999997</v>
      </c>
      <c r="G97" s="14">
        <v>-520.84799999999996</v>
      </c>
      <c r="H97" s="14">
        <v>-577.125</v>
      </c>
      <c r="I97" s="8" t="s">
        <v>245</v>
      </c>
    </row>
    <row r="98" spans="1:10" x14ac:dyDescent="0.3">
      <c r="A98" s="139" t="s">
        <v>386</v>
      </c>
      <c r="B98" s="141" t="s">
        <v>742</v>
      </c>
      <c r="C98" s="18"/>
      <c r="D98" s="14">
        <v>-1050.1320000000001</v>
      </c>
      <c r="E98" s="14">
        <v>-3047.6289999999999</v>
      </c>
      <c r="F98" s="14">
        <v>-6434.4650000000001</v>
      </c>
      <c r="G98" s="14">
        <v>-1775.6659999999999</v>
      </c>
      <c r="H98" s="14">
        <v>-3752.4279999999999</v>
      </c>
      <c r="I98" s="8" t="s">
        <v>245</v>
      </c>
    </row>
    <row r="99" spans="1:10" x14ac:dyDescent="0.3">
      <c r="A99" s="144" t="s">
        <v>388</v>
      </c>
      <c r="B99" s="141" t="s">
        <v>389</v>
      </c>
      <c r="C99" s="19"/>
      <c r="D99" s="16">
        <f>D96+D97+D98</f>
        <v>3721.2730000000006</v>
      </c>
      <c r="E99" s="16">
        <f>E96+E97+E98</f>
        <v>2972.1319999999987</v>
      </c>
      <c r="F99" s="16">
        <f>F96+F97+F98</f>
        <v>-3635.9759999999997</v>
      </c>
      <c r="G99" s="16">
        <f>G96+G97+G98</f>
        <v>542.39600000000178</v>
      </c>
      <c r="H99" s="16">
        <f>H96+H97+H98</f>
        <v>8675.0589999999993</v>
      </c>
      <c r="I99" s="8" t="s">
        <v>245</v>
      </c>
    </row>
    <row r="100" spans="1:10" x14ac:dyDescent="0.3">
      <c r="A100" s="139" t="s">
        <v>390</v>
      </c>
      <c r="B100" s="141" t="s">
        <v>743</v>
      </c>
      <c r="C100" s="18"/>
      <c r="D100" s="14">
        <v>8071.8919999999998</v>
      </c>
      <c r="E100" s="14">
        <v>10428.312</v>
      </c>
      <c r="F100" s="14">
        <v>9555.7749999999996</v>
      </c>
      <c r="G100" s="14">
        <v>10528.26</v>
      </c>
      <c r="H100" s="14">
        <v>18505.670999999998</v>
      </c>
      <c r="I100" s="8" t="s">
        <v>245</v>
      </c>
    </row>
    <row r="101" spans="1:10" x14ac:dyDescent="0.3">
      <c r="A101" s="139" t="s">
        <v>392</v>
      </c>
      <c r="B101" s="141" t="s">
        <v>744</v>
      </c>
      <c r="C101" s="18"/>
      <c r="D101" s="14">
        <v>4771.4049999999997</v>
      </c>
      <c r="E101" s="14">
        <v>6019.7610000000004</v>
      </c>
      <c r="F101" s="14">
        <v>3162.5430000000001</v>
      </c>
      <c r="G101" s="14">
        <v>2838.91</v>
      </c>
      <c r="H101" s="14">
        <v>13004.611999999999</v>
      </c>
      <c r="I101" s="8" t="s">
        <v>245</v>
      </c>
    </row>
    <row r="102" spans="1:10" x14ac:dyDescent="0.3">
      <c r="A102" s="139" t="s">
        <v>394</v>
      </c>
      <c r="B102" s="141" t="s">
        <v>745</v>
      </c>
      <c r="C102" s="18"/>
      <c r="D102" s="14">
        <v>3721.2730000000001</v>
      </c>
      <c r="E102" s="14">
        <v>2972.1320000000001</v>
      </c>
      <c r="F102" s="14">
        <v>-3635.9760000000001</v>
      </c>
      <c r="G102" s="14">
        <v>542.39599999999996</v>
      </c>
      <c r="H102" s="14">
        <v>8675.0589999999993</v>
      </c>
      <c r="I102" s="8" t="s">
        <v>245</v>
      </c>
    </row>
    <row r="103" spans="1:10" x14ac:dyDescent="0.3">
      <c r="A103" s="139" t="s">
        <v>396</v>
      </c>
      <c r="B103" s="141" t="s">
        <v>354</v>
      </c>
      <c r="C103" s="18"/>
      <c r="D103" s="17" t="str">
        <f>IF(AND(ABS(D86-D100)&lt;0.005,ABS(D96-D101)&lt;0.005,ABS(D99-D102)&lt;0.005),"PASS","FAIL")</f>
        <v>PASS</v>
      </c>
      <c r="E103" s="17" t="str">
        <f>IF(AND(ABS(E86-E100)&lt;0.005,ABS(E96-E101)&lt;0.005,ABS(E99-E102)&lt;0.005),"PASS","FAIL")</f>
        <v>PASS</v>
      </c>
      <c r="F103" s="17" t="str">
        <f>IF(AND(ABS(F86-F100)&lt;0.005,ABS(F96-F101)&lt;0.005,ABS(F99-F102)&lt;0.005),"PASS","FAIL")</f>
        <v>PASS</v>
      </c>
      <c r="G103" s="17" t="str">
        <f>IF(AND(ABS(G86-G100)&lt;0.005,ABS(G96-G101)&lt;0.005,ABS(G99-G102)&lt;0.005),"PASS","FAIL")</f>
        <v>PASS</v>
      </c>
      <c r="H103" s="17" t="str">
        <f>IF(AND(ABS(H86-H100)&lt;0.005,ABS(H96-H101)&lt;0.005,ABS(H99-H102)&lt;0.005),"PASS","FAIL")</f>
        <v>PASS</v>
      </c>
      <c r="I103" s="8"/>
    </row>
    <row r="104" spans="1:10" x14ac:dyDescent="0.3">
      <c r="A104" s="146" t="s">
        <v>397</v>
      </c>
      <c r="B104" s="147"/>
      <c r="C104" s="13"/>
      <c r="D104" s="13"/>
      <c r="E104" s="13"/>
      <c r="F104" s="13"/>
      <c r="G104" s="13"/>
      <c r="H104" s="13"/>
      <c r="I104" s="13"/>
      <c r="J104" s="13"/>
    </row>
    <row r="105" spans="1:10" x14ac:dyDescent="0.3">
      <c r="A105" s="139" t="s">
        <v>398</v>
      </c>
      <c r="B105" s="141" t="s">
        <v>746</v>
      </c>
      <c r="C105" s="18"/>
      <c r="D105" s="14">
        <v>34.765999999999998</v>
      </c>
      <c r="E105" s="14">
        <v>26.53</v>
      </c>
      <c r="F105" s="14">
        <v>38.493000000000002</v>
      </c>
      <c r="G105" s="14">
        <v>76.126999999999995</v>
      </c>
      <c r="H105" s="14">
        <v>53.668999999999997</v>
      </c>
      <c r="I105" s="8" t="s">
        <v>245</v>
      </c>
    </row>
    <row r="106" spans="1:10" x14ac:dyDescent="0.3">
      <c r="A106" s="139" t="s">
        <v>400</v>
      </c>
      <c r="B106" s="141" t="s">
        <v>401</v>
      </c>
      <c r="C106" s="18"/>
      <c r="D106" s="15">
        <f>-D95-D105</f>
        <v>2886.1089999999999</v>
      </c>
      <c r="E106" s="15">
        <f>-E95-E105</f>
        <v>3544.6569999999997</v>
      </c>
      <c r="F106" s="15">
        <f>-F95-F105</f>
        <v>6703.799</v>
      </c>
      <c r="G106" s="15">
        <f>-G95-G105</f>
        <v>7924.9779999999992</v>
      </c>
      <c r="H106" s="15">
        <f>-H95-H105</f>
        <v>3816.7360000000003</v>
      </c>
      <c r="I106" s="8" t="s">
        <v>245</v>
      </c>
    </row>
    <row r="107" spans="1:10" x14ac:dyDescent="0.3">
      <c r="A107" s="139" t="s">
        <v>402</v>
      </c>
      <c r="B107" s="141" t="s">
        <v>747</v>
      </c>
      <c r="C107" s="18"/>
      <c r="D107" s="14">
        <v>3580.8069999999998</v>
      </c>
      <c r="E107" s="14">
        <v>3913.288</v>
      </c>
      <c r="F107" s="14">
        <v>3944.1280000000002</v>
      </c>
      <c r="G107" s="14">
        <v>3853.4520000000002</v>
      </c>
      <c r="H107" s="14">
        <v>3832.6019999999999</v>
      </c>
      <c r="I107" s="8" t="s">
        <v>245</v>
      </c>
    </row>
    <row r="108" spans="1:10" x14ac:dyDescent="0.3">
      <c r="A108" s="144" t="s">
        <v>404</v>
      </c>
      <c r="B108" s="141" t="s">
        <v>405</v>
      </c>
      <c r="C108" s="19"/>
      <c r="D108" s="16">
        <f>D96-D95</f>
        <v>7692.2800000000007</v>
      </c>
      <c r="E108" s="16">
        <f>E96-E95</f>
        <v>9590.9479999999985</v>
      </c>
      <c r="F108" s="16">
        <f>F96-F95</f>
        <v>9904.8350000000009</v>
      </c>
      <c r="G108" s="16">
        <f>G96-G95</f>
        <v>10840.015000000001</v>
      </c>
      <c r="H108" s="16">
        <f>H96-H95</f>
        <v>16875.017</v>
      </c>
      <c r="I108" s="8" t="s">
        <v>245</v>
      </c>
    </row>
    <row r="109" spans="1:10" x14ac:dyDescent="0.3">
      <c r="A109" s="144" t="s">
        <v>406</v>
      </c>
      <c r="B109" s="141" t="s">
        <v>407</v>
      </c>
      <c r="C109" s="19"/>
      <c r="D109" s="16">
        <f>D108+D107</f>
        <v>11273.087</v>
      </c>
      <c r="E109" s="16">
        <f>E108+E107</f>
        <v>13504.235999999999</v>
      </c>
      <c r="F109" s="16">
        <f>F108+F107</f>
        <v>13848.963000000002</v>
      </c>
      <c r="G109" s="16">
        <f>G108+G107</f>
        <v>14693.467000000001</v>
      </c>
      <c r="H109" s="16">
        <f>H108+H107</f>
        <v>20707.618999999999</v>
      </c>
      <c r="I109" s="8" t="s">
        <v>245</v>
      </c>
    </row>
    <row r="110" spans="1:10" x14ac:dyDescent="0.3">
      <c r="A110" s="139" t="s">
        <v>408</v>
      </c>
      <c r="B110" s="141" t="s">
        <v>409</v>
      </c>
      <c r="C110" s="18"/>
      <c r="D110" s="15">
        <f>-(D97+D98)</f>
        <v>1050.1320000000001</v>
      </c>
      <c r="E110" s="15">
        <f>-(E97+E98)</f>
        <v>3047.6289999999999</v>
      </c>
      <c r="F110" s="15">
        <f>-(F97+F98)</f>
        <v>6798.5190000000002</v>
      </c>
      <c r="G110" s="15">
        <f>-(G97+G98)</f>
        <v>2296.5140000000001</v>
      </c>
      <c r="H110" s="15">
        <f>-(H97+H98)</f>
        <v>4329.5529999999999</v>
      </c>
      <c r="I110" s="8" t="s">
        <v>245</v>
      </c>
    </row>
    <row r="111" spans="1:10" x14ac:dyDescent="0.3">
      <c r="A111" s="139" t="s">
        <v>410</v>
      </c>
      <c r="B111" s="141" t="s">
        <v>411</v>
      </c>
      <c r="C111" s="18"/>
      <c r="D111" s="20">
        <f>IF(D96&lt;=0,"n/m",D110/D96)</f>
        <v>0.22008863217438049</v>
      </c>
      <c r="E111" s="20">
        <f>IF(E96&lt;=0,"n/m",E110/E96)</f>
        <v>0.50627076390574322</v>
      </c>
      <c r="F111" s="20">
        <f>IF(F96&lt;=0,"n/m",F110/F96)</f>
        <v>2.1497000989393658</v>
      </c>
      <c r="G111" s="20">
        <f>IF(G96&lt;=0,"n/m",G110/G96)</f>
        <v>0.80894216442226019</v>
      </c>
      <c r="H111" s="20">
        <f>IF(H96&lt;=0,"n/m",H110/H96)</f>
        <v>0.3329244271186253</v>
      </c>
      <c r="I111" s="8" t="s">
        <v>412</v>
      </c>
    </row>
    <row r="112" spans="1:10" x14ac:dyDescent="0.3">
      <c r="A112" s="139" t="s">
        <v>413</v>
      </c>
      <c r="B112" s="141" t="s">
        <v>414</v>
      </c>
      <c r="C112" s="18"/>
      <c r="D112" s="20">
        <f>D111</f>
        <v>0.22008863217438049</v>
      </c>
      <c r="E112" s="20">
        <f>E111</f>
        <v>0.50627076390574322</v>
      </c>
      <c r="F112" s="20">
        <f>F111</f>
        <v>2.1497000989393658</v>
      </c>
      <c r="G112" s="20">
        <f>G111</f>
        <v>0.80894216442226019</v>
      </c>
      <c r="H112" s="20">
        <f>H111</f>
        <v>0.3329244271186253</v>
      </c>
      <c r="I112" s="8" t="s">
        <v>412</v>
      </c>
    </row>
    <row r="113" spans="1:10" x14ac:dyDescent="0.3">
      <c r="A113" s="139" t="s">
        <v>415</v>
      </c>
      <c r="B113" s="141" t="s">
        <v>416</v>
      </c>
      <c r="C113" s="18"/>
      <c r="D113" s="15">
        <f>IF(ISNUMBER(D112),D108*(1-D112),"n/m")</f>
        <v>5999.2966164976569</v>
      </c>
      <c r="E113" s="15">
        <f>IF(ISNUMBER(E112),E108*(1-E112),"n/m")</f>
        <v>4735.3314294597394</v>
      </c>
      <c r="F113" s="15">
        <f>IF(ISNUMBER(F112),F108*(1-F112),"n/m")</f>
        <v>-11387.589779478094</v>
      </c>
      <c r="G113" s="15">
        <f>IF(ISNUMBER(G112),G108*(1-G112),"n/m")</f>
        <v>2071.0698035302335</v>
      </c>
      <c r="H113" s="15">
        <f>IF(ISNUMBER(H112),H108*(1-H112),"n/m")</f>
        <v>11256.911632657935</v>
      </c>
      <c r="I113" s="8" t="s">
        <v>245</v>
      </c>
    </row>
    <row r="114" spans="1:10" x14ac:dyDescent="0.3">
      <c r="A114" s="139"/>
      <c r="B114" s="139"/>
    </row>
    <row r="115" spans="1:10" x14ac:dyDescent="0.3">
      <c r="A115" s="142" t="s">
        <v>417</v>
      </c>
      <c r="B115" s="143"/>
      <c r="C115" s="10"/>
      <c r="D115" s="10"/>
      <c r="E115" s="10"/>
      <c r="F115" s="10"/>
      <c r="G115" s="10"/>
      <c r="H115" s="10"/>
      <c r="I115" s="10"/>
      <c r="J115" s="10"/>
    </row>
    <row r="116" spans="1:10" x14ac:dyDescent="0.3">
      <c r="A116" s="139" t="s">
        <v>418</v>
      </c>
      <c r="B116" s="141" t="s">
        <v>748</v>
      </c>
      <c r="C116" s="18"/>
      <c r="D116" s="14">
        <v>10472.429</v>
      </c>
      <c r="E116" s="14">
        <v>941.86599999999999</v>
      </c>
      <c r="F116" s="14">
        <v>13397.298000000001</v>
      </c>
      <c r="G116" s="14">
        <v>13222.674999999999</v>
      </c>
      <c r="H116" s="14">
        <v>15811.428</v>
      </c>
      <c r="I116" s="8" t="s">
        <v>245</v>
      </c>
    </row>
    <row r="117" spans="1:10" x14ac:dyDescent="0.3">
      <c r="A117" s="139" t="s">
        <v>420</v>
      </c>
      <c r="B117" s="141" t="s">
        <v>749</v>
      </c>
      <c r="C117" s="18"/>
      <c r="D117" s="14">
        <v>6161.19</v>
      </c>
      <c r="E117" s="14">
        <v>-3932.4789999999998</v>
      </c>
      <c r="F117" s="14">
        <v>6504.2340000000004</v>
      </c>
      <c r="G117" s="14">
        <v>6029.5450000000001</v>
      </c>
      <c r="H117" s="14">
        <v>10034.132</v>
      </c>
      <c r="I117" s="8" t="s">
        <v>245</v>
      </c>
    </row>
    <row r="118" spans="1:10" x14ac:dyDescent="0.3">
      <c r="A118" s="139" t="s">
        <v>422</v>
      </c>
      <c r="B118" s="141" t="s">
        <v>750</v>
      </c>
      <c r="C118" s="18"/>
      <c r="D118" s="14">
        <v>-3125.3809999999999</v>
      </c>
      <c r="E118" s="14">
        <v>-3195.7269999999999</v>
      </c>
      <c r="F118" s="14">
        <v>-5998.5990000000002</v>
      </c>
      <c r="G118" s="14">
        <v>-8460.2060000000001</v>
      </c>
      <c r="H118" s="14">
        <v>-4921.1989999999996</v>
      </c>
      <c r="I118" s="8" t="s">
        <v>245</v>
      </c>
    </row>
    <row r="119" spans="1:10" x14ac:dyDescent="0.3">
      <c r="A119" s="139" t="s">
        <v>424</v>
      </c>
      <c r="B119" s="141" t="s">
        <v>751</v>
      </c>
      <c r="C119" s="18"/>
      <c r="D119" s="21" t="s">
        <v>426</v>
      </c>
      <c r="E119" s="21" t="s">
        <v>426</v>
      </c>
      <c r="F119" s="21" t="s">
        <v>426</v>
      </c>
      <c r="G119" s="21" t="s">
        <v>426</v>
      </c>
      <c r="H119" s="21" t="s">
        <v>426</v>
      </c>
      <c r="I119" s="8" t="s">
        <v>427</v>
      </c>
    </row>
    <row r="120" spans="1:10" x14ac:dyDescent="0.3">
      <c r="A120" s="139" t="s">
        <v>428</v>
      </c>
      <c r="B120" s="141" t="s">
        <v>429</v>
      </c>
      <c r="C120" s="18"/>
      <c r="D120" s="15">
        <f>IF(D119="Financing",D117+D118,D117)</f>
        <v>6161.19</v>
      </c>
      <c r="E120" s="15">
        <f>IF(E119="Financing",E117+E118,E117)</f>
        <v>-3932.4789999999998</v>
      </c>
      <c r="F120" s="15">
        <f>IF(F119="Financing",F117+F118,F117)</f>
        <v>6504.2340000000004</v>
      </c>
      <c r="G120" s="15">
        <f>IF(G119="Financing",G117+G118,G117)</f>
        <v>6029.5450000000001</v>
      </c>
      <c r="H120" s="15">
        <f>IF(H119="Financing",H117+H118,H117)</f>
        <v>10034.132</v>
      </c>
      <c r="I120" s="8" t="s">
        <v>245</v>
      </c>
    </row>
    <row r="121" spans="1:10" x14ac:dyDescent="0.3">
      <c r="A121" s="139" t="s">
        <v>430</v>
      </c>
      <c r="B121" s="141" t="s">
        <v>752</v>
      </c>
      <c r="C121" s="18"/>
      <c r="D121" s="14">
        <v>-5087.1040000000003</v>
      </c>
      <c r="E121" s="14">
        <v>-1739.5509999999999</v>
      </c>
      <c r="F121" s="14">
        <v>-3418.069</v>
      </c>
      <c r="G121" s="14">
        <v>-1620.798</v>
      </c>
      <c r="H121" s="14">
        <v>-1211.491</v>
      </c>
      <c r="I121" s="8" t="s">
        <v>245</v>
      </c>
    </row>
    <row r="122" spans="1:10" x14ac:dyDescent="0.3">
      <c r="A122" s="139" t="s">
        <v>432</v>
      </c>
      <c r="B122" s="141" t="s">
        <v>753</v>
      </c>
      <c r="C122" s="18"/>
      <c r="D122" s="14">
        <v>-2962.16</v>
      </c>
      <c r="E122" s="14">
        <v>1461.646</v>
      </c>
      <c r="F122" s="14">
        <v>-1747.152</v>
      </c>
      <c r="G122" s="14">
        <v>2277.223</v>
      </c>
      <c r="H122" s="14">
        <v>3000.5349999999999</v>
      </c>
      <c r="I122" s="8" t="s">
        <v>245</v>
      </c>
    </row>
    <row r="123" spans="1:10" x14ac:dyDescent="0.3">
      <c r="A123" s="139" t="s">
        <v>434</v>
      </c>
      <c r="B123" s="141" t="s">
        <v>754</v>
      </c>
      <c r="C123" s="18"/>
      <c r="D123" s="14">
        <v>2374.8530000000001</v>
      </c>
      <c r="E123" s="14">
        <v>-4864.9560000000001</v>
      </c>
      <c r="F123" s="14">
        <v>-4883.5690000000004</v>
      </c>
      <c r="G123" s="14">
        <v>4051.0210000000002</v>
      </c>
      <c r="H123" s="14">
        <v>-9357.6869999999999</v>
      </c>
      <c r="I123" s="8" t="s">
        <v>245</v>
      </c>
    </row>
    <row r="124" spans="1:10" x14ac:dyDescent="0.3">
      <c r="A124" s="139" t="s">
        <v>436</v>
      </c>
      <c r="B124" s="141" t="s">
        <v>755</v>
      </c>
      <c r="C124" s="18"/>
      <c r="D124" s="14">
        <v>-0.32</v>
      </c>
      <c r="E124" s="14">
        <v>-437.12400000000002</v>
      </c>
      <c r="F124" s="14">
        <v>-437.92700000000002</v>
      </c>
      <c r="G124" s="14">
        <v>-0.502</v>
      </c>
      <c r="H124" s="14">
        <v>-4.8000000000000001E-2</v>
      </c>
      <c r="I124" s="8" t="s">
        <v>245</v>
      </c>
    </row>
    <row r="125" spans="1:10" x14ac:dyDescent="0.3">
      <c r="A125" s="139"/>
      <c r="B125" s="139"/>
    </row>
    <row r="126" spans="1:10" x14ac:dyDescent="0.3">
      <c r="A126" s="142" t="s">
        <v>438</v>
      </c>
      <c r="B126" s="143"/>
      <c r="C126" s="10"/>
      <c r="D126" s="10"/>
      <c r="E126" s="10"/>
      <c r="F126" s="10"/>
      <c r="G126" s="10"/>
      <c r="H126" s="10"/>
      <c r="I126" s="10"/>
      <c r="J126" s="10"/>
    </row>
    <row r="127" spans="1:10" x14ac:dyDescent="0.3">
      <c r="A127" s="139" t="s">
        <v>439</v>
      </c>
      <c r="B127" s="141" t="s">
        <v>756</v>
      </c>
      <c r="C127" s="18"/>
      <c r="D127" s="22">
        <v>10</v>
      </c>
      <c r="E127" s="22">
        <v>10</v>
      </c>
      <c r="F127" s="22">
        <v>10</v>
      </c>
      <c r="G127" s="22">
        <v>10</v>
      </c>
      <c r="H127" s="22">
        <v>10</v>
      </c>
      <c r="I127" s="8" t="s">
        <v>441</v>
      </c>
    </row>
    <row r="128" spans="1:10" x14ac:dyDescent="0.3">
      <c r="A128" s="139" t="s">
        <v>442</v>
      </c>
      <c r="B128" s="141" t="s">
        <v>443</v>
      </c>
      <c r="C128" s="18"/>
      <c r="D128" s="23">
        <f>D39/D127-D135</f>
        <v>438.1191</v>
      </c>
      <c r="E128" s="23">
        <f>E39/E127-E135</f>
        <v>438.1191</v>
      </c>
      <c r="F128" s="23">
        <f>F39/F127-F135</f>
        <v>438.1191</v>
      </c>
      <c r="G128" s="23">
        <f>G39/G127-G135</f>
        <v>438.1191</v>
      </c>
      <c r="H128" s="23">
        <f>H39/H127-H135</f>
        <v>438.1191</v>
      </c>
      <c r="I128" s="8" t="s">
        <v>444</v>
      </c>
    </row>
    <row r="129" spans="1:10" x14ac:dyDescent="0.3">
      <c r="A129" s="139" t="s">
        <v>445</v>
      </c>
      <c r="B129" s="141" t="s">
        <v>757</v>
      </c>
      <c r="C129" s="18"/>
      <c r="D129" s="24">
        <v>438.11911800000001</v>
      </c>
      <c r="E129" s="24">
        <v>438.11911800000001</v>
      </c>
      <c r="F129" s="24">
        <v>438.11911800000001</v>
      </c>
      <c r="G129" s="24">
        <v>438.11911800000001</v>
      </c>
      <c r="H129" s="24">
        <v>438.11911800000001</v>
      </c>
      <c r="I129" s="8" t="s">
        <v>444</v>
      </c>
    </row>
    <row r="130" spans="1:10" x14ac:dyDescent="0.3">
      <c r="A130" s="139" t="s">
        <v>447</v>
      </c>
      <c r="B130" s="141" t="s">
        <v>758</v>
      </c>
      <c r="C130" s="18"/>
      <c r="D130" s="22">
        <v>117.92</v>
      </c>
      <c r="E130" s="22">
        <v>62.5</v>
      </c>
      <c r="F130" s="22">
        <v>51.3</v>
      </c>
      <c r="G130" s="22">
        <v>90.27</v>
      </c>
      <c r="H130" s="22">
        <v>165.56</v>
      </c>
      <c r="I130" s="8" t="s">
        <v>441</v>
      </c>
    </row>
    <row r="131" spans="1:10" x14ac:dyDescent="0.3">
      <c r="A131" s="139" t="s">
        <v>449</v>
      </c>
      <c r="B131" s="141" t="s">
        <v>759</v>
      </c>
      <c r="C131" s="18"/>
      <c r="D131" s="22">
        <v>1</v>
      </c>
      <c r="E131" s="22">
        <v>1</v>
      </c>
      <c r="F131" s="22">
        <v>0</v>
      </c>
      <c r="G131" s="22">
        <v>0</v>
      </c>
      <c r="H131" s="22">
        <v>2</v>
      </c>
      <c r="I131" s="8" t="s">
        <v>441</v>
      </c>
    </row>
    <row r="132" spans="1:10" x14ac:dyDescent="0.3">
      <c r="A132" s="139" t="s">
        <v>451</v>
      </c>
      <c r="B132" s="141" t="s">
        <v>760</v>
      </c>
      <c r="C132" s="18"/>
      <c r="D132" s="22">
        <v>8.49</v>
      </c>
      <c r="E132" s="22">
        <v>6.78</v>
      </c>
      <c r="F132" s="22">
        <v>-8.3000000000000007</v>
      </c>
      <c r="G132" s="22">
        <v>1.24</v>
      </c>
      <c r="H132" s="22">
        <v>19.8</v>
      </c>
      <c r="I132" s="8" t="s">
        <v>441</v>
      </c>
    </row>
    <row r="133" spans="1:10" x14ac:dyDescent="0.3">
      <c r="A133" s="139" t="s">
        <v>453</v>
      </c>
      <c r="B133" s="141" t="s">
        <v>454</v>
      </c>
      <c r="C133" s="18"/>
      <c r="D133" s="15">
        <f>D130*D128</f>
        <v>51663.004271999998</v>
      </c>
      <c r="E133" s="15">
        <f>E130*E128</f>
        <v>27382.443749999999</v>
      </c>
      <c r="F133" s="15">
        <f>F130*F128</f>
        <v>22475.509829999999</v>
      </c>
      <c r="G133" s="15">
        <f>G130*G128</f>
        <v>39549.011157000001</v>
      </c>
      <c r="H133" s="15">
        <f>H130*H128</f>
        <v>72534.998196</v>
      </c>
      <c r="I133" s="8" t="s">
        <v>245</v>
      </c>
    </row>
    <row r="134" spans="1:10" x14ac:dyDescent="0.3">
      <c r="A134" s="139" t="s">
        <v>455</v>
      </c>
      <c r="B134" s="141" t="s">
        <v>761</v>
      </c>
      <c r="C134" s="18"/>
      <c r="D134" s="22">
        <v>1</v>
      </c>
      <c r="E134" s="22">
        <v>1</v>
      </c>
      <c r="F134" s="22">
        <v>1</v>
      </c>
      <c r="G134" s="22">
        <v>1</v>
      </c>
      <c r="H134" s="22">
        <v>1</v>
      </c>
      <c r="I134" s="8" t="s">
        <v>457</v>
      </c>
    </row>
    <row r="135" spans="1:10" x14ac:dyDescent="0.3">
      <c r="A135" s="139" t="s">
        <v>458</v>
      </c>
      <c r="B135" s="141"/>
      <c r="C135" s="18"/>
      <c r="D135" s="22">
        <v>0</v>
      </c>
      <c r="E135" s="22">
        <v>0</v>
      </c>
      <c r="F135" s="22">
        <v>0</v>
      </c>
      <c r="G135" s="22">
        <v>0</v>
      </c>
      <c r="H135" s="22">
        <v>0</v>
      </c>
    </row>
    <row r="136" spans="1:10" x14ac:dyDescent="0.3">
      <c r="A136" s="142" t="s">
        <v>9356</v>
      </c>
      <c r="B136" s="143"/>
      <c r="C136" s="10"/>
      <c r="D136" s="10"/>
      <c r="E136" s="10"/>
      <c r="F136" s="10"/>
      <c r="G136" s="10"/>
      <c r="H136" s="10"/>
      <c r="I136" s="10"/>
      <c r="J136" s="10"/>
    </row>
    <row r="137" spans="1:10" ht="22.05" customHeight="1" x14ac:dyDescent="0.3">
      <c r="A137" s="207" t="s">
        <v>459</v>
      </c>
      <c r="B137" s="205"/>
      <c r="C137" s="206"/>
      <c r="D137" s="206"/>
      <c r="E137" s="206"/>
      <c r="F137" s="206"/>
      <c r="G137" s="206"/>
      <c r="H137" s="206"/>
      <c r="I137" s="13"/>
      <c r="J137" s="13"/>
    </row>
    <row r="138" spans="1:10" x14ac:dyDescent="0.3">
      <c r="A138" s="150" t="s">
        <v>460</v>
      </c>
      <c r="B138" s="148" t="s">
        <v>461</v>
      </c>
      <c r="C138" s="18"/>
      <c r="D138" s="87">
        <f>IF(OR((D61)&lt;=0,(D36)&lt;0),"n/m",(D36)/(D61))</f>
        <v>0.91452508864509019</v>
      </c>
      <c r="E138" s="87">
        <f>IF(OR((E61)&lt;=0,(E36)&lt;0),"n/m",(E36)/(E61))</f>
        <v>0.88552877147710041</v>
      </c>
      <c r="F138" s="87">
        <f>IF(OR((F61)&lt;=0,(F36)&lt;0),"n/m",(F36)/(F61))</f>
        <v>0.80176749057385621</v>
      </c>
      <c r="G138" s="87">
        <f>IF(OR((G61)&lt;=0,(G36)&lt;0),"n/m",(G36)/(G61))</f>
        <v>1.296185931254842</v>
      </c>
      <c r="H138" s="87">
        <f>IF(OR((H61)&lt;=0,(H36)&lt;0),"n/m",(H36)/(H61))</f>
        <v>1.8489517932979607</v>
      </c>
      <c r="I138" s="8" t="s">
        <v>462</v>
      </c>
    </row>
    <row r="139" spans="1:10" x14ac:dyDescent="0.3">
      <c r="A139" s="150" t="s">
        <v>463</v>
      </c>
      <c r="B139" s="148" t="s">
        <v>464</v>
      </c>
      <c r="C139" s="18"/>
      <c r="D139" s="87">
        <f>IF(OR((D61)&lt;=0,(D36-D65)&lt;0),"n/m",(D36-D65)/(D61))</f>
        <v>0.52718830778210601</v>
      </c>
      <c r="E139" s="87">
        <f>IF(OR((E61)&lt;=0,(E36-E65)&lt;0),"n/m",(E36-E65)/(E61))</f>
        <v>0.39093390789665328</v>
      </c>
      <c r="F139" s="87">
        <f>IF(OR((F61)&lt;=0,(F36-F65)&lt;0),"n/m",(F36-F65)/(F61))</f>
        <v>0.33489936167445872</v>
      </c>
      <c r="G139" s="87">
        <f>IF(OR((G61)&lt;=0,(G36-G65)&lt;0),"n/m",(G36-G65)/(G61))</f>
        <v>0.66771764923027133</v>
      </c>
      <c r="H139" s="87">
        <f>IF(OR((H61)&lt;=0,(H36-H65)&lt;0),"n/m",(H36-H65)/(H61))</f>
        <v>1.0579587679634685</v>
      </c>
      <c r="I139" s="8" t="s">
        <v>462</v>
      </c>
    </row>
    <row r="140" spans="1:10" x14ac:dyDescent="0.3">
      <c r="A140" s="150" t="s">
        <v>465</v>
      </c>
      <c r="B140" s="148" t="s">
        <v>466</v>
      </c>
      <c r="C140" s="18"/>
      <c r="D140" s="87">
        <f>IF(OR((D61)&lt;=0,(D34)&lt;0),"n/m",(D34)/(D61))</f>
        <v>2.0011480184397672E-2</v>
      </c>
      <c r="E140" s="87">
        <f>IF(OR((E61)&lt;=0,(E34)&lt;0),"n/m",(E34)/(E61))</f>
        <v>8.913248794490819E-3</v>
      </c>
      <c r="F140" s="87">
        <f>IF(OR((F61)&lt;=0,(F34)&lt;0),"n/m",(F34)/(F61))</f>
        <v>1.3866688142092815E-2</v>
      </c>
      <c r="G140" s="87">
        <f>IF(OR((G61)&lt;=0,(G34)&lt;0),"n/m",(G34)/(G61))</f>
        <v>2.2719990993528554E-2</v>
      </c>
      <c r="H140" s="87">
        <f>IF(OR((H61)&lt;=0,(H34)&lt;0),"n/m",(H34)/(H61))</f>
        <v>2.1953369467390581E-2</v>
      </c>
      <c r="I140" s="8" t="s">
        <v>462</v>
      </c>
    </row>
    <row r="141" spans="1:10" x14ac:dyDescent="0.3">
      <c r="A141" s="150" t="s">
        <v>467</v>
      </c>
      <c r="B141" s="148" t="s">
        <v>468</v>
      </c>
      <c r="C141" s="18"/>
      <c r="D141" s="88" t="str">
        <f>IF(OR((1)&lt;=0,(D36-D61)&lt;0),"n/m",(D36-D61)/(1))</f>
        <v>n/m</v>
      </c>
      <c r="E141" s="88" t="str">
        <f>IF(OR((1)&lt;=0,(E36-E61)&lt;0),"n/m",(E36-E61)/(1))</f>
        <v>n/m</v>
      </c>
      <c r="F141" s="88" t="str">
        <f>IF(OR((1)&lt;=0,(F36-F61)&lt;0),"n/m",(F36-F61)/(1))</f>
        <v>n/m</v>
      </c>
      <c r="G141" s="88">
        <f>IF(OR((1)&lt;=0,(G36-G61)&lt;0),"n/m",(G36-G61)/(1))</f>
        <v>9544.8039999999928</v>
      </c>
      <c r="H141" s="88">
        <f>IF(OR((1)&lt;=0,(H36-H61)&lt;0),"n/m",(H36-H61)/(1))</f>
        <v>21997.121999999999</v>
      </c>
      <c r="I141" s="8" t="s">
        <v>245</v>
      </c>
    </row>
    <row r="142" spans="1:10" x14ac:dyDescent="0.3">
      <c r="A142" s="150" t="s">
        <v>469</v>
      </c>
      <c r="B142" s="148" t="s">
        <v>470</v>
      </c>
      <c r="C142" s="18"/>
      <c r="D142" s="88">
        <f>IF(OR((1)&lt;=0,(D72-D73)&lt;0),"n/m",(D72-D73)/(1))</f>
        <v>8099.1470000000063</v>
      </c>
      <c r="E142" s="88">
        <f>IF(OR((1)&lt;=0,(E72-E73)&lt;0),"n/m",(E72-E73)/(1))</f>
        <v>17790.203999999998</v>
      </c>
      <c r="F142" s="88">
        <f>IF(OR((1)&lt;=0,(F72-F73)&lt;0),"n/m",(F72-F73)/(1))</f>
        <v>15215.495000000003</v>
      </c>
      <c r="G142" s="88">
        <f>IF(OR((1)&lt;=0,(G72-G73)&lt;0),"n/m",(G72-G73)/(1))</f>
        <v>10223.228999999994</v>
      </c>
      <c r="H142" s="88">
        <f>IF(OR((1)&lt;=0,(H72-H73)&lt;0),"n/m",(H72-H73)/(1))</f>
        <v>9579.732</v>
      </c>
      <c r="I142" s="8" t="s">
        <v>245</v>
      </c>
    </row>
    <row r="143" spans="1:10" ht="22.05" customHeight="1" x14ac:dyDescent="0.3">
      <c r="A143" s="207" t="s">
        <v>471</v>
      </c>
      <c r="B143" s="205"/>
      <c r="C143" s="206"/>
      <c r="D143" s="206"/>
      <c r="E143" s="206"/>
      <c r="F143" s="206"/>
      <c r="G143" s="206"/>
      <c r="H143" s="206"/>
      <c r="I143" s="13"/>
      <c r="J143" s="13"/>
    </row>
    <row r="144" spans="1:10" x14ac:dyDescent="0.3">
      <c r="A144" s="150" t="s">
        <v>472</v>
      </c>
      <c r="B144" s="148" t="s">
        <v>473</v>
      </c>
      <c r="C144" s="18"/>
      <c r="D144" s="87">
        <f>IF(OR((AVERAGE(C65,D65))&lt;=0,(-D85)&lt;0),"n/m",(-D85)/(AVERAGE(C65,D65)))</f>
        <v>2.6267527531726218</v>
      </c>
      <c r="E144" s="87">
        <f>IF(OR((AVERAGE(D65,E65))&lt;=0,(-E85)&lt;0),"n/m",(-E85)/(AVERAGE(D65,E65)))</f>
        <v>2.479761249901864</v>
      </c>
      <c r="F144" s="87">
        <f>IF(OR((AVERAGE(E65,F65))&lt;=0,(-F85)&lt;0),"n/m",(-F85)/(AVERAGE(E65,F65)))</f>
        <v>2.4352964976956684</v>
      </c>
      <c r="G144" s="87">
        <f>IF(OR((AVERAGE(F65,G65))&lt;=0,(-G85)&lt;0),"n/m",(-G85)/(AVERAGE(F65,G65)))</f>
        <v>2.5832010951831741</v>
      </c>
      <c r="H144" s="87">
        <f>IF(OR((AVERAGE(G65,H65))&lt;=0,(-H85)&lt;0),"n/m",(-H85)/(AVERAGE(G65,H65)))</f>
        <v>2.6203448800361673</v>
      </c>
      <c r="I144" s="8" t="s">
        <v>462</v>
      </c>
    </row>
    <row r="145" spans="1:10" x14ac:dyDescent="0.3">
      <c r="A145" s="150" t="s">
        <v>474</v>
      </c>
      <c r="B145" s="148" t="s">
        <v>475</v>
      </c>
      <c r="C145" s="18"/>
      <c r="D145" s="87">
        <f>IF(OR((AVERAGE(C32,D32))&lt;=0,(D84)&lt;0),"n/m",(D84)/(AVERAGE(C32,D32)))</f>
        <v>22.768270883109405</v>
      </c>
      <c r="E145" s="87">
        <f>IF(OR((AVERAGE(D32,E32))&lt;=0,(E84)&lt;0),"n/m",(E84)/(AVERAGE(D32,E32)))</f>
        <v>36.922320391767833</v>
      </c>
      <c r="F145" s="87">
        <f>IF(OR((AVERAGE(E32,F32))&lt;=0,(F84)&lt;0),"n/m",(F84)/(AVERAGE(E32,F32)))</f>
        <v>48.836111797909446</v>
      </c>
      <c r="G145" s="87">
        <f>IF(OR((AVERAGE(F32,G32))&lt;=0,(G84)&lt;0),"n/m",(G84)/(AVERAGE(F32,G32)))</f>
        <v>64.453707869774377</v>
      </c>
      <c r="H145" s="87">
        <f>IF(OR((AVERAGE(G32,H32))&lt;=0,(H84)&lt;0),"n/m",(H84)/(AVERAGE(G32,H32)))</f>
        <v>61.216079379365482</v>
      </c>
      <c r="I145" s="8" t="s">
        <v>462</v>
      </c>
    </row>
    <row r="146" spans="1:10" x14ac:dyDescent="0.3">
      <c r="A146" s="150" t="s">
        <v>476</v>
      </c>
      <c r="B146" s="148" t="s">
        <v>477</v>
      </c>
      <c r="C146" s="18"/>
      <c r="D146" s="87">
        <f>IF(OR((AVERAGE(C51,D51))&lt;=0,(-D85)&lt;0),"n/m",(-D85)/(AVERAGE(C51,D51)))</f>
        <v>6.3303916348672544</v>
      </c>
      <c r="E146" s="87">
        <f>IF(OR((AVERAGE(D51,E51))&lt;=0,(-E85)&lt;0),"n/m",(-E85)/(AVERAGE(D51,E51)))</f>
        <v>8.4673674918557111</v>
      </c>
      <c r="F146" s="87">
        <f>IF(OR((AVERAGE(E51,F51))&lt;=0,(-F85)&lt;0),"n/m",(-F85)/(AVERAGE(E51,F51)))</f>
        <v>10.657952462664126</v>
      </c>
      <c r="G146" s="87">
        <f>IF(OR((AVERAGE(F51,G51))&lt;=0,(-G85)&lt;0),"n/m",(-G85)/(AVERAGE(F51,G51)))</f>
        <v>9.58994930634071</v>
      </c>
      <c r="H146" s="87">
        <f>IF(OR((AVERAGE(G51,H51))&lt;=0,(-H85)&lt;0),"n/m",(-H85)/(AVERAGE(G51,H51)))</f>
        <v>11.934245278189531</v>
      </c>
      <c r="I146" s="8" t="s">
        <v>462</v>
      </c>
    </row>
    <row r="147" spans="1:10" x14ac:dyDescent="0.3">
      <c r="A147" s="150" t="s">
        <v>478</v>
      </c>
      <c r="B147" s="148" t="s">
        <v>479</v>
      </c>
      <c r="C147" s="18"/>
      <c r="D147" s="89">
        <f>IF(OR((-D85)&lt;=0,(365*AVERAGE(C65,D65))&lt;0),"n/m",(365*AVERAGE(C65,D65))/(-D85))</f>
        <v>138.95483675010863</v>
      </c>
      <c r="E147" s="89">
        <f>IF(OR((-E85)&lt;=0,(365*AVERAGE(D65,E65))&lt;0),"n/m",(365*AVERAGE(D65,E65))/(-E85))</f>
        <v>147.19158951872677</v>
      </c>
      <c r="F147" s="89">
        <f>IF(OR((-F85)&lt;=0,(365*AVERAGE(E65,F65))&lt;0),"n/m",(365*AVERAGE(E65,F65))/(-F85))</f>
        <v>149.87908057411946</v>
      </c>
      <c r="G147" s="89">
        <f>IF(OR((-G85)&lt;=0,(365*AVERAGE(F65,G65))&lt;0),"n/m",(365*AVERAGE(F65,G65))/(-G85))</f>
        <v>141.29755545575051</v>
      </c>
      <c r="H147" s="89">
        <f>IF(OR((-H85)&lt;=0,(365*AVERAGE(G65,H65))&lt;0),"n/m",(365*AVERAGE(G65,H65))/(-H85))</f>
        <v>139.29464124392746</v>
      </c>
      <c r="I147" s="8" t="s">
        <v>480</v>
      </c>
    </row>
    <row r="148" spans="1:10" x14ac:dyDescent="0.3">
      <c r="A148" s="150" t="s">
        <v>481</v>
      </c>
      <c r="B148" s="148" t="s">
        <v>482</v>
      </c>
      <c r="C148" s="18"/>
      <c r="D148" s="89">
        <f>IF(OR((D84)&lt;=0,(365*AVERAGE(C32,D32))&lt;0),"n/m",(365*AVERAGE(C32,D32))/(D84))</f>
        <v>16.031081230273596</v>
      </c>
      <c r="E148" s="89">
        <f>IF(OR((E84)&lt;=0,(365*AVERAGE(D32,E32))&lt;0),"n/m",(365*AVERAGE(D32,E32))/(E84))</f>
        <v>9.8856192169704489</v>
      </c>
      <c r="F148" s="89">
        <f>IF(OR((F84)&lt;=0,(365*AVERAGE(E32,F32))&lt;0),"n/m",(365*AVERAGE(E32,F32))/(F84))</f>
        <v>7.4739774843341396</v>
      </c>
      <c r="G148" s="89">
        <f>IF(OR((G84)&lt;=0,(365*AVERAGE(F32,G32))&lt;0),"n/m",(365*AVERAGE(F32,G32))/(G84))</f>
        <v>5.6629790909386459</v>
      </c>
      <c r="H148" s="89">
        <f>IF(OR((H84)&lt;=0,(365*AVERAGE(G32,H32))&lt;0),"n/m",(365*AVERAGE(G32,H32))/(H84))</f>
        <v>5.9624857341490083</v>
      </c>
      <c r="I148" s="8" t="s">
        <v>480</v>
      </c>
    </row>
    <row r="149" spans="1:10" x14ac:dyDescent="0.3">
      <c r="A149" s="150" t="s">
        <v>483</v>
      </c>
      <c r="B149" s="148" t="s">
        <v>484</v>
      </c>
      <c r="C149" s="18"/>
      <c r="D149" s="89">
        <f>IF(OR((-D85)&lt;=0,(365*AVERAGE(C51,D51))&lt;0),"n/m",(365*AVERAGE(C51,D51))/(-D85))</f>
        <v>57.658360027776368</v>
      </c>
      <c r="E149" s="89">
        <f>IF(OR((-E85)&lt;=0,(365*AVERAGE(D51,E51))&lt;0),"n/m",(365*AVERAGE(D51,E51))/(-E85))</f>
        <v>43.106668082030595</v>
      </c>
      <c r="F149" s="89">
        <f>IF(OR((-F85)&lt;=0,(365*AVERAGE(E51,F51))&lt;0),"n/m",(365*AVERAGE(E51,F51))/(-F85))</f>
        <v>34.246728091407007</v>
      </c>
      <c r="G149" s="89">
        <f>IF(OR((-G85)&lt;=0,(365*AVERAGE(F51,G51))&lt;0),"n/m",(365*AVERAGE(F51,G51))/(-G85))</f>
        <v>38.06068085872657</v>
      </c>
      <c r="H149" s="89">
        <f>IF(OR((-H85)&lt;=0,(365*AVERAGE(G51,H51))&lt;0),"n/m",(365*AVERAGE(G51,H51))/(-H85))</f>
        <v>30.584254931231971</v>
      </c>
      <c r="I149" s="8" t="s">
        <v>480</v>
      </c>
    </row>
    <row r="150" spans="1:10" x14ac:dyDescent="0.3">
      <c r="A150" s="150" t="s">
        <v>485</v>
      </c>
      <c r="B150" s="148" t="s">
        <v>486</v>
      </c>
      <c r="C150" s="18"/>
      <c r="D150" s="89">
        <f>IF(OR((1)&lt;=0,(365*AVERAGE(C65,D65)/(-D85)+365*AVERAGE(C32,D32)/D84)&lt;0),"n/m",(365*AVERAGE(C65,D65)/(-D85)+365*AVERAGE(C32,D32)/D84)/(1))</f>
        <v>154.98591798038223</v>
      </c>
      <c r="E150" s="89">
        <f>IF(OR((1)&lt;=0,(365*AVERAGE(D65,E65)/(-E85)+365*AVERAGE(D32,E32)/E84)&lt;0),"n/m",(365*AVERAGE(D65,E65)/(-E85)+365*AVERAGE(D32,E32)/E84)/(1))</f>
        <v>157.07720873569721</v>
      </c>
      <c r="F150" s="89">
        <f>IF(OR((1)&lt;=0,(365*AVERAGE(E65,F65)/(-F85)+365*AVERAGE(E32,F32)/F84)&lt;0),"n/m",(365*AVERAGE(E65,F65)/(-F85)+365*AVERAGE(E32,F32)/F84)/(1))</f>
        <v>157.3530580584536</v>
      </c>
      <c r="G150" s="89">
        <f>IF(OR((1)&lt;=0,(365*AVERAGE(F65,G65)/(-G85)+365*AVERAGE(F32,G32)/G84)&lt;0),"n/m",(365*AVERAGE(F65,G65)/(-G85)+365*AVERAGE(F32,G32)/G84)/(1))</f>
        <v>146.96053454668916</v>
      </c>
      <c r="H150" s="89">
        <f>IF(OR((1)&lt;=0,(365*AVERAGE(G65,H65)/(-H85)+365*AVERAGE(G32,H32)/H84)&lt;0),"n/m",(365*AVERAGE(G65,H65)/(-H85)+365*AVERAGE(G32,H32)/H84)/(1))</f>
        <v>145.25712697807646</v>
      </c>
      <c r="I150" s="8" t="s">
        <v>480</v>
      </c>
    </row>
    <row r="151" spans="1:10" x14ac:dyDescent="0.3">
      <c r="A151" s="150" t="s">
        <v>487</v>
      </c>
      <c r="B151" s="148" t="s">
        <v>488</v>
      </c>
      <c r="C151" s="18"/>
      <c r="D151" s="89">
        <f>IF(OR((1)&lt;=0,(365*AVERAGE(C65,D65)/(-D85)+365*AVERAGE(C32,D32)/D84-365*AVERAGE(C51,D51)/(-D85))&lt;0),"n/m",(365*AVERAGE(C65,D65)/(-D85)+365*AVERAGE(C32,D32)/D84-365*AVERAGE(C51,D51)/(-D85))/(1))</f>
        <v>97.327557952605858</v>
      </c>
      <c r="E151" s="89">
        <f>IF(OR((1)&lt;=0,(365*AVERAGE(D65,E65)/(-E85)+365*AVERAGE(D32,E32)/E84-365*AVERAGE(D51,E51)/(-E85))&lt;0),"n/m",(365*AVERAGE(D65,E65)/(-E85)+365*AVERAGE(D32,E32)/E84-365*AVERAGE(D51,E51)/(-E85))/(1))</f>
        <v>113.97054065366662</v>
      </c>
      <c r="F151" s="89">
        <f>IF(OR((1)&lt;=0,(365*AVERAGE(E65,F65)/(-F85)+365*AVERAGE(E32,F32)/F84-365*AVERAGE(E51,F51)/(-F85))&lt;0),"n/m",(365*AVERAGE(E65,F65)/(-F85)+365*AVERAGE(E32,F32)/F84-365*AVERAGE(E51,F51)/(-F85))/(1))</f>
        <v>123.10632996704659</v>
      </c>
      <c r="G151" s="89">
        <f>IF(OR((1)&lt;=0,(365*AVERAGE(F65,G65)/(-G85)+365*AVERAGE(F32,G32)/G84-365*AVERAGE(F51,G51)/(-G85))&lt;0),"n/m",(365*AVERAGE(F65,G65)/(-G85)+365*AVERAGE(F32,G32)/G84-365*AVERAGE(F51,G51)/(-G85))/(1))</f>
        <v>108.89985368796259</v>
      </c>
      <c r="H151" s="89">
        <f>IF(OR((1)&lt;=0,(365*AVERAGE(G65,H65)/(-H85)+365*AVERAGE(G32,H32)/H84-365*AVERAGE(G51,H51)/(-H85))&lt;0),"n/m",(365*AVERAGE(G65,H65)/(-H85)+365*AVERAGE(G32,H32)/H84-365*AVERAGE(G51,H51)/(-H85))/(1))</f>
        <v>114.67287204684449</v>
      </c>
      <c r="I151" s="8" t="s">
        <v>480</v>
      </c>
    </row>
    <row r="152" spans="1:10" x14ac:dyDescent="0.3">
      <c r="A152" s="150" t="s">
        <v>489</v>
      </c>
      <c r="B152" s="148" t="s">
        <v>490</v>
      </c>
      <c r="C152" s="18"/>
      <c r="D152" s="87">
        <f>IF(OR((AVERAGE(C37,D37))&lt;=0,(D84)&lt;0),"n/m",(D84)/(AVERAGE(C37,D37)))</f>
        <v>0.33732156053453599</v>
      </c>
      <c r="E152" s="87">
        <f>IF(OR((AVERAGE(D37,E37))&lt;=0,(E84)&lt;0),"n/m",(E84)/(AVERAGE(D37,E37)))</f>
        <v>0.42297281053904634</v>
      </c>
      <c r="F152" s="87">
        <f>IF(OR((AVERAGE(E37,F37))&lt;=0,(F84)&lt;0),"n/m",(F84)/(AVERAGE(E37,F37)))</f>
        <v>0.47909875248597583</v>
      </c>
      <c r="G152" s="87">
        <f>IF(OR((AVERAGE(F37,G37))&lt;=0,(G84)&lt;0),"n/m",(G84)/(AVERAGE(F37,G37)))</f>
        <v>0.48362452491954855</v>
      </c>
      <c r="H152" s="87">
        <f>IF(OR((AVERAGE(G37,H37))&lt;=0,(H84)&lt;0),"n/m",(H84)/(AVERAGE(G37,H37)))</f>
        <v>0.50573556879142922</v>
      </c>
      <c r="I152" s="8" t="s">
        <v>462</v>
      </c>
    </row>
    <row r="153" spans="1:10" x14ac:dyDescent="0.3">
      <c r="A153" s="150" t="s">
        <v>491</v>
      </c>
      <c r="B153" s="148" t="s">
        <v>492</v>
      </c>
      <c r="C153" s="18"/>
      <c r="D153" s="87">
        <f>IF(OR((AVERAGE(C22,D22))&lt;=0,(D84)&lt;0),"n/m",(D84)/(AVERAGE(C22,D22)))</f>
        <v>0.58402255289253091</v>
      </c>
      <c r="E153" s="87">
        <f>IF(OR((AVERAGE(D22,E22))&lt;=0,(E84)&lt;0),"n/m",(E84)/(AVERAGE(D22,E22)))</f>
        <v>0.72840234543749571</v>
      </c>
      <c r="F153" s="87">
        <f>IF(OR((AVERAGE(E22,F22))&lt;=0,(F84)&lt;0),"n/m",(F84)/(AVERAGE(E22,F22)))</f>
        <v>0.80069529730312039</v>
      </c>
      <c r="G153" s="87">
        <f>IF(OR((AVERAGE(F22,G22))&lt;=0,(G84)&lt;0),"n/m",(G84)/(AVERAGE(F22,G22)))</f>
        <v>0.83184936052767189</v>
      </c>
      <c r="H153" s="87">
        <f>IF(OR((AVERAGE(G22,H22))&lt;=0,(H84)&lt;0),"n/m",(H84)/(AVERAGE(G22,H22)))</f>
        <v>0.92770303514995711</v>
      </c>
      <c r="I153" s="8" t="s">
        <v>462</v>
      </c>
    </row>
    <row r="154" spans="1:10" ht="22.05" customHeight="1" x14ac:dyDescent="0.3">
      <c r="A154" s="207" t="s">
        <v>493</v>
      </c>
      <c r="B154" s="205"/>
      <c r="C154" s="206"/>
      <c r="D154" s="206"/>
      <c r="E154" s="206"/>
      <c r="F154" s="206"/>
      <c r="G154" s="206"/>
      <c r="H154" s="206"/>
      <c r="I154" s="13"/>
      <c r="J154" s="13"/>
    </row>
    <row r="155" spans="1:10" x14ac:dyDescent="0.3">
      <c r="A155" s="150" t="s">
        <v>494</v>
      </c>
      <c r="B155" s="148" t="s">
        <v>495</v>
      </c>
      <c r="C155" s="18"/>
      <c r="D155" s="90">
        <f>IF(OR((D37)&lt;=0,(D62)&lt;0),"n/m",(D62)/(D37))</f>
        <v>0.46714504184305206</v>
      </c>
      <c r="E155" s="90">
        <f>IF(OR((E37)&lt;=0,(E62)&lt;0),"n/m",(E62)/(E37))</f>
        <v>0.48801207258126744</v>
      </c>
      <c r="F155" s="90">
        <f>IF(OR((F37)&lt;=0,(F62)&lt;0),"n/m",(F62)/(F37))</f>
        <v>0.52348952241922664</v>
      </c>
      <c r="G155" s="90">
        <f>IF(OR((G37)&lt;=0,(G62)&lt;0),"n/m",(G62)/(G37))</f>
        <v>0.45191223946360831</v>
      </c>
      <c r="H155" s="90">
        <f>IF(OR((H37)&lt;=0,(H62)&lt;0),"n/m",(H62)/(H37))</f>
        <v>0.35125595827177031</v>
      </c>
      <c r="I155" s="8" t="s">
        <v>412</v>
      </c>
    </row>
    <row r="156" spans="1:10" x14ac:dyDescent="0.3">
      <c r="A156" s="150" t="s">
        <v>496</v>
      </c>
      <c r="B156" s="148" t="s">
        <v>497</v>
      </c>
      <c r="C156" s="18"/>
      <c r="D156" s="87">
        <f>IF(OR((D41)&lt;=0,(D62)&lt;0),"n/m",(D62)/(D41))</f>
        <v>0.87668329756905172</v>
      </c>
      <c r="E156" s="87">
        <f>IF(OR((E41)&lt;=0,(E62)&lt;0),"n/m",(E62)/(E41))</f>
        <v>0.95317105432867721</v>
      </c>
      <c r="F156" s="87">
        <f>IF(OR((F41)&lt;=0,(F62)&lt;0),"n/m",(F62)/(F41))</f>
        <v>1.0985897415665749</v>
      </c>
      <c r="G156" s="87">
        <f>IF(OR((G41)&lt;=0,(G62)&lt;0),"n/m",(G62)/(G41))</f>
        <v>0.82452532605606788</v>
      </c>
      <c r="H156" s="87">
        <f>IF(OR((H41)&lt;=0,(H62)&lt;0),"n/m",(H62)/(H41))</f>
        <v>0.54143997582781278</v>
      </c>
      <c r="I156" s="8" t="s">
        <v>462</v>
      </c>
    </row>
    <row r="157" spans="1:10" x14ac:dyDescent="0.3">
      <c r="A157" s="150" t="s">
        <v>498</v>
      </c>
      <c r="B157" s="148" t="s">
        <v>499</v>
      </c>
      <c r="C157" s="18"/>
      <c r="D157" s="90">
        <f>IF(OR((D66+D41)&lt;=0,(D66)&lt;0),"n/m",(D66)/(D66+D41))</f>
        <v>0.37343360902882045</v>
      </c>
      <c r="E157" s="90">
        <f>IF(OR((E66+E41)&lt;=0,(E66)&lt;0),"n/m",(E66)/(E66+E41))</f>
        <v>0.39929807208366225</v>
      </c>
      <c r="F157" s="90">
        <f>IF(OR((F66+F41)&lt;=0,(F66)&lt;0),"n/m",(F66)/(F66+F41))</f>
        <v>0.39850127088453147</v>
      </c>
      <c r="G157" s="90">
        <f>IF(OR((G66+G41)&lt;=0,(G66)&lt;0),"n/m",(G66)/(G66+G41))</f>
        <v>0.31153681009483003</v>
      </c>
      <c r="H157" s="90">
        <f>IF(OR((H66+H41)&lt;=0,(H66)&lt;0),"n/m",(H66)/(H66+H41))</f>
        <v>0.18792347676351873</v>
      </c>
      <c r="I157" s="8" t="s">
        <v>412</v>
      </c>
    </row>
    <row r="158" spans="1:10" x14ac:dyDescent="0.3">
      <c r="A158" s="150" t="s">
        <v>500</v>
      </c>
      <c r="B158" s="148" t="s">
        <v>501</v>
      </c>
      <c r="C158" s="18"/>
      <c r="D158" s="90">
        <f>IF(OR((D37)&lt;=0,(D67)&lt;0),"n/m",(D67)/(D37))</f>
        <v>0.13996233662270563</v>
      </c>
      <c r="E158" s="90">
        <f>IF(OR((E37)&lt;=0,(E67)&lt;0),"n/m",(E67)/(E37))</f>
        <v>0.10374941529310935</v>
      </c>
      <c r="F158" s="90">
        <f>IF(OR((F37)&lt;=0,(F67)&lt;0),"n/m",(F67)/(F37))</f>
        <v>7.1734730719220832E-2</v>
      </c>
      <c r="G158" s="90">
        <f>IF(OR((G37)&lt;=0,(G67)&lt;0),"n/m",(G67)/(G37))</f>
        <v>0.11536675950040348</v>
      </c>
      <c r="H158" s="90">
        <f>IF(OR((H37)&lt;=0,(H67)&lt;0),"n/m",(H67)/(H37))</f>
        <v>6.9171710922452334E-2</v>
      </c>
      <c r="I158" s="8" t="s">
        <v>412</v>
      </c>
    </row>
    <row r="159" spans="1:10" x14ac:dyDescent="0.3">
      <c r="A159" s="150" t="s">
        <v>502</v>
      </c>
      <c r="B159" s="148" t="s">
        <v>503</v>
      </c>
      <c r="C159" s="18"/>
      <c r="D159" s="87">
        <f>IF(OR((D106)&lt;=0,(D108)&lt;0),"n/m",(D108)/(D106))</f>
        <v>2.6652770217618258</v>
      </c>
      <c r="E159" s="87">
        <f>IF(OR((E106)&lt;=0,(E108)&lt;0),"n/m",(E108)/(E106))</f>
        <v>2.7057478339935286</v>
      </c>
      <c r="F159" s="87">
        <f>IF(OR((F106)&lt;=0,(F108)&lt;0),"n/m",(F108)/(F106))</f>
        <v>1.4774958199074884</v>
      </c>
      <c r="G159" s="87">
        <f>IF(OR((G106)&lt;=0,(G108)&lt;0),"n/m",(G108)/(G106))</f>
        <v>1.3678290337209771</v>
      </c>
      <c r="H159" s="87">
        <f>IF(OR((H106)&lt;=0,(H108)&lt;0),"n/m",(H108)/(H106))</f>
        <v>4.4213215166047632</v>
      </c>
      <c r="I159" s="8" t="s">
        <v>462</v>
      </c>
    </row>
    <row r="160" spans="1:10" ht="22.05" customHeight="1" x14ac:dyDescent="0.3">
      <c r="A160" s="205" t="s">
        <v>504</v>
      </c>
      <c r="B160" s="207"/>
      <c r="C160" s="206"/>
      <c r="D160" s="208"/>
      <c r="E160" s="208"/>
      <c r="F160" s="208"/>
      <c r="G160" s="208"/>
      <c r="H160" s="208"/>
      <c r="I160" s="8" t="s">
        <v>462</v>
      </c>
    </row>
    <row r="161" spans="1:10" x14ac:dyDescent="0.3">
      <c r="A161" s="150" t="s">
        <v>505</v>
      </c>
      <c r="B161" s="148" t="s">
        <v>506</v>
      </c>
      <c r="C161" s="18"/>
      <c r="D161" s="90">
        <f>IF(OR((D84)&lt;=0,(D86)&lt;0),"n/m",(D86)/(D84))</f>
        <v>0.17894713739497631</v>
      </c>
      <c r="E161" s="90">
        <f>IF(OR((E84)&lt;=0,(E86)&lt;0),"n/m",(E86)/(E84))</f>
        <v>0.17966261135996409</v>
      </c>
      <c r="F161" s="90">
        <f>IF(OR((F84)&lt;=0,(F86)&lt;0),"n/m",(F86)/(F84))</f>
        <v>0.14704852458583501</v>
      </c>
      <c r="G161" s="90">
        <f>IF(OR((G84)&lt;=0,(G86)&lt;0),"n/m",(G86)/(G84))</f>
        <v>0.15942563608432631</v>
      </c>
      <c r="H161" s="90">
        <f>IF(OR((H84)&lt;=0,(H86)&lt;0),"n/m",(H86)/(H84))</f>
        <v>0.25740632547300923</v>
      </c>
      <c r="I161" s="13"/>
      <c r="J161" s="13"/>
    </row>
    <row r="162" spans="1:10" x14ac:dyDescent="0.3">
      <c r="A162" s="150" t="s">
        <v>507</v>
      </c>
      <c r="B162" s="148" t="s">
        <v>508</v>
      </c>
      <c r="C162" s="18"/>
      <c r="D162" s="90">
        <f>IF(OR((D84)&lt;=0,(D91)&lt;0),"n/m",(D91)/(D84))</f>
        <v>0.11451399971933833</v>
      </c>
      <c r="E162" s="90">
        <f>IF(OR((E84)&lt;=0,(E91)&lt;0),"n/m",(E91)/(E84))</f>
        <v>0.11847261096319517</v>
      </c>
      <c r="F162" s="90">
        <f>IF(OR((F84)&lt;=0,(F91)&lt;0),"n/m",(F91)/(F84))</f>
        <v>0.10245374767974941</v>
      </c>
      <c r="G162" s="90">
        <f>IF(OR((G84)&lt;=0,(G91)&lt;0),"n/m",(G91)/(G84))</f>
        <v>0.10002042893371189</v>
      </c>
      <c r="H162" s="90">
        <f>IF(OR((H84)&lt;=0,(H91)&lt;0),"n/m",(H91)/(H84))</f>
        <v>0.17530880023555062</v>
      </c>
      <c r="I162" s="8" t="s">
        <v>412</v>
      </c>
    </row>
    <row r="163" spans="1:10" x14ac:dyDescent="0.3">
      <c r="A163" s="150" t="s">
        <v>509</v>
      </c>
      <c r="B163" s="148" t="s">
        <v>510</v>
      </c>
      <c r="C163" s="18"/>
      <c r="D163" s="90">
        <f>IF(OR((D84)&lt;=0,(D99)&lt;0),"n/m",(D99)/(D84))</f>
        <v>8.2497529800351119E-2</v>
      </c>
      <c r="E163" s="90">
        <f>IF(OR((E84)&lt;=0,(E99)&lt;0),"n/m",(E99)/(E84))</f>
        <v>5.120493100192175E-2</v>
      </c>
      <c r="F163" s="90" t="str">
        <f>IF(OR((F84)&lt;=0,(F99)&lt;0),"n/m",(F99)/(F84))</f>
        <v>n/m</v>
      </c>
      <c r="G163" s="90">
        <f>IF(OR((G84)&lt;=0,(G99)&lt;0),"n/m",(G99)/(G84))</f>
        <v>8.2133065966830711E-3</v>
      </c>
      <c r="H163" s="90">
        <f>IF(OR((H84)&lt;=0,(H99)&lt;0),"n/m",(H99)/(H84))</f>
        <v>0.12066652759857006</v>
      </c>
      <c r="I163" s="8" t="s">
        <v>412</v>
      </c>
    </row>
    <row r="164" spans="1:10" x14ac:dyDescent="0.3">
      <c r="A164" s="150" t="s">
        <v>511</v>
      </c>
      <c r="B164" s="148" t="s">
        <v>512</v>
      </c>
      <c r="C164" s="18"/>
      <c r="D164" s="90">
        <f>IF(OR((AVERAGE(C37,D37))&lt;=0,(D99)&lt;0),"n/m",(D99)/(AVERAGE(C37,D37)))</f>
        <v>2.782819549249883E-2</v>
      </c>
      <c r="E164" s="90">
        <f>IF(OR((AVERAGE(D37,E37))&lt;=0,(E99)&lt;0),"n/m",(E99)/(AVERAGE(D37,E37)))</f>
        <v>2.1658293579340789E-2</v>
      </c>
      <c r="F164" s="90" t="str">
        <f>IF(OR((AVERAGE(E37,F37))&lt;=0,(F99)&lt;0),"n/m",(F99)/(AVERAGE(E37,F37)))</f>
        <v>n/m</v>
      </c>
      <c r="G164" s="90">
        <f>IF(OR((AVERAGE(F37,G37))&lt;=0,(G99)&lt;0),"n/m",(G99)/(AVERAGE(F37,G37)))</f>
        <v>3.9721565008394447E-3</v>
      </c>
      <c r="H164" s="90">
        <f>IF(OR((AVERAGE(G37,H37))&lt;=0,(H99)&lt;0),"n/m",(H99)/(AVERAGE(G37,H37)))</f>
        <v>6.1025354969149528E-2</v>
      </c>
      <c r="I164" s="8" t="s">
        <v>412</v>
      </c>
    </row>
    <row r="165" spans="1:10" x14ac:dyDescent="0.3">
      <c r="A165" s="150" t="s">
        <v>513</v>
      </c>
      <c r="B165" s="148" t="s">
        <v>514</v>
      </c>
      <c r="C165" s="18"/>
      <c r="D165" s="90">
        <f>IF(OR((AVERAGE(C41,D41))&lt;=0,(D99)&lt;0),"n/m",(D99)/(AVERAGE(C41,D41)))</f>
        <v>5.3114745768384881E-2</v>
      </c>
      <c r="E165" s="90">
        <f>IF(OR((AVERAGE(D41,E41))&lt;=0,(E99)&lt;0),"n/m",(E99)/(AVERAGE(D41,E41)))</f>
        <v>4.1453492679972344E-2</v>
      </c>
      <c r="F165" s="90" t="str">
        <f>IF(OR((AVERAGE(E41,F41))&lt;=0,(F99)&lt;0),"n/m",(F99)/(AVERAGE(E41,F41)))</f>
        <v>n/m</v>
      </c>
      <c r="G165" s="90">
        <f>IF(OR((AVERAGE(F41,G41))&lt;=0,(G99)&lt;0),"n/m",(G99)/(AVERAGE(F41,G41)))</f>
        <v>7.7463112901141971E-3</v>
      </c>
      <c r="H165" s="90">
        <f>IF(OR((AVERAGE(G41,H41))&lt;=0,(H99)&lt;0),"n/m",(H99)/(AVERAGE(G41,H41)))</f>
        <v>0.10175126160150023</v>
      </c>
      <c r="I165" s="8" t="s">
        <v>412</v>
      </c>
    </row>
    <row r="166" spans="1:10" x14ac:dyDescent="0.3">
      <c r="A166" s="150" t="s">
        <v>515</v>
      </c>
      <c r="B166" s="148" t="s">
        <v>516</v>
      </c>
      <c r="C166" s="18"/>
      <c r="D166" s="90">
        <f>IF(OR((AVERAGE(C70,D70))&lt;=0,(D113)&lt;0),"n/m",(D113)/(AVERAGE(C70,D70)))</f>
        <v>5.1853645860762271E-2</v>
      </c>
      <c r="E166" s="90">
        <f>IF(OR((AVERAGE(D70,E70))&lt;=0,(E113)&lt;0),"n/m",(E113)/(AVERAGE(D70,E70)))</f>
        <v>4.05309965203835E-2</v>
      </c>
      <c r="F166" s="90" t="str">
        <f>IF(OR((AVERAGE(E70,F70))&lt;=0,(F113)&lt;0),"n/m",(F113)/(AVERAGE(E70,F70)))</f>
        <v>n/m</v>
      </c>
      <c r="G166" s="90">
        <f>IF(OR((AVERAGE(F70,G70))&lt;=0,(G113)&lt;0),"n/m",(G113)/(AVERAGE(F70,G70)))</f>
        <v>1.909789097765336E-2</v>
      </c>
      <c r="H166" s="90">
        <f>IF(OR((AVERAGE(G70,H70))&lt;=0,(H113)&lt;0),"n/m",(H113)/(AVERAGE(G70,H70)))</f>
        <v>9.9291849001870353E-2</v>
      </c>
      <c r="I166" s="8" t="s">
        <v>412</v>
      </c>
    </row>
    <row r="167" spans="1:10" x14ac:dyDescent="0.3">
      <c r="A167" s="150" t="s">
        <v>517</v>
      </c>
      <c r="B167" s="148" t="s">
        <v>518</v>
      </c>
      <c r="C167" s="18"/>
      <c r="D167" s="90">
        <f>IF(OR((AVERAGE(C37,D37))&lt;=0,(D108)&lt;0),"n/m",(D108)/(AVERAGE(C37,D37)))</f>
        <v>5.7523936465569407E-2</v>
      </c>
      <c r="E167" s="90">
        <f>IF(OR((AVERAGE(D37,E37))&lt;=0,(E108)&lt;0),"n/m",(E108)/(AVERAGE(D37,E37)))</f>
        <v>6.989042461377605E-2</v>
      </c>
      <c r="F167" s="90">
        <f>IF(OR((AVERAGE(E37,F37))&lt;=0,(F108)&lt;0),"n/m",(F108)/(AVERAGE(E37,F37)))</f>
        <v>7.3024239249942391E-2</v>
      </c>
      <c r="G167" s="90">
        <f>IF(OR((AVERAGE(F37,G37))&lt;=0,(G108)&lt;0),"n/m",(G108)/(AVERAGE(F37,G37)))</f>
        <v>7.9385238924046184E-2</v>
      </c>
      <c r="H167" s="90">
        <f>IF(OR((AVERAGE(G37,H37))&lt;=0,(H108)&lt;0),"n/m",(H108)/(AVERAGE(G37,H37)))</f>
        <v>0.11870857622241335</v>
      </c>
      <c r="I167" s="8" t="s">
        <v>412</v>
      </c>
    </row>
    <row r="168" spans="1:10" ht="22.05" customHeight="1" x14ac:dyDescent="0.3">
      <c r="A168" s="205" t="s">
        <v>519</v>
      </c>
      <c r="B168" s="207"/>
      <c r="C168" s="206"/>
      <c r="D168" s="209"/>
      <c r="E168" s="209"/>
      <c r="F168" s="209"/>
      <c r="G168" s="209"/>
      <c r="H168" s="209"/>
      <c r="I168" s="8" t="s">
        <v>412</v>
      </c>
    </row>
    <row r="169" spans="1:10" x14ac:dyDescent="0.3">
      <c r="A169" s="150" t="s">
        <v>520</v>
      </c>
      <c r="B169" s="148" t="s">
        <v>521</v>
      </c>
      <c r="C169" s="18"/>
      <c r="D169" s="91">
        <f>IF(OR((D128)&lt;=0,(D41)&lt;0),"n/m",(D41)/(D128))</f>
        <v>167.71209700741193</v>
      </c>
      <c r="E169" s="91">
        <f>IF(OR((E128)&lt;=0,(E41)&lt;0),"n/m",(E41)/(E128))</f>
        <v>159.58697532246367</v>
      </c>
      <c r="F169" s="91">
        <f>IF(OR((F128)&lt;=0,(F41)&lt;0),"n/m",(F41)/(F128))</f>
        <v>146.51786922779672</v>
      </c>
      <c r="G169" s="91">
        <f>IF(OR((G128)&lt;=0,(G41)&lt;0),"n/m",(G41)/(G128))</f>
        <v>173.12082034314415</v>
      </c>
      <c r="H169" s="91">
        <f>IF(OR((H128)&lt;=0,(H41)&lt;0),"n/m",(H41)/(H128))</f>
        <v>216.07703932560804</v>
      </c>
      <c r="I169" s="8" t="s">
        <v>412</v>
      </c>
    </row>
    <row r="170" spans="1:10" x14ac:dyDescent="0.3">
      <c r="A170" s="150" t="s">
        <v>522</v>
      </c>
      <c r="B170" s="148" t="s">
        <v>523</v>
      </c>
      <c r="C170" s="18"/>
      <c r="D170" s="87">
        <f>IF(OR((D41/D128)&lt;=0,(D130)&lt;0),"n/m",(D130)/(D41/D128))</f>
        <v>0.7031096868032638</v>
      </c>
      <c r="E170" s="87">
        <f>IF(OR((E41/E128)&lt;=0,(E130)&lt;0),"n/m",(E130)/(E41/E128))</f>
        <v>0.39163597075332512</v>
      </c>
      <c r="F170" s="87">
        <f>IF(OR((F41/F128)&lt;=0,(F130)&lt;0),"n/m",(F130)/(F41/F128))</f>
        <v>0.35012794187063967</v>
      </c>
      <c r="G170" s="87">
        <f>IF(OR((G41/G128)&lt;=0,(G130)&lt;0),"n/m",(G130)/(G41/G128))</f>
        <v>0.52142775098382221</v>
      </c>
      <c r="H170" s="87">
        <f>IF(OR((H41/H128)&lt;=0,(H130)&lt;0),"n/m",(H130)/(H41/H128))</f>
        <v>0.76620820294800718</v>
      </c>
      <c r="I170" s="13"/>
      <c r="J170" s="13"/>
    </row>
    <row r="171" spans="1:10" x14ac:dyDescent="0.3">
      <c r="A171" s="150" t="s">
        <v>524</v>
      </c>
      <c r="B171" s="148" t="s">
        <v>525</v>
      </c>
      <c r="C171" s="18"/>
      <c r="D171" s="91">
        <f>IF(OR((D129)&lt;=0,(D99)&lt;0),"n/m",(D99)/(D129))</f>
        <v>8.4937471274650029</v>
      </c>
      <c r="E171" s="91">
        <f>IF(OR((E129)&lt;=0,(E99)&lt;0),"n/m",(E99)/(E129))</f>
        <v>6.7838445707817723</v>
      </c>
      <c r="F171" s="91" t="str">
        <f>IF(OR((F129)&lt;=0,(F99)&lt;0),"n/m",(F99)/(F129))</f>
        <v>n/m</v>
      </c>
      <c r="G171" s="91">
        <f>IF(OR((G129)&lt;=0,(G99)&lt;0),"n/m",(G99)/(G129))</f>
        <v>1.2380103440270365</v>
      </c>
      <c r="H171" s="91">
        <f>IF(OR((H129)&lt;=0,(H99)&lt;0),"n/m",(H99)/(H129))</f>
        <v>19.800685803443983</v>
      </c>
      <c r="I171" s="8" t="s">
        <v>441</v>
      </c>
    </row>
    <row r="172" spans="1:10" x14ac:dyDescent="0.3">
      <c r="A172" s="150" t="s">
        <v>526</v>
      </c>
      <c r="B172" s="148" t="s">
        <v>527</v>
      </c>
      <c r="C172" s="18"/>
      <c r="D172" s="87">
        <f>IF(OR((D99/D129)&lt;=0,(D130)&lt;0),"n/m",(D130)/(D99/D129))</f>
        <v>13.883154069739035</v>
      </c>
      <c r="E172" s="87">
        <f>IF(OR((E99/E129)&lt;=0,(E130)&lt;0),"n/m",(E130)/(E99/E129))</f>
        <v>9.2130648554640278</v>
      </c>
      <c r="F172" s="87" t="str">
        <f>IF(OR((F99/F129)&lt;=0,(F130)&lt;0),"n/m",(F130)/(F99/F129))</f>
        <v>n/m</v>
      </c>
      <c r="G172" s="87">
        <f>IF(OR((G99/G129)&lt;=0,(G130)&lt;0),"n/m",(G130)/(G99/G129))</f>
        <v>72.91538429829842</v>
      </c>
      <c r="H172" s="87">
        <f>IF(OR((H99/H129)&lt;=0,(H130)&lt;0),"n/m",(H130)/(H99/H129))</f>
        <v>8.3613265542147914</v>
      </c>
      <c r="I172" s="8" t="s">
        <v>462</v>
      </c>
    </row>
    <row r="173" spans="1:10" x14ac:dyDescent="0.3">
      <c r="A173" s="150" t="s">
        <v>528</v>
      </c>
      <c r="B173" s="148" t="s">
        <v>529</v>
      </c>
      <c r="C173" s="18"/>
      <c r="D173" s="90">
        <f>IF(OR((D130)&lt;=0,(D131)&lt;0),"n/m",(D131)/(D130))</f>
        <v>8.4803256445047485E-3</v>
      </c>
      <c r="E173" s="90">
        <f>IF(OR((E130)&lt;=0,(E131)&lt;0),"n/m",(E131)/(E130))</f>
        <v>1.6E-2</v>
      </c>
      <c r="F173" s="90">
        <f>IF(OR((F130)&lt;=0,(F131)&lt;0),"n/m",(F131)/(F130))</f>
        <v>0</v>
      </c>
      <c r="G173" s="90">
        <f>IF(OR((G130)&lt;=0,(G131)&lt;0),"n/m",(G131)/(G130))</f>
        <v>0</v>
      </c>
      <c r="H173" s="90">
        <f>IF(OR((H130)&lt;=0,(H131)&lt;0),"n/m",(H131)/(H130))</f>
        <v>1.2080212611741966E-2</v>
      </c>
      <c r="I173" s="8" t="s">
        <v>441</v>
      </c>
    </row>
    <row r="174" spans="1:10" x14ac:dyDescent="0.3">
      <c r="A174" s="150" t="s">
        <v>530</v>
      </c>
      <c r="B174" s="148" t="s">
        <v>531</v>
      </c>
      <c r="C174" s="18"/>
      <c r="D174" s="90">
        <f>IF(OR((D99/D129)&lt;=0,(D131)&lt;0),"n/m",(D131)/(D99/D129))</f>
        <v>0.11773366748421842</v>
      </c>
      <c r="E174" s="90">
        <f>IF(OR((E99/E129)&lt;=0,(E131)&lt;0),"n/m",(E131)/(E99/E129))</f>
        <v>0.14740903768742444</v>
      </c>
      <c r="F174" s="90" t="str">
        <f>IF(OR((F99/F129)&lt;=0,(F131)&lt;0),"n/m",(F131)/(F99/F129))</f>
        <v>n/m</v>
      </c>
      <c r="G174" s="90">
        <f>IF(OR((G99/G129)&lt;=0,(G131)&lt;0),"n/m",(G131)/(G99/G129))</f>
        <v>0</v>
      </c>
      <c r="H174" s="90">
        <f>IF(OR((H99/H129)&lt;=0,(H131)&lt;0),"n/m",(H131)/(H99/H129))</f>
        <v>0.10100660249111851</v>
      </c>
      <c r="I174" s="8" t="s">
        <v>462</v>
      </c>
    </row>
    <row r="175" spans="1:10" x14ac:dyDescent="0.3">
      <c r="A175" s="139"/>
      <c r="B175" s="139"/>
      <c r="I175" s="8" t="s">
        <v>412</v>
      </c>
    </row>
    <row r="176" spans="1:10" x14ac:dyDescent="0.3">
      <c r="A176" s="149" t="s">
        <v>9357</v>
      </c>
      <c r="B176" s="149"/>
      <c r="C176" s="92"/>
      <c r="D176" s="92"/>
      <c r="E176" s="92"/>
      <c r="F176" s="92"/>
      <c r="G176" s="92"/>
      <c r="H176" s="92"/>
      <c r="I176" s="8" t="s">
        <v>412</v>
      </c>
    </row>
    <row r="177" spans="1:10" x14ac:dyDescent="0.3">
      <c r="A177" s="149" t="s">
        <v>532</v>
      </c>
      <c r="B177" s="149"/>
      <c r="C177" s="92"/>
      <c r="D177" s="92"/>
      <c r="E177" s="92"/>
      <c r="F177" s="92"/>
      <c r="G177" s="92"/>
      <c r="H177" s="92"/>
      <c r="I177" s="13"/>
      <c r="J177" s="13"/>
    </row>
    <row r="178" spans="1:10" x14ac:dyDescent="0.3">
      <c r="A178" s="149" t="s">
        <v>533</v>
      </c>
      <c r="B178" s="149"/>
      <c r="C178" s="92"/>
      <c r="D178" s="92"/>
      <c r="E178" s="92"/>
      <c r="F178" s="92"/>
      <c r="G178" s="92"/>
      <c r="H178" s="92"/>
      <c r="I178" s="8" t="s">
        <v>462</v>
      </c>
    </row>
    <row r="179" spans="1:10" x14ac:dyDescent="0.3">
      <c r="A179" s="139"/>
      <c r="B179" s="139"/>
      <c r="I179" s="13"/>
      <c r="J179" s="13"/>
    </row>
    <row r="180" spans="1:10" x14ac:dyDescent="0.3">
      <c r="A180" s="139"/>
      <c r="B180" s="139"/>
      <c r="I180" s="8" t="s">
        <v>412</v>
      </c>
    </row>
    <row r="181" spans="1:10" x14ac:dyDescent="0.3">
      <c r="A181" s="139"/>
      <c r="B181" s="139"/>
      <c r="I181" s="8" t="s">
        <v>412</v>
      </c>
    </row>
    <row r="182" spans="1:10" x14ac:dyDescent="0.3">
      <c r="A182" s="139"/>
      <c r="B182" s="139"/>
      <c r="I182" s="8" t="s">
        <v>462</v>
      </c>
    </row>
    <row r="183" spans="1:10" x14ac:dyDescent="0.3">
      <c r="A183" s="146"/>
      <c r="B183" s="147"/>
      <c r="C183" s="13"/>
      <c r="D183" s="13"/>
      <c r="E183" s="13"/>
      <c r="F183" s="13"/>
      <c r="G183" s="13"/>
      <c r="H183" s="13"/>
      <c r="I183" s="13"/>
      <c r="J183" s="13"/>
    </row>
    <row r="184" spans="1:10" x14ac:dyDescent="0.3">
      <c r="A184" s="139"/>
      <c r="B184" s="141"/>
      <c r="C184" s="18"/>
      <c r="D184" s="25"/>
      <c r="E184" s="25"/>
      <c r="F184" s="25"/>
      <c r="G184" s="25"/>
      <c r="H184" s="25"/>
      <c r="I184" s="8"/>
    </row>
    <row r="185" spans="1:10" x14ac:dyDescent="0.3">
      <c r="A185" s="139"/>
      <c r="B185" s="141"/>
      <c r="C185" s="18"/>
      <c r="D185" s="25"/>
      <c r="E185" s="25"/>
      <c r="F185" s="25"/>
      <c r="G185" s="25"/>
      <c r="H185" s="25"/>
      <c r="I185" s="8"/>
    </row>
    <row r="186" spans="1:10" x14ac:dyDescent="0.3">
      <c r="A186" s="139"/>
      <c r="B186" s="141"/>
      <c r="C186" s="18"/>
      <c r="D186" s="26"/>
      <c r="E186" s="26"/>
      <c r="F186" s="26"/>
      <c r="G186" s="26"/>
      <c r="H186" s="26"/>
      <c r="I186" s="8"/>
    </row>
    <row r="187" spans="1:10" x14ac:dyDescent="0.3">
      <c r="A187" s="139"/>
      <c r="B187" s="141"/>
      <c r="C187" s="18"/>
      <c r="D187" s="25"/>
      <c r="E187" s="25"/>
      <c r="F187" s="25"/>
      <c r="G187" s="25"/>
      <c r="H187" s="25"/>
      <c r="I187" s="8"/>
    </row>
    <row r="188" spans="1:10" x14ac:dyDescent="0.3">
      <c r="A188" s="139"/>
      <c r="B188" s="141"/>
      <c r="C188" s="18"/>
      <c r="D188" s="28"/>
      <c r="E188" s="28"/>
      <c r="F188" s="28"/>
      <c r="G188" s="28"/>
      <c r="H188" s="28"/>
      <c r="I188" s="8"/>
    </row>
    <row r="189" spans="1:10" x14ac:dyDescent="0.3">
      <c r="A189" s="139"/>
      <c r="B189" s="141"/>
      <c r="C189" s="18"/>
      <c r="D189" s="27"/>
      <c r="E189" s="27"/>
      <c r="F189" s="27"/>
      <c r="G189" s="27"/>
      <c r="H189" s="27"/>
      <c r="I189" s="8"/>
    </row>
    <row r="190" spans="1:10" x14ac:dyDescent="0.3">
      <c r="A190" s="139"/>
      <c r="B190" s="139"/>
    </row>
    <row r="191" spans="1:10" x14ac:dyDescent="0.3">
      <c r="A191" s="142" t="s">
        <v>534</v>
      </c>
      <c r="B191" s="143"/>
      <c r="C191" s="10"/>
      <c r="D191" s="10"/>
      <c r="E191" s="10"/>
      <c r="F191" s="10"/>
      <c r="G191" s="10"/>
      <c r="H191" s="10"/>
      <c r="I191" s="10"/>
      <c r="J191" s="10"/>
    </row>
    <row r="192" spans="1:10" x14ac:dyDescent="0.3">
      <c r="A192" s="146" t="s">
        <v>535</v>
      </c>
      <c r="B192" s="147"/>
      <c r="C192" s="13"/>
      <c r="D192" s="13"/>
      <c r="E192" s="13"/>
      <c r="F192" s="13"/>
      <c r="G192" s="13"/>
      <c r="H192" s="13"/>
      <c r="I192" s="13"/>
      <c r="J192" s="13"/>
    </row>
    <row r="193" spans="1:10" x14ac:dyDescent="0.3">
      <c r="A193" s="139" t="s">
        <v>536</v>
      </c>
      <c r="B193" s="141" t="s">
        <v>537</v>
      </c>
      <c r="C193" s="29">
        <f t="shared" ref="C193:H193" si="19">IF(C37=0,"n/m",C22/C37)</f>
        <v>0.59574003963550137</v>
      </c>
      <c r="D193" s="29">
        <f t="shared" si="19"/>
        <v>0.5605247386706973</v>
      </c>
      <c r="E193" s="29">
        <f t="shared" si="19"/>
        <v>0.60104336628371169</v>
      </c>
      <c r="F193" s="29">
        <f t="shared" si="19"/>
        <v>0.5956265149678589</v>
      </c>
      <c r="G193" s="29">
        <f t="shared" si="19"/>
        <v>0.56752091692906481</v>
      </c>
      <c r="H193" s="29">
        <f t="shared" si="19"/>
        <v>0.52393111397842862</v>
      </c>
      <c r="I193" t="s">
        <v>412</v>
      </c>
    </row>
    <row r="194" spans="1:10" x14ac:dyDescent="0.3">
      <c r="A194" s="139" t="s">
        <v>538</v>
      </c>
      <c r="B194" s="141" t="s">
        <v>539</v>
      </c>
      <c r="C194" s="29">
        <f t="shared" ref="C194:H194" si="20">IF(C37=0,"n/m",C21/C37)</f>
        <v>4.9078994309708447E-2</v>
      </c>
      <c r="D194" s="29">
        <f t="shared" si="20"/>
        <v>5.6033481838681579E-2</v>
      </c>
      <c r="E194" s="29">
        <f t="shared" si="20"/>
        <v>5.3028509472835611E-3</v>
      </c>
      <c r="F194" s="29">
        <f t="shared" si="20"/>
        <v>1.4897301790364293E-2</v>
      </c>
      <c r="G194" s="29">
        <f t="shared" si="20"/>
        <v>9.6905133746642731E-3</v>
      </c>
      <c r="H194" s="29">
        <f t="shared" si="20"/>
        <v>5.4707293822715613E-3</v>
      </c>
      <c r="I194" t="s">
        <v>412</v>
      </c>
    </row>
    <row r="195" spans="1:10" x14ac:dyDescent="0.3">
      <c r="A195" s="139" t="s">
        <v>260</v>
      </c>
      <c r="B195" s="141" t="s">
        <v>540</v>
      </c>
      <c r="C195" s="29">
        <f t="shared" ref="C195:H195" si="21">IF(C37=0,"n/m",C28/C37)</f>
        <v>0.73673467270561233</v>
      </c>
      <c r="D195" s="29">
        <f t="shared" si="21"/>
        <v>0.73275793194570782</v>
      </c>
      <c r="E195" s="29">
        <f t="shared" si="21"/>
        <v>0.70113824405912939</v>
      </c>
      <c r="F195" s="29">
        <f t="shared" si="21"/>
        <v>0.71029824578359602</v>
      </c>
      <c r="G195" s="29">
        <f t="shared" si="21"/>
        <v>0.69815880758939963</v>
      </c>
      <c r="H195" s="29">
        <f t="shared" si="21"/>
        <v>0.67169235459757604</v>
      </c>
      <c r="I195" t="s">
        <v>412</v>
      </c>
    </row>
    <row r="196" spans="1:10" x14ac:dyDescent="0.3">
      <c r="A196" s="139" t="s">
        <v>541</v>
      </c>
      <c r="B196" s="141" t="s">
        <v>542</v>
      </c>
      <c r="C196" s="29">
        <f t="shared" ref="C196:H196" si="22">IF(C37=0,"n/m",C65/C37)</f>
        <v>9.7189007426187649E-2</v>
      </c>
      <c r="D196" s="29">
        <f t="shared" si="22"/>
        <v>0.11318736209268437</v>
      </c>
      <c r="E196" s="29">
        <f t="shared" si="22"/>
        <v>0.16692341815435893</v>
      </c>
      <c r="F196" s="29">
        <f t="shared" si="22"/>
        <v>0.16869294093363668</v>
      </c>
      <c r="G196" s="29">
        <f t="shared" si="22"/>
        <v>0.14635062074380864</v>
      </c>
      <c r="H196" s="29">
        <f t="shared" si="22"/>
        <v>0.14045204348681356</v>
      </c>
      <c r="I196" t="s">
        <v>412</v>
      </c>
    </row>
    <row r="197" spans="1:10" x14ac:dyDescent="0.3">
      <c r="A197" s="139" t="s">
        <v>267</v>
      </c>
      <c r="B197" s="141" t="s">
        <v>543</v>
      </c>
      <c r="C197" s="29">
        <f t="shared" ref="C197:H197" si="23">IF(C37=0,"n/m",C32/C37)</f>
        <v>1.7646136092838546E-2</v>
      </c>
      <c r="D197" s="29">
        <f t="shared" si="23"/>
        <v>1.2155978703082394E-2</v>
      </c>
      <c r="E197" s="29">
        <f t="shared" si="23"/>
        <v>1.0748684555492017E-2</v>
      </c>
      <c r="F197" s="29">
        <f t="shared" si="23"/>
        <v>8.8591134469960912E-3</v>
      </c>
      <c r="G197" s="29">
        <f t="shared" si="23"/>
        <v>6.1837434509335399E-3</v>
      </c>
      <c r="H197" s="29">
        <f t="shared" si="23"/>
        <v>1.0231885060079294E-2</v>
      </c>
      <c r="I197" t="s">
        <v>412</v>
      </c>
    </row>
    <row r="198" spans="1:10" x14ac:dyDescent="0.3">
      <c r="A198" s="139" t="s">
        <v>269</v>
      </c>
      <c r="B198" s="141" t="s">
        <v>544</v>
      </c>
      <c r="C198" s="29">
        <f t="shared" ref="C198:H198" si="24">IF(C37=0,"n/m",C33/C37)</f>
        <v>0.10132174891885111</v>
      </c>
      <c r="D198" s="29">
        <f t="shared" si="24"/>
        <v>9.3888933234321542E-2</v>
      </c>
      <c r="E198" s="29">
        <f t="shared" si="24"/>
        <v>7.2951626745572359E-2</v>
      </c>
      <c r="F198" s="29">
        <f t="shared" si="24"/>
        <v>6.8819494182806973E-2</v>
      </c>
      <c r="G198" s="29">
        <f t="shared" si="24"/>
        <v>0.13285241774236387</v>
      </c>
      <c r="H198" s="29">
        <f t="shared" si="24"/>
        <v>0.16450386051364257</v>
      </c>
      <c r="I198" t="s">
        <v>412</v>
      </c>
    </row>
    <row r="199" spans="1:10" x14ac:dyDescent="0.3">
      <c r="A199" s="139" t="s">
        <v>545</v>
      </c>
      <c r="B199" s="141" t="s">
        <v>546</v>
      </c>
      <c r="C199" s="29">
        <f t="shared" ref="C199:H199" si="25">IF(C37=0,"n/m",C34/C37)</f>
        <v>2.6849083855695608E-3</v>
      </c>
      <c r="D199" s="29">
        <f t="shared" si="25"/>
        <v>5.8477448193674916E-3</v>
      </c>
      <c r="E199" s="29">
        <f t="shared" si="25"/>
        <v>3.0081791486187303E-3</v>
      </c>
      <c r="F199" s="29">
        <f t="shared" si="25"/>
        <v>5.0104349791743573E-3</v>
      </c>
      <c r="G199" s="29">
        <f t="shared" si="25"/>
        <v>5.2907758120825064E-3</v>
      </c>
      <c r="H199" s="29">
        <f t="shared" si="25"/>
        <v>3.8981324795021202E-3</v>
      </c>
      <c r="I199" t="s">
        <v>412</v>
      </c>
    </row>
    <row r="200" spans="1:10" x14ac:dyDescent="0.3">
      <c r="A200" s="139" t="s">
        <v>275</v>
      </c>
      <c r="B200" s="141" t="s">
        <v>547</v>
      </c>
      <c r="C200" s="29">
        <f t="shared" ref="C200:H200" si="26">IF(C37=0,"n/m",C36/C37)</f>
        <v>0.26326532729438779</v>
      </c>
      <c r="D200" s="29">
        <f t="shared" si="26"/>
        <v>0.26724206805429218</v>
      </c>
      <c r="E200" s="29">
        <f t="shared" si="26"/>
        <v>0.29886175594087061</v>
      </c>
      <c r="F200" s="29">
        <f t="shared" si="26"/>
        <v>0.28970175421640393</v>
      </c>
      <c r="G200" s="29">
        <f t="shared" si="26"/>
        <v>0.3018411924106002</v>
      </c>
      <c r="H200" s="29">
        <f t="shared" si="26"/>
        <v>0.32830764540242413</v>
      </c>
      <c r="I200" t="s">
        <v>412</v>
      </c>
    </row>
    <row r="201" spans="1:10" x14ac:dyDescent="0.3">
      <c r="A201" s="139" t="s">
        <v>284</v>
      </c>
      <c r="B201" s="141" t="s">
        <v>548</v>
      </c>
      <c r="C201" s="29">
        <f t="shared" ref="C201:H201" si="27">IF(C37=0,"n/m",C41/C37)</f>
        <v>0.51442198283811924</v>
      </c>
      <c r="D201" s="29">
        <f t="shared" si="27"/>
        <v>0.53285495815694783</v>
      </c>
      <c r="E201" s="29">
        <f t="shared" si="27"/>
        <v>0.51198792741873245</v>
      </c>
      <c r="F201" s="29">
        <f t="shared" si="27"/>
        <v>0.47651047758077314</v>
      </c>
      <c r="G201" s="29">
        <f t="shared" si="27"/>
        <v>0.54808776053639152</v>
      </c>
      <c r="H201" s="29">
        <f t="shared" si="27"/>
        <v>0.64874404172822975</v>
      </c>
      <c r="I201" t="s">
        <v>412</v>
      </c>
    </row>
    <row r="202" spans="1:10" x14ac:dyDescent="0.3">
      <c r="A202" s="139" t="s">
        <v>549</v>
      </c>
      <c r="B202" s="141" t="s">
        <v>550</v>
      </c>
      <c r="C202" s="29">
        <f t="shared" ref="C202:H202" si="28">IF(C37=0,"n/m",C67/C37)</f>
        <v>0.16960046185172922</v>
      </c>
      <c r="D202" s="29">
        <f t="shared" si="28"/>
        <v>0.13996233662270563</v>
      </c>
      <c r="E202" s="29">
        <f t="shared" si="28"/>
        <v>0.10374941529310935</v>
      </c>
      <c r="F202" s="29">
        <f t="shared" si="28"/>
        <v>7.1734730719220832E-2</v>
      </c>
      <c r="G202" s="29">
        <f t="shared" si="28"/>
        <v>0.11536675950040348</v>
      </c>
      <c r="H202" s="29">
        <f t="shared" si="28"/>
        <v>6.9171710922452334E-2</v>
      </c>
      <c r="I202" t="s">
        <v>412</v>
      </c>
    </row>
    <row r="203" spans="1:10" x14ac:dyDescent="0.3">
      <c r="A203" s="139" t="s">
        <v>297</v>
      </c>
      <c r="B203" s="141" t="s">
        <v>551</v>
      </c>
      <c r="C203" s="29">
        <f t="shared" ref="C203:H203" si="29">IF(C37=0,"n/m",C48/C37)</f>
        <v>0.19515878522905028</v>
      </c>
      <c r="D203" s="29">
        <f t="shared" si="29"/>
        <v>0.1749255375643633</v>
      </c>
      <c r="E203" s="29">
        <f t="shared" si="29"/>
        <v>0.15051682051581941</v>
      </c>
      <c r="F203" s="29">
        <f t="shared" si="29"/>
        <v>0.16216063639885053</v>
      </c>
      <c r="G203" s="29">
        <f t="shared" si="29"/>
        <v>0.21904349345092264</v>
      </c>
      <c r="H203" s="29">
        <f t="shared" si="29"/>
        <v>0.17369175860336017</v>
      </c>
      <c r="I203" t="s">
        <v>412</v>
      </c>
    </row>
    <row r="204" spans="1:10" x14ac:dyDescent="0.3">
      <c r="A204" s="139" t="s">
        <v>300</v>
      </c>
      <c r="B204" s="141" t="s">
        <v>552</v>
      </c>
      <c r="C204" s="29">
        <f t="shared" ref="C204:H204" si="30">IF(C37=0,"n/m",C50/C37)</f>
        <v>8.720998239974527E-2</v>
      </c>
      <c r="D204" s="29">
        <f t="shared" si="30"/>
        <v>0.10822135531433814</v>
      </c>
      <c r="E204" s="29">
        <f t="shared" si="30"/>
        <v>9.2205062911601923E-2</v>
      </c>
      <c r="F204" s="29">
        <f t="shared" si="30"/>
        <v>0.10231583449094028</v>
      </c>
      <c r="G204" s="29">
        <f t="shared" si="30"/>
        <v>8.9564529886508398E-2</v>
      </c>
      <c r="H204" s="29">
        <f t="shared" si="30"/>
        <v>9.1372402945953432E-2</v>
      </c>
      <c r="I204" t="s">
        <v>412</v>
      </c>
    </row>
    <row r="205" spans="1:10" x14ac:dyDescent="0.3">
      <c r="A205" s="139" t="s">
        <v>553</v>
      </c>
      <c r="B205" s="141" t="s">
        <v>554</v>
      </c>
      <c r="C205" s="29">
        <f t="shared" ref="C205:H205" si="31">IF(C37=0,"n/m",C66/C37)</f>
        <v>0.36648418227143498</v>
      </c>
      <c r="D205" s="29">
        <f t="shared" si="31"/>
        <v>0.31758158908750495</v>
      </c>
      <c r="E205" s="29">
        <f t="shared" si="31"/>
        <v>0.34032817749984395</v>
      </c>
      <c r="F205" s="29">
        <f t="shared" si="31"/>
        <v>0.31569481648776743</v>
      </c>
      <c r="G205" s="29">
        <f t="shared" si="31"/>
        <v>0.24801545685114379</v>
      </c>
      <c r="H205" s="29">
        <f t="shared" si="31"/>
        <v>0.15012653655508287</v>
      </c>
      <c r="I205" t="s">
        <v>412</v>
      </c>
    </row>
    <row r="206" spans="1:10" x14ac:dyDescent="0.3">
      <c r="A206" s="139" t="s">
        <v>322</v>
      </c>
      <c r="B206" s="141" t="s">
        <v>555</v>
      </c>
      <c r="C206" s="29">
        <f t="shared" ref="C206:H206" si="32">IF(C37=0,"n/m",C61/C37)</f>
        <v>0.2904192319328307</v>
      </c>
      <c r="D206" s="29">
        <f t="shared" si="32"/>
        <v>0.29221950427868876</v>
      </c>
      <c r="E206" s="29">
        <f t="shared" si="32"/>
        <v>0.33749525206544811</v>
      </c>
      <c r="F206" s="29">
        <f t="shared" si="32"/>
        <v>0.36132888602037622</v>
      </c>
      <c r="G206" s="29">
        <f t="shared" si="32"/>
        <v>0.23286874601268565</v>
      </c>
      <c r="H206" s="29">
        <f t="shared" si="32"/>
        <v>0.17756419966841014</v>
      </c>
      <c r="I206" t="s">
        <v>412</v>
      </c>
    </row>
    <row r="207" spans="1:10" x14ac:dyDescent="0.3">
      <c r="A207" s="139" t="s">
        <v>325</v>
      </c>
      <c r="B207" s="141" t="s">
        <v>556</v>
      </c>
      <c r="C207" s="29">
        <f t="shared" ref="C207:H207" si="33">IF(C37=0,"n/m",C62/C37)</f>
        <v>0.48557801716188098</v>
      </c>
      <c r="D207" s="29">
        <f t="shared" si="33"/>
        <v>0.46714504184305206</v>
      </c>
      <c r="E207" s="29">
        <f t="shared" si="33"/>
        <v>0.48801207258126744</v>
      </c>
      <c r="F207" s="29">
        <f t="shared" si="33"/>
        <v>0.52348952241922664</v>
      </c>
      <c r="G207" s="29">
        <f t="shared" si="33"/>
        <v>0.45191223946360831</v>
      </c>
      <c r="H207" s="29">
        <f t="shared" si="33"/>
        <v>0.35125595827177031</v>
      </c>
      <c r="I207" t="s">
        <v>412</v>
      </c>
    </row>
    <row r="208" spans="1:10" x14ac:dyDescent="0.3">
      <c r="A208" s="146" t="s">
        <v>557</v>
      </c>
      <c r="B208" s="147"/>
      <c r="C208" s="13"/>
      <c r="D208" s="13"/>
      <c r="E208" s="13"/>
      <c r="F208" s="13"/>
      <c r="G208" s="13"/>
      <c r="H208" s="13"/>
      <c r="I208" s="13"/>
      <c r="J208" s="13"/>
    </row>
    <row r="209" spans="1:10" x14ac:dyDescent="0.3">
      <c r="A209" s="139" t="s">
        <v>360</v>
      </c>
      <c r="B209" s="141" t="s">
        <v>558</v>
      </c>
      <c r="C209" s="18"/>
      <c r="D209" s="29">
        <f>IF(D84=0,"n/m",D85/D84)</f>
        <v>-0.82105286260502364</v>
      </c>
      <c r="E209" s="29">
        <f>IF(E84=0,"n/m",E85/E84)</f>
        <v>-0.82033738864003591</v>
      </c>
      <c r="F209" s="29">
        <f>IF(F84=0,"n/m",F85/F84)</f>
        <v>-0.85295147541416505</v>
      </c>
      <c r="G209" s="29">
        <f>IF(G84=0,"n/m",G85/G84)</f>
        <v>-0.84057436391567375</v>
      </c>
      <c r="H209" s="29">
        <f>IF(H84=0,"n/m",H85/H84)</f>
        <v>-0.74259367452699077</v>
      </c>
      <c r="I209" t="s">
        <v>412</v>
      </c>
    </row>
    <row r="210" spans="1:10" x14ac:dyDescent="0.3">
      <c r="A210" s="139" t="s">
        <v>362</v>
      </c>
      <c r="B210" s="141" t="s">
        <v>559</v>
      </c>
      <c r="C210" s="18"/>
      <c r="D210" s="29">
        <f>IF(D84=0,"n/m",D86/D84)</f>
        <v>0.17894713739497631</v>
      </c>
      <c r="E210" s="29">
        <f>IF(E84=0,"n/m",E86/E84)</f>
        <v>0.17966261135996409</v>
      </c>
      <c r="F210" s="29">
        <f>IF(F84=0,"n/m",F86/F84)</f>
        <v>0.14704852458583501</v>
      </c>
      <c r="G210" s="29">
        <f>IF(G84=0,"n/m",G86/G84)</f>
        <v>0.15942563608432631</v>
      </c>
      <c r="H210" s="29">
        <f>IF(H84=0,"n/m",H86/H84)</f>
        <v>0.25740632547300923</v>
      </c>
      <c r="I210" t="s">
        <v>412</v>
      </c>
    </row>
    <row r="211" spans="1:10" x14ac:dyDescent="0.3">
      <c r="A211" s="139" t="s">
        <v>560</v>
      </c>
      <c r="B211" s="141" t="s">
        <v>561</v>
      </c>
      <c r="C211" s="18"/>
      <c r="D211" s="29">
        <f>IF(D84=0,"n/m",D87/D84)</f>
        <v>-4.3231120902001409E-2</v>
      </c>
      <c r="E211" s="29">
        <f>IF(E84=0,"n/m",E87/E84)</f>
        <v>-3.0129955340842837E-2</v>
      </c>
      <c r="F211" s="29">
        <f>IF(F84=0,"n/m",F87/F84)</f>
        <v>-2.7976625135662611E-2</v>
      </c>
      <c r="G211" s="29">
        <f>IF(G84=0,"n/m",G87/G84)</f>
        <v>-3.9500133020508629E-2</v>
      </c>
      <c r="H211" s="29">
        <f>IF(H84=0,"n/m",H87/H84)</f>
        <v>-5.3895327569282045E-2</v>
      </c>
      <c r="I211" t="s">
        <v>412</v>
      </c>
    </row>
    <row r="212" spans="1:10" x14ac:dyDescent="0.3">
      <c r="A212" s="139" t="s">
        <v>562</v>
      </c>
      <c r="B212" s="141" t="s">
        <v>563</v>
      </c>
      <c r="C212" s="18"/>
      <c r="D212" s="29">
        <f>IF(D84=0,"n/m",D88/D84)</f>
        <v>-1.4338176040493315E-2</v>
      </c>
      <c r="E212" s="29">
        <f>IF(E84=0,"n/m",E88/E84)</f>
        <v>-1.2939386890910414E-2</v>
      </c>
      <c r="F212" s="29">
        <f>IF(F84=0,"n/m",F88/F84)</f>
        <v>-1.3531922045642714E-2</v>
      </c>
      <c r="G212" s="29">
        <f>IF(G84=0,"n/m",G88/G84)</f>
        <v>-1.8263612107744902E-2</v>
      </c>
      <c r="H212" s="29">
        <f>IF(H84=0,"n/m",H88/H84)</f>
        <v>-1.8012559443161213E-2</v>
      </c>
      <c r="I212" t="s">
        <v>412</v>
      </c>
    </row>
    <row r="213" spans="1:10" x14ac:dyDescent="0.3">
      <c r="A213" s="139" t="s">
        <v>564</v>
      </c>
      <c r="B213" s="141" t="s">
        <v>565</v>
      </c>
      <c r="C213" s="18"/>
      <c r="D213" s="29">
        <f>IF(D84=0,"n/m",(D90+D89)/D84)</f>
        <v>-6.8638407331432835E-3</v>
      </c>
      <c r="E213" s="29">
        <f>IF(E84=0,"n/m",(E90+E89)/E84)</f>
        <v>-1.8120658165015655E-2</v>
      </c>
      <c r="F213" s="29">
        <f>IF(F84=0,"n/m",(F90+F89)/F84)</f>
        <v>-3.0862297247802647E-3</v>
      </c>
      <c r="G213" s="29">
        <f>IF(G84=0,"n/m",(G90+G89)/G84)</f>
        <v>-1.6414620223608619E-3</v>
      </c>
      <c r="H213" s="29">
        <f>IF(H84=0,"n/m",(H90+H89)/H84)</f>
        <v>-1.018963822501538E-2</v>
      </c>
      <c r="I213" t="s">
        <v>412</v>
      </c>
    </row>
    <row r="214" spans="1:10" x14ac:dyDescent="0.3">
      <c r="A214" s="139" t="s">
        <v>566</v>
      </c>
      <c r="B214" s="141" t="s">
        <v>567</v>
      </c>
      <c r="C214" s="18"/>
      <c r="D214" s="29">
        <f>IF(D84=0,"n/m",D91/D84)</f>
        <v>0.11451399971933833</v>
      </c>
      <c r="E214" s="29">
        <f>IF(E84=0,"n/m",E91/E84)</f>
        <v>0.11847261096319517</v>
      </c>
      <c r="F214" s="29">
        <f>IF(F84=0,"n/m",F91/F84)</f>
        <v>0.10245374767974941</v>
      </c>
      <c r="G214" s="29">
        <f>IF(G84=0,"n/m",G91/G84)</f>
        <v>0.10002042893371189</v>
      </c>
      <c r="H214" s="29">
        <f>IF(H84=0,"n/m",H91/H84)</f>
        <v>0.17530880023555062</v>
      </c>
      <c r="I214" t="s">
        <v>412</v>
      </c>
    </row>
    <row r="215" spans="1:10" x14ac:dyDescent="0.3">
      <c r="A215" s="139" t="s">
        <v>374</v>
      </c>
      <c r="B215" s="141" t="s">
        <v>568</v>
      </c>
      <c r="C215" s="18"/>
      <c r="D215" s="29">
        <f>IF(D84=0,"n/m",(D92+D93+D94)/D84)</f>
        <v>5.6017455116854797E-2</v>
      </c>
      <c r="E215" s="29">
        <f>IF(E84=0,"n/m",(E92+E93+E94)/E84)</f>
        <v>4.6763600141499891E-2</v>
      </c>
      <c r="F215" s="29">
        <f>IF(F84=0,"n/m",(F92+F93+F94)/F84)</f>
        <v>4.9966267757631543E-2</v>
      </c>
      <c r="G215" s="29">
        <f>IF(G84=0,"n/m",(G92+G93+G94)/G84)</f>
        <v>6.4126000441953046E-2</v>
      </c>
      <c r="H215" s="29">
        <f>IF(H84=0,"n/m",(H92+H93+H94)/H84)</f>
        <v>5.9415794093645238E-2</v>
      </c>
      <c r="I215" t="s">
        <v>412</v>
      </c>
    </row>
    <row r="216" spans="1:10" x14ac:dyDescent="0.3">
      <c r="A216" s="139" t="s">
        <v>380</v>
      </c>
      <c r="B216" s="141" t="s">
        <v>569</v>
      </c>
      <c r="C216" s="18"/>
      <c r="D216" s="29">
        <f>IF(D84=0,"n/m",D95/D84)</f>
        <v>-6.4753371320943276E-2</v>
      </c>
      <c r="E216" s="29">
        <f>IF(E84=0,"n/m",E95/E84)</f>
        <v>-6.1525660344143529E-2</v>
      </c>
      <c r="F216" s="29">
        <f>IF(F84=0,"n/m",F95/F84)</f>
        <v>-0.10375339424870077</v>
      </c>
      <c r="G216" s="29">
        <f>IF(G84=0,"n/m",G95/G84)</f>
        <v>-0.12115784127695206</v>
      </c>
      <c r="H216" s="29">
        <f>IF(H84=0,"n/m",H95/H84)</f>
        <v>-5.3835752788556672E-2</v>
      </c>
      <c r="I216" t="s">
        <v>412</v>
      </c>
    </row>
    <row r="217" spans="1:10" x14ac:dyDescent="0.3">
      <c r="A217" s="139" t="s">
        <v>570</v>
      </c>
      <c r="B217" s="141" t="s">
        <v>571</v>
      </c>
      <c r="C217" s="18"/>
      <c r="D217" s="29">
        <f>IF(D84=0,"n/m",D96/D84)</f>
        <v>0.10577808351524985</v>
      </c>
      <c r="E217" s="29">
        <f>IF(E84=0,"n/m",E96/E84)</f>
        <v>0.10371055076055154</v>
      </c>
      <c r="F217" s="29">
        <f>IF(F84=0,"n/m",F96/F84)</f>
        <v>4.8666621188680183E-2</v>
      </c>
      <c r="G217" s="29">
        <f>IF(G84=0,"n/m",G96/G84)</f>
        <v>4.2988588098712886E-2</v>
      </c>
      <c r="H217" s="29">
        <f>IF(H84=0,"n/m",H96/H84)</f>
        <v>0.18088884154063914</v>
      </c>
      <c r="I217" t="s">
        <v>412</v>
      </c>
    </row>
    <row r="218" spans="1:10" x14ac:dyDescent="0.3">
      <c r="A218" s="139" t="s">
        <v>572</v>
      </c>
      <c r="B218" s="141" t="s">
        <v>573</v>
      </c>
      <c r="C218" s="18"/>
      <c r="D218" s="29">
        <f>IF(D84=0,"n/m",-D110/D84)</f>
        <v>-2.3280553714898723E-2</v>
      </c>
      <c r="E218" s="29">
        <f>IF(E84=0,"n/m",-E110/E84)</f>
        <v>-5.250561975862978E-2</v>
      </c>
      <c r="F218" s="29">
        <f>IF(F84=0,"n/m",-F110/F84)</f>
        <v>-0.10461864038435044</v>
      </c>
      <c r="G218" s="29">
        <f>IF(G84=0,"n/m",-G110/G84)</f>
        <v>-3.4775281502029819E-2</v>
      </c>
      <c r="H218" s="29">
        <f>IF(H84=0,"n/m",-H110/H84)</f>
        <v>-6.0222313942069082E-2</v>
      </c>
      <c r="I218" t="s">
        <v>412</v>
      </c>
    </row>
    <row r="219" spans="1:10" x14ac:dyDescent="0.3">
      <c r="A219" s="139" t="s">
        <v>574</v>
      </c>
      <c r="B219" s="141" t="s">
        <v>575</v>
      </c>
      <c r="C219" s="18"/>
      <c r="D219" s="29">
        <f>IF(D84=0,"n/m",D99/D84)</f>
        <v>8.2497529800351119E-2</v>
      </c>
      <c r="E219" s="29">
        <f>IF(E84=0,"n/m",E99/E84)</f>
        <v>5.120493100192175E-2</v>
      </c>
      <c r="F219" s="29">
        <f>IF(F84=0,"n/m",F99/F84)</f>
        <v>-5.595201919567025E-2</v>
      </c>
      <c r="G219" s="29">
        <f>IF(G84=0,"n/m",G99/G84)</f>
        <v>8.2133065966830711E-3</v>
      </c>
      <c r="H219" s="29">
        <f>IF(H84=0,"n/m",H99/H84)</f>
        <v>0.12066652759857006</v>
      </c>
      <c r="I219" t="s">
        <v>412</v>
      </c>
    </row>
    <row r="220" spans="1:10" x14ac:dyDescent="0.3">
      <c r="A220" s="139"/>
      <c r="B220" s="141"/>
      <c r="C220" s="18"/>
      <c r="D220" s="29"/>
      <c r="E220" s="29"/>
      <c r="F220" s="29"/>
      <c r="G220" s="29"/>
      <c r="H220" s="29"/>
      <c r="I220" t="s">
        <v>412</v>
      </c>
    </row>
    <row r="221" spans="1:10" x14ac:dyDescent="0.3">
      <c r="A221" s="139"/>
      <c r="B221" s="139"/>
    </row>
    <row r="222" spans="1:10" x14ac:dyDescent="0.3">
      <c r="A222" s="142" t="s">
        <v>576</v>
      </c>
      <c r="B222" s="143"/>
      <c r="C222" s="10"/>
      <c r="D222" s="10"/>
      <c r="E222" s="10"/>
      <c r="F222" s="10"/>
      <c r="G222" s="10"/>
      <c r="H222" s="10"/>
      <c r="I222" s="10"/>
      <c r="J222" s="10"/>
    </row>
    <row r="223" spans="1:10" x14ac:dyDescent="0.3">
      <c r="A223" s="139" t="s">
        <v>577</v>
      </c>
      <c r="B223" s="141" t="s">
        <v>578</v>
      </c>
      <c r="C223" s="18"/>
      <c r="D223" s="30" t="s">
        <v>579</v>
      </c>
      <c r="E223" s="31">
        <f>E84-D84</f>
        <v>12936.172999999995</v>
      </c>
      <c r="F223" s="31">
        <f>F84-E84</f>
        <v>6939.958000000006</v>
      </c>
      <c r="G223" s="31">
        <f>G84-F84</f>
        <v>1054.8679999999949</v>
      </c>
      <c r="H223" s="31">
        <f>H84-G84</f>
        <v>5854.148000000001</v>
      </c>
      <c r="I223" t="s">
        <v>245</v>
      </c>
    </row>
    <row r="224" spans="1:10" x14ac:dyDescent="0.3">
      <c r="A224" s="139" t="s">
        <v>580</v>
      </c>
      <c r="B224" s="141" t="s">
        <v>581</v>
      </c>
      <c r="C224" s="18"/>
      <c r="D224" s="30" t="str">
        <f>IF(OR(C84&lt;=0,D84&lt;C84),"n/m",D84/C84-1)</f>
        <v>n/m</v>
      </c>
      <c r="E224" s="29">
        <f>IF(OR(D84&lt;=0,E84&lt;D84),"n/m",E84/D84-1)</f>
        <v>0.28678420464448506</v>
      </c>
      <c r="F224" s="29">
        <f>IF(OR(E84&lt;=0,F84&lt;E84),"n/m",F84/E84-1)</f>
        <v>0.1195640269497571</v>
      </c>
      <c r="G224" s="29">
        <f>IF(OR(F84&lt;=0,G84&lt;F84),"n/m",G84/F84-1)</f>
        <v>1.623277892508046E-2</v>
      </c>
      <c r="H224" s="29">
        <f>IF(OR(G84&lt;=0,H84&lt;G84),"n/m",H84/G84-1)</f>
        <v>8.8647247373429883E-2</v>
      </c>
      <c r="I224" t="s">
        <v>412</v>
      </c>
    </row>
    <row r="225" spans="1:9" x14ac:dyDescent="0.3">
      <c r="A225" s="139" t="s">
        <v>582</v>
      </c>
      <c r="B225" s="141" t="s">
        <v>578</v>
      </c>
      <c r="C225" s="18"/>
      <c r="D225" s="30" t="s">
        <v>579</v>
      </c>
      <c r="E225" s="31">
        <f>E86-D86</f>
        <v>2356.4199999999983</v>
      </c>
      <c r="F225" s="31">
        <f>F86-E86</f>
        <v>-872.53699999999662</v>
      </c>
      <c r="G225" s="31">
        <f>G86-F86</f>
        <v>972.48500000000058</v>
      </c>
      <c r="H225" s="31">
        <f>H86-G86</f>
        <v>7977.4110000000001</v>
      </c>
      <c r="I225" t="s">
        <v>245</v>
      </c>
    </row>
    <row r="226" spans="1:9" x14ac:dyDescent="0.3">
      <c r="A226" s="139" t="s">
        <v>583</v>
      </c>
      <c r="B226" s="141" t="s">
        <v>581</v>
      </c>
      <c r="C226" s="18"/>
      <c r="D226" s="30" t="str">
        <f>IF(OR(C86&lt;=0,D86&lt;C86),"n/m",D86/C86-1)</f>
        <v>n/m</v>
      </c>
      <c r="E226" s="29">
        <f>IF(OR(D86&lt;=0,E86&lt;D86),"n/m",E86/D86-1)</f>
        <v>0.29192907932861312</v>
      </c>
      <c r="F226" s="29" t="str">
        <f>IF(OR(E86&lt;=0,F86&lt;E86),"n/m",F86/E86-1)</f>
        <v>n/m</v>
      </c>
      <c r="G226" s="29">
        <f>IF(OR(F86&lt;=0,G86&lt;F86),"n/m",G86/F86-1)</f>
        <v>0.10176934890158051</v>
      </c>
      <c r="H226" s="29">
        <f>IF(OR(G86&lt;=0,H86&lt;G86),"n/m",H86/G86-1)</f>
        <v>0.75771409520661526</v>
      </c>
      <c r="I226" t="s">
        <v>412</v>
      </c>
    </row>
    <row r="227" spans="1:9" x14ac:dyDescent="0.3">
      <c r="A227" s="139" t="s">
        <v>584</v>
      </c>
      <c r="B227" s="141" t="s">
        <v>578</v>
      </c>
      <c r="C227" s="18"/>
      <c r="D227" s="30" t="s">
        <v>579</v>
      </c>
      <c r="E227" s="31">
        <f>E91-D91</f>
        <v>1711.1459999999979</v>
      </c>
      <c r="F227" s="31">
        <f>F91-E91</f>
        <v>-218.77199999999721</v>
      </c>
      <c r="G227" s="31">
        <f>G91-F91</f>
        <v>-52.617999999999483</v>
      </c>
      <c r="H227" s="31">
        <f>H91-G91</f>
        <v>5998.2290000000003</v>
      </c>
      <c r="I227" t="s">
        <v>245</v>
      </c>
    </row>
    <row r="228" spans="1:9" x14ac:dyDescent="0.3">
      <c r="A228" s="139" t="s">
        <v>585</v>
      </c>
      <c r="B228" s="141" t="s">
        <v>581</v>
      </c>
      <c r="C228" s="18"/>
      <c r="D228" s="30" t="str">
        <f>IF(OR(C91&lt;=0,D91&lt;C91),"n/m",D91/C91-1)</f>
        <v>n/m</v>
      </c>
      <c r="E228" s="29">
        <f>IF(OR(D91&lt;=0,E91&lt;D91),"n/m",E91/D91-1)</f>
        <v>0.33126678697858924</v>
      </c>
      <c r="F228" s="29" t="str">
        <f>IF(OR(E91&lt;=0,F91&lt;E91),"n/m",F91/E91-1)</f>
        <v>n/m</v>
      </c>
      <c r="G228" s="29" t="str">
        <f>IF(OR(F91&lt;=0,G91&lt;F91),"n/m",G91/F91-1)</f>
        <v>n/m</v>
      </c>
      <c r="H228" s="29">
        <f>IF(OR(G91&lt;=0,H91&lt;G91),"n/m",H91/G91-1)</f>
        <v>0.90810462273917358</v>
      </c>
      <c r="I228" t="s">
        <v>412</v>
      </c>
    </row>
    <row r="229" spans="1:9" x14ac:dyDescent="0.3">
      <c r="A229" s="139"/>
      <c r="B229" s="141"/>
      <c r="C229" s="18"/>
      <c r="D229" s="30"/>
      <c r="E229" s="31"/>
      <c r="F229" s="31"/>
      <c r="G229" s="31"/>
      <c r="H229" s="31"/>
      <c r="I229" t="s">
        <v>245</v>
      </c>
    </row>
    <row r="230" spans="1:9" x14ac:dyDescent="0.3">
      <c r="A230" s="139"/>
      <c r="B230" s="141"/>
      <c r="C230" s="18"/>
      <c r="D230" s="30"/>
      <c r="E230" s="29"/>
      <c r="F230" s="29"/>
      <c r="G230" s="29"/>
      <c r="H230" s="29"/>
      <c r="I230" t="s">
        <v>412</v>
      </c>
    </row>
    <row r="231" spans="1:9" x14ac:dyDescent="0.3">
      <c r="A231" s="139" t="s">
        <v>586</v>
      </c>
      <c r="B231" s="141" t="s">
        <v>578</v>
      </c>
      <c r="C231" s="18"/>
      <c r="D231" s="30" t="s">
        <v>579</v>
      </c>
      <c r="E231" s="31">
        <f>E99-D99</f>
        <v>-749.1410000000019</v>
      </c>
      <c r="F231" s="31">
        <f>F99-E99</f>
        <v>-6608.1079999999984</v>
      </c>
      <c r="G231" s="31">
        <f>G99-F99</f>
        <v>4178.3720000000012</v>
      </c>
      <c r="H231" s="31">
        <f>H99-G99</f>
        <v>8132.6629999999977</v>
      </c>
      <c r="I231" t="s">
        <v>245</v>
      </c>
    </row>
    <row r="232" spans="1:9" x14ac:dyDescent="0.3">
      <c r="A232" s="139" t="s">
        <v>587</v>
      </c>
      <c r="B232" s="141" t="s">
        <v>581</v>
      </c>
      <c r="C232" s="18"/>
      <c r="D232" s="30" t="str">
        <f>IF(OR(C99&lt;=0,D99&lt;C99),"n/m",D99/C99-1)</f>
        <v>n/m</v>
      </c>
      <c r="E232" s="29" t="str">
        <f>IF(OR(D99&lt;=0,E99&lt;D99),"n/m",E99/D99-1)</f>
        <v>n/m</v>
      </c>
      <c r="F232" s="29" t="str">
        <f>IF(OR(E99&lt;=0,F99&lt;E99),"n/m",F99/E99-1)</f>
        <v>n/m</v>
      </c>
      <c r="G232" s="29" t="str">
        <f>IF(OR(F99&lt;=0,G99&lt;F99),"n/m",G99/F99-1)</f>
        <v>n/m</v>
      </c>
      <c r="H232" s="29">
        <f>IF(OR(G99&lt;=0,H99&lt;G99),"n/m",H99/G99-1)</f>
        <v>14.993958288777888</v>
      </c>
      <c r="I232" t="s">
        <v>412</v>
      </c>
    </row>
    <row r="233" spans="1:9" x14ac:dyDescent="0.3">
      <c r="A233" s="139" t="s">
        <v>588</v>
      </c>
      <c r="B233" s="141" t="s">
        <v>578</v>
      </c>
      <c r="C233" s="18"/>
      <c r="D233" s="30" t="s">
        <v>579</v>
      </c>
      <c r="E233" s="31">
        <f>E117-D117</f>
        <v>-10093.669</v>
      </c>
      <c r="F233" s="31">
        <f>F117-E117</f>
        <v>10436.713</v>
      </c>
      <c r="G233" s="31">
        <f>G117-F117</f>
        <v>-474.68900000000031</v>
      </c>
      <c r="H233" s="31">
        <f>H117-G117</f>
        <v>4004.5869999999995</v>
      </c>
      <c r="I233" t="s">
        <v>245</v>
      </c>
    </row>
    <row r="234" spans="1:9" x14ac:dyDescent="0.3">
      <c r="A234" s="139" t="s">
        <v>589</v>
      </c>
      <c r="B234" s="141" t="s">
        <v>581</v>
      </c>
      <c r="C234" s="18"/>
      <c r="D234" s="30" t="str">
        <f>IF(OR(C117&lt;=0,D117&lt;C117),"n/m",D117/C117-1)</f>
        <v>n/m</v>
      </c>
      <c r="E234" s="29" t="str">
        <f>IF(OR(D117&lt;=0,E117&lt;D117),"n/m",E117/D117-1)</f>
        <v>n/m</v>
      </c>
      <c r="F234" s="29" t="str">
        <f>IF(OR(E117&lt;=0,F117&lt;E117),"n/m",F117/E117-1)</f>
        <v>n/m</v>
      </c>
      <c r="G234" s="29" t="str">
        <f>IF(OR(F117&lt;=0,G117&lt;F117),"n/m",G117/F117-1)</f>
        <v>n/m</v>
      </c>
      <c r="H234" s="29">
        <f>IF(OR(G117&lt;=0,H117&lt;G117),"n/m",H117/G117-1)</f>
        <v>0.66416072854585195</v>
      </c>
      <c r="I234" t="s">
        <v>412</v>
      </c>
    </row>
    <row r="235" spans="1:9" x14ac:dyDescent="0.3">
      <c r="A235" s="139" t="s">
        <v>590</v>
      </c>
      <c r="B235" s="141" t="s">
        <v>578</v>
      </c>
      <c r="C235" s="18"/>
      <c r="D235" s="31">
        <f>D37-C37</f>
        <v>8343.1630000000296</v>
      </c>
      <c r="E235" s="31">
        <f>E37-D37</f>
        <v>-1332.6840000000084</v>
      </c>
      <c r="F235" s="31">
        <f>F37-E37</f>
        <v>-1848.7589999999909</v>
      </c>
      <c r="G235" s="31">
        <f>G37-F37</f>
        <v>3672.5</v>
      </c>
      <c r="H235" s="31">
        <f>H37-G37</f>
        <v>7538.4809999999707</v>
      </c>
      <c r="I235" t="s">
        <v>245</v>
      </c>
    </row>
    <row r="236" spans="1:9" x14ac:dyDescent="0.3">
      <c r="A236" s="139" t="s">
        <v>591</v>
      </c>
      <c r="B236" s="141" t="s">
        <v>581</v>
      </c>
      <c r="C236" s="18"/>
      <c r="D236" s="29">
        <f>IF(OR(C37&lt;=0,D37&lt;C37),"n/m",D37/C37-1)</f>
        <v>6.4400341257248472E-2</v>
      </c>
      <c r="E236" s="29" t="str">
        <f>IF(OR(D37&lt;=0,E37&lt;D37),"n/m",E37/D37-1)</f>
        <v>n/m</v>
      </c>
      <c r="F236" s="29" t="str">
        <f>IF(OR(E37&lt;=0,F37&lt;E37),"n/m",F37/E37-1)</f>
        <v>n/m</v>
      </c>
      <c r="G236" s="29">
        <f>IF(OR(F37&lt;=0,G37&lt;F37),"n/m",G37/F37-1)</f>
        <v>2.726160857193749E-2</v>
      </c>
      <c r="H236" s="29">
        <f>IF(OR(G37&lt;=0,H37&lt;G37),"n/m",H37/G37-1)</f>
        <v>5.447440059473152E-2</v>
      </c>
      <c r="I236" t="s">
        <v>412</v>
      </c>
    </row>
    <row r="237" spans="1:9" x14ac:dyDescent="0.3">
      <c r="A237" s="139" t="s">
        <v>592</v>
      </c>
      <c r="B237" s="141" t="s">
        <v>578</v>
      </c>
      <c r="C237" s="18"/>
      <c r="D237" s="31">
        <f>D41-C41</f>
        <v>6833.7160000000003</v>
      </c>
      <c r="E237" s="31">
        <f>E41-D41</f>
        <v>-3559.7710000000079</v>
      </c>
      <c r="F237" s="31">
        <f>F41-E41</f>
        <v>-5725.8249999999971</v>
      </c>
      <c r="G237" s="31">
        <f>G41-F41</f>
        <v>11655.260999999999</v>
      </c>
      <c r="H237" s="31">
        <f>H41-G41</f>
        <v>18819.940000000002</v>
      </c>
      <c r="I237" t="s">
        <v>245</v>
      </c>
    </row>
    <row r="238" spans="1:9" x14ac:dyDescent="0.3">
      <c r="A238" s="139" t="s">
        <v>593</v>
      </c>
      <c r="B238" s="141" t="s">
        <v>581</v>
      </c>
      <c r="C238" s="18"/>
      <c r="D238" s="29">
        <f>IF(OR(C41&lt;=0,D41&lt;C41),"n/m",D41/C41-1)</f>
        <v>0.1025403622406087</v>
      </c>
      <c r="E238" s="29" t="str">
        <f>IF(OR(D41&lt;=0,E41&lt;D41),"n/m",E41/D41-1)</f>
        <v>n/m</v>
      </c>
      <c r="F238" s="29" t="str">
        <f>IF(OR(E41&lt;=0,F41&lt;E41),"n/m",F41/E41-1)</f>
        <v>n/m</v>
      </c>
      <c r="G238" s="29">
        <f>IF(OR(F41&lt;=0,G41&lt;F41),"n/m",G41/F41-1)</f>
        <v>0.18156796338600034</v>
      </c>
      <c r="H238" s="29">
        <f>IF(OR(G41&lt;=0,H41&lt;G41),"n/m",H41/G41-1)</f>
        <v>0.24812855494399844</v>
      </c>
      <c r="I238" t="s">
        <v>412</v>
      </c>
    </row>
    <row r="239" spans="1:9" x14ac:dyDescent="0.3">
      <c r="A239" s="139" t="s">
        <v>594</v>
      </c>
      <c r="B239" s="141" t="s">
        <v>578</v>
      </c>
      <c r="C239" s="18"/>
      <c r="D239" s="31">
        <f>D66-C66</f>
        <v>-3685.7710000000006</v>
      </c>
      <c r="E239" s="31">
        <f>E66-D66</f>
        <v>2683.0839999999953</v>
      </c>
      <c r="F239" s="31">
        <f>F66-E66</f>
        <v>-3947.6249999999927</v>
      </c>
      <c r="G239" s="31">
        <f>G66-F66</f>
        <v>-8206.4700000000012</v>
      </c>
      <c r="H239" s="31">
        <f>H66-G66</f>
        <v>-12414.706000000002</v>
      </c>
      <c r="I239" t="s">
        <v>245</v>
      </c>
    </row>
    <row r="240" spans="1:9" x14ac:dyDescent="0.3">
      <c r="A240" s="139" t="s">
        <v>595</v>
      </c>
      <c r="B240" s="141" t="s">
        <v>581</v>
      </c>
      <c r="C240" s="18"/>
      <c r="D240" s="29" t="str">
        <f>IF(OR(C66&lt;=0,D66&lt;C66),"n/m",D66/C66-1)</f>
        <v>n/m</v>
      </c>
      <c r="E240" s="29">
        <f>IF(OR(D66&lt;=0,E66&lt;D66),"n/m",E66/D66-1)</f>
        <v>6.126767318941817E-2</v>
      </c>
      <c r="F240" s="29" t="str">
        <f>IF(OR(E66&lt;=0,F66&lt;E66),"n/m",F66/E66-1)</f>
        <v>n/m</v>
      </c>
      <c r="G240" s="29" t="str">
        <f>IF(OR(F66&lt;=0,G66&lt;F66),"n/m",G66/F66-1)</f>
        <v>n/m</v>
      </c>
      <c r="H240" s="29" t="str">
        <f>IF(OR(G66&lt;=0,H66&lt;G66),"n/m",H66/G66-1)</f>
        <v>n/m</v>
      </c>
      <c r="I240" t="s">
        <v>412</v>
      </c>
    </row>
    <row r="241" spans="1:10" x14ac:dyDescent="0.3">
      <c r="A241" s="139" t="s">
        <v>596</v>
      </c>
      <c r="B241" s="141" t="s">
        <v>578</v>
      </c>
      <c r="C241" s="18"/>
      <c r="D241" s="31">
        <f>D65-C65</f>
        <v>3016.9519999999993</v>
      </c>
      <c r="E241" s="31">
        <f>E65-D65</f>
        <v>7187.4610000000011</v>
      </c>
      <c r="F241" s="31">
        <f>F65-E65</f>
        <v>-70.223000000001775</v>
      </c>
      <c r="G241" s="31">
        <f>G65-F65</f>
        <v>-2472.3339999999989</v>
      </c>
      <c r="H241" s="31">
        <f>H65-G65</f>
        <v>242.51599999999962</v>
      </c>
      <c r="I241" t="s">
        <v>245</v>
      </c>
    </row>
    <row r="242" spans="1:10" x14ac:dyDescent="0.3">
      <c r="A242" s="139" t="s">
        <v>597</v>
      </c>
      <c r="B242" s="141" t="s">
        <v>581</v>
      </c>
      <c r="C242" s="18"/>
      <c r="D242" s="29">
        <f>IF(OR(C65&lt;=0,D65&lt;C65),"n/m",D65/C65-1)</f>
        <v>0.23961207165285314</v>
      </c>
      <c r="E242" s="29">
        <f>IF(OR(D65&lt;=0,E65&lt;D65),"n/m",E65/D65-1)</f>
        <v>0.46050038515660341</v>
      </c>
      <c r="F242" s="29" t="str">
        <f>IF(OR(E65&lt;=0,F65&lt;E65),"n/m",F65/E65-1)</f>
        <v>n/m</v>
      </c>
      <c r="G242" s="29" t="str">
        <f>IF(OR(F65&lt;=0,G65&lt;F65),"n/m",G65/F65-1)</f>
        <v>n/m</v>
      </c>
      <c r="H242" s="29">
        <f>IF(OR(G65&lt;=0,H65&lt;G65),"n/m",H65/G65-1)</f>
        <v>1.1974418798824216E-2</v>
      </c>
      <c r="I242" t="s">
        <v>412</v>
      </c>
    </row>
    <row r="243" spans="1:10" x14ac:dyDescent="0.3">
      <c r="A243" s="139" t="s">
        <v>598</v>
      </c>
      <c r="B243" s="141" t="s">
        <v>578</v>
      </c>
      <c r="C243" s="18"/>
      <c r="D243" s="31">
        <f>D32-C32</f>
        <v>-609.83899999999994</v>
      </c>
      <c r="E243" s="31">
        <f>E32-D32</f>
        <v>-208.38299999999981</v>
      </c>
      <c r="F243" s="31">
        <f>F32-E32</f>
        <v>-274.42200000000003</v>
      </c>
      <c r="G243" s="31">
        <f>G32-F32</f>
        <v>-337.69800000000009</v>
      </c>
      <c r="H243" s="31">
        <f>H32-G32</f>
        <v>637.33799999999997</v>
      </c>
      <c r="I243" t="s">
        <v>245</v>
      </c>
    </row>
    <row r="244" spans="1:10" x14ac:dyDescent="0.3">
      <c r="A244" s="139" t="s">
        <v>599</v>
      </c>
      <c r="B244" s="141" t="s">
        <v>581</v>
      </c>
      <c r="C244" s="18"/>
      <c r="D244" s="29" t="str">
        <f>IF(OR(C32&lt;=0,D32&lt;C32),"n/m",D32/C32-1)</f>
        <v>n/m</v>
      </c>
      <c r="E244" s="29" t="str">
        <f>IF(OR(D32&lt;=0,E32&lt;D32),"n/m",E32/D32-1)</f>
        <v>n/m</v>
      </c>
      <c r="F244" s="29" t="str">
        <f>IF(OR(E32&lt;=0,F32&lt;E32),"n/m",F32/E32-1)</f>
        <v>n/m</v>
      </c>
      <c r="G244" s="29" t="str">
        <f>IF(OR(F32&lt;=0,G32&lt;F32),"n/m",G32/F32-1)</f>
        <v>n/m</v>
      </c>
      <c r="H244" s="29">
        <f>IF(OR(G32&lt;=0,H32&lt;G32),"n/m",H32/G32-1)</f>
        <v>0.74477821586412718</v>
      </c>
      <c r="I244" t="s">
        <v>412</v>
      </c>
    </row>
    <row r="245" spans="1:10" x14ac:dyDescent="0.3">
      <c r="A245" s="139" t="s">
        <v>600</v>
      </c>
      <c r="B245" s="141" t="s">
        <v>578</v>
      </c>
      <c r="C245" s="18"/>
      <c r="D245" s="31">
        <f>D34-C34</f>
        <v>458.53900000000004</v>
      </c>
      <c r="E245" s="31">
        <f>E34-D34</f>
        <v>-395.57000000000005</v>
      </c>
      <c r="F245" s="31">
        <f>F34-E34</f>
        <v>264.16899999999998</v>
      </c>
      <c r="G245" s="31">
        <f>G34-F34</f>
        <v>57.196000000000026</v>
      </c>
      <c r="H245" s="31">
        <f>H34-G34</f>
        <v>-163.33600000000001</v>
      </c>
      <c r="I245" t="s">
        <v>245</v>
      </c>
    </row>
    <row r="246" spans="1:10" x14ac:dyDescent="0.3">
      <c r="A246" s="139" t="s">
        <v>601</v>
      </c>
      <c r="B246" s="141" t="s">
        <v>581</v>
      </c>
      <c r="C246" s="18"/>
      <c r="D246" s="29">
        <f>IF(OR(C34&lt;=0,D34&lt;C34),"n/m",D34/C34-1)</f>
        <v>1.3182696343658185</v>
      </c>
      <c r="E246" s="29" t="str">
        <f>IF(OR(D34&lt;=0,E34&lt;D34),"n/m",E34/D34-1)</f>
        <v>n/m</v>
      </c>
      <c r="F246" s="29">
        <f>IF(OR(E34&lt;=0,F34&lt;E34),"n/m",F34/E34-1)</f>
        <v>0.64305518703612186</v>
      </c>
      <c r="G246" s="29">
        <f>IF(OR(F34&lt;=0,G34&lt;F34),"n/m",G34/F34-1)</f>
        <v>8.473832988627672E-2</v>
      </c>
      <c r="H246" s="29" t="str">
        <f>IF(OR(G34&lt;=0,H34&lt;G34),"n/m",H34/G34-1)</f>
        <v>n/m</v>
      </c>
      <c r="I246" t="s">
        <v>412</v>
      </c>
    </row>
    <row r="247" spans="1:10" x14ac:dyDescent="0.3">
      <c r="A247" s="139"/>
      <c r="B247" s="139"/>
    </row>
    <row r="248" spans="1:10" x14ac:dyDescent="0.3">
      <c r="A248" s="142" t="s">
        <v>602</v>
      </c>
      <c r="B248" s="143"/>
      <c r="C248" s="10"/>
      <c r="D248" s="10"/>
      <c r="E248" s="10"/>
      <c r="F248" s="10"/>
      <c r="G248" s="10"/>
      <c r="H248" s="10"/>
      <c r="I248" s="10"/>
      <c r="J248" s="10"/>
    </row>
    <row r="249" spans="1:10" x14ac:dyDescent="0.3">
      <c r="A249" s="139"/>
      <c r="B249" s="139"/>
    </row>
    <row r="250" spans="1:10" ht="22.05" customHeight="1" x14ac:dyDescent="0.3">
      <c r="A250" s="205" t="s">
        <v>603</v>
      </c>
      <c r="B250" s="205"/>
      <c r="C250" s="206"/>
      <c r="D250" s="206"/>
      <c r="E250" s="206"/>
      <c r="F250" s="206"/>
      <c r="G250" s="206"/>
      <c r="H250" s="206"/>
    </row>
    <row r="251" spans="1:10" x14ac:dyDescent="0.3">
      <c r="A251" s="139" t="s">
        <v>604</v>
      </c>
      <c r="B251" s="139"/>
      <c r="C251" s="93">
        <v>0</v>
      </c>
      <c r="D251" s="93">
        <v>0</v>
      </c>
      <c r="E251" s="93">
        <v>0</v>
      </c>
      <c r="F251" s="93">
        <v>0</v>
      </c>
      <c r="G251" s="93">
        <v>0</v>
      </c>
      <c r="H251" s="93">
        <v>0</v>
      </c>
    </row>
    <row r="252" spans="1:10" x14ac:dyDescent="0.3">
      <c r="A252" s="139" t="s">
        <v>605</v>
      </c>
      <c r="B252" s="139"/>
      <c r="C252" s="93">
        <v>0</v>
      </c>
      <c r="D252" s="93">
        <v>0</v>
      </c>
      <c r="E252" s="93">
        <v>0</v>
      </c>
      <c r="F252" s="93">
        <v>0</v>
      </c>
      <c r="G252" s="93">
        <v>0</v>
      </c>
      <c r="H252" s="93">
        <v>0</v>
      </c>
    </row>
    <row r="253" spans="1:10" x14ac:dyDescent="0.3">
      <c r="A253" s="139" t="s">
        <v>606</v>
      </c>
      <c r="B253" s="139"/>
      <c r="C253" s="93">
        <v>0</v>
      </c>
      <c r="D253" s="93">
        <v>0</v>
      </c>
      <c r="E253" s="93">
        <v>0</v>
      </c>
      <c r="F253" s="93">
        <v>0</v>
      </c>
      <c r="G253" s="93">
        <v>0</v>
      </c>
      <c r="H253" s="93">
        <v>0</v>
      </c>
    </row>
    <row r="254" spans="1:10" x14ac:dyDescent="0.3">
      <c r="A254" s="139" t="s">
        <v>607</v>
      </c>
      <c r="B254" s="139"/>
      <c r="C254" s="93">
        <v>0</v>
      </c>
      <c r="D254" s="93">
        <v>0</v>
      </c>
      <c r="E254" s="93">
        <v>0</v>
      </c>
      <c r="F254" s="93">
        <v>0</v>
      </c>
      <c r="G254" s="93">
        <v>0</v>
      </c>
      <c r="H254" s="93">
        <v>0</v>
      </c>
    </row>
    <row r="255" spans="1:10" x14ac:dyDescent="0.3">
      <c r="A255" s="139" t="s">
        <v>608</v>
      </c>
      <c r="B255" s="139"/>
      <c r="C255" s="93">
        <v>0</v>
      </c>
      <c r="D255" s="93">
        <v>0</v>
      </c>
      <c r="E255" s="93">
        <v>0</v>
      </c>
      <c r="F255" s="93">
        <v>0</v>
      </c>
      <c r="G255" s="93">
        <v>0</v>
      </c>
      <c r="H255" s="93">
        <v>0</v>
      </c>
    </row>
    <row r="256" spans="1:10" x14ac:dyDescent="0.3">
      <c r="A256" s="139" t="s">
        <v>609</v>
      </c>
      <c r="B256" s="139"/>
      <c r="C256" s="93">
        <v>0</v>
      </c>
      <c r="D256" s="93">
        <v>0</v>
      </c>
      <c r="E256" s="93">
        <v>0</v>
      </c>
      <c r="F256" s="93">
        <v>0</v>
      </c>
      <c r="G256" s="93">
        <v>0</v>
      </c>
      <c r="H256" s="93">
        <v>0</v>
      </c>
    </row>
    <row r="257" spans="1:8" x14ac:dyDescent="0.3">
      <c r="A257" s="139" t="s">
        <v>610</v>
      </c>
      <c r="B257" s="139"/>
      <c r="C257" s="93">
        <v>0</v>
      </c>
      <c r="D257" s="93">
        <v>0</v>
      </c>
      <c r="E257" s="93">
        <v>0</v>
      </c>
      <c r="F257" s="93">
        <v>0</v>
      </c>
      <c r="G257" s="93">
        <v>0</v>
      </c>
      <c r="H257" s="93">
        <v>0</v>
      </c>
    </row>
    <row r="258" spans="1:8" ht="34.950000000000003" customHeight="1" x14ac:dyDescent="0.3">
      <c r="A258" s="212" t="s">
        <v>762</v>
      </c>
      <c r="B258" s="212"/>
      <c r="D258">
        <v>488.56599999999997</v>
      </c>
      <c r="E258">
        <v>1430.6130000000001</v>
      </c>
      <c r="F258">
        <v>926.04700000000003</v>
      </c>
      <c r="G258">
        <v>160.28899999999999</v>
      </c>
      <c r="H258">
        <v>1345.673</v>
      </c>
    </row>
    <row r="259" spans="1:8" x14ac:dyDescent="0.3">
      <c r="A259" s="139"/>
      <c r="B259" s="139"/>
    </row>
    <row r="260" spans="1:8" x14ac:dyDescent="0.3">
      <c r="A260" s="149" t="s">
        <v>611</v>
      </c>
      <c r="B260" s="149"/>
      <c r="C260" s="92"/>
      <c r="D260" s="92"/>
      <c r="E260" s="92"/>
      <c r="F260" s="92"/>
      <c r="G260" s="92"/>
      <c r="H260" s="92"/>
    </row>
    <row r="261" spans="1:8" x14ac:dyDescent="0.3">
      <c r="A261" s="139"/>
      <c r="B261" s="139"/>
    </row>
    <row r="262" spans="1:8" x14ac:dyDescent="0.3">
      <c r="A262" s="139"/>
      <c r="B262" s="139"/>
    </row>
    <row r="263" spans="1:8" x14ac:dyDescent="0.3">
      <c r="A263" s="139"/>
      <c r="B263" s="139"/>
    </row>
    <row r="264" spans="1:8" x14ac:dyDescent="0.3">
      <c r="A264" s="139"/>
      <c r="B264" s="139"/>
    </row>
    <row r="265" spans="1:8" x14ac:dyDescent="0.3">
      <c r="A265" s="139"/>
      <c r="B265" s="139"/>
    </row>
    <row r="266" spans="1:8" x14ac:dyDescent="0.3">
      <c r="A266" s="139"/>
      <c r="B266" s="139"/>
    </row>
    <row r="267" spans="1:8" x14ac:dyDescent="0.3">
      <c r="A267" s="139"/>
      <c r="B267" s="139"/>
    </row>
    <row r="268" spans="1:8" x14ac:dyDescent="0.3">
      <c r="A268" s="139"/>
      <c r="B268" s="139"/>
    </row>
    <row r="269" spans="1:8" x14ac:dyDescent="0.3">
      <c r="A269" s="139"/>
      <c r="B269" s="139"/>
    </row>
    <row r="270" spans="1:8" x14ac:dyDescent="0.3">
      <c r="A270" s="139"/>
      <c r="B270" s="139"/>
    </row>
    <row r="271" spans="1:8" x14ac:dyDescent="0.3">
      <c r="A271" s="139"/>
      <c r="B271" s="139"/>
    </row>
    <row r="272" spans="1:8" x14ac:dyDescent="0.3">
      <c r="A272" s="139"/>
      <c r="B272" s="139"/>
    </row>
    <row r="273" spans="1:2" x14ac:dyDescent="0.3">
      <c r="A273" s="139"/>
      <c r="B273" s="139"/>
    </row>
    <row r="274" spans="1:2" x14ac:dyDescent="0.3">
      <c r="A274" s="139"/>
      <c r="B274" s="139"/>
    </row>
    <row r="275" spans="1:2" x14ac:dyDescent="0.3">
      <c r="A275" s="139"/>
      <c r="B275" s="139"/>
    </row>
    <row r="276" spans="1:2" x14ac:dyDescent="0.3">
      <c r="A276" s="139"/>
      <c r="B276" s="139"/>
    </row>
    <row r="277" spans="1:2" x14ac:dyDescent="0.3">
      <c r="A277" s="139"/>
      <c r="B277" s="139"/>
    </row>
    <row r="278" spans="1:2" x14ac:dyDescent="0.3">
      <c r="A278" s="139"/>
      <c r="B278" s="139"/>
    </row>
    <row r="279" spans="1:2" x14ac:dyDescent="0.3">
      <c r="A279" s="139"/>
      <c r="B279" s="139"/>
    </row>
    <row r="280" spans="1:2" x14ac:dyDescent="0.3">
      <c r="A280" s="139"/>
      <c r="B280" s="139"/>
    </row>
    <row r="281" spans="1:2" x14ac:dyDescent="0.3">
      <c r="A281" s="139"/>
      <c r="B281" s="139"/>
    </row>
    <row r="282" spans="1:2" x14ac:dyDescent="0.3">
      <c r="A282" s="139"/>
      <c r="B282" s="139"/>
    </row>
    <row r="283" spans="1:2" x14ac:dyDescent="0.3">
      <c r="A283" s="139"/>
      <c r="B283" s="139"/>
    </row>
    <row r="284" spans="1:2" x14ac:dyDescent="0.3">
      <c r="A284" s="139"/>
      <c r="B284" s="139"/>
    </row>
    <row r="285" spans="1:2" x14ac:dyDescent="0.3">
      <c r="A285" s="139"/>
      <c r="B285" s="139"/>
    </row>
    <row r="286" spans="1:2" x14ac:dyDescent="0.3">
      <c r="A286" s="139"/>
      <c r="B286" s="139"/>
    </row>
    <row r="287" spans="1:2" x14ac:dyDescent="0.3">
      <c r="A287" s="139"/>
      <c r="B287" s="139"/>
    </row>
    <row r="288" spans="1:2" x14ac:dyDescent="0.3">
      <c r="A288" s="139"/>
      <c r="B288" s="139"/>
    </row>
    <row r="289" spans="1:2" x14ac:dyDescent="0.3">
      <c r="A289" s="139"/>
      <c r="B289" s="139"/>
    </row>
    <row r="290" spans="1:2" x14ac:dyDescent="0.3">
      <c r="A290" s="139"/>
      <c r="B290" s="139"/>
    </row>
    <row r="291" spans="1:2" x14ac:dyDescent="0.3">
      <c r="A291" s="139"/>
      <c r="B291" s="139"/>
    </row>
    <row r="292" spans="1:2" x14ac:dyDescent="0.3">
      <c r="A292" s="139"/>
      <c r="B292" s="139"/>
    </row>
    <row r="293" spans="1:2" x14ac:dyDescent="0.3">
      <c r="A293" s="139"/>
      <c r="B293" s="139"/>
    </row>
    <row r="294" spans="1:2" x14ac:dyDescent="0.3">
      <c r="A294" s="139"/>
      <c r="B294" s="139"/>
    </row>
    <row r="295" spans="1:2" x14ac:dyDescent="0.3">
      <c r="A295" s="139"/>
      <c r="B295" s="139"/>
    </row>
    <row r="296" spans="1:2" x14ac:dyDescent="0.3">
      <c r="A296" s="139"/>
      <c r="B296" s="139"/>
    </row>
    <row r="297" spans="1:2" x14ac:dyDescent="0.3">
      <c r="A297" s="139"/>
      <c r="B297" s="139"/>
    </row>
    <row r="298" spans="1:2" x14ac:dyDescent="0.3">
      <c r="A298" s="139"/>
      <c r="B298" s="139"/>
    </row>
    <row r="299" spans="1:2" x14ac:dyDescent="0.3">
      <c r="A299" s="139"/>
      <c r="B299" s="139"/>
    </row>
    <row r="300" spans="1:2" x14ac:dyDescent="0.3">
      <c r="A300" s="139"/>
      <c r="B300" s="139"/>
    </row>
    <row r="301" spans="1:2" x14ac:dyDescent="0.3">
      <c r="A301" s="139"/>
      <c r="B301" s="139"/>
    </row>
    <row r="302" spans="1:2" x14ac:dyDescent="0.3">
      <c r="A302" s="139"/>
      <c r="B302" s="139"/>
    </row>
    <row r="303" spans="1:2" x14ac:dyDescent="0.3">
      <c r="A303" s="139"/>
      <c r="B303" s="139"/>
    </row>
    <row r="304" spans="1:2" x14ac:dyDescent="0.3">
      <c r="A304" s="139"/>
      <c r="B304" s="139"/>
    </row>
    <row r="305" spans="1:2" x14ac:dyDescent="0.3">
      <c r="A305" s="139"/>
      <c r="B305" s="139"/>
    </row>
    <row r="306" spans="1:2" x14ac:dyDescent="0.3">
      <c r="A306" s="139"/>
      <c r="B306" s="139"/>
    </row>
    <row r="307" spans="1:2" x14ac:dyDescent="0.3">
      <c r="A307" s="139"/>
      <c r="B307" s="139"/>
    </row>
    <row r="308" spans="1:2" x14ac:dyDescent="0.3">
      <c r="A308" s="139"/>
      <c r="B308" s="139"/>
    </row>
    <row r="309" spans="1:2" x14ac:dyDescent="0.3">
      <c r="A309" s="139"/>
      <c r="B309" s="139"/>
    </row>
    <row r="310" spans="1:2" x14ac:dyDescent="0.3">
      <c r="A310" s="139"/>
      <c r="B310" s="139"/>
    </row>
    <row r="311" spans="1:2" x14ac:dyDescent="0.3">
      <c r="A311" s="139"/>
      <c r="B311" s="139"/>
    </row>
    <row r="312" spans="1:2" x14ac:dyDescent="0.3">
      <c r="A312" s="139"/>
      <c r="B312" s="139"/>
    </row>
    <row r="313" spans="1:2" x14ac:dyDescent="0.3">
      <c r="A313" s="139"/>
      <c r="B313" s="139"/>
    </row>
    <row r="314" spans="1:2" x14ac:dyDescent="0.3">
      <c r="A314" s="139"/>
      <c r="B314" s="139"/>
    </row>
    <row r="315" spans="1:2" x14ac:dyDescent="0.3">
      <c r="A315" s="139"/>
      <c r="B315" s="139"/>
    </row>
    <row r="316" spans="1:2" x14ac:dyDescent="0.3">
      <c r="A316" s="139"/>
      <c r="B316" s="139"/>
    </row>
    <row r="317" spans="1:2" x14ac:dyDescent="0.3">
      <c r="A317" s="139"/>
      <c r="B317" s="139"/>
    </row>
    <row r="318" spans="1:2" x14ac:dyDescent="0.3">
      <c r="A318" s="139"/>
      <c r="B318" s="139"/>
    </row>
    <row r="319" spans="1:2" x14ac:dyDescent="0.3">
      <c r="A319" s="139"/>
      <c r="B319" s="139"/>
    </row>
    <row r="320" spans="1:2" x14ac:dyDescent="0.3">
      <c r="A320" s="139"/>
      <c r="B320" s="139"/>
    </row>
    <row r="321" spans="1:2" x14ac:dyDescent="0.3">
      <c r="A321" s="139"/>
      <c r="B321" s="139"/>
    </row>
    <row r="322" spans="1:2" x14ac:dyDescent="0.3">
      <c r="A322" s="139"/>
      <c r="B322" s="139"/>
    </row>
    <row r="323" spans="1:2" x14ac:dyDescent="0.3">
      <c r="A323" s="139"/>
      <c r="B323" s="139"/>
    </row>
    <row r="324" spans="1:2" x14ac:dyDescent="0.3">
      <c r="A324" s="139"/>
      <c r="B324" s="139"/>
    </row>
    <row r="325" spans="1:2" x14ac:dyDescent="0.3">
      <c r="A325" s="139"/>
      <c r="B325" s="139"/>
    </row>
    <row r="326" spans="1:2" x14ac:dyDescent="0.3">
      <c r="A326" s="139"/>
      <c r="B326" s="139"/>
    </row>
    <row r="327" spans="1:2" x14ac:dyDescent="0.3">
      <c r="A327" s="139"/>
      <c r="B327" s="139"/>
    </row>
    <row r="328" spans="1:2" x14ac:dyDescent="0.3">
      <c r="A328" s="139"/>
      <c r="B328" s="139"/>
    </row>
    <row r="329" spans="1:2" x14ac:dyDescent="0.3">
      <c r="A329" s="139"/>
      <c r="B329" s="139"/>
    </row>
    <row r="330" spans="1:2" x14ac:dyDescent="0.3">
      <c r="A330" s="139"/>
      <c r="B330" s="139"/>
    </row>
    <row r="331" spans="1:2" x14ac:dyDescent="0.3">
      <c r="A331" s="139"/>
      <c r="B331" s="139"/>
    </row>
    <row r="332" spans="1:2" x14ac:dyDescent="0.3">
      <c r="A332" s="139"/>
      <c r="B332" s="139"/>
    </row>
    <row r="333" spans="1:2" x14ac:dyDescent="0.3">
      <c r="A333" s="139"/>
      <c r="B333" s="139"/>
    </row>
    <row r="334" spans="1:2" x14ac:dyDescent="0.3">
      <c r="A334" s="139"/>
      <c r="B334" s="139"/>
    </row>
    <row r="335" spans="1:2" x14ac:dyDescent="0.3">
      <c r="A335" s="139"/>
      <c r="B335" s="139"/>
    </row>
    <row r="336" spans="1:2" x14ac:dyDescent="0.3">
      <c r="A336" s="139"/>
      <c r="B336" s="139"/>
    </row>
    <row r="337" spans="1:2" x14ac:dyDescent="0.3">
      <c r="A337" s="139"/>
      <c r="B337" s="139"/>
    </row>
    <row r="338" spans="1:2" x14ac:dyDescent="0.3">
      <c r="A338" s="139"/>
      <c r="B338" s="139"/>
    </row>
    <row r="339" spans="1:2" x14ac:dyDescent="0.3">
      <c r="A339" s="139"/>
      <c r="B339" s="139"/>
    </row>
    <row r="340" spans="1:2" x14ac:dyDescent="0.3">
      <c r="A340" s="139"/>
      <c r="B340" s="139"/>
    </row>
    <row r="341" spans="1:2" x14ac:dyDescent="0.3">
      <c r="A341" s="139"/>
      <c r="B341" s="139"/>
    </row>
    <row r="342" spans="1:2" x14ac:dyDescent="0.3">
      <c r="A342" s="139"/>
      <c r="B342" s="139"/>
    </row>
    <row r="343" spans="1:2" x14ac:dyDescent="0.3">
      <c r="A343" s="139"/>
      <c r="B343" s="139"/>
    </row>
    <row r="344" spans="1:2" x14ac:dyDescent="0.3">
      <c r="A344" s="139"/>
      <c r="B344" s="139"/>
    </row>
    <row r="345" spans="1:2" x14ac:dyDescent="0.3">
      <c r="A345" s="139"/>
      <c r="B345" s="139"/>
    </row>
    <row r="346" spans="1:2" x14ac:dyDescent="0.3">
      <c r="A346" s="139"/>
      <c r="B346" s="139"/>
    </row>
    <row r="347" spans="1:2" x14ac:dyDescent="0.3">
      <c r="A347" s="139"/>
      <c r="B347" s="139"/>
    </row>
    <row r="348" spans="1:2" x14ac:dyDescent="0.3">
      <c r="A348" s="139"/>
      <c r="B348" s="139"/>
    </row>
    <row r="349" spans="1:2" x14ac:dyDescent="0.3">
      <c r="A349" s="139"/>
      <c r="B349" s="139"/>
    </row>
    <row r="350" spans="1:2" x14ac:dyDescent="0.3">
      <c r="A350" s="139"/>
      <c r="B350" s="139"/>
    </row>
    <row r="351" spans="1:2" x14ac:dyDescent="0.3">
      <c r="A351" s="139"/>
      <c r="B351" s="139"/>
    </row>
    <row r="352" spans="1:2" x14ac:dyDescent="0.3">
      <c r="A352" s="139"/>
      <c r="B352" s="139"/>
    </row>
    <row r="353" spans="1:2" x14ac:dyDescent="0.3">
      <c r="A353" s="139"/>
      <c r="B353" s="139"/>
    </row>
    <row r="354" spans="1:2" x14ac:dyDescent="0.3">
      <c r="A354" s="139"/>
      <c r="B354" s="139"/>
    </row>
    <row r="355" spans="1:2" x14ac:dyDescent="0.3">
      <c r="A355" s="139"/>
      <c r="B355" s="139"/>
    </row>
    <row r="356" spans="1:2" x14ac:dyDescent="0.3">
      <c r="A356" s="139"/>
      <c r="B356" s="139"/>
    </row>
    <row r="357" spans="1:2" x14ac:dyDescent="0.3">
      <c r="A357" s="139"/>
      <c r="B357" s="139"/>
    </row>
    <row r="358" spans="1:2" x14ac:dyDescent="0.3">
      <c r="A358" s="139"/>
      <c r="B358" s="139"/>
    </row>
    <row r="359" spans="1:2" x14ac:dyDescent="0.3">
      <c r="A359" s="139"/>
      <c r="B359" s="139"/>
    </row>
    <row r="360" spans="1:2" x14ac:dyDescent="0.3">
      <c r="A360" s="139"/>
      <c r="B360" s="139"/>
    </row>
    <row r="361" spans="1:2" x14ac:dyDescent="0.3">
      <c r="A361" s="139"/>
      <c r="B361" s="139"/>
    </row>
    <row r="362" spans="1:2" x14ac:dyDescent="0.3">
      <c r="A362" s="139"/>
      <c r="B362" s="139"/>
    </row>
    <row r="363" spans="1:2" x14ac:dyDescent="0.3">
      <c r="A363" s="139"/>
      <c r="B363" s="139"/>
    </row>
    <row r="364" spans="1:2" x14ac:dyDescent="0.3">
      <c r="A364" s="139"/>
      <c r="B364" s="139"/>
    </row>
    <row r="365" spans="1:2" x14ac:dyDescent="0.3">
      <c r="A365" s="139"/>
      <c r="B365" s="139"/>
    </row>
    <row r="366" spans="1:2" x14ac:dyDescent="0.3">
      <c r="A366" s="139"/>
      <c r="B366" s="139"/>
    </row>
    <row r="367" spans="1:2" x14ac:dyDescent="0.3">
      <c r="A367" s="139"/>
      <c r="B367" s="139"/>
    </row>
    <row r="368" spans="1:2" x14ac:dyDescent="0.3">
      <c r="A368" s="139"/>
      <c r="B368" s="139"/>
    </row>
    <row r="369" spans="1:2" x14ac:dyDescent="0.3">
      <c r="A369" s="139"/>
      <c r="B369" s="139"/>
    </row>
    <row r="370" spans="1:2" x14ac:dyDescent="0.3">
      <c r="A370" s="139"/>
      <c r="B370" s="139"/>
    </row>
    <row r="371" spans="1:2" x14ac:dyDescent="0.3">
      <c r="A371" s="139"/>
      <c r="B371" s="139"/>
    </row>
    <row r="372" spans="1:2" x14ac:dyDescent="0.3">
      <c r="A372" s="139"/>
      <c r="B372" s="139"/>
    </row>
    <row r="373" spans="1:2" x14ac:dyDescent="0.3">
      <c r="A373" s="139"/>
      <c r="B373" s="139"/>
    </row>
    <row r="374" spans="1:2" x14ac:dyDescent="0.3">
      <c r="A374" s="139"/>
      <c r="B374" s="139"/>
    </row>
    <row r="375" spans="1:2" x14ac:dyDescent="0.3">
      <c r="A375" s="139"/>
      <c r="B375" s="139"/>
    </row>
    <row r="376" spans="1:2" x14ac:dyDescent="0.3">
      <c r="A376" s="139"/>
      <c r="B376" s="139"/>
    </row>
    <row r="377" spans="1:2" x14ac:dyDescent="0.3">
      <c r="A377" s="139"/>
      <c r="B377" s="139"/>
    </row>
    <row r="378" spans="1:2" x14ac:dyDescent="0.3">
      <c r="A378" s="139"/>
      <c r="B378" s="139"/>
    </row>
    <row r="379" spans="1:2" x14ac:dyDescent="0.3">
      <c r="A379" s="139"/>
      <c r="B379" s="139"/>
    </row>
    <row r="380" spans="1:2" x14ac:dyDescent="0.3">
      <c r="A380" s="139"/>
      <c r="B380" s="139"/>
    </row>
    <row r="381" spans="1:2" x14ac:dyDescent="0.3">
      <c r="A381" s="139"/>
      <c r="B381" s="139"/>
    </row>
    <row r="382" spans="1:2" x14ac:dyDescent="0.3">
      <c r="A382" s="139"/>
      <c r="B382" s="139"/>
    </row>
    <row r="383" spans="1:2" x14ac:dyDescent="0.3">
      <c r="A383" s="139"/>
      <c r="B383" s="139"/>
    </row>
    <row r="384" spans="1:2" x14ac:dyDescent="0.3">
      <c r="A384" s="139"/>
      <c r="B384" s="139"/>
    </row>
    <row r="385" spans="1:2" x14ac:dyDescent="0.3">
      <c r="A385" s="139"/>
      <c r="B385" s="139"/>
    </row>
    <row r="386" spans="1:2" x14ac:dyDescent="0.3">
      <c r="A386" s="139"/>
      <c r="B386" s="139"/>
    </row>
    <row r="387" spans="1:2" x14ac:dyDescent="0.3">
      <c r="A387" s="139"/>
      <c r="B387" s="139"/>
    </row>
    <row r="388" spans="1:2" x14ac:dyDescent="0.3">
      <c r="A388" s="139"/>
      <c r="B388" s="139"/>
    </row>
    <row r="389" spans="1:2" x14ac:dyDescent="0.3">
      <c r="A389" s="139"/>
      <c r="B389" s="139"/>
    </row>
    <row r="390" spans="1:2" x14ac:dyDescent="0.3">
      <c r="A390" s="139"/>
      <c r="B390" s="139"/>
    </row>
    <row r="391" spans="1:2" x14ac:dyDescent="0.3">
      <c r="A391" s="139"/>
      <c r="B391" s="139"/>
    </row>
    <row r="392" spans="1:2" x14ac:dyDescent="0.3">
      <c r="A392" s="139"/>
      <c r="B392" s="139"/>
    </row>
    <row r="393" spans="1:2" x14ac:dyDescent="0.3">
      <c r="A393" s="139"/>
      <c r="B393" s="139"/>
    </row>
    <row r="394" spans="1:2" x14ac:dyDescent="0.3">
      <c r="A394" s="139"/>
      <c r="B394" s="139"/>
    </row>
    <row r="395" spans="1:2" x14ac:dyDescent="0.3">
      <c r="A395" s="139"/>
      <c r="B395" s="139"/>
    </row>
    <row r="396" spans="1:2" x14ac:dyDescent="0.3">
      <c r="A396" s="139"/>
      <c r="B396" s="139"/>
    </row>
    <row r="397" spans="1:2" x14ac:dyDescent="0.3">
      <c r="A397" s="139"/>
      <c r="B397" s="139"/>
    </row>
    <row r="398" spans="1:2" x14ac:dyDescent="0.3">
      <c r="A398" s="139"/>
      <c r="B398" s="139"/>
    </row>
    <row r="399" spans="1:2" x14ac:dyDescent="0.3">
      <c r="A399" s="139"/>
      <c r="B399" s="139"/>
    </row>
    <row r="400" spans="1:2" x14ac:dyDescent="0.3">
      <c r="A400" s="139"/>
      <c r="B400" s="139"/>
    </row>
  </sheetData>
  <mergeCells count="17">
    <mergeCell ref="B6:J6"/>
    <mergeCell ref="B7:J7"/>
    <mergeCell ref="B8:J8"/>
    <mergeCell ref="B9:J9"/>
    <mergeCell ref="B10:J10"/>
    <mergeCell ref="B11:J11"/>
    <mergeCell ref="B12:J12"/>
    <mergeCell ref="B13:J13"/>
    <mergeCell ref="B14:J14"/>
    <mergeCell ref="B15:J15"/>
    <mergeCell ref="A250:H250"/>
    <mergeCell ref="A258:B258"/>
    <mergeCell ref="A137:H137"/>
    <mergeCell ref="A143:H143"/>
    <mergeCell ref="A154:H154"/>
    <mergeCell ref="A160:H160"/>
    <mergeCell ref="A168:H16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9DB"/>
  </sheetPr>
  <dimension ref="A1:J400"/>
  <sheetViews>
    <sheetView showGridLines="0" workbookViewId="0">
      <pane xSplit="2" ySplit="17" topLeftCell="C18" activePane="bottomRight" state="frozen"/>
      <selection pane="topRight"/>
      <selection pane="bottomLeft"/>
      <selection pane="bottomRight" activeCell="C18" sqref="C18"/>
    </sheetView>
  </sheetViews>
  <sheetFormatPr defaultColWidth="8.6640625" defaultRowHeight="14.4" x14ac:dyDescent="0.3"/>
  <cols>
    <col min="1" max="1" width="58" customWidth="1"/>
    <col min="2" max="2" width="46" customWidth="1"/>
    <col min="3" max="8" width="11" customWidth="1"/>
    <col min="9" max="9" width="9" customWidth="1"/>
    <col min="10" max="10" width="62" customWidth="1"/>
  </cols>
  <sheetData>
    <row r="1" spans="1:10" ht="18" x14ac:dyDescent="0.35">
      <c r="A1" s="138" t="s">
        <v>763</v>
      </c>
      <c r="B1" s="139"/>
    </row>
    <row r="2" spans="1:10" x14ac:dyDescent="0.3">
      <c r="A2" s="140" t="s">
        <v>764</v>
      </c>
      <c r="B2" s="139"/>
    </row>
    <row r="3" spans="1:10" x14ac:dyDescent="0.3">
      <c r="A3" s="141" t="s">
        <v>9355</v>
      </c>
      <c r="B3" s="139"/>
    </row>
    <row r="4" spans="1:10" x14ac:dyDescent="0.3">
      <c r="A4" s="139"/>
      <c r="B4" s="139"/>
    </row>
    <row r="5" spans="1:10" x14ac:dyDescent="0.3">
      <c r="A5" s="142" t="s">
        <v>217</v>
      </c>
      <c r="B5" s="143"/>
      <c r="C5" s="10"/>
      <c r="D5" s="10"/>
      <c r="E5" s="10"/>
      <c r="F5" s="10"/>
      <c r="G5" s="10"/>
      <c r="H5" s="10"/>
      <c r="I5" s="10"/>
      <c r="J5" s="10"/>
    </row>
    <row r="6" spans="1:10" ht="15" customHeight="1" x14ac:dyDescent="0.3">
      <c r="A6" s="144" t="s">
        <v>1</v>
      </c>
      <c r="B6" s="210" t="s">
        <v>765</v>
      </c>
      <c r="C6" s="211"/>
      <c r="D6" s="211"/>
      <c r="E6" s="211"/>
      <c r="F6" s="211"/>
      <c r="G6" s="211"/>
      <c r="H6" s="211"/>
      <c r="I6" s="211"/>
      <c r="J6" s="211"/>
    </row>
    <row r="7" spans="1:10" ht="15" customHeight="1" x14ac:dyDescent="0.3">
      <c r="A7" s="144" t="s">
        <v>219</v>
      </c>
      <c r="B7" s="210" t="s">
        <v>106</v>
      </c>
      <c r="C7" s="211"/>
      <c r="D7" s="211"/>
      <c r="E7" s="211"/>
      <c r="F7" s="211"/>
      <c r="G7" s="211"/>
      <c r="H7" s="211"/>
      <c r="I7" s="211"/>
      <c r="J7" s="211"/>
    </row>
    <row r="8" spans="1:10" ht="15" customHeight="1" x14ac:dyDescent="0.3">
      <c r="A8" s="144" t="s">
        <v>220</v>
      </c>
      <c r="B8" s="210" t="s">
        <v>766</v>
      </c>
      <c r="C8" s="211"/>
      <c r="D8" s="211"/>
      <c r="E8" s="211"/>
      <c r="F8" s="211"/>
      <c r="G8" s="211"/>
      <c r="H8" s="211"/>
      <c r="I8" s="211"/>
      <c r="J8" s="211"/>
    </row>
    <row r="9" spans="1:10" ht="15" customHeight="1" x14ac:dyDescent="0.3">
      <c r="A9" s="144" t="s">
        <v>222</v>
      </c>
      <c r="B9" s="210" t="s">
        <v>223</v>
      </c>
      <c r="C9" s="211"/>
      <c r="D9" s="211"/>
      <c r="E9" s="211"/>
      <c r="F9" s="211"/>
      <c r="G9" s="211"/>
      <c r="H9" s="211"/>
      <c r="I9" s="211"/>
      <c r="J9" s="211"/>
    </row>
    <row r="10" spans="1:10" ht="15" customHeight="1" x14ac:dyDescent="0.3">
      <c r="A10" s="144" t="s">
        <v>224</v>
      </c>
      <c r="B10" s="210" t="s">
        <v>617</v>
      </c>
      <c r="C10" s="211"/>
      <c r="D10" s="211"/>
      <c r="E10" s="211"/>
      <c r="F10" s="211"/>
      <c r="G10" s="211"/>
      <c r="H10" s="211"/>
      <c r="I10" s="211"/>
      <c r="J10" s="211"/>
    </row>
    <row r="11" spans="1:10" ht="15" customHeight="1" x14ac:dyDescent="0.3">
      <c r="A11" s="144" t="s">
        <v>226</v>
      </c>
      <c r="B11" s="210" t="s">
        <v>694</v>
      </c>
      <c r="C11" s="211"/>
      <c r="D11" s="211"/>
      <c r="E11" s="211"/>
      <c r="F11" s="211"/>
      <c r="G11" s="211"/>
      <c r="H11" s="211"/>
      <c r="I11" s="211"/>
      <c r="J11" s="211"/>
    </row>
    <row r="12" spans="1:10" ht="15" customHeight="1" x14ac:dyDescent="0.3">
      <c r="A12" s="144" t="s">
        <v>228</v>
      </c>
      <c r="B12" s="210" t="s">
        <v>619</v>
      </c>
      <c r="C12" s="211"/>
      <c r="D12" s="211"/>
      <c r="E12" s="211"/>
      <c r="F12" s="211"/>
      <c r="G12" s="211"/>
      <c r="H12" s="211"/>
      <c r="I12" s="211"/>
      <c r="J12" s="211"/>
    </row>
    <row r="13" spans="1:10" ht="27.75" customHeight="1" x14ac:dyDescent="0.3">
      <c r="A13" s="144" t="s">
        <v>230</v>
      </c>
      <c r="B13" s="210" t="s">
        <v>231</v>
      </c>
      <c r="C13" s="211"/>
      <c r="D13" s="211"/>
      <c r="E13" s="211"/>
      <c r="F13" s="211"/>
      <c r="G13" s="211"/>
      <c r="H13" s="211"/>
      <c r="I13" s="211"/>
      <c r="J13" s="211"/>
    </row>
    <row r="14" spans="1:10" ht="27.75" customHeight="1" x14ac:dyDescent="0.3">
      <c r="A14" s="144" t="s">
        <v>232</v>
      </c>
      <c r="B14" s="210" t="s">
        <v>233</v>
      </c>
      <c r="C14" s="211"/>
      <c r="D14" s="211"/>
      <c r="E14" s="211"/>
      <c r="F14" s="211"/>
      <c r="G14" s="211"/>
      <c r="H14" s="211"/>
      <c r="I14" s="211"/>
      <c r="J14" s="211"/>
    </row>
    <row r="15" spans="1:10" ht="27.75" customHeight="1" x14ac:dyDescent="0.3">
      <c r="A15" s="144" t="s">
        <v>234</v>
      </c>
      <c r="B15" s="210" t="s">
        <v>235</v>
      </c>
      <c r="C15" s="211"/>
      <c r="D15" s="211"/>
      <c r="E15" s="211"/>
      <c r="F15" s="211"/>
      <c r="G15" s="211"/>
      <c r="H15" s="211"/>
      <c r="I15" s="211"/>
      <c r="J15" s="211"/>
    </row>
    <row r="16" spans="1:10" x14ac:dyDescent="0.3">
      <c r="A16" s="139"/>
      <c r="B16" s="139"/>
    </row>
    <row r="17" spans="1:10" x14ac:dyDescent="0.3">
      <c r="A17" s="145" t="s">
        <v>236</v>
      </c>
      <c r="B17" s="145" t="s">
        <v>237</v>
      </c>
      <c r="C17" s="11" t="s">
        <v>238</v>
      </c>
      <c r="D17" s="11" t="s">
        <v>20</v>
      </c>
      <c r="E17" s="11" t="s">
        <v>26</v>
      </c>
      <c r="F17" s="11" t="s">
        <v>27</v>
      </c>
      <c r="G17" s="11" t="s">
        <v>28</v>
      </c>
      <c r="H17" s="11" t="s">
        <v>29</v>
      </c>
      <c r="I17" s="11" t="s">
        <v>239</v>
      </c>
      <c r="J17" s="11" t="s">
        <v>240</v>
      </c>
    </row>
    <row r="18" spans="1:10" x14ac:dyDescent="0.3">
      <c r="A18" s="142" t="s">
        <v>241</v>
      </c>
      <c r="B18" s="143"/>
      <c r="C18" s="10"/>
      <c r="D18" s="10"/>
      <c r="E18" s="10"/>
      <c r="F18" s="10"/>
      <c r="G18" s="10"/>
      <c r="H18" s="10"/>
      <c r="I18" s="10"/>
      <c r="J18" s="10"/>
    </row>
    <row r="19" spans="1:10" x14ac:dyDescent="0.3">
      <c r="A19" s="146" t="s">
        <v>242</v>
      </c>
      <c r="B19" s="147"/>
      <c r="C19" s="13"/>
      <c r="D19" s="13"/>
      <c r="E19" s="13"/>
      <c r="F19" s="13"/>
      <c r="G19" s="13"/>
      <c r="H19" s="13"/>
      <c r="I19" s="13"/>
      <c r="J19" s="13"/>
    </row>
    <row r="20" spans="1:10" x14ac:dyDescent="0.3">
      <c r="A20" s="139" t="s">
        <v>243</v>
      </c>
      <c r="B20" s="141" t="s">
        <v>767</v>
      </c>
      <c r="C20" s="14">
        <v>44297.940999999999</v>
      </c>
      <c r="D20" s="14">
        <v>44215.538999999997</v>
      </c>
      <c r="E20" s="14">
        <v>56784.84</v>
      </c>
      <c r="F20" s="14">
        <v>62354.608</v>
      </c>
      <c r="G20" s="14">
        <v>65995.597999999998</v>
      </c>
      <c r="H20" s="14">
        <v>62836.212</v>
      </c>
      <c r="I20" s="8" t="s">
        <v>245</v>
      </c>
    </row>
    <row r="21" spans="1:10" x14ac:dyDescent="0.3">
      <c r="A21" s="139" t="s">
        <v>246</v>
      </c>
      <c r="B21" s="141" t="s">
        <v>768</v>
      </c>
      <c r="C21" s="14">
        <v>871.38599999999997</v>
      </c>
      <c r="D21" s="14">
        <v>2854.2930000000001</v>
      </c>
      <c r="E21" s="14">
        <v>15352.8</v>
      </c>
      <c r="F21" s="14">
        <v>1676.796</v>
      </c>
      <c r="G21" s="14">
        <v>471.17399999999998</v>
      </c>
      <c r="H21" s="14">
        <v>125.70399999999999</v>
      </c>
      <c r="I21" s="8" t="s">
        <v>245</v>
      </c>
    </row>
    <row r="22" spans="1:10" x14ac:dyDescent="0.3">
      <c r="A22" s="139" t="s">
        <v>248</v>
      </c>
      <c r="B22" s="141" t="s">
        <v>249</v>
      </c>
      <c r="C22" s="15">
        <f t="shared" ref="C22:H22" si="0">C20-C21</f>
        <v>43426.555</v>
      </c>
      <c r="D22" s="15">
        <f t="shared" si="0"/>
        <v>41361.245999999999</v>
      </c>
      <c r="E22" s="15">
        <f t="shared" si="0"/>
        <v>41432.039999999994</v>
      </c>
      <c r="F22" s="15">
        <f t="shared" si="0"/>
        <v>60677.811999999998</v>
      </c>
      <c r="G22" s="15">
        <f t="shared" si="0"/>
        <v>65524.423999999999</v>
      </c>
      <c r="H22" s="15">
        <f t="shared" si="0"/>
        <v>62710.508000000002</v>
      </c>
      <c r="I22" s="8" t="s">
        <v>245</v>
      </c>
    </row>
    <row r="23" spans="1:10" x14ac:dyDescent="0.3">
      <c r="A23" s="139" t="s">
        <v>250</v>
      </c>
      <c r="B23" s="141" t="s">
        <v>769</v>
      </c>
      <c r="C23" s="14">
        <v>0</v>
      </c>
      <c r="D23" s="14">
        <v>0</v>
      </c>
      <c r="E23" s="14">
        <v>0</v>
      </c>
      <c r="F23" s="14">
        <v>0</v>
      </c>
      <c r="G23" s="14">
        <v>0</v>
      </c>
      <c r="H23" s="14">
        <v>0</v>
      </c>
      <c r="I23" s="8" t="s">
        <v>245</v>
      </c>
    </row>
    <row r="24" spans="1:10" x14ac:dyDescent="0.3">
      <c r="A24" s="139" t="s">
        <v>252</v>
      </c>
      <c r="B24" s="141" t="s">
        <v>770</v>
      </c>
      <c r="C24" s="14">
        <v>9.0229999999999997</v>
      </c>
      <c r="D24" s="14">
        <v>6.0170000000000003</v>
      </c>
      <c r="E24" s="14">
        <v>10.414999999999999</v>
      </c>
      <c r="F24" s="14">
        <v>6.9459999999999997</v>
      </c>
      <c r="G24" s="14">
        <v>84.81</v>
      </c>
      <c r="H24" s="14">
        <v>62.426000000000002</v>
      </c>
      <c r="I24" s="8" t="s">
        <v>245</v>
      </c>
    </row>
    <row r="25" spans="1:10" x14ac:dyDescent="0.3">
      <c r="A25" s="139" t="s">
        <v>254</v>
      </c>
      <c r="B25" s="141" t="s">
        <v>771</v>
      </c>
      <c r="C25" s="14">
        <v>0</v>
      </c>
      <c r="D25" s="14">
        <v>0</v>
      </c>
      <c r="E25" s="14">
        <v>0</v>
      </c>
      <c r="F25" s="14">
        <v>0</v>
      </c>
      <c r="G25" s="14">
        <v>0</v>
      </c>
      <c r="H25" s="14">
        <v>0</v>
      </c>
      <c r="I25" s="8" t="s">
        <v>245</v>
      </c>
    </row>
    <row r="26" spans="1:10" x14ac:dyDescent="0.3">
      <c r="A26" s="139" t="s">
        <v>256</v>
      </c>
      <c r="B26" s="141" t="s">
        <v>772</v>
      </c>
      <c r="C26" s="14">
        <v>5020</v>
      </c>
      <c r="D26" s="14">
        <v>5020</v>
      </c>
      <c r="E26" s="14">
        <v>5020</v>
      </c>
      <c r="F26" s="14">
        <v>5030</v>
      </c>
      <c r="G26" s="14">
        <v>6322</v>
      </c>
      <c r="H26" s="14">
        <v>20371.11</v>
      </c>
      <c r="I26" s="8" t="s">
        <v>245</v>
      </c>
    </row>
    <row r="27" spans="1:10" x14ac:dyDescent="0.3">
      <c r="A27" s="139" t="s">
        <v>258</v>
      </c>
      <c r="B27" s="141" t="s">
        <v>773</v>
      </c>
      <c r="C27" s="14">
        <v>75.616</v>
      </c>
      <c r="D27" s="14">
        <v>74.305999999999997</v>
      </c>
      <c r="E27" s="14">
        <v>76.965999999999994</v>
      </c>
      <c r="F27" s="14">
        <v>76.489999999999995</v>
      </c>
      <c r="G27" s="14">
        <v>95.436999999999998</v>
      </c>
      <c r="H27" s="14">
        <v>83.918999999999997</v>
      </c>
      <c r="I27" s="8" t="s">
        <v>245</v>
      </c>
    </row>
    <row r="28" spans="1:10" x14ac:dyDescent="0.3">
      <c r="A28" s="144" t="s">
        <v>260</v>
      </c>
      <c r="B28" s="141" t="s">
        <v>261</v>
      </c>
      <c r="C28" s="16">
        <f t="shared" ref="C28:H28" si="1">C20+C23+C24+C25+C26+C27</f>
        <v>49402.58</v>
      </c>
      <c r="D28" s="16">
        <f t="shared" si="1"/>
        <v>49315.861999999994</v>
      </c>
      <c r="E28" s="16">
        <f t="shared" si="1"/>
        <v>61892.220999999998</v>
      </c>
      <c r="F28" s="16">
        <f t="shared" si="1"/>
        <v>67468.044000000009</v>
      </c>
      <c r="G28" s="16">
        <f t="shared" si="1"/>
        <v>72497.845000000001</v>
      </c>
      <c r="H28" s="16">
        <f t="shared" si="1"/>
        <v>83353.666999999987</v>
      </c>
      <c r="I28" s="8" t="s">
        <v>245</v>
      </c>
    </row>
    <row r="29" spans="1:10" x14ac:dyDescent="0.3">
      <c r="A29" s="146" t="s">
        <v>262</v>
      </c>
      <c r="B29" s="147"/>
      <c r="C29" s="13"/>
      <c r="D29" s="13"/>
      <c r="E29" s="13"/>
      <c r="F29" s="13"/>
      <c r="G29" s="13"/>
      <c r="H29" s="13"/>
      <c r="I29" s="13"/>
      <c r="J29" s="13"/>
    </row>
    <row r="30" spans="1:10" x14ac:dyDescent="0.3">
      <c r="A30" s="139" t="s">
        <v>263</v>
      </c>
      <c r="B30" s="141" t="s">
        <v>774</v>
      </c>
      <c r="C30" s="14">
        <v>8395.61</v>
      </c>
      <c r="D30" s="14">
        <v>9738.7170000000006</v>
      </c>
      <c r="E30" s="14">
        <v>12853.605</v>
      </c>
      <c r="F30" s="14">
        <v>9925.8549999999996</v>
      </c>
      <c r="G30" s="14">
        <v>12277.288</v>
      </c>
      <c r="H30" s="14">
        <v>12461.312</v>
      </c>
      <c r="I30" s="8" t="s">
        <v>245</v>
      </c>
    </row>
    <row r="31" spans="1:10" x14ac:dyDescent="0.3">
      <c r="A31" s="139" t="s">
        <v>265</v>
      </c>
      <c r="B31" s="141" t="s">
        <v>775</v>
      </c>
      <c r="C31" s="14">
        <v>1779.404</v>
      </c>
      <c r="D31" s="14">
        <v>2150.183</v>
      </c>
      <c r="E31" s="14">
        <v>2695.6210000000001</v>
      </c>
      <c r="F31" s="14">
        <v>3874.605</v>
      </c>
      <c r="G31" s="14">
        <v>3256.5529999999999</v>
      </c>
      <c r="H31" s="14">
        <v>4442.9889999999996</v>
      </c>
      <c r="I31" s="8" t="s">
        <v>245</v>
      </c>
    </row>
    <row r="32" spans="1:10" x14ac:dyDescent="0.3">
      <c r="A32" s="139" t="s">
        <v>267</v>
      </c>
      <c r="B32" s="141" t="s">
        <v>776</v>
      </c>
      <c r="C32" s="14">
        <v>3052.13</v>
      </c>
      <c r="D32" s="14">
        <v>1679.704</v>
      </c>
      <c r="E32" s="14">
        <v>2066.212</v>
      </c>
      <c r="F32" s="14">
        <v>2600.9850000000001</v>
      </c>
      <c r="G32" s="14">
        <v>4188.7449999999999</v>
      </c>
      <c r="H32" s="14">
        <v>4610.1819999999998</v>
      </c>
      <c r="I32" s="8" t="s">
        <v>245</v>
      </c>
    </row>
    <row r="33" spans="1:10" x14ac:dyDescent="0.3">
      <c r="A33" s="139" t="s">
        <v>269</v>
      </c>
      <c r="B33" s="141" t="s">
        <v>777</v>
      </c>
      <c r="C33" s="14">
        <v>75.245000000000005</v>
      </c>
      <c r="D33" s="14">
        <v>149.148</v>
      </c>
      <c r="E33" s="14">
        <v>198.346</v>
      </c>
      <c r="F33" s="14">
        <v>3689.556</v>
      </c>
      <c r="G33" s="14">
        <v>4220.2619999999997</v>
      </c>
      <c r="H33" s="14">
        <v>11102.413</v>
      </c>
      <c r="I33" s="8" t="s">
        <v>245</v>
      </c>
    </row>
    <row r="34" spans="1:10" x14ac:dyDescent="0.3">
      <c r="A34" s="139" t="s">
        <v>271</v>
      </c>
      <c r="B34" s="141" t="s">
        <v>778</v>
      </c>
      <c r="C34" s="14">
        <v>1046.2670000000001</v>
      </c>
      <c r="D34" s="14">
        <v>490.32900000000001</v>
      </c>
      <c r="E34" s="14">
        <v>793.57600000000002</v>
      </c>
      <c r="F34" s="14">
        <v>740.70699999999999</v>
      </c>
      <c r="G34" s="14">
        <v>1133.412</v>
      </c>
      <c r="H34" s="14">
        <v>1615.481</v>
      </c>
      <c r="I34" s="8" t="s">
        <v>245</v>
      </c>
    </row>
    <row r="35" spans="1:10" x14ac:dyDescent="0.3">
      <c r="A35" s="139" t="s">
        <v>273</v>
      </c>
      <c r="B35" s="141" t="s">
        <v>779</v>
      </c>
      <c r="C35" s="14">
        <v>2258.5349999999999</v>
      </c>
      <c r="D35" s="14">
        <v>2715.335</v>
      </c>
      <c r="E35" s="14">
        <v>1714.6289999999999</v>
      </c>
      <c r="F35" s="14">
        <v>1407.9590000000001</v>
      </c>
      <c r="G35" s="14">
        <v>1791.577</v>
      </c>
      <c r="H35" s="14">
        <v>1520.2270000000001</v>
      </c>
      <c r="I35" s="8" t="s">
        <v>245</v>
      </c>
    </row>
    <row r="36" spans="1:10" x14ac:dyDescent="0.3">
      <c r="A36" s="144" t="s">
        <v>275</v>
      </c>
      <c r="B36" s="141" t="s">
        <v>276</v>
      </c>
      <c r="C36" s="16">
        <f t="shared" ref="C36:H36" si="2">C30+C31+C32+C33+C34+C35</f>
        <v>16607.190999999999</v>
      </c>
      <c r="D36" s="16">
        <f t="shared" si="2"/>
        <v>16923.416000000001</v>
      </c>
      <c r="E36" s="16">
        <f t="shared" si="2"/>
        <v>20321.989000000001</v>
      </c>
      <c r="F36" s="16">
        <f t="shared" si="2"/>
        <v>22239.666999999998</v>
      </c>
      <c r="G36" s="16">
        <f t="shared" si="2"/>
        <v>26867.837</v>
      </c>
      <c r="H36" s="16">
        <f t="shared" si="2"/>
        <v>35752.603999999999</v>
      </c>
      <c r="I36" s="8" t="s">
        <v>245</v>
      </c>
    </row>
    <row r="37" spans="1:10" x14ac:dyDescent="0.3">
      <c r="A37" s="144" t="s">
        <v>277</v>
      </c>
      <c r="B37" s="141" t="s">
        <v>278</v>
      </c>
      <c r="C37" s="16">
        <f t="shared" ref="C37:H37" si="3">C28+C36</f>
        <v>66009.771000000008</v>
      </c>
      <c r="D37" s="16">
        <f t="shared" si="3"/>
        <v>66239.277999999991</v>
      </c>
      <c r="E37" s="16">
        <f t="shared" si="3"/>
        <v>82214.209999999992</v>
      </c>
      <c r="F37" s="16">
        <f t="shared" si="3"/>
        <v>89707.71100000001</v>
      </c>
      <c r="G37" s="16">
        <f t="shared" si="3"/>
        <v>99365.682000000001</v>
      </c>
      <c r="H37" s="16">
        <f t="shared" si="3"/>
        <v>119106.27099999998</v>
      </c>
      <c r="I37" s="8" t="s">
        <v>245</v>
      </c>
    </row>
    <row r="38" spans="1:10" x14ac:dyDescent="0.3">
      <c r="A38" s="146" t="s">
        <v>279</v>
      </c>
      <c r="B38" s="147"/>
      <c r="C38" s="13"/>
      <c r="D38" s="13"/>
      <c r="E38" s="13"/>
      <c r="F38" s="13"/>
      <c r="G38" s="13"/>
      <c r="H38" s="13"/>
      <c r="I38" s="13"/>
      <c r="J38" s="13"/>
    </row>
    <row r="39" spans="1:10" x14ac:dyDescent="0.3">
      <c r="A39" s="139" t="s">
        <v>280</v>
      </c>
      <c r="B39" s="141" t="s">
        <v>780</v>
      </c>
      <c r="C39" s="14">
        <v>10983.462</v>
      </c>
      <c r="D39" s="14">
        <v>10983.462</v>
      </c>
      <c r="E39" s="14">
        <v>10983.462</v>
      </c>
      <c r="F39" s="14">
        <v>10733.462</v>
      </c>
      <c r="G39" s="14">
        <v>10475.626</v>
      </c>
      <c r="H39" s="14">
        <v>10475.626</v>
      </c>
      <c r="I39" s="8" t="s">
        <v>245</v>
      </c>
    </row>
    <row r="40" spans="1:10" x14ac:dyDescent="0.3">
      <c r="A40" s="139" t="s">
        <v>282</v>
      </c>
      <c r="B40" s="141" t="s">
        <v>781</v>
      </c>
      <c r="C40" s="14">
        <v>20337.368999999999</v>
      </c>
      <c r="D40" s="14">
        <v>26559.079000000002</v>
      </c>
      <c r="E40" s="14">
        <v>29575.553</v>
      </c>
      <c r="F40" s="14">
        <v>34179.652000000002</v>
      </c>
      <c r="G40" s="14">
        <v>42140.281999999999</v>
      </c>
      <c r="H40" s="14">
        <v>60985.966</v>
      </c>
      <c r="I40" s="8" t="s">
        <v>245</v>
      </c>
    </row>
    <row r="41" spans="1:10" x14ac:dyDescent="0.3">
      <c r="A41" s="144" t="s">
        <v>284</v>
      </c>
      <c r="B41" s="141" t="s">
        <v>285</v>
      </c>
      <c r="C41" s="16">
        <f t="shared" ref="C41:H41" si="4">C39+C40</f>
        <v>31320.830999999998</v>
      </c>
      <c r="D41" s="16">
        <f t="shared" si="4"/>
        <v>37542.540999999997</v>
      </c>
      <c r="E41" s="16">
        <f t="shared" si="4"/>
        <v>40559.014999999999</v>
      </c>
      <c r="F41" s="16">
        <f t="shared" si="4"/>
        <v>44913.114000000001</v>
      </c>
      <c r="G41" s="16">
        <f t="shared" si="4"/>
        <v>52615.907999999996</v>
      </c>
      <c r="H41" s="16">
        <f t="shared" si="4"/>
        <v>71461.592000000004</v>
      </c>
      <c r="I41" s="8" t="s">
        <v>245</v>
      </c>
    </row>
    <row r="42" spans="1:10" x14ac:dyDescent="0.3">
      <c r="A42" s="146" t="s">
        <v>286</v>
      </c>
      <c r="B42" s="147"/>
      <c r="C42" s="13"/>
      <c r="D42" s="13"/>
      <c r="E42" s="13"/>
      <c r="F42" s="13"/>
      <c r="G42" s="13"/>
      <c r="H42" s="13"/>
      <c r="I42" s="13"/>
      <c r="J42" s="13"/>
    </row>
    <row r="43" spans="1:10" x14ac:dyDescent="0.3">
      <c r="A43" s="139" t="s">
        <v>287</v>
      </c>
      <c r="B43" s="141" t="s">
        <v>782</v>
      </c>
      <c r="C43" s="14">
        <v>15173.102000000001</v>
      </c>
      <c r="D43" s="14">
        <v>12636.749</v>
      </c>
      <c r="E43" s="14">
        <v>18747.867999999999</v>
      </c>
      <c r="F43" s="14">
        <v>17233.337</v>
      </c>
      <c r="G43" s="14">
        <v>14285.786</v>
      </c>
      <c r="H43" s="14">
        <v>9781.6389999999992</v>
      </c>
      <c r="I43" s="8" t="s">
        <v>245</v>
      </c>
    </row>
    <row r="44" spans="1:10" x14ac:dyDescent="0.3">
      <c r="A44" s="139" t="s">
        <v>289</v>
      </c>
      <c r="B44" s="141" t="s">
        <v>783</v>
      </c>
      <c r="C44" s="14">
        <v>0</v>
      </c>
      <c r="D44" s="14">
        <v>0</v>
      </c>
      <c r="E44" s="14">
        <v>27.135999999999999</v>
      </c>
      <c r="F44" s="14">
        <v>31.408000000000001</v>
      </c>
      <c r="G44" s="14">
        <v>34.67</v>
      </c>
      <c r="H44" s="14">
        <v>28.495000000000001</v>
      </c>
      <c r="I44" s="8" t="s">
        <v>245</v>
      </c>
    </row>
    <row r="45" spans="1:10" x14ac:dyDescent="0.3">
      <c r="A45" s="139" t="s">
        <v>291</v>
      </c>
      <c r="B45" s="141" t="s">
        <v>784</v>
      </c>
      <c r="C45" s="14">
        <v>0</v>
      </c>
      <c r="D45" s="14">
        <v>49.569000000000003</v>
      </c>
      <c r="E45" s="14">
        <v>786.75800000000004</v>
      </c>
      <c r="F45" s="14">
        <v>605.92600000000004</v>
      </c>
      <c r="G45" s="14">
        <v>450.48700000000002</v>
      </c>
      <c r="H45" s="14">
        <v>322.30399999999997</v>
      </c>
      <c r="I45" s="8" t="s">
        <v>245</v>
      </c>
    </row>
    <row r="46" spans="1:10" x14ac:dyDescent="0.3">
      <c r="A46" s="139" t="s">
        <v>293</v>
      </c>
      <c r="B46" s="141" t="s">
        <v>785</v>
      </c>
      <c r="C46" s="14">
        <v>3379.44</v>
      </c>
      <c r="D46" s="14">
        <v>3889.9070000000002</v>
      </c>
      <c r="E46" s="14">
        <v>5656.4989999999998</v>
      </c>
      <c r="F46" s="14">
        <v>8669.2109999999993</v>
      </c>
      <c r="G46" s="14">
        <v>13044.29</v>
      </c>
      <c r="H46" s="14">
        <v>13822.897999999999</v>
      </c>
      <c r="I46" s="8" t="s">
        <v>245</v>
      </c>
    </row>
    <row r="47" spans="1:10" x14ac:dyDescent="0.3">
      <c r="A47" s="139" t="s">
        <v>295</v>
      </c>
      <c r="B47" s="141" t="s">
        <v>786</v>
      </c>
      <c r="C47" s="14">
        <v>822.62300000000005</v>
      </c>
      <c r="D47" s="14">
        <v>671.06399999999996</v>
      </c>
      <c r="E47" s="14">
        <v>243.54300000000001</v>
      </c>
      <c r="F47" s="14">
        <v>2039.694</v>
      </c>
      <c r="G47" s="14">
        <v>336.74099999999999</v>
      </c>
      <c r="H47" s="14">
        <v>358.85199999999998</v>
      </c>
      <c r="I47" s="8" t="s">
        <v>245</v>
      </c>
    </row>
    <row r="48" spans="1:10" x14ac:dyDescent="0.3">
      <c r="A48" s="144" t="s">
        <v>297</v>
      </c>
      <c r="B48" s="141" t="s">
        <v>298</v>
      </c>
      <c r="C48" s="16">
        <f t="shared" ref="C48:H48" si="5">C43+C44+C45+C46+C47</f>
        <v>19375.165000000001</v>
      </c>
      <c r="D48" s="16">
        <f t="shared" si="5"/>
        <v>17247.288999999997</v>
      </c>
      <c r="E48" s="16">
        <f t="shared" si="5"/>
        <v>25461.804</v>
      </c>
      <c r="F48" s="16">
        <f t="shared" si="5"/>
        <v>28579.575999999997</v>
      </c>
      <c r="G48" s="16">
        <f t="shared" si="5"/>
        <v>28151.974000000002</v>
      </c>
      <c r="H48" s="16">
        <f t="shared" si="5"/>
        <v>24314.187999999998</v>
      </c>
      <c r="I48" s="8" t="s">
        <v>245</v>
      </c>
    </row>
    <row r="49" spans="1:10" x14ac:dyDescent="0.3">
      <c r="A49" s="146" t="s">
        <v>299</v>
      </c>
      <c r="B49" s="147"/>
      <c r="C49" s="13"/>
      <c r="D49" s="13"/>
      <c r="E49" s="13"/>
      <c r="F49" s="13"/>
      <c r="G49" s="13"/>
      <c r="H49" s="13"/>
      <c r="I49" s="13"/>
      <c r="J49" s="13"/>
    </row>
    <row r="50" spans="1:10" x14ac:dyDescent="0.3">
      <c r="A50" s="139" t="s">
        <v>300</v>
      </c>
      <c r="B50" s="141" t="s">
        <v>787</v>
      </c>
      <c r="C50" s="14">
        <v>7951.2209999999995</v>
      </c>
      <c r="D50" s="14">
        <v>7511.6369999999997</v>
      </c>
      <c r="E50" s="14">
        <v>9117.4140000000007</v>
      </c>
      <c r="F50" s="14">
        <v>12518.18</v>
      </c>
      <c r="G50" s="14">
        <v>12482.233</v>
      </c>
      <c r="H50" s="14">
        <v>17926.267</v>
      </c>
      <c r="I50" s="8" t="s">
        <v>245</v>
      </c>
    </row>
    <row r="51" spans="1:10" x14ac:dyDescent="0.3">
      <c r="A51" s="139" t="s">
        <v>302</v>
      </c>
      <c r="B51" s="141" t="s">
        <v>788</v>
      </c>
      <c r="C51" s="14">
        <f>3886.684+C253</f>
        <v>4173.9430000000002</v>
      </c>
      <c r="D51" s="14">
        <f>3515.408+D253</f>
        <v>3576.6320000000001</v>
      </c>
      <c r="E51" s="14">
        <f>3975.712+E253</f>
        <v>4108.3069999999998</v>
      </c>
      <c r="F51" s="14">
        <f>4804.356+F253</f>
        <v>6676.2209999999995</v>
      </c>
      <c r="G51" s="14">
        <f>4575.18+G253</f>
        <v>5396.6050000000005</v>
      </c>
      <c r="H51" s="14">
        <f>5869.802+H253</f>
        <v>7322.7829999999994</v>
      </c>
      <c r="I51" s="8" t="s">
        <v>245</v>
      </c>
    </row>
    <row r="52" spans="1:10" x14ac:dyDescent="0.3">
      <c r="A52" s="139" t="s">
        <v>304</v>
      </c>
      <c r="B52" s="141" t="s">
        <v>789</v>
      </c>
      <c r="C52" s="14">
        <v>0</v>
      </c>
      <c r="D52" s="14">
        <v>0</v>
      </c>
      <c r="E52" s="14">
        <v>0</v>
      </c>
      <c r="F52" s="14">
        <v>0</v>
      </c>
      <c r="G52" s="14">
        <v>0</v>
      </c>
      <c r="H52" s="14">
        <v>0</v>
      </c>
      <c r="I52" s="8" t="s">
        <v>245</v>
      </c>
    </row>
    <row r="53" spans="1:10" x14ac:dyDescent="0.3">
      <c r="A53" s="139" t="s">
        <v>306</v>
      </c>
      <c r="B53" s="141" t="s">
        <v>790</v>
      </c>
      <c r="C53" s="14">
        <v>547.18899999999996</v>
      </c>
      <c r="D53" s="14">
        <v>260.95299999999997</v>
      </c>
      <c r="E53" s="14">
        <v>665.12199999999996</v>
      </c>
      <c r="F53" s="14">
        <v>880.03899999999999</v>
      </c>
      <c r="G53" s="14">
        <v>865.94500000000005</v>
      </c>
      <c r="H53" s="14">
        <v>320.43400000000003</v>
      </c>
      <c r="I53" s="8" t="s">
        <v>245</v>
      </c>
    </row>
    <row r="54" spans="1:10" x14ac:dyDescent="0.3">
      <c r="A54" s="139" t="s">
        <v>308</v>
      </c>
      <c r="B54" s="141" t="s">
        <v>791</v>
      </c>
      <c r="C54" s="14">
        <v>6642.3119999999999</v>
      </c>
      <c r="D54" s="14">
        <v>1894.115</v>
      </c>
      <c r="E54" s="14">
        <v>3572.0729999999999</v>
      </c>
      <c r="F54" s="14">
        <v>0</v>
      </c>
      <c r="G54" s="14">
        <v>1645.316</v>
      </c>
      <c r="H54" s="14">
        <v>822.28499999999997</v>
      </c>
      <c r="I54" s="8" t="s">
        <v>245</v>
      </c>
    </row>
    <row r="55" spans="1:10" x14ac:dyDescent="0.3">
      <c r="A55" s="139" t="s">
        <v>310</v>
      </c>
      <c r="B55" s="141" t="s">
        <v>792</v>
      </c>
      <c r="C55" s="14">
        <v>125</v>
      </c>
      <c r="D55" s="14">
        <v>1704.6120000000001</v>
      </c>
      <c r="E55" s="14">
        <v>2619.8000000000002</v>
      </c>
      <c r="F55" s="14">
        <v>2599.4009999999998</v>
      </c>
      <c r="G55" s="14">
        <v>3407.7020000000002</v>
      </c>
      <c r="H55" s="14">
        <v>3933.328</v>
      </c>
      <c r="I55" s="8" t="s">
        <v>245</v>
      </c>
    </row>
    <row r="56" spans="1:10" x14ac:dyDescent="0.3">
      <c r="A56" s="139" t="s">
        <v>312</v>
      </c>
      <c r="B56" s="141" t="s">
        <v>793</v>
      </c>
      <c r="C56" s="14">
        <v>0</v>
      </c>
      <c r="D56" s="14">
        <v>0</v>
      </c>
      <c r="E56" s="14">
        <v>6.8369999999999997</v>
      </c>
      <c r="F56" s="14">
        <v>10.257</v>
      </c>
      <c r="G56" s="14">
        <v>13.909000000000001</v>
      </c>
      <c r="H56" s="14">
        <v>14.323</v>
      </c>
      <c r="I56" s="8" t="s">
        <v>245</v>
      </c>
    </row>
    <row r="57" spans="1:10" x14ac:dyDescent="0.3">
      <c r="A57" s="139" t="s">
        <v>314</v>
      </c>
      <c r="B57" s="141" t="s">
        <v>794</v>
      </c>
      <c r="C57" s="14">
        <v>0</v>
      </c>
      <c r="D57" s="14">
        <v>49.997</v>
      </c>
      <c r="E57" s="14">
        <v>184.57599999999999</v>
      </c>
      <c r="F57" s="14">
        <v>179.76599999999999</v>
      </c>
      <c r="G57" s="14">
        <v>155.43899999999999</v>
      </c>
      <c r="H57" s="14">
        <v>128.18299999999999</v>
      </c>
      <c r="I57" s="8" t="s">
        <v>245</v>
      </c>
    </row>
    <row r="58" spans="1:10" x14ac:dyDescent="0.3">
      <c r="A58" s="139" t="s">
        <v>316</v>
      </c>
      <c r="B58" s="141" t="s">
        <v>795</v>
      </c>
      <c r="C58" s="14">
        <v>48.052999999999997</v>
      </c>
      <c r="D58" s="14">
        <v>28.134</v>
      </c>
      <c r="E58" s="14">
        <v>27.568999999999999</v>
      </c>
      <c r="F58" s="14">
        <v>27.378</v>
      </c>
      <c r="G58" s="14">
        <v>27.256</v>
      </c>
      <c r="H58" s="14">
        <v>26.876999999999999</v>
      </c>
      <c r="I58" s="8" t="s">
        <v>245</v>
      </c>
    </row>
    <row r="59" spans="1:10" x14ac:dyDescent="0.3">
      <c r="A59" s="139" t="s">
        <v>318</v>
      </c>
      <c r="B59" s="141" t="s">
        <v>796</v>
      </c>
      <c r="C59" s="14">
        <v>0</v>
      </c>
      <c r="D59" s="14">
        <v>0</v>
      </c>
      <c r="E59" s="14">
        <v>0</v>
      </c>
      <c r="F59" s="14">
        <v>0</v>
      </c>
      <c r="G59" s="14">
        <v>0</v>
      </c>
      <c r="H59" s="14">
        <v>158.79400000000001</v>
      </c>
      <c r="I59" s="8" t="s">
        <v>245</v>
      </c>
    </row>
    <row r="60" spans="1:10" x14ac:dyDescent="0.3">
      <c r="A60" s="139" t="s">
        <v>320</v>
      </c>
      <c r="B60" s="141" t="s">
        <v>797</v>
      </c>
      <c r="C60" s="14">
        <v>0</v>
      </c>
      <c r="D60" s="14">
        <v>0</v>
      </c>
      <c r="E60" s="14">
        <v>0</v>
      </c>
      <c r="F60" s="14">
        <v>0</v>
      </c>
      <c r="G60" s="14">
        <v>0</v>
      </c>
      <c r="H60" s="14">
        <v>0</v>
      </c>
      <c r="I60" s="8" t="s">
        <v>245</v>
      </c>
    </row>
    <row r="61" spans="1:10" x14ac:dyDescent="0.3">
      <c r="A61" s="144" t="s">
        <v>322</v>
      </c>
      <c r="B61" s="141" t="s">
        <v>323</v>
      </c>
      <c r="C61" s="16">
        <f t="shared" ref="C61:H61" si="6">C50+C52+C53+C54+C55+C56+C57+C58+C59+C60</f>
        <v>15313.775</v>
      </c>
      <c r="D61" s="16">
        <f t="shared" si="6"/>
        <v>11449.447999999999</v>
      </c>
      <c r="E61" s="16">
        <f t="shared" si="6"/>
        <v>16193.390999999998</v>
      </c>
      <c r="F61" s="16">
        <f t="shared" si="6"/>
        <v>16215.021000000001</v>
      </c>
      <c r="G61" s="16">
        <f t="shared" si="6"/>
        <v>18597.8</v>
      </c>
      <c r="H61" s="16">
        <f t="shared" si="6"/>
        <v>23330.491000000005</v>
      </c>
      <c r="I61" s="8" t="s">
        <v>245</v>
      </c>
      <c r="J61" s="8" t="s">
        <v>324</v>
      </c>
    </row>
    <row r="62" spans="1:10" x14ac:dyDescent="0.3">
      <c r="A62" s="144" t="s">
        <v>325</v>
      </c>
      <c r="B62" s="141" t="s">
        <v>326</v>
      </c>
      <c r="C62" s="16">
        <f t="shared" ref="C62:H62" si="7">C48+C61</f>
        <v>34688.94</v>
      </c>
      <c r="D62" s="16">
        <f t="shared" si="7"/>
        <v>28696.736999999994</v>
      </c>
      <c r="E62" s="16">
        <f t="shared" si="7"/>
        <v>41655.195</v>
      </c>
      <c r="F62" s="16">
        <f t="shared" si="7"/>
        <v>44794.596999999994</v>
      </c>
      <c r="G62" s="16">
        <f t="shared" si="7"/>
        <v>46749.774000000005</v>
      </c>
      <c r="H62" s="16">
        <f t="shared" si="7"/>
        <v>47644.679000000004</v>
      </c>
      <c r="I62" s="8" t="s">
        <v>245</v>
      </c>
    </row>
    <row r="63" spans="1:10" x14ac:dyDescent="0.3">
      <c r="A63" s="144" t="s">
        <v>327</v>
      </c>
      <c r="B63" s="141" t="s">
        <v>328</v>
      </c>
      <c r="C63" s="16">
        <f t="shared" ref="C63:H63" si="8">C41+C62</f>
        <v>66009.771000000008</v>
      </c>
      <c r="D63" s="16">
        <f t="shared" si="8"/>
        <v>66239.277999999991</v>
      </c>
      <c r="E63" s="16">
        <f t="shared" si="8"/>
        <v>82214.209999999992</v>
      </c>
      <c r="F63" s="16">
        <f t="shared" si="8"/>
        <v>89707.710999999996</v>
      </c>
      <c r="G63" s="16">
        <f t="shared" si="8"/>
        <v>99365.682000000001</v>
      </c>
      <c r="H63" s="16">
        <f t="shared" si="8"/>
        <v>119106.27100000001</v>
      </c>
      <c r="I63" s="8" t="s">
        <v>245</v>
      </c>
    </row>
    <row r="64" spans="1:10" x14ac:dyDescent="0.3">
      <c r="A64" s="146" t="s">
        <v>329</v>
      </c>
      <c r="B64" s="147"/>
      <c r="C64" s="13"/>
      <c r="D64" s="13"/>
      <c r="E64" s="13"/>
      <c r="F64" s="13"/>
      <c r="G64" s="13"/>
      <c r="H64" s="13"/>
      <c r="I64" s="13"/>
      <c r="J64" s="13"/>
    </row>
    <row r="65" spans="1:10" x14ac:dyDescent="0.3">
      <c r="A65" s="139" t="s">
        <v>330</v>
      </c>
      <c r="B65" s="141" t="s">
        <v>331</v>
      </c>
      <c r="C65" s="15">
        <f t="shared" ref="C65:H65" si="9">C30+C31</f>
        <v>10175.014000000001</v>
      </c>
      <c r="D65" s="15">
        <f t="shared" si="9"/>
        <v>11888.900000000001</v>
      </c>
      <c r="E65" s="15">
        <f t="shared" si="9"/>
        <v>15549.225999999999</v>
      </c>
      <c r="F65" s="15">
        <f t="shared" si="9"/>
        <v>13800.46</v>
      </c>
      <c r="G65" s="15">
        <f t="shared" si="9"/>
        <v>15533.841</v>
      </c>
      <c r="H65" s="15">
        <f t="shared" si="9"/>
        <v>16904.300999999999</v>
      </c>
      <c r="I65" s="8" t="s">
        <v>245</v>
      </c>
    </row>
    <row r="66" spans="1:10" x14ac:dyDescent="0.3">
      <c r="A66" s="139" t="s">
        <v>332</v>
      </c>
      <c r="B66" s="141" t="s">
        <v>333</v>
      </c>
      <c r="C66" s="15">
        <f t="shared" ref="C66:H66" si="10">C43+C44+C54+C55+C56-C251-C252</f>
        <v>21940.414000000001</v>
      </c>
      <c r="D66" s="15">
        <f t="shared" si="10"/>
        <v>16235.475999999999</v>
      </c>
      <c r="E66" s="15">
        <f t="shared" si="10"/>
        <v>24973.713999999996</v>
      </c>
      <c r="F66" s="15">
        <f t="shared" si="10"/>
        <v>19874.403000000002</v>
      </c>
      <c r="G66" s="15">
        <f t="shared" si="10"/>
        <v>19387.383000000002</v>
      </c>
      <c r="H66" s="15">
        <f t="shared" si="10"/>
        <v>14580.07</v>
      </c>
      <c r="I66" s="8" t="s">
        <v>245</v>
      </c>
    </row>
    <row r="67" spans="1:10" x14ac:dyDescent="0.3">
      <c r="A67" s="139" t="s">
        <v>334</v>
      </c>
      <c r="B67" s="141" t="s">
        <v>335</v>
      </c>
      <c r="C67" s="15">
        <f t="shared" ref="C67:H67" si="11">C43+C44</f>
        <v>15173.102000000001</v>
      </c>
      <c r="D67" s="15">
        <f t="shared" si="11"/>
        <v>12636.749</v>
      </c>
      <c r="E67" s="15">
        <f t="shared" si="11"/>
        <v>18775.003999999997</v>
      </c>
      <c r="F67" s="15">
        <f t="shared" si="11"/>
        <v>17264.744999999999</v>
      </c>
      <c r="G67" s="15">
        <f t="shared" si="11"/>
        <v>14320.456</v>
      </c>
      <c r="H67" s="15">
        <f t="shared" si="11"/>
        <v>9810.134</v>
      </c>
      <c r="I67" s="8" t="s">
        <v>245</v>
      </c>
    </row>
    <row r="68" spans="1:10" x14ac:dyDescent="0.3">
      <c r="A68" s="139"/>
      <c r="B68" s="141"/>
      <c r="C68" s="15"/>
      <c r="D68" s="15"/>
      <c r="E68" s="15"/>
      <c r="F68" s="15"/>
      <c r="G68" s="15"/>
      <c r="H68" s="15"/>
      <c r="I68" s="8" t="s">
        <v>245</v>
      </c>
    </row>
    <row r="69" spans="1:10" x14ac:dyDescent="0.3">
      <c r="A69" s="139"/>
      <c r="B69" s="141"/>
      <c r="C69" s="15"/>
      <c r="D69" s="15"/>
      <c r="E69" s="15"/>
      <c r="F69" s="15"/>
      <c r="G69" s="15"/>
      <c r="H69" s="15"/>
      <c r="I69" s="8" t="s">
        <v>245</v>
      </c>
    </row>
    <row r="70" spans="1:10" x14ac:dyDescent="0.3">
      <c r="A70" s="139" t="s">
        <v>336</v>
      </c>
      <c r="B70" s="141" t="s">
        <v>337</v>
      </c>
      <c r="C70" s="15">
        <f t="shared" ref="C70:H70" si="12">C66+C41</f>
        <v>53261.244999999995</v>
      </c>
      <c r="D70" s="15">
        <f t="shared" si="12"/>
        <v>53778.016999999993</v>
      </c>
      <c r="E70" s="15">
        <f t="shared" si="12"/>
        <v>65532.728999999992</v>
      </c>
      <c r="F70" s="15">
        <f t="shared" si="12"/>
        <v>64787.517000000007</v>
      </c>
      <c r="G70" s="15">
        <f t="shared" si="12"/>
        <v>72003.290999999997</v>
      </c>
      <c r="H70" s="15">
        <f t="shared" si="12"/>
        <v>86041.662000000011</v>
      </c>
      <c r="I70" s="8" t="s">
        <v>245</v>
      </c>
    </row>
    <row r="71" spans="1:10" x14ac:dyDescent="0.3">
      <c r="A71" s="139" t="s">
        <v>338</v>
      </c>
      <c r="B71" s="141" t="s">
        <v>339</v>
      </c>
      <c r="C71" s="15">
        <f t="shared" ref="C71:H71" si="13">C37-C61</f>
        <v>50695.996000000006</v>
      </c>
      <c r="D71" s="15">
        <f t="shared" si="13"/>
        <v>54789.829999999994</v>
      </c>
      <c r="E71" s="15">
        <f t="shared" si="13"/>
        <v>66020.818999999989</v>
      </c>
      <c r="F71" s="15">
        <f t="shared" si="13"/>
        <v>73492.69</v>
      </c>
      <c r="G71" s="15">
        <f t="shared" si="13"/>
        <v>80767.881999999998</v>
      </c>
      <c r="H71" s="15">
        <f t="shared" si="13"/>
        <v>95775.77999999997</v>
      </c>
      <c r="I71" s="8" t="s">
        <v>245</v>
      </c>
    </row>
    <row r="72" spans="1:10" x14ac:dyDescent="0.3">
      <c r="A72" s="139" t="s">
        <v>340</v>
      </c>
      <c r="B72" s="141" t="s">
        <v>341</v>
      </c>
      <c r="C72" s="15">
        <f t="shared" ref="C72:H72" si="14">C36-C34-C33</f>
        <v>15485.678999999998</v>
      </c>
      <c r="D72" s="15">
        <f t="shared" si="14"/>
        <v>16283.939</v>
      </c>
      <c r="E72" s="15">
        <f t="shared" si="14"/>
        <v>19330.066999999999</v>
      </c>
      <c r="F72" s="15">
        <f t="shared" si="14"/>
        <v>17809.403999999999</v>
      </c>
      <c r="G72" s="15">
        <f t="shared" si="14"/>
        <v>21514.163</v>
      </c>
      <c r="H72" s="15">
        <f t="shared" si="14"/>
        <v>23034.71</v>
      </c>
      <c r="I72" s="8" t="s">
        <v>245</v>
      </c>
    </row>
    <row r="73" spans="1:10" x14ac:dyDescent="0.3">
      <c r="A73" s="139" t="s">
        <v>342</v>
      </c>
      <c r="B73" s="141" t="s">
        <v>343</v>
      </c>
      <c r="C73" s="15">
        <f t="shared" ref="C73:H73" si="15">C61-C54-C55-C56-C57-C53-C58</f>
        <v>7951.2209999999995</v>
      </c>
      <c r="D73" s="15">
        <f t="shared" si="15"/>
        <v>7511.6369999999988</v>
      </c>
      <c r="E73" s="15">
        <f t="shared" si="15"/>
        <v>9117.4139999999989</v>
      </c>
      <c r="F73" s="15">
        <f t="shared" si="15"/>
        <v>12518.18</v>
      </c>
      <c r="G73" s="15">
        <f t="shared" si="15"/>
        <v>12482.233</v>
      </c>
      <c r="H73" s="15">
        <f t="shared" si="15"/>
        <v>18085.061000000002</v>
      </c>
      <c r="I73" s="8" t="s">
        <v>245</v>
      </c>
    </row>
    <row r="74" spans="1:10" x14ac:dyDescent="0.3">
      <c r="A74" s="146" t="s">
        <v>344</v>
      </c>
      <c r="B74" s="147"/>
      <c r="C74" s="13"/>
      <c r="D74" s="13"/>
      <c r="E74" s="13"/>
      <c r="F74" s="13"/>
      <c r="G74" s="13"/>
      <c r="H74" s="13"/>
      <c r="I74" s="13"/>
      <c r="J74" s="13"/>
    </row>
    <row r="75" spans="1:10" x14ac:dyDescent="0.3">
      <c r="A75" s="139" t="s">
        <v>345</v>
      </c>
      <c r="B75" s="141" t="s">
        <v>798</v>
      </c>
      <c r="C75" s="14">
        <v>66009.770999999993</v>
      </c>
      <c r="D75" s="14">
        <v>66239.278000000006</v>
      </c>
      <c r="E75" s="14">
        <v>82214.210000000006</v>
      </c>
      <c r="F75" s="14">
        <v>89707.710999999996</v>
      </c>
      <c r="G75" s="14">
        <v>99365.682000000001</v>
      </c>
      <c r="H75" s="14">
        <v>119106.27099999999</v>
      </c>
      <c r="I75" s="8" t="s">
        <v>245</v>
      </c>
    </row>
    <row r="76" spans="1:10" x14ac:dyDescent="0.3">
      <c r="A76" s="139" t="s">
        <v>347</v>
      </c>
      <c r="B76" s="141" t="s">
        <v>799</v>
      </c>
      <c r="C76" s="14">
        <v>31320.830999999998</v>
      </c>
      <c r="D76" s="14">
        <v>37542.540999999997</v>
      </c>
      <c r="E76" s="14">
        <v>40559.014999999999</v>
      </c>
      <c r="F76" s="14">
        <v>44913.114000000001</v>
      </c>
      <c r="G76" s="14">
        <v>52615.908000000003</v>
      </c>
      <c r="H76" s="14">
        <v>71461.592000000004</v>
      </c>
      <c r="I76" s="8" t="s">
        <v>245</v>
      </c>
    </row>
    <row r="77" spans="1:10" x14ac:dyDescent="0.3">
      <c r="A77" s="139" t="s">
        <v>349</v>
      </c>
      <c r="B77" s="141" t="s">
        <v>800</v>
      </c>
      <c r="C77" s="14">
        <v>16607.190999999999</v>
      </c>
      <c r="D77" s="14">
        <v>16923.416000000001</v>
      </c>
      <c r="E77" s="14">
        <v>20321.989000000001</v>
      </c>
      <c r="F77" s="14">
        <v>22239.667000000001</v>
      </c>
      <c r="G77" s="14">
        <v>26867.837</v>
      </c>
      <c r="H77" s="14">
        <v>35752.603999999999</v>
      </c>
      <c r="I77" s="8" t="s">
        <v>245</v>
      </c>
    </row>
    <row r="78" spans="1:10" x14ac:dyDescent="0.3">
      <c r="A78" s="139" t="s">
        <v>351</v>
      </c>
      <c r="B78" s="141" t="s">
        <v>801</v>
      </c>
      <c r="C78" s="14">
        <v>15313.775</v>
      </c>
      <c r="D78" s="14">
        <v>11449.448</v>
      </c>
      <c r="E78" s="14">
        <v>16193.391</v>
      </c>
      <c r="F78" s="14">
        <v>16215.021000000001</v>
      </c>
      <c r="G78" s="14">
        <v>18597.8</v>
      </c>
      <c r="H78" s="14">
        <v>23330.491000000002</v>
      </c>
      <c r="I78" s="8" t="s">
        <v>245</v>
      </c>
    </row>
    <row r="79" spans="1:10" x14ac:dyDescent="0.3">
      <c r="A79" s="139" t="s">
        <v>353</v>
      </c>
      <c r="B79" s="141" t="s">
        <v>354</v>
      </c>
      <c r="C79" s="17" t="str">
        <f t="shared" ref="C79:H79" si="16">IF(ABS(C37-C63)&lt;0.005,"PASS","FAIL")</f>
        <v>PASS</v>
      </c>
      <c r="D79" s="17" t="str">
        <f t="shared" si="16"/>
        <v>PASS</v>
      </c>
      <c r="E79" s="17" t="str">
        <f t="shared" si="16"/>
        <v>PASS</v>
      </c>
      <c r="F79" s="17" t="str">
        <f t="shared" si="16"/>
        <v>PASS</v>
      </c>
      <c r="G79" s="17" t="str">
        <f t="shared" si="16"/>
        <v>PASS</v>
      </c>
      <c r="H79" s="17" t="str">
        <f t="shared" si="16"/>
        <v>PASS</v>
      </c>
      <c r="I79" s="8"/>
    </row>
    <row r="80" spans="1:10" x14ac:dyDescent="0.3">
      <c r="A80" s="139" t="s">
        <v>355</v>
      </c>
      <c r="B80" s="141" t="s">
        <v>354</v>
      </c>
      <c r="C80" s="17" t="str">
        <f t="shared" ref="C80:H80" si="17">IF(ABS(C37-C75)&lt;0.005,"PASS","FAIL")</f>
        <v>PASS</v>
      </c>
      <c r="D80" s="17" t="str">
        <f t="shared" si="17"/>
        <v>PASS</v>
      </c>
      <c r="E80" s="17" t="str">
        <f t="shared" si="17"/>
        <v>PASS</v>
      </c>
      <c r="F80" s="17" t="str">
        <f t="shared" si="17"/>
        <v>PASS</v>
      </c>
      <c r="G80" s="17" t="str">
        <f t="shared" si="17"/>
        <v>PASS</v>
      </c>
      <c r="H80" s="17" t="str">
        <f t="shared" si="17"/>
        <v>PASS</v>
      </c>
      <c r="I80" s="8"/>
    </row>
    <row r="81" spans="1:10" x14ac:dyDescent="0.3">
      <c r="A81" s="139" t="s">
        <v>356</v>
      </c>
      <c r="B81" s="141" t="s">
        <v>354</v>
      </c>
      <c r="C81" s="17" t="str">
        <f t="shared" ref="C81:H81" si="18">IF(AND(ABS(C41-C76)&lt;0.005,ABS(C36-C77)&lt;0.005,ABS(C61-C78)&lt;0.005),"PASS","FAIL")</f>
        <v>PASS</v>
      </c>
      <c r="D81" s="17" t="str">
        <f t="shared" si="18"/>
        <v>PASS</v>
      </c>
      <c r="E81" s="17" t="str">
        <f t="shared" si="18"/>
        <v>PASS</v>
      </c>
      <c r="F81" s="17" t="str">
        <f t="shared" si="18"/>
        <v>PASS</v>
      </c>
      <c r="G81" s="17" t="str">
        <f t="shared" si="18"/>
        <v>PASS</v>
      </c>
      <c r="H81" s="17" t="str">
        <f t="shared" si="18"/>
        <v>PASS</v>
      </c>
      <c r="I81" s="8"/>
    </row>
    <row r="82" spans="1:10" x14ac:dyDescent="0.3">
      <c r="A82" s="139"/>
      <c r="B82" s="139"/>
    </row>
    <row r="83" spans="1:10" x14ac:dyDescent="0.3">
      <c r="A83" s="142" t="s">
        <v>357</v>
      </c>
      <c r="B83" s="143"/>
      <c r="C83" s="10"/>
      <c r="D83" s="10"/>
      <c r="E83" s="10"/>
      <c r="F83" s="10"/>
      <c r="G83" s="10"/>
      <c r="H83" s="10"/>
      <c r="I83" s="10"/>
      <c r="J83" s="10"/>
    </row>
    <row r="84" spans="1:10" x14ac:dyDescent="0.3">
      <c r="A84" s="139" t="s">
        <v>358</v>
      </c>
      <c r="B84" s="141" t="s">
        <v>802</v>
      </c>
      <c r="C84" s="18"/>
      <c r="D84" s="14">
        <v>35538.300999999999</v>
      </c>
      <c r="E84" s="14">
        <v>48519.622000000003</v>
      </c>
      <c r="F84" s="14">
        <v>62075.258999999998</v>
      </c>
      <c r="G84" s="14">
        <v>66452.347999999998</v>
      </c>
      <c r="H84" s="14">
        <v>68942.445999999996</v>
      </c>
      <c r="I84" s="8" t="s">
        <v>245</v>
      </c>
    </row>
    <row r="85" spans="1:10" x14ac:dyDescent="0.3">
      <c r="A85" s="139" t="s">
        <v>360</v>
      </c>
      <c r="B85" s="141" t="s">
        <v>803</v>
      </c>
      <c r="C85" s="18"/>
      <c r="D85" s="14">
        <v>-28135.419000000002</v>
      </c>
      <c r="E85" s="14">
        <v>-36244.156000000003</v>
      </c>
      <c r="F85" s="14">
        <v>-43901.906000000003</v>
      </c>
      <c r="G85" s="14">
        <v>-45488.063999999998</v>
      </c>
      <c r="H85" s="14">
        <v>-45195.63</v>
      </c>
      <c r="I85" s="8" t="s">
        <v>245</v>
      </c>
    </row>
    <row r="86" spans="1:10" x14ac:dyDescent="0.3">
      <c r="A86" s="144" t="s">
        <v>362</v>
      </c>
      <c r="B86" s="141" t="s">
        <v>363</v>
      </c>
      <c r="C86" s="19"/>
      <c r="D86" s="16">
        <f>D84+D85</f>
        <v>7402.8819999999978</v>
      </c>
      <c r="E86" s="16">
        <f>E84+E85</f>
        <v>12275.466</v>
      </c>
      <c r="F86" s="16">
        <f>F84+F85</f>
        <v>18173.352999999996</v>
      </c>
      <c r="G86" s="16">
        <f>G84+G85</f>
        <v>20964.284</v>
      </c>
      <c r="H86" s="16">
        <f>H84+H85</f>
        <v>23746.815999999999</v>
      </c>
      <c r="I86" s="8" t="s">
        <v>245</v>
      </c>
    </row>
    <row r="87" spans="1:10" x14ac:dyDescent="0.3">
      <c r="A87" s="139" t="s">
        <v>364</v>
      </c>
      <c r="B87" s="141" t="s">
        <v>804</v>
      </c>
      <c r="C87" s="18"/>
      <c r="D87" s="14">
        <v>-1013.852</v>
      </c>
      <c r="E87" s="14">
        <v>-1483.876</v>
      </c>
      <c r="F87" s="14">
        <v>-3751.096</v>
      </c>
      <c r="G87" s="14">
        <v>-5471.808</v>
      </c>
      <c r="H87" s="14">
        <v>-4123.7539999999999</v>
      </c>
      <c r="I87" s="8" t="s">
        <v>245</v>
      </c>
    </row>
    <row r="88" spans="1:10" x14ac:dyDescent="0.3">
      <c r="A88" s="139" t="s">
        <v>366</v>
      </c>
      <c r="B88" s="141" t="s">
        <v>805</v>
      </c>
      <c r="C88" s="18"/>
      <c r="D88" s="14">
        <v>-813.48900000000003</v>
      </c>
      <c r="E88" s="14">
        <v>-971.45299999999997</v>
      </c>
      <c r="F88" s="14">
        <v>-1380.607</v>
      </c>
      <c r="G88" s="14">
        <v>-1852.1479999999999</v>
      </c>
      <c r="H88" s="14">
        <v>-2176.3200000000002</v>
      </c>
      <c r="I88" s="8" t="s">
        <v>245</v>
      </c>
    </row>
    <row r="89" spans="1:10" x14ac:dyDescent="0.3">
      <c r="A89" s="139" t="s">
        <v>368</v>
      </c>
      <c r="B89" s="141" t="s">
        <v>806</v>
      </c>
      <c r="C89" s="18"/>
      <c r="D89" s="14">
        <v>0</v>
      </c>
      <c r="E89" s="14">
        <v>-209.92</v>
      </c>
      <c r="F89" s="14">
        <v>-191.42099999999999</v>
      </c>
      <c r="G89" s="14">
        <v>-357.19099999999997</v>
      </c>
      <c r="H89" s="14">
        <v>-514.42999999999995</v>
      </c>
      <c r="I89" s="8" t="s">
        <v>245</v>
      </c>
    </row>
    <row r="90" spans="1:10" x14ac:dyDescent="0.3">
      <c r="A90" s="139" t="s">
        <v>370</v>
      </c>
      <c r="B90" s="141" t="s">
        <v>807</v>
      </c>
      <c r="C90" s="18"/>
      <c r="D90" s="14">
        <v>-524.14200000000005</v>
      </c>
      <c r="E90" s="14">
        <v>-742.28</v>
      </c>
      <c r="F90" s="14">
        <v>-995.46</v>
      </c>
      <c r="G90" s="14">
        <v>-569.54499999999996</v>
      </c>
      <c r="H90" s="14">
        <v>-1207.018</v>
      </c>
      <c r="I90" s="8" t="s">
        <v>245</v>
      </c>
    </row>
    <row r="91" spans="1:10" x14ac:dyDescent="0.3">
      <c r="A91" s="139" t="s">
        <v>372</v>
      </c>
      <c r="B91" s="141" t="s">
        <v>373</v>
      </c>
      <c r="C91" s="18"/>
      <c r="D91" s="15">
        <f>D86+D87+D88+D89+D90</f>
        <v>5051.3989999999976</v>
      </c>
      <c r="E91" s="15">
        <f>E86+E87+E88+E89+E90</f>
        <v>8867.9369999999999</v>
      </c>
      <c r="F91" s="15">
        <f>F86+F87+F88+F89+F90</f>
        <v>11854.768999999997</v>
      </c>
      <c r="G91" s="15">
        <f>G86+G87+G88+G89+G90</f>
        <v>12713.591999999999</v>
      </c>
      <c r="H91" s="15">
        <f>H86+H87+H88+H89+H90</f>
        <v>15725.293999999998</v>
      </c>
      <c r="I91" s="8" t="s">
        <v>245</v>
      </c>
    </row>
    <row r="92" spans="1:10" x14ac:dyDescent="0.3">
      <c r="A92" s="139" t="s">
        <v>374</v>
      </c>
      <c r="B92" s="141" t="s">
        <v>808</v>
      </c>
      <c r="C92" s="18"/>
      <c r="D92" s="14">
        <v>3732.1320000000001</v>
      </c>
      <c r="E92" s="14">
        <v>56.600999999999999</v>
      </c>
      <c r="F92" s="14">
        <v>146.64599999999999</v>
      </c>
      <c r="G92" s="14">
        <v>238.45099999999999</v>
      </c>
      <c r="H92" s="14">
        <v>8462.6560000000009</v>
      </c>
      <c r="I92" s="8" t="s">
        <v>245</v>
      </c>
    </row>
    <row r="93" spans="1:10" x14ac:dyDescent="0.3">
      <c r="A93" s="139" t="s">
        <v>376</v>
      </c>
      <c r="B93" s="141" t="s">
        <v>809</v>
      </c>
      <c r="C93" s="18"/>
      <c r="D93" s="14">
        <v>0</v>
      </c>
      <c r="E93" s="14">
        <v>0</v>
      </c>
      <c r="F93" s="14">
        <v>0</v>
      </c>
      <c r="G93" s="14">
        <v>117.691</v>
      </c>
      <c r="H93" s="14">
        <v>1031.075</v>
      </c>
      <c r="I93" s="8" t="s">
        <v>245</v>
      </c>
    </row>
    <row r="94" spans="1:10" x14ac:dyDescent="0.3">
      <c r="A94" s="139" t="s">
        <v>378</v>
      </c>
      <c r="B94" s="141" t="s">
        <v>810</v>
      </c>
      <c r="C94" s="18"/>
      <c r="D94" s="14">
        <v>0</v>
      </c>
      <c r="E94" s="14">
        <v>0</v>
      </c>
      <c r="F94" s="14">
        <v>0</v>
      </c>
      <c r="G94" s="14">
        <v>0</v>
      </c>
      <c r="H94" s="14">
        <v>0</v>
      </c>
      <c r="I94" s="8" t="s">
        <v>245</v>
      </c>
    </row>
    <row r="95" spans="1:10" x14ac:dyDescent="0.3">
      <c r="A95" s="139" t="s">
        <v>380</v>
      </c>
      <c r="B95" s="141" t="s">
        <v>811</v>
      </c>
      <c r="C95" s="18"/>
      <c r="D95" s="14">
        <v>-1493.93</v>
      </c>
      <c r="E95" s="14">
        <v>-1741.0260000000001</v>
      </c>
      <c r="F95" s="14">
        <v>-2750.748</v>
      </c>
      <c r="G95" s="14">
        <v>-4138.2860000000001</v>
      </c>
      <c r="H95" s="14">
        <v>-3554.788</v>
      </c>
      <c r="I95" s="8" t="s">
        <v>245</v>
      </c>
    </row>
    <row r="96" spans="1:10" x14ac:dyDescent="0.3">
      <c r="A96" s="144" t="s">
        <v>382</v>
      </c>
      <c r="B96" s="141" t="s">
        <v>383</v>
      </c>
      <c r="C96" s="19"/>
      <c r="D96" s="16">
        <f>D91+D92+D93+D94+D95</f>
        <v>7289.6009999999969</v>
      </c>
      <c r="E96" s="16">
        <f>E91+E92+E93+E94+E95</f>
        <v>7183.5120000000006</v>
      </c>
      <c r="F96" s="16">
        <f>F91+F92+F93+F94+F95</f>
        <v>9250.6669999999976</v>
      </c>
      <c r="G96" s="16">
        <f>G91+G92+G93+G94+G95</f>
        <v>8931.4479999999985</v>
      </c>
      <c r="H96" s="16">
        <f>H91+H92+H93+H94+H95</f>
        <v>21664.236999999997</v>
      </c>
      <c r="I96" s="8" t="s">
        <v>245</v>
      </c>
    </row>
    <row r="97" spans="1:10" x14ac:dyDescent="0.3">
      <c r="A97" s="139" t="s">
        <v>384</v>
      </c>
      <c r="B97" s="141" t="s">
        <v>812</v>
      </c>
      <c r="C97" s="18"/>
      <c r="D97" s="14">
        <v>0</v>
      </c>
      <c r="E97" s="14">
        <v>0</v>
      </c>
      <c r="F97" s="14">
        <v>-12.192</v>
      </c>
      <c r="G97" s="14">
        <v>-45.804000000000002</v>
      </c>
      <c r="H97" s="14">
        <v>-38.972000000000001</v>
      </c>
      <c r="I97" s="8" t="s">
        <v>245</v>
      </c>
    </row>
    <row r="98" spans="1:10" x14ac:dyDescent="0.3">
      <c r="A98" s="139" t="s">
        <v>386</v>
      </c>
      <c r="B98" s="141" t="s">
        <v>813</v>
      </c>
      <c r="C98" s="18"/>
      <c r="D98" s="14">
        <v>-1035.492</v>
      </c>
      <c r="E98" s="14">
        <v>-3557.172</v>
      </c>
      <c r="F98" s="14">
        <v>-4746.8059999999996</v>
      </c>
      <c r="G98" s="14">
        <v>-3613.1170000000002</v>
      </c>
      <c r="H98" s="14">
        <v>-4588.8909999999996</v>
      </c>
      <c r="I98" s="8" t="s">
        <v>245</v>
      </c>
    </row>
    <row r="99" spans="1:10" x14ac:dyDescent="0.3">
      <c r="A99" s="144" t="s">
        <v>388</v>
      </c>
      <c r="B99" s="141" t="s">
        <v>389</v>
      </c>
      <c r="C99" s="19"/>
      <c r="D99" s="16">
        <f>D96+D97+D98</f>
        <v>6254.1089999999967</v>
      </c>
      <c r="E99" s="16">
        <f>E96+E97+E98</f>
        <v>3626.3400000000006</v>
      </c>
      <c r="F99" s="16">
        <f>F96+F97+F98</f>
        <v>4491.668999999999</v>
      </c>
      <c r="G99" s="16">
        <f>G96+G97+G98</f>
        <v>5272.5269999999982</v>
      </c>
      <c r="H99" s="16">
        <f>H96+H97+H98</f>
        <v>17036.373999999996</v>
      </c>
      <c r="I99" s="8" t="s">
        <v>245</v>
      </c>
    </row>
    <row r="100" spans="1:10" x14ac:dyDescent="0.3">
      <c r="A100" s="139" t="s">
        <v>390</v>
      </c>
      <c r="B100" s="141" t="s">
        <v>814</v>
      </c>
      <c r="C100" s="18"/>
      <c r="D100" s="14">
        <v>7402.8819999999996</v>
      </c>
      <c r="E100" s="14">
        <v>12275.466</v>
      </c>
      <c r="F100" s="14">
        <v>18173.352999999999</v>
      </c>
      <c r="G100" s="14">
        <v>20964.284</v>
      </c>
      <c r="H100" s="14">
        <v>23746.815999999999</v>
      </c>
      <c r="I100" s="8" t="s">
        <v>245</v>
      </c>
    </row>
    <row r="101" spans="1:10" x14ac:dyDescent="0.3">
      <c r="A101" s="139" t="s">
        <v>392</v>
      </c>
      <c r="B101" s="141" t="s">
        <v>815</v>
      </c>
      <c r="C101" s="18"/>
      <c r="D101" s="14">
        <v>7289.6009999999997</v>
      </c>
      <c r="E101" s="14">
        <v>7183.5119999999997</v>
      </c>
      <c r="F101" s="14">
        <v>9250.6669999999995</v>
      </c>
      <c r="G101" s="14">
        <v>8931.4480000000003</v>
      </c>
      <c r="H101" s="14">
        <v>21664.237000000001</v>
      </c>
      <c r="I101" s="8" t="s">
        <v>245</v>
      </c>
    </row>
    <row r="102" spans="1:10" x14ac:dyDescent="0.3">
      <c r="A102" s="139" t="s">
        <v>394</v>
      </c>
      <c r="B102" s="141" t="s">
        <v>816</v>
      </c>
      <c r="C102" s="18"/>
      <c r="D102" s="14">
        <v>6254.1090000000004</v>
      </c>
      <c r="E102" s="14">
        <v>3626.34</v>
      </c>
      <c r="F102" s="14">
        <v>4491.6689999999999</v>
      </c>
      <c r="G102" s="14">
        <v>5272.527</v>
      </c>
      <c r="H102" s="14">
        <v>17036.374</v>
      </c>
      <c r="I102" s="8" t="s">
        <v>245</v>
      </c>
    </row>
    <row r="103" spans="1:10" x14ac:dyDescent="0.3">
      <c r="A103" s="139" t="s">
        <v>396</v>
      </c>
      <c r="B103" s="141" t="s">
        <v>354</v>
      </c>
      <c r="C103" s="18"/>
      <c r="D103" s="17" t="str">
        <f>IF(AND(ABS(D86-D100)&lt;0.005,ABS(D96-D101)&lt;0.005,ABS(D99-D102)&lt;0.005),"PASS","FAIL")</f>
        <v>PASS</v>
      </c>
      <c r="E103" s="17" t="str">
        <f>IF(AND(ABS(E86-E100)&lt;0.005,ABS(E96-E101)&lt;0.005,ABS(E99-E102)&lt;0.005),"PASS","FAIL")</f>
        <v>PASS</v>
      </c>
      <c r="F103" s="17" t="str">
        <f>IF(AND(ABS(F86-F100)&lt;0.005,ABS(F96-F101)&lt;0.005,ABS(F99-F102)&lt;0.005),"PASS","FAIL")</f>
        <v>PASS</v>
      </c>
      <c r="G103" s="17" t="str">
        <f>IF(AND(ABS(G86-G100)&lt;0.005,ABS(G96-G101)&lt;0.005,ABS(G99-G102)&lt;0.005),"PASS","FAIL")</f>
        <v>PASS</v>
      </c>
      <c r="H103" s="17" t="str">
        <f>IF(AND(ABS(H86-H100)&lt;0.005,ABS(H96-H101)&lt;0.005,ABS(H99-H102)&lt;0.005),"PASS","FAIL")</f>
        <v>PASS</v>
      </c>
      <c r="I103" s="8"/>
    </row>
    <row r="104" spans="1:10" x14ac:dyDescent="0.3">
      <c r="A104" s="146" t="s">
        <v>397</v>
      </c>
      <c r="B104" s="147"/>
      <c r="C104" s="13"/>
      <c r="D104" s="13"/>
      <c r="E104" s="13"/>
      <c r="F104" s="13"/>
      <c r="G104" s="13"/>
      <c r="H104" s="13"/>
      <c r="I104" s="13"/>
      <c r="J104" s="13"/>
    </row>
    <row r="105" spans="1:10" x14ac:dyDescent="0.3">
      <c r="A105" s="139" t="s">
        <v>398</v>
      </c>
      <c r="B105" s="141" t="s">
        <v>817</v>
      </c>
      <c r="C105" s="18"/>
      <c r="D105" s="14">
        <v>46.652000000000001</v>
      </c>
      <c r="E105" s="14">
        <v>51.000999999999998</v>
      </c>
      <c r="F105" s="14">
        <v>67.572999999999993</v>
      </c>
      <c r="G105" s="14">
        <v>82.866</v>
      </c>
      <c r="H105" s="14">
        <v>140.834</v>
      </c>
      <c r="I105" s="8" t="s">
        <v>245</v>
      </c>
    </row>
    <row r="106" spans="1:10" x14ac:dyDescent="0.3">
      <c r="A106" s="139" t="s">
        <v>400</v>
      </c>
      <c r="B106" s="141" t="s">
        <v>401</v>
      </c>
      <c r="C106" s="18"/>
      <c r="D106" s="15">
        <f>-D95-D105</f>
        <v>1447.278</v>
      </c>
      <c r="E106" s="15">
        <f>-E95-E105</f>
        <v>1690.0250000000001</v>
      </c>
      <c r="F106" s="15">
        <f>-F95-F105</f>
        <v>2683.1750000000002</v>
      </c>
      <c r="G106" s="15">
        <f>-G95-G105</f>
        <v>4055.42</v>
      </c>
      <c r="H106" s="15">
        <f>-H95-H105</f>
        <v>3413.9540000000002</v>
      </c>
      <c r="I106" s="8" t="s">
        <v>245</v>
      </c>
    </row>
    <row r="107" spans="1:10" x14ac:dyDescent="0.3">
      <c r="A107" s="139" t="s">
        <v>402</v>
      </c>
      <c r="B107" s="141" t="s">
        <v>818</v>
      </c>
      <c r="C107" s="18"/>
      <c r="D107" s="14">
        <v>3287.7020000000002</v>
      </c>
      <c r="E107" s="14">
        <v>3233.9769999999999</v>
      </c>
      <c r="F107" s="14">
        <v>3475.3490000000002</v>
      </c>
      <c r="G107" s="14">
        <v>4520.3469999999998</v>
      </c>
      <c r="H107" s="14">
        <v>4413.3</v>
      </c>
      <c r="I107" s="8" t="s">
        <v>245</v>
      </c>
    </row>
    <row r="108" spans="1:10" x14ac:dyDescent="0.3">
      <c r="A108" s="144" t="s">
        <v>404</v>
      </c>
      <c r="B108" s="141" t="s">
        <v>405</v>
      </c>
      <c r="C108" s="19"/>
      <c r="D108" s="16">
        <f>D96-D95</f>
        <v>8783.5309999999972</v>
      </c>
      <c r="E108" s="16">
        <f>E96-E95</f>
        <v>8924.5380000000005</v>
      </c>
      <c r="F108" s="16">
        <f>F96-F95</f>
        <v>12001.414999999997</v>
      </c>
      <c r="G108" s="16">
        <f>G96-G95</f>
        <v>13069.733999999999</v>
      </c>
      <c r="H108" s="16">
        <f>H96-H95</f>
        <v>25219.024999999998</v>
      </c>
      <c r="I108" s="8" t="s">
        <v>245</v>
      </c>
    </row>
    <row r="109" spans="1:10" x14ac:dyDescent="0.3">
      <c r="A109" s="144" t="s">
        <v>406</v>
      </c>
      <c r="B109" s="141" t="s">
        <v>407</v>
      </c>
      <c r="C109" s="19"/>
      <c r="D109" s="16">
        <f>D108+D107</f>
        <v>12071.232999999997</v>
      </c>
      <c r="E109" s="16">
        <f>E108+E107</f>
        <v>12158.514999999999</v>
      </c>
      <c r="F109" s="16">
        <f>F108+F107</f>
        <v>15476.763999999997</v>
      </c>
      <c r="G109" s="16">
        <f>G108+G107</f>
        <v>17590.080999999998</v>
      </c>
      <c r="H109" s="16">
        <f>H108+H107</f>
        <v>29632.324999999997</v>
      </c>
      <c r="I109" s="8" t="s">
        <v>245</v>
      </c>
    </row>
    <row r="110" spans="1:10" x14ac:dyDescent="0.3">
      <c r="A110" s="139" t="s">
        <v>408</v>
      </c>
      <c r="B110" s="141" t="s">
        <v>409</v>
      </c>
      <c r="C110" s="18"/>
      <c r="D110" s="15">
        <f>-(D97+D98)</f>
        <v>1035.492</v>
      </c>
      <c r="E110" s="15">
        <f>-(E97+E98)</f>
        <v>3557.172</v>
      </c>
      <c r="F110" s="15">
        <f>-(F97+F98)</f>
        <v>4758.9979999999996</v>
      </c>
      <c r="G110" s="15">
        <f>-(G97+G98)</f>
        <v>3658.9210000000003</v>
      </c>
      <c r="H110" s="15">
        <f>-(H97+H98)</f>
        <v>4627.8629999999994</v>
      </c>
      <c r="I110" s="8" t="s">
        <v>245</v>
      </c>
    </row>
    <row r="111" spans="1:10" x14ac:dyDescent="0.3">
      <c r="A111" s="139" t="s">
        <v>410</v>
      </c>
      <c r="B111" s="141" t="s">
        <v>411</v>
      </c>
      <c r="C111" s="18"/>
      <c r="D111" s="20">
        <f>IF(D96&lt;=0,"n/m",D110/D96)</f>
        <v>0.14205057313836525</v>
      </c>
      <c r="E111" s="20">
        <f>IF(E96&lt;=0,"n/m",E110/E96)</f>
        <v>0.49518564178635738</v>
      </c>
      <c r="F111" s="20">
        <f>IF(F96&lt;=0,"n/m",F110/F96)</f>
        <v>0.51444917431359283</v>
      </c>
      <c r="G111" s="20">
        <f>IF(G96&lt;=0,"n/m",G110/G96)</f>
        <v>0.40966716707078188</v>
      </c>
      <c r="H111" s="20">
        <f>IF(H96&lt;=0,"n/m",H110/H96)</f>
        <v>0.21361763167565051</v>
      </c>
      <c r="I111" s="8" t="s">
        <v>412</v>
      </c>
    </row>
    <row r="112" spans="1:10" x14ac:dyDescent="0.3">
      <c r="A112" s="139" t="s">
        <v>413</v>
      </c>
      <c r="B112" s="141" t="s">
        <v>414</v>
      </c>
      <c r="C112" s="18"/>
      <c r="D112" s="20">
        <f>D111</f>
        <v>0.14205057313836525</v>
      </c>
      <c r="E112" s="20">
        <f>E111</f>
        <v>0.49518564178635738</v>
      </c>
      <c r="F112" s="20">
        <f>F111</f>
        <v>0.51444917431359283</v>
      </c>
      <c r="G112" s="20">
        <f>G111</f>
        <v>0.40966716707078188</v>
      </c>
      <c r="H112" s="20">
        <f>H111</f>
        <v>0.21361763167565051</v>
      </c>
      <c r="I112" s="8" t="s">
        <v>412</v>
      </c>
    </row>
    <row r="113" spans="1:10" x14ac:dyDescent="0.3">
      <c r="A113" s="139" t="s">
        <v>415</v>
      </c>
      <c r="B113" s="141" t="s">
        <v>416</v>
      </c>
      <c r="C113" s="18"/>
      <c r="D113" s="15">
        <f>IF(ISNUMBER(D112),D108*(1-D112),"n/m")</f>
        <v>7535.8253872713994</v>
      </c>
      <c r="E113" s="15">
        <f>IF(ISNUMBER(E112),E108*(1-E112),"n/m")</f>
        <v>4505.2349228232661</v>
      </c>
      <c r="F113" s="15">
        <f>IF(ISNUMBER(F112),F108*(1-F112),"n/m")</f>
        <v>5827.2969626552313</v>
      </c>
      <c r="G113" s="15">
        <f>IF(ISNUMBER(G112),G108*(1-G112),"n/m")</f>
        <v>7715.4930978513212</v>
      </c>
      <c r="H113" s="15">
        <f>IF(ISNUMBER(H112),H108*(1-H112),"n/m")</f>
        <v>19831.796606330976</v>
      </c>
      <c r="I113" s="8" t="s">
        <v>245</v>
      </c>
    </row>
    <row r="114" spans="1:10" x14ac:dyDescent="0.3">
      <c r="A114" s="139"/>
      <c r="B114" s="139"/>
    </row>
    <row r="115" spans="1:10" x14ac:dyDescent="0.3">
      <c r="A115" s="142" t="s">
        <v>417</v>
      </c>
      <c r="B115" s="143"/>
      <c r="C115" s="10"/>
      <c r="D115" s="10"/>
      <c r="E115" s="10"/>
      <c r="F115" s="10"/>
      <c r="G115" s="10"/>
      <c r="H115" s="10"/>
      <c r="I115" s="10"/>
      <c r="J115" s="10"/>
    </row>
    <row r="116" spans="1:10" x14ac:dyDescent="0.3">
      <c r="A116" s="139" t="s">
        <v>418</v>
      </c>
      <c r="B116" s="141" t="s">
        <v>819</v>
      </c>
      <c r="C116" s="18"/>
      <c r="D116" s="14">
        <v>9013.1689999999999</v>
      </c>
      <c r="E116" s="14">
        <v>12905.198</v>
      </c>
      <c r="F116" s="14">
        <v>19906.827000000001</v>
      </c>
      <c r="G116" s="14">
        <v>12810.291999999999</v>
      </c>
      <c r="H116" s="14">
        <v>23320.309000000001</v>
      </c>
      <c r="I116" s="8" t="s">
        <v>245</v>
      </c>
    </row>
    <row r="117" spans="1:10" x14ac:dyDescent="0.3">
      <c r="A117" s="139" t="s">
        <v>420</v>
      </c>
      <c r="B117" s="141" t="s">
        <v>820</v>
      </c>
      <c r="C117" s="18"/>
      <c r="D117" s="14">
        <v>6551.9669999999996</v>
      </c>
      <c r="E117" s="14">
        <v>8330.107</v>
      </c>
      <c r="F117" s="14">
        <v>20143.665000000001</v>
      </c>
      <c r="G117" s="14">
        <v>9496.2430000000004</v>
      </c>
      <c r="H117" s="14">
        <v>19316.636999999999</v>
      </c>
      <c r="I117" s="8" t="s">
        <v>245</v>
      </c>
    </row>
    <row r="118" spans="1:10" x14ac:dyDescent="0.3">
      <c r="A118" s="139" t="s">
        <v>422</v>
      </c>
      <c r="B118" s="141" t="s">
        <v>821</v>
      </c>
      <c r="C118" s="18"/>
      <c r="D118" s="14">
        <v>-1733.6210000000001</v>
      </c>
      <c r="E118" s="14">
        <v>-1296.7809999999999</v>
      </c>
      <c r="F118" s="14">
        <v>-2527.7860000000001</v>
      </c>
      <c r="G118" s="14">
        <v>-4145.5379999999996</v>
      </c>
      <c r="H118" s="14">
        <v>-4093.0120000000002</v>
      </c>
      <c r="I118" s="8" t="s">
        <v>245</v>
      </c>
    </row>
    <row r="119" spans="1:10" x14ac:dyDescent="0.3">
      <c r="A119" s="139" t="s">
        <v>424</v>
      </c>
      <c r="B119" s="141" t="s">
        <v>822</v>
      </c>
      <c r="C119" s="18"/>
      <c r="D119" s="21" t="s">
        <v>823</v>
      </c>
      <c r="E119" s="21" t="s">
        <v>823</v>
      </c>
      <c r="F119" s="21" t="s">
        <v>823</v>
      </c>
      <c r="G119" s="21" t="s">
        <v>823</v>
      </c>
      <c r="H119" s="21" t="s">
        <v>823</v>
      </c>
      <c r="I119" s="8" t="s">
        <v>427</v>
      </c>
    </row>
    <row r="120" spans="1:10" x14ac:dyDescent="0.3">
      <c r="A120" s="139" t="s">
        <v>428</v>
      </c>
      <c r="B120" s="141" t="s">
        <v>429</v>
      </c>
      <c r="C120" s="18"/>
      <c r="D120" s="15">
        <f>IF(D119="Financing",D117+D118,D117)</f>
        <v>4818.3459999999995</v>
      </c>
      <c r="E120" s="15">
        <f>IF(E119="Financing",E117+E118,E117)</f>
        <v>7033.326</v>
      </c>
      <c r="F120" s="15">
        <f>IF(F119="Financing",F117+F118,F117)</f>
        <v>17615.879000000001</v>
      </c>
      <c r="G120" s="15">
        <f>IF(G119="Financing",G117+G118,G117)</f>
        <v>5350.7050000000008</v>
      </c>
      <c r="H120" s="15">
        <f>IF(H119="Financing",H117+H118,H117)</f>
        <v>15223.624999999998</v>
      </c>
      <c r="I120" s="8" t="s">
        <v>245</v>
      </c>
    </row>
    <row r="121" spans="1:10" x14ac:dyDescent="0.3">
      <c r="A121" s="139" t="s">
        <v>430</v>
      </c>
      <c r="B121" s="141" t="s">
        <v>824</v>
      </c>
      <c r="C121" s="18"/>
      <c r="D121" s="14">
        <v>-3285.3</v>
      </c>
      <c r="E121" s="14">
        <v>-15790.494000000001</v>
      </c>
      <c r="F121" s="14">
        <v>-9071.1260000000002</v>
      </c>
      <c r="G121" s="14">
        <v>-3099.319</v>
      </c>
      <c r="H121" s="14">
        <v>-423.78100000000001</v>
      </c>
      <c r="I121" s="8" t="s">
        <v>245</v>
      </c>
    </row>
    <row r="122" spans="1:10" x14ac:dyDescent="0.3">
      <c r="A122" s="139" t="s">
        <v>432</v>
      </c>
      <c r="B122" s="141" t="s">
        <v>825</v>
      </c>
      <c r="C122" s="18"/>
      <c r="D122" s="14">
        <v>251.00700000000001</v>
      </c>
      <c r="E122" s="14">
        <v>-15819.32</v>
      </c>
      <c r="F122" s="14">
        <v>-12174.483</v>
      </c>
      <c r="G122" s="14">
        <v>-3030.8850000000002</v>
      </c>
      <c r="H122" s="14">
        <v>-9999.0400000000009</v>
      </c>
      <c r="I122" s="8" t="s">
        <v>245</v>
      </c>
    </row>
    <row r="123" spans="1:10" x14ac:dyDescent="0.3">
      <c r="A123" s="139" t="s">
        <v>434</v>
      </c>
      <c r="B123" s="141" t="s">
        <v>826</v>
      </c>
      <c r="C123" s="18"/>
      <c r="D123" s="14">
        <v>-6732.6880000000001</v>
      </c>
      <c r="E123" s="14">
        <v>6601.5159999999996</v>
      </c>
      <c r="F123" s="14">
        <v>-6632.4030000000002</v>
      </c>
      <c r="G123" s="14">
        <v>-7482.3620000000001</v>
      </c>
      <c r="H123" s="14">
        <v>-7569.1610000000001</v>
      </c>
      <c r="I123" s="8" t="s">
        <v>245</v>
      </c>
    </row>
    <row r="124" spans="1:10" x14ac:dyDescent="0.3">
      <c r="A124" s="139" t="s">
        <v>436</v>
      </c>
      <c r="B124" s="141" t="s">
        <v>827</v>
      </c>
      <c r="C124" s="18"/>
      <c r="D124" s="14">
        <v>-19.919</v>
      </c>
      <c r="E124" s="14">
        <v>-0.56499999999999995</v>
      </c>
      <c r="F124" s="14">
        <v>-0.191</v>
      </c>
      <c r="G124" s="14">
        <v>-0.122</v>
      </c>
      <c r="H124" s="14">
        <v>-0.379</v>
      </c>
      <c r="I124" s="8" t="s">
        <v>245</v>
      </c>
    </row>
    <row r="125" spans="1:10" x14ac:dyDescent="0.3">
      <c r="A125" s="139"/>
      <c r="B125" s="139"/>
    </row>
    <row r="126" spans="1:10" x14ac:dyDescent="0.3">
      <c r="A126" s="142" t="s">
        <v>438</v>
      </c>
      <c r="B126" s="143"/>
      <c r="C126" s="10"/>
      <c r="D126" s="10"/>
      <c r="E126" s="10"/>
      <c r="F126" s="10"/>
      <c r="G126" s="10"/>
      <c r="H126" s="10"/>
      <c r="I126" s="10"/>
      <c r="J126" s="10"/>
    </row>
    <row r="127" spans="1:10" x14ac:dyDescent="0.3">
      <c r="A127" s="139" t="s">
        <v>439</v>
      </c>
      <c r="B127" s="141" t="s">
        <v>828</v>
      </c>
      <c r="C127" s="18"/>
      <c r="D127" s="22">
        <v>10</v>
      </c>
      <c r="E127" s="22">
        <v>10</v>
      </c>
      <c r="F127" s="22">
        <v>10</v>
      </c>
      <c r="G127" s="22">
        <v>10</v>
      </c>
      <c r="H127" s="22">
        <v>10</v>
      </c>
      <c r="I127" s="8" t="s">
        <v>441</v>
      </c>
    </row>
    <row r="128" spans="1:10" x14ac:dyDescent="0.3">
      <c r="A128" s="139" t="s">
        <v>442</v>
      </c>
      <c r="B128" s="141" t="s">
        <v>443</v>
      </c>
      <c r="C128" s="18"/>
      <c r="D128" s="23">
        <f>D39/D127-D135</f>
        <v>1098.3462</v>
      </c>
      <c r="E128" s="23">
        <f>E39/E127-E135</f>
        <v>1079.8011999999999</v>
      </c>
      <c r="F128" s="23">
        <f>F39/F127-F135</f>
        <v>1073.3462</v>
      </c>
      <c r="G128" s="23">
        <f>G39/G127-G135</f>
        <v>1047.5626</v>
      </c>
      <c r="H128" s="23">
        <f>H39/H127-H135</f>
        <v>1047.5626</v>
      </c>
      <c r="I128" s="8" t="s">
        <v>444</v>
      </c>
    </row>
    <row r="129" spans="1:10" x14ac:dyDescent="0.3">
      <c r="A129" s="139" t="s">
        <v>445</v>
      </c>
      <c r="B129" s="141" t="s">
        <v>829</v>
      </c>
      <c r="C129" s="18"/>
      <c r="D129" s="24">
        <v>1098.346</v>
      </c>
      <c r="E129" s="24">
        <v>1097.5239999999999</v>
      </c>
      <c r="F129" s="24">
        <v>1073.405</v>
      </c>
      <c r="G129" s="24">
        <v>1058.9110000000001</v>
      </c>
      <c r="H129" s="24">
        <v>1047.5630000000001</v>
      </c>
      <c r="I129" s="8" t="s">
        <v>444</v>
      </c>
    </row>
    <row r="130" spans="1:10" x14ac:dyDescent="0.3">
      <c r="A130" s="139" t="s">
        <v>447</v>
      </c>
      <c r="B130" s="141" t="s">
        <v>830</v>
      </c>
      <c r="C130" s="18"/>
      <c r="D130" s="22">
        <v>46.98</v>
      </c>
      <c r="E130" s="22">
        <v>27.35</v>
      </c>
      <c r="F130" s="22">
        <v>28.33</v>
      </c>
      <c r="G130" s="22">
        <v>38</v>
      </c>
      <c r="H130" s="22">
        <v>84.28</v>
      </c>
      <c r="I130" s="8" t="s">
        <v>441</v>
      </c>
    </row>
    <row r="131" spans="1:10" x14ac:dyDescent="0.3">
      <c r="A131" s="139" t="s">
        <v>449</v>
      </c>
      <c r="B131" s="141" t="s">
        <v>831</v>
      </c>
      <c r="C131" s="18"/>
      <c r="D131" s="22">
        <v>0</v>
      </c>
      <c r="E131" s="22">
        <v>0</v>
      </c>
      <c r="F131" s="22">
        <v>0</v>
      </c>
      <c r="G131" s="22">
        <v>0</v>
      </c>
      <c r="H131" s="22">
        <v>0</v>
      </c>
      <c r="I131" s="8" t="s">
        <v>441</v>
      </c>
    </row>
    <row r="132" spans="1:10" x14ac:dyDescent="0.3">
      <c r="A132" s="139" t="s">
        <v>451</v>
      </c>
      <c r="B132" s="141" t="s">
        <v>832</v>
      </c>
      <c r="C132" s="18"/>
      <c r="D132" s="22">
        <v>5.69</v>
      </c>
      <c r="E132" s="22">
        <v>3.3</v>
      </c>
      <c r="F132" s="22">
        <v>4.18</v>
      </c>
      <c r="G132" s="22">
        <v>4.9800000000000004</v>
      </c>
      <c r="H132" s="22">
        <v>16.260000000000002</v>
      </c>
      <c r="I132" s="8" t="s">
        <v>441</v>
      </c>
    </row>
    <row r="133" spans="1:10" x14ac:dyDescent="0.3">
      <c r="A133" s="139" t="s">
        <v>453</v>
      </c>
      <c r="B133" s="141" t="s">
        <v>454</v>
      </c>
      <c r="C133" s="18"/>
      <c r="D133" s="15">
        <f>D130*D128</f>
        <v>51600.304475999998</v>
      </c>
      <c r="E133" s="15">
        <f>E130*E128</f>
        <v>29532.562819999999</v>
      </c>
      <c r="F133" s="15">
        <f>F130*F128</f>
        <v>30407.897845999996</v>
      </c>
      <c r="G133" s="15">
        <f>G130*G128</f>
        <v>39807.378799999999</v>
      </c>
      <c r="H133" s="15">
        <f>H130*H128</f>
        <v>88288.575928000006</v>
      </c>
      <c r="I133" s="8" t="s">
        <v>245</v>
      </c>
    </row>
    <row r="134" spans="1:10" x14ac:dyDescent="0.3">
      <c r="A134" s="139" t="s">
        <v>455</v>
      </c>
      <c r="B134" s="141" t="s">
        <v>833</v>
      </c>
      <c r="C134" s="18"/>
      <c r="D134" s="22">
        <v>1</v>
      </c>
      <c r="E134" s="22">
        <v>1</v>
      </c>
      <c r="F134" s="22">
        <v>1</v>
      </c>
      <c r="G134" s="22">
        <v>1</v>
      </c>
      <c r="H134" s="22">
        <v>1</v>
      </c>
      <c r="I134" s="8" t="s">
        <v>457</v>
      </c>
    </row>
    <row r="135" spans="1:10" x14ac:dyDescent="0.3">
      <c r="A135" s="139" t="s">
        <v>458</v>
      </c>
      <c r="B135" s="141"/>
      <c r="C135" s="18"/>
      <c r="D135" s="22">
        <v>0</v>
      </c>
      <c r="E135" s="22">
        <v>18.545000000000002</v>
      </c>
      <c r="F135" s="22">
        <v>0</v>
      </c>
      <c r="G135" s="22">
        <v>0</v>
      </c>
      <c r="H135" s="22">
        <v>0</v>
      </c>
    </row>
    <row r="136" spans="1:10" x14ac:dyDescent="0.3">
      <c r="A136" s="142" t="s">
        <v>9356</v>
      </c>
      <c r="B136" s="143"/>
      <c r="C136" s="10"/>
      <c r="D136" s="10"/>
      <c r="E136" s="10"/>
      <c r="F136" s="10"/>
      <c r="G136" s="10"/>
      <c r="H136" s="10"/>
      <c r="I136" s="10"/>
      <c r="J136" s="10"/>
    </row>
    <row r="137" spans="1:10" ht="22.05" customHeight="1" x14ac:dyDescent="0.3">
      <c r="A137" s="207" t="s">
        <v>459</v>
      </c>
      <c r="B137" s="205"/>
      <c r="C137" s="206"/>
      <c r="D137" s="206"/>
      <c r="E137" s="206"/>
      <c r="F137" s="206"/>
      <c r="G137" s="206"/>
      <c r="H137" s="206"/>
      <c r="I137" s="13"/>
      <c r="J137" s="13"/>
    </row>
    <row r="138" spans="1:10" x14ac:dyDescent="0.3">
      <c r="A138" s="150" t="s">
        <v>460</v>
      </c>
      <c r="B138" s="148" t="s">
        <v>461</v>
      </c>
      <c r="C138" s="18"/>
      <c r="D138" s="87">
        <f>IF(OR((D61)&lt;=0,(D36)&lt;0),"n/m",(D36)/(D61))</f>
        <v>1.4780988568182505</v>
      </c>
      <c r="E138" s="87">
        <f>IF(OR((E61)&lt;=0,(E36)&lt;0),"n/m",(E36)/(E61))</f>
        <v>1.2549557408945418</v>
      </c>
      <c r="F138" s="87">
        <f>IF(OR((F61)&lt;=0,(F36)&lt;0),"n/m",(F36)/(F61))</f>
        <v>1.3715472215546312</v>
      </c>
      <c r="G138" s="87">
        <f>IF(OR((G61)&lt;=0,(G36)&lt;0),"n/m",(G36)/(G61))</f>
        <v>1.4446782415124371</v>
      </c>
      <c r="H138" s="87">
        <f>IF(OR((H61)&lt;=0,(H36)&lt;0),"n/m",(H36)/(H61))</f>
        <v>1.5324411303645513</v>
      </c>
      <c r="I138" s="8" t="s">
        <v>462</v>
      </c>
    </row>
    <row r="139" spans="1:10" x14ac:dyDescent="0.3">
      <c r="A139" s="150" t="s">
        <v>463</v>
      </c>
      <c r="B139" s="148" t="s">
        <v>464</v>
      </c>
      <c r="C139" s="18"/>
      <c r="D139" s="87">
        <f>IF(OR((D61)&lt;=0,(D36-D65)&lt;0),"n/m",(D36-D65)/(D61))</f>
        <v>0.43971691910387301</v>
      </c>
      <c r="E139" s="87">
        <f>IF(OR((E61)&lt;=0,(E36-E65)&lt;0),"n/m",(E36-E65)/(E61))</f>
        <v>0.29473524106223353</v>
      </c>
      <c r="F139" s="87">
        <f>IF(OR((F61)&lt;=0,(F36-F65)&lt;0),"n/m",(F36-F65)/(F61))</f>
        <v>0.5204561252187091</v>
      </c>
      <c r="G139" s="87">
        <f>IF(OR((G61)&lt;=0,(G36-G65)&lt;0),"n/m",(G36-G65)/(G61))</f>
        <v>0.60942670638462615</v>
      </c>
      <c r="H139" s="87">
        <f>IF(OR((H61)&lt;=0,(H36-H65)&lt;0),"n/m",(H36-H65)/(H61))</f>
        <v>0.80788282595509864</v>
      </c>
      <c r="I139" s="8" t="s">
        <v>462</v>
      </c>
    </row>
    <row r="140" spans="1:10" x14ac:dyDescent="0.3">
      <c r="A140" s="150" t="s">
        <v>465</v>
      </c>
      <c r="B140" s="148" t="s">
        <v>466</v>
      </c>
      <c r="C140" s="18"/>
      <c r="D140" s="87">
        <f>IF(OR((D61)&lt;=0,(D34)&lt;0),"n/m",(D34)/(D61))</f>
        <v>4.2825558053104403E-2</v>
      </c>
      <c r="E140" s="87">
        <f>IF(OR((E61)&lt;=0,(E34)&lt;0),"n/m",(E34)/(E61))</f>
        <v>4.9006165540003331E-2</v>
      </c>
      <c r="F140" s="87">
        <f>IF(OR((F61)&lt;=0,(F34)&lt;0),"n/m",(F34)/(F61))</f>
        <v>4.5680298533070048E-2</v>
      </c>
      <c r="G140" s="87">
        <f>IF(OR((G61)&lt;=0,(G34)&lt;0),"n/m",(G34)/(G61))</f>
        <v>6.0943337383991658E-2</v>
      </c>
      <c r="H140" s="87">
        <f>IF(OR((H61)&lt;=0,(H34)&lt;0),"n/m",(H34)/(H61))</f>
        <v>6.9243334827372452E-2</v>
      </c>
      <c r="I140" s="8" t="s">
        <v>462</v>
      </c>
    </row>
    <row r="141" spans="1:10" x14ac:dyDescent="0.3">
      <c r="A141" s="150" t="s">
        <v>467</v>
      </c>
      <c r="B141" s="148" t="s">
        <v>468</v>
      </c>
      <c r="C141" s="18"/>
      <c r="D141" s="88">
        <f>IF(OR((1)&lt;=0,(D36-D61)&lt;0),"n/m",(D36-D61)/(1))</f>
        <v>5473.9680000000026</v>
      </c>
      <c r="E141" s="88">
        <f>IF(OR((1)&lt;=0,(E36-E61)&lt;0),"n/m",(E36-E61)/(1))</f>
        <v>4128.5980000000036</v>
      </c>
      <c r="F141" s="88">
        <f>IF(OR((1)&lt;=0,(F36-F61)&lt;0),"n/m",(F36-F61)/(1))</f>
        <v>6024.645999999997</v>
      </c>
      <c r="G141" s="88">
        <f>IF(OR((1)&lt;=0,(G36-G61)&lt;0),"n/m",(G36-G61)/(1))</f>
        <v>8270.0370000000003</v>
      </c>
      <c r="H141" s="88">
        <f>IF(OR((1)&lt;=0,(H36-H61)&lt;0),"n/m",(H36-H61)/(1))</f>
        <v>12422.112999999994</v>
      </c>
      <c r="I141" s="8" t="s">
        <v>245</v>
      </c>
    </row>
    <row r="142" spans="1:10" x14ac:dyDescent="0.3">
      <c r="A142" s="150" t="s">
        <v>469</v>
      </c>
      <c r="B142" s="148" t="s">
        <v>470</v>
      </c>
      <c r="C142" s="18"/>
      <c r="D142" s="88">
        <f>IF(OR((1)&lt;=0,(D72-D73)&lt;0),"n/m",(D72-D73)/(1))</f>
        <v>8772.3020000000015</v>
      </c>
      <c r="E142" s="88">
        <f>IF(OR((1)&lt;=0,(E72-E73)&lt;0),"n/m",(E72-E73)/(1))</f>
        <v>10212.653</v>
      </c>
      <c r="F142" s="88">
        <f>IF(OR((1)&lt;=0,(F72-F73)&lt;0),"n/m",(F72-F73)/(1))</f>
        <v>5291.2239999999983</v>
      </c>
      <c r="G142" s="88">
        <f>IF(OR((1)&lt;=0,(G72-G73)&lt;0),"n/m",(G72-G73)/(1))</f>
        <v>9031.93</v>
      </c>
      <c r="H142" s="88">
        <f>IF(OR((1)&lt;=0,(H72-H73)&lt;0),"n/m",(H72-H73)/(1))</f>
        <v>4949.6489999999976</v>
      </c>
      <c r="I142" s="8" t="s">
        <v>245</v>
      </c>
    </row>
    <row r="143" spans="1:10" ht="22.05" customHeight="1" x14ac:dyDescent="0.3">
      <c r="A143" s="207" t="s">
        <v>471</v>
      </c>
      <c r="B143" s="205"/>
      <c r="C143" s="206"/>
      <c r="D143" s="206"/>
      <c r="E143" s="206"/>
      <c r="F143" s="206"/>
      <c r="G143" s="206"/>
      <c r="H143" s="206"/>
      <c r="I143" s="13"/>
      <c r="J143" s="13"/>
    </row>
    <row r="144" spans="1:10" x14ac:dyDescent="0.3">
      <c r="A144" s="150" t="s">
        <v>472</v>
      </c>
      <c r="B144" s="148" t="s">
        <v>473</v>
      </c>
      <c r="C144" s="18"/>
      <c r="D144" s="87">
        <f>IF(OR((AVERAGE(C65,D65))&lt;=0,(-D85)&lt;0),"n/m",(-D85)/(AVERAGE(C65,D65)))</f>
        <v>2.5503561154199565</v>
      </c>
      <c r="E144" s="87">
        <f>IF(OR((AVERAGE(D65,E65))&lt;=0,(-E85)&lt;0),"n/m",(-E85)/(AVERAGE(D65,E65)))</f>
        <v>2.6418827583195736</v>
      </c>
      <c r="F144" s="87">
        <f>IF(OR((AVERAGE(E65,F65))&lt;=0,(-F85)&lt;0),"n/m",(-F85)/(AVERAGE(E65,F65)))</f>
        <v>2.991643999189634</v>
      </c>
      <c r="G144" s="87">
        <f>IF(OR((AVERAGE(F65,G65))&lt;=0,(-G85)&lt;0),"n/m",(-G85)/(AVERAGE(F65,G65)))</f>
        <v>3.1013565995658121</v>
      </c>
      <c r="H144" s="87">
        <f>IF(OR((AVERAGE(G65,H65))&lt;=0,(-H85)&lt;0),"n/m",(-H85)/(AVERAGE(G65,H65)))</f>
        <v>2.7865732877055658</v>
      </c>
      <c r="I144" s="8" t="s">
        <v>462</v>
      </c>
    </row>
    <row r="145" spans="1:10" x14ac:dyDescent="0.3">
      <c r="A145" s="150" t="s">
        <v>474</v>
      </c>
      <c r="B145" s="148" t="s">
        <v>475</v>
      </c>
      <c r="C145" s="18"/>
      <c r="D145" s="87">
        <f>IF(OR((AVERAGE(C32,D32))&lt;=0,(D84)&lt;0),"n/m",(D84)/(AVERAGE(C32,D32)))</f>
        <v>15.020941563038772</v>
      </c>
      <c r="E145" s="87">
        <f>IF(OR((AVERAGE(D32,E32))&lt;=0,(E84)&lt;0),"n/m",(E84)/(AVERAGE(D32,E32)))</f>
        <v>25.905344380386534</v>
      </c>
      <c r="F145" s="87">
        <f>IF(OR((AVERAGE(E32,F32))&lt;=0,(F84)&lt;0),"n/m",(F84)/(AVERAGE(E32,F32)))</f>
        <v>26.600659453629234</v>
      </c>
      <c r="G145" s="87">
        <f>IF(OR((AVERAGE(F32,G32))&lt;=0,(G84)&lt;0),"n/m",(G84)/(AVERAGE(F32,G32)))</f>
        <v>19.574371293114748</v>
      </c>
      <c r="H145" s="87">
        <f>IF(OR((AVERAGE(G32,H32))&lt;=0,(H84)&lt;0),"n/m",(H84)/(AVERAGE(G32,H32)))</f>
        <v>15.67064847793373</v>
      </c>
      <c r="I145" s="8" t="s">
        <v>462</v>
      </c>
    </row>
    <row r="146" spans="1:10" x14ac:dyDescent="0.3">
      <c r="A146" s="150" t="s">
        <v>476</v>
      </c>
      <c r="B146" s="148" t="s">
        <v>477</v>
      </c>
      <c r="C146" s="18"/>
      <c r="D146" s="87">
        <f>IF(OR((AVERAGE(C51,D51))&lt;=0,(-D85)&lt;0),"n/m",(-D85)/(AVERAGE(C51,D51)))</f>
        <v>7.2602146292371854</v>
      </c>
      <c r="E146" s="87">
        <f>IF(OR((AVERAGE(D51,E51))&lt;=0,(-E85)&lt;0),"n/m",(-E85)/(AVERAGE(D51,E51)))</f>
        <v>9.4325162502916413</v>
      </c>
      <c r="F146" s="87">
        <f>IF(OR((AVERAGE(E51,F51))&lt;=0,(-F85)&lt;0),"n/m",(-F85)/(AVERAGE(E51,F51)))</f>
        <v>8.1416462547085988</v>
      </c>
      <c r="G146" s="87">
        <f>IF(OR((AVERAGE(F51,G51))&lt;=0,(-G85)&lt;0),"n/m",(-G85)/(AVERAGE(F51,G51)))</f>
        <v>7.535611628959118</v>
      </c>
      <c r="H146" s="87">
        <f>IF(OR((AVERAGE(G51,H51))&lt;=0,(-H85)&lt;0),"n/m",(-H85)/(AVERAGE(G51,H51)))</f>
        <v>7.1065730520996766</v>
      </c>
      <c r="I146" s="8" t="s">
        <v>462</v>
      </c>
    </row>
    <row r="147" spans="1:10" x14ac:dyDescent="0.3">
      <c r="A147" s="150" t="s">
        <v>478</v>
      </c>
      <c r="B147" s="148" t="s">
        <v>479</v>
      </c>
      <c r="C147" s="18"/>
      <c r="D147" s="89">
        <f>IF(OR((-D85)&lt;=0,(365*AVERAGE(C65,D65))&lt;0),"n/m",(365*AVERAGE(C65,D65))/(-D85))</f>
        <v>143.11726813096334</v>
      </c>
      <c r="E147" s="89">
        <f>IF(OR((-E85)&lt;=0,(365*AVERAGE(D65,E65))&lt;0),"n/m",(365*AVERAGE(D65,E65))/(-E85))</f>
        <v>138.1590454196257</v>
      </c>
      <c r="F147" s="89">
        <f>IF(OR((-F85)&lt;=0,(365*AVERAGE(E65,F65))&lt;0),"n/m",(365*AVERAGE(E65,F65))/(-F85))</f>
        <v>122.0064954583065</v>
      </c>
      <c r="G147" s="89">
        <f>IF(OR((-G85)&lt;=0,(365*AVERAGE(F65,G65))&lt;0),"n/m",(365*AVERAGE(F65,G65))/(-G85))</f>
        <v>117.69043264844159</v>
      </c>
      <c r="H147" s="89">
        <f>IF(OR((-H85)&lt;=0,(365*AVERAGE(G65,H65))&lt;0),"n/m",(365*AVERAGE(G65,H65))/(-H85))</f>
        <v>130.98525045452405</v>
      </c>
      <c r="I147" s="8" t="s">
        <v>480</v>
      </c>
    </row>
    <row r="148" spans="1:10" x14ac:dyDescent="0.3">
      <c r="A148" s="150" t="s">
        <v>481</v>
      </c>
      <c r="B148" s="148" t="s">
        <v>482</v>
      </c>
      <c r="C148" s="18"/>
      <c r="D148" s="89">
        <f>IF(OR((D84)&lt;=0,(365*AVERAGE(C32,D32))&lt;0),"n/m",(365*AVERAGE(C32,D32))/(D84))</f>
        <v>24.299408826550263</v>
      </c>
      <c r="E148" s="89">
        <f>IF(OR((E84)&lt;=0,(365*AVERAGE(D32,E32))&lt;0),"n/m",(365*AVERAGE(D32,E32))/(E84))</f>
        <v>14.089756717395696</v>
      </c>
      <c r="F148" s="89">
        <f>IF(OR((F84)&lt;=0,(365*AVERAGE(E32,F32))&lt;0),"n/m",(365*AVERAGE(E32,F32))/(F84))</f>
        <v>13.72146433573479</v>
      </c>
      <c r="G148" s="89">
        <f>IF(OR((G84)&lt;=0,(365*AVERAGE(F32,G32))&lt;0),"n/m",(365*AVERAGE(F32,G32))/(G84))</f>
        <v>18.646831335440545</v>
      </c>
      <c r="H148" s="89">
        <f>IF(OR((H84)&lt;=0,(365*AVERAGE(G32,H32))&lt;0),"n/m",(365*AVERAGE(G32,H32))/(H84))</f>
        <v>23.291952500495849</v>
      </c>
      <c r="I148" s="8" t="s">
        <v>480</v>
      </c>
    </row>
    <row r="149" spans="1:10" x14ac:dyDescent="0.3">
      <c r="A149" s="150" t="s">
        <v>483</v>
      </c>
      <c r="B149" s="148" t="s">
        <v>484</v>
      </c>
      <c r="C149" s="18"/>
      <c r="D149" s="89">
        <f>IF(OR((-D85)&lt;=0,(365*AVERAGE(C51,D51))&lt;0),"n/m",(365*AVERAGE(C51,D51))/(-D85))</f>
        <v>50.273995830664546</v>
      </c>
      <c r="E149" s="89">
        <f>IF(OR((-E85)&lt;=0,(365*AVERAGE(D51,E51))&lt;0),"n/m",(365*AVERAGE(D51,E51))/(-E85))</f>
        <v>38.695931214400467</v>
      </c>
      <c r="F149" s="89">
        <f>IF(OR((-F85)&lt;=0,(365*AVERAGE(E51,F51))&lt;0),"n/m",(365*AVERAGE(E51,F51))/(-F85))</f>
        <v>44.831228056476625</v>
      </c>
      <c r="G149" s="89">
        <f>IF(OR((-G85)&lt;=0,(365*AVERAGE(F51,G51))&lt;0),"n/m",(365*AVERAGE(F51,G51))/(-G85))</f>
        <v>48.436678795562727</v>
      </c>
      <c r="H149" s="89">
        <f>IF(OR((-H85)&lt;=0,(365*AVERAGE(G51,H51))&lt;0),"n/m",(365*AVERAGE(G51,H51))/(-H85))</f>
        <v>51.360901706647297</v>
      </c>
      <c r="I149" s="8" t="s">
        <v>480</v>
      </c>
    </row>
    <row r="150" spans="1:10" x14ac:dyDescent="0.3">
      <c r="A150" s="150" t="s">
        <v>485</v>
      </c>
      <c r="B150" s="148" t="s">
        <v>486</v>
      </c>
      <c r="C150" s="18"/>
      <c r="D150" s="89">
        <f>IF(OR((1)&lt;=0,(365*AVERAGE(C65,D65)/(-D85)+365*AVERAGE(C32,D32)/D84)&lt;0),"n/m",(365*AVERAGE(C65,D65)/(-D85)+365*AVERAGE(C32,D32)/D84)/(1))</f>
        <v>167.4166769575136</v>
      </c>
      <c r="E150" s="89">
        <f>IF(OR((1)&lt;=0,(365*AVERAGE(D65,E65)/(-E85)+365*AVERAGE(D32,E32)/E84)&lt;0),"n/m",(365*AVERAGE(D65,E65)/(-E85)+365*AVERAGE(D32,E32)/E84)/(1))</f>
        <v>152.24880213702139</v>
      </c>
      <c r="F150" s="89">
        <f>IF(OR((1)&lt;=0,(365*AVERAGE(E65,F65)/(-F85)+365*AVERAGE(E32,F32)/F84)&lt;0),"n/m",(365*AVERAGE(E65,F65)/(-F85)+365*AVERAGE(E32,F32)/F84)/(1))</f>
        <v>135.72795979404128</v>
      </c>
      <c r="G150" s="89">
        <f>IF(OR((1)&lt;=0,(365*AVERAGE(F65,G65)/(-G85)+365*AVERAGE(F32,G32)/G84)&lt;0),"n/m",(365*AVERAGE(F65,G65)/(-G85)+365*AVERAGE(F32,G32)/G84)/(1))</f>
        <v>136.33726398388214</v>
      </c>
      <c r="H150" s="89">
        <f>IF(OR((1)&lt;=0,(365*AVERAGE(G65,H65)/(-H85)+365*AVERAGE(G32,H32)/H84)&lt;0),"n/m",(365*AVERAGE(G65,H65)/(-H85)+365*AVERAGE(G32,H32)/H84)/(1))</f>
        <v>154.2772029550199</v>
      </c>
      <c r="I150" s="8" t="s">
        <v>480</v>
      </c>
    </row>
    <row r="151" spans="1:10" x14ac:dyDescent="0.3">
      <c r="A151" s="150" t="s">
        <v>487</v>
      </c>
      <c r="B151" s="148" t="s">
        <v>488</v>
      </c>
      <c r="C151" s="18"/>
      <c r="D151" s="89">
        <f>IF(OR((1)&lt;=0,(365*AVERAGE(C65,D65)/(-D85)+365*AVERAGE(C32,D32)/D84-365*AVERAGE(C51,D51)/(-D85))&lt;0),"n/m",(365*AVERAGE(C65,D65)/(-D85)+365*AVERAGE(C32,D32)/D84-365*AVERAGE(C51,D51)/(-D85))/(1))</f>
        <v>117.14268112684906</v>
      </c>
      <c r="E151" s="89">
        <f>IF(OR((1)&lt;=0,(365*AVERAGE(D65,E65)/(-E85)+365*AVERAGE(D32,E32)/E84-365*AVERAGE(D51,E51)/(-E85))&lt;0),"n/m",(365*AVERAGE(D65,E65)/(-E85)+365*AVERAGE(D32,E32)/E84-365*AVERAGE(D51,E51)/(-E85))/(1))</f>
        <v>113.55287092262091</v>
      </c>
      <c r="F151" s="89">
        <f>IF(OR((1)&lt;=0,(365*AVERAGE(E65,F65)/(-F85)+365*AVERAGE(E32,F32)/F84-365*AVERAGE(E51,F51)/(-F85))&lt;0),"n/m",(365*AVERAGE(E65,F65)/(-F85)+365*AVERAGE(E32,F32)/F84-365*AVERAGE(E51,F51)/(-F85))/(1))</f>
        <v>90.896731737564664</v>
      </c>
      <c r="G151" s="89">
        <f>IF(OR((1)&lt;=0,(365*AVERAGE(F65,G65)/(-G85)+365*AVERAGE(F32,G32)/G84-365*AVERAGE(F51,G51)/(-G85))&lt;0),"n/m",(365*AVERAGE(F65,G65)/(-G85)+365*AVERAGE(F32,G32)/G84-365*AVERAGE(F51,G51)/(-G85))/(1))</f>
        <v>87.900585188319411</v>
      </c>
      <c r="H151" s="89">
        <f>IF(OR((1)&lt;=0,(365*AVERAGE(G65,H65)/(-H85)+365*AVERAGE(G32,H32)/H84-365*AVERAGE(G51,H51)/(-H85))&lt;0),"n/m",(365*AVERAGE(G65,H65)/(-H85)+365*AVERAGE(G32,H32)/H84-365*AVERAGE(G51,H51)/(-H85))/(1))</f>
        <v>102.9163012483726</v>
      </c>
      <c r="I151" s="8" t="s">
        <v>480</v>
      </c>
    </row>
    <row r="152" spans="1:10" x14ac:dyDescent="0.3">
      <c r="A152" s="150" t="s">
        <v>489</v>
      </c>
      <c r="B152" s="148" t="s">
        <v>490</v>
      </c>
      <c r="C152" s="18"/>
      <c r="D152" s="87">
        <f>IF(OR((AVERAGE(C37,D37))&lt;=0,(D84)&lt;0),"n/m",(D84)/(AVERAGE(C37,D37)))</f>
        <v>0.53744508968075833</v>
      </c>
      <c r="E152" s="87">
        <f>IF(OR((AVERAGE(D37,E37))&lt;=0,(E84)&lt;0),"n/m",(E84)/(AVERAGE(D37,E37)))</f>
        <v>0.65366765919302627</v>
      </c>
      <c r="F152" s="87">
        <f>IF(OR((AVERAGE(E37,F37))&lt;=0,(F84)&lt;0),"n/m",(F84)/(AVERAGE(E37,F37)))</f>
        <v>0.72213314787239957</v>
      </c>
      <c r="G152" s="87">
        <f>IF(OR((AVERAGE(F37,G37))&lt;=0,(G84)&lt;0),"n/m",(G84)/(AVERAGE(F37,G37)))</f>
        <v>0.70292648738788954</v>
      </c>
      <c r="H152" s="87">
        <f>IF(OR((AVERAGE(G37,H37))&lt;=0,(H84)&lt;0),"n/m",(H84)/(AVERAGE(G37,H37)))</f>
        <v>0.63113315053305719</v>
      </c>
      <c r="I152" s="8" t="s">
        <v>462</v>
      </c>
    </row>
    <row r="153" spans="1:10" x14ac:dyDescent="0.3">
      <c r="A153" s="150" t="s">
        <v>491</v>
      </c>
      <c r="B153" s="148" t="s">
        <v>492</v>
      </c>
      <c r="C153" s="18"/>
      <c r="D153" s="87">
        <f>IF(OR((AVERAGE(C22,D22))&lt;=0,(D84)&lt;0),"n/m",(D84)/(AVERAGE(C22,D22)))</f>
        <v>0.83828806929430799</v>
      </c>
      <c r="E153" s="87">
        <f>IF(OR((AVERAGE(D22,E22))&lt;=0,(E84)&lt;0),"n/m",(E84)/(AVERAGE(D22,E22)))</f>
        <v>1.1720665852059551</v>
      </c>
      <c r="F153" s="87">
        <f>IF(OR((AVERAGE(E22,F22))&lt;=0,(F84)&lt;0),"n/m",(F84)/(AVERAGE(E22,F22)))</f>
        <v>1.2158524918829576</v>
      </c>
      <c r="G153" s="87">
        <f>IF(OR((AVERAGE(F22,G22))&lt;=0,(G84)&lt;0),"n/m",(G84)/(AVERAGE(F22,G22)))</f>
        <v>1.0531088846951966</v>
      </c>
      <c r="H153" s="87">
        <f>IF(OR((AVERAGE(G22,H22))&lt;=0,(H84)&lt;0),"n/m",(H84)/(AVERAGE(G22,H22)))</f>
        <v>1.0752521941525262</v>
      </c>
      <c r="I153" s="8" t="s">
        <v>462</v>
      </c>
    </row>
    <row r="154" spans="1:10" ht="22.05" customHeight="1" x14ac:dyDescent="0.3">
      <c r="A154" s="207" t="s">
        <v>493</v>
      </c>
      <c r="B154" s="205"/>
      <c r="C154" s="206"/>
      <c r="D154" s="206"/>
      <c r="E154" s="206"/>
      <c r="F154" s="206"/>
      <c r="G154" s="206"/>
      <c r="H154" s="206"/>
      <c r="I154" s="13"/>
      <c r="J154" s="13"/>
    </row>
    <row r="155" spans="1:10" x14ac:dyDescent="0.3">
      <c r="A155" s="150" t="s">
        <v>494</v>
      </c>
      <c r="B155" s="148" t="s">
        <v>495</v>
      </c>
      <c r="C155" s="18"/>
      <c r="D155" s="90">
        <f>IF(OR((D37)&lt;=0,(D62)&lt;0),"n/m",(D62)/(D37))</f>
        <v>0.43322840867921292</v>
      </c>
      <c r="E155" s="90">
        <f>IF(OR((E37)&lt;=0,(E62)&lt;0),"n/m",(E62)/(E37))</f>
        <v>0.50666660909348882</v>
      </c>
      <c r="F155" s="90">
        <f>IF(OR((F37)&lt;=0,(F62)&lt;0),"n/m",(F62)/(F37))</f>
        <v>0.49933942690835115</v>
      </c>
      <c r="G155" s="90">
        <f>IF(OR((G37)&lt;=0,(G62)&lt;0),"n/m",(G62)/(G37))</f>
        <v>0.4704820926001394</v>
      </c>
      <c r="H155" s="90">
        <f>IF(OR((H37)&lt;=0,(H62)&lt;0),"n/m",(H62)/(H37))</f>
        <v>0.40001822406143511</v>
      </c>
      <c r="I155" s="8" t="s">
        <v>412</v>
      </c>
    </row>
    <row r="156" spans="1:10" x14ac:dyDescent="0.3">
      <c r="A156" s="150" t="s">
        <v>496</v>
      </c>
      <c r="B156" s="148" t="s">
        <v>497</v>
      </c>
      <c r="C156" s="18"/>
      <c r="D156" s="87">
        <f>IF(OR((D41)&lt;=0,(D62)&lt;0),"n/m",(D62)/(D41))</f>
        <v>0.76437918786583992</v>
      </c>
      <c r="E156" s="87">
        <f>IF(OR((E41)&lt;=0,(E62)&lt;0),"n/m",(E62)/(E41))</f>
        <v>1.0270267904681609</v>
      </c>
      <c r="F156" s="87">
        <f>IF(OR((F41)&lt;=0,(F62)&lt;0),"n/m",(F62)/(F41))</f>
        <v>0.99736119388203615</v>
      </c>
      <c r="G156" s="87">
        <f>IF(OR((G41)&lt;=0,(G62)&lt;0),"n/m",(G62)/(G41))</f>
        <v>0.88851025815234452</v>
      </c>
      <c r="H156" s="87">
        <f>IF(OR((H41)&lt;=0,(H62)&lt;0),"n/m",(H62)/(H41))</f>
        <v>0.66671729059716445</v>
      </c>
      <c r="I156" s="8" t="s">
        <v>462</v>
      </c>
    </row>
    <row r="157" spans="1:10" x14ac:dyDescent="0.3">
      <c r="A157" s="150" t="s">
        <v>498</v>
      </c>
      <c r="B157" s="148" t="s">
        <v>499</v>
      </c>
      <c r="C157" s="18"/>
      <c r="D157" s="90">
        <f>IF(OR((D66+D41)&lt;=0,(D66)&lt;0),"n/m",(D66)/(D66+D41))</f>
        <v>0.30189800416032447</v>
      </c>
      <c r="E157" s="90">
        <f>IF(OR((E66+E41)&lt;=0,(E66)&lt;0),"n/m",(E66)/(E66+E41))</f>
        <v>0.381087654689308</v>
      </c>
      <c r="F157" s="90">
        <f>IF(OR((F66+F41)&lt;=0,(F66)&lt;0),"n/m",(F66)/(F66+F41))</f>
        <v>0.30676284445350793</v>
      </c>
      <c r="G157" s="90">
        <f>IF(OR((G66+G41)&lt;=0,(G66)&lt;0),"n/m",(G66)/(G66+G41))</f>
        <v>0.2692569010491479</v>
      </c>
      <c r="H157" s="90">
        <f>IF(OR((H66+H41)&lt;=0,(H66)&lt;0),"n/m",(H66)/(H66+H41))</f>
        <v>0.1694536072536581</v>
      </c>
      <c r="I157" s="8" t="s">
        <v>412</v>
      </c>
    </row>
    <row r="158" spans="1:10" x14ac:dyDescent="0.3">
      <c r="A158" s="150" t="s">
        <v>500</v>
      </c>
      <c r="B158" s="148" t="s">
        <v>501</v>
      </c>
      <c r="C158" s="18"/>
      <c r="D158" s="90">
        <f>IF(OR((D37)&lt;=0,(D67)&lt;0),"n/m",(D67)/(D37))</f>
        <v>0.19077425632568037</v>
      </c>
      <c r="E158" s="90">
        <f>IF(OR((E37)&lt;=0,(E67)&lt;0),"n/m",(E67)/(E37))</f>
        <v>0.22836689667151214</v>
      </c>
      <c r="F158" s="90">
        <f>IF(OR((F37)&lt;=0,(F67)&lt;0),"n/m",(F67)/(F37))</f>
        <v>0.19245552926882725</v>
      </c>
      <c r="G158" s="90">
        <f>IF(OR((G37)&lt;=0,(G67)&lt;0),"n/m",(G67)/(G37))</f>
        <v>0.14411873105243719</v>
      </c>
      <c r="H158" s="90">
        <f>IF(OR((H37)&lt;=0,(H67)&lt;0),"n/m",(H67)/(H37))</f>
        <v>8.2364546531727131E-2</v>
      </c>
      <c r="I158" s="8" t="s">
        <v>412</v>
      </c>
    </row>
    <row r="159" spans="1:10" x14ac:dyDescent="0.3">
      <c r="A159" s="150" t="s">
        <v>502</v>
      </c>
      <c r="B159" s="148" t="s">
        <v>503</v>
      </c>
      <c r="C159" s="18"/>
      <c r="D159" s="87">
        <f>IF(OR((D106)&lt;=0,(D108)&lt;0),"n/m",(D108)/(D106))</f>
        <v>6.0690005651989436</v>
      </c>
      <c r="E159" s="87">
        <f>IF(OR((E106)&lt;=0,(E108)&lt;0),"n/m",(E108)/(E106))</f>
        <v>5.2807135989112588</v>
      </c>
      <c r="F159" s="87">
        <f>IF(OR((F106)&lt;=0,(F108)&lt;0),"n/m",(F108)/(F106))</f>
        <v>4.4728409440308576</v>
      </c>
      <c r="G159" s="87">
        <f>IF(OR((G106)&lt;=0,(G108)&lt;0),"n/m",(G108)/(G106))</f>
        <v>3.2227818573661908</v>
      </c>
      <c r="H159" s="87">
        <f>IF(OR((H106)&lt;=0,(H108)&lt;0),"n/m",(H108)/(H106))</f>
        <v>7.3870430005793857</v>
      </c>
      <c r="I159" s="8" t="s">
        <v>462</v>
      </c>
    </row>
    <row r="160" spans="1:10" ht="22.05" customHeight="1" x14ac:dyDescent="0.3">
      <c r="A160" s="205" t="s">
        <v>504</v>
      </c>
      <c r="B160" s="207"/>
      <c r="C160" s="206"/>
      <c r="D160" s="208"/>
      <c r="E160" s="208"/>
      <c r="F160" s="208"/>
      <c r="G160" s="208"/>
      <c r="H160" s="208"/>
      <c r="I160" s="8" t="s">
        <v>462</v>
      </c>
    </row>
    <row r="161" spans="1:10" x14ac:dyDescent="0.3">
      <c r="A161" s="150" t="s">
        <v>505</v>
      </c>
      <c r="B161" s="148" t="s">
        <v>506</v>
      </c>
      <c r="C161" s="18"/>
      <c r="D161" s="90">
        <f>IF(OR((D84)&lt;=0,(D86)&lt;0),"n/m",(D86)/(D84))</f>
        <v>0.20830714445240356</v>
      </c>
      <c r="E161" s="90">
        <f>IF(OR((E84)&lt;=0,(E86)&lt;0),"n/m",(E86)/(E84))</f>
        <v>0.25300003367709667</v>
      </c>
      <c r="F161" s="90">
        <f>IF(OR((F84)&lt;=0,(F86)&lt;0),"n/m",(F86)/(F84))</f>
        <v>0.29276322471727417</v>
      </c>
      <c r="G161" s="90">
        <f>IF(OR((G84)&lt;=0,(G86)&lt;0),"n/m",(G86)/(G84))</f>
        <v>0.31547845382378364</v>
      </c>
      <c r="H161" s="90">
        <f>IF(OR((H84)&lt;=0,(H86)&lt;0),"n/m",(H86)/(H84))</f>
        <v>0.34444405990469212</v>
      </c>
      <c r="I161" s="13"/>
      <c r="J161" s="13"/>
    </row>
    <row r="162" spans="1:10" x14ac:dyDescent="0.3">
      <c r="A162" s="150" t="s">
        <v>507</v>
      </c>
      <c r="B162" s="148" t="s">
        <v>508</v>
      </c>
      <c r="C162" s="18"/>
      <c r="D162" s="90">
        <f>IF(OR((D84)&lt;=0,(D91)&lt;0),"n/m",(D91)/(D84))</f>
        <v>0.14213957498981164</v>
      </c>
      <c r="E162" s="90">
        <f>IF(OR((E84)&lt;=0,(E91)&lt;0),"n/m",(E91)/(E84))</f>
        <v>0.18277011721154793</v>
      </c>
      <c r="F162" s="90">
        <f>IF(OR((F84)&lt;=0,(F91)&lt;0),"n/m",(F91)/(F84))</f>
        <v>0.19097413673296146</v>
      </c>
      <c r="G162" s="90">
        <f>IF(OR((G84)&lt;=0,(G91)&lt;0),"n/m",(G91)/(G84))</f>
        <v>0.19131892826420518</v>
      </c>
      <c r="H162" s="90">
        <f>IF(OR((H84)&lt;=0,(H91)&lt;0),"n/m",(H91)/(H84))</f>
        <v>0.22809306765820289</v>
      </c>
      <c r="I162" s="8" t="s">
        <v>412</v>
      </c>
    </row>
    <row r="163" spans="1:10" x14ac:dyDescent="0.3">
      <c r="A163" s="150" t="s">
        <v>509</v>
      </c>
      <c r="B163" s="148" t="s">
        <v>510</v>
      </c>
      <c r="C163" s="18"/>
      <c r="D163" s="90">
        <f>IF(OR((D84)&lt;=0,(D99)&lt;0),"n/m",(D99)/(D84))</f>
        <v>0.1759822170452098</v>
      </c>
      <c r="E163" s="90">
        <f>IF(OR((E84)&lt;=0,(E99)&lt;0),"n/m",(E99)/(E84))</f>
        <v>7.4739658936337147E-2</v>
      </c>
      <c r="F163" s="90">
        <f>IF(OR((F84)&lt;=0,(F99)&lt;0),"n/m",(F99)/(F84))</f>
        <v>7.2358441549152441E-2</v>
      </c>
      <c r="G163" s="90">
        <f>IF(OR((G84)&lt;=0,(G99)&lt;0),"n/m",(G99)/(G84))</f>
        <v>7.9342975209845082E-2</v>
      </c>
      <c r="H163" s="90">
        <f>IF(OR((H84)&lt;=0,(H99)&lt;0),"n/m",(H99)/(H84))</f>
        <v>0.24711008947956384</v>
      </c>
      <c r="I163" s="8" t="s">
        <v>412</v>
      </c>
    </row>
    <row r="164" spans="1:10" x14ac:dyDescent="0.3">
      <c r="A164" s="150" t="s">
        <v>511</v>
      </c>
      <c r="B164" s="148" t="s">
        <v>512</v>
      </c>
      <c r="C164" s="18"/>
      <c r="D164" s="90">
        <f>IF(OR((AVERAGE(C37,D37))&lt;=0,(D99)&lt;0),"n/m",(D99)/(AVERAGE(C37,D37)))</f>
        <v>9.4580778422081457E-2</v>
      </c>
      <c r="E164" s="90">
        <f>IF(OR((AVERAGE(D37,E37))&lt;=0,(E99)&lt;0),"n/m",(E99)/(AVERAGE(D37,E37)))</f>
        <v>4.8854897905800651E-2</v>
      </c>
      <c r="F164" s="90">
        <f>IF(OR((AVERAGE(E37,F37))&lt;=0,(F99)&lt;0),"n/m",(F99)/(AVERAGE(E37,F37)))</f>
        <v>5.2252429171030478E-2</v>
      </c>
      <c r="G164" s="90">
        <f>IF(OR((AVERAGE(F37,G37))&lt;=0,(G99)&lt;0),"n/m",(G99)/(AVERAGE(F37,G37)))</f>
        <v>5.5772278863160801E-2</v>
      </c>
      <c r="H164" s="90">
        <f>IF(OR((AVERAGE(G37,H37))&lt;=0,(H99)&lt;0),"n/m",(H99)/(AVERAGE(G37,H37)))</f>
        <v>0.15595936930174281</v>
      </c>
      <c r="I164" s="8" t="s">
        <v>412</v>
      </c>
    </row>
    <row r="165" spans="1:10" x14ac:dyDescent="0.3">
      <c r="A165" s="150" t="s">
        <v>513</v>
      </c>
      <c r="B165" s="148" t="s">
        <v>514</v>
      </c>
      <c r="C165" s="18"/>
      <c r="D165" s="90">
        <f>IF(OR((AVERAGE(C41,D41))&lt;=0,(D99)&lt;0),"n/m",(D99)/(AVERAGE(C41,D41)))</f>
        <v>0.18163818640771748</v>
      </c>
      <c r="E165" s="90">
        <f>IF(OR((AVERAGE(D41,E41))&lt;=0,(E99)&lt;0),"n/m",(E99)/(AVERAGE(D41,E41)))</f>
        <v>9.286217037724577E-2</v>
      </c>
      <c r="F165" s="90">
        <f>IF(OR((AVERAGE(E41,F41))&lt;=0,(F99)&lt;0),"n/m",(F99)/(AVERAGE(E41,F41)))</f>
        <v>0.10510254167180039</v>
      </c>
      <c r="G165" s="90">
        <f>IF(OR((AVERAGE(F41,G41))&lt;=0,(G99)&lt;0),"n/m",(G99)/(AVERAGE(F41,G41)))</f>
        <v>0.10812221617479151</v>
      </c>
      <c r="H165" s="90">
        <f>IF(OR((AVERAGE(G41,H41))&lt;=0,(H99)&lt;0),"n/m",(H99)/(AVERAGE(G41,H41)))</f>
        <v>0.2746085954343051</v>
      </c>
      <c r="I165" s="8" t="s">
        <v>412</v>
      </c>
    </row>
    <row r="166" spans="1:10" x14ac:dyDescent="0.3">
      <c r="A166" s="150" t="s">
        <v>515</v>
      </c>
      <c r="B166" s="148" t="s">
        <v>516</v>
      </c>
      <c r="C166" s="18"/>
      <c r="D166" s="90">
        <f>IF(OR((AVERAGE(C70,D70))&lt;=0,(D113)&lt;0),"n/m",(D113)/(AVERAGE(C70,D70)))</f>
        <v>0.14080488311422401</v>
      </c>
      <c r="E166" s="90">
        <f>IF(OR((AVERAGE(D70,E70))&lt;=0,(E113)&lt;0),"n/m",(E113)/(AVERAGE(D70,E70)))</f>
        <v>7.5521025119116542E-2</v>
      </c>
      <c r="F166" s="90">
        <f>IF(OR((AVERAGE(E70,F70))&lt;=0,(F113)&lt;0),"n/m",(F113)/(AVERAGE(E70,F70)))</f>
        <v>8.9430416861785711E-2</v>
      </c>
      <c r="G166" s="90">
        <f>IF(OR((AVERAGE(F70,G70))&lt;=0,(G113)&lt;0),"n/m",(G113)/(AVERAGE(F70,G70)))</f>
        <v>0.1128071865450392</v>
      </c>
      <c r="H166" s="90">
        <f>IF(OR((AVERAGE(G70,H70))&lt;=0,(H113)&lt;0),"n/m",(H113)/(AVERAGE(G70,H70)))</f>
        <v>0.25096399764604915</v>
      </c>
      <c r="I166" s="8" t="s">
        <v>412</v>
      </c>
    </row>
    <row r="167" spans="1:10" x14ac:dyDescent="0.3">
      <c r="A167" s="150" t="s">
        <v>517</v>
      </c>
      <c r="B167" s="148" t="s">
        <v>518</v>
      </c>
      <c r="C167" s="18"/>
      <c r="D167" s="90">
        <f>IF(OR((AVERAGE(C37,D37))&lt;=0,(D108)&lt;0),"n/m",(D108)/(AVERAGE(C37,D37)))</f>
        <v>0.13283318203671918</v>
      </c>
      <c r="E167" s="90">
        <f>IF(OR((AVERAGE(D37,E37))&lt;=0,(E108)&lt;0),"n/m",(E108)/(AVERAGE(D37,E37)))</f>
        <v>0.12023345655576649</v>
      </c>
      <c r="F167" s="90">
        <f>IF(OR((AVERAGE(E37,F37))&lt;=0,(F108)&lt;0),"n/m",(F108)/(AVERAGE(E37,F37)))</f>
        <v>0.13961471498448411</v>
      </c>
      <c r="G167" s="90">
        <f>IF(OR((AVERAGE(F37,G37))&lt;=0,(G108)&lt;0),"n/m",(G108)/(AVERAGE(F37,G37)))</f>
        <v>0.13825037772501389</v>
      </c>
      <c r="H167" s="90">
        <f>IF(OR((AVERAGE(G37,H37))&lt;=0,(H108)&lt;0),"n/m",(H108)/(AVERAGE(G37,H37)))</f>
        <v>0.23086739193474415</v>
      </c>
      <c r="I167" s="8" t="s">
        <v>412</v>
      </c>
    </row>
    <row r="168" spans="1:10" ht="22.05" customHeight="1" x14ac:dyDescent="0.3">
      <c r="A168" s="205" t="s">
        <v>519</v>
      </c>
      <c r="B168" s="207"/>
      <c r="C168" s="206"/>
      <c r="D168" s="209"/>
      <c r="E168" s="209"/>
      <c r="F168" s="209"/>
      <c r="G168" s="209"/>
      <c r="H168" s="209"/>
      <c r="I168" s="8" t="s">
        <v>412</v>
      </c>
    </row>
    <row r="169" spans="1:10" x14ac:dyDescent="0.3">
      <c r="A169" s="150" t="s">
        <v>520</v>
      </c>
      <c r="B169" s="148" t="s">
        <v>521</v>
      </c>
      <c r="C169" s="18"/>
      <c r="D169" s="91">
        <f>IF(OR((D128)&lt;=0,(D41)&lt;0),"n/m",(D41)/(D128))</f>
        <v>34.180972265393187</v>
      </c>
      <c r="E169" s="91">
        <f>IF(OR((E128)&lt;=0,(E41)&lt;0),"n/m",(E41)/(E128))</f>
        <v>37.561557627459578</v>
      </c>
      <c r="F169" s="91">
        <f>IF(OR((F128)&lt;=0,(F41)&lt;0),"n/m",(F41)/(F128))</f>
        <v>41.844014540695262</v>
      </c>
      <c r="G169" s="91">
        <f>IF(OR((G128)&lt;=0,(G41)&lt;0),"n/m",(G41)/(G128))</f>
        <v>50.226982139301263</v>
      </c>
      <c r="H169" s="91">
        <f>IF(OR((H128)&lt;=0,(H41)&lt;0),"n/m",(H41)/(H128))</f>
        <v>68.217013474898792</v>
      </c>
      <c r="I169" s="8" t="s">
        <v>412</v>
      </c>
    </row>
    <row r="170" spans="1:10" x14ac:dyDescent="0.3">
      <c r="A170" s="150" t="s">
        <v>522</v>
      </c>
      <c r="B170" s="148" t="s">
        <v>523</v>
      </c>
      <c r="C170" s="18"/>
      <c r="D170" s="87">
        <f>IF(OR((D41/D128)&lt;=0,(D130)&lt;0),"n/m",(D130)/(D41/D128))</f>
        <v>1.3744489078669448</v>
      </c>
      <c r="E170" s="87">
        <f>IF(OR((E41/E128)&lt;=0,(E130)&lt;0),"n/m",(E130)/(E41/E128))</f>
        <v>0.72813806794864222</v>
      </c>
      <c r="F170" s="87">
        <f>IF(OR((F41/F128)&lt;=0,(F130)&lt;0),"n/m",(F130)/(F41/F128))</f>
        <v>0.67703828877240613</v>
      </c>
      <c r="G170" s="87">
        <f>IF(OR((G41/G128)&lt;=0,(G130)&lt;0),"n/m",(G130)/(G41/G128))</f>
        <v>0.75656546305349337</v>
      </c>
      <c r="H170" s="87">
        <f>IF(OR((H41/H128)&lt;=0,(H130)&lt;0),"n/m",(H130)/(H41/H128))</f>
        <v>1.2354689205356633</v>
      </c>
      <c r="I170" s="13"/>
      <c r="J170" s="13"/>
    </row>
    <row r="171" spans="1:10" x14ac:dyDescent="0.3">
      <c r="A171" s="150" t="s">
        <v>524</v>
      </c>
      <c r="B171" s="148" t="s">
        <v>525</v>
      </c>
      <c r="C171" s="18"/>
      <c r="D171" s="91">
        <f>IF(OR((D129)&lt;=0,(D99)&lt;0),"n/m",(D99)/(D129))</f>
        <v>5.6941155155115029</v>
      </c>
      <c r="E171" s="91">
        <f>IF(OR((E129)&lt;=0,(E99)&lt;0),"n/m",(E99)/(E129))</f>
        <v>3.3041099784606085</v>
      </c>
      <c r="F171" s="91">
        <f>IF(OR((F129)&lt;=0,(F99)&lt;0),"n/m",(F99)/(F129))</f>
        <v>4.1845053824045904</v>
      </c>
      <c r="G171" s="91">
        <f>IF(OR((G129)&lt;=0,(G99)&lt;0),"n/m",(G99)/(G129))</f>
        <v>4.9791974962957211</v>
      </c>
      <c r="H171" s="91">
        <f>IF(OR((H129)&lt;=0,(H99)&lt;0),"n/m",(H99)/(H129))</f>
        <v>16.262863426829693</v>
      </c>
      <c r="I171" s="8" t="s">
        <v>441</v>
      </c>
    </row>
    <row r="172" spans="1:10" x14ac:dyDescent="0.3">
      <c r="A172" s="150" t="s">
        <v>526</v>
      </c>
      <c r="B172" s="148" t="s">
        <v>527</v>
      </c>
      <c r="C172" s="18"/>
      <c r="D172" s="87">
        <f>IF(OR((D99/D129)&lt;=0,(D130)&lt;0),"n/m",(D130)/(D99/D129))</f>
        <v>8.2506229232653325</v>
      </c>
      <c r="E172" s="87">
        <f>IF(OR((E99/E129)&lt;=0,(E130)&lt;0),"n/m",(E130)/(E99/E129))</f>
        <v>8.2775695053414715</v>
      </c>
      <c r="F172" s="87">
        <f>IF(OR((F99/F129)&lt;=0,(F130)&lt;0),"n/m",(F130)/(F99/F129))</f>
        <v>6.7702147353244424</v>
      </c>
      <c r="G172" s="87">
        <f>IF(OR((G99/G129)&lt;=0,(G130)&lt;0),"n/m",(G130)/(G99/G129))</f>
        <v>7.6317519094733912</v>
      </c>
      <c r="H172" s="87">
        <f>IF(OR((H99/H129)&lt;=0,(H130)&lt;0),"n/m",(H130)/(H99/H129))</f>
        <v>5.1823592062489379</v>
      </c>
      <c r="I172" s="8" t="s">
        <v>462</v>
      </c>
    </row>
    <row r="173" spans="1:10" x14ac:dyDescent="0.3">
      <c r="A173" s="150" t="s">
        <v>528</v>
      </c>
      <c r="B173" s="148" t="s">
        <v>529</v>
      </c>
      <c r="C173" s="18"/>
      <c r="D173" s="90">
        <f>IF(OR((D130)&lt;=0,(D131)&lt;0),"n/m",(D131)/(D130))</f>
        <v>0</v>
      </c>
      <c r="E173" s="90">
        <f>IF(OR((E130)&lt;=0,(E131)&lt;0),"n/m",(E131)/(E130))</f>
        <v>0</v>
      </c>
      <c r="F173" s="90">
        <f>IF(OR((F130)&lt;=0,(F131)&lt;0),"n/m",(F131)/(F130))</f>
        <v>0</v>
      </c>
      <c r="G173" s="90">
        <f>IF(OR((G130)&lt;=0,(G131)&lt;0),"n/m",(G131)/(G130))</f>
        <v>0</v>
      </c>
      <c r="H173" s="90">
        <f>IF(OR((H130)&lt;=0,(H131)&lt;0),"n/m",(H131)/(H130))</f>
        <v>0</v>
      </c>
      <c r="I173" s="8" t="s">
        <v>441</v>
      </c>
    </row>
    <row r="174" spans="1:10" x14ac:dyDescent="0.3">
      <c r="A174" s="150" t="s">
        <v>530</v>
      </c>
      <c r="B174" s="148" t="s">
        <v>531</v>
      </c>
      <c r="C174" s="18"/>
      <c r="D174" s="90">
        <f>IF(OR((D99/D129)&lt;=0,(D131)&lt;0),"n/m",(D131)/(D99/D129))</f>
        <v>0</v>
      </c>
      <c r="E174" s="90">
        <f>IF(OR((E99/E129)&lt;=0,(E131)&lt;0),"n/m",(E131)/(E99/E129))</f>
        <v>0</v>
      </c>
      <c r="F174" s="90">
        <f>IF(OR((F99/F129)&lt;=0,(F131)&lt;0),"n/m",(F131)/(F99/F129))</f>
        <v>0</v>
      </c>
      <c r="G174" s="90">
        <f>IF(OR((G99/G129)&lt;=0,(G131)&lt;0),"n/m",(G131)/(G99/G129))</f>
        <v>0</v>
      </c>
      <c r="H174" s="90">
        <f>IF(OR((H99/H129)&lt;=0,(H131)&lt;0),"n/m",(H131)/(H99/H129))</f>
        <v>0</v>
      </c>
      <c r="I174" s="8" t="s">
        <v>462</v>
      </c>
    </row>
    <row r="175" spans="1:10" x14ac:dyDescent="0.3">
      <c r="A175" s="139"/>
      <c r="B175" s="139"/>
      <c r="I175" s="8" t="s">
        <v>412</v>
      </c>
    </row>
    <row r="176" spans="1:10" x14ac:dyDescent="0.3">
      <c r="A176" s="149" t="s">
        <v>9357</v>
      </c>
      <c r="B176" s="149"/>
      <c r="C176" s="92"/>
      <c r="D176" s="92"/>
      <c r="E176" s="92"/>
      <c r="F176" s="92"/>
      <c r="G176" s="92"/>
      <c r="H176" s="92"/>
      <c r="I176" s="8" t="s">
        <v>412</v>
      </c>
    </row>
    <row r="177" spans="1:10" x14ac:dyDescent="0.3">
      <c r="A177" s="149" t="s">
        <v>532</v>
      </c>
      <c r="B177" s="149"/>
      <c r="C177" s="92"/>
      <c r="D177" s="92"/>
      <c r="E177" s="92"/>
      <c r="F177" s="92"/>
      <c r="G177" s="92"/>
      <c r="H177" s="92"/>
      <c r="I177" s="13"/>
      <c r="J177" s="13"/>
    </row>
    <row r="178" spans="1:10" x14ac:dyDescent="0.3">
      <c r="A178" s="149" t="s">
        <v>533</v>
      </c>
      <c r="B178" s="149"/>
      <c r="C178" s="92"/>
      <c r="D178" s="92"/>
      <c r="E178" s="92"/>
      <c r="F178" s="92"/>
      <c r="G178" s="92"/>
      <c r="H178" s="92"/>
      <c r="I178" s="8" t="s">
        <v>462</v>
      </c>
    </row>
    <row r="179" spans="1:10" x14ac:dyDescent="0.3">
      <c r="A179" s="139"/>
      <c r="B179" s="139"/>
      <c r="I179" s="13"/>
      <c r="J179" s="13"/>
    </row>
    <row r="180" spans="1:10" x14ac:dyDescent="0.3">
      <c r="A180" s="139"/>
      <c r="B180" s="139"/>
      <c r="I180" s="8" t="s">
        <v>412</v>
      </c>
    </row>
    <row r="181" spans="1:10" x14ac:dyDescent="0.3">
      <c r="A181" s="139"/>
      <c r="B181" s="139"/>
      <c r="I181" s="8" t="s">
        <v>412</v>
      </c>
    </row>
    <row r="182" spans="1:10" x14ac:dyDescent="0.3">
      <c r="A182" s="139"/>
      <c r="B182" s="139"/>
      <c r="I182" s="8" t="s">
        <v>462</v>
      </c>
    </row>
    <row r="183" spans="1:10" x14ac:dyDescent="0.3">
      <c r="A183" s="146"/>
      <c r="B183" s="147"/>
      <c r="C183" s="13"/>
      <c r="D183" s="13"/>
      <c r="E183" s="13"/>
      <c r="F183" s="13"/>
      <c r="G183" s="13"/>
      <c r="H183" s="13"/>
      <c r="I183" s="13"/>
      <c r="J183" s="13"/>
    </row>
    <row r="184" spans="1:10" x14ac:dyDescent="0.3">
      <c r="A184" s="139"/>
      <c r="B184" s="141"/>
      <c r="C184" s="18"/>
      <c r="D184" s="25"/>
      <c r="E184" s="25"/>
      <c r="F184" s="25"/>
      <c r="G184" s="25"/>
      <c r="H184" s="25"/>
      <c r="I184" s="8"/>
    </row>
    <row r="185" spans="1:10" x14ac:dyDescent="0.3">
      <c r="A185" s="139"/>
      <c r="B185" s="141"/>
      <c r="C185" s="18"/>
      <c r="D185" s="25"/>
      <c r="E185" s="25"/>
      <c r="F185" s="25"/>
      <c r="G185" s="25"/>
      <c r="H185" s="25"/>
      <c r="I185" s="8"/>
    </row>
    <row r="186" spans="1:10" x14ac:dyDescent="0.3">
      <c r="A186" s="139"/>
      <c r="B186" s="141"/>
      <c r="C186" s="18"/>
      <c r="D186" s="26"/>
      <c r="E186" s="26"/>
      <c r="F186" s="26"/>
      <c r="G186" s="26"/>
      <c r="H186" s="26"/>
      <c r="I186" s="8"/>
    </row>
    <row r="187" spans="1:10" x14ac:dyDescent="0.3">
      <c r="A187" s="139"/>
      <c r="B187" s="141"/>
      <c r="C187" s="18"/>
      <c r="D187" s="25"/>
      <c r="E187" s="25"/>
      <c r="F187" s="25"/>
      <c r="G187" s="25"/>
      <c r="H187" s="25"/>
      <c r="I187" s="8"/>
    </row>
    <row r="188" spans="1:10" x14ac:dyDescent="0.3">
      <c r="A188" s="139"/>
      <c r="B188" s="141"/>
      <c r="C188" s="18"/>
      <c r="D188" s="28"/>
      <c r="E188" s="28"/>
      <c r="F188" s="28"/>
      <c r="G188" s="28"/>
      <c r="H188" s="28"/>
      <c r="I188" s="8"/>
    </row>
    <row r="189" spans="1:10" x14ac:dyDescent="0.3">
      <c r="A189" s="139"/>
      <c r="B189" s="141"/>
      <c r="C189" s="18"/>
      <c r="D189" s="27"/>
      <c r="E189" s="27"/>
      <c r="F189" s="27"/>
      <c r="G189" s="27"/>
      <c r="H189" s="27"/>
      <c r="I189" s="8"/>
    </row>
    <row r="190" spans="1:10" x14ac:dyDescent="0.3">
      <c r="A190" s="139"/>
      <c r="B190" s="139"/>
    </row>
    <row r="191" spans="1:10" x14ac:dyDescent="0.3">
      <c r="A191" s="142" t="s">
        <v>534</v>
      </c>
      <c r="B191" s="143"/>
      <c r="C191" s="10"/>
      <c r="D191" s="10"/>
      <c r="E191" s="10"/>
      <c r="F191" s="10"/>
      <c r="G191" s="10"/>
      <c r="H191" s="10"/>
      <c r="I191" s="10"/>
      <c r="J191" s="10"/>
    </row>
    <row r="192" spans="1:10" x14ac:dyDescent="0.3">
      <c r="A192" s="146" t="s">
        <v>535</v>
      </c>
      <c r="B192" s="147"/>
      <c r="C192" s="13"/>
      <c r="D192" s="13"/>
      <c r="E192" s="13"/>
      <c r="F192" s="13"/>
      <c r="G192" s="13"/>
      <c r="H192" s="13"/>
      <c r="I192" s="13"/>
      <c r="J192" s="13"/>
    </row>
    <row r="193" spans="1:10" x14ac:dyDescent="0.3">
      <c r="A193" s="139" t="s">
        <v>536</v>
      </c>
      <c r="B193" s="141" t="s">
        <v>537</v>
      </c>
      <c r="C193" s="29">
        <f t="shared" ref="C193:H193" si="19">IF(C37=0,"n/m",C22/C37)</f>
        <v>0.65788070981188518</v>
      </c>
      <c r="D193" s="29">
        <f t="shared" si="19"/>
        <v>0.62442175169844094</v>
      </c>
      <c r="E193" s="29">
        <f t="shared" si="19"/>
        <v>0.5039522972975109</v>
      </c>
      <c r="F193" s="29">
        <f t="shared" si="19"/>
        <v>0.6763946078169355</v>
      </c>
      <c r="G193" s="29">
        <f t="shared" si="19"/>
        <v>0.65942710482276967</v>
      </c>
      <c r="H193" s="29">
        <f t="shared" si="19"/>
        <v>0.526508868705998</v>
      </c>
      <c r="I193" t="s">
        <v>412</v>
      </c>
    </row>
    <row r="194" spans="1:10" x14ac:dyDescent="0.3">
      <c r="A194" s="139" t="s">
        <v>538</v>
      </c>
      <c r="B194" s="141" t="s">
        <v>539</v>
      </c>
      <c r="C194" s="29">
        <f t="shared" ref="C194:H194" si="20">IF(C37=0,"n/m",C21/C37)</f>
        <v>1.3200863853928532E-2</v>
      </c>
      <c r="D194" s="29">
        <f t="shared" si="20"/>
        <v>4.3090641779036307E-2</v>
      </c>
      <c r="E194" s="29">
        <f t="shared" si="20"/>
        <v>0.18674144043955421</v>
      </c>
      <c r="F194" s="29">
        <f t="shared" si="20"/>
        <v>1.869177110092576E-2</v>
      </c>
      <c r="G194" s="29">
        <f t="shared" si="20"/>
        <v>4.7418182064105389E-3</v>
      </c>
      <c r="H194" s="29">
        <f t="shared" si="20"/>
        <v>1.0553936324645746E-3</v>
      </c>
      <c r="I194" t="s">
        <v>412</v>
      </c>
    </row>
    <row r="195" spans="1:10" x14ac:dyDescent="0.3">
      <c r="A195" s="139" t="s">
        <v>260</v>
      </c>
      <c r="B195" s="141" t="s">
        <v>540</v>
      </c>
      <c r="C195" s="29">
        <f t="shared" ref="C195:H195" si="21">IF(C37=0,"n/m",C28/C37)</f>
        <v>0.74841314023040617</v>
      </c>
      <c r="D195" s="29">
        <f t="shared" si="21"/>
        <v>0.74451086257310961</v>
      </c>
      <c r="E195" s="29">
        <f t="shared" si="21"/>
        <v>0.75281658730285195</v>
      </c>
      <c r="F195" s="29">
        <f t="shared" si="21"/>
        <v>0.75208745433266044</v>
      </c>
      <c r="G195" s="29">
        <f t="shared" si="21"/>
        <v>0.72960647520136779</v>
      </c>
      <c r="H195" s="29">
        <f t="shared" si="21"/>
        <v>0.69982601503828457</v>
      </c>
      <c r="I195" t="s">
        <v>412</v>
      </c>
    </row>
    <row r="196" spans="1:10" x14ac:dyDescent="0.3">
      <c r="A196" s="139" t="s">
        <v>541</v>
      </c>
      <c r="B196" s="141" t="s">
        <v>542</v>
      </c>
      <c r="C196" s="29">
        <f t="shared" ref="C196:H196" si="22">IF(C37=0,"n/m",C65/C37)</f>
        <v>0.1541440584606785</v>
      </c>
      <c r="D196" s="29">
        <f t="shared" si="22"/>
        <v>0.1794841423241359</v>
      </c>
      <c r="E196" s="29">
        <f t="shared" si="22"/>
        <v>0.18913063812204728</v>
      </c>
      <c r="F196" s="29">
        <f t="shared" si="22"/>
        <v>0.15383805746643114</v>
      </c>
      <c r="G196" s="29">
        <f t="shared" si="22"/>
        <v>0.15633003958046601</v>
      </c>
      <c r="H196" s="29">
        <f t="shared" si="22"/>
        <v>0.14192620470839862</v>
      </c>
      <c r="I196" t="s">
        <v>412</v>
      </c>
    </row>
    <row r="197" spans="1:10" x14ac:dyDescent="0.3">
      <c r="A197" s="139" t="s">
        <v>267</v>
      </c>
      <c r="B197" s="141" t="s">
        <v>543</v>
      </c>
      <c r="C197" s="29">
        <f t="shared" ref="C197:H197" si="23">IF(C37=0,"n/m",C32/C37)</f>
        <v>4.6237548680482465E-2</v>
      </c>
      <c r="D197" s="29">
        <f t="shared" si="23"/>
        <v>2.5358126639001111E-2</v>
      </c>
      <c r="E197" s="29">
        <f t="shared" si="23"/>
        <v>2.5132054422222147E-2</v>
      </c>
      <c r="F197" s="29">
        <f t="shared" si="23"/>
        <v>2.8993995845017155E-2</v>
      </c>
      <c r="G197" s="29">
        <f t="shared" si="23"/>
        <v>4.2154845774620656E-2</v>
      </c>
      <c r="H197" s="29">
        <f t="shared" si="23"/>
        <v>3.8706459041102891E-2</v>
      </c>
      <c r="I197" t="s">
        <v>412</v>
      </c>
    </row>
    <row r="198" spans="1:10" x14ac:dyDescent="0.3">
      <c r="A198" s="139" t="s">
        <v>269</v>
      </c>
      <c r="B198" s="141" t="s">
        <v>544</v>
      </c>
      <c r="C198" s="29">
        <f t="shared" ref="C198:H198" si="24">IF(C37=0,"n/m",C33/C37)</f>
        <v>1.1399069995258731E-3</v>
      </c>
      <c r="D198" s="29">
        <f t="shared" si="24"/>
        <v>2.2516549772779834E-3</v>
      </c>
      <c r="E198" s="29">
        <f t="shared" si="24"/>
        <v>2.4125513095607197E-3</v>
      </c>
      <c r="F198" s="29">
        <f t="shared" si="24"/>
        <v>4.1128638317390574E-2</v>
      </c>
      <c r="G198" s="29">
        <f t="shared" si="24"/>
        <v>4.247202771677247E-2</v>
      </c>
      <c r="H198" s="29">
        <f t="shared" si="24"/>
        <v>9.3214344692228696E-2</v>
      </c>
      <c r="I198" t="s">
        <v>412</v>
      </c>
    </row>
    <row r="199" spans="1:10" x14ac:dyDescent="0.3">
      <c r="A199" s="139" t="s">
        <v>545</v>
      </c>
      <c r="B199" s="141" t="s">
        <v>546</v>
      </c>
      <c r="C199" s="29">
        <f t="shared" ref="C199:H199" si="25">IF(C37=0,"n/m",C34/C37)</f>
        <v>1.5850183755371609E-2</v>
      </c>
      <c r="D199" s="29">
        <f t="shared" si="25"/>
        <v>7.402390466876769E-3</v>
      </c>
      <c r="E199" s="29">
        <f t="shared" si="25"/>
        <v>9.6525406009496419E-3</v>
      </c>
      <c r="F199" s="29">
        <f t="shared" si="25"/>
        <v>8.2568933232506619E-3</v>
      </c>
      <c r="G199" s="29">
        <f t="shared" si="25"/>
        <v>1.1406473313392042E-2</v>
      </c>
      <c r="H199" s="29">
        <f t="shared" si="25"/>
        <v>1.3563358053582253E-2</v>
      </c>
      <c r="I199" t="s">
        <v>412</v>
      </c>
    </row>
    <row r="200" spans="1:10" x14ac:dyDescent="0.3">
      <c r="A200" s="139" t="s">
        <v>275</v>
      </c>
      <c r="B200" s="141" t="s">
        <v>547</v>
      </c>
      <c r="C200" s="29">
        <f t="shared" ref="C200:H200" si="26">IF(C37=0,"n/m",C36/C37)</f>
        <v>0.25158685976959377</v>
      </c>
      <c r="D200" s="29">
        <f t="shared" si="26"/>
        <v>0.2554891374268905</v>
      </c>
      <c r="E200" s="29">
        <f t="shared" si="26"/>
        <v>0.24718341269714814</v>
      </c>
      <c r="F200" s="29">
        <f t="shared" si="26"/>
        <v>0.2479125456673395</v>
      </c>
      <c r="G200" s="29">
        <f t="shared" si="26"/>
        <v>0.27039352479863216</v>
      </c>
      <c r="H200" s="29">
        <f t="shared" si="26"/>
        <v>0.30017398496171543</v>
      </c>
      <c r="I200" t="s">
        <v>412</v>
      </c>
    </row>
    <row r="201" spans="1:10" x14ac:dyDescent="0.3">
      <c r="A201" s="139" t="s">
        <v>284</v>
      </c>
      <c r="B201" s="141" t="s">
        <v>548</v>
      </c>
      <c r="C201" s="29">
        <f t="shared" ref="C201:H201" si="27">IF(C37=0,"n/m",C41/C37)</f>
        <v>0.47448779969256361</v>
      </c>
      <c r="D201" s="29">
        <f t="shared" si="27"/>
        <v>0.56677159132078703</v>
      </c>
      <c r="E201" s="29">
        <f t="shared" si="27"/>
        <v>0.49333339090651124</v>
      </c>
      <c r="F201" s="29">
        <f t="shared" si="27"/>
        <v>0.50066057309164869</v>
      </c>
      <c r="G201" s="29">
        <f t="shared" si="27"/>
        <v>0.5295179073998606</v>
      </c>
      <c r="H201" s="29">
        <f t="shared" si="27"/>
        <v>0.59998177593856516</v>
      </c>
      <c r="I201" t="s">
        <v>412</v>
      </c>
    </row>
    <row r="202" spans="1:10" x14ac:dyDescent="0.3">
      <c r="A202" s="139" t="s">
        <v>549</v>
      </c>
      <c r="B202" s="141" t="s">
        <v>550</v>
      </c>
      <c r="C202" s="29">
        <f t="shared" ref="C202:H202" si="28">IF(C37=0,"n/m",C67/C37)</f>
        <v>0.22986145490491094</v>
      </c>
      <c r="D202" s="29">
        <f t="shared" si="28"/>
        <v>0.19077425632568037</v>
      </c>
      <c r="E202" s="29">
        <f t="shared" si="28"/>
        <v>0.22836689667151214</v>
      </c>
      <c r="F202" s="29">
        <f t="shared" si="28"/>
        <v>0.19245552926882725</v>
      </c>
      <c r="G202" s="29">
        <f t="shared" si="28"/>
        <v>0.14411873105243719</v>
      </c>
      <c r="H202" s="29">
        <f t="shared" si="28"/>
        <v>8.2364546531727131E-2</v>
      </c>
      <c r="I202" t="s">
        <v>412</v>
      </c>
    </row>
    <row r="203" spans="1:10" x14ac:dyDescent="0.3">
      <c r="A203" s="139" t="s">
        <v>297</v>
      </c>
      <c r="B203" s="141" t="s">
        <v>551</v>
      </c>
      <c r="C203" s="29">
        <f t="shared" ref="C203:H203" si="29">IF(C37=0,"n/m",C48/C37)</f>
        <v>0.29351965181033574</v>
      </c>
      <c r="D203" s="29">
        <f t="shared" si="29"/>
        <v>0.26037857779790413</v>
      </c>
      <c r="E203" s="29">
        <f t="shared" si="29"/>
        <v>0.30970076827351384</v>
      </c>
      <c r="F203" s="29">
        <f t="shared" si="29"/>
        <v>0.31858550041478589</v>
      </c>
      <c r="G203" s="29">
        <f t="shared" si="29"/>
        <v>0.28331686990283023</v>
      </c>
      <c r="H203" s="29">
        <f t="shared" si="29"/>
        <v>0.20413860492702354</v>
      </c>
      <c r="I203" t="s">
        <v>412</v>
      </c>
    </row>
    <row r="204" spans="1:10" x14ac:dyDescent="0.3">
      <c r="A204" s="139" t="s">
        <v>300</v>
      </c>
      <c r="B204" s="141" t="s">
        <v>552</v>
      </c>
      <c r="C204" s="29">
        <f t="shared" ref="C204:H204" si="30">IF(C37=0,"n/m",C50/C37)</f>
        <v>0.12045521260784253</v>
      </c>
      <c r="D204" s="29">
        <f t="shared" si="30"/>
        <v>0.1134015530785224</v>
      </c>
      <c r="E204" s="29">
        <f t="shared" si="30"/>
        <v>0.11089827415479638</v>
      </c>
      <c r="F204" s="29">
        <f t="shared" si="30"/>
        <v>0.13954407999553126</v>
      </c>
      <c r="G204" s="29">
        <f t="shared" si="30"/>
        <v>0.12561915491104866</v>
      </c>
      <c r="H204" s="29">
        <f t="shared" si="30"/>
        <v>0.15050649180344167</v>
      </c>
      <c r="I204" t="s">
        <v>412</v>
      </c>
    </row>
    <row r="205" spans="1:10" x14ac:dyDescent="0.3">
      <c r="A205" s="139" t="s">
        <v>553</v>
      </c>
      <c r="B205" s="141" t="s">
        <v>554</v>
      </c>
      <c r="C205" s="29">
        <f t="shared" ref="C205:H205" si="31">IF(C37=0,"n/m",C66/C37)</f>
        <v>0.3323813076097476</v>
      </c>
      <c r="D205" s="29">
        <f t="shared" si="31"/>
        <v>0.24510345659262772</v>
      </c>
      <c r="E205" s="29">
        <f t="shared" si="31"/>
        <v>0.30376396002588846</v>
      </c>
      <c r="F205" s="29">
        <f t="shared" si="31"/>
        <v>0.22154620576596809</v>
      </c>
      <c r="G205" s="29">
        <f t="shared" si="31"/>
        <v>0.19511145709239938</v>
      </c>
      <c r="H205" s="29">
        <f t="shared" si="31"/>
        <v>0.12241227835938212</v>
      </c>
      <c r="I205" t="s">
        <v>412</v>
      </c>
    </row>
    <row r="206" spans="1:10" x14ac:dyDescent="0.3">
      <c r="A206" s="139" t="s">
        <v>322</v>
      </c>
      <c r="B206" s="141" t="s">
        <v>555</v>
      </c>
      <c r="C206" s="29">
        <f t="shared" ref="C206:H206" si="32">IF(C37=0,"n/m",C61/C37)</f>
        <v>0.23199254849710049</v>
      </c>
      <c r="D206" s="29">
        <f t="shared" si="32"/>
        <v>0.17284983088130881</v>
      </c>
      <c r="E206" s="29">
        <f t="shared" si="32"/>
        <v>0.19696584081997504</v>
      </c>
      <c r="F206" s="29">
        <f t="shared" si="32"/>
        <v>0.18075392649356528</v>
      </c>
      <c r="G206" s="29">
        <f t="shared" si="32"/>
        <v>0.18716522269730912</v>
      </c>
      <c r="H206" s="29">
        <f t="shared" si="32"/>
        <v>0.19587961913441157</v>
      </c>
      <c r="I206" t="s">
        <v>412</v>
      </c>
    </row>
    <row r="207" spans="1:10" x14ac:dyDescent="0.3">
      <c r="A207" s="139" t="s">
        <v>325</v>
      </c>
      <c r="B207" s="141" t="s">
        <v>556</v>
      </c>
      <c r="C207" s="29">
        <f t="shared" ref="C207:H207" si="33">IF(C37=0,"n/m",C62/C37)</f>
        <v>0.52551220030743628</v>
      </c>
      <c r="D207" s="29">
        <f t="shared" si="33"/>
        <v>0.43322840867921292</v>
      </c>
      <c r="E207" s="29">
        <f t="shared" si="33"/>
        <v>0.50666660909348882</v>
      </c>
      <c r="F207" s="29">
        <f t="shared" si="33"/>
        <v>0.49933942690835115</v>
      </c>
      <c r="G207" s="29">
        <f t="shared" si="33"/>
        <v>0.4704820926001394</v>
      </c>
      <c r="H207" s="29">
        <f t="shared" si="33"/>
        <v>0.40001822406143511</v>
      </c>
      <c r="I207" t="s">
        <v>412</v>
      </c>
    </row>
    <row r="208" spans="1:10" x14ac:dyDescent="0.3">
      <c r="A208" s="146" t="s">
        <v>557</v>
      </c>
      <c r="B208" s="147"/>
      <c r="C208" s="13"/>
      <c r="D208" s="13"/>
      <c r="E208" s="13"/>
      <c r="F208" s="13"/>
      <c r="G208" s="13"/>
      <c r="H208" s="13"/>
      <c r="I208" s="13"/>
      <c r="J208" s="13"/>
    </row>
    <row r="209" spans="1:10" x14ac:dyDescent="0.3">
      <c r="A209" s="139" t="s">
        <v>360</v>
      </c>
      <c r="B209" s="141" t="s">
        <v>558</v>
      </c>
      <c r="C209" s="18"/>
      <c r="D209" s="29">
        <f>IF(D84=0,"n/m",D85/D84)</f>
        <v>-0.79169285554759639</v>
      </c>
      <c r="E209" s="29">
        <f>IF(E84=0,"n/m",E85/E84)</f>
        <v>-0.74699996632290333</v>
      </c>
      <c r="F209" s="29">
        <f>IF(F84=0,"n/m",F85/F84)</f>
        <v>-0.70723677528272588</v>
      </c>
      <c r="G209" s="29">
        <f>IF(G84=0,"n/m",G85/G84)</f>
        <v>-0.68452154617621641</v>
      </c>
      <c r="H209" s="29">
        <f>IF(H84=0,"n/m",H85/H84)</f>
        <v>-0.65555594009530793</v>
      </c>
      <c r="I209" t="s">
        <v>412</v>
      </c>
    </row>
    <row r="210" spans="1:10" x14ac:dyDescent="0.3">
      <c r="A210" s="139" t="s">
        <v>362</v>
      </c>
      <c r="B210" s="141" t="s">
        <v>559</v>
      </c>
      <c r="C210" s="18"/>
      <c r="D210" s="29">
        <f>IF(D84=0,"n/m",D86/D84)</f>
        <v>0.20830714445240356</v>
      </c>
      <c r="E210" s="29">
        <f>IF(E84=0,"n/m",E86/E84)</f>
        <v>0.25300003367709667</v>
      </c>
      <c r="F210" s="29">
        <f>IF(F84=0,"n/m",F86/F84)</f>
        <v>0.29276322471727417</v>
      </c>
      <c r="G210" s="29">
        <f>IF(G84=0,"n/m",G86/G84)</f>
        <v>0.31547845382378364</v>
      </c>
      <c r="H210" s="29">
        <f>IF(H84=0,"n/m",H86/H84)</f>
        <v>0.34444405990469212</v>
      </c>
      <c r="I210" t="s">
        <v>412</v>
      </c>
    </row>
    <row r="211" spans="1:10" x14ac:dyDescent="0.3">
      <c r="A211" s="139" t="s">
        <v>560</v>
      </c>
      <c r="B211" s="141" t="s">
        <v>561</v>
      </c>
      <c r="C211" s="18"/>
      <c r="D211" s="29">
        <f>IF(D84=0,"n/m",D87/D84)</f>
        <v>-2.852843190224541E-2</v>
      </c>
      <c r="E211" s="29">
        <f>IF(E84=0,"n/m",E87/E84)</f>
        <v>-3.0583008251795527E-2</v>
      </c>
      <c r="F211" s="29">
        <f>IF(F84=0,"n/m",F87/F84)</f>
        <v>-6.0428197327376434E-2</v>
      </c>
      <c r="G211" s="29">
        <f>IF(G84=0,"n/m",G87/G84)</f>
        <v>-8.2341830871047628E-2</v>
      </c>
      <c r="H211" s="29">
        <f>IF(H84=0,"n/m",H87/H84)</f>
        <v>-5.9814442905028346E-2</v>
      </c>
      <c r="I211" t="s">
        <v>412</v>
      </c>
    </row>
    <row r="212" spans="1:10" x14ac:dyDescent="0.3">
      <c r="A212" s="139" t="s">
        <v>562</v>
      </c>
      <c r="B212" s="141" t="s">
        <v>563</v>
      </c>
      <c r="C212" s="18"/>
      <c r="D212" s="29">
        <f>IF(D84=0,"n/m",D88/D84)</f>
        <v>-2.2890486520444522E-2</v>
      </c>
      <c r="E212" s="29">
        <f>IF(E84=0,"n/m",E88/E84)</f>
        <v>-2.0021858373092848E-2</v>
      </c>
      <c r="F212" s="29">
        <f>IF(F84=0,"n/m",F88/F84)</f>
        <v>-2.2240857666014732E-2</v>
      </c>
      <c r="G212" s="29">
        <f>IF(G84=0,"n/m",G88/G84)</f>
        <v>-2.7871821775206498E-2</v>
      </c>
      <c r="H212" s="29">
        <f>IF(H84=0,"n/m",H88/H84)</f>
        <v>-3.1567200270207998E-2</v>
      </c>
      <c r="I212" t="s">
        <v>412</v>
      </c>
    </row>
    <row r="213" spans="1:10" x14ac:dyDescent="0.3">
      <c r="A213" s="139" t="s">
        <v>564</v>
      </c>
      <c r="B213" s="141" t="s">
        <v>565</v>
      </c>
      <c r="C213" s="18"/>
      <c r="D213" s="29">
        <f>IF(D84=0,"n/m",(D90+D89)/D84)</f>
        <v>-1.4748651039901993E-2</v>
      </c>
      <c r="E213" s="29">
        <f>IF(E84=0,"n/m",(E90+E89)/E84)</f>
        <v>-1.9625049840660339E-2</v>
      </c>
      <c r="F213" s="29">
        <f>IF(F84=0,"n/m",(F90+F89)/F84)</f>
        <v>-1.9120032990921555E-2</v>
      </c>
      <c r="G213" s="29">
        <f>IF(G84=0,"n/m",(G90+G89)/G84)</f>
        <v>-1.3945872913324294E-2</v>
      </c>
      <c r="H213" s="29">
        <f>IF(H84=0,"n/m",(H90+H89)/H84)</f>
        <v>-2.4969349071252853E-2</v>
      </c>
      <c r="I213" t="s">
        <v>412</v>
      </c>
    </row>
    <row r="214" spans="1:10" x14ac:dyDescent="0.3">
      <c r="A214" s="139" t="s">
        <v>566</v>
      </c>
      <c r="B214" s="141" t="s">
        <v>567</v>
      </c>
      <c r="C214" s="18"/>
      <c r="D214" s="29">
        <f>IF(D84=0,"n/m",D91/D84)</f>
        <v>0.14213957498981164</v>
      </c>
      <c r="E214" s="29">
        <f>IF(E84=0,"n/m",E91/E84)</f>
        <v>0.18277011721154793</v>
      </c>
      <c r="F214" s="29">
        <f>IF(F84=0,"n/m",F91/F84)</f>
        <v>0.19097413673296146</v>
      </c>
      <c r="G214" s="29">
        <f>IF(G84=0,"n/m",G91/G84)</f>
        <v>0.19131892826420518</v>
      </c>
      <c r="H214" s="29">
        <f>IF(H84=0,"n/m",H91/H84)</f>
        <v>0.22809306765820289</v>
      </c>
      <c r="I214" t="s">
        <v>412</v>
      </c>
    </row>
    <row r="215" spans="1:10" x14ac:dyDescent="0.3">
      <c r="A215" s="139" t="s">
        <v>374</v>
      </c>
      <c r="B215" s="141" t="s">
        <v>568</v>
      </c>
      <c r="C215" s="18"/>
      <c r="D215" s="29">
        <f>IF(D84=0,"n/m",(D92+D93+D94)/D84)</f>
        <v>0.10501717569447117</v>
      </c>
      <c r="E215" s="29">
        <f>IF(E84=0,"n/m",(E92+E93+E94)/E84)</f>
        <v>1.1665589645360385E-3</v>
      </c>
      <c r="F215" s="29">
        <f>IF(F84=0,"n/m",(F92+F93+F94)/F84)</f>
        <v>2.3623904654187589E-3</v>
      </c>
      <c r="G215" s="29">
        <f>IF(G84=0,"n/m",(G92+G93+G94)/G84)</f>
        <v>5.35935916064245E-3</v>
      </c>
      <c r="H215" s="29">
        <f>IF(H84=0,"n/m",(H92+H93+H94)/H84)</f>
        <v>0.13770516642243882</v>
      </c>
      <c r="I215" t="s">
        <v>412</v>
      </c>
    </row>
    <row r="216" spans="1:10" x14ac:dyDescent="0.3">
      <c r="A216" s="139" t="s">
        <v>380</v>
      </c>
      <c r="B216" s="141" t="s">
        <v>569</v>
      </c>
      <c r="C216" s="18"/>
      <c r="D216" s="29">
        <f>IF(D84=0,"n/m",D95/D84)</f>
        <v>-4.203718123722347E-2</v>
      </c>
      <c r="E216" s="29">
        <f>IF(E84=0,"n/m",E95/E84)</f>
        <v>-3.5882925880997174E-2</v>
      </c>
      <c r="F216" s="29">
        <f>IF(F84=0,"n/m",F95/F84)</f>
        <v>-4.4313113538519432E-2</v>
      </c>
      <c r="G216" s="29">
        <f>IF(G84=0,"n/m",G95/G84)</f>
        <v>-6.2274488781043524E-2</v>
      </c>
      <c r="H216" s="29">
        <f>IF(H84=0,"n/m",H95/H84)</f>
        <v>-5.156167508185016E-2</v>
      </c>
      <c r="I216" t="s">
        <v>412</v>
      </c>
    </row>
    <row r="217" spans="1:10" x14ac:dyDescent="0.3">
      <c r="A217" s="139" t="s">
        <v>570</v>
      </c>
      <c r="B217" s="141" t="s">
        <v>571</v>
      </c>
      <c r="C217" s="18"/>
      <c r="D217" s="29">
        <f>IF(D84=0,"n/m",D96/D84)</f>
        <v>0.20511956944705931</v>
      </c>
      <c r="E217" s="29">
        <f>IF(E84=0,"n/m",E96/E84)</f>
        <v>0.1480537502950868</v>
      </c>
      <c r="F217" s="29">
        <f>IF(F84=0,"n/m",F96/F84)</f>
        <v>0.14902341365986083</v>
      </c>
      <c r="G217" s="29">
        <f>IF(G84=0,"n/m",G96/G84)</f>
        <v>0.13440379864380411</v>
      </c>
      <c r="H217" s="29">
        <f>IF(H84=0,"n/m",H96/H84)</f>
        <v>0.31423655899879155</v>
      </c>
      <c r="I217" t="s">
        <v>412</v>
      </c>
    </row>
    <row r="218" spans="1:10" x14ac:dyDescent="0.3">
      <c r="A218" s="139" t="s">
        <v>572</v>
      </c>
      <c r="B218" s="141" t="s">
        <v>573</v>
      </c>
      <c r="C218" s="18"/>
      <c r="D218" s="29">
        <f>IF(D84=0,"n/m",-D110/D84)</f>
        <v>-2.9137352401849486E-2</v>
      </c>
      <c r="E218" s="29">
        <f>IF(E84=0,"n/m",-E110/E84)</f>
        <v>-7.3314091358749653E-2</v>
      </c>
      <c r="F218" s="29">
        <f>IF(F84=0,"n/m",-F110/F84)</f>
        <v>-7.6664972110708385E-2</v>
      </c>
      <c r="G218" s="29">
        <f>IF(G84=0,"n/m",-G110/G84)</f>
        <v>-5.506082343395903E-2</v>
      </c>
      <c r="H218" s="29">
        <f>IF(H84=0,"n/m",-H110/H84)</f>
        <v>-6.7126469519227669E-2</v>
      </c>
      <c r="I218" t="s">
        <v>412</v>
      </c>
    </row>
    <row r="219" spans="1:10" x14ac:dyDescent="0.3">
      <c r="A219" s="139" t="s">
        <v>574</v>
      </c>
      <c r="B219" s="141" t="s">
        <v>575</v>
      </c>
      <c r="C219" s="18"/>
      <c r="D219" s="29">
        <f>IF(D84=0,"n/m",D99/D84)</f>
        <v>0.1759822170452098</v>
      </c>
      <c r="E219" s="29">
        <f>IF(E84=0,"n/m",E99/E84)</f>
        <v>7.4739658936337147E-2</v>
      </c>
      <c r="F219" s="29">
        <f>IF(F84=0,"n/m",F99/F84)</f>
        <v>7.2358441549152441E-2</v>
      </c>
      <c r="G219" s="29">
        <f>IF(G84=0,"n/m",G99/G84)</f>
        <v>7.9342975209845082E-2</v>
      </c>
      <c r="H219" s="29">
        <f>IF(H84=0,"n/m",H99/H84)</f>
        <v>0.24711008947956384</v>
      </c>
      <c r="I219" t="s">
        <v>412</v>
      </c>
    </row>
    <row r="220" spans="1:10" x14ac:dyDescent="0.3">
      <c r="A220" s="139"/>
      <c r="B220" s="141"/>
      <c r="C220" s="18"/>
      <c r="D220" s="29"/>
      <c r="E220" s="29"/>
      <c r="F220" s="29"/>
      <c r="G220" s="29"/>
      <c r="H220" s="29"/>
      <c r="I220" t="s">
        <v>412</v>
      </c>
    </row>
    <row r="221" spans="1:10" x14ac:dyDescent="0.3">
      <c r="A221" s="139"/>
      <c r="B221" s="139"/>
    </row>
    <row r="222" spans="1:10" x14ac:dyDescent="0.3">
      <c r="A222" s="142" t="s">
        <v>576</v>
      </c>
      <c r="B222" s="143"/>
      <c r="C222" s="10"/>
      <c r="D222" s="10"/>
      <c r="E222" s="10"/>
      <c r="F222" s="10"/>
      <c r="G222" s="10"/>
      <c r="H222" s="10"/>
      <c r="I222" s="10"/>
      <c r="J222" s="10"/>
    </row>
    <row r="223" spans="1:10" x14ac:dyDescent="0.3">
      <c r="A223" s="139" t="s">
        <v>577</v>
      </c>
      <c r="B223" s="141" t="s">
        <v>578</v>
      </c>
      <c r="C223" s="18"/>
      <c r="D223" s="30" t="s">
        <v>579</v>
      </c>
      <c r="E223" s="31">
        <f>E84-D84</f>
        <v>12981.321000000004</v>
      </c>
      <c r="F223" s="31">
        <f>F84-E84</f>
        <v>13555.636999999995</v>
      </c>
      <c r="G223" s="31">
        <f>G84-F84</f>
        <v>4377.0889999999999</v>
      </c>
      <c r="H223" s="31">
        <f>H84-G84</f>
        <v>2490.0979999999981</v>
      </c>
      <c r="I223" t="s">
        <v>245</v>
      </c>
    </row>
    <row r="224" spans="1:10" x14ac:dyDescent="0.3">
      <c r="A224" s="139" t="s">
        <v>580</v>
      </c>
      <c r="B224" s="141" t="s">
        <v>581</v>
      </c>
      <c r="C224" s="18"/>
      <c r="D224" s="30" t="str">
        <f>IF(OR(C84&lt;=0,D84&lt;C84),"n/m",D84/C84-1)</f>
        <v>n/m</v>
      </c>
      <c r="E224" s="29">
        <f>IF(OR(D84&lt;=0,E84&lt;D84),"n/m",E84/D84-1)</f>
        <v>0.36527691630503112</v>
      </c>
      <c r="F224" s="29">
        <f>IF(OR(E84&lt;=0,F84&lt;E84),"n/m",F84/E84-1)</f>
        <v>0.27938463741535324</v>
      </c>
      <c r="G224" s="29">
        <f>IF(OR(F84&lt;=0,G84&lt;F84),"n/m",G84/F84-1)</f>
        <v>7.0512617595361204E-2</v>
      </c>
      <c r="H224" s="29">
        <f>IF(OR(G84&lt;=0,H84&lt;G84),"n/m",H84/G84-1)</f>
        <v>3.7471934024061904E-2</v>
      </c>
      <c r="I224" t="s">
        <v>412</v>
      </c>
    </row>
    <row r="225" spans="1:9" x14ac:dyDescent="0.3">
      <c r="A225" s="139" t="s">
        <v>582</v>
      </c>
      <c r="B225" s="141" t="s">
        <v>578</v>
      </c>
      <c r="C225" s="18"/>
      <c r="D225" s="30" t="s">
        <v>579</v>
      </c>
      <c r="E225" s="31">
        <f>E86-D86</f>
        <v>4872.5840000000026</v>
      </c>
      <c r="F225" s="31">
        <f>F86-E86</f>
        <v>5897.8869999999952</v>
      </c>
      <c r="G225" s="31">
        <f>G86-F86</f>
        <v>2790.9310000000041</v>
      </c>
      <c r="H225" s="31">
        <f>H86-G86</f>
        <v>2782.5319999999992</v>
      </c>
      <c r="I225" t="s">
        <v>245</v>
      </c>
    </row>
    <row r="226" spans="1:9" x14ac:dyDescent="0.3">
      <c r="A226" s="139" t="s">
        <v>583</v>
      </c>
      <c r="B226" s="141" t="s">
        <v>581</v>
      </c>
      <c r="C226" s="18"/>
      <c r="D226" s="30" t="str">
        <f>IF(OR(C86&lt;=0,D86&lt;C86),"n/m",D86/C86-1)</f>
        <v>n/m</v>
      </c>
      <c r="E226" s="29">
        <f>IF(OR(D86&lt;=0,E86&lt;D86),"n/m",E86/D86-1)</f>
        <v>0.6582009547092611</v>
      </c>
      <c r="F226" s="29">
        <f>IF(OR(E86&lt;=0,F86&lt;E86),"n/m",F86/E86-1)</f>
        <v>0.48046135275027391</v>
      </c>
      <c r="G226" s="29">
        <f>IF(OR(F86&lt;=0,G86&lt;F86),"n/m",G86/F86-1)</f>
        <v>0.15357270614839247</v>
      </c>
      <c r="H226" s="29">
        <f>IF(OR(G86&lt;=0,H86&lt;G86),"n/m",H86/G86-1)</f>
        <v>0.13272726127923096</v>
      </c>
      <c r="I226" t="s">
        <v>412</v>
      </c>
    </row>
    <row r="227" spans="1:9" x14ac:dyDescent="0.3">
      <c r="A227" s="139" t="s">
        <v>584</v>
      </c>
      <c r="B227" s="141" t="s">
        <v>578</v>
      </c>
      <c r="C227" s="18"/>
      <c r="D227" s="30" t="s">
        <v>579</v>
      </c>
      <c r="E227" s="31">
        <f>E91-D91</f>
        <v>3816.5380000000023</v>
      </c>
      <c r="F227" s="31">
        <f>F91-E91</f>
        <v>2986.8319999999967</v>
      </c>
      <c r="G227" s="31">
        <f>G91-F91</f>
        <v>858.82300000000214</v>
      </c>
      <c r="H227" s="31">
        <f>H91-G91</f>
        <v>3011.7019999999993</v>
      </c>
      <c r="I227" t="s">
        <v>245</v>
      </c>
    </row>
    <row r="228" spans="1:9" x14ac:dyDescent="0.3">
      <c r="A228" s="139" t="s">
        <v>585</v>
      </c>
      <c r="B228" s="141" t="s">
        <v>581</v>
      </c>
      <c r="C228" s="18"/>
      <c r="D228" s="30" t="str">
        <f>IF(OR(C91&lt;=0,D91&lt;C91),"n/m",D91/C91-1)</f>
        <v>n/m</v>
      </c>
      <c r="E228" s="29">
        <f>IF(OR(D91&lt;=0,E91&lt;D91),"n/m",E91/D91-1)</f>
        <v>0.7555407917687762</v>
      </c>
      <c r="F228" s="29">
        <f>IF(OR(E91&lt;=0,F91&lt;E91),"n/m",F91/E91-1)</f>
        <v>0.33681249652540335</v>
      </c>
      <c r="G228" s="29">
        <f>IF(OR(F91&lt;=0,G91&lt;F91),"n/m",G91/F91-1)</f>
        <v>7.2445359331759329E-2</v>
      </c>
      <c r="H228" s="29">
        <f>IF(OR(G91&lt;=0,H91&lt;G91),"n/m",H91/G91-1)</f>
        <v>0.23688836325721319</v>
      </c>
      <c r="I228" t="s">
        <v>412</v>
      </c>
    </row>
    <row r="229" spans="1:9" x14ac:dyDescent="0.3">
      <c r="A229" s="139"/>
      <c r="B229" s="141"/>
      <c r="C229" s="18"/>
      <c r="D229" s="30"/>
      <c r="E229" s="31"/>
      <c r="F229" s="31"/>
      <c r="G229" s="31"/>
      <c r="H229" s="31"/>
      <c r="I229" t="s">
        <v>245</v>
      </c>
    </row>
    <row r="230" spans="1:9" x14ac:dyDescent="0.3">
      <c r="A230" s="139"/>
      <c r="B230" s="141"/>
      <c r="C230" s="18"/>
      <c r="D230" s="30"/>
      <c r="E230" s="29"/>
      <c r="F230" s="29"/>
      <c r="G230" s="29"/>
      <c r="H230" s="29"/>
      <c r="I230" t="s">
        <v>412</v>
      </c>
    </row>
    <row r="231" spans="1:9" x14ac:dyDescent="0.3">
      <c r="A231" s="139" t="s">
        <v>586</v>
      </c>
      <c r="B231" s="141" t="s">
        <v>578</v>
      </c>
      <c r="C231" s="18"/>
      <c r="D231" s="30" t="s">
        <v>579</v>
      </c>
      <c r="E231" s="31">
        <f>E99-D99</f>
        <v>-2627.7689999999961</v>
      </c>
      <c r="F231" s="31">
        <f>F99-E99</f>
        <v>865.32899999999836</v>
      </c>
      <c r="G231" s="31">
        <f>G99-F99</f>
        <v>780.85799999999927</v>
      </c>
      <c r="H231" s="31">
        <f>H99-G99</f>
        <v>11763.846999999998</v>
      </c>
      <c r="I231" t="s">
        <v>245</v>
      </c>
    </row>
    <row r="232" spans="1:9" x14ac:dyDescent="0.3">
      <c r="A232" s="139" t="s">
        <v>587</v>
      </c>
      <c r="B232" s="141" t="s">
        <v>581</v>
      </c>
      <c r="C232" s="18"/>
      <c r="D232" s="30" t="str">
        <f>IF(OR(C99&lt;=0,D99&lt;C99),"n/m",D99/C99-1)</f>
        <v>n/m</v>
      </c>
      <c r="E232" s="29" t="str">
        <f>IF(OR(D99&lt;=0,E99&lt;D99),"n/m",E99/D99-1)</f>
        <v>n/m</v>
      </c>
      <c r="F232" s="29">
        <f>IF(OR(E99&lt;=0,F99&lt;E99),"n/m",F99/E99-1)</f>
        <v>0.23862323996095181</v>
      </c>
      <c r="G232" s="29">
        <f>IF(OR(F99&lt;=0,G99&lt;F99),"n/m",G99/F99-1)</f>
        <v>0.1738458466106918</v>
      </c>
      <c r="H232" s="29">
        <f>IF(OR(G99&lt;=0,H99&lt;G99),"n/m",H99/G99-1)</f>
        <v>2.2311591766149328</v>
      </c>
      <c r="I232" t="s">
        <v>412</v>
      </c>
    </row>
    <row r="233" spans="1:9" x14ac:dyDescent="0.3">
      <c r="A233" s="139" t="s">
        <v>588</v>
      </c>
      <c r="B233" s="141" t="s">
        <v>578</v>
      </c>
      <c r="C233" s="18"/>
      <c r="D233" s="30" t="s">
        <v>579</v>
      </c>
      <c r="E233" s="31">
        <f>E117-D117</f>
        <v>1778.1400000000003</v>
      </c>
      <c r="F233" s="31">
        <f>F117-E117</f>
        <v>11813.558000000001</v>
      </c>
      <c r="G233" s="31">
        <f>G117-F117</f>
        <v>-10647.422</v>
      </c>
      <c r="H233" s="31">
        <f>H117-G117</f>
        <v>9820.3939999999984</v>
      </c>
      <c r="I233" t="s">
        <v>245</v>
      </c>
    </row>
    <row r="234" spans="1:9" x14ac:dyDescent="0.3">
      <c r="A234" s="139" t="s">
        <v>589</v>
      </c>
      <c r="B234" s="141" t="s">
        <v>581</v>
      </c>
      <c r="C234" s="18"/>
      <c r="D234" s="30" t="str">
        <f>IF(OR(C117&lt;=0,D117&lt;C117),"n/m",D117/C117-1)</f>
        <v>n/m</v>
      </c>
      <c r="E234" s="29">
        <f>IF(OR(D117&lt;=0,E117&lt;D117),"n/m",E117/D117-1)</f>
        <v>0.2713902557812029</v>
      </c>
      <c r="F234" s="29">
        <f>IF(OR(E117&lt;=0,F117&lt;E117),"n/m",F117/E117-1)</f>
        <v>1.4181760210283016</v>
      </c>
      <c r="G234" s="29" t="str">
        <f>IF(OR(F117&lt;=0,G117&lt;F117),"n/m",G117/F117-1)</f>
        <v>n/m</v>
      </c>
      <c r="H234" s="29">
        <f>IF(OR(G117&lt;=0,H117&lt;G117),"n/m",H117/G117-1)</f>
        <v>1.0341346572534</v>
      </c>
      <c r="I234" t="s">
        <v>412</v>
      </c>
    </row>
    <row r="235" spans="1:9" x14ac:dyDescent="0.3">
      <c r="A235" s="139" t="s">
        <v>590</v>
      </c>
      <c r="B235" s="141" t="s">
        <v>578</v>
      </c>
      <c r="C235" s="18"/>
      <c r="D235" s="31">
        <f>D37-C37</f>
        <v>229.50699999998324</v>
      </c>
      <c r="E235" s="31">
        <f>E37-D37</f>
        <v>15974.932000000001</v>
      </c>
      <c r="F235" s="31">
        <f>F37-E37</f>
        <v>7493.5010000000184</v>
      </c>
      <c r="G235" s="31">
        <f>G37-F37</f>
        <v>9657.9709999999905</v>
      </c>
      <c r="H235" s="31">
        <f>H37-G37</f>
        <v>19740.588999999978</v>
      </c>
      <c r="I235" t="s">
        <v>245</v>
      </c>
    </row>
    <row r="236" spans="1:9" x14ac:dyDescent="0.3">
      <c r="A236" s="139" t="s">
        <v>591</v>
      </c>
      <c r="B236" s="141" t="s">
        <v>581</v>
      </c>
      <c r="C236" s="18"/>
      <c r="D236" s="29">
        <f>IF(OR(C37&lt;=0,D37&lt;C37),"n/m",D37/C37-1)</f>
        <v>3.4768640539593054E-3</v>
      </c>
      <c r="E236" s="29">
        <f>IF(OR(D37&lt;=0,E37&lt;D37),"n/m",E37/D37-1)</f>
        <v>0.24117008038644383</v>
      </c>
      <c r="F236" s="29">
        <f>IF(OR(E37&lt;=0,F37&lt;E37),"n/m",F37/E37-1)</f>
        <v>9.114605613798421E-2</v>
      </c>
      <c r="G236" s="29">
        <f>IF(OR(F37&lt;=0,G37&lt;F37),"n/m",G37/F37-1)</f>
        <v>0.10766043289188354</v>
      </c>
      <c r="H236" s="29">
        <f>IF(OR(G37&lt;=0,H37&lt;G37),"n/m",H37/G37-1)</f>
        <v>0.19866606460769809</v>
      </c>
      <c r="I236" t="s">
        <v>412</v>
      </c>
    </row>
    <row r="237" spans="1:9" x14ac:dyDescent="0.3">
      <c r="A237" s="139" t="s">
        <v>592</v>
      </c>
      <c r="B237" s="141" t="s">
        <v>578</v>
      </c>
      <c r="C237" s="18"/>
      <c r="D237" s="31">
        <f>D41-C41</f>
        <v>6221.7099999999991</v>
      </c>
      <c r="E237" s="31">
        <f>E41-D41</f>
        <v>3016.474000000002</v>
      </c>
      <c r="F237" s="31">
        <f>F41-E41</f>
        <v>4354.099000000002</v>
      </c>
      <c r="G237" s="31">
        <f>G41-F41</f>
        <v>7702.7939999999944</v>
      </c>
      <c r="H237" s="31">
        <f>H41-G41</f>
        <v>18845.684000000008</v>
      </c>
      <c r="I237" t="s">
        <v>245</v>
      </c>
    </row>
    <row r="238" spans="1:9" x14ac:dyDescent="0.3">
      <c r="A238" s="139" t="s">
        <v>593</v>
      </c>
      <c r="B238" s="141" t="s">
        <v>581</v>
      </c>
      <c r="C238" s="18"/>
      <c r="D238" s="29">
        <f>IF(OR(C41&lt;=0,D41&lt;C41),"n/m",D41/C41-1)</f>
        <v>0.19864447402433227</v>
      </c>
      <c r="E238" s="29">
        <f>IF(OR(D41&lt;=0,E41&lt;D41),"n/m",E41/D41-1)</f>
        <v>8.034815757409719E-2</v>
      </c>
      <c r="F238" s="29">
        <f>IF(OR(E41&lt;=0,F41&lt;E41),"n/m",F41/E41-1)</f>
        <v>0.10735218791679246</v>
      </c>
      <c r="G238" s="29">
        <f>IF(OR(F41&lt;=0,G41&lt;F41),"n/m",G41/F41-1)</f>
        <v>0.17150434058079322</v>
      </c>
      <c r="H238" s="29">
        <f>IF(OR(G41&lt;=0,H41&lt;G41),"n/m",H41/G41-1)</f>
        <v>0.35817464178324188</v>
      </c>
      <c r="I238" t="s">
        <v>412</v>
      </c>
    </row>
    <row r="239" spans="1:9" x14ac:dyDescent="0.3">
      <c r="A239" s="139" t="s">
        <v>594</v>
      </c>
      <c r="B239" s="141" t="s">
        <v>578</v>
      </c>
      <c r="C239" s="18"/>
      <c r="D239" s="31">
        <f>D66-C66</f>
        <v>-5704.9380000000019</v>
      </c>
      <c r="E239" s="31">
        <f>E66-D66</f>
        <v>8738.2379999999976</v>
      </c>
      <c r="F239" s="31">
        <f>F66-E66</f>
        <v>-5099.3109999999942</v>
      </c>
      <c r="G239" s="31">
        <f>G66-F66</f>
        <v>-487.02000000000044</v>
      </c>
      <c r="H239" s="31">
        <f>H66-G66</f>
        <v>-4807.3130000000019</v>
      </c>
      <c r="I239" t="s">
        <v>245</v>
      </c>
    </row>
    <row r="240" spans="1:9" x14ac:dyDescent="0.3">
      <c r="A240" s="139" t="s">
        <v>595</v>
      </c>
      <c r="B240" s="141" t="s">
        <v>581</v>
      </c>
      <c r="C240" s="18"/>
      <c r="D240" s="29" t="str">
        <f>IF(OR(C66&lt;=0,D66&lt;C66),"n/m",D66/C66-1)</f>
        <v>n/m</v>
      </c>
      <c r="E240" s="29">
        <f>IF(OR(D66&lt;=0,E66&lt;D66),"n/m",E66/D66-1)</f>
        <v>0.53821877473749447</v>
      </c>
      <c r="F240" s="29" t="str">
        <f>IF(OR(E66&lt;=0,F66&lt;E66),"n/m",F66/E66-1)</f>
        <v>n/m</v>
      </c>
      <c r="G240" s="29" t="str">
        <f>IF(OR(F66&lt;=0,G66&lt;F66),"n/m",G66/F66-1)</f>
        <v>n/m</v>
      </c>
      <c r="H240" s="29" t="str">
        <f>IF(OR(G66&lt;=0,H66&lt;G66),"n/m",H66/G66-1)</f>
        <v>n/m</v>
      </c>
      <c r="I240" t="s">
        <v>412</v>
      </c>
    </row>
    <row r="241" spans="1:10" x14ac:dyDescent="0.3">
      <c r="A241" s="139" t="s">
        <v>596</v>
      </c>
      <c r="B241" s="141" t="s">
        <v>578</v>
      </c>
      <c r="C241" s="18"/>
      <c r="D241" s="31">
        <f>D65-C65</f>
        <v>1713.8860000000004</v>
      </c>
      <c r="E241" s="31">
        <f>E65-D65</f>
        <v>3660.3259999999973</v>
      </c>
      <c r="F241" s="31">
        <f>F65-E65</f>
        <v>-1748.7659999999996</v>
      </c>
      <c r="G241" s="31">
        <f>G65-F65</f>
        <v>1733.3810000000012</v>
      </c>
      <c r="H241" s="31">
        <f>H65-G65</f>
        <v>1370.4599999999991</v>
      </c>
      <c r="I241" t="s">
        <v>245</v>
      </c>
    </row>
    <row r="242" spans="1:10" x14ac:dyDescent="0.3">
      <c r="A242" s="139" t="s">
        <v>597</v>
      </c>
      <c r="B242" s="141" t="s">
        <v>581</v>
      </c>
      <c r="C242" s="18"/>
      <c r="D242" s="29">
        <f>IF(OR(C65&lt;=0,D65&lt;C65),"n/m",D65/C65-1)</f>
        <v>0.16844065275978992</v>
      </c>
      <c r="E242" s="29">
        <f>IF(OR(D65&lt;=0,E65&lt;D65),"n/m",E65/D65-1)</f>
        <v>0.30787760011439214</v>
      </c>
      <c r="F242" s="29" t="str">
        <f>IF(OR(E65&lt;=0,F65&lt;E65),"n/m",F65/E65-1)</f>
        <v>n/m</v>
      </c>
      <c r="G242" s="29">
        <f>IF(OR(F65&lt;=0,G65&lt;F65),"n/m",G65/F65-1)</f>
        <v>0.12560313206951079</v>
      </c>
      <c r="H242" s="29">
        <f>IF(OR(G65&lt;=0,H65&lt;G65),"n/m",H65/G65-1)</f>
        <v>8.8224155249174929E-2</v>
      </c>
      <c r="I242" t="s">
        <v>412</v>
      </c>
    </row>
    <row r="243" spans="1:10" x14ac:dyDescent="0.3">
      <c r="A243" s="139" t="s">
        <v>598</v>
      </c>
      <c r="B243" s="141" t="s">
        <v>578</v>
      </c>
      <c r="C243" s="18"/>
      <c r="D243" s="31">
        <f>D32-C32</f>
        <v>-1372.4260000000002</v>
      </c>
      <c r="E243" s="31">
        <f>E32-D32</f>
        <v>386.50800000000004</v>
      </c>
      <c r="F243" s="31">
        <f>F32-E32</f>
        <v>534.77300000000014</v>
      </c>
      <c r="G243" s="31">
        <f>G32-F32</f>
        <v>1587.7599999999998</v>
      </c>
      <c r="H243" s="31">
        <f>H32-G32</f>
        <v>421.4369999999999</v>
      </c>
      <c r="I243" t="s">
        <v>245</v>
      </c>
    </row>
    <row r="244" spans="1:10" x14ac:dyDescent="0.3">
      <c r="A244" s="139" t="s">
        <v>599</v>
      </c>
      <c r="B244" s="141" t="s">
        <v>581</v>
      </c>
      <c r="C244" s="18"/>
      <c r="D244" s="29" t="str">
        <f>IF(OR(C32&lt;=0,D32&lt;C32),"n/m",D32/C32-1)</f>
        <v>n/m</v>
      </c>
      <c r="E244" s="29">
        <f>IF(OR(D32&lt;=0,E32&lt;D32),"n/m",E32/D32-1)</f>
        <v>0.23010482799350362</v>
      </c>
      <c r="F244" s="29">
        <f>IF(OR(E32&lt;=0,F32&lt;E32),"n/m",F32/E32-1)</f>
        <v>0.25881806900743975</v>
      </c>
      <c r="G244" s="29">
        <f>IF(OR(F32&lt;=0,G32&lt;F32),"n/m",G32/F32-1)</f>
        <v>0.61044565808722462</v>
      </c>
      <c r="H244" s="29">
        <f>IF(OR(G32&lt;=0,H32&lt;G32),"n/m",H32/G32-1)</f>
        <v>0.1006117584145132</v>
      </c>
      <c r="I244" t="s">
        <v>412</v>
      </c>
    </row>
    <row r="245" spans="1:10" x14ac:dyDescent="0.3">
      <c r="A245" s="139" t="s">
        <v>600</v>
      </c>
      <c r="B245" s="141" t="s">
        <v>578</v>
      </c>
      <c r="C245" s="18"/>
      <c r="D245" s="31">
        <f>D34-C34</f>
        <v>-555.9380000000001</v>
      </c>
      <c r="E245" s="31">
        <f>E34-D34</f>
        <v>303.24700000000001</v>
      </c>
      <c r="F245" s="31">
        <f>F34-E34</f>
        <v>-52.869000000000028</v>
      </c>
      <c r="G245" s="31">
        <f>G34-F34</f>
        <v>392.70500000000004</v>
      </c>
      <c r="H245" s="31">
        <f>H34-G34</f>
        <v>482.06899999999996</v>
      </c>
      <c r="I245" t="s">
        <v>245</v>
      </c>
    </row>
    <row r="246" spans="1:10" x14ac:dyDescent="0.3">
      <c r="A246" s="139" t="s">
        <v>601</v>
      </c>
      <c r="B246" s="141" t="s">
        <v>581</v>
      </c>
      <c r="C246" s="18"/>
      <c r="D246" s="29" t="str">
        <f>IF(OR(C34&lt;=0,D34&lt;C34),"n/m",D34/C34-1)</f>
        <v>n/m</v>
      </c>
      <c r="E246" s="29">
        <f>IF(OR(D34&lt;=0,E34&lt;D34),"n/m",E34/D34-1)</f>
        <v>0.61845617942238795</v>
      </c>
      <c r="F246" s="29" t="str">
        <f>IF(OR(E34&lt;=0,F34&lt;E34),"n/m",F34/E34-1)</f>
        <v>n/m</v>
      </c>
      <c r="G246" s="29">
        <f>IF(OR(F34&lt;=0,G34&lt;F34),"n/m",G34/F34-1)</f>
        <v>0.53017589951222277</v>
      </c>
      <c r="H246" s="29">
        <f>IF(OR(G34&lt;=0,H34&lt;G34),"n/m",H34/G34-1)</f>
        <v>0.42532547740803861</v>
      </c>
      <c r="I246" t="s">
        <v>412</v>
      </c>
    </row>
    <row r="247" spans="1:10" x14ac:dyDescent="0.3">
      <c r="A247" s="139"/>
      <c r="B247" s="139"/>
    </row>
    <row r="248" spans="1:10" x14ac:dyDescent="0.3">
      <c r="A248" s="142" t="s">
        <v>602</v>
      </c>
      <c r="B248" s="143"/>
      <c r="C248" s="10"/>
      <c r="D248" s="10"/>
      <c r="E248" s="10"/>
      <c r="F248" s="10"/>
      <c r="G248" s="10"/>
      <c r="H248" s="10"/>
      <c r="I248" s="10"/>
      <c r="J248" s="10"/>
    </row>
    <row r="249" spans="1:10" x14ac:dyDescent="0.3">
      <c r="A249" s="139"/>
      <c r="B249" s="139"/>
    </row>
    <row r="250" spans="1:10" ht="22.05" customHeight="1" x14ac:dyDescent="0.3">
      <c r="A250" s="205" t="s">
        <v>603</v>
      </c>
      <c r="B250" s="205"/>
      <c r="C250" s="206"/>
      <c r="D250" s="206"/>
      <c r="E250" s="206"/>
      <c r="F250" s="206"/>
      <c r="G250" s="206"/>
      <c r="H250" s="206"/>
    </row>
    <row r="251" spans="1:10" x14ac:dyDescent="0.3">
      <c r="A251" s="139" t="s">
        <v>604</v>
      </c>
      <c r="B251" s="139"/>
      <c r="C251" s="93">
        <v>0</v>
      </c>
      <c r="D251" s="93">
        <v>0</v>
      </c>
      <c r="E251" s="93">
        <v>0</v>
      </c>
      <c r="F251" s="93">
        <v>0</v>
      </c>
      <c r="G251" s="93">
        <v>0</v>
      </c>
      <c r="H251" s="93">
        <v>0</v>
      </c>
    </row>
    <row r="252" spans="1:10" x14ac:dyDescent="0.3">
      <c r="A252" s="139" t="s">
        <v>605</v>
      </c>
      <c r="B252" s="139"/>
      <c r="C252" s="93">
        <v>0</v>
      </c>
      <c r="D252" s="93">
        <v>0</v>
      </c>
      <c r="E252" s="93">
        <v>0</v>
      </c>
      <c r="F252" s="93">
        <v>0</v>
      </c>
      <c r="G252" s="93">
        <v>0</v>
      </c>
      <c r="H252" s="93">
        <v>0</v>
      </c>
    </row>
    <row r="253" spans="1:10" x14ac:dyDescent="0.3">
      <c r="A253" s="139" t="s">
        <v>606</v>
      </c>
      <c r="B253" s="139"/>
      <c r="C253" s="93">
        <v>287.25900000000001</v>
      </c>
      <c r="D253" s="93">
        <v>61.223999999999997</v>
      </c>
      <c r="E253" s="93">
        <v>132.595</v>
      </c>
      <c r="F253" s="93">
        <v>1871.865</v>
      </c>
      <c r="G253" s="93">
        <v>821.42499999999995</v>
      </c>
      <c r="H253" s="93">
        <v>1452.981</v>
      </c>
    </row>
    <row r="254" spans="1:10" x14ac:dyDescent="0.3">
      <c r="A254" s="139" t="s">
        <v>607</v>
      </c>
      <c r="B254" s="139"/>
      <c r="C254" s="93">
        <v>0</v>
      </c>
      <c r="D254" s="93">
        <v>0</v>
      </c>
      <c r="E254" s="93">
        <v>0</v>
      </c>
      <c r="F254" s="93">
        <v>0</v>
      </c>
      <c r="G254" s="93">
        <v>0</v>
      </c>
      <c r="H254" s="93">
        <v>0</v>
      </c>
    </row>
    <row r="255" spans="1:10" x14ac:dyDescent="0.3">
      <c r="A255" s="139" t="s">
        <v>608</v>
      </c>
      <c r="B255" s="139"/>
      <c r="C255" s="93">
        <v>0</v>
      </c>
      <c r="D255" s="93">
        <v>0</v>
      </c>
      <c r="E255" s="93">
        <v>0</v>
      </c>
      <c r="F255" s="93">
        <v>0</v>
      </c>
      <c r="G255" s="93">
        <v>0</v>
      </c>
      <c r="H255" s="93">
        <v>0</v>
      </c>
    </row>
    <row r="256" spans="1:10" x14ac:dyDescent="0.3">
      <c r="A256" s="139" t="s">
        <v>609</v>
      </c>
      <c r="B256" s="139"/>
      <c r="C256" s="93">
        <v>0</v>
      </c>
      <c r="D256" s="93">
        <v>0</v>
      </c>
      <c r="E256" s="93">
        <v>0</v>
      </c>
      <c r="F256" s="93">
        <v>0</v>
      </c>
      <c r="G256" s="93">
        <v>0</v>
      </c>
      <c r="H256" s="93">
        <v>0</v>
      </c>
    </row>
    <row r="257" spans="1:8" x14ac:dyDescent="0.3">
      <c r="A257" s="139" t="s">
        <v>610</v>
      </c>
      <c r="B257" s="139"/>
      <c r="C257" s="93">
        <v>0</v>
      </c>
      <c r="D257" s="93">
        <v>0</v>
      </c>
      <c r="E257" s="93">
        <v>0</v>
      </c>
      <c r="F257" s="93">
        <v>0</v>
      </c>
      <c r="G257" s="93">
        <v>0</v>
      </c>
      <c r="H257" s="93">
        <v>0</v>
      </c>
    </row>
    <row r="258" spans="1:8" x14ac:dyDescent="0.3">
      <c r="A258" s="139"/>
      <c r="B258" s="139"/>
    </row>
    <row r="259" spans="1:8" x14ac:dyDescent="0.3">
      <c r="A259" s="139"/>
      <c r="B259" s="139"/>
    </row>
    <row r="260" spans="1:8" x14ac:dyDescent="0.3">
      <c r="A260" s="149" t="s">
        <v>611</v>
      </c>
      <c r="B260" s="149"/>
      <c r="C260" s="92"/>
      <c r="D260" s="92"/>
      <c r="E260" s="92"/>
      <c r="F260" s="92"/>
      <c r="G260" s="92"/>
      <c r="H260" s="92"/>
    </row>
    <row r="261" spans="1:8" x14ac:dyDescent="0.3">
      <c r="A261" s="139"/>
      <c r="B261" s="139"/>
    </row>
    <row r="262" spans="1:8" x14ac:dyDescent="0.3">
      <c r="A262" s="139"/>
      <c r="B262" s="139"/>
    </row>
    <row r="263" spans="1:8" x14ac:dyDescent="0.3">
      <c r="A263" s="139"/>
      <c r="B263" s="139"/>
    </row>
    <row r="264" spans="1:8" x14ac:dyDescent="0.3">
      <c r="A264" s="139"/>
      <c r="B264" s="139"/>
    </row>
    <row r="265" spans="1:8" x14ac:dyDescent="0.3">
      <c r="A265" s="139"/>
      <c r="B265" s="139"/>
    </row>
    <row r="266" spans="1:8" x14ac:dyDescent="0.3">
      <c r="A266" s="139"/>
      <c r="B266" s="139"/>
    </row>
    <row r="267" spans="1:8" x14ac:dyDescent="0.3">
      <c r="A267" s="139"/>
      <c r="B267" s="139"/>
    </row>
    <row r="268" spans="1:8" x14ac:dyDescent="0.3">
      <c r="A268" s="139"/>
      <c r="B268" s="139"/>
    </row>
    <row r="269" spans="1:8" x14ac:dyDescent="0.3">
      <c r="A269" s="139"/>
      <c r="B269" s="139"/>
    </row>
    <row r="270" spans="1:8" x14ac:dyDescent="0.3">
      <c r="A270" s="139"/>
      <c r="B270" s="139"/>
    </row>
    <row r="271" spans="1:8" x14ac:dyDescent="0.3">
      <c r="A271" s="139"/>
      <c r="B271" s="139"/>
    </row>
    <row r="272" spans="1:8" x14ac:dyDescent="0.3">
      <c r="A272" s="139"/>
      <c r="B272" s="139"/>
    </row>
    <row r="273" spans="1:2" x14ac:dyDescent="0.3">
      <c r="A273" s="139"/>
      <c r="B273" s="139"/>
    </row>
    <row r="274" spans="1:2" x14ac:dyDescent="0.3">
      <c r="A274" s="139"/>
      <c r="B274" s="139"/>
    </row>
    <row r="275" spans="1:2" x14ac:dyDescent="0.3">
      <c r="A275" s="139"/>
      <c r="B275" s="139"/>
    </row>
    <row r="276" spans="1:2" x14ac:dyDescent="0.3">
      <c r="A276" s="139"/>
      <c r="B276" s="139"/>
    </row>
    <row r="277" spans="1:2" x14ac:dyDescent="0.3">
      <c r="A277" s="139"/>
      <c r="B277" s="139"/>
    </row>
    <row r="278" spans="1:2" x14ac:dyDescent="0.3">
      <c r="A278" s="139"/>
      <c r="B278" s="139"/>
    </row>
    <row r="279" spans="1:2" x14ac:dyDescent="0.3">
      <c r="A279" s="139"/>
      <c r="B279" s="139"/>
    </row>
    <row r="280" spans="1:2" x14ac:dyDescent="0.3">
      <c r="A280" s="139"/>
      <c r="B280" s="139"/>
    </row>
    <row r="281" spans="1:2" x14ac:dyDescent="0.3">
      <c r="A281" s="139"/>
      <c r="B281" s="139"/>
    </row>
    <row r="282" spans="1:2" x14ac:dyDescent="0.3">
      <c r="A282" s="139"/>
      <c r="B282" s="139"/>
    </row>
    <row r="283" spans="1:2" x14ac:dyDescent="0.3">
      <c r="A283" s="139"/>
      <c r="B283" s="139"/>
    </row>
    <row r="284" spans="1:2" x14ac:dyDescent="0.3">
      <c r="A284" s="139"/>
      <c r="B284" s="139"/>
    </row>
    <row r="285" spans="1:2" x14ac:dyDescent="0.3">
      <c r="A285" s="139"/>
      <c r="B285" s="139"/>
    </row>
    <row r="286" spans="1:2" x14ac:dyDescent="0.3">
      <c r="A286" s="139"/>
      <c r="B286" s="139"/>
    </row>
    <row r="287" spans="1:2" x14ac:dyDescent="0.3">
      <c r="A287" s="139"/>
      <c r="B287" s="139"/>
    </row>
    <row r="288" spans="1:2" x14ac:dyDescent="0.3">
      <c r="A288" s="139"/>
      <c r="B288" s="139"/>
    </row>
    <row r="289" spans="1:2" x14ac:dyDescent="0.3">
      <c r="A289" s="139"/>
      <c r="B289" s="139"/>
    </row>
    <row r="290" spans="1:2" x14ac:dyDescent="0.3">
      <c r="A290" s="139"/>
      <c r="B290" s="139"/>
    </row>
    <row r="291" spans="1:2" x14ac:dyDescent="0.3">
      <c r="A291" s="139"/>
      <c r="B291" s="139"/>
    </row>
    <row r="292" spans="1:2" x14ac:dyDescent="0.3">
      <c r="A292" s="139"/>
      <c r="B292" s="139"/>
    </row>
    <row r="293" spans="1:2" x14ac:dyDescent="0.3">
      <c r="A293" s="139"/>
      <c r="B293" s="139"/>
    </row>
    <row r="294" spans="1:2" x14ac:dyDescent="0.3">
      <c r="A294" s="139"/>
      <c r="B294" s="139"/>
    </row>
    <row r="295" spans="1:2" x14ac:dyDescent="0.3">
      <c r="A295" s="139"/>
      <c r="B295" s="139"/>
    </row>
    <row r="296" spans="1:2" x14ac:dyDescent="0.3">
      <c r="A296" s="139"/>
      <c r="B296" s="139"/>
    </row>
    <row r="297" spans="1:2" x14ac:dyDescent="0.3">
      <c r="A297" s="139"/>
      <c r="B297" s="139"/>
    </row>
    <row r="298" spans="1:2" x14ac:dyDescent="0.3">
      <c r="A298" s="139"/>
      <c r="B298" s="139"/>
    </row>
    <row r="299" spans="1:2" x14ac:dyDescent="0.3">
      <c r="A299" s="139"/>
      <c r="B299" s="139"/>
    </row>
    <row r="300" spans="1:2" x14ac:dyDescent="0.3">
      <c r="A300" s="139"/>
      <c r="B300" s="139"/>
    </row>
    <row r="301" spans="1:2" x14ac:dyDescent="0.3">
      <c r="A301" s="139"/>
      <c r="B301" s="139"/>
    </row>
    <row r="302" spans="1:2" x14ac:dyDescent="0.3">
      <c r="A302" s="139"/>
      <c r="B302" s="139"/>
    </row>
    <row r="303" spans="1:2" x14ac:dyDescent="0.3">
      <c r="A303" s="139"/>
      <c r="B303" s="139"/>
    </row>
    <row r="304" spans="1:2" x14ac:dyDescent="0.3">
      <c r="A304" s="139"/>
      <c r="B304" s="139"/>
    </row>
    <row r="305" spans="1:2" x14ac:dyDescent="0.3">
      <c r="A305" s="139"/>
      <c r="B305" s="139"/>
    </row>
    <row r="306" spans="1:2" x14ac:dyDescent="0.3">
      <c r="A306" s="139"/>
      <c r="B306" s="139"/>
    </row>
    <row r="307" spans="1:2" x14ac:dyDescent="0.3">
      <c r="A307" s="139"/>
      <c r="B307" s="139"/>
    </row>
    <row r="308" spans="1:2" x14ac:dyDescent="0.3">
      <c r="A308" s="139"/>
      <c r="B308" s="139"/>
    </row>
    <row r="309" spans="1:2" x14ac:dyDescent="0.3">
      <c r="A309" s="139"/>
      <c r="B309" s="139"/>
    </row>
    <row r="310" spans="1:2" x14ac:dyDescent="0.3">
      <c r="A310" s="139"/>
      <c r="B310" s="139"/>
    </row>
    <row r="311" spans="1:2" x14ac:dyDescent="0.3">
      <c r="A311" s="139"/>
      <c r="B311" s="139"/>
    </row>
    <row r="312" spans="1:2" x14ac:dyDescent="0.3">
      <c r="A312" s="139"/>
      <c r="B312" s="139"/>
    </row>
    <row r="313" spans="1:2" x14ac:dyDescent="0.3">
      <c r="A313" s="139"/>
      <c r="B313" s="139"/>
    </row>
    <row r="314" spans="1:2" x14ac:dyDescent="0.3">
      <c r="A314" s="139"/>
      <c r="B314" s="139"/>
    </row>
    <row r="315" spans="1:2" x14ac:dyDescent="0.3">
      <c r="A315" s="139"/>
      <c r="B315" s="139"/>
    </row>
    <row r="316" spans="1:2" x14ac:dyDescent="0.3">
      <c r="A316" s="139"/>
      <c r="B316" s="139"/>
    </row>
    <row r="317" spans="1:2" x14ac:dyDescent="0.3">
      <c r="A317" s="139"/>
      <c r="B317" s="139"/>
    </row>
    <row r="318" spans="1:2" x14ac:dyDescent="0.3">
      <c r="A318" s="139"/>
      <c r="B318" s="139"/>
    </row>
    <row r="319" spans="1:2" x14ac:dyDescent="0.3">
      <c r="A319" s="139"/>
      <c r="B319" s="139"/>
    </row>
    <row r="320" spans="1:2" x14ac:dyDescent="0.3">
      <c r="A320" s="139"/>
      <c r="B320" s="139"/>
    </row>
    <row r="321" spans="1:2" x14ac:dyDescent="0.3">
      <c r="A321" s="139"/>
      <c r="B321" s="139"/>
    </row>
    <row r="322" spans="1:2" x14ac:dyDescent="0.3">
      <c r="A322" s="139"/>
      <c r="B322" s="139"/>
    </row>
    <row r="323" spans="1:2" x14ac:dyDescent="0.3">
      <c r="A323" s="139"/>
      <c r="B323" s="139"/>
    </row>
    <row r="324" spans="1:2" x14ac:dyDescent="0.3">
      <c r="A324" s="139"/>
      <c r="B324" s="139"/>
    </row>
    <row r="325" spans="1:2" x14ac:dyDescent="0.3">
      <c r="A325" s="139"/>
      <c r="B325" s="139"/>
    </row>
    <row r="326" spans="1:2" x14ac:dyDescent="0.3">
      <c r="A326" s="139"/>
      <c r="B326" s="139"/>
    </row>
    <row r="327" spans="1:2" x14ac:dyDescent="0.3">
      <c r="A327" s="139"/>
      <c r="B327" s="139"/>
    </row>
    <row r="328" spans="1:2" x14ac:dyDescent="0.3">
      <c r="A328" s="139"/>
      <c r="B328" s="139"/>
    </row>
    <row r="329" spans="1:2" x14ac:dyDescent="0.3">
      <c r="A329" s="139"/>
      <c r="B329" s="139"/>
    </row>
    <row r="330" spans="1:2" x14ac:dyDescent="0.3">
      <c r="A330" s="139"/>
      <c r="B330" s="139"/>
    </row>
    <row r="331" spans="1:2" x14ac:dyDescent="0.3">
      <c r="A331" s="139"/>
      <c r="B331" s="139"/>
    </row>
    <row r="332" spans="1:2" x14ac:dyDescent="0.3">
      <c r="A332" s="139"/>
      <c r="B332" s="139"/>
    </row>
    <row r="333" spans="1:2" x14ac:dyDescent="0.3">
      <c r="A333" s="139"/>
      <c r="B333" s="139"/>
    </row>
    <row r="334" spans="1:2" x14ac:dyDescent="0.3">
      <c r="A334" s="139"/>
      <c r="B334" s="139"/>
    </row>
    <row r="335" spans="1:2" x14ac:dyDescent="0.3">
      <c r="A335" s="139"/>
      <c r="B335" s="139"/>
    </row>
    <row r="336" spans="1:2" x14ac:dyDescent="0.3">
      <c r="A336" s="139"/>
      <c r="B336" s="139"/>
    </row>
    <row r="337" spans="1:2" x14ac:dyDescent="0.3">
      <c r="A337" s="139"/>
      <c r="B337" s="139"/>
    </row>
    <row r="338" spans="1:2" x14ac:dyDescent="0.3">
      <c r="A338" s="139"/>
      <c r="B338" s="139"/>
    </row>
    <row r="339" spans="1:2" x14ac:dyDescent="0.3">
      <c r="A339" s="139"/>
      <c r="B339" s="139"/>
    </row>
    <row r="340" spans="1:2" x14ac:dyDescent="0.3">
      <c r="A340" s="139"/>
      <c r="B340" s="139"/>
    </row>
    <row r="341" spans="1:2" x14ac:dyDescent="0.3">
      <c r="A341" s="139"/>
      <c r="B341" s="139"/>
    </row>
    <row r="342" spans="1:2" x14ac:dyDescent="0.3">
      <c r="A342" s="139"/>
      <c r="B342" s="139"/>
    </row>
    <row r="343" spans="1:2" x14ac:dyDescent="0.3">
      <c r="A343" s="139"/>
      <c r="B343" s="139"/>
    </row>
    <row r="344" spans="1:2" x14ac:dyDescent="0.3">
      <c r="A344" s="139"/>
      <c r="B344" s="139"/>
    </row>
    <row r="345" spans="1:2" x14ac:dyDescent="0.3">
      <c r="A345" s="139"/>
      <c r="B345" s="139"/>
    </row>
    <row r="346" spans="1:2" x14ac:dyDescent="0.3">
      <c r="A346" s="139"/>
      <c r="B346" s="139"/>
    </row>
    <row r="347" spans="1:2" x14ac:dyDescent="0.3">
      <c r="A347" s="139"/>
      <c r="B347" s="139"/>
    </row>
    <row r="348" spans="1:2" x14ac:dyDescent="0.3">
      <c r="A348" s="139"/>
      <c r="B348" s="139"/>
    </row>
    <row r="349" spans="1:2" x14ac:dyDescent="0.3">
      <c r="A349" s="139"/>
      <c r="B349" s="139"/>
    </row>
    <row r="350" spans="1:2" x14ac:dyDescent="0.3">
      <c r="A350" s="139"/>
      <c r="B350" s="139"/>
    </row>
    <row r="351" spans="1:2" x14ac:dyDescent="0.3">
      <c r="A351" s="139"/>
      <c r="B351" s="139"/>
    </row>
    <row r="352" spans="1:2" x14ac:dyDescent="0.3">
      <c r="A352" s="139"/>
      <c r="B352" s="139"/>
    </row>
    <row r="353" spans="1:2" x14ac:dyDescent="0.3">
      <c r="A353" s="139"/>
      <c r="B353" s="139"/>
    </row>
    <row r="354" spans="1:2" x14ac:dyDescent="0.3">
      <c r="A354" s="139"/>
      <c r="B354" s="139"/>
    </row>
    <row r="355" spans="1:2" x14ac:dyDescent="0.3">
      <c r="A355" s="139"/>
      <c r="B355" s="139"/>
    </row>
    <row r="356" spans="1:2" x14ac:dyDescent="0.3">
      <c r="A356" s="139"/>
      <c r="B356" s="139"/>
    </row>
    <row r="357" spans="1:2" x14ac:dyDescent="0.3">
      <c r="A357" s="139"/>
      <c r="B357" s="139"/>
    </row>
    <row r="358" spans="1:2" x14ac:dyDescent="0.3">
      <c r="A358" s="139"/>
      <c r="B358" s="139"/>
    </row>
    <row r="359" spans="1:2" x14ac:dyDescent="0.3">
      <c r="A359" s="139"/>
      <c r="B359" s="139"/>
    </row>
    <row r="360" spans="1:2" x14ac:dyDescent="0.3">
      <c r="A360" s="139"/>
      <c r="B360" s="139"/>
    </row>
    <row r="361" spans="1:2" x14ac:dyDescent="0.3">
      <c r="A361" s="139"/>
      <c r="B361" s="139"/>
    </row>
    <row r="362" spans="1:2" x14ac:dyDescent="0.3">
      <c r="A362" s="139"/>
      <c r="B362" s="139"/>
    </row>
    <row r="363" spans="1:2" x14ac:dyDescent="0.3">
      <c r="A363" s="139"/>
      <c r="B363" s="139"/>
    </row>
    <row r="364" spans="1:2" x14ac:dyDescent="0.3">
      <c r="A364" s="139"/>
      <c r="B364" s="139"/>
    </row>
    <row r="365" spans="1:2" x14ac:dyDescent="0.3">
      <c r="A365" s="139"/>
      <c r="B365" s="139"/>
    </row>
    <row r="366" spans="1:2" x14ac:dyDescent="0.3">
      <c r="A366" s="139"/>
      <c r="B366" s="139"/>
    </row>
    <row r="367" spans="1:2" x14ac:dyDescent="0.3">
      <c r="A367" s="139"/>
      <c r="B367" s="139"/>
    </row>
    <row r="368" spans="1:2" x14ac:dyDescent="0.3">
      <c r="A368" s="139"/>
      <c r="B368" s="139"/>
    </row>
    <row r="369" spans="1:2" x14ac:dyDescent="0.3">
      <c r="A369" s="139"/>
      <c r="B369" s="139"/>
    </row>
    <row r="370" spans="1:2" x14ac:dyDescent="0.3">
      <c r="A370" s="139"/>
      <c r="B370" s="139"/>
    </row>
    <row r="371" spans="1:2" x14ac:dyDescent="0.3">
      <c r="A371" s="139"/>
      <c r="B371" s="139"/>
    </row>
    <row r="372" spans="1:2" x14ac:dyDescent="0.3">
      <c r="A372" s="139"/>
      <c r="B372" s="139"/>
    </row>
    <row r="373" spans="1:2" x14ac:dyDescent="0.3">
      <c r="A373" s="139"/>
      <c r="B373" s="139"/>
    </row>
    <row r="374" spans="1:2" x14ac:dyDescent="0.3">
      <c r="A374" s="139"/>
      <c r="B374" s="139"/>
    </row>
    <row r="375" spans="1:2" x14ac:dyDescent="0.3">
      <c r="A375" s="139"/>
      <c r="B375" s="139"/>
    </row>
    <row r="376" spans="1:2" x14ac:dyDescent="0.3">
      <c r="A376" s="139"/>
      <c r="B376" s="139"/>
    </row>
    <row r="377" spans="1:2" x14ac:dyDescent="0.3">
      <c r="A377" s="139"/>
      <c r="B377" s="139"/>
    </row>
    <row r="378" spans="1:2" x14ac:dyDescent="0.3">
      <c r="A378" s="139"/>
      <c r="B378" s="139"/>
    </row>
    <row r="379" spans="1:2" x14ac:dyDescent="0.3">
      <c r="A379" s="139"/>
      <c r="B379" s="139"/>
    </row>
    <row r="380" spans="1:2" x14ac:dyDescent="0.3">
      <c r="A380" s="139"/>
      <c r="B380" s="139"/>
    </row>
    <row r="381" spans="1:2" x14ac:dyDescent="0.3">
      <c r="A381" s="139"/>
      <c r="B381" s="139"/>
    </row>
    <row r="382" spans="1:2" x14ac:dyDescent="0.3">
      <c r="A382" s="139"/>
      <c r="B382" s="139"/>
    </row>
    <row r="383" spans="1:2" x14ac:dyDescent="0.3">
      <c r="A383" s="139"/>
      <c r="B383" s="139"/>
    </row>
    <row r="384" spans="1:2" x14ac:dyDescent="0.3">
      <c r="A384" s="139"/>
      <c r="B384" s="139"/>
    </row>
    <row r="385" spans="1:2" x14ac:dyDescent="0.3">
      <c r="A385" s="139"/>
      <c r="B385" s="139"/>
    </row>
    <row r="386" spans="1:2" x14ac:dyDescent="0.3">
      <c r="A386" s="139"/>
      <c r="B386" s="139"/>
    </row>
    <row r="387" spans="1:2" x14ac:dyDescent="0.3">
      <c r="A387" s="139"/>
      <c r="B387" s="139"/>
    </row>
    <row r="388" spans="1:2" x14ac:dyDescent="0.3">
      <c r="A388" s="139"/>
      <c r="B388" s="139"/>
    </row>
    <row r="389" spans="1:2" x14ac:dyDescent="0.3">
      <c r="A389" s="139"/>
      <c r="B389" s="139"/>
    </row>
    <row r="390" spans="1:2" x14ac:dyDescent="0.3">
      <c r="A390" s="139"/>
      <c r="B390" s="139"/>
    </row>
    <row r="391" spans="1:2" x14ac:dyDescent="0.3">
      <c r="A391" s="139"/>
      <c r="B391" s="139"/>
    </row>
    <row r="392" spans="1:2" x14ac:dyDescent="0.3">
      <c r="A392" s="139"/>
      <c r="B392" s="139"/>
    </row>
    <row r="393" spans="1:2" x14ac:dyDescent="0.3">
      <c r="A393" s="139"/>
      <c r="B393" s="139"/>
    </row>
    <row r="394" spans="1:2" x14ac:dyDescent="0.3">
      <c r="A394" s="139"/>
      <c r="B394" s="139"/>
    </row>
    <row r="395" spans="1:2" x14ac:dyDescent="0.3">
      <c r="A395" s="139"/>
      <c r="B395" s="139"/>
    </row>
    <row r="396" spans="1:2" x14ac:dyDescent="0.3">
      <c r="A396" s="139"/>
      <c r="B396" s="139"/>
    </row>
    <row r="397" spans="1:2" x14ac:dyDescent="0.3">
      <c r="A397" s="139"/>
      <c r="B397" s="139"/>
    </row>
    <row r="398" spans="1:2" x14ac:dyDescent="0.3">
      <c r="A398" s="139"/>
      <c r="B398" s="139"/>
    </row>
    <row r="399" spans="1:2" x14ac:dyDescent="0.3">
      <c r="A399" s="139"/>
      <c r="B399" s="139"/>
    </row>
    <row r="400" spans="1:2" x14ac:dyDescent="0.3">
      <c r="A400" s="139"/>
      <c r="B400" s="139"/>
    </row>
  </sheetData>
  <mergeCells count="16">
    <mergeCell ref="B6:J6"/>
    <mergeCell ref="B7:J7"/>
    <mergeCell ref="B8:J8"/>
    <mergeCell ref="B9:J9"/>
    <mergeCell ref="B10:J10"/>
    <mergeCell ref="B11:J11"/>
    <mergeCell ref="B12:J12"/>
    <mergeCell ref="B13:J13"/>
    <mergeCell ref="B14:J14"/>
    <mergeCell ref="B15:J15"/>
    <mergeCell ref="A250:H250"/>
    <mergeCell ref="A137:H137"/>
    <mergeCell ref="A143:H143"/>
    <mergeCell ref="A154:H154"/>
    <mergeCell ref="A160:H160"/>
    <mergeCell ref="A168:H16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A9DB"/>
  </sheetPr>
  <dimension ref="A1:J400"/>
  <sheetViews>
    <sheetView showGridLines="0" workbookViewId="0">
      <pane xSplit="2" ySplit="17" topLeftCell="C18" activePane="bottomRight" state="frozen"/>
      <selection pane="topRight"/>
      <selection pane="bottomLeft"/>
      <selection pane="bottomRight" activeCell="C18" sqref="C18"/>
    </sheetView>
  </sheetViews>
  <sheetFormatPr defaultColWidth="8.6640625" defaultRowHeight="14.4" x14ac:dyDescent="0.3"/>
  <cols>
    <col min="1" max="1" width="58" customWidth="1"/>
    <col min="2" max="2" width="46" customWidth="1"/>
    <col min="3" max="8" width="11" customWidth="1"/>
    <col min="9" max="9" width="9" customWidth="1"/>
    <col min="10" max="10" width="62" customWidth="1"/>
  </cols>
  <sheetData>
    <row r="1" spans="1:10" ht="18" x14ac:dyDescent="0.35">
      <c r="A1" s="138" t="s">
        <v>834</v>
      </c>
      <c r="B1" s="139"/>
    </row>
    <row r="2" spans="1:10" x14ac:dyDescent="0.3">
      <c r="A2" s="140" t="s">
        <v>835</v>
      </c>
      <c r="B2" s="139"/>
    </row>
    <row r="3" spans="1:10" x14ac:dyDescent="0.3">
      <c r="A3" s="141" t="s">
        <v>9355</v>
      </c>
      <c r="B3" s="139"/>
    </row>
    <row r="4" spans="1:10" x14ac:dyDescent="0.3">
      <c r="A4" s="139"/>
      <c r="B4" s="139"/>
    </row>
    <row r="5" spans="1:10" x14ac:dyDescent="0.3">
      <c r="A5" s="142" t="s">
        <v>217</v>
      </c>
      <c r="B5" s="143"/>
      <c r="C5" s="10"/>
      <c r="D5" s="10"/>
      <c r="E5" s="10"/>
      <c r="F5" s="10"/>
      <c r="G5" s="10"/>
      <c r="H5" s="10"/>
      <c r="I5" s="10"/>
      <c r="J5" s="10"/>
    </row>
    <row r="6" spans="1:10" ht="15" customHeight="1" x14ac:dyDescent="0.3">
      <c r="A6" s="144" t="s">
        <v>1</v>
      </c>
      <c r="B6" s="210" t="s">
        <v>836</v>
      </c>
      <c r="C6" s="211"/>
      <c r="D6" s="211"/>
      <c r="E6" s="211"/>
      <c r="F6" s="211"/>
      <c r="G6" s="211"/>
      <c r="H6" s="211"/>
      <c r="I6" s="211"/>
      <c r="J6" s="211"/>
    </row>
    <row r="7" spans="1:10" ht="15" customHeight="1" x14ac:dyDescent="0.3">
      <c r="A7" s="144" t="s">
        <v>219</v>
      </c>
      <c r="B7" s="210" t="s">
        <v>114</v>
      </c>
      <c r="C7" s="211"/>
      <c r="D7" s="211"/>
      <c r="E7" s="211"/>
      <c r="F7" s="211"/>
      <c r="G7" s="211"/>
      <c r="H7" s="211"/>
      <c r="I7" s="211"/>
      <c r="J7" s="211"/>
    </row>
    <row r="8" spans="1:10" ht="15" customHeight="1" x14ac:dyDescent="0.3">
      <c r="A8" s="144" t="s">
        <v>220</v>
      </c>
      <c r="B8" s="210" t="s">
        <v>837</v>
      </c>
      <c r="C8" s="211"/>
      <c r="D8" s="211"/>
      <c r="E8" s="211"/>
      <c r="F8" s="211"/>
      <c r="G8" s="211"/>
      <c r="H8" s="211"/>
      <c r="I8" s="211"/>
      <c r="J8" s="211"/>
    </row>
    <row r="9" spans="1:10" ht="15" customHeight="1" x14ac:dyDescent="0.3">
      <c r="A9" s="144" t="s">
        <v>222</v>
      </c>
      <c r="B9" s="210" t="s">
        <v>223</v>
      </c>
      <c r="C9" s="211"/>
      <c r="D9" s="211"/>
      <c r="E9" s="211"/>
      <c r="F9" s="211"/>
      <c r="G9" s="211"/>
      <c r="H9" s="211"/>
      <c r="I9" s="211"/>
      <c r="J9" s="211"/>
    </row>
    <row r="10" spans="1:10" ht="15" customHeight="1" x14ac:dyDescent="0.3">
      <c r="A10" s="144" t="s">
        <v>224</v>
      </c>
      <c r="B10" s="210" t="s">
        <v>225</v>
      </c>
      <c r="C10" s="211"/>
      <c r="D10" s="211"/>
      <c r="E10" s="211"/>
      <c r="F10" s="211"/>
      <c r="G10" s="211"/>
      <c r="H10" s="211"/>
      <c r="I10" s="211"/>
      <c r="J10" s="211"/>
    </row>
    <row r="11" spans="1:10" ht="15" customHeight="1" x14ac:dyDescent="0.3">
      <c r="A11" s="144" t="s">
        <v>226</v>
      </c>
      <c r="B11" s="210" t="s">
        <v>694</v>
      </c>
      <c r="C11" s="211"/>
      <c r="D11" s="211"/>
      <c r="E11" s="211"/>
      <c r="F11" s="211"/>
      <c r="G11" s="211"/>
      <c r="H11" s="211"/>
      <c r="I11" s="211"/>
      <c r="J11" s="211"/>
    </row>
    <row r="12" spans="1:10" ht="27.75" customHeight="1" x14ac:dyDescent="0.3">
      <c r="A12" s="144" t="s">
        <v>228</v>
      </c>
      <c r="B12" s="210" t="s">
        <v>838</v>
      </c>
      <c r="C12" s="211"/>
      <c r="D12" s="211"/>
      <c r="E12" s="211"/>
      <c r="F12" s="211"/>
      <c r="G12" s="211"/>
      <c r="H12" s="211"/>
      <c r="I12" s="211"/>
      <c r="J12" s="211"/>
    </row>
    <row r="13" spans="1:10" ht="27.75" customHeight="1" x14ac:dyDescent="0.3">
      <c r="A13" s="144" t="s">
        <v>230</v>
      </c>
      <c r="B13" s="210" t="s">
        <v>231</v>
      </c>
      <c r="C13" s="211"/>
      <c r="D13" s="211"/>
      <c r="E13" s="211"/>
      <c r="F13" s="211"/>
      <c r="G13" s="211"/>
      <c r="H13" s="211"/>
      <c r="I13" s="211"/>
      <c r="J13" s="211"/>
    </row>
    <row r="14" spans="1:10" ht="27.75" customHeight="1" x14ac:dyDescent="0.3">
      <c r="A14" s="144" t="s">
        <v>232</v>
      </c>
      <c r="B14" s="210" t="s">
        <v>233</v>
      </c>
      <c r="C14" s="211"/>
      <c r="D14" s="211"/>
      <c r="E14" s="211"/>
      <c r="F14" s="211"/>
      <c r="G14" s="211"/>
      <c r="H14" s="211"/>
      <c r="I14" s="211"/>
      <c r="J14" s="211"/>
    </row>
    <row r="15" spans="1:10" ht="27.75" customHeight="1" x14ac:dyDescent="0.3">
      <c r="A15" s="144" t="s">
        <v>234</v>
      </c>
      <c r="B15" s="210" t="s">
        <v>235</v>
      </c>
      <c r="C15" s="211"/>
      <c r="D15" s="211"/>
      <c r="E15" s="211"/>
      <c r="F15" s="211"/>
      <c r="G15" s="211"/>
      <c r="H15" s="211"/>
      <c r="I15" s="211"/>
      <c r="J15" s="211"/>
    </row>
    <row r="16" spans="1:10" x14ac:dyDescent="0.3">
      <c r="A16" s="139"/>
      <c r="B16" s="139"/>
    </row>
    <row r="17" spans="1:10" x14ac:dyDescent="0.3">
      <c r="A17" s="145" t="s">
        <v>236</v>
      </c>
      <c r="B17" s="145" t="s">
        <v>237</v>
      </c>
      <c r="C17" s="11" t="s">
        <v>238</v>
      </c>
      <c r="D17" s="11" t="s">
        <v>20</v>
      </c>
      <c r="E17" s="11" t="s">
        <v>26</v>
      </c>
      <c r="F17" s="11" t="s">
        <v>27</v>
      </c>
      <c r="G17" s="11" t="s">
        <v>28</v>
      </c>
      <c r="H17" s="11" t="s">
        <v>29</v>
      </c>
      <c r="I17" s="11" t="s">
        <v>239</v>
      </c>
      <c r="J17" s="11" t="s">
        <v>240</v>
      </c>
    </row>
    <row r="18" spans="1:10" x14ac:dyDescent="0.3">
      <c r="A18" s="142" t="s">
        <v>241</v>
      </c>
      <c r="B18" s="143"/>
      <c r="C18" s="10"/>
      <c r="D18" s="10"/>
      <c r="E18" s="10"/>
      <c r="F18" s="10"/>
      <c r="G18" s="10"/>
      <c r="H18" s="10"/>
      <c r="I18" s="10"/>
      <c r="J18" s="10"/>
    </row>
    <row r="19" spans="1:10" x14ac:dyDescent="0.3">
      <c r="A19" s="146" t="s">
        <v>242</v>
      </c>
      <c r="B19" s="147"/>
      <c r="C19" s="13"/>
      <c r="D19" s="13"/>
      <c r="E19" s="13"/>
      <c r="F19" s="13"/>
      <c r="G19" s="13"/>
      <c r="H19" s="13"/>
      <c r="I19" s="13"/>
      <c r="J19" s="13"/>
    </row>
    <row r="20" spans="1:10" x14ac:dyDescent="0.3">
      <c r="A20" s="139" t="s">
        <v>243</v>
      </c>
      <c r="B20" s="141" t="s">
        <v>839</v>
      </c>
      <c r="C20" s="14">
        <v>22065.171999999999</v>
      </c>
      <c r="D20" s="14">
        <v>21422.215</v>
      </c>
      <c r="E20" s="14">
        <v>74126.315000000002</v>
      </c>
      <c r="F20" s="14">
        <v>104425.181</v>
      </c>
      <c r="G20" s="14">
        <v>110845.663</v>
      </c>
      <c r="H20" s="14">
        <v>109579.08900000001</v>
      </c>
      <c r="I20" s="8" t="s">
        <v>245</v>
      </c>
    </row>
    <row r="21" spans="1:10" x14ac:dyDescent="0.3">
      <c r="A21" s="139" t="s">
        <v>246</v>
      </c>
      <c r="B21" s="141" t="s">
        <v>840</v>
      </c>
      <c r="C21" s="14">
        <v>2.8079999999999998</v>
      </c>
      <c r="D21" s="14">
        <v>202.08699999999999</v>
      </c>
      <c r="E21" s="14">
        <v>29802.17</v>
      </c>
      <c r="F21" s="14">
        <v>34531.171999999999</v>
      </c>
      <c r="G21" s="14">
        <v>700.15300000000002</v>
      </c>
      <c r="H21" s="14">
        <v>296.57400000000001</v>
      </c>
      <c r="I21" s="8" t="s">
        <v>245</v>
      </c>
    </row>
    <row r="22" spans="1:10" x14ac:dyDescent="0.3">
      <c r="A22" s="139" t="s">
        <v>248</v>
      </c>
      <c r="B22" s="141" t="s">
        <v>249</v>
      </c>
      <c r="C22" s="15">
        <f t="shared" ref="C22:H22" si="0">C20-C21</f>
        <v>22062.363999999998</v>
      </c>
      <c r="D22" s="15">
        <f t="shared" si="0"/>
        <v>21220.128000000001</v>
      </c>
      <c r="E22" s="15">
        <f t="shared" si="0"/>
        <v>44324.145000000004</v>
      </c>
      <c r="F22" s="15">
        <f t="shared" si="0"/>
        <v>69894.008999999991</v>
      </c>
      <c r="G22" s="15">
        <f t="shared" si="0"/>
        <v>110145.51</v>
      </c>
      <c r="H22" s="15">
        <f t="shared" si="0"/>
        <v>109282.51500000001</v>
      </c>
      <c r="I22" s="8" t="s">
        <v>245</v>
      </c>
    </row>
    <row r="23" spans="1:10" x14ac:dyDescent="0.3">
      <c r="A23" s="139" t="s">
        <v>250</v>
      </c>
      <c r="B23" s="141" t="s">
        <v>841</v>
      </c>
      <c r="C23" s="14">
        <v>60.322000000000003</v>
      </c>
      <c r="D23" s="14">
        <v>89.334000000000003</v>
      </c>
      <c r="E23" s="14">
        <v>132.26300000000001</v>
      </c>
      <c r="F23" s="14">
        <v>181.38</v>
      </c>
      <c r="G23" s="14">
        <v>131.16499999999999</v>
      </c>
      <c r="H23" s="14">
        <v>126.44499999999999</v>
      </c>
      <c r="I23" s="8" t="s">
        <v>245</v>
      </c>
    </row>
    <row r="24" spans="1:10" x14ac:dyDescent="0.3">
      <c r="A24" s="139" t="s">
        <v>252</v>
      </c>
      <c r="B24" s="141" t="s">
        <v>842</v>
      </c>
      <c r="C24" s="14">
        <v>0</v>
      </c>
      <c r="D24" s="14">
        <v>0</v>
      </c>
      <c r="E24" s="14">
        <v>11029.755999999999</v>
      </c>
      <c r="F24" s="14">
        <v>10957.736999999999</v>
      </c>
      <c r="G24" s="14">
        <v>10745.7</v>
      </c>
      <c r="H24" s="14">
        <v>10533.666999999999</v>
      </c>
      <c r="I24" s="8" t="s">
        <v>245</v>
      </c>
    </row>
    <row r="25" spans="1:10" x14ac:dyDescent="0.3">
      <c r="A25" s="139" t="s">
        <v>254</v>
      </c>
      <c r="B25" s="141" t="s">
        <v>843</v>
      </c>
      <c r="C25" s="14">
        <v>0</v>
      </c>
      <c r="D25" s="14">
        <v>0</v>
      </c>
      <c r="E25" s="14">
        <v>0</v>
      </c>
      <c r="F25" s="14">
        <v>0</v>
      </c>
      <c r="G25" s="14">
        <v>0</v>
      </c>
      <c r="H25" s="14">
        <v>0</v>
      </c>
      <c r="I25" s="8" t="s">
        <v>245</v>
      </c>
    </row>
    <row r="26" spans="1:10" x14ac:dyDescent="0.3">
      <c r="A26" s="139" t="s">
        <v>256</v>
      </c>
      <c r="B26" s="141" t="s">
        <v>844</v>
      </c>
      <c r="C26" s="14">
        <v>0</v>
      </c>
      <c r="D26" s="14">
        <v>15.349</v>
      </c>
      <c r="E26" s="14">
        <v>66.656999999999996</v>
      </c>
      <c r="F26" s="14">
        <v>0</v>
      </c>
      <c r="G26" s="14">
        <v>0</v>
      </c>
      <c r="H26" s="14">
        <v>0</v>
      </c>
      <c r="I26" s="8" t="s">
        <v>245</v>
      </c>
    </row>
    <row r="27" spans="1:10" x14ac:dyDescent="0.3">
      <c r="A27" s="139" t="s">
        <v>258</v>
      </c>
      <c r="B27" s="141" t="s">
        <v>845</v>
      </c>
      <c r="C27" s="14">
        <v>99.100999999999999</v>
      </c>
      <c r="D27" s="14">
        <v>86.600999999999999</v>
      </c>
      <c r="E27" s="14">
        <v>126.274</v>
      </c>
      <c r="F27" s="14">
        <v>129.69999999999999</v>
      </c>
      <c r="G27" s="14">
        <v>129.69999999999999</v>
      </c>
      <c r="H27" s="14">
        <v>133.42500000000001</v>
      </c>
      <c r="I27" s="8" t="s">
        <v>245</v>
      </c>
    </row>
    <row r="28" spans="1:10" x14ac:dyDescent="0.3">
      <c r="A28" s="144" t="s">
        <v>260</v>
      </c>
      <c r="B28" s="141" t="s">
        <v>261</v>
      </c>
      <c r="C28" s="16">
        <f t="shared" ref="C28:H28" si="1">C20+C23+C24+C25+C26+C27</f>
        <v>22224.594999999998</v>
      </c>
      <c r="D28" s="16">
        <f t="shared" si="1"/>
        <v>21613.498999999996</v>
      </c>
      <c r="E28" s="16">
        <f t="shared" si="1"/>
        <v>85481.265000000014</v>
      </c>
      <c r="F28" s="16">
        <f t="shared" si="1"/>
        <v>115693.99799999999</v>
      </c>
      <c r="G28" s="16">
        <f t="shared" si="1"/>
        <v>121852.22799999999</v>
      </c>
      <c r="H28" s="16">
        <f t="shared" si="1"/>
        <v>120372.62600000002</v>
      </c>
      <c r="I28" s="8" t="s">
        <v>245</v>
      </c>
    </row>
    <row r="29" spans="1:10" x14ac:dyDescent="0.3">
      <c r="A29" s="146" t="s">
        <v>262</v>
      </c>
      <c r="B29" s="147"/>
      <c r="C29" s="13"/>
      <c r="D29" s="13"/>
      <c r="E29" s="13"/>
      <c r="F29" s="13"/>
      <c r="G29" s="13"/>
      <c r="H29" s="13"/>
      <c r="I29" s="13"/>
      <c r="J29" s="13"/>
    </row>
    <row r="30" spans="1:10" x14ac:dyDescent="0.3">
      <c r="A30" s="139" t="s">
        <v>263</v>
      </c>
      <c r="B30" s="141" t="s">
        <v>846</v>
      </c>
      <c r="C30" s="14">
        <v>3505.8090000000002</v>
      </c>
      <c r="D30" s="14">
        <v>4250.7539999999999</v>
      </c>
      <c r="E30" s="14">
        <v>11939.147000000001</v>
      </c>
      <c r="F30" s="14">
        <v>8011.1809999999996</v>
      </c>
      <c r="G30" s="14">
        <v>9099.1299999999992</v>
      </c>
      <c r="H30" s="14">
        <v>10377.008</v>
      </c>
      <c r="I30" s="8" t="s">
        <v>245</v>
      </c>
    </row>
    <row r="31" spans="1:10" x14ac:dyDescent="0.3">
      <c r="A31" s="139" t="s">
        <v>265</v>
      </c>
      <c r="B31" s="141" t="s">
        <v>847</v>
      </c>
      <c r="C31" s="14">
        <v>1187.752</v>
      </c>
      <c r="D31" s="14">
        <v>1189.1980000000001</v>
      </c>
      <c r="E31" s="14">
        <v>3697.721</v>
      </c>
      <c r="F31" s="14">
        <v>7112.3270000000002</v>
      </c>
      <c r="G31" s="14">
        <v>7495.7049999999999</v>
      </c>
      <c r="H31" s="14">
        <v>9337.6170000000002</v>
      </c>
      <c r="I31" s="8" t="s">
        <v>245</v>
      </c>
    </row>
    <row r="32" spans="1:10" x14ac:dyDescent="0.3">
      <c r="A32" s="139" t="s">
        <v>267</v>
      </c>
      <c r="B32" s="141" t="s">
        <v>848</v>
      </c>
      <c r="C32" s="14">
        <v>1050.6400000000001</v>
      </c>
      <c r="D32" s="14">
        <v>1449.6</v>
      </c>
      <c r="E32" s="14">
        <v>2412.7579999999998</v>
      </c>
      <c r="F32" s="14">
        <v>3572.4450000000002</v>
      </c>
      <c r="G32" s="14">
        <v>5545.241</v>
      </c>
      <c r="H32" s="14">
        <v>6911.3220000000001</v>
      </c>
      <c r="I32" s="8" t="s">
        <v>245</v>
      </c>
    </row>
    <row r="33" spans="1:10" x14ac:dyDescent="0.3">
      <c r="A33" s="139" t="s">
        <v>269</v>
      </c>
      <c r="B33" s="141" t="s">
        <v>849</v>
      </c>
      <c r="C33" s="14">
        <v>0</v>
      </c>
      <c r="D33" s="14">
        <v>4397.6989999999996</v>
      </c>
      <c r="E33" s="14">
        <v>3843.01</v>
      </c>
      <c r="F33" s="14">
        <v>250</v>
      </c>
      <c r="G33" s="14">
        <v>250</v>
      </c>
      <c r="H33" s="14">
        <v>9210.1</v>
      </c>
      <c r="I33" s="8" t="s">
        <v>245</v>
      </c>
    </row>
    <row r="34" spans="1:10" x14ac:dyDescent="0.3">
      <c r="A34" s="139" t="s">
        <v>271</v>
      </c>
      <c r="B34" s="141" t="s">
        <v>850</v>
      </c>
      <c r="C34" s="14">
        <v>561.17399999999998</v>
      </c>
      <c r="D34" s="14">
        <v>900.77800000000002</v>
      </c>
      <c r="E34" s="14">
        <v>2306.6329999999998</v>
      </c>
      <c r="F34" s="14">
        <v>970.45699999999999</v>
      </c>
      <c r="G34" s="14">
        <v>2932.9839999999999</v>
      </c>
      <c r="H34" s="14">
        <v>2665.3380000000002</v>
      </c>
      <c r="I34" s="8" t="s">
        <v>245</v>
      </c>
    </row>
    <row r="35" spans="1:10" x14ac:dyDescent="0.3">
      <c r="A35" s="139" t="s">
        <v>273</v>
      </c>
      <c r="B35" s="141" t="s">
        <v>851</v>
      </c>
      <c r="C35" s="14">
        <v>677.94600000000003</v>
      </c>
      <c r="D35" s="14">
        <v>250.703</v>
      </c>
      <c r="E35" s="14">
        <v>4017.5430000000001</v>
      </c>
      <c r="F35" s="14">
        <v>3218.0889999999999</v>
      </c>
      <c r="G35" s="14">
        <v>461.01100000000002</v>
      </c>
      <c r="H35" s="14">
        <v>1971.18</v>
      </c>
      <c r="I35" s="8" t="s">
        <v>245</v>
      </c>
    </row>
    <row r="36" spans="1:10" x14ac:dyDescent="0.3">
      <c r="A36" s="144" t="s">
        <v>275</v>
      </c>
      <c r="B36" s="141" t="s">
        <v>276</v>
      </c>
      <c r="C36" s="16">
        <f t="shared" ref="C36:H36" si="2">C30+C31+C32+C33+C34+C35</f>
        <v>6983.3209999999999</v>
      </c>
      <c r="D36" s="16">
        <f t="shared" si="2"/>
        <v>12438.732</v>
      </c>
      <c r="E36" s="16">
        <f t="shared" si="2"/>
        <v>28216.812000000002</v>
      </c>
      <c r="F36" s="16">
        <f t="shared" si="2"/>
        <v>23134.499</v>
      </c>
      <c r="G36" s="16">
        <f t="shared" si="2"/>
        <v>25784.071</v>
      </c>
      <c r="H36" s="16">
        <f t="shared" si="2"/>
        <v>40472.565000000002</v>
      </c>
      <c r="I36" s="8" t="s">
        <v>245</v>
      </c>
    </row>
    <row r="37" spans="1:10" x14ac:dyDescent="0.3">
      <c r="A37" s="144" t="s">
        <v>277</v>
      </c>
      <c r="B37" s="141" t="s">
        <v>278</v>
      </c>
      <c r="C37" s="16">
        <f t="shared" ref="C37:H37" si="3">C28+C36</f>
        <v>29207.915999999997</v>
      </c>
      <c r="D37" s="16">
        <f t="shared" si="3"/>
        <v>34052.231</v>
      </c>
      <c r="E37" s="16">
        <f t="shared" si="3"/>
        <v>113698.07700000002</v>
      </c>
      <c r="F37" s="16">
        <f t="shared" si="3"/>
        <v>138828.497</v>
      </c>
      <c r="G37" s="16">
        <f t="shared" si="3"/>
        <v>147636.299</v>
      </c>
      <c r="H37" s="16">
        <f t="shared" si="3"/>
        <v>160845.19100000002</v>
      </c>
      <c r="I37" s="8" t="s">
        <v>245</v>
      </c>
    </row>
    <row r="38" spans="1:10" x14ac:dyDescent="0.3">
      <c r="A38" s="146" t="s">
        <v>279</v>
      </c>
      <c r="B38" s="147"/>
      <c r="C38" s="13"/>
      <c r="D38" s="13"/>
      <c r="E38" s="13"/>
      <c r="F38" s="13"/>
      <c r="G38" s="13"/>
      <c r="H38" s="13"/>
      <c r="I38" s="13"/>
      <c r="J38" s="13"/>
    </row>
    <row r="39" spans="1:10" x14ac:dyDescent="0.3">
      <c r="A39" s="139" t="s">
        <v>280</v>
      </c>
      <c r="B39" s="141" t="s">
        <v>852</v>
      </c>
      <c r="C39" s="14">
        <v>13798.15</v>
      </c>
      <c r="D39" s="14">
        <v>13798.15</v>
      </c>
      <c r="E39" s="14">
        <v>21803.09</v>
      </c>
      <c r="F39" s="14">
        <v>24528.475999999999</v>
      </c>
      <c r="G39" s="14">
        <v>24528.475999999999</v>
      </c>
      <c r="H39" s="14">
        <v>24528.475999999999</v>
      </c>
      <c r="I39" s="8" t="s">
        <v>245</v>
      </c>
    </row>
    <row r="40" spans="1:10" x14ac:dyDescent="0.3">
      <c r="A40" s="139" t="s">
        <v>282</v>
      </c>
      <c r="B40" s="141" t="s">
        <v>853</v>
      </c>
      <c r="C40" s="14">
        <v>6006.17</v>
      </c>
      <c r="D40" s="14">
        <v>9477.5210000000006</v>
      </c>
      <c r="E40" s="14">
        <v>35932.966</v>
      </c>
      <c r="F40" s="14">
        <v>40647.260999999999</v>
      </c>
      <c r="G40" s="14">
        <v>48870.377</v>
      </c>
      <c r="H40" s="14">
        <v>59743.732000000004</v>
      </c>
      <c r="I40" s="8" t="s">
        <v>245</v>
      </c>
    </row>
    <row r="41" spans="1:10" x14ac:dyDescent="0.3">
      <c r="A41" s="144" t="s">
        <v>284</v>
      </c>
      <c r="B41" s="141" t="s">
        <v>285</v>
      </c>
      <c r="C41" s="16">
        <f t="shared" ref="C41:H41" si="4">C39+C40</f>
        <v>19804.32</v>
      </c>
      <c r="D41" s="16">
        <f t="shared" si="4"/>
        <v>23275.671000000002</v>
      </c>
      <c r="E41" s="16">
        <f t="shared" si="4"/>
        <v>57736.055999999997</v>
      </c>
      <c r="F41" s="16">
        <f t="shared" si="4"/>
        <v>65175.736999999994</v>
      </c>
      <c r="G41" s="16">
        <f t="shared" si="4"/>
        <v>73398.853000000003</v>
      </c>
      <c r="H41" s="16">
        <f t="shared" si="4"/>
        <v>84272.207999999999</v>
      </c>
      <c r="I41" s="8" t="s">
        <v>245</v>
      </c>
    </row>
    <row r="42" spans="1:10" x14ac:dyDescent="0.3">
      <c r="A42" s="146" t="s">
        <v>286</v>
      </c>
      <c r="B42" s="147"/>
      <c r="C42" s="13"/>
      <c r="D42" s="13"/>
      <c r="E42" s="13"/>
      <c r="F42" s="13"/>
      <c r="G42" s="13"/>
      <c r="H42" s="13"/>
      <c r="I42" s="13"/>
      <c r="J42" s="13"/>
    </row>
    <row r="43" spans="1:10" x14ac:dyDescent="0.3">
      <c r="A43" s="139" t="s">
        <v>287</v>
      </c>
      <c r="B43" s="141" t="s">
        <v>854</v>
      </c>
      <c r="C43" s="14">
        <v>447.327</v>
      </c>
      <c r="D43" s="14">
        <v>491.50200000000001</v>
      </c>
      <c r="E43" s="14">
        <v>19555.996999999999</v>
      </c>
      <c r="F43" s="14">
        <v>31777.087</v>
      </c>
      <c r="G43" s="14">
        <v>29908.287</v>
      </c>
      <c r="H43" s="14">
        <v>24208.633000000002</v>
      </c>
      <c r="I43" s="8" t="s">
        <v>245</v>
      </c>
    </row>
    <row r="44" spans="1:10" x14ac:dyDescent="0.3">
      <c r="A44" s="139" t="s">
        <v>289</v>
      </c>
      <c r="B44" s="141" t="s">
        <v>855</v>
      </c>
      <c r="C44" s="14">
        <v>57.655999999999999</v>
      </c>
      <c r="D44" s="14">
        <v>73.593000000000004</v>
      </c>
      <c r="E44" s="14">
        <v>89.965000000000003</v>
      </c>
      <c r="F44" s="14">
        <v>118.97199999999999</v>
      </c>
      <c r="G44" s="14">
        <v>117.45399999999999</v>
      </c>
      <c r="H44" s="14">
        <v>101.211</v>
      </c>
      <c r="I44" s="8" t="s">
        <v>245</v>
      </c>
    </row>
    <row r="45" spans="1:10" x14ac:dyDescent="0.3">
      <c r="A45" s="139" t="s">
        <v>291</v>
      </c>
      <c r="B45" s="141" t="s">
        <v>856</v>
      </c>
      <c r="C45" s="14">
        <v>0</v>
      </c>
      <c r="D45" s="14">
        <v>6.6070000000000002</v>
      </c>
      <c r="E45" s="14">
        <v>1982.3009999999999</v>
      </c>
      <c r="F45" s="14">
        <v>2745.8490000000002</v>
      </c>
      <c r="G45" s="14">
        <v>2164.9589999999998</v>
      </c>
      <c r="H45" s="14">
        <v>1647.63</v>
      </c>
      <c r="I45" s="8" t="s">
        <v>245</v>
      </c>
    </row>
    <row r="46" spans="1:10" x14ac:dyDescent="0.3">
      <c r="A46" s="139" t="s">
        <v>293</v>
      </c>
      <c r="B46" s="141" t="s">
        <v>857</v>
      </c>
      <c r="C46" s="14">
        <v>3643.6080000000002</v>
      </c>
      <c r="D46" s="14">
        <v>3960.489</v>
      </c>
      <c r="E46" s="14">
        <v>7433.2139999999999</v>
      </c>
      <c r="F46" s="14">
        <v>10312.402</v>
      </c>
      <c r="G46" s="14">
        <v>14931.049000000001</v>
      </c>
      <c r="H46" s="14">
        <v>19694.421999999999</v>
      </c>
      <c r="I46" s="8" t="s">
        <v>245</v>
      </c>
    </row>
    <row r="47" spans="1:10" x14ac:dyDescent="0.3">
      <c r="A47" s="139" t="s">
        <v>295</v>
      </c>
      <c r="B47" s="141" t="s">
        <v>858</v>
      </c>
      <c r="C47" s="14">
        <v>72.546999999999997</v>
      </c>
      <c r="D47" s="14">
        <v>82.38</v>
      </c>
      <c r="E47" s="14">
        <v>179.291</v>
      </c>
      <c r="F47" s="14">
        <v>211.595</v>
      </c>
      <c r="G47" s="14">
        <v>250.23</v>
      </c>
      <c r="H47" s="14">
        <v>283.58999999999997</v>
      </c>
      <c r="I47" s="8" t="s">
        <v>245</v>
      </c>
    </row>
    <row r="48" spans="1:10" x14ac:dyDescent="0.3">
      <c r="A48" s="144" t="s">
        <v>297</v>
      </c>
      <c r="B48" s="141" t="s">
        <v>298</v>
      </c>
      <c r="C48" s="16">
        <f t="shared" ref="C48:H48" si="5">C43+C44+C45+C46+C47</f>
        <v>4221.1379999999999</v>
      </c>
      <c r="D48" s="16">
        <f t="shared" si="5"/>
        <v>4614.5709999999999</v>
      </c>
      <c r="E48" s="16">
        <f t="shared" si="5"/>
        <v>29240.768</v>
      </c>
      <c r="F48" s="16">
        <f t="shared" si="5"/>
        <v>45165.905000000006</v>
      </c>
      <c r="G48" s="16">
        <f t="shared" si="5"/>
        <v>47371.979000000007</v>
      </c>
      <c r="H48" s="16">
        <f t="shared" si="5"/>
        <v>45935.485999999997</v>
      </c>
      <c r="I48" s="8" t="s">
        <v>245</v>
      </c>
    </row>
    <row r="49" spans="1:10" x14ac:dyDescent="0.3">
      <c r="A49" s="146" t="s">
        <v>299</v>
      </c>
      <c r="B49" s="147"/>
      <c r="C49" s="13"/>
      <c r="D49" s="13"/>
      <c r="E49" s="13"/>
      <c r="F49" s="13"/>
      <c r="G49" s="13"/>
      <c r="H49" s="13"/>
      <c r="I49" s="13"/>
      <c r="J49" s="13"/>
    </row>
    <row r="50" spans="1:10" x14ac:dyDescent="0.3">
      <c r="A50" s="139" t="s">
        <v>300</v>
      </c>
      <c r="B50" s="141" t="s">
        <v>859</v>
      </c>
      <c r="C50" s="14">
        <v>1163.2460000000001</v>
      </c>
      <c r="D50" s="14">
        <v>1822.6420000000001</v>
      </c>
      <c r="E50" s="14">
        <v>6917.1490000000003</v>
      </c>
      <c r="F50" s="14">
        <v>6516.4620000000004</v>
      </c>
      <c r="G50" s="14">
        <v>6108.79</v>
      </c>
      <c r="H50" s="14">
        <v>3934.5079999999998</v>
      </c>
      <c r="I50" s="8" t="s">
        <v>245</v>
      </c>
    </row>
    <row r="51" spans="1:10" x14ac:dyDescent="0.3">
      <c r="A51" s="139" t="s">
        <v>302</v>
      </c>
      <c r="B51" s="141" t="s">
        <v>860</v>
      </c>
      <c r="C51" s="14">
        <v>354.58600000000001</v>
      </c>
      <c r="D51" s="14">
        <v>863.03800000000001</v>
      </c>
      <c r="E51" s="14">
        <v>2683.21</v>
      </c>
      <c r="F51" s="14">
        <v>2623.3420000000001</v>
      </c>
      <c r="G51" s="14">
        <v>2726.6640000000002</v>
      </c>
      <c r="H51" s="14">
        <v>2034.1410000000001</v>
      </c>
      <c r="I51" s="8" t="s">
        <v>245</v>
      </c>
    </row>
    <row r="52" spans="1:10" x14ac:dyDescent="0.3">
      <c r="A52" s="139" t="s">
        <v>304</v>
      </c>
      <c r="B52" s="141" t="s">
        <v>861</v>
      </c>
      <c r="C52" s="14">
        <v>367.952</v>
      </c>
      <c r="D52" s="14">
        <v>435.09699999999998</v>
      </c>
      <c r="E52" s="14">
        <v>862.30899999999997</v>
      </c>
      <c r="F52" s="14">
        <v>584.80899999999997</v>
      </c>
      <c r="G52" s="14">
        <v>432.70400000000001</v>
      </c>
      <c r="H52" s="14">
        <v>588.07600000000002</v>
      </c>
      <c r="I52" s="8" t="s">
        <v>245</v>
      </c>
    </row>
    <row r="53" spans="1:10" x14ac:dyDescent="0.3">
      <c r="A53" s="139" t="s">
        <v>306</v>
      </c>
      <c r="B53" s="141" t="s">
        <v>862</v>
      </c>
      <c r="C53" s="14">
        <v>0</v>
      </c>
      <c r="D53" s="14">
        <v>0</v>
      </c>
      <c r="E53" s="14">
        <v>0</v>
      </c>
      <c r="F53" s="14">
        <v>0</v>
      </c>
      <c r="G53" s="14">
        <v>0</v>
      </c>
      <c r="H53" s="14">
        <v>0</v>
      </c>
      <c r="I53" s="8" t="s">
        <v>245</v>
      </c>
    </row>
    <row r="54" spans="1:10" x14ac:dyDescent="0.3">
      <c r="A54" s="139" t="s">
        <v>308</v>
      </c>
      <c r="B54" s="141" t="s">
        <v>863</v>
      </c>
      <c r="C54" s="14">
        <v>1869.1669999999999</v>
      </c>
      <c r="D54" s="14">
        <v>1616.787</v>
      </c>
      <c r="E54" s="14">
        <v>10605.249</v>
      </c>
      <c r="F54" s="14">
        <v>11917.981</v>
      </c>
      <c r="G54" s="14">
        <v>8837.9339999999993</v>
      </c>
      <c r="H54" s="14">
        <v>9764.6479999999992</v>
      </c>
      <c r="I54" s="8" t="s">
        <v>245</v>
      </c>
    </row>
    <row r="55" spans="1:10" x14ac:dyDescent="0.3">
      <c r="A55" s="139" t="s">
        <v>310</v>
      </c>
      <c r="B55" s="141" t="s">
        <v>864</v>
      </c>
      <c r="C55" s="14">
        <v>303.91199999999998</v>
      </c>
      <c r="D55" s="14">
        <v>361.52100000000002</v>
      </c>
      <c r="E55" s="14">
        <v>2985.087</v>
      </c>
      <c r="F55" s="14">
        <v>4176.4930000000004</v>
      </c>
      <c r="G55" s="14">
        <v>5066.8680000000004</v>
      </c>
      <c r="H55" s="14">
        <v>6104.0649999999996</v>
      </c>
      <c r="I55" s="8" t="s">
        <v>245</v>
      </c>
    </row>
    <row r="56" spans="1:10" x14ac:dyDescent="0.3">
      <c r="A56" s="139" t="s">
        <v>312</v>
      </c>
      <c r="B56" s="141" t="s">
        <v>865</v>
      </c>
      <c r="C56" s="14">
        <v>23.736999999999998</v>
      </c>
      <c r="D56" s="14">
        <v>24.686</v>
      </c>
      <c r="E56" s="14">
        <v>68.331999999999994</v>
      </c>
      <c r="F56" s="14">
        <v>50.463000000000001</v>
      </c>
      <c r="G56" s="14">
        <v>46.206000000000003</v>
      </c>
      <c r="H56" s="14">
        <v>43.098999999999997</v>
      </c>
      <c r="I56" s="8" t="s">
        <v>245</v>
      </c>
    </row>
    <row r="57" spans="1:10" x14ac:dyDescent="0.3">
      <c r="A57" s="139" t="s">
        <v>314</v>
      </c>
      <c r="B57" s="141" t="s">
        <v>866</v>
      </c>
      <c r="C57" s="14">
        <v>0</v>
      </c>
      <c r="D57" s="14">
        <v>15.654</v>
      </c>
      <c r="E57" s="14">
        <v>366.464</v>
      </c>
      <c r="F57" s="14">
        <v>604.29200000000003</v>
      </c>
      <c r="G57" s="14">
        <v>580.89099999999996</v>
      </c>
      <c r="H57" s="14">
        <v>515.17499999999995</v>
      </c>
      <c r="I57" s="8" t="s">
        <v>245</v>
      </c>
    </row>
    <row r="58" spans="1:10" x14ac:dyDescent="0.3">
      <c r="A58" s="139" t="s">
        <v>316</v>
      </c>
      <c r="B58" s="141" t="s">
        <v>867</v>
      </c>
      <c r="C58" s="14">
        <v>40.051000000000002</v>
      </c>
      <c r="D58" s="14">
        <v>38.478999999999999</v>
      </c>
      <c r="E58" s="14">
        <v>37.156999999999996</v>
      </c>
      <c r="F58" s="14">
        <v>36.000999999999998</v>
      </c>
      <c r="G58" s="14">
        <v>35.646000000000001</v>
      </c>
      <c r="H58" s="14">
        <v>41.182000000000002</v>
      </c>
      <c r="I58" s="8" t="s">
        <v>245</v>
      </c>
    </row>
    <row r="59" spans="1:10" x14ac:dyDescent="0.3">
      <c r="A59" s="139" t="s">
        <v>318</v>
      </c>
      <c r="B59" s="141" t="s">
        <v>868</v>
      </c>
      <c r="C59" s="14">
        <v>0</v>
      </c>
      <c r="D59" s="14">
        <v>0</v>
      </c>
      <c r="E59" s="14">
        <v>0</v>
      </c>
      <c r="F59" s="14">
        <v>0</v>
      </c>
      <c r="G59" s="14">
        <v>56.81</v>
      </c>
      <c r="H59" s="14">
        <v>0</v>
      </c>
      <c r="I59" s="8" t="s">
        <v>245</v>
      </c>
    </row>
    <row r="60" spans="1:10" x14ac:dyDescent="0.3">
      <c r="A60" s="139" t="s">
        <v>320</v>
      </c>
      <c r="B60" s="141" t="s">
        <v>869</v>
      </c>
      <c r="C60" s="14">
        <v>1414.393</v>
      </c>
      <c r="D60" s="14">
        <v>1847.123</v>
      </c>
      <c r="E60" s="14">
        <v>4879.5060000000003</v>
      </c>
      <c r="F60" s="14">
        <v>4600.3540000000003</v>
      </c>
      <c r="G60" s="14">
        <v>5699.6180000000004</v>
      </c>
      <c r="H60" s="14">
        <v>9646.7440000000006</v>
      </c>
      <c r="I60" s="8" t="s">
        <v>245</v>
      </c>
    </row>
    <row r="61" spans="1:10" x14ac:dyDescent="0.3">
      <c r="A61" s="144" t="s">
        <v>322</v>
      </c>
      <c r="B61" s="141" t="s">
        <v>323</v>
      </c>
      <c r="C61" s="16">
        <f t="shared" ref="C61:H61" si="6">C50+C52+C53+C54+C55+C56+C57+C58+C59+C60</f>
        <v>5182.4579999999996</v>
      </c>
      <c r="D61" s="16">
        <f t="shared" si="6"/>
        <v>6161.9889999999996</v>
      </c>
      <c r="E61" s="16">
        <f t="shared" si="6"/>
        <v>26721.253000000001</v>
      </c>
      <c r="F61" s="16">
        <f t="shared" si="6"/>
        <v>28486.855000000003</v>
      </c>
      <c r="G61" s="16">
        <f t="shared" si="6"/>
        <v>26865.467000000004</v>
      </c>
      <c r="H61" s="16">
        <f t="shared" si="6"/>
        <v>30637.496999999996</v>
      </c>
      <c r="I61" s="8" t="s">
        <v>245</v>
      </c>
      <c r="J61" s="8" t="s">
        <v>324</v>
      </c>
    </row>
    <row r="62" spans="1:10" x14ac:dyDescent="0.3">
      <c r="A62" s="144" t="s">
        <v>325</v>
      </c>
      <c r="B62" s="141" t="s">
        <v>326</v>
      </c>
      <c r="C62" s="16">
        <f t="shared" ref="C62:H62" si="7">C48+C61</f>
        <v>9403.5959999999995</v>
      </c>
      <c r="D62" s="16">
        <f t="shared" si="7"/>
        <v>10776.56</v>
      </c>
      <c r="E62" s="16">
        <f t="shared" si="7"/>
        <v>55962.021000000001</v>
      </c>
      <c r="F62" s="16">
        <f t="shared" si="7"/>
        <v>73652.760000000009</v>
      </c>
      <c r="G62" s="16">
        <f t="shared" si="7"/>
        <v>74237.446000000011</v>
      </c>
      <c r="H62" s="16">
        <f t="shared" si="7"/>
        <v>76572.982999999993</v>
      </c>
      <c r="I62" s="8" t="s">
        <v>245</v>
      </c>
    </row>
    <row r="63" spans="1:10" x14ac:dyDescent="0.3">
      <c r="A63" s="144" t="s">
        <v>327</v>
      </c>
      <c r="B63" s="141" t="s">
        <v>328</v>
      </c>
      <c r="C63" s="16">
        <f t="shared" ref="C63:H63" si="8">C41+C62</f>
        <v>29207.915999999997</v>
      </c>
      <c r="D63" s="16">
        <f t="shared" si="8"/>
        <v>34052.231</v>
      </c>
      <c r="E63" s="16">
        <f t="shared" si="8"/>
        <v>113698.07699999999</v>
      </c>
      <c r="F63" s="16">
        <f t="shared" si="8"/>
        <v>138828.497</v>
      </c>
      <c r="G63" s="16">
        <f t="shared" si="8"/>
        <v>147636.299</v>
      </c>
      <c r="H63" s="16">
        <f t="shared" si="8"/>
        <v>160845.19099999999</v>
      </c>
      <c r="I63" s="8" t="s">
        <v>245</v>
      </c>
    </row>
    <row r="64" spans="1:10" x14ac:dyDescent="0.3">
      <c r="A64" s="146" t="s">
        <v>329</v>
      </c>
      <c r="B64" s="147"/>
      <c r="C64" s="13"/>
      <c r="D64" s="13"/>
      <c r="E64" s="13"/>
      <c r="F64" s="13"/>
      <c r="G64" s="13"/>
      <c r="H64" s="13"/>
      <c r="I64" s="13"/>
      <c r="J64" s="13"/>
    </row>
    <row r="65" spans="1:10" x14ac:dyDescent="0.3">
      <c r="A65" s="139" t="s">
        <v>330</v>
      </c>
      <c r="B65" s="141" t="s">
        <v>331</v>
      </c>
      <c r="C65" s="15">
        <f t="shared" ref="C65:H65" si="9">C30+C31</f>
        <v>4693.5609999999997</v>
      </c>
      <c r="D65" s="15">
        <f t="shared" si="9"/>
        <v>5439.9520000000002</v>
      </c>
      <c r="E65" s="15">
        <f t="shared" si="9"/>
        <v>15636.868</v>
      </c>
      <c r="F65" s="15">
        <f t="shared" si="9"/>
        <v>15123.508</v>
      </c>
      <c r="G65" s="15">
        <f t="shared" si="9"/>
        <v>16594.834999999999</v>
      </c>
      <c r="H65" s="15">
        <f t="shared" si="9"/>
        <v>19714.625</v>
      </c>
      <c r="I65" s="8" t="s">
        <v>245</v>
      </c>
    </row>
    <row r="66" spans="1:10" x14ac:dyDescent="0.3">
      <c r="A66" s="139" t="s">
        <v>332</v>
      </c>
      <c r="B66" s="141" t="s">
        <v>333</v>
      </c>
      <c r="C66" s="15">
        <f t="shared" ref="C66:H66" si="10">C43+C44+C54+C55+C56-C251-C252</f>
        <v>2701.799</v>
      </c>
      <c r="D66" s="15">
        <f t="shared" si="10"/>
        <v>2568.0890000000004</v>
      </c>
      <c r="E66" s="15">
        <f t="shared" si="10"/>
        <v>25917.630000000005</v>
      </c>
      <c r="F66" s="15">
        <f t="shared" si="10"/>
        <v>40653.996000000006</v>
      </c>
      <c r="G66" s="15">
        <f t="shared" si="10"/>
        <v>36589.749000000003</v>
      </c>
      <c r="H66" s="15">
        <f t="shared" si="10"/>
        <v>40036.47</v>
      </c>
      <c r="I66" s="8" t="s">
        <v>245</v>
      </c>
    </row>
    <row r="67" spans="1:10" x14ac:dyDescent="0.3">
      <c r="A67" s="139" t="s">
        <v>334</v>
      </c>
      <c r="B67" s="141" t="s">
        <v>335</v>
      </c>
      <c r="C67" s="15">
        <f t="shared" ref="C67:H67" si="11">C43+C44</f>
        <v>504.983</v>
      </c>
      <c r="D67" s="15">
        <f t="shared" si="11"/>
        <v>565.09500000000003</v>
      </c>
      <c r="E67" s="15">
        <f t="shared" si="11"/>
        <v>19645.962</v>
      </c>
      <c r="F67" s="15">
        <f t="shared" si="11"/>
        <v>31896.059000000001</v>
      </c>
      <c r="G67" s="15">
        <f t="shared" si="11"/>
        <v>30025.741000000002</v>
      </c>
      <c r="H67" s="15">
        <f t="shared" si="11"/>
        <v>24309.844000000001</v>
      </c>
      <c r="I67" s="8" t="s">
        <v>245</v>
      </c>
    </row>
    <row r="68" spans="1:10" x14ac:dyDescent="0.3">
      <c r="A68" s="139"/>
      <c r="B68" s="141"/>
      <c r="C68" s="15"/>
      <c r="D68" s="15"/>
      <c r="E68" s="15"/>
      <c r="F68" s="15"/>
      <c r="G68" s="15"/>
      <c r="H68" s="15"/>
      <c r="I68" s="8" t="s">
        <v>245</v>
      </c>
    </row>
    <row r="69" spans="1:10" x14ac:dyDescent="0.3">
      <c r="A69" s="139"/>
      <c r="B69" s="141"/>
      <c r="C69" s="15"/>
      <c r="D69" s="15"/>
      <c r="E69" s="15"/>
      <c r="F69" s="15"/>
      <c r="G69" s="15"/>
      <c r="H69" s="15"/>
      <c r="I69" s="8" t="s">
        <v>245</v>
      </c>
    </row>
    <row r="70" spans="1:10" x14ac:dyDescent="0.3">
      <c r="A70" s="139" t="s">
        <v>336</v>
      </c>
      <c r="B70" s="141" t="s">
        <v>337</v>
      </c>
      <c r="C70" s="15">
        <f t="shared" ref="C70:H70" si="12">C66+C41</f>
        <v>22506.118999999999</v>
      </c>
      <c r="D70" s="15">
        <f t="shared" si="12"/>
        <v>25843.760000000002</v>
      </c>
      <c r="E70" s="15">
        <f t="shared" si="12"/>
        <v>83653.686000000002</v>
      </c>
      <c r="F70" s="15">
        <f t="shared" si="12"/>
        <v>105829.73300000001</v>
      </c>
      <c r="G70" s="15">
        <f t="shared" si="12"/>
        <v>109988.60200000001</v>
      </c>
      <c r="H70" s="15">
        <f t="shared" si="12"/>
        <v>124308.678</v>
      </c>
      <c r="I70" s="8" t="s">
        <v>245</v>
      </c>
    </row>
    <row r="71" spans="1:10" x14ac:dyDescent="0.3">
      <c r="A71" s="139" t="s">
        <v>338</v>
      </c>
      <c r="B71" s="141" t="s">
        <v>339</v>
      </c>
      <c r="C71" s="15">
        <f t="shared" ref="C71:H71" si="13">C37-C61</f>
        <v>24025.457999999999</v>
      </c>
      <c r="D71" s="15">
        <f t="shared" si="13"/>
        <v>27890.241999999998</v>
      </c>
      <c r="E71" s="15">
        <f t="shared" si="13"/>
        <v>86976.824000000022</v>
      </c>
      <c r="F71" s="15">
        <f t="shared" si="13"/>
        <v>110341.64199999999</v>
      </c>
      <c r="G71" s="15">
        <f t="shared" si="13"/>
        <v>120770.83199999999</v>
      </c>
      <c r="H71" s="15">
        <f t="shared" si="13"/>
        <v>130207.69400000002</v>
      </c>
      <c r="I71" s="8" t="s">
        <v>245</v>
      </c>
    </row>
    <row r="72" spans="1:10" x14ac:dyDescent="0.3">
      <c r="A72" s="139" t="s">
        <v>340</v>
      </c>
      <c r="B72" s="141" t="s">
        <v>341</v>
      </c>
      <c r="C72" s="15">
        <f t="shared" ref="C72:H72" si="14">C36-C34-C33</f>
        <v>6422.1469999999999</v>
      </c>
      <c r="D72" s="15">
        <f t="shared" si="14"/>
        <v>7140.2550000000001</v>
      </c>
      <c r="E72" s="15">
        <f t="shared" si="14"/>
        <v>22067.169000000002</v>
      </c>
      <c r="F72" s="15">
        <f t="shared" si="14"/>
        <v>21914.042000000001</v>
      </c>
      <c r="G72" s="15">
        <f t="shared" si="14"/>
        <v>22601.087</v>
      </c>
      <c r="H72" s="15">
        <f t="shared" si="14"/>
        <v>28597.127</v>
      </c>
      <c r="I72" s="8" t="s">
        <v>245</v>
      </c>
    </row>
    <row r="73" spans="1:10" x14ac:dyDescent="0.3">
      <c r="A73" s="139" t="s">
        <v>342</v>
      </c>
      <c r="B73" s="141" t="s">
        <v>343</v>
      </c>
      <c r="C73" s="15">
        <f t="shared" ref="C73:H73" si="15">C61-C54-C55-C56-C57-C53-C58</f>
        <v>2945.5909999999999</v>
      </c>
      <c r="D73" s="15">
        <f t="shared" si="15"/>
        <v>4104.8619999999992</v>
      </c>
      <c r="E73" s="15">
        <f t="shared" si="15"/>
        <v>12658.964000000002</v>
      </c>
      <c r="F73" s="15">
        <f t="shared" si="15"/>
        <v>11701.625000000004</v>
      </c>
      <c r="G73" s="15">
        <f t="shared" si="15"/>
        <v>12297.922000000002</v>
      </c>
      <c r="H73" s="15">
        <f t="shared" si="15"/>
        <v>14169.327999999996</v>
      </c>
      <c r="I73" s="8" t="s">
        <v>245</v>
      </c>
    </row>
    <row r="74" spans="1:10" x14ac:dyDescent="0.3">
      <c r="A74" s="146" t="s">
        <v>344</v>
      </c>
      <c r="B74" s="147"/>
      <c r="C74" s="13"/>
      <c r="D74" s="13"/>
      <c r="E74" s="13"/>
      <c r="F74" s="13"/>
      <c r="G74" s="13"/>
      <c r="H74" s="13"/>
      <c r="I74" s="13"/>
      <c r="J74" s="13"/>
    </row>
    <row r="75" spans="1:10" x14ac:dyDescent="0.3">
      <c r="A75" s="139" t="s">
        <v>345</v>
      </c>
      <c r="B75" s="141" t="s">
        <v>870</v>
      </c>
      <c r="C75" s="14">
        <v>29207.916000000001</v>
      </c>
      <c r="D75" s="14">
        <v>34052.231</v>
      </c>
      <c r="E75" s="14">
        <v>113698.077</v>
      </c>
      <c r="F75" s="14">
        <v>138828.497</v>
      </c>
      <c r="G75" s="14">
        <v>147636.299</v>
      </c>
      <c r="H75" s="14">
        <v>160845.19099999999</v>
      </c>
      <c r="I75" s="8" t="s">
        <v>245</v>
      </c>
    </row>
    <row r="76" spans="1:10" x14ac:dyDescent="0.3">
      <c r="A76" s="139" t="s">
        <v>347</v>
      </c>
      <c r="B76" s="141" t="s">
        <v>871</v>
      </c>
      <c r="C76" s="14">
        <v>19804.32</v>
      </c>
      <c r="D76" s="14">
        <v>23275.670999999998</v>
      </c>
      <c r="E76" s="14">
        <v>57736.055999999997</v>
      </c>
      <c r="F76" s="14">
        <v>65175.737000000001</v>
      </c>
      <c r="G76" s="14">
        <v>73398.853000000003</v>
      </c>
      <c r="H76" s="14">
        <v>84272.207999999999</v>
      </c>
      <c r="I76" s="8" t="s">
        <v>245</v>
      </c>
    </row>
    <row r="77" spans="1:10" x14ac:dyDescent="0.3">
      <c r="A77" s="139" t="s">
        <v>349</v>
      </c>
      <c r="B77" s="141" t="s">
        <v>872</v>
      </c>
      <c r="C77" s="14">
        <v>6983.3209999999999</v>
      </c>
      <c r="D77" s="14">
        <v>12438.732</v>
      </c>
      <c r="E77" s="14">
        <v>28216.812000000002</v>
      </c>
      <c r="F77" s="14">
        <v>23134.499</v>
      </c>
      <c r="G77" s="14">
        <v>25784.071</v>
      </c>
      <c r="H77" s="14">
        <v>40472.565000000002</v>
      </c>
      <c r="I77" s="8" t="s">
        <v>245</v>
      </c>
    </row>
    <row r="78" spans="1:10" x14ac:dyDescent="0.3">
      <c r="A78" s="139" t="s">
        <v>351</v>
      </c>
      <c r="B78" s="141" t="s">
        <v>873</v>
      </c>
      <c r="C78" s="14">
        <v>5182.4579999999996</v>
      </c>
      <c r="D78" s="14">
        <v>6161.9889999999996</v>
      </c>
      <c r="E78" s="14">
        <v>26721.253000000001</v>
      </c>
      <c r="F78" s="14">
        <v>28486.855</v>
      </c>
      <c r="G78" s="14">
        <v>26865.467000000001</v>
      </c>
      <c r="H78" s="14">
        <v>30637.496999999999</v>
      </c>
      <c r="I78" s="8" t="s">
        <v>245</v>
      </c>
    </row>
    <row r="79" spans="1:10" x14ac:dyDescent="0.3">
      <c r="A79" s="139" t="s">
        <v>353</v>
      </c>
      <c r="B79" s="141" t="s">
        <v>354</v>
      </c>
      <c r="C79" s="17" t="str">
        <f t="shared" ref="C79:H79" si="16">IF(ABS(C37-C63)&lt;0.005,"PASS","FAIL")</f>
        <v>PASS</v>
      </c>
      <c r="D79" s="17" t="str">
        <f t="shared" si="16"/>
        <v>PASS</v>
      </c>
      <c r="E79" s="17" t="str">
        <f t="shared" si="16"/>
        <v>PASS</v>
      </c>
      <c r="F79" s="17" t="str">
        <f t="shared" si="16"/>
        <v>PASS</v>
      </c>
      <c r="G79" s="17" t="str">
        <f t="shared" si="16"/>
        <v>PASS</v>
      </c>
      <c r="H79" s="17" t="str">
        <f t="shared" si="16"/>
        <v>PASS</v>
      </c>
      <c r="I79" s="8"/>
    </row>
    <row r="80" spans="1:10" x14ac:dyDescent="0.3">
      <c r="A80" s="139" t="s">
        <v>355</v>
      </c>
      <c r="B80" s="141" t="s">
        <v>354</v>
      </c>
      <c r="C80" s="17" t="str">
        <f t="shared" ref="C80:H80" si="17">IF(ABS(C37-C75)&lt;0.005,"PASS","FAIL")</f>
        <v>PASS</v>
      </c>
      <c r="D80" s="17" t="str">
        <f t="shared" si="17"/>
        <v>PASS</v>
      </c>
      <c r="E80" s="17" t="str">
        <f t="shared" si="17"/>
        <v>PASS</v>
      </c>
      <c r="F80" s="17" t="str">
        <f t="shared" si="17"/>
        <v>PASS</v>
      </c>
      <c r="G80" s="17" t="str">
        <f t="shared" si="17"/>
        <v>PASS</v>
      </c>
      <c r="H80" s="17" t="str">
        <f t="shared" si="17"/>
        <v>PASS</v>
      </c>
      <c r="I80" s="8"/>
    </row>
    <row r="81" spans="1:10" x14ac:dyDescent="0.3">
      <c r="A81" s="139" t="s">
        <v>356</v>
      </c>
      <c r="B81" s="141" t="s">
        <v>354</v>
      </c>
      <c r="C81" s="17" t="str">
        <f t="shared" ref="C81:H81" si="18">IF(AND(ABS(C41-C76)&lt;0.005,ABS(C36-C77)&lt;0.005,ABS(C61-C78)&lt;0.005),"PASS","FAIL")</f>
        <v>PASS</v>
      </c>
      <c r="D81" s="17" t="str">
        <f t="shared" si="18"/>
        <v>PASS</v>
      </c>
      <c r="E81" s="17" t="str">
        <f t="shared" si="18"/>
        <v>PASS</v>
      </c>
      <c r="F81" s="17" t="str">
        <f t="shared" si="18"/>
        <v>PASS</v>
      </c>
      <c r="G81" s="17" t="str">
        <f t="shared" si="18"/>
        <v>PASS</v>
      </c>
      <c r="H81" s="17" t="str">
        <f t="shared" si="18"/>
        <v>PASS</v>
      </c>
      <c r="I81" s="8"/>
    </row>
    <row r="82" spans="1:10" x14ac:dyDescent="0.3">
      <c r="A82" s="139"/>
      <c r="B82" s="139"/>
    </row>
    <row r="83" spans="1:10" x14ac:dyDescent="0.3">
      <c r="A83" s="142" t="s">
        <v>357</v>
      </c>
      <c r="B83" s="143"/>
      <c r="C83" s="10"/>
      <c r="D83" s="10"/>
      <c r="E83" s="10"/>
      <c r="F83" s="10"/>
      <c r="G83" s="10"/>
      <c r="H83" s="10"/>
      <c r="I83" s="10"/>
      <c r="J83" s="10"/>
    </row>
    <row r="84" spans="1:10" x14ac:dyDescent="0.3">
      <c r="A84" s="139" t="s">
        <v>358</v>
      </c>
      <c r="B84" s="141" t="s">
        <v>874</v>
      </c>
      <c r="C84" s="18"/>
      <c r="D84" s="14">
        <v>24271.285</v>
      </c>
      <c r="E84" s="14">
        <v>54243.118000000002</v>
      </c>
      <c r="F84" s="14">
        <v>68069.282000000007</v>
      </c>
      <c r="G84" s="14">
        <v>80026.225999999995</v>
      </c>
      <c r="H84" s="14">
        <v>88956.327999999994</v>
      </c>
      <c r="I84" s="8" t="s">
        <v>245</v>
      </c>
    </row>
    <row r="85" spans="1:10" x14ac:dyDescent="0.3">
      <c r="A85" s="139" t="s">
        <v>360</v>
      </c>
      <c r="B85" s="141" t="s">
        <v>875</v>
      </c>
      <c r="C85" s="18"/>
      <c r="D85" s="14">
        <v>-18206.88</v>
      </c>
      <c r="E85" s="14">
        <v>-38779.542000000001</v>
      </c>
      <c r="F85" s="14">
        <v>-47650.809000000001</v>
      </c>
      <c r="G85" s="14">
        <v>-54345.821000000004</v>
      </c>
      <c r="H85" s="14">
        <v>-57384.978000000003</v>
      </c>
      <c r="I85" s="8" t="s">
        <v>245</v>
      </c>
    </row>
    <row r="86" spans="1:10" x14ac:dyDescent="0.3">
      <c r="A86" s="144" t="s">
        <v>362</v>
      </c>
      <c r="B86" s="141" t="s">
        <v>363</v>
      </c>
      <c r="C86" s="19"/>
      <c r="D86" s="16">
        <f>D84+D85</f>
        <v>6064.4049999999988</v>
      </c>
      <c r="E86" s="16">
        <f>E84+E85</f>
        <v>15463.576000000001</v>
      </c>
      <c r="F86" s="16">
        <f>F84+F85</f>
        <v>20418.473000000005</v>
      </c>
      <c r="G86" s="16">
        <f>G84+G85</f>
        <v>25680.404999999992</v>
      </c>
      <c r="H86" s="16">
        <f>H84+H85</f>
        <v>31571.349999999991</v>
      </c>
      <c r="I86" s="8" t="s">
        <v>245</v>
      </c>
    </row>
    <row r="87" spans="1:10" x14ac:dyDescent="0.3">
      <c r="A87" s="139" t="s">
        <v>364</v>
      </c>
      <c r="B87" s="141" t="s">
        <v>876</v>
      </c>
      <c r="C87" s="18"/>
      <c r="D87" s="14">
        <v>-189.53700000000001</v>
      </c>
      <c r="E87" s="14">
        <v>-1603.3230000000001</v>
      </c>
      <c r="F87" s="14">
        <v>-2705.2629999999999</v>
      </c>
      <c r="G87" s="14">
        <v>-3285.9229999999998</v>
      </c>
      <c r="H87" s="14">
        <v>-2935.1390000000001</v>
      </c>
      <c r="I87" s="8" t="s">
        <v>245</v>
      </c>
    </row>
    <row r="88" spans="1:10" x14ac:dyDescent="0.3">
      <c r="A88" s="139" t="s">
        <v>366</v>
      </c>
      <c r="B88" s="141" t="s">
        <v>877</v>
      </c>
      <c r="C88" s="18"/>
      <c r="D88" s="14">
        <v>-524.70899999999995</v>
      </c>
      <c r="E88" s="14">
        <v>-1299.4390000000001</v>
      </c>
      <c r="F88" s="14">
        <v>-1381.633</v>
      </c>
      <c r="G88" s="14">
        <v>-1516.046</v>
      </c>
      <c r="H88" s="14">
        <v>-1688.886</v>
      </c>
      <c r="I88" s="8" t="s">
        <v>245</v>
      </c>
    </row>
    <row r="89" spans="1:10" x14ac:dyDescent="0.3">
      <c r="A89" s="139" t="s">
        <v>368</v>
      </c>
      <c r="B89" s="141" t="s">
        <v>878</v>
      </c>
      <c r="C89" s="18"/>
      <c r="D89" s="14">
        <v>0</v>
      </c>
      <c r="E89" s="14">
        <v>0</v>
      </c>
      <c r="F89" s="14">
        <v>0</v>
      </c>
      <c r="G89" s="14">
        <v>0</v>
      </c>
      <c r="H89" s="14">
        <v>0</v>
      </c>
      <c r="I89" s="8" t="s">
        <v>245</v>
      </c>
    </row>
    <row r="90" spans="1:10" x14ac:dyDescent="0.3">
      <c r="A90" s="139" t="s">
        <v>370</v>
      </c>
      <c r="B90" s="141" t="s">
        <v>879</v>
      </c>
      <c r="C90" s="18"/>
      <c r="D90" s="14">
        <v>-377.94600000000003</v>
      </c>
      <c r="E90" s="14">
        <v>-808.96400000000006</v>
      </c>
      <c r="F90" s="14">
        <v>-750.07799999999997</v>
      </c>
      <c r="G90" s="14">
        <v>-826.875</v>
      </c>
      <c r="H90" s="14">
        <v>-1479.2760000000001</v>
      </c>
      <c r="I90" s="8" t="s">
        <v>245</v>
      </c>
    </row>
    <row r="91" spans="1:10" x14ac:dyDescent="0.3">
      <c r="A91" s="139" t="s">
        <v>372</v>
      </c>
      <c r="B91" s="141" t="s">
        <v>373</v>
      </c>
      <c r="C91" s="18"/>
      <c r="D91" s="15">
        <f>D86+D87+D88+D89+D90</f>
        <v>4972.2129999999988</v>
      </c>
      <c r="E91" s="15">
        <f>E86+E87+E88+E89+E90</f>
        <v>11751.85</v>
      </c>
      <c r="F91" s="15">
        <f>F86+F87+F88+F89+F90</f>
        <v>15581.499000000007</v>
      </c>
      <c r="G91" s="15">
        <f>G86+G87+G88+G89+G90</f>
        <v>20051.560999999994</v>
      </c>
      <c r="H91" s="15">
        <f>H86+H87+H88+H89+H90</f>
        <v>25468.048999999992</v>
      </c>
      <c r="I91" s="8" t="s">
        <v>245</v>
      </c>
    </row>
    <row r="92" spans="1:10" x14ac:dyDescent="0.3">
      <c r="A92" s="139" t="s">
        <v>374</v>
      </c>
      <c r="B92" s="141" t="s">
        <v>880</v>
      </c>
      <c r="C92" s="18"/>
      <c r="D92" s="14">
        <v>81.709999999999994</v>
      </c>
      <c r="E92" s="14">
        <v>230.69499999999999</v>
      </c>
      <c r="F92" s="14">
        <v>436.173</v>
      </c>
      <c r="G92" s="14">
        <v>540.37300000000005</v>
      </c>
      <c r="H92" s="14">
        <v>760.77200000000005</v>
      </c>
      <c r="I92" s="8" t="s">
        <v>245</v>
      </c>
    </row>
    <row r="93" spans="1:10" x14ac:dyDescent="0.3">
      <c r="A93" s="139" t="s">
        <v>376</v>
      </c>
      <c r="B93" s="141" t="s">
        <v>881</v>
      </c>
      <c r="C93" s="18"/>
      <c r="D93" s="14">
        <v>160.54300000000001</v>
      </c>
      <c r="E93" s="14">
        <v>745.85199999999998</v>
      </c>
      <c r="F93" s="14">
        <v>527.702</v>
      </c>
      <c r="G93" s="14">
        <v>299.31799999999998</v>
      </c>
      <c r="H93" s="14">
        <v>1068.8309999999999</v>
      </c>
      <c r="I93" s="8" t="s">
        <v>245</v>
      </c>
    </row>
    <row r="94" spans="1:10" x14ac:dyDescent="0.3">
      <c r="A94" s="139" t="s">
        <v>378</v>
      </c>
      <c r="B94" s="141" t="s">
        <v>882</v>
      </c>
      <c r="C94" s="18"/>
      <c r="D94" s="14">
        <v>2.8490000000000002</v>
      </c>
      <c r="E94" s="14">
        <v>1.3080000000000001</v>
      </c>
      <c r="F94" s="14">
        <v>0</v>
      </c>
      <c r="G94" s="14">
        <v>0</v>
      </c>
      <c r="H94" s="14">
        <v>0</v>
      </c>
      <c r="I94" s="8" t="s">
        <v>245</v>
      </c>
    </row>
    <row r="95" spans="1:10" x14ac:dyDescent="0.3">
      <c r="A95" s="139" t="s">
        <v>380</v>
      </c>
      <c r="B95" s="141" t="s">
        <v>883</v>
      </c>
      <c r="C95" s="18"/>
      <c r="D95" s="14">
        <v>-109.623</v>
      </c>
      <c r="E95" s="14">
        <v>-1201.6120000000001</v>
      </c>
      <c r="F95" s="14">
        <v>-3645.2649999999999</v>
      </c>
      <c r="G95" s="14">
        <v>-5536.2979999999998</v>
      </c>
      <c r="H95" s="14">
        <v>-5772.1319999999996</v>
      </c>
      <c r="I95" s="8" t="s">
        <v>245</v>
      </c>
    </row>
    <row r="96" spans="1:10" x14ac:dyDescent="0.3">
      <c r="A96" s="144" t="s">
        <v>382</v>
      </c>
      <c r="B96" s="141" t="s">
        <v>383</v>
      </c>
      <c r="C96" s="19"/>
      <c r="D96" s="16">
        <f>D91+D92+D93+D94+D95</f>
        <v>5107.6919999999991</v>
      </c>
      <c r="E96" s="16">
        <f>E91+E92+E93+E94+E95</f>
        <v>11528.093000000001</v>
      </c>
      <c r="F96" s="16">
        <f>F91+F92+F93+F94+F95</f>
        <v>12900.109000000008</v>
      </c>
      <c r="G96" s="16">
        <f>G91+G92+G93+G94+G95</f>
        <v>15354.953999999994</v>
      </c>
      <c r="H96" s="16">
        <f>H91+H92+H93+H94+H95</f>
        <v>21525.51999999999</v>
      </c>
      <c r="I96" s="8" t="s">
        <v>245</v>
      </c>
    </row>
    <row r="97" spans="1:10" x14ac:dyDescent="0.3">
      <c r="A97" s="139" t="s">
        <v>384</v>
      </c>
      <c r="B97" s="141" t="s">
        <v>884</v>
      </c>
      <c r="C97" s="18"/>
      <c r="D97" s="14">
        <v>0</v>
      </c>
      <c r="E97" s="14">
        <v>0</v>
      </c>
      <c r="F97" s="14">
        <v>-45.66</v>
      </c>
      <c r="G97" s="14">
        <v>-55.222999999999999</v>
      </c>
      <c r="H97" s="14">
        <v>0</v>
      </c>
      <c r="I97" s="8" t="s">
        <v>245</v>
      </c>
    </row>
    <row r="98" spans="1:10" x14ac:dyDescent="0.3">
      <c r="A98" s="139" t="s">
        <v>386</v>
      </c>
      <c r="B98" s="141" t="s">
        <v>885</v>
      </c>
      <c r="C98" s="18"/>
      <c r="D98" s="14">
        <v>-1636.3409999999999</v>
      </c>
      <c r="E98" s="14">
        <v>-4415.5529999999999</v>
      </c>
      <c r="F98" s="14">
        <v>-5414.768</v>
      </c>
      <c r="G98" s="14">
        <v>-7076.6149999999998</v>
      </c>
      <c r="H98" s="14">
        <v>-8199.3179999999993</v>
      </c>
      <c r="I98" s="8" t="s">
        <v>245</v>
      </c>
    </row>
    <row r="99" spans="1:10" x14ac:dyDescent="0.3">
      <c r="A99" s="144" t="s">
        <v>388</v>
      </c>
      <c r="B99" s="141" t="s">
        <v>389</v>
      </c>
      <c r="C99" s="19"/>
      <c r="D99" s="16">
        <f>D96+D97+D98</f>
        <v>3471.3509999999992</v>
      </c>
      <c r="E99" s="16">
        <f>E96+E97+E98</f>
        <v>7112.5400000000009</v>
      </c>
      <c r="F99" s="16">
        <f>F96+F97+F98</f>
        <v>7439.6810000000078</v>
      </c>
      <c r="G99" s="16">
        <f>G96+G97+G98</f>
        <v>8223.1159999999945</v>
      </c>
      <c r="H99" s="16">
        <f>H96+H97+H98</f>
        <v>13326.20199999999</v>
      </c>
      <c r="I99" s="8" t="s">
        <v>245</v>
      </c>
    </row>
    <row r="100" spans="1:10" x14ac:dyDescent="0.3">
      <c r="A100" s="139" t="s">
        <v>390</v>
      </c>
      <c r="B100" s="141" t="s">
        <v>886</v>
      </c>
      <c r="C100" s="18"/>
      <c r="D100" s="14">
        <v>6064.4049999999997</v>
      </c>
      <c r="E100" s="14">
        <v>15463.575999999999</v>
      </c>
      <c r="F100" s="14">
        <v>20418.473000000002</v>
      </c>
      <c r="G100" s="14">
        <v>25680.404999999999</v>
      </c>
      <c r="H100" s="14">
        <v>31571.35</v>
      </c>
      <c r="I100" s="8" t="s">
        <v>245</v>
      </c>
    </row>
    <row r="101" spans="1:10" x14ac:dyDescent="0.3">
      <c r="A101" s="139" t="s">
        <v>392</v>
      </c>
      <c r="B101" s="141" t="s">
        <v>887</v>
      </c>
      <c r="C101" s="18"/>
      <c r="D101" s="14">
        <v>5107.692</v>
      </c>
      <c r="E101" s="14">
        <v>11528.093000000001</v>
      </c>
      <c r="F101" s="14">
        <v>12900.109</v>
      </c>
      <c r="G101" s="14">
        <v>15354.954</v>
      </c>
      <c r="H101" s="14">
        <v>21525.52</v>
      </c>
      <c r="I101" s="8" t="s">
        <v>245</v>
      </c>
    </row>
    <row r="102" spans="1:10" x14ac:dyDescent="0.3">
      <c r="A102" s="139" t="s">
        <v>394</v>
      </c>
      <c r="B102" s="141" t="s">
        <v>888</v>
      </c>
      <c r="C102" s="18"/>
      <c r="D102" s="14">
        <v>3471.3510000000001</v>
      </c>
      <c r="E102" s="14">
        <v>7112.54</v>
      </c>
      <c r="F102" s="14">
        <v>7439.6809999999996</v>
      </c>
      <c r="G102" s="14">
        <v>8223.116</v>
      </c>
      <c r="H102" s="14">
        <v>13326.201999999999</v>
      </c>
      <c r="I102" s="8" t="s">
        <v>245</v>
      </c>
    </row>
    <row r="103" spans="1:10" x14ac:dyDescent="0.3">
      <c r="A103" s="139" t="s">
        <v>396</v>
      </c>
      <c r="B103" s="141" t="s">
        <v>354</v>
      </c>
      <c r="C103" s="18"/>
      <c r="D103" s="17" t="str">
        <f>IF(AND(ABS(D86-D100)&lt;0.005,ABS(D96-D101)&lt;0.005,ABS(D99-D102)&lt;0.005),"PASS","FAIL")</f>
        <v>PASS</v>
      </c>
      <c r="E103" s="17" t="str">
        <f>IF(AND(ABS(E86-E100)&lt;0.005,ABS(E96-E101)&lt;0.005,ABS(E99-E102)&lt;0.005),"PASS","FAIL")</f>
        <v>PASS</v>
      </c>
      <c r="F103" s="17" t="str">
        <f>IF(AND(ABS(F86-F100)&lt;0.005,ABS(F96-F101)&lt;0.005,ABS(F99-F102)&lt;0.005),"PASS","FAIL")</f>
        <v>PASS</v>
      </c>
      <c r="G103" s="17" t="str">
        <f>IF(AND(ABS(G86-G100)&lt;0.005,ABS(G96-G101)&lt;0.005,ABS(G99-G102)&lt;0.005),"PASS","FAIL")</f>
        <v>PASS</v>
      </c>
      <c r="H103" s="17" t="str">
        <f>IF(AND(ABS(H86-H100)&lt;0.005,ABS(H96-H101)&lt;0.005,ABS(H99-H102)&lt;0.005),"PASS","FAIL")</f>
        <v>PASS</v>
      </c>
      <c r="I103" s="8"/>
    </row>
    <row r="104" spans="1:10" x14ac:dyDescent="0.3">
      <c r="A104" s="146" t="s">
        <v>397</v>
      </c>
      <c r="B104" s="147"/>
      <c r="C104" s="13"/>
      <c r="D104" s="13"/>
      <c r="E104" s="13"/>
      <c r="F104" s="13"/>
      <c r="G104" s="13"/>
      <c r="H104" s="13"/>
      <c r="I104" s="13"/>
      <c r="J104" s="13"/>
    </row>
    <row r="105" spans="1:10" x14ac:dyDescent="0.3">
      <c r="A105" s="139" t="s">
        <v>398</v>
      </c>
      <c r="B105" s="141" t="s">
        <v>889</v>
      </c>
      <c r="C105" s="18"/>
      <c r="D105" s="14">
        <v>17.510999999999999</v>
      </c>
      <c r="E105" s="14">
        <v>206.38800000000001</v>
      </c>
      <c r="F105" s="14">
        <v>1020.455</v>
      </c>
      <c r="G105" s="14">
        <v>12.561</v>
      </c>
      <c r="H105" s="14">
        <v>97.853999999999999</v>
      </c>
      <c r="I105" s="8" t="s">
        <v>245</v>
      </c>
    </row>
    <row r="106" spans="1:10" x14ac:dyDescent="0.3">
      <c r="A106" s="139" t="s">
        <v>400</v>
      </c>
      <c r="B106" s="141" t="s">
        <v>401</v>
      </c>
      <c r="C106" s="18"/>
      <c r="D106" s="15">
        <f>-D95-D105</f>
        <v>92.112000000000009</v>
      </c>
      <c r="E106" s="15">
        <f>-E95-E105</f>
        <v>995.22400000000005</v>
      </c>
      <c r="F106" s="15">
        <f>-F95-F105</f>
        <v>2624.81</v>
      </c>
      <c r="G106" s="15">
        <f>-G95-G105</f>
        <v>5523.7370000000001</v>
      </c>
      <c r="H106" s="15">
        <f>-H95-H105</f>
        <v>5674.2779999999993</v>
      </c>
      <c r="I106" s="8" t="s">
        <v>245</v>
      </c>
    </row>
    <row r="107" spans="1:10" x14ac:dyDescent="0.3">
      <c r="A107" s="139" t="s">
        <v>402</v>
      </c>
      <c r="B107" s="141" t="s">
        <v>890</v>
      </c>
      <c r="C107" s="18"/>
      <c r="D107" s="14">
        <v>1599.5509999999999</v>
      </c>
      <c r="E107" s="14">
        <v>2950.143</v>
      </c>
      <c r="F107" s="14">
        <v>3649.886</v>
      </c>
      <c r="G107" s="14">
        <v>4058.0509999999999</v>
      </c>
      <c r="H107" s="14">
        <v>4969.7389999999996</v>
      </c>
      <c r="I107" s="8" t="s">
        <v>245</v>
      </c>
    </row>
    <row r="108" spans="1:10" x14ac:dyDescent="0.3">
      <c r="A108" s="144" t="s">
        <v>404</v>
      </c>
      <c r="B108" s="141" t="s">
        <v>405</v>
      </c>
      <c r="C108" s="19"/>
      <c r="D108" s="16">
        <f>D96-D95</f>
        <v>5217.3149999999987</v>
      </c>
      <c r="E108" s="16">
        <f>E96-E95</f>
        <v>12729.705000000002</v>
      </c>
      <c r="F108" s="16">
        <f>F96-F95</f>
        <v>16545.374000000007</v>
      </c>
      <c r="G108" s="16">
        <f>G96-G95</f>
        <v>20891.251999999993</v>
      </c>
      <c r="H108" s="16">
        <f>H96-H95</f>
        <v>27297.651999999987</v>
      </c>
      <c r="I108" s="8" t="s">
        <v>245</v>
      </c>
    </row>
    <row r="109" spans="1:10" x14ac:dyDescent="0.3">
      <c r="A109" s="144" t="s">
        <v>406</v>
      </c>
      <c r="B109" s="141" t="s">
        <v>407</v>
      </c>
      <c r="C109" s="19"/>
      <c r="D109" s="16">
        <f>D108+D107</f>
        <v>6816.8659999999982</v>
      </c>
      <c r="E109" s="16">
        <f>E108+E107</f>
        <v>15679.848000000002</v>
      </c>
      <c r="F109" s="16">
        <f>F108+F107</f>
        <v>20195.260000000006</v>
      </c>
      <c r="G109" s="16">
        <f>G108+G107</f>
        <v>24949.302999999993</v>
      </c>
      <c r="H109" s="16">
        <f>H108+H107</f>
        <v>32267.390999999989</v>
      </c>
      <c r="I109" s="8" t="s">
        <v>245</v>
      </c>
    </row>
    <row r="110" spans="1:10" x14ac:dyDescent="0.3">
      <c r="A110" s="139" t="s">
        <v>408</v>
      </c>
      <c r="B110" s="141" t="s">
        <v>409</v>
      </c>
      <c r="C110" s="18"/>
      <c r="D110" s="15">
        <f>-(D97+D98)</f>
        <v>1636.3409999999999</v>
      </c>
      <c r="E110" s="15">
        <f>-(E97+E98)</f>
        <v>4415.5529999999999</v>
      </c>
      <c r="F110" s="15">
        <f>-(F97+F98)</f>
        <v>5460.4279999999999</v>
      </c>
      <c r="G110" s="15">
        <f>-(G97+G98)</f>
        <v>7131.8379999999997</v>
      </c>
      <c r="H110" s="15">
        <f>-(H97+H98)</f>
        <v>8199.3179999999993</v>
      </c>
      <c r="I110" s="8" t="s">
        <v>245</v>
      </c>
    </row>
    <row r="111" spans="1:10" x14ac:dyDescent="0.3">
      <c r="A111" s="139" t="s">
        <v>410</v>
      </c>
      <c r="B111" s="141" t="s">
        <v>411</v>
      </c>
      <c r="C111" s="18"/>
      <c r="D111" s="20">
        <f>IF(D96&lt;=0,"n/m",D110/D96)</f>
        <v>0.32036798616674617</v>
      </c>
      <c r="E111" s="20">
        <f>IF(E96&lt;=0,"n/m",E110/E96)</f>
        <v>0.38302544922217402</v>
      </c>
      <c r="F111" s="20">
        <f>IF(F96&lt;=0,"n/m",F110/F96)</f>
        <v>0.42328541565036365</v>
      </c>
      <c r="G111" s="20">
        <f>IF(G96&lt;=0,"n/m",G110/G96)</f>
        <v>0.46446495378625052</v>
      </c>
      <c r="H111" s="20">
        <f>IF(H96&lt;=0,"n/m",H110/H96)</f>
        <v>0.3809114948210312</v>
      </c>
      <c r="I111" s="8" t="s">
        <v>412</v>
      </c>
    </row>
    <row r="112" spans="1:10" x14ac:dyDescent="0.3">
      <c r="A112" s="139" t="s">
        <v>413</v>
      </c>
      <c r="B112" s="141" t="s">
        <v>414</v>
      </c>
      <c r="C112" s="18"/>
      <c r="D112" s="20">
        <f>D111</f>
        <v>0.32036798616674617</v>
      </c>
      <c r="E112" s="20">
        <f>E111</f>
        <v>0.38302544922217402</v>
      </c>
      <c r="F112" s="20">
        <f>F111</f>
        <v>0.42328541565036365</v>
      </c>
      <c r="G112" s="20">
        <f>G111</f>
        <v>0.46446495378625052</v>
      </c>
      <c r="H112" s="20">
        <f>H111</f>
        <v>0.3809114948210312</v>
      </c>
      <c r="I112" s="8" t="s">
        <v>412</v>
      </c>
    </row>
    <row r="113" spans="1:10" x14ac:dyDescent="0.3">
      <c r="A113" s="139" t="s">
        <v>415</v>
      </c>
      <c r="B113" s="141" t="s">
        <v>416</v>
      </c>
      <c r="C113" s="18"/>
      <c r="D113" s="15">
        <f>IF(ISNUMBER(D112),D108*(1-D112),"n/m")</f>
        <v>3545.854300252442</v>
      </c>
      <c r="E113" s="15">
        <f>IF(ISNUMBER(E112),E108*(1-E112),"n/m")</f>
        <v>7853.9040239092456</v>
      </c>
      <c r="F113" s="15">
        <f>IF(ISNUMBER(F112),F108*(1-F112),"n/m")</f>
        <v>9541.9584893192859</v>
      </c>
      <c r="G113" s="15">
        <f>IF(ISNUMBER(G112),G108*(1-G112),"n/m")</f>
        <v>11187.997605283083</v>
      </c>
      <c r="H113" s="15">
        <f>IF(ISNUMBER(H112),H108*(1-H112),"n/m")</f>
        <v>16899.662571575678</v>
      </c>
      <c r="I113" s="8" t="s">
        <v>245</v>
      </c>
    </row>
    <row r="114" spans="1:10" x14ac:dyDescent="0.3">
      <c r="A114" s="139"/>
      <c r="B114" s="139"/>
    </row>
    <row r="115" spans="1:10" x14ac:dyDescent="0.3">
      <c r="A115" s="142" t="s">
        <v>417</v>
      </c>
      <c r="B115" s="143"/>
      <c r="C115" s="10"/>
      <c r="D115" s="10"/>
      <c r="E115" s="10"/>
      <c r="F115" s="10"/>
      <c r="G115" s="10"/>
      <c r="H115" s="10"/>
      <c r="I115" s="10"/>
      <c r="J115" s="10"/>
    </row>
    <row r="116" spans="1:10" x14ac:dyDescent="0.3">
      <c r="A116" s="139" t="s">
        <v>418</v>
      </c>
      <c r="B116" s="141" t="s">
        <v>891</v>
      </c>
      <c r="C116" s="18"/>
      <c r="D116" s="14">
        <v>0</v>
      </c>
      <c r="E116" s="14">
        <v>0</v>
      </c>
      <c r="F116" s="14">
        <v>0</v>
      </c>
      <c r="G116" s="14">
        <v>0</v>
      </c>
      <c r="H116" s="14">
        <v>0</v>
      </c>
      <c r="I116" s="8" t="s">
        <v>245</v>
      </c>
    </row>
    <row r="117" spans="1:10" x14ac:dyDescent="0.3">
      <c r="A117" s="139" t="s">
        <v>420</v>
      </c>
      <c r="B117" s="141" t="s">
        <v>892</v>
      </c>
      <c r="C117" s="18"/>
      <c r="D117" s="14">
        <v>5739.0969999999998</v>
      </c>
      <c r="E117" s="14">
        <v>7567.5640000000003</v>
      </c>
      <c r="F117" s="14">
        <v>16030.998</v>
      </c>
      <c r="G117" s="14">
        <v>22284.607</v>
      </c>
      <c r="H117" s="14">
        <v>24313.207999999999</v>
      </c>
      <c r="I117" s="8" t="s">
        <v>245</v>
      </c>
    </row>
    <row r="118" spans="1:10" x14ac:dyDescent="0.3">
      <c r="A118" s="139" t="s">
        <v>422</v>
      </c>
      <c r="B118" s="141" t="s">
        <v>893</v>
      </c>
      <c r="C118" s="18"/>
      <c r="D118" s="14">
        <v>-94.843000000000004</v>
      </c>
      <c r="E118" s="14">
        <v>-985.17200000000003</v>
      </c>
      <c r="F118" s="14">
        <v>-2483.1010000000001</v>
      </c>
      <c r="G118" s="14">
        <v>-6993.06</v>
      </c>
      <c r="H118" s="14">
        <v>-5559.451</v>
      </c>
      <c r="I118" s="8" t="s">
        <v>245</v>
      </c>
    </row>
    <row r="119" spans="1:10" x14ac:dyDescent="0.3">
      <c r="A119" s="139" t="s">
        <v>424</v>
      </c>
      <c r="B119" s="141" t="s">
        <v>894</v>
      </c>
      <c r="C119" s="18"/>
      <c r="D119" s="21" t="s">
        <v>823</v>
      </c>
      <c r="E119" s="21" t="s">
        <v>823</v>
      </c>
      <c r="F119" s="21" t="s">
        <v>823</v>
      </c>
      <c r="G119" s="21" t="s">
        <v>823</v>
      </c>
      <c r="H119" s="21" t="s">
        <v>823</v>
      </c>
      <c r="I119" s="8" t="s">
        <v>427</v>
      </c>
    </row>
    <row r="120" spans="1:10" x14ac:dyDescent="0.3">
      <c r="A120" s="139" t="s">
        <v>428</v>
      </c>
      <c r="B120" s="141" t="s">
        <v>429</v>
      </c>
      <c r="C120" s="18"/>
      <c r="D120" s="15">
        <f>IF(D119="Financing",D117+D118,D117)</f>
        <v>5644.2539999999999</v>
      </c>
      <c r="E120" s="15">
        <f>IF(E119="Financing",E117+E118,E117)</f>
        <v>6582.3919999999998</v>
      </c>
      <c r="F120" s="15">
        <f>IF(F119="Financing",F117+F118,F117)</f>
        <v>13547.896999999999</v>
      </c>
      <c r="G120" s="15">
        <f>IF(G119="Financing",G117+G118,G117)</f>
        <v>15291.546999999999</v>
      </c>
      <c r="H120" s="15">
        <f>IF(H119="Financing",H117+H118,H117)</f>
        <v>18753.756999999998</v>
      </c>
      <c r="I120" s="8" t="s">
        <v>245</v>
      </c>
    </row>
    <row r="121" spans="1:10" x14ac:dyDescent="0.3">
      <c r="A121" s="139" t="s">
        <v>430</v>
      </c>
      <c r="B121" s="141" t="s">
        <v>895</v>
      </c>
      <c r="C121" s="18"/>
      <c r="D121" s="14">
        <v>-1007.205</v>
      </c>
      <c r="E121" s="14">
        <v>-28425.596000000001</v>
      </c>
      <c r="F121" s="14">
        <v>-33903.442000000003</v>
      </c>
      <c r="G121" s="14">
        <v>-8478.8760000000002</v>
      </c>
      <c r="H121" s="14">
        <v>-3477.6469999999999</v>
      </c>
      <c r="I121" s="8" t="s">
        <v>245</v>
      </c>
    </row>
    <row r="122" spans="1:10" x14ac:dyDescent="0.3">
      <c r="A122" s="139" t="s">
        <v>432</v>
      </c>
      <c r="B122" s="141" t="s">
        <v>896</v>
      </c>
      <c r="C122" s="18"/>
      <c r="D122" s="14">
        <v>-5141.6580000000004</v>
      </c>
      <c r="E122" s="14">
        <v>-26064.704000000002</v>
      </c>
      <c r="F122" s="14">
        <v>-29667.172999999999</v>
      </c>
      <c r="G122" s="14">
        <v>-8158.0360000000001</v>
      </c>
      <c r="H122" s="14">
        <v>-11259.19</v>
      </c>
      <c r="I122" s="8" t="s">
        <v>245</v>
      </c>
    </row>
    <row r="123" spans="1:10" x14ac:dyDescent="0.3">
      <c r="A123" s="139" t="s">
        <v>434</v>
      </c>
      <c r="B123" s="141" t="s">
        <v>897</v>
      </c>
      <c r="C123" s="18"/>
      <c r="D123" s="14">
        <v>-5.4550000000000001</v>
      </c>
      <c r="E123" s="14">
        <v>19345.922999999999</v>
      </c>
      <c r="F123" s="14">
        <v>10897.767</v>
      </c>
      <c r="G123" s="14">
        <v>-8479.9959999999992</v>
      </c>
      <c r="H123" s="14">
        <v>-12739.191999999999</v>
      </c>
      <c r="I123" s="8" t="s">
        <v>245</v>
      </c>
    </row>
    <row r="124" spans="1:10" x14ac:dyDescent="0.3">
      <c r="A124" s="139" t="s">
        <v>436</v>
      </c>
      <c r="B124" s="141" t="s">
        <v>898</v>
      </c>
      <c r="C124" s="18"/>
      <c r="D124" s="14">
        <v>-1.5720000000000001</v>
      </c>
      <c r="E124" s="14">
        <v>-1.3220000000000001</v>
      </c>
      <c r="F124" s="14">
        <v>-1.1559999999999999</v>
      </c>
      <c r="G124" s="14">
        <v>-0.35499999999999998</v>
      </c>
      <c r="H124" s="14">
        <v>-2447.3110000000001</v>
      </c>
      <c r="I124" s="8" t="s">
        <v>245</v>
      </c>
    </row>
    <row r="125" spans="1:10" x14ac:dyDescent="0.3">
      <c r="A125" s="139"/>
      <c r="B125" s="139"/>
    </row>
    <row r="126" spans="1:10" x14ac:dyDescent="0.3">
      <c r="A126" s="142" t="s">
        <v>438</v>
      </c>
      <c r="B126" s="143"/>
      <c r="C126" s="10"/>
      <c r="D126" s="10"/>
      <c r="E126" s="10"/>
      <c r="F126" s="10"/>
      <c r="G126" s="10"/>
      <c r="H126" s="10"/>
      <c r="I126" s="10"/>
      <c r="J126" s="10"/>
    </row>
    <row r="127" spans="1:10" x14ac:dyDescent="0.3">
      <c r="A127" s="139" t="s">
        <v>439</v>
      </c>
      <c r="B127" s="141" t="s">
        <v>899</v>
      </c>
      <c r="C127" s="18"/>
      <c r="D127" s="22">
        <v>10</v>
      </c>
      <c r="E127" s="22">
        <v>10</v>
      </c>
      <c r="F127" s="22">
        <v>10</v>
      </c>
      <c r="G127" s="22">
        <v>10</v>
      </c>
      <c r="H127" s="22">
        <v>10</v>
      </c>
      <c r="I127" s="8" t="s">
        <v>441</v>
      </c>
    </row>
    <row r="128" spans="1:10" x14ac:dyDescent="0.3">
      <c r="A128" s="139" t="s">
        <v>442</v>
      </c>
      <c r="B128" s="141" t="s">
        <v>443</v>
      </c>
      <c r="C128" s="18"/>
      <c r="D128" s="23">
        <f>D39/D127-D135</f>
        <v>1379.8150000000001</v>
      </c>
      <c r="E128" s="23">
        <f>E39/E127-E135</f>
        <v>2180.3090000000002</v>
      </c>
      <c r="F128" s="23">
        <f>F39/F127-F135</f>
        <v>2452.8476000000001</v>
      </c>
      <c r="G128" s="23">
        <f>G39/G127-G135</f>
        <v>2452.8476000000001</v>
      </c>
      <c r="H128" s="23">
        <f>H39/H127-H135</f>
        <v>2452.8476000000001</v>
      </c>
      <c r="I128" s="8" t="s">
        <v>444</v>
      </c>
    </row>
    <row r="129" spans="1:10" x14ac:dyDescent="0.3">
      <c r="A129" s="139" t="s">
        <v>445</v>
      </c>
      <c r="B129" s="141" t="s">
        <v>900</v>
      </c>
      <c r="C129" s="18"/>
      <c r="D129" s="24">
        <v>1379.8150000000001</v>
      </c>
      <c r="E129" s="24">
        <v>2180.3090000000002</v>
      </c>
      <c r="F129" s="24">
        <f>F128</f>
        <v>2452.8476000000001</v>
      </c>
      <c r="G129" s="24">
        <v>2452.8470000000002</v>
      </c>
      <c r="H129" s="24">
        <v>2452.8470000000002</v>
      </c>
      <c r="I129" s="8" t="s">
        <v>444</v>
      </c>
    </row>
    <row r="130" spans="1:10" x14ac:dyDescent="0.3">
      <c r="A130" s="139" t="s">
        <v>447</v>
      </c>
      <c r="B130" s="141" t="s">
        <v>901</v>
      </c>
      <c r="C130" s="18"/>
      <c r="D130" s="22">
        <v>23</v>
      </c>
      <c r="E130" s="22">
        <v>14.17</v>
      </c>
      <c r="F130" s="22">
        <v>11.76</v>
      </c>
      <c r="G130" s="22">
        <v>22.91</v>
      </c>
      <c r="H130" s="22">
        <v>44.67</v>
      </c>
      <c r="I130" s="8" t="s">
        <v>441</v>
      </c>
    </row>
    <row r="131" spans="1:10" x14ac:dyDescent="0.3">
      <c r="A131" s="139" t="s">
        <v>449</v>
      </c>
      <c r="B131" s="141" t="s">
        <v>902</v>
      </c>
      <c r="C131" s="18"/>
      <c r="D131" s="22">
        <v>0</v>
      </c>
      <c r="E131" s="22">
        <v>0</v>
      </c>
      <c r="F131" s="22">
        <v>0</v>
      </c>
      <c r="G131" s="22">
        <v>1</v>
      </c>
      <c r="H131" s="22">
        <v>1.25</v>
      </c>
      <c r="I131" s="8" t="s">
        <v>441</v>
      </c>
    </row>
    <row r="132" spans="1:10" x14ac:dyDescent="0.3">
      <c r="A132" s="139" t="s">
        <v>451</v>
      </c>
      <c r="B132" s="141" t="s">
        <v>903</v>
      </c>
      <c r="C132" s="18"/>
      <c r="D132" s="22">
        <v>2.52</v>
      </c>
      <c r="E132" s="22">
        <v>3.26</v>
      </c>
      <c r="F132" s="22">
        <v>3.16</v>
      </c>
      <c r="G132" s="22">
        <v>3.35</v>
      </c>
      <c r="H132" s="22">
        <v>5.43</v>
      </c>
      <c r="I132" s="8" t="s">
        <v>441</v>
      </c>
    </row>
    <row r="133" spans="1:10" x14ac:dyDescent="0.3">
      <c r="A133" s="139" t="s">
        <v>453</v>
      </c>
      <c r="B133" s="141" t="s">
        <v>454</v>
      </c>
      <c r="C133" s="18"/>
      <c r="D133" s="15">
        <f>D130*D128</f>
        <v>31735.745000000003</v>
      </c>
      <c r="E133" s="15">
        <f>E130*E128</f>
        <v>30894.978530000004</v>
      </c>
      <c r="F133" s="15">
        <f>F130*F128</f>
        <v>28845.487776000002</v>
      </c>
      <c r="G133" s="15">
        <f>G130*G128</f>
        <v>56194.738516000005</v>
      </c>
      <c r="H133" s="15">
        <f>H130*H128</f>
        <v>109568.702292</v>
      </c>
      <c r="I133" s="8" t="s">
        <v>245</v>
      </c>
    </row>
    <row r="134" spans="1:10" x14ac:dyDescent="0.3">
      <c r="A134" s="139" t="s">
        <v>455</v>
      </c>
      <c r="B134" s="141" t="s">
        <v>904</v>
      </c>
      <c r="C134" s="18"/>
      <c r="D134" s="22">
        <v>1</v>
      </c>
      <c r="E134" s="22">
        <v>1</v>
      </c>
      <c r="F134" s="22">
        <v>1</v>
      </c>
      <c r="G134" s="22">
        <v>1</v>
      </c>
      <c r="H134" s="22">
        <v>1</v>
      </c>
      <c r="I134" s="8" t="s">
        <v>457</v>
      </c>
    </row>
    <row r="135" spans="1:10" x14ac:dyDescent="0.3">
      <c r="A135" s="139" t="s">
        <v>458</v>
      </c>
      <c r="B135" s="141"/>
      <c r="C135" s="18"/>
      <c r="D135" s="22">
        <v>0</v>
      </c>
      <c r="E135" s="22">
        <v>0</v>
      </c>
      <c r="F135" s="22">
        <v>0</v>
      </c>
      <c r="G135" s="22">
        <v>0</v>
      </c>
      <c r="H135" s="22">
        <v>0</v>
      </c>
    </row>
    <row r="136" spans="1:10" x14ac:dyDescent="0.3">
      <c r="A136" s="142" t="s">
        <v>9356</v>
      </c>
      <c r="B136" s="143"/>
      <c r="C136" s="10"/>
      <c r="D136" s="10"/>
      <c r="E136" s="10"/>
      <c r="F136" s="10"/>
      <c r="G136" s="10"/>
      <c r="H136" s="10"/>
      <c r="I136" s="10"/>
      <c r="J136" s="10"/>
    </row>
    <row r="137" spans="1:10" ht="22.05" customHeight="1" x14ac:dyDescent="0.3">
      <c r="A137" s="207" t="s">
        <v>459</v>
      </c>
      <c r="B137" s="205"/>
      <c r="C137" s="206"/>
      <c r="D137" s="206"/>
      <c r="E137" s="206"/>
      <c r="F137" s="206"/>
      <c r="G137" s="206"/>
      <c r="H137" s="206"/>
      <c r="I137" s="13"/>
      <c r="J137" s="13"/>
    </row>
    <row r="138" spans="1:10" x14ac:dyDescent="0.3">
      <c r="A138" s="150" t="s">
        <v>460</v>
      </c>
      <c r="B138" s="148" t="s">
        <v>461</v>
      </c>
      <c r="C138" s="18"/>
      <c r="D138" s="87">
        <f>IF(OR((D61)&lt;=0,(D36)&lt;0),"n/m",(D36)/(D61))</f>
        <v>2.01862288296847</v>
      </c>
      <c r="E138" s="87">
        <f>IF(OR((E61)&lt;=0,(E36)&lt;0),"n/m",(E36)/(E61))</f>
        <v>1.0559688948718087</v>
      </c>
      <c r="F138" s="87">
        <f>IF(OR((F61)&lt;=0,(F36)&lt;0),"n/m",(F36)/(F61))</f>
        <v>0.81211137558007007</v>
      </c>
      <c r="G138" s="87">
        <f>IF(OR((G61)&lt;=0,(G36)&lt;0),"n/m",(G36)/(G61))</f>
        <v>0.95974773116730094</v>
      </c>
      <c r="H138" s="87">
        <f>IF(OR((H61)&lt;=0,(H36)&lt;0),"n/m",(H36)/(H61))</f>
        <v>1.3210140828410366</v>
      </c>
      <c r="I138" s="8" t="s">
        <v>462</v>
      </c>
    </row>
    <row r="139" spans="1:10" x14ac:dyDescent="0.3">
      <c r="A139" s="150" t="s">
        <v>463</v>
      </c>
      <c r="B139" s="148" t="s">
        <v>464</v>
      </c>
      <c r="C139" s="18"/>
      <c r="D139" s="87">
        <f>IF(OR((D61)&lt;=0,(D36-D65)&lt;0),"n/m",(D36-D65)/(D61))</f>
        <v>1.1357988467684703</v>
      </c>
      <c r="E139" s="87">
        <f>IF(OR((E61)&lt;=0,(E36-E65)&lt;0),"n/m",(E36-E65)/(E61))</f>
        <v>0.47078421060569281</v>
      </c>
      <c r="F139" s="87">
        <f>IF(OR((F61)&lt;=0,(F36-F65)&lt;0),"n/m",(F36-F65)/(F61))</f>
        <v>0.28121710873313321</v>
      </c>
      <c r="G139" s="87">
        <f>IF(OR((G61)&lt;=0,(G36-G65)&lt;0),"n/m",(G36-G65)/(G61))</f>
        <v>0.3420463898878065</v>
      </c>
      <c r="H139" s="87">
        <f>IF(OR((H61)&lt;=0,(H36-H65)&lt;0),"n/m",(H36-H65)/(H61))</f>
        <v>0.67753380767364924</v>
      </c>
      <c r="I139" s="8" t="s">
        <v>462</v>
      </c>
    </row>
    <row r="140" spans="1:10" x14ac:dyDescent="0.3">
      <c r="A140" s="150" t="s">
        <v>465</v>
      </c>
      <c r="B140" s="148" t="s">
        <v>466</v>
      </c>
      <c r="C140" s="18"/>
      <c r="D140" s="87">
        <f>IF(OR((D61)&lt;=0,(D34)&lt;0),"n/m",(D34)/(D61))</f>
        <v>0.14618299383526975</v>
      </c>
      <c r="E140" s="87">
        <f>IF(OR((E61)&lt;=0,(E34)&lt;0),"n/m",(E34)/(E61))</f>
        <v>8.632203736853207E-2</v>
      </c>
      <c r="F140" s="87">
        <f>IF(OR((F61)&lt;=0,(F34)&lt;0),"n/m",(F34)/(F61))</f>
        <v>3.4066835387760418E-2</v>
      </c>
      <c r="G140" s="87">
        <f>IF(OR((G61)&lt;=0,(G34)&lt;0),"n/m",(G34)/(G61))</f>
        <v>0.10917301381732912</v>
      </c>
      <c r="H140" s="87">
        <f>IF(OR((H61)&lt;=0,(H34)&lt;0),"n/m",(H34)/(H61))</f>
        <v>8.6995944871083974E-2</v>
      </c>
      <c r="I140" s="8" t="s">
        <v>462</v>
      </c>
    </row>
    <row r="141" spans="1:10" x14ac:dyDescent="0.3">
      <c r="A141" s="150" t="s">
        <v>467</v>
      </c>
      <c r="B141" s="148" t="s">
        <v>468</v>
      </c>
      <c r="C141" s="18"/>
      <c r="D141" s="88">
        <f>IF(OR((1)&lt;=0,(D36-D61)&lt;0),"n/m",(D36-D61)/(1))</f>
        <v>6276.7430000000004</v>
      </c>
      <c r="E141" s="88">
        <f>IF(OR((1)&lt;=0,(E36-E61)&lt;0),"n/m",(E36-E61)/(1))</f>
        <v>1495.5590000000011</v>
      </c>
      <c r="F141" s="88" t="str">
        <f>IF(OR((1)&lt;=0,(F36-F61)&lt;0),"n/m",(F36-F61)/(1))</f>
        <v>n/m</v>
      </c>
      <c r="G141" s="88" t="str">
        <f>IF(OR((1)&lt;=0,(G36-G61)&lt;0),"n/m",(G36-G61)/(1))</f>
        <v>n/m</v>
      </c>
      <c r="H141" s="88">
        <f>IF(OR((1)&lt;=0,(H36-H61)&lt;0),"n/m",(H36-H61)/(1))</f>
        <v>9835.0680000000066</v>
      </c>
      <c r="I141" s="8" t="s">
        <v>245</v>
      </c>
    </row>
    <row r="142" spans="1:10" x14ac:dyDescent="0.3">
      <c r="A142" s="150" t="s">
        <v>469</v>
      </c>
      <c r="B142" s="148" t="s">
        <v>470</v>
      </c>
      <c r="C142" s="18"/>
      <c r="D142" s="88">
        <f>IF(OR((1)&lt;=0,(D72-D73)&lt;0),"n/m",(D72-D73)/(1))</f>
        <v>3035.3930000000009</v>
      </c>
      <c r="E142" s="88">
        <f>IF(OR((1)&lt;=0,(E72-E73)&lt;0),"n/m",(E72-E73)/(1))</f>
        <v>9408.2049999999999</v>
      </c>
      <c r="F142" s="88">
        <f>IF(OR((1)&lt;=0,(F72-F73)&lt;0),"n/m",(F72-F73)/(1))</f>
        <v>10212.416999999998</v>
      </c>
      <c r="G142" s="88">
        <f>IF(OR((1)&lt;=0,(G72-G73)&lt;0),"n/m",(G72-G73)/(1))</f>
        <v>10303.164999999997</v>
      </c>
      <c r="H142" s="88">
        <f>IF(OR((1)&lt;=0,(H72-H73)&lt;0),"n/m",(H72-H73)/(1))</f>
        <v>14427.799000000005</v>
      </c>
      <c r="I142" s="8" t="s">
        <v>245</v>
      </c>
    </row>
    <row r="143" spans="1:10" ht="22.05" customHeight="1" x14ac:dyDescent="0.3">
      <c r="A143" s="207" t="s">
        <v>471</v>
      </c>
      <c r="B143" s="205"/>
      <c r="C143" s="206"/>
      <c r="D143" s="206"/>
      <c r="E143" s="206"/>
      <c r="F143" s="206"/>
      <c r="G143" s="206"/>
      <c r="H143" s="206"/>
      <c r="I143" s="13"/>
      <c r="J143" s="13"/>
    </row>
    <row r="144" spans="1:10" x14ac:dyDescent="0.3">
      <c r="A144" s="150" t="s">
        <v>472</v>
      </c>
      <c r="B144" s="148" t="s">
        <v>473</v>
      </c>
      <c r="C144" s="18"/>
      <c r="D144" s="87">
        <f>IF(OR((AVERAGE(C65,D65))&lt;=0,(-D85)&lt;0),"n/m",(-D85)/(AVERAGE(C65,D65)))</f>
        <v>3.593399445976929</v>
      </c>
      <c r="E144" s="87">
        <f>IF(OR((AVERAGE(D65,E65))&lt;=0,(-E85)&lt;0),"n/m",(-E85)/(AVERAGE(D65,E65)))</f>
        <v>3.6798285509863442</v>
      </c>
      <c r="F144" s="87">
        <f>IF(OR((AVERAGE(E65,F65))&lt;=0,(-F85)&lt;0),"n/m",(-F85)/(AVERAGE(E65,F65)))</f>
        <v>3.0981941833220765</v>
      </c>
      <c r="G144" s="87">
        <f>IF(OR((AVERAGE(F65,G65))&lt;=0,(-G85)&lt;0),"n/m",(-G85)/(AVERAGE(F65,G65)))</f>
        <v>3.4267755412065504</v>
      </c>
      <c r="H144" s="87">
        <f>IF(OR((AVERAGE(G65,H65))&lt;=0,(-H85)&lt;0),"n/m",(-H85)/(AVERAGE(G65,H65)))</f>
        <v>3.1608830315846066</v>
      </c>
      <c r="I144" s="8" t="s">
        <v>462</v>
      </c>
    </row>
    <row r="145" spans="1:10" x14ac:dyDescent="0.3">
      <c r="A145" s="150" t="s">
        <v>474</v>
      </c>
      <c r="B145" s="148" t="s">
        <v>475</v>
      </c>
      <c r="C145" s="18"/>
      <c r="D145" s="87">
        <f>IF(OR((AVERAGE(C32,D32))&lt;=0,(D84)&lt;0),"n/m",(D84)/(AVERAGE(C32,D32)))</f>
        <v>19.415164144242155</v>
      </c>
      <c r="E145" s="87">
        <f>IF(OR((AVERAGE(D32,E32))&lt;=0,(E84)&lt;0),"n/m",(E84)/(AVERAGE(D32,E32)))</f>
        <v>28.088084014998095</v>
      </c>
      <c r="F145" s="87">
        <f>IF(OR((AVERAGE(E32,F32))&lt;=0,(F84)&lt;0),"n/m",(F84)/(AVERAGE(E32,F32)))</f>
        <v>22.745855737892271</v>
      </c>
      <c r="G145" s="87">
        <f>IF(OR((AVERAGE(F32,G32))&lt;=0,(G84)&lt;0),"n/m",(G84)/(AVERAGE(F32,G32)))</f>
        <v>17.554064923929165</v>
      </c>
      <c r="H145" s="87">
        <f>IF(OR((AVERAGE(G32,H32))&lt;=0,(H84)&lt;0),"n/m",(H84)/(AVERAGE(G32,H32)))</f>
        <v>14.282644096931071</v>
      </c>
      <c r="I145" s="8" t="s">
        <v>462</v>
      </c>
    </row>
    <row r="146" spans="1:10" x14ac:dyDescent="0.3">
      <c r="A146" s="150" t="s">
        <v>476</v>
      </c>
      <c r="B146" s="148" t="s">
        <v>477</v>
      </c>
      <c r="C146" s="18"/>
      <c r="D146" s="87">
        <f>IF(OR((AVERAGE(C51,D51))&lt;=0,(-D85)&lt;0),"n/m",(-D85)/(AVERAGE(C51,D51)))</f>
        <v>29.905586617872185</v>
      </c>
      <c r="E146" s="87">
        <f>IF(OR((AVERAGE(D51,E51))&lt;=0,(-E85)&lt;0),"n/m",(-E85)/(AVERAGE(D51,E51)))</f>
        <v>21.870744516457957</v>
      </c>
      <c r="F146" s="87">
        <f>IF(OR((AVERAGE(E51,F51))&lt;=0,(-F85)&lt;0),"n/m",(-F85)/(AVERAGE(E51,F51)))</f>
        <v>17.959235676951813</v>
      </c>
      <c r="G146" s="87">
        <f>IF(OR((AVERAGE(F51,G51))&lt;=0,(-G85)&lt;0),"n/m",(-G85)/(AVERAGE(F51,G51)))</f>
        <v>20.316171981863199</v>
      </c>
      <c r="H146" s="87">
        <f>IF(OR((AVERAGE(G51,H51))&lt;=0,(-H85)&lt;0),"n/m",(-H85)/(AVERAGE(G51,H51)))</f>
        <v>24.107258331311616</v>
      </c>
      <c r="I146" s="8" t="s">
        <v>462</v>
      </c>
    </row>
    <row r="147" spans="1:10" x14ac:dyDescent="0.3">
      <c r="A147" s="150" t="s">
        <v>478</v>
      </c>
      <c r="B147" s="148" t="s">
        <v>479</v>
      </c>
      <c r="C147" s="18"/>
      <c r="D147" s="89">
        <f>IF(OR((-D85)&lt;=0,(365*AVERAGE(C65,D65))&lt;0),"n/m",(365*AVERAGE(C65,D65))/(-D85))</f>
        <v>101.57512558439446</v>
      </c>
      <c r="E147" s="89">
        <f>IF(OR((-E85)&lt;=0,(365*AVERAGE(D65,E65))&lt;0),"n/m",(365*AVERAGE(D65,E65))/(-E85))</f>
        <v>99.189403784088</v>
      </c>
      <c r="F147" s="89">
        <f>IF(OR((-F85)&lt;=0,(365*AVERAGE(E65,F65))&lt;0),"n/m",(365*AVERAGE(E65,F65))/(-F85))</f>
        <v>117.81056267061489</v>
      </c>
      <c r="G147" s="89">
        <f>IF(OR((-G85)&lt;=0,(365*AVERAGE(F65,G65))&lt;0),"n/m",(365*AVERAGE(F65,G65))/(-G85))</f>
        <v>106.51412548353994</v>
      </c>
      <c r="H147" s="89">
        <f>IF(OR((-H85)&lt;=0,(365*AVERAGE(G65,H65))&lt;0),"n/m",(365*AVERAGE(G65,H65))/(-H85))</f>
        <v>115.47406099903009</v>
      </c>
      <c r="I147" s="8" t="s">
        <v>480</v>
      </c>
    </row>
    <row r="148" spans="1:10" x14ac:dyDescent="0.3">
      <c r="A148" s="150" t="s">
        <v>481</v>
      </c>
      <c r="B148" s="148" t="s">
        <v>482</v>
      </c>
      <c r="C148" s="18"/>
      <c r="D148" s="89">
        <f>IF(OR((D84)&lt;=0,(365*AVERAGE(C32,D32))&lt;0),"n/m",(365*AVERAGE(C32,D32))/(D84))</f>
        <v>18.799738044359827</v>
      </c>
      <c r="E148" s="89">
        <f>IF(OR((E84)&lt;=0,(365*AVERAGE(D32,E32))&lt;0),"n/m",(365*AVERAGE(D32,E32))/(E84))</f>
        <v>12.994834386179642</v>
      </c>
      <c r="F148" s="89">
        <f>IF(OR((F84)&lt;=0,(365*AVERAGE(E32,F32))&lt;0),"n/m",(365*AVERAGE(E32,F32))/(F84))</f>
        <v>16.046879229606091</v>
      </c>
      <c r="G148" s="89">
        <f>IF(OR((G84)&lt;=0,(365*AVERAGE(F32,G32))&lt;0),"n/m",(365*AVERAGE(F32,G32))/(G84))</f>
        <v>20.792904753499183</v>
      </c>
      <c r="H148" s="89">
        <f>IF(OR((H84)&lt;=0,(365*AVERAGE(G32,H32))&lt;0),"n/m",(365*AVERAGE(G32,H32))/(H84))</f>
        <v>25.555492212987932</v>
      </c>
      <c r="I148" s="8" t="s">
        <v>480</v>
      </c>
    </row>
    <row r="149" spans="1:10" x14ac:dyDescent="0.3">
      <c r="A149" s="150" t="s">
        <v>483</v>
      </c>
      <c r="B149" s="148" t="s">
        <v>484</v>
      </c>
      <c r="C149" s="18"/>
      <c r="D149" s="89">
        <f>IF(OR((-D85)&lt;=0,(365*AVERAGE(C51,D51))&lt;0),"n/m",(365*AVERAGE(C51,D51))/(-D85))</f>
        <v>12.205077421282503</v>
      </c>
      <c r="E149" s="89">
        <f>IF(OR((-E85)&lt;=0,(365*AVERAGE(D51,E51))&lt;0),"n/m",(365*AVERAGE(D51,E51))/(-E85))</f>
        <v>16.688960895928066</v>
      </c>
      <c r="F149" s="89">
        <f>IF(OR((-F85)&lt;=0,(365*AVERAGE(E51,F51))&lt;0),"n/m",(365*AVERAGE(E51,F51))/(-F85))</f>
        <v>20.323804785769745</v>
      </c>
      <c r="G149" s="89">
        <f>IF(OR((-G85)&lt;=0,(365*AVERAGE(F51,G51))&lt;0),"n/m",(365*AVERAGE(F51,G51))/(-G85))</f>
        <v>17.96598297778959</v>
      </c>
      <c r="H149" s="89">
        <f>IF(OR((-H85)&lt;=0,(365*AVERAGE(G51,H51))&lt;0),"n/m",(365*AVERAGE(G51,H51))/(-H85))</f>
        <v>15.14066821634052</v>
      </c>
      <c r="I149" s="8" t="s">
        <v>480</v>
      </c>
    </row>
    <row r="150" spans="1:10" x14ac:dyDescent="0.3">
      <c r="A150" s="150" t="s">
        <v>485</v>
      </c>
      <c r="B150" s="148" t="s">
        <v>486</v>
      </c>
      <c r="C150" s="18"/>
      <c r="D150" s="89">
        <f>IF(OR((1)&lt;=0,(365*AVERAGE(C65,D65)/(-D85)+365*AVERAGE(C32,D32)/D84)&lt;0),"n/m",(365*AVERAGE(C65,D65)/(-D85)+365*AVERAGE(C32,D32)/D84)/(1))</f>
        <v>120.37486362875428</v>
      </c>
      <c r="E150" s="89">
        <f>IF(OR((1)&lt;=0,(365*AVERAGE(D65,E65)/(-E85)+365*AVERAGE(D32,E32)/E84)&lt;0),"n/m",(365*AVERAGE(D65,E65)/(-E85)+365*AVERAGE(D32,E32)/E84)/(1))</f>
        <v>112.18423817026765</v>
      </c>
      <c r="F150" s="89">
        <f>IF(OR((1)&lt;=0,(365*AVERAGE(E65,F65)/(-F85)+365*AVERAGE(E32,F32)/F84)&lt;0),"n/m",(365*AVERAGE(E65,F65)/(-F85)+365*AVERAGE(E32,F32)/F84)/(1))</f>
        <v>133.85744190022098</v>
      </c>
      <c r="G150" s="89">
        <f>IF(OR((1)&lt;=0,(365*AVERAGE(F65,G65)/(-G85)+365*AVERAGE(F32,G32)/G84)&lt;0),"n/m",(365*AVERAGE(F65,G65)/(-G85)+365*AVERAGE(F32,G32)/G84)/(1))</f>
        <v>127.30703023703913</v>
      </c>
      <c r="H150" s="89">
        <f>IF(OR((1)&lt;=0,(365*AVERAGE(G65,H65)/(-H85)+365*AVERAGE(G32,H32)/H84)&lt;0),"n/m",(365*AVERAGE(G65,H65)/(-H85)+365*AVERAGE(G32,H32)/H84)/(1))</f>
        <v>141.02955321201802</v>
      </c>
      <c r="I150" s="8" t="s">
        <v>480</v>
      </c>
    </row>
    <row r="151" spans="1:10" x14ac:dyDescent="0.3">
      <c r="A151" s="150" t="s">
        <v>487</v>
      </c>
      <c r="B151" s="148" t="s">
        <v>488</v>
      </c>
      <c r="C151" s="18"/>
      <c r="D151" s="89">
        <f>IF(OR((1)&lt;=0,(365*AVERAGE(C65,D65)/(-D85)+365*AVERAGE(C32,D32)/D84-365*AVERAGE(C51,D51)/(-D85))&lt;0),"n/m",(365*AVERAGE(C65,D65)/(-D85)+365*AVERAGE(C32,D32)/D84-365*AVERAGE(C51,D51)/(-D85))/(1))</f>
        <v>108.16978620747179</v>
      </c>
      <c r="E151" s="89">
        <f>IF(OR((1)&lt;=0,(365*AVERAGE(D65,E65)/(-E85)+365*AVERAGE(D32,E32)/E84-365*AVERAGE(D51,E51)/(-E85))&lt;0),"n/m",(365*AVERAGE(D65,E65)/(-E85)+365*AVERAGE(D32,E32)/E84-365*AVERAGE(D51,E51)/(-E85))/(1))</f>
        <v>95.495277274339585</v>
      </c>
      <c r="F151" s="89">
        <f>IF(OR((1)&lt;=0,(365*AVERAGE(E65,F65)/(-F85)+365*AVERAGE(E32,F32)/F84-365*AVERAGE(E51,F51)/(-F85))&lt;0),"n/m",(365*AVERAGE(E65,F65)/(-F85)+365*AVERAGE(E32,F32)/F84-365*AVERAGE(E51,F51)/(-F85))/(1))</f>
        <v>113.53363711445124</v>
      </c>
      <c r="G151" s="89">
        <f>IF(OR((1)&lt;=0,(365*AVERAGE(F65,G65)/(-G85)+365*AVERAGE(F32,G32)/G84-365*AVERAGE(F51,G51)/(-G85))&lt;0),"n/m",(365*AVERAGE(F65,G65)/(-G85)+365*AVERAGE(F32,G32)/G84-365*AVERAGE(F51,G51)/(-G85))/(1))</f>
        <v>109.34104725924954</v>
      </c>
      <c r="H151" s="89">
        <f>IF(OR((1)&lt;=0,(365*AVERAGE(G65,H65)/(-H85)+365*AVERAGE(G32,H32)/H84-365*AVERAGE(G51,H51)/(-H85))&lt;0),"n/m",(365*AVERAGE(G65,H65)/(-H85)+365*AVERAGE(G32,H32)/H84-365*AVERAGE(G51,H51)/(-H85))/(1))</f>
        <v>125.8888849956775</v>
      </c>
      <c r="I151" s="8" t="s">
        <v>480</v>
      </c>
    </row>
    <row r="152" spans="1:10" x14ac:dyDescent="0.3">
      <c r="A152" s="150" t="s">
        <v>489</v>
      </c>
      <c r="B152" s="148" t="s">
        <v>490</v>
      </c>
      <c r="C152" s="18"/>
      <c r="D152" s="87">
        <f>IF(OR((AVERAGE(C37,D37))&lt;=0,(D84)&lt;0),"n/m",(D84)/(AVERAGE(C37,D37)))</f>
        <v>0.76734835914940258</v>
      </c>
      <c r="E152" s="87">
        <f>IF(OR((AVERAGE(D37,E37))&lt;=0,(E84)&lt;0),"n/m",(E84)/(AVERAGE(D37,E37)))</f>
        <v>0.7342538737719585</v>
      </c>
      <c r="F152" s="87">
        <f>IF(OR((AVERAGE(E37,F37))&lt;=0,(F84)&lt;0),"n/m",(F84)/(AVERAGE(E37,F37)))</f>
        <v>0.53910589227730144</v>
      </c>
      <c r="G152" s="87">
        <f>IF(OR((AVERAGE(F37,G37))&lt;=0,(G84)&lt;0),"n/m",(G84)/(AVERAGE(F37,G37)))</f>
        <v>0.55871595475208058</v>
      </c>
      <c r="H152" s="87">
        <f>IF(OR((AVERAGE(G37,H37))&lt;=0,(H84)&lt;0),"n/m",(H84)/(AVERAGE(G37,H37)))</f>
        <v>0.57673689270626904</v>
      </c>
      <c r="I152" s="8" t="s">
        <v>462</v>
      </c>
    </row>
    <row r="153" spans="1:10" x14ac:dyDescent="0.3">
      <c r="A153" s="150" t="s">
        <v>491</v>
      </c>
      <c r="B153" s="148" t="s">
        <v>492</v>
      </c>
      <c r="C153" s="18"/>
      <c r="D153" s="87">
        <f>IF(OR((AVERAGE(C22,D22))&lt;=0,(D84)&lt;0),"n/m",(D84)/(AVERAGE(C22,D22)))</f>
        <v>1.121529000686929</v>
      </c>
      <c r="E153" s="87">
        <f>IF(OR((AVERAGE(D22,E22))&lt;=0,(E84)&lt;0),"n/m",(E84)/(AVERAGE(D22,E22)))</f>
        <v>1.6551596506379742</v>
      </c>
      <c r="F153" s="87">
        <f>IF(OR((AVERAGE(E22,F22))&lt;=0,(F84)&lt;0),"n/m",(F84)/(AVERAGE(E22,F22)))</f>
        <v>1.1919170397378338</v>
      </c>
      <c r="G153" s="87">
        <f>IF(OR((AVERAGE(F22,G22))&lt;=0,(G84)&lt;0),"n/m",(G84)/(AVERAGE(F22,G22)))</f>
        <v>0.88898511220750387</v>
      </c>
      <c r="H153" s="87">
        <f>IF(OR((AVERAGE(G22,H22))&lt;=0,(H84)&lt;0),"n/m",(H84)/(AVERAGE(G22,H22)))</f>
        <v>0.81080188367005523</v>
      </c>
      <c r="I153" s="8" t="s">
        <v>462</v>
      </c>
    </row>
    <row r="154" spans="1:10" ht="22.05" customHeight="1" x14ac:dyDescent="0.3">
      <c r="A154" s="207" t="s">
        <v>493</v>
      </c>
      <c r="B154" s="205"/>
      <c r="C154" s="206"/>
      <c r="D154" s="206"/>
      <c r="E154" s="206"/>
      <c r="F154" s="206"/>
      <c r="G154" s="206"/>
      <c r="H154" s="206"/>
      <c r="I154" s="13"/>
      <c r="J154" s="13"/>
    </row>
    <row r="155" spans="1:10" x14ac:dyDescent="0.3">
      <c r="A155" s="150" t="s">
        <v>494</v>
      </c>
      <c r="B155" s="148" t="s">
        <v>495</v>
      </c>
      <c r="C155" s="18"/>
      <c r="D155" s="90">
        <f>IF(OR((D37)&lt;=0,(D62)&lt;0),"n/m",(D62)/(D37))</f>
        <v>0.31647148170702821</v>
      </c>
      <c r="E155" s="90">
        <f>IF(OR((E37)&lt;=0,(E62)&lt;0),"n/m",(E62)/(E37))</f>
        <v>0.49219848282922141</v>
      </c>
      <c r="F155" s="90">
        <f>IF(OR((F37)&lt;=0,(F62)&lt;0),"n/m",(F62)/(F37))</f>
        <v>0.53053055814614203</v>
      </c>
      <c r="G155" s="90">
        <f>IF(OR((G37)&lt;=0,(G62)&lt;0),"n/m",(G62)/(G37))</f>
        <v>0.5028400637434024</v>
      </c>
      <c r="H155" s="90">
        <f>IF(OR((H37)&lt;=0,(H62)&lt;0),"n/m",(H62)/(H37))</f>
        <v>0.4760663500346739</v>
      </c>
      <c r="I155" s="8" t="s">
        <v>412</v>
      </c>
    </row>
    <row r="156" spans="1:10" x14ac:dyDescent="0.3">
      <c r="A156" s="150" t="s">
        <v>496</v>
      </c>
      <c r="B156" s="148" t="s">
        <v>497</v>
      </c>
      <c r="C156" s="18"/>
      <c r="D156" s="87">
        <f>IF(OR((D41)&lt;=0,(D62)&lt;0),"n/m",(D62)/(D41))</f>
        <v>0.46299674883701519</v>
      </c>
      <c r="E156" s="87">
        <f>IF(OR((E41)&lt;=0,(E62)&lt;0),"n/m",(E62)/(E41))</f>
        <v>0.96927336013391707</v>
      </c>
      <c r="F156" s="87">
        <f>IF(OR((F41)&lt;=0,(F62)&lt;0),"n/m",(F62)/(F41))</f>
        <v>1.130064091181662</v>
      </c>
      <c r="G156" s="87">
        <f>IF(OR((G41)&lt;=0,(G62)&lt;0),"n/m",(G62)/(G41))</f>
        <v>1.0114251512894896</v>
      </c>
      <c r="H156" s="87">
        <f>IF(OR((H41)&lt;=0,(H62)&lt;0),"n/m",(H62)/(H41))</f>
        <v>0.90863862259310912</v>
      </c>
      <c r="I156" s="8" t="s">
        <v>462</v>
      </c>
    </row>
    <row r="157" spans="1:10" x14ac:dyDescent="0.3">
      <c r="A157" s="150" t="s">
        <v>498</v>
      </c>
      <c r="B157" s="148" t="s">
        <v>499</v>
      </c>
      <c r="C157" s="18"/>
      <c r="D157" s="90">
        <f>IF(OR((D66+D41)&lt;=0,(D66)&lt;0),"n/m",(D66)/(D66+D41))</f>
        <v>9.9369789844821352E-2</v>
      </c>
      <c r="E157" s="90">
        <f>IF(OR((E66+E41)&lt;=0,(E66)&lt;0),"n/m",(E66)/(E66+E41))</f>
        <v>0.30982053797366449</v>
      </c>
      <c r="F157" s="90">
        <f>IF(OR((F66+F41)&lt;=0,(F66)&lt;0),"n/m",(F66)/(F66+F41))</f>
        <v>0.38414531386940193</v>
      </c>
      <c r="G157" s="90">
        <f>IF(OR((G66+G41)&lt;=0,(G66)&lt;0),"n/m",(G66)/(G66+G41))</f>
        <v>0.33266855232872222</v>
      </c>
      <c r="H157" s="90">
        <f>IF(OR((H66+H41)&lt;=0,(H66)&lt;0),"n/m",(H66)/(H66+H41))</f>
        <v>0.3220730092552348</v>
      </c>
      <c r="I157" s="8" t="s">
        <v>412</v>
      </c>
    </row>
    <row r="158" spans="1:10" x14ac:dyDescent="0.3">
      <c r="A158" s="150" t="s">
        <v>500</v>
      </c>
      <c r="B158" s="148" t="s">
        <v>501</v>
      </c>
      <c r="C158" s="18"/>
      <c r="D158" s="90">
        <f>IF(OR((D37)&lt;=0,(D67)&lt;0),"n/m",(D67)/(D37))</f>
        <v>1.6594947919858761E-2</v>
      </c>
      <c r="E158" s="90">
        <f>IF(OR((E37)&lt;=0,(E67)&lt;0),"n/m",(E67)/(E37))</f>
        <v>0.1727906268810509</v>
      </c>
      <c r="F158" s="90">
        <f>IF(OR((F37)&lt;=0,(F67)&lt;0),"n/m",(F67)/(F37))</f>
        <v>0.22975152572601862</v>
      </c>
      <c r="G158" s="90">
        <f>IF(OR((G37)&lt;=0,(G67)&lt;0),"n/m",(G67)/(G37))</f>
        <v>0.203376413547186</v>
      </c>
      <c r="H158" s="90">
        <f>IF(OR((H37)&lt;=0,(H67)&lt;0),"n/m",(H67)/(H37))</f>
        <v>0.15113814624398686</v>
      </c>
      <c r="I158" s="8" t="s">
        <v>412</v>
      </c>
    </row>
    <row r="159" spans="1:10" x14ac:dyDescent="0.3">
      <c r="A159" s="150" t="s">
        <v>502</v>
      </c>
      <c r="B159" s="148" t="s">
        <v>503</v>
      </c>
      <c r="C159" s="18"/>
      <c r="D159" s="87">
        <f>IF(OR((D106)&lt;=0,(D108)&lt;0),"n/m",(D108)/(D106))</f>
        <v>56.640991401771736</v>
      </c>
      <c r="E159" s="87">
        <f>IF(OR((E106)&lt;=0,(E108)&lt;0),"n/m",(E108)/(E106))</f>
        <v>12.790793831338474</v>
      </c>
      <c r="F159" s="87">
        <f>IF(OR((F106)&lt;=0,(F108)&lt;0),"n/m",(F108)/(F106))</f>
        <v>6.3034558691867248</v>
      </c>
      <c r="G159" s="87">
        <f>IF(OR((G106)&lt;=0,(G108)&lt;0),"n/m",(G108)/(G106))</f>
        <v>3.7820866561894588</v>
      </c>
      <c r="H159" s="87">
        <f>IF(OR((H106)&lt;=0,(H108)&lt;0),"n/m",(H108)/(H106))</f>
        <v>4.8107709914812053</v>
      </c>
      <c r="I159" s="8" t="s">
        <v>462</v>
      </c>
    </row>
    <row r="160" spans="1:10" ht="22.05" customHeight="1" x14ac:dyDescent="0.3">
      <c r="A160" s="205" t="s">
        <v>504</v>
      </c>
      <c r="B160" s="207"/>
      <c r="C160" s="206"/>
      <c r="D160" s="208"/>
      <c r="E160" s="208"/>
      <c r="F160" s="208"/>
      <c r="G160" s="208"/>
      <c r="H160" s="208"/>
      <c r="I160" s="8" t="s">
        <v>462</v>
      </c>
    </row>
    <row r="161" spans="1:10" x14ac:dyDescent="0.3">
      <c r="A161" s="150" t="s">
        <v>505</v>
      </c>
      <c r="B161" s="148" t="s">
        <v>506</v>
      </c>
      <c r="C161" s="18"/>
      <c r="D161" s="90">
        <f>IF(OR((D84)&lt;=0,(D86)&lt;0),"n/m",(D86)/(D84))</f>
        <v>0.24985924725452316</v>
      </c>
      <c r="E161" s="90">
        <f>IF(OR((E84)&lt;=0,(E86)&lt;0),"n/m",(E86)/(E84))</f>
        <v>0.28507903988852556</v>
      </c>
      <c r="F161" s="90">
        <f>IF(OR((F84)&lt;=0,(F86)&lt;0),"n/m",(F86)/(F84))</f>
        <v>0.29996604048210768</v>
      </c>
      <c r="G161" s="90">
        <f>IF(OR((G84)&lt;=0,(G86)&lt;0),"n/m",(G86)/(G84))</f>
        <v>0.32089986350224731</v>
      </c>
      <c r="H161" s="90">
        <f>IF(OR((H84)&lt;=0,(H86)&lt;0),"n/m",(H86)/(H84))</f>
        <v>0.35490842202929052</v>
      </c>
      <c r="I161" s="13"/>
      <c r="J161" s="13"/>
    </row>
    <row r="162" spans="1:10" x14ac:dyDescent="0.3">
      <c r="A162" s="150" t="s">
        <v>507</v>
      </c>
      <c r="B162" s="148" t="s">
        <v>508</v>
      </c>
      <c r="C162" s="18"/>
      <c r="D162" s="90">
        <f>IF(OR((D84)&lt;=0,(D91)&lt;0),"n/m",(D91)/(D84))</f>
        <v>0.20485989925955708</v>
      </c>
      <c r="E162" s="90">
        <f>IF(OR((E84)&lt;=0,(E91)&lt;0),"n/m",(E91)/(E84))</f>
        <v>0.21665144691719232</v>
      </c>
      <c r="F162" s="90">
        <f>IF(OR((F84)&lt;=0,(F91)&lt;0),"n/m",(F91)/(F84))</f>
        <v>0.22890646914712581</v>
      </c>
      <c r="G162" s="90">
        <f>IF(OR((G84)&lt;=0,(G91)&lt;0),"n/m",(G91)/(G84))</f>
        <v>0.25056237189043495</v>
      </c>
      <c r="H162" s="90">
        <f>IF(OR((H84)&lt;=0,(H91)&lt;0),"n/m",(H91)/(H84))</f>
        <v>0.28629833956275708</v>
      </c>
      <c r="I162" s="8" t="s">
        <v>412</v>
      </c>
    </row>
    <row r="163" spans="1:10" x14ac:dyDescent="0.3">
      <c r="A163" s="150" t="s">
        <v>509</v>
      </c>
      <c r="B163" s="148" t="s">
        <v>510</v>
      </c>
      <c r="C163" s="18"/>
      <c r="D163" s="90">
        <f>IF(OR((D84)&lt;=0,(D99)&lt;0),"n/m",(D99)/(D84))</f>
        <v>0.14302295902338913</v>
      </c>
      <c r="E163" s="90">
        <f>IF(OR((E84)&lt;=0,(E99)&lt;0),"n/m",(E99)/(E84))</f>
        <v>0.13112336204567002</v>
      </c>
      <c r="F163" s="90">
        <f>IF(OR((F84)&lt;=0,(F99)&lt;0),"n/m",(F99)/(F84))</f>
        <v>0.10929571726641699</v>
      </c>
      <c r="G163" s="90">
        <f>IF(OR((G84)&lt;=0,(G99)&lt;0),"n/m",(G99)/(G84))</f>
        <v>0.10275526425549537</v>
      </c>
      <c r="H163" s="90">
        <f>IF(OR((H84)&lt;=0,(H99)&lt;0),"n/m",(H99)/(H84))</f>
        <v>0.14980611609777766</v>
      </c>
      <c r="I163" s="8" t="s">
        <v>412</v>
      </c>
    </row>
    <row r="164" spans="1:10" x14ac:dyDescent="0.3">
      <c r="A164" s="150" t="s">
        <v>511</v>
      </c>
      <c r="B164" s="148" t="s">
        <v>512</v>
      </c>
      <c r="C164" s="18"/>
      <c r="D164" s="90">
        <f>IF(OR((AVERAGE(C37,D37))&lt;=0,(D99)&lt;0),"n/m",(D99)/(AVERAGE(C37,D37)))</f>
        <v>0.10974843292728989</v>
      </c>
      <c r="E164" s="90">
        <f>IF(OR((AVERAGE(D37,E37))&lt;=0,(E99)&lt;0),"n/m",(E99)/(AVERAGE(D37,E37)))</f>
        <v>9.6277836524036209E-2</v>
      </c>
      <c r="F164" s="90">
        <f>IF(OR((AVERAGE(E37,F37))&lt;=0,(F99)&lt;0),"n/m",(F99)/(AVERAGE(E37,F37)))</f>
        <v>5.8921965178999398E-2</v>
      </c>
      <c r="G164" s="90">
        <f>IF(OR((AVERAGE(F37,G37))&lt;=0,(G99)&lt;0),"n/m",(G99)/(AVERAGE(F37,G37)))</f>
        <v>5.7411005574311447E-2</v>
      </c>
      <c r="H164" s="90">
        <f>IF(OR((AVERAGE(G37,H37))&lt;=0,(H99)&lt;0),"n/m",(H99)/(AVERAGE(G37,H37)))</f>
        <v>8.6398713906626887E-2</v>
      </c>
      <c r="I164" s="8" t="s">
        <v>412</v>
      </c>
    </row>
    <row r="165" spans="1:10" x14ac:dyDescent="0.3">
      <c r="A165" s="150" t="s">
        <v>513</v>
      </c>
      <c r="B165" s="148" t="s">
        <v>514</v>
      </c>
      <c r="C165" s="18"/>
      <c r="D165" s="90">
        <f>IF(OR((AVERAGE(C41,D41))&lt;=0,(D99)&lt;0),"n/m",(D99)/(AVERAGE(C41,D41)))</f>
        <v>0.16115839021414832</v>
      </c>
      <c r="E165" s="90">
        <f>IF(OR((AVERAGE(D41,E41))&lt;=0,(E99)&lt;0),"n/m",(E99)/(AVERAGE(D41,E41)))</f>
        <v>0.17559284966237051</v>
      </c>
      <c r="F165" s="90">
        <f>IF(OR((AVERAGE(E41,F41))&lt;=0,(F99)&lt;0),"n/m",(F99)/(AVERAGE(E41,F41)))</f>
        <v>0.12105723655011702</v>
      </c>
      <c r="G165" s="90">
        <f>IF(OR((AVERAGE(F41,G41))&lt;=0,(G99)&lt;0),"n/m",(G99)/(AVERAGE(F41,G41)))</f>
        <v>0.11868144080382984</v>
      </c>
      <c r="H165" s="90">
        <f>IF(OR((AVERAGE(G41,H41))&lt;=0,(H99)&lt;0),"n/m",(H99)/(AVERAGE(G41,H41)))</f>
        <v>0.16903802023631961</v>
      </c>
      <c r="I165" s="8" t="s">
        <v>412</v>
      </c>
    </row>
    <row r="166" spans="1:10" x14ac:dyDescent="0.3">
      <c r="A166" s="150" t="s">
        <v>515</v>
      </c>
      <c r="B166" s="148" t="s">
        <v>516</v>
      </c>
      <c r="C166" s="18"/>
      <c r="D166" s="90">
        <f>IF(OR((AVERAGE(C70,D70))&lt;=0,(D113)&lt;0),"n/m",(D113)/(AVERAGE(C70,D70)))</f>
        <v>0.14667479520486254</v>
      </c>
      <c r="E166" s="90">
        <f>IF(OR((AVERAGE(D70,E70))&lt;=0,(E113)&lt;0),"n/m",(E113)/(AVERAGE(D70,E70)))</f>
        <v>0.14345364774826339</v>
      </c>
      <c r="F166" s="90">
        <f>IF(OR((AVERAGE(E70,F70))&lt;=0,(F113)&lt;0),"n/m",(F113)/(AVERAGE(E70,F70)))</f>
        <v>0.1007154983763438</v>
      </c>
      <c r="G166" s="90">
        <f>IF(OR((AVERAGE(F70,G70))&lt;=0,(G113)&lt;0),"n/m",(G113)/(AVERAGE(F70,G70)))</f>
        <v>0.10367976942536491</v>
      </c>
      <c r="H166" s="90">
        <f>IF(OR((AVERAGE(G70,H70))&lt;=0,(H113)&lt;0),"n/m",(H113)/(AVERAGE(G70,H70)))</f>
        <v>0.14425829076270691</v>
      </c>
      <c r="I166" s="8" t="s">
        <v>412</v>
      </c>
    </row>
    <row r="167" spans="1:10" x14ac:dyDescent="0.3">
      <c r="A167" s="150" t="s">
        <v>517</v>
      </c>
      <c r="B167" s="148" t="s">
        <v>518</v>
      </c>
      <c r="C167" s="18"/>
      <c r="D167" s="90">
        <f>IF(OR((AVERAGE(C37,D37))&lt;=0,(D108)&lt;0),"n/m",(D108)/(AVERAGE(C37,D37)))</f>
        <v>0.16494792527118216</v>
      </c>
      <c r="E167" s="90">
        <f>IF(OR((AVERAGE(D37,E37))&lt;=0,(E108)&lt;0),"n/m",(E108)/(AVERAGE(D37,E37)))</f>
        <v>0.17231375246947031</v>
      </c>
      <c r="F167" s="90">
        <f>IF(OR((AVERAGE(E37,F37))&lt;=0,(F108)&lt;0),"n/m",(F108)/(AVERAGE(E37,F37)))</f>
        <v>0.13103867634936517</v>
      </c>
      <c r="G167" s="90">
        <f>IF(OR((AVERAGE(F37,G37))&lt;=0,(G108)&lt;0),"n/m",(G108)/(AVERAGE(F37,G37)))</f>
        <v>0.14585563246661551</v>
      </c>
      <c r="H167" s="90">
        <f>IF(OR((AVERAGE(G37,H37))&lt;=0,(H108)&lt;0),"n/m",(H108)/(AVERAGE(G37,H37)))</f>
        <v>0.17698081009657979</v>
      </c>
      <c r="I167" s="8" t="s">
        <v>412</v>
      </c>
    </row>
    <row r="168" spans="1:10" ht="22.05" customHeight="1" x14ac:dyDescent="0.3">
      <c r="A168" s="205" t="s">
        <v>519</v>
      </c>
      <c r="B168" s="207"/>
      <c r="C168" s="206"/>
      <c r="D168" s="209"/>
      <c r="E168" s="209"/>
      <c r="F168" s="209"/>
      <c r="G168" s="209"/>
      <c r="H168" s="209"/>
      <c r="I168" s="8" t="s">
        <v>412</v>
      </c>
    </row>
    <row r="169" spans="1:10" x14ac:dyDescent="0.3">
      <c r="A169" s="150" t="s">
        <v>520</v>
      </c>
      <c r="B169" s="148" t="s">
        <v>521</v>
      </c>
      <c r="C169" s="18"/>
      <c r="D169" s="91">
        <f>IF(OR((D128)&lt;=0,(D41)&lt;0),"n/m",(D41)/(D128))</f>
        <v>16.868689643176804</v>
      </c>
      <c r="E169" s="91">
        <f>IF(OR((E128)&lt;=0,(E41)&lt;0),"n/m",(E41)/(E128))</f>
        <v>26.480675904195227</v>
      </c>
      <c r="F169" s="91">
        <f>IF(OR((F128)&lt;=0,(F41)&lt;0),"n/m",(F41)/(F128))</f>
        <v>26.571458006604239</v>
      </c>
      <c r="G169" s="91">
        <f>IF(OR((G128)&lt;=0,(G41)&lt;0),"n/m",(G41)/(G128))</f>
        <v>29.923935347634316</v>
      </c>
      <c r="H169" s="91">
        <f>IF(OR((H128)&lt;=0,(H41)&lt;0),"n/m",(H41)/(H128))</f>
        <v>34.356887072804682</v>
      </c>
      <c r="I169" s="8" t="s">
        <v>412</v>
      </c>
    </row>
    <row r="170" spans="1:10" x14ac:dyDescent="0.3">
      <c r="A170" s="150" t="s">
        <v>522</v>
      </c>
      <c r="B170" s="148" t="s">
        <v>523</v>
      </c>
      <c r="C170" s="18"/>
      <c r="D170" s="87">
        <f>IF(OR((D41/D128)&lt;=0,(D130)&lt;0),"n/m",(D130)/(D41/D128))</f>
        <v>1.3634728296339984</v>
      </c>
      <c r="E170" s="87">
        <f>IF(OR((E41/E128)&lt;=0,(E130)&lt;0),"n/m",(E130)/(E41/E128))</f>
        <v>0.53510718726613404</v>
      </c>
      <c r="F170" s="87">
        <f>IF(OR((F41/F128)&lt;=0,(F130)&lt;0),"n/m",(F130)/(F41/F128))</f>
        <v>0.44258015488186969</v>
      </c>
      <c r="G170" s="87">
        <f>IF(OR((G41/G128)&lt;=0,(G130)&lt;0),"n/m",(G130)/(G41/G128))</f>
        <v>0.76560785651514207</v>
      </c>
      <c r="H170" s="87">
        <f>IF(OR((H41/H128)&lt;=0,(H130)&lt;0),"n/m",(H130)/(H41/H128))</f>
        <v>1.3001759998029245</v>
      </c>
      <c r="I170" s="13"/>
      <c r="J170" s="13"/>
    </row>
    <row r="171" spans="1:10" x14ac:dyDescent="0.3">
      <c r="A171" s="150" t="s">
        <v>524</v>
      </c>
      <c r="B171" s="148" t="s">
        <v>525</v>
      </c>
      <c r="C171" s="18"/>
      <c r="D171" s="91">
        <f>IF(OR((D129)&lt;=0,(D99)&lt;0),"n/m",(D99)/(D129))</f>
        <v>2.5158090033808875</v>
      </c>
      <c r="E171" s="91">
        <f>IF(OR((E129)&lt;=0,(E99)&lt;0),"n/m",(E99)/(E129))</f>
        <v>3.2621706372812294</v>
      </c>
      <c r="F171" s="91">
        <f>IF(OR((F129)&lt;=0,(F99)&lt;0),"n/m",(F99)/(F129))</f>
        <v>3.0330791851886794</v>
      </c>
      <c r="G171" s="91">
        <f>IF(OR((G129)&lt;=0,(G99)&lt;0),"n/m",(G99)/(G129))</f>
        <v>3.3524781610919856</v>
      </c>
      <c r="H171" s="91">
        <f>IF(OR((H129)&lt;=0,(H99)&lt;0),"n/m",(H99)/(H129))</f>
        <v>5.4329528095311241</v>
      </c>
      <c r="I171" s="8" t="s">
        <v>441</v>
      </c>
    </row>
    <row r="172" spans="1:10" x14ac:dyDescent="0.3">
      <c r="A172" s="150" t="s">
        <v>526</v>
      </c>
      <c r="B172" s="148" t="s">
        <v>527</v>
      </c>
      <c r="C172" s="18"/>
      <c r="D172" s="87">
        <f>IF(OR((D99/D129)&lt;=0,(D130)&lt;0),"n/m",(D130)/(D99/D129))</f>
        <v>9.1421884447870596</v>
      </c>
      <c r="E172" s="87">
        <f>IF(OR((E99/E129)&lt;=0,(E130)&lt;0),"n/m",(E130)/(E99/E129))</f>
        <v>4.3437335368236942</v>
      </c>
      <c r="F172" s="87">
        <f>IF(OR((F99/F129)&lt;=0,(F130)&lt;0),"n/m",(F130)/(F99/F129))</f>
        <v>3.877247932539039</v>
      </c>
      <c r="G172" s="87">
        <f>IF(OR((G99/G129)&lt;=0,(G130)&lt;0),"n/m",(G130)/(G99/G129))</f>
        <v>6.8337507059367812</v>
      </c>
      <c r="H172" s="87">
        <f>IF(OR((H99/H129)&lt;=0,(H130)&lt;0),"n/m",(H130)/(H99/H129))</f>
        <v>8.2220482242427426</v>
      </c>
      <c r="I172" s="8" t="s">
        <v>462</v>
      </c>
    </row>
    <row r="173" spans="1:10" x14ac:dyDescent="0.3">
      <c r="A173" s="150" t="s">
        <v>528</v>
      </c>
      <c r="B173" s="148" t="s">
        <v>529</v>
      </c>
      <c r="C173" s="18"/>
      <c r="D173" s="90">
        <f>IF(OR((D130)&lt;=0,(D131)&lt;0),"n/m",(D131)/(D130))</f>
        <v>0</v>
      </c>
      <c r="E173" s="90">
        <f>IF(OR((E130)&lt;=0,(E131)&lt;0),"n/m",(E131)/(E130))</f>
        <v>0</v>
      </c>
      <c r="F173" s="90">
        <f>IF(OR((F130)&lt;=0,(F131)&lt;0),"n/m",(F131)/(F130))</f>
        <v>0</v>
      </c>
      <c r="G173" s="90">
        <f>IF(OR((G130)&lt;=0,(G131)&lt;0),"n/m",(G131)/(G130))</f>
        <v>4.3649061545176782E-2</v>
      </c>
      <c r="H173" s="90">
        <f>IF(OR((H130)&lt;=0,(H131)&lt;0),"n/m",(H131)/(H130))</f>
        <v>2.7982986344302664E-2</v>
      </c>
      <c r="I173" s="8" t="s">
        <v>441</v>
      </c>
    </row>
    <row r="174" spans="1:10" x14ac:dyDescent="0.3">
      <c r="A174" s="150" t="s">
        <v>530</v>
      </c>
      <c r="B174" s="148" t="s">
        <v>531</v>
      </c>
      <c r="C174" s="18"/>
      <c r="D174" s="90">
        <f>IF(OR((D99/D129)&lt;=0,(D131)&lt;0),"n/m",(D131)/(D99/D129))</f>
        <v>0</v>
      </c>
      <c r="E174" s="90">
        <f>IF(OR((E99/E129)&lt;=0,(E131)&lt;0),"n/m",(E131)/(E99/E129))</f>
        <v>0</v>
      </c>
      <c r="F174" s="90">
        <f>IF(OR((F99/F129)&lt;=0,(F131)&lt;0),"n/m",(F131)/(F99/F129))</f>
        <v>0</v>
      </c>
      <c r="G174" s="90">
        <f>IF(OR((G99/G129)&lt;=0,(G131)&lt;0),"n/m",(G131)/(G99/G129))</f>
        <v>0.29828680514782985</v>
      </c>
      <c r="H174" s="90">
        <f>IF(OR((H99/H129)&lt;=0,(H131)&lt;0),"n/m",(H131)/(H99/H129))</f>
        <v>0.23007746318118263</v>
      </c>
      <c r="I174" s="8" t="s">
        <v>462</v>
      </c>
    </row>
    <row r="175" spans="1:10" x14ac:dyDescent="0.3">
      <c r="A175" s="139"/>
      <c r="B175" s="139"/>
      <c r="I175" s="8" t="s">
        <v>412</v>
      </c>
    </row>
    <row r="176" spans="1:10" x14ac:dyDescent="0.3">
      <c r="A176" s="149" t="s">
        <v>9357</v>
      </c>
      <c r="B176" s="149"/>
      <c r="C176" s="92"/>
      <c r="D176" s="92"/>
      <c r="E176" s="92"/>
      <c r="F176" s="92"/>
      <c r="G176" s="92"/>
      <c r="H176" s="92"/>
      <c r="I176" s="8" t="s">
        <v>412</v>
      </c>
    </row>
    <row r="177" spans="1:10" x14ac:dyDescent="0.3">
      <c r="A177" s="149" t="s">
        <v>532</v>
      </c>
      <c r="B177" s="149"/>
      <c r="C177" s="92"/>
      <c r="D177" s="92"/>
      <c r="E177" s="92"/>
      <c r="F177" s="92"/>
      <c r="G177" s="92"/>
      <c r="H177" s="92"/>
      <c r="I177" s="13"/>
      <c r="J177" s="13"/>
    </row>
    <row r="178" spans="1:10" x14ac:dyDescent="0.3">
      <c r="A178" s="149" t="s">
        <v>533</v>
      </c>
      <c r="B178" s="149"/>
      <c r="C178" s="92"/>
      <c r="D178" s="92"/>
      <c r="E178" s="92"/>
      <c r="F178" s="92"/>
      <c r="G178" s="92"/>
      <c r="H178" s="92"/>
      <c r="I178" s="8" t="s">
        <v>462</v>
      </c>
    </row>
    <row r="179" spans="1:10" x14ac:dyDescent="0.3">
      <c r="A179" s="139"/>
      <c r="B179" s="139"/>
      <c r="I179" s="13"/>
      <c r="J179" s="13"/>
    </row>
    <row r="180" spans="1:10" x14ac:dyDescent="0.3">
      <c r="A180" s="139"/>
      <c r="B180" s="139"/>
      <c r="I180" s="8" t="s">
        <v>412</v>
      </c>
    </row>
    <row r="181" spans="1:10" x14ac:dyDescent="0.3">
      <c r="A181" s="139"/>
      <c r="B181" s="139"/>
      <c r="I181" s="8" t="s">
        <v>412</v>
      </c>
    </row>
    <row r="182" spans="1:10" x14ac:dyDescent="0.3">
      <c r="A182" s="139"/>
      <c r="B182" s="139"/>
      <c r="I182" s="8" t="s">
        <v>462</v>
      </c>
    </row>
    <row r="183" spans="1:10" x14ac:dyDescent="0.3">
      <c r="A183" s="146"/>
      <c r="B183" s="147"/>
      <c r="C183" s="13"/>
      <c r="D183" s="13"/>
      <c r="E183" s="13"/>
      <c r="F183" s="13"/>
      <c r="G183" s="13"/>
      <c r="H183" s="13"/>
      <c r="I183" s="13"/>
      <c r="J183" s="13"/>
    </row>
    <row r="184" spans="1:10" x14ac:dyDescent="0.3">
      <c r="A184" s="139"/>
      <c r="B184" s="141"/>
      <c r="C184" s="18"/>
      <c r="D184" s="25"/>
      <c r="E184" s="25"/>
      <c r="F184" s="25"/>
      <c r="G184" s="25"/>
      <c r="H184" s="25"/>
      <c r="I184" s="8"/>
    </row>
    <row r="185" spans="1:10" x14ac:dyDescent="0.3">
      <c r="A185" s="139"/>
      <c r="B185" s="141"/>
      <c r="C185" s="18"/>
      <c r="D185" s="25"/>
      <c r="E185" s="25"/>
      <c r="F185" s="25"/>
      <c r="G185" s="25"/>
      <c r="H185" s="25"/>
      <c r="I185" s="8"/>
    </row>
    <row r="186" spans="1:10" x14ac:dyDescent="0.3">
      <c r="A186" s="139"/>
      <c r="B186" s="141"/>
      <c r="C186" s="18"/>
      <c r="D186" s="26"/>
      <c r="E186" s="26"/>
      <c r="F186" s="26"/>
      <c r="G186" s="26"/>
      <c r="H186" s="26"/>
      <c r="I186" s="8"/>
    </row>
    <row r="187" spans="1:10" x14ac:dyDescent="0.3">
      <c r="A187" s="139"/>
      <c r="B187" s="141"/>
      <c r="C187" s="18"/>
      <c r="D187" s="25"/>
      <c r="E187" s="25"/>
      <c r="F187" s="25"/>
      <c r="G187" s="25"/>
      <c r="H187" s="25"/>
      <c r="I187" s="8"/>
    </row>
    <row r="188" spans="1:10" x14ac:dyDescent="0.3">
      <c r="A188" s="139"/>
      <c r="B188" s="141"/>
      <c r="C188" s="18"/>
      <c r="D188" s="28"/>
      <c r="E188" s="28"/>
      <c r="F188" s="28"/>
      <c r="G188" s="28"/>
      <c r="H188" s="28"/>
      <c r="I188" s="8"/>
    </row>
    <row r="189" spans="1:10" x14ac:dyDescent="0.3">
      <c r="A189" s="139"/>
      <c r="B189" s="141"/>
      <c r="C189" s="18"/>
      <c r="D189" s="27"/>
      <c r="E189" s="27"/>
      <c r="F189" s="27"/>
      <c r="G189" s="27"/>
      <c r="H189" s="27"/>
      <c r="I189" s="8"/>
    </row>
    <row r="190" spans="1:10" x14ac:dyDescent="0.3">
      <c r="A190" s="139"/>
      <c r="B190" s="139"/>
    </row>
    <row r="191" spans="1:10" x14ac:dyDescent="0.3">
      <c r="A191" s="142" t="s">
        <v>534</v>
      </c>
      <c r="B191" s="143"/>
      <c r="C191" s="10"/>
      <c r="D191" s="10"/>
      <c r="E191" s="10"/>
      <c r="F191" s="10"/>
      <c r="G191" s="10"/>
      <c r="H191" s="10"/>
      <c r="I191" s="10"/>
      <c r="J191" s="10"/>
    </row>
    <row r="192" spans="1:10" x14ac:dyDescent="0.3">
      <c r="A192" s="146" t="s">
        <v>535</v>
      </c>
      <c r="B192" s="147"/>
      <c r="C192" s="13"/>
      <c r="D192" s="13"/>
      <c r="E192" s="13"/>
      <c r="F192" s="13"/>
      <c r="G192" s="13"/>
      <c r="H192" s="13"/>
      <c r="I192" s="13"/>
      <c r="J192" s="13"/>
    </row>
    <row r="193" spans="1:10" x14ac:dyDescent="0.3">
      <c r="A193" s="139" t="s">
        <v>536</v>
      </c>
      <c r="B193" s="141" t="s">
        <v>537</v>
      </c>
      <c r="C193" s="29">
        <f t="shared" ref="C193:H193" si="19">IF(C37=0,"n/m",C22/C37)</f>
        <v>0.75535563714987397</v>
      </c>
      <c r="D193" s="29">
        <f t="shared" si="19"/>
        <v>0.62316410340338646</v>
      </c>
      <c r="E193" s="29">
        <f t="shared" si="19"/>
        <v>0.38984076221447433</v>
      </c>
      <c r="F193" s="29">
        <f t="shared" si="19"/>
        <v>0.50345577824702659</v>
      </c>
      <c r="G193" s="29">
        <f t="shared" si="19"/>
        <v>0.74605981554712364</v>
      </c>
      <c r="H193" s="29">
        <f t="shared" si="19"/>
        <v>0.67942668550158891</v>
      </c>
      <c r="I193" t="s">
        <v>412</v>
      </c>
    </row>
    <row r="194" spans="1:10" x14ac:dyDescent="0.3">
      <c r="A194" s="139" t="s">
        <v>538</v>
      </c>
      <c r="B194" s="141" t="s">
        <v>539</v>
      </c>
      <c r="C194" s="29">
        <f t="shared" ref="C194:H194" si="20">IF(C37=0,"n/m",C21/C37)</f>
        <v>9.6138320857948236E-5</v>
      </c>
      <c r="D194" s="29">
        <f t="shared" si="20"/>
        <v>5.9346184982710824E-3</v>
      </c>
      <c r="E194" s="29">
        <f t="shared" si="20"/>
        <v>0.26211674626651771</v>
      </c>
      <c r="F194" s="29">
        <f t="shared" si="20"/>
        <v>0.24873259270393167</v>
      </c>
      <c r="G194" s="29">
        <f t="shared" si="20"/>
        <v>4.7424177166619438E-3</v>
      </c>
      <c r="H194" s="29">
        <f t="shared" si="20"/>
        <v>1.843847479406456E-3</v>
      </c>
      <c r="I194" t="s">
        <v>412</v>
      </c>
    </row>
    <row r="195" spans="1:10" x14ac:dyDescent="0.3">
      <c r="A195" s="139" t="s">
        <v>260</v>
      </c>
      <c r="B195" s="141" t="s">
        <v>540</v>
      </c>
      <c r="C195" s="29">
        <f t="shared" ref="C195:H195" si="21">IF(C37=0,"n/m",C28/C37)</f>
        <v>0.76090998755268946</v>
      </c>
      <c r="D195" s="29">
        <f t="shared" si="21"/>
        <v>0.63471609246395622</v>
      </c>
      <c r="E195" s="29">
        <f t="shared" si="21"/>
        <v>0.75182683168863096</v>
      </c>
      <c r="F195" s="29">
        <f t="shared" si="21"/>
        <v>0.83335914815817669</v>
      </c>
      <c r="G195" s="29">
        <f t="shared" si="21"/>
        <v>0.82535412243028383</v>
      </c>
      <c r="H195" s="29">
        <f t="shared" si="21"/>
        <v>0.7483756601712761</v>
      </c>
      <c r="I195" t="s">
        <v>412</v>
      </c>
    </row>
    <row r="196" spans="1:10" x14ac:dyDescent="0.3">
      <c r="A196" s="139" t="s">
        <v>541</v>
      </c>
      <c r="B196" s="141" t="s">
        <v>542</v>
      </c>
      <c r="C196" s="29">
        <f t="shared" ref="C196:H196" si="22">IF(C37=0,"n/m",C65/C37)</f>
        <v>0.1606948267038292</v>
      </c>
      <c r="D196" s="29">
        <f t="shared" si="22"/>
        <v>0.15975317446895038</v>
      </c>
      <c r="E196" s="29">
        <f t="shared" si="22"/>
        <v>0.1375297490739443</v>
      </c>
      <c r="F196" s="29">
        <f t="shared" si="22"/>
        <v>0.10893662559784105</v>
      </c>
      <c r="G196" s="29">
        <f t="shared" si="22"/>
        <v>0.11240348825054196</v>
      </c>
      <c r="H196" s="29">
        <f t="shared" si="22"/>
        <v>0.12256894270466562</v>
      </c>
      <c r="I196" t="s">
        <v>412</v>
      </c>
    </row>
    <row r="197" spans="1:10" x14ac:dyDescent="0.3">
      <c r="A197" s="139" t="s">
        <v>267</v>
      </c>
      <c r="B197" s="141" t="s">
        <v>543</v>
      </c>
      <c r="C197" s="29">
        <f t="shared" ref="C197:H197" si="23">IF(C37=0,"n/m",C32/C37)</f>
        <v>3.5971070308473914E-2</v>
      </c>
      <c r="D197" s="29">
        <f t="shared" si="23"/>
        <v>4.256989798994374E-2</v>
      </c>
      <c r="E197" s="29">
        <f t="shared" si="23"/>
        <v>2.1220745888252793E-2</v>
      </c>
      <c r="F197" s="29">
        <f t="shared" si="23"/>
        <v>2.5732793174300519E-2</v>
      </c>
      <c r="G197" s="29">
        <f t="shared" si="23"/>
        <v>3.7560146370236497E-2</v>
      </c>
      <c r="H197" s="29">
        <f t="shared" si="23"/>
        <v>4.2968782324365538E-2</v>
      </c>
      <c r="I197" t="s">
        <v>412</v>
      </c>
    </row>
    <row r="198" spans="1:10" x14ac:dyDescent="0.3">
      <c r="A198" s="139" t="s">
        <v>269</v>
      </c>
      <c r="B198" s="141" t="s">
        <v>544</v>
      </c>
      <c r="C198" s="29">
        <f t="shared" ref="C198:H198" si="24">IF(C37=0,"n/m",C33/C37)</f>
        <v>0</v>
      </c>
      <c r="D198" s="29">
        <f t="shared" si="24"/>
        <v>0.12914569386070474</v>
      </c>
      <c r="E198" s="29">
        <f t="shared" si="24"/>
        <v>3.380013190548508E-2</v>
      </c>
      <c r="F198" s="29">
        <f t="shared" si="24"/>
        <v>1.8007830193537283E-3</v>
      </c>
      <c r="G198" s="29">
        <f t="shared" si="24"/>
        <v>1.6933504950567746E-3</v>
      </c>
      <c r="H198" s="29">
        <f t="shared" si="24"/>
        <v>5.7260648843396253E-2</v>
      </c>
      <c r="I198" t="s">
        <v>412</v>
      </c>
    </row>
    <row r="199" spans="1:10" x14ac:dyDescent="0.3">
      <c r="A199" s="139" t="s">
        <v>545</v>
      </c>
      <c r="B199" s="141" t="s">
        <v>546</v>
      </c>
      <c r="C199" s="29">
        <f t="shared" ref="C199:H199" si="25">IF(C37=0,"n/m",C34/C37)</f>
        <v>1.9213079084450944E-2</v>
      </c>
      <c r="D199" s="29">
        <f t="shared" si="25"/>
        <v>2.645283358966994E-2</v>
      </c>
      <c r="E199" s="29">
        <f t="shared" si="25"/>
        <v>2.0287352793134747E-2</v>
      </c>
      <c r="F199" s="29">
        <f t="shared" si="25"/>
        <v>6.990329946451844E-3</v>
      </c>
      <c r="G199" s="29">
        <f t="shared" si="25"/>
        <v>1.9866279633574395E-2</v>
      </c>
      <c r="H199" s="29">
        <f t="shared" si="25"/>
        <v>1.6570828033024624E-2</v>
      </c>
      <c r="I199" t="s">
        <v>412</v>
      </c>
    </row>
    <row r="200" spans="1:10" x14ac:dyDescent="0.3">
      <c r="A200" s="139" t="s">
        <v>275</v>
      </c>
      <c r="B200" s="141" t="s">
        <v>547</v>
      </c>
      <c r="C200" s="29">
        <f t="shared" ref="C200:H200" si="26">IF(C37=0,"n/m",C36/C37)</f>
        <v>0.23909001244731054</v>
      </c>
      <c r="D200" s="29">
        <f t="shared" si="26"/>
        <v>0.36528390753604367</v>
      </c>
      <c r="E200" s="29">
        <f t="shared" si="26"/>
        <v>0.24817316831136904</v>
      </c>
      <c r="F200" s="29">
        <f t="shared" si="26"/>
        <v>0.16664085184182323</v>
      </c>
      <c r="G200" s="29">
        <f t="shared" si="26"/>
        <v>0.17464587756971611</v>
      </c>
      <c r="H200" s="29">
        <f t="shared" si="26"/>
        <v>0.25162433982872384</v>
      </c>
      <c r="I200" t="s">
        <v>412</v>
      </c>
    </row>
    <row r="201" spans="1:10" x14ac:dyDescent="0.3">
      <c r="A201" s="139" t="s">
        <v>284</v>
      </c>
      <c r="B201" s="141" t="s">
        <v>548</v>
      </c>
      <c r="C201" s="29">
        <f t="shared" ref="C201:H201" si="27">IF(C37=0,"n/m",C41/C37)</f>
        <v>0.6780463214150575</v>
      </c>
      <c r="D201" s="29">
        <f t="shared" si="27"/>
        <v>0.68352851829297179</v>
      </c>
      <c r="E201" s="29">
        <f t="shared" si="27"/>
        <v>0.50780151717077837</v>
      </c>
      <c r="F201" s="29">
        <f t="shared" si="27"/>
        <v>0.46946944185385797</v>
      </c>
      <c r="G201" s="29">
        <f t="shared" si="27"/>
        <v>0.49715993625659771</v>
      </c>
      <c r="H201" s="29">
        <f t="shared" si="27"/>
        <v>0.52393364996532588</v>
      </c>
      <c r="I201" t="s">
        <v>412</v>
      </c>
    </row>
    <row r="202" spans="1:10" x14ac:dyDescent="0.3">
      <c r="A202" s="139" t="s">
        <v>549</v>
      </c>
      <c r="B202" s="141" t="s">
        <v>550</v>
      </c>
      <c r="C202" s="29">
        <f t="shared" ref="C202:H202" si="28">IF(C37=0,"n/m",C67/C37)</f>
        <v>1.7289251311185642E-2</v>
      </c>
      <c r="D202" s="29">
        <f t="shared" si="28"/>
        <v>1.6594947919858761E-2</v>
      </c>
      <c r="E202" s="29">
        <f t="shared" si="28"/>
        <v>0.1727906268810509</v>
      </c>
      <c r="F202" s="29">
        <f t="shared" si="28"/>
        <v>0.22975152572601862</v>
      </c>
      <c r="G202" s="29">
        <f t="shared" si="28"/>
        <v>0.203376413547186</v>
      </c>
      <c r="H202" s="29">
        <f t="shared" si="28"/>
        <v>0.15113814624398686</v>
      </c>
      <c r="I202" t="s">
        <v>412</v>
      </c>
    </row>
    <row r="203" spans="1:10" x14ac:dyDescent="0.3">
      <c r="A203" s="139" t="s">
        <v>297</v>
      </c>
      <c r="B203" s="141" t="s">
        <v>551</v>
      </c>
      <c r="C203" s="29">
        <f t="shared" ref="C203:H203" si="29">IF(C37=0,"n/m",C48/C37)</f>
        <v>0.14452034167723574</v>
      </c>
      <c r="D203" s="29">
        <f t="shared" si="29"/>
        <v>0.13551449830115389</v>
      </c>
      <c r="E203" s="29">
        <f t="shared" si="29"/>
        <v>0.25717909019692564</v>
      </c>
      <c r="F203" s="29">
        <f t="shared" si="29"/>
        <v>0.32533597911097462</v>
      </c>
      <c r="G203" s="29">
        <f t="shared" si="29"/>
        <v>0.32086945636587655</v>
      </c>
      <c r="H203" s="29">
        <f t="shared" si="29"/>
        <v>0.28558818398244801</v>
      </c>
      <c r="I203" t="s">
        <v>412</v>
      </c>
    </row>
    <row r="204" spans="1:10" x14ac:dyDescent="0.3">
      <c r="A204" s="139" t="s">
        <v>300</v>
      </c>
      <c r="B204" s="141" t="s">
        <v>552</v>
      </c>
      <c r="C204" s="29">
        <f t="shared" ref="C204:H204" si="30">IF(C37=0,"n/m",C50/C37)</f>
        <v>3.9826395008805152E-2</v>
      </c>
      <c r="D204" s="29">
        <f t="shared" si="30"/>
        <v>5.3524892392513138E-2</v>
      </c>
      <c r="E204" s="29">
        <f t="shared" si="30"/>
        <v>6.0837871514748655E-2</v>
      </c>
      <c r="F204" s="29">
        <f t="shared" si="30"/>
        <v>4.6938936463455337E-2</v>
      </c>
      <c r="G204" s="29">
        <f t="shared" si="30"/>
        <v>4.1377290282791496E-2</v>
      </c>
      <c r="H204" s="29">
        <f t="shared" si="30"/>
        <v>2.4461458720267237E-2</v>
      </c>
      <c r="I204" t="s">
        <v>412</v>
      </c>
    </row>
    <row r="205" spans="1:10" x14ac:dyDescent="0.3">
      <c r="A205" s="139" t="s">
        <v>553</v>
      </c>
      <c r="B205" s="141" t="s">
        <v>554</v>
      </c>
      <c r="C205" s="29">
        <f t="shared" ref="C205:H205" si="31">IF(C37=0,"n/m",C66/C37)</f>
        <v>9.2502286024103889E-2</v>
      </c>
      <c r="D205" s="29">
        <f t="shared" si="31"/>
        <v>7.5416174640657183E-2</v>
      </c>
      <c r="E205" s="29">
        <f t="shared" si="31"/>
        <v>0.22795134872861569</v>
      </c>
      <c r="F205" s="29">
        <f t="shared" si="31"/>
        <v>0.29283610266269761</v>
      </c>
      <c r="G205" s="29">
        <f t="shared" si="31"/>
        <v>0.24783707833261251</v>
      </c>
      <c r="H205" s="29">
        <f t="shared" si="31"/>
        <v>0.24891306821849585</v>
      </c>
      <c r="I205" t="s">
        <v>412</v>
      </c>
    </row>
    <row r="206" spans="1:10" x14ac:dyDescent="0.3">
      <c r="A206" s="139" t="s">
        <v>322</v>
      </c>
      <c r="B206" s="141" t="s">
        <v>555</v>
      </c>
      <c r="C206" s="29">
        <f t="shared" ref="C206:H206" si="32">IF(C37=0,"n/m",C61/C37)</f>
        <v>0.1774333369077068</v>
      </c>
      <c r="D206" s="29">
        <f t="shared" si="32"/>
        <v>0.18095698340587432</v>
      </c>
      <c r="E206" s="29">
        <f t="shared" si="32"/>
        <v>0.23501939263229576</v>
      </c>
      <c r="F206" s="29">
        <f t="shared" si="32"/>
        <v>0.20519457903516741</v>
      </c>
      <c r="G206" s="29">
        <f t="shared" si="32"/>
        <v>0.18197060737752579</v>
      </c>
      <c r="H206" s="29">
        <f t="shared" si="32"/>
        <v>0.19047816605222589</v>
      </c>
      <c r="I206" t="s">
        <v>412</v>
      </c>
    </row>
    <row r="207" spans="1:10" x14ac:dyDescent="0.3">
      <c r="A207" s="139" t="s">
        <v>325</v>
      </c>
      <c r="B207" s="141" t="s">
        <v>556</v>
      </c>
      <c r="C207" s="29">
        <f t="shared" ref="C207:H207" si="33">IF(C37=0,"n/m",C62/C37)</f>
        <v>0.32195367858494256</v>
      </c>
      <c r="D207" s="29">
        <f t="shared" si="33"/>
        <v>0.31647148170702821</v>
      </c>
      <c r="E207" s="29">
        <f t="shared" si="33"/>
        <v>0.49219848282922141</v>
      </c>
      <c r="F207" s="29">
        <f t="shared" si="33"/>
        <v>0.53053055814614203</v>
      </c>
      <c r="G207" s="29">
        <f t="shared" si="33"/>
        <v>0.5028400637434024</v>
      </c>
      <c r="H207" s="29">
        <f t="shared" si="33"/>
        <v>0.4760663500346739</v>
      </c>
      <c r="I207" t="s">
        <v>412</v>
      </c>
    </row>
    <row r="208" spans="1:10" x14ac:dyDescent="0.3">
      <c r="A208" s="146" t="s">
        <v>557</v>
      </c>
      <c r="B208" s="147"/>
      <c r="C208" s="13"/>
      <c r="D208" s="13"/>
      <c r="E208" s="13"/>
      <c r="F208" s="13"/>
      <c r="G208" s="13"/>
      <c r="H208" s="13"/>
      <c r="I208" s="13"/>
      <c r="J208" s="13"/>
    </row>
    <row r="209" spans="1:10" x14ac:dyDescent="0.3">
      <c r="A209" s="139" t="s">
        <v>360</v>
      </c>
      <c r="B209" s="141" t="s">
        <v>558</v>
      </c>
      <c r="C209" s="18"/>
      <c r="D209" s="29">
        <f>IF(D84=0,"n/m",D85/D84)</f>
        <v>-0.75014075274547687</v>
      </c>
      <c r="E209" s="29">
        <f>IF(E84=0,"n/m",E85/E84)</f>
        <v>-0.71492096011147444</v>
      </c>
      <c r="F209" s="29">
        <f>IF(F84=0,"n/m",F85/F84)</f>
        <v>-0.70003395951789227</v>
      </c>
      <c r="G209" s="29">
        <f>IF(G84=0,"n/m",G85/G84)</f>
        <v>-0.67910013649775269</v>
      </c>
      <c r="H209" s="29">
        <f>IF(H84=0,"n/m",H85/H84)</f>
        <v>-0.64509157797070948</v>
      </c>
      <c r="I209" t="s">
        <v>412</v>
      </c>
    </row>
    <row r="210" spans="1:10" x14ac:dyDescent="0.3">
      <c r="A210" s="139" t="s">
        <v>362</v>
      </c>
      <c r="B210" s="141" t="s">
        <v>559</v>
      </c>
      <c r="C210" s="18"/>
      <c r="D210" s="29">
        <f>IF(D84=0,"n/m",D86/D84)</f>
        <v>0.24985924725452316</v>
      </c>
      <c r="E210" s="29">
        <f>IF(E84=0,"n/m",E86/E84)</f>
        <v>0.28507903988852556</v>
      </c>
      <c r="F210" s="29">
        <f>IF(F84=0,"n/m",F86/F84)</f>
        <v>0.29996604048210768</v>
      </c>
      <c r="G210" s="29">
        <f>IF(G84=0,"n/m",G86/G84)</f>
        <v>0.32089986350224731</v>
      </c>
      <c r="H210" s="29">
        <f>IF(H84=0,"n/m",H86/H84)</f>
        <v>0.35490842202929052</v>
      </c>
      <c r="I210" t="s">
        <v>412</v>
      </c>
    </row>
    <row r="211" spans="1:10" x14ac:dyDescent="0.3">
      <c r="A211" s="139" t="s">
        <v>560</v>
      </c>
      <c r="B211" s="141" t="s">
        <v>561</v>
      </c>
      <c r="C211" s="18"/>
      <c r="D211" s="29">
        <f>IF(D84=0,"n/m",D87/D84)</f>
        <v>-7.8091044623306927E-3</v>
      </c>
      <c r="E211" s="29">
        <f>IF(E84=0,"n/m",E87/E84)</f>
        <v>-2.9558090668755435E-2</v>
      </c>
      <c r="F211" s="29">
        <f>IF(F84=0,"n/m",F87/F84)</f>
        <v>-3.9742787355976514E-2</v>
      </c>
      <c r="G211" s="29">
        <f>IF(G84=0,"n/m",G87/G84)</f>
        <v>-4.106057681640516E-2</v>
      </c>
      <c r="H211" s="29">
        <f>IF(H84=0,"n/m",H87/H84)</f>
        <v>-3.2995280560591492E-2</v>
      </c>
      <c r="I211" t="s">
        <v>412</v>
      </c>
    </row>
    <row r="212" spans="1:10" x14ac:dyDescent="0.3">
      <c r="A212" s="139" t="s">
        <v>562</v>
      </c>
      <c r="B212" s="141" t="s">
        <v>563</v>
      </c>
      <c r="C212" s="18"/>
      <c r="D212" s="29">
        <f>IF(D84=0,"n/m",D88/D84)</f>
        <v>-2.1618509279586966E-2</v>
      </c>
      <c r="E212" s="29">
        <f>IF(E84=0,"n/m",E88/E84)</f>
        <v>-2.3955831595079028E-2</v>
      </c>
      <c r="F212" s="29">
        <f>IF(F84=0,"n/m",F88/F84)</f>
        <v>-2.029745223403414E-2</v>
      </c>
      <c r="G212" s="29">
        <f>IF(G84=0,"n/m",G88/G84)</f>
        <v>-1.8944364563686911E-2</v>
      </c>
      <c r="H212" s="29">
        <f>IF(H84=0,"n/m",H88/H84)</f>
        <v>-1.8985563342947341E-2</v>
      </c>
      <c r="I212" t="s">
        <v>412</v>
      </c>
    </row>
    <row r="213" spans="1:10" x14ac:dyDescent="0.3">
      <c r="A213" s="139" t="s">
        <v>564</v>
      </c>
      <c r="B213" s="141" t="s">
        <v>565</v>
      </c>
      <c r="C213" s="18"/>
      <c r="D213" s="29">
        <f>IF(D84=0,"n/m",(D90+D89)/D84)</f>
        <v>-1.5571734253048407E-2</v>
      </c>
      <c r="E213" s="29">
        <f>IF(E84=0,"n/m",(E90+E89)/E84)</f>
        <v>-1.4913670707498784E-2</v>
      </c>
      <c r="F213" s="29">
        <f>IF(F84=0,"n/m",(F90+F89)/F84)</f>
        <v>-1.1019331744971246E-2</v>
      </c>
      <c r="G213" s="29">
        <f>IF(G84=0,"n/m",(G90+G89)/G84)</f>
        <v>-1.0332550231720286E-2</v>
      </c>
      <c r="H213" s="29">
        <f>IF(H84=0,"n/m",(H90+H89)/H84)</f>
        <v>-1.6629238562994645E-2</v>
      </c>
      <c r="I213" t="s">
        <v>412</v>
      </c>
    </row>
    <row r="214" spans="1:10" x14ac:dyDescent="0.3">
      <c r="A214" s="139" t="s">
        <v>566</v>
      </c>
      <c r="B214" s="141" t="s">
        <v>567</v>
      </c>
      <c r="C214" s="18"/>
      <c r="D214" s="29">
        <f>IF(D84=0,"n/m",D91/D84)</f>
        <v>0.20485989925955708</v>
      </c>
      <c r="E214" s="29">
        <f>IF(E84=0,"n/m",E91/E84)</f>
        <v>0.21665144691719232</v>
      </c>
      <c r="F214" s="29">
        <f>IF(F84=0,"n/m",F91/F84)</f>
        <v>0.22890646914712581</v>
      </c>
      <c r="G214" s="29">
        <f>IF(G84=0,"n/m",G91/G84)</f>
        <v>0.25056237189043495</v>
      </c>
      <c r="H214" s="29">
        <f>IF(H84=0,"n/m",H91/H84)</f>
        <v>0.28629833956275708</v>
      </c>
      <c r="I214" t="s">
        <v>412</v>
      </c>
    </row>
    <row r="215" spans="1:10" x14ac:dyDescent="0.3">
      <c r="A215" s="139" t="s">
        <v>374</v>
      </c>
      <c r="B215" s="141" t="s">
        <v>568</v>
      </c>
      <c r="C215" s="18"/>
      <c r="D215" s="29">
        <f>IF(D84=0,"n/m",(D92+D93+D94)/D84)</f>
        <v>1.0098435249719987E-2</v>
      </c>
      <c r="E215" s="29">
        <f>IF(E84=0,"n/m",(E92+E93+E94)/E84)</f>
        <v>1.8027263845710344E-2</v>
      </c>
      <c r="F215" s="29">
        <f>IF(F84=0,"n/m",(F92+F93+F94)/F84)</f>
        <v>1.4160205186239512E-2</v>
      </c>
      <c r="G215" s="29">
        <f>IF(G84=0,"n/m",(G92+G93+G94)/G84)</f>
        <v>1.0492697731366216E-2</v>
      </c>
      <c r="H215" s="29">
        <f>IF(H84=0,"n/m",(H92+H93+H94)/H84)</f>
        <v>2.0567429446952893E-2</v>
      </c>
      <c r="I215" t="s">
        <v>412</v>
      </c>
    </row>
    <row r="216" spans="1:10" x14ac:dyDescent="0.3">
      <c r="A216" s="139" t="s">
        <v>380</v>
      </c>
      <c r="B216" s="141" t="s">
        <v>569</v>
      </c>
      <c r="C216" s="18"/>
      <c r="D216" s="29">
        <f>IF(D84=0,"n/m",D95/D84)</f>
        <v>-4.5165717431112527E-3</v>
      </c>
      <c r="E216" s="29">
        <f>IF(E84=0,"n/m",E95/E84)</f>
        <v>-2.2152340136494367E-2</v>
      </c>
      <c r="F216" s="29">
        <f>IF(F84=0,"n/m",F95/F84)</f>
        <v>-5.3552276341037347E-2</v>
      </c>
      <c r="G216" s="29">
        <f>IF(G84=0,"n/m",G95/G84)</f>
        <v>-6.9181045723685636E-2</v>
      </c>
      <c r="H216" s="29">
        <f>IF(H84=0,"n/m",H95/H84)</f>
        <v>-6.4887255687982079E-2</v>
      </c>
      <c r="I216" t="s">
        <v>412</v>
      </c>
    </row>
    <row r="217" spans="1:10" x14ac:dyDescent="0.3">
      <c r="A217" s="139" t="s">
        <v>570</v>
      </c>
      <c r="B217" s="141" t="s">
        <v>571</v>
      </c>
      <c r="C217" s="18"/>
      <c r="D217" s="29">
        <f>IF(D84=0,"n/m",D96/D84)</f>
        <v>0.21044176276616583</v>
      </c>
      <c r="E217" s="29">
        <f>IF(E84=0,"n/m",E96/E84)</f>
        <v>0.21252637062640831</v>
      </c>
      <c r="F217" s="29">
        <f>IF(F84=0,"n/m",F96/F84)</f>
        <v>0.18951439799232797</v>
      </c>
      <c r="G217" s="29">
        <f>IF(G84=0,"n/m",G96/G84)</f>
        <v>0.19187402389811553</v>
      </c>
      <c r="H217" s="29">
        <f>IF(H84=0,"n/m",H96/H84)</f>
        <v>0.24197851332172784</v>
      </c>
      <c r="I217" t="s">
        <v>412</v>
      </c>
    </row>
    <row r="218" spans="1:10" x14ac:dyDescent="0.3">
      <c r="A218" s="139" t="s">
        <v>572</v>
      </c>
      <c r="B218" s="141" t="s">
        <v>573</v>
      </c>
      <c r="C218" s="18"/>
      <c r="D218" s="29">
        <f>IF(D84=0,"n/m",-D110/D84)</f>
        <v>-6.7418803742776701E-2</v>
      </c>
      <c r="E218" s="29">
        <f>IF(E84=0,"n/m",-E110/E84)</f>
        <v>-8.140300858073829E-2</v>
      </c>
      <c r="F218" s="29">
        <f>IF(F84=0,"n/m",-F110/F84)</f>
        <v>-8.0218680725910985E-2</v>
      </c>
      <c r="G218" s="29">
        <f>IF(G84=0,"n/m",-G110/G84)</f>
        <v>-8.9118759642620157E-2</v>
      </c>
      <c r="H218" s="29">
        <f>IF(H84=0,"n/m",-H110/H84)</f>
        <v>-9.2172397223950153E-2</v>
      </c>
      <c r="I218" t="s">
        <v>412</v>
      </c>
    </row>
    <row r="219" spans="1:10" x14ac:dyDescent="0.3">
      <c r="A219" s="139" t="s">
        <v>574</v>
      </c>
      <c r="B219" s="141" t="s">
        <v>575</v>
      </c>
      <c r="C219" s="18"/>
      <c r="D219" s="29">
        <f>IF(D84=0,"n/m",D99/D84)</f>
        <v>0.14302295902338913</v>
      </c>
      <c r="E219" s="29">
        <f>IF(E84=0,"n/m",E99/E84)</f>
        <v>0.13112336204567002</v>
      </c>
      <c r="F219" s="29">
        <f>IF(F84=0,"n/m",F99/F84)</f>
        <v>0.10929571726641699</v>
      </c>
      <c r="G219" s="29">
        <f>IF(G84=0,"n/m",G99/G84)</f>
        <v>0.10275526425549537</v>
      </c>
      <c r="H219" s="29">
        <f>IF(H84=0,"n/m",H99/H84)</f>
        <v>0.14980611609777766</v>
      </c>
      <c r="I219" t="s">
        <v>412</v>
      </c>
    </row>
    <row r="220" spans="1:10" x14ac:dyDescent="0.3">
      <c r="A220" s="139"/>
      <c r="B220" s="141"/>
      <c r="C220" s="18"/>
      <c r="D220" s="29"/>
      <c r="E220" s="29"/>
      <c r="F220" s="29"/>
      <c r="G220" s="29"/>
      <c r="H220" s="29"/>
      <c r="I220" t="s">
        <v>412</v>
      </c>
    </row>
    <row r="221" spans="1:10" x14ac:dyDescent="0.3">
      <c r="A221" s="139"/>
      <c r="B221" s="139"/>
    </row>
    <row r="222" spans="1:10" x14ac:dyDescent="0.3">
      <c r="A222" s="142" t="s">
        <v>576</v>
      </c>
      <c r="B222" s="143"/>
      <c r="C222" s="10"/>
      <c r="D222" s="10"/>
      <c r="E222" s="10"/>
      <c r="F222" s="10"/>
      <c r="G222" s="10"/>
      <c r="H222" s="10"/>
      <c r="I222" s="10"/>
      <c r="J222" s="10"/>
    </row>
    <row r="223" spans="1:10" x14ac:dyDescent="0.3">
      <c r="A223" s="139" t="s">
        <v>577</v>
      </c>
      <c r="B223" s="141" t="s">
        <v>578</v>
      </c>
      <c r="C223" s="18"/>
      <c r="D223" s="30" t="s">
        <v>579</v>
      </c>
      <c r="E223" s="31">
        <f>E84-D84</f>
        <v>29971.833000000002</v>
      </c>
      <c r="F223" s="31">
        <f>F84-E84</f>
        <v>13826.164000000004</v>
      </c>
      <c r="G223" s="31">
        <f>G84-F84</f>
        <v>11956.943999999989</v>
      </c>
      <c r="H223" s="31">
        <f>H84-G84</f>
        <v>8930.101999999999</v>
      </c>
      <c r="I223" t="s">
        <v>245</v>
      </c>
    </row>
    <row r="224" spans="1:10" x14ac:dyDescent="0.3">
      <c r="A224" s="139" t="s">
        <v>580</v>
      </c>
      <c r="B224" s="141" t="s">
        <v>581</v>
      </c>
      <c r="C224" s="18"/>
      <c r="D224" s="30" t="str">
        <f>IF(OR(C84&lt;=0,D84&lt;C84),"n/m",D84/C84-1)</f>
        <v>n/m</v>
      </c>
      <c r="E224" s="29">
        <f>IF(OR(D84&lt;=0,E84&lt;D84),"n/m",E84/D84-1)</f>
        <v>1.234867993186187</v>
      </c>
      <c r="F224" s="29">
        <f>IF(OR(E84&lt;=0,F84&lt;E84),"n/m",F84/E84-1)</f>
        <v>0.25489250083300896</v>
      </c>
      <c r="G224" s="29">
        <f>IF(OR(F84&lt;=0,G84&lt;F84),"n/m",G84/F84-1)</f>
        <v>0.17565844164479349</v>
      </c>
      <c r="H224" s="29">
        <f>IF(OR(G84&lt;=0,H84&lt;G84),"n/m",H84/G84-1)</f>
        <v>0.11158969310885669</v>
      </c>
      <c r="I224" t="s">
        <v>412</v>
      </c>
    </row>
    <row r="225" spans="1:9" x14ac:dyDescent="0.3">
      <c r="A225" s="139" t="s">
        <v>582</v>
      </c>
      <c r="B225" s="141" t="s">
        <v>578</v>
      </c>
      <c r="C225" s="18"/>
      <c r="D225" s="30" t="s">
        <v>579</v>
      </c>
      <c r="E225" s="31">
        <f>E86-D86</f>
        <v>9399.1710000000021</v>
      </c>
      <c r="F225" s="31">
        <f>F86-E86</f>
        <v>4954.8970000000045</v>
      </c>
      <c r="G225" s="31">
        <f>G86-F86</f>
        <v>5261.9319999999861</v>
      </c>
      <c r="H225" s="31">
        <f>H86-G86</f>
        <v>5890.9449999999997</v>
      </c>
      <c r="I225" t="s">
        <v>245</v>
      </c>
    </row>
    <row r="226" spans="1:9" x14ac:dyDescent="0.3">
      <c r="A226" s="139" t="s">
        <v>583</v>
      </c>
      <c r="B226" s="141" t="s">
        <v>581</v>
      </c>
      <c r="C226" s="18"/>
      <c r="D226" s="30" t="str">
        <f>IF(OR(C86&lt;=0,D86&lt;C86),"n/m",D86/C86-1)</f>
        <v>n/m</v>
      </c>
      <c r="E226" s="29">
        <f>IF(OR(D86&lt;=0,E86&lt;D86),"n/m",E86/D86-1)</f>
        <v>1.5498917041325577</v>
      </c>
      <c r="F226" s="29">
        <f>IF(OR(E86&lt;=0,F86&lt;E86),"n/m",F86/E86-1)</f>
        <v>0.32042374933197881</v>
      </c>
      <c r="G226" s="29">
        <f>IF(OR(F86&lt;=0,G86&lt;F86),"n/m",G86/F86-1)</f>
        <v>0.25770448162308646</v>
      </c>
      <c r="H226" s="29">
        <f>IF(OR(G86&lt;=0,H86&lt;G86),"n/m",H86/G86-1)</f>
        <v>0.22939455199402037</v>
      </c>
      <c r="I226" t="s">
        <v>412</v>
      </c>
    </row>
    <row r="227" spans="1:9" x14ac:dyDescent="0.3">
      <c r="A227" s="139" t="s">
        <v>584</v>
      </c>
      <c r="B227" s="141" t="s">
        <v>578</v>
      </c>
      <c r="C227" s="18"/>
      <c r="D227" s="30" t="s">
        <v>579</v>
      </c>
      <c r="E227" s="31">
        <f>E91-D91</f>
        <v>6779.6370000000015</v>
      </c>
      <c r="F227" s="31">
        <f>F91-E91</f>
        <v>3829.6490000000067</v>
      </c>
      <c r="G227" s="31">
        <f>G91-F91</f>
        <v>4470.0619999999872</v>
      </c>
      <c r="H227" s="31">
        <f>H91-G91</f>
        <v>5416.4879999999976</v>
      </c>
      <c r="I227" t="s">
        <v>245</v>
      </c>
    </row>
    <row r="228" spans="1:9" x14ac:dyDescent="0.3">
      <c r="A228" s="139" t="s">
        <v>585</v>
      </c>
      <c r="B228" s="141" t="s">
        <v>581</v>
      </c>
      <c r="C228" s="18"/>
      <c r="D228" s="30" t="str">
        <f>IF(OR(C91&lt;=0,D91&lt;C91),"n/m",D91/C91-1)</f>
        <v>n/m</v>
      </c>
      <c r="E228" s="29">
        <f>IF(OR(D91&lt;=0,E91&lt;D91),"n/m",E91/D91-1)</f>
        <v>1.3635049423667094</v>
      </c>
      <c r="F228" s="29">
        <f>IF(OR(E91&lt;=0,F91&lt;E91),"n/m",F91/E91-1)</f>
        <v>0.325876266289989</v>
      </c>
      <c r="G228" s="29">
        <f>IF(OR(F91&lt;=0,G91&lt;F91),"n/m",G91/F91-1)</f>
        <v>0.28688266770738724</v>
      </c>
      <c r="H228" s="29">
        <f>IF(OR(G91&lt;=0,H91&lt;G91),"n/m",H91/G91-1)</f>
        <v>0.27012799651857522</v>
      </c>
      <c r="I228" t="s">
        <v>412</v>
      </c>
    </row>
    <row r="229" spans="1:9" x14ac:dyDescent="0.3">
      <c r="A229" s="139"/>
      <c r="B229" s="141"/>
      <c r="C229" s="18"/>
      <c r="D229" s="30"/>
      <c r="E229" s="31"/>
      <c r="F229" s="31"/>
      <c r="G229" s="31"/>
      <c r="H229" s="31"/>
      <c r="I229" t="s">
        <v>245</v>
      </c>
    </row>
    <row r="230" spans="1:9" x14ac:dyDescent="0.3">
      <c r="A230" s="139"/>
      <c r="B230" s="141"/>
      <c r="C230" s="18"/>
      <c r="D230" s="30"/>
      <c r="E230" s="29"/>
      <c r="F230" s="29"/>
      <c r="G230" s="29"/>
      <c r="H230" s="29"/>
      <c r="I230" t="s">
        <v>412</v>
      </c>
    </row>
    <row r="231" spans="1:9" x14ac:dyDescent="0.3">
      <c r="A231" s="139" t="s">
        <v>586</v>
      </c>
      <c r="B231" s="141" t="s">
        <v>578</v>
      </c>
      <c r="C231" s="18"/>
      <c r="D231" s="30" t="s">
        <v>579</v>
      </c>
      <c r="E231" s="31">
        <f>E99-D99</f>
        <v>3641.1890000000017</v>
      </c>
      <c r="F231" s="31">
        <f>F99-E99</f>
        <v>327.1410000000069</v>
      </c>
      <c r="G231" s="31">
        <f>G99-F99</f>
        <v>783.43499999998676</v>
      </c>
      <c r="H231" s="31">
        <f>H99-G99</f>
        <v>5103.0859999999957</v>
      </c>
      <c r="I231" t="s">
        <v>245</v>
      </c>
    </row>
    <row r="232" spans="1:9" x14ac:dyDescent="0.3">
      <c r="A232" s="139" t="s">
        <v>587</v>
      </c>
      <c r="B232" s="141" t="s">
        <v>581</v>
      </c>
      <c r="C232" s="18"/>
      <c r="D232" s="30" t="str">
        <f>IF(OR(C99&lt;=0,D99&lt;C99),"n/m",D99/C99-1)</f>
        <v>n/m</v>
      </c>
      <c r="E232" s="29">
        <f>IF(OR(D99&lt;=0,E99&lt;D99),"n/m",E99/D99-1)</f>
        <v>1.0489256200251726</v>
      </c>
      <c r="F232" s="29">
        <f>IF(OR(E99&lt;=0,F99&lt;E99),"n/m",F99/E99-1)</f>
        <v>4.5994961012522539E-2</v>
      </c>
      <c r="G232" s="29">
        <f>IF(OR(F99&lt;=0,G99&lt;F99),"n/m",G99/F99-1)</f>
        <v>0.1053049183157162</v>
      </c>
      <c r="H232" s="29">
        <f>IF(OR(G99&lt;=0,H99&lt;G99),"n/m",H99/G99-1)</f>
        <v>0.62057813607396506</v>
      </c>
      <c r="I232" t="s">
        <v>412</v>
      </c>
    </row>
    <row r="233" spans="1:9" x14ac:dyDescent="0.3">
      <c r="A233" s="139" t="s">
        <v>588</v>
      </c>
      <c r="B233" s="141" t="s">
        <v>578</v>
      </c>
      <c r="C233" s="18"/>
      <c r="D233" s="30" t="s">
        <v>579</v>
      </c>
      <c r="E233" s="31">
        <f>E117-D117</f>
        <v>1828.4670000000006</v>
      </c>
      <c r="F233" s="31">
        <f>F117-E117</f>
        <v>8463.4339999999993</v>
      </c>
      <c r="G233" s="31">
        <f>G117-F117</f>
        <v>6253.6090000000004</v>
      </c>
      <c r="H233" s="31">
        <f>H117-G117</f>
        <v>2028.6009999999987</v>
      </c>
      <c r="I233" t="s">
        <v>245</v>
      </c>
    </row>
    <row r="234" spans="1:9" x14ac:dyDescent="0.3">
      <c r="A234" s="139" t="s">
        <v>589</v>
      </c>
      <c r="B234" s="141" t="s">
        <v>581</v>
      </c>
      <c r="C234" s="18"/>
      <c r="D234" s="30" t="str">
        <f>IF(OR(C117&lt;=0,D117&lt;C117),"n/m",D117/C117-1)</f>
        <v>n/m</v>
      </c>
      <c r="E234" s="29">
        <f>IF(OR(D117&lt;=0,E117&lt;D117),"n/m",E117/D117-1)</f>
        <v>0.31859837880419173</v>
      </c>
      <c r="F234" s="29">
        <f>IF(OR(E117&lt;=0,F117&lt;E117),"n/m",F117/E117-1)</f>
        <v>1.1183828772376421</v>
      </c>
      <c r="G234" s="29">
        <f>IF(OR(F117&lt;=0,G117&lt;F117),"n/m",G117/F117-1)</f>
        <v>0.39009480258184803</v>
      </c>
      <c r="H234" s="29">
        <f>IF(OR(G117&lt;=0,H117&lt;G117),"n/m",H117/G117-1)</f>
        <v>9.1031490930039594E-2</v>
      </c>
      <c r="I234" t="s">
        <v>412</v>
      </c>
    </row>
    <row r="235" spans="1:9" x14ac:dyDescent="0.3">
      <c r="A235" s="139" t="s">
        <v>590</v>
      </c>
      <c r="B235" s="141" t="s">
        <v>578</v>
      </c>
      <c r="C235" s="18"/>
      <c r="D235" s="31">
        <f>D37-C37</f>
        <v>4844.3150000000023</v>
      </c>
      <c r="E235" s="31">
        <f>E37-D37</f>
        <v>79645.84600000002</v>
      </c>
      <c r="F235" s="31">
        <f>F37-E37</f>
        <v>25130.419999999984</v>
      </c>
      <c r="G235" s="31">
        <f>G37-F37</f>
        <v>8807.801999999996</v>
      </c>
      <c r="H235" s="31">
        <f>H37-G37</f>
        <v>13208.892000000022</v>
      </c>
      <c r="I235" t="s">
        <v>245</v>
      </c>
    </row>
    <row r="236" spans="1:9" x14ac:dyDescent="0.3">
      <c r="A236" s="139" t="s">
        <v>591</v>
      </c>
      <c r="B236" s="141" t="s">
        <v>581</v>
      </c>
      <c r="C236" s="18"/>
      <c r="D236" s="29">
        <f>IF(OR(C37&lt;=0,D37&lt;C37),"n/m",D37/C37-1)</f>
        <v>0.16585623568624341</v>
      </c>
      <c r="E236" s="29">
        <f>IF(OR(D37&lt;=0,E37&lt;D37),"n/m",E37/D37-1)</f>
        <v>2.3389318015609613</v>
      </c>
      <c r="F236" s="29">
        <f>IF(OR(E37&lt;=0,F37&lt;E37),"n/m",F37/E37-1)</f>
        <v>0.2210276608284234</v>
      </c>
      <c r="G236" s="29">
        <f>IF(OR(F37&lt;=0,G37&lt;F37),"n/m",G37/F37-1)</f>
        <v>6.3443761117719211E-2</v>
      </c>
      <c r="H236" s="29">
        <f>IF(OR(G37&lt;=0,H37&lt;G37),"n/m",H37/G37-1)</f>
        <v>8.9469135229405916E-2</v>
      </c>
      <c r="I236" t="s">
        <v>412</v>
      </c>
    </row>
    <row r="237" spans="1:9" x14ac:dyDescent="0.3">
      <c r="A237" s="139" t="s">
        <v>592</v>
      </c>
      <c r="B237" s="141" t="s">
        <v>578</v>
      </c>
      <c r="C237" s="18"/>
      <c r="D237" s="31">
        <f>D41-C41</f>
        <v>3471.3510000000024</v>
      </c>
      <c r="E237" s="31">
        <f>E41-D41</f>
        <v>34460.384999999995</v>
      </c>
      <c r="F237" s="31">
        <f>F41-E41</f>
        <v>7439.6809999999969</v>
      </c>
      <c r="G237" s="31">
        <f>G41-F41</f>
        <v>8223.1160000000091</v>
      </c>
      <c r="H237" s="31">
        <f>H41-G41</f>
        <v>10873.354999999996</v>
      </c>
      <c r="I237" t="s">
        <v>245</v>
      </c>
    </row>
    <row r="238" spans="1:9" x14ac:dyDescent="0.3">
      <c r="A238" s="139" t="s">
        <v>593</v>
      </c>
      <c r="B238" s="141" t="s">
        <v>581</v>
      </c>
      <c r="C238" s="18"/>
      <c r="D238" s="29">
        <f>IF(OR(C41&lt;=0,D41&lt;C41),"n/m",D41/C41-1)</f>
        <v>0.175282514118132</v>
      </c>
      <c r="E238" s="29">
        <f>IF(OR(D41&lt;=0,E41&lt;D41),"n/m",E41/D41-1)</f>
        <v>1.4805323979703955</v>
      </c>
      <c r="F238" s="29">
        <f>IF(OR(E41&lt;=0,F41&lt;E41),"n/m",F41/E41-1)</f>
        <v>0.1288567580715938</v>
      </c>
      <c r="G238" s="29">
        <f>IF(OR(F41&lt;=0,G41&lt;F41),"n/m",G41/F41-1)</f>
        <v>0.12616836231556561</v>
      </c>
      <c r="H238" s="29">
        <f>IF(OR(G41&lt;=0,H41&lt;G41),"n/m",H41/G41-1)</f>
        <v>0.14814066644883406</v>
      </c>
      <c r="I238" t="s">
        <v>412</v>
      </c>
    </row>
    <row r="239" spans="1:9" x14ac:dyDescent="0.3">
      <c r="A239" s="139" t="s">
        <v>594</v>
      </c>
      <c r="B239" s="141" t="s">
        <v>578</v>
      </c>
      <c r="C239" s="18"/>
      <c r="D239" s="31">
        <f>D66-C66</f>
        <v>-133.70999999999958</v>
      </c>
      <c r="E239" s="31">
        <f>E66-D66</f>
        <v>23349.541000000005</v>
      </c>
      <c r="F239" s="31">
        <f>F66-E66</f>
        <v>14736.366000000002</v>
      </c>
      <c r="G239" s="31">
        <f>G66-F66</f>
        <v>-4064.247000000003</v>
      </c>
      <c r="H239" s="31">
        <f>H66-G66</f>
        <v>3446.7209999999977</v>
      </c>
      <c r="I239" t="s">
        <v>245</v>
      </c>
    </row>
    <row r="240" spans="1:9" x14ac:dyDescent="0.3">
      <c r="A240" s="139" t="s">
        <v>595</v>
      </c>
      <c r="B240" s="141" t="s">
        <v>581</v>
      </c>
      <c r="C240" s="18"/>
      <c r="D240" s="29" t="str">
        <f>IF(OR(C66&lt;=0,D66&lt;C66),"n/m",D66/C66-1)</f>
        <v>n/m</v>
      </c>
      <c r="E240" s="29">
        <f>IF(OR(D66&lt;=0,E66&lt;D66),"n/m",E66/D66-1)</f>
        <v>9.0921852786254682</v>
      </c>
      <c r="F240" s="29">
        <f>IF(OR(E66&lt;=0,F66&lt;E66),"n/m",F66/E66-1)</f>
        <v>0.56858462752960048</v>
      </c>
      <c r="G240" s="29" t="str">
        <f>IF(OR(F66&lt;=0,G66&lt;F66),"n/m",G66/F66-1)</f>
        <v>n/m</v>
      </c>
      <c r="H240" s="29">
        <f>IF(OR(G66&lt;=0,H66&lt;G66),"n/m",H66/G66-1)</f>
        <v>9.4199088384016916E-2</v>
      </c>
      <c r="I240" t="s">
        <v>412</v>
      </c>
    </row>
    <row r="241" spans="1:10" x14ac:dyDescent="0.3">
      <c r="A241" s="139" t="s">
        <v>596</v>
      </c>
      <c r="B241" s="141" t="s">
        <v>578</v>
      </c>
      <c r="C241" s="18"/>
      <c r="D241" s="31">
        <f>D65-C65</f>
        <v>746.39100000000053</v>
      </c>
      <c r="E241" s="31">
        <f>E65-D65</f>
        <v>10196.916000000001</v>
      </c>
      <c r="F241" s="31">
        <f>F65-E65</f>
        <v>-513.36000000000058</v>
      </c>
      <c r="G241" s="31">
        <f>G65-F65</f>
        <v>1471.3269999999993</v>
      </c>
      <c r="H241" s="31">
        <f>H65-G65</f>
        <v>3119.7900000000009</v>
      </c>
      <c r="I241" t="s">
        <v>245</v>
      </c>
    </row>
    <row r="242" spans="1:10" x14ac:dyDescent="0.3">
      <c r="A242" s="139" t="s">
        <v>597</v>
      </c>
      <c r="B242" s="141" t="s">
        <v>581</v>
      </c>
      <c r="C242" s="18"/>
      <c r="D242" s="29">
        <f>IF(OR(C65&lt;=0,D65&lt;C65),"n/m",D65/C65-1)</f>
        <v>0.15902445925385877</v>
      </c>
      <c r="E242" s="29">
        <f>IF(OR(D65&lt;=0,E65&lt;D65),"n/m",E65/D65-1)</f>
        <v>1.8744496274967131</v>
      </c>
      <c r="F242" s="29" t="str">
        <f>IF(OR(E65&lt;=0,F65&lt;E65),"n/m",F65/E65-1)</f>
        <v>n/m</v>
      </c>
      <c r="G242" s="29">
        <f>IF(OR(F65&lt;=0,G65&lt;F65),"n/m",G65/F65-1)</f>
        <v>9.728741506269567E-2</v>
      </c>
      <c r="H242" s="29">
        <f>IF(OR(G65&lt;=0,H65&lt;G65),"n/m",H65/G65-1)</f>
        <v>0.18799765107637412</v>
      </c>
      <c r="I242" t="s">
        <v>412</v>
      </c>
    </row>
    <row r="243" spans="1:10" x14ac:dyDescent="0.3">
      <c r="A243" s="139" t="s">
        <v>598</v>
      </c>
      <c r="B243" s="141" t="s">
        <v>578</v>
      </c>
      <c r="C243" s="18"/>
      <c r="D243" s="31">
        <f>D32-C32</f>
        <v>398.95999999999981</v>
      </c>
      <c r="E243" s="31">
        <f>E32-D32</f>
        <v>963.1579999999999</v>
      </c>
      <c r="F243" s="31">
        <f>F32-E32</f>
        <v>1159.6870000000004</v>
      </c>
      <c r="G243" s="31">
        <f>G32-F32</f>
        <v>1972.7959999999998</v>
      </c>
      <c r="H243" s="31">
        <f>H32-G32</f>
        <v>1366.0810000000001</v>
      </c>
      <c r="I243" t="s">
        <v>245</v>
      </c>
    </row>
    <row r="244" spans="1:10" x14ac:dyDescent="0.3">
      <c r="A244" s="139" t="s">
        <v>599</v>
      </c>
      <c r="B244" s="141" t="s">
        <v>581</v>
      </c>
      <c r="C244" s="18"/>
      <c r="D244" s="29">
        <f>IF(OR(C32&lt;=0,D32&lt;C32),"n/m",D32/C32-1)</f>
        <v>0.37973045001142136</v>
      </c>
      <c r="E244" s="29">
        <f>IF(OR(D32&lt;=0,E32&lt;D32),"n/m",E32/D32-1)</f>
        <v>0.66443018763796902</v>
      </c>
      <c r="F244" s="29">
        <f>IF(OR(E32&lt;=0,F32&lt;E32),"n/m",F32/E32-1)</f>
        <v>0.48064787268346043</v>
      </c>
      <c r="G244" s="29">
        <f>IF(OR(F32&lt;=0,G32&lt;F32),"n/m",G32/F32-1)</f>
        <v>0.55222571656106667</v>
      </c>
      <c r="H244" s="29">
        <f>IF(OR(G32&lt;=0,H32&lt;G32),"n/m",H32/G32-1)</f>
        <v>0.24635196197965059</v>
      </c>
      <c r="I244" t="s">
        <v>412</v>
      </c>
    </row>
    <row r="245" spans="1:10" x14ac:dyDescent="0.3">
      <c r="A245" s="139" t="s">
        <v>600</v>
      </c>
      <c r="B245" s="141" t="s">
        <v>578</v>
      </c>
      <c r="C245" s="18"/>
      <c r="D245" s="31">
        <f>D34-C34</f>
        <v>339.60400000000004</v>
      </c>
      <c r="E245" s="31">
        <f>E34-D34</f>
        <v>1405.8549999999998</v>
      </c>
      <c r="F245" s="31">
        <f>F34-E34</f>
        <v>-1336.1759999999999</v>
      </c>
      <c r="G245" s="31">
        <f>G34-F34</f>
        <v>1962.527</v>
      </c>
      <c r="H245" s="31">
        <f>H34-G34</f>
        <v>-267.64599999999973</v>
      </c>
      <c r="I245" t="s">
        <v>245</v>
      </c>
    </row>
    <row r="246" spans="1:10" x14ac:dyDescent="0.3">
      <c r="A246" s="139" t="s">
        <v>601</v>
      </c>
      <c r="B246" s="141" t="s">
        <v>581</v>
      </c>
      <c r="C246" s="18"/>
      <c r="D246" s="29">
        <f>IF(OR(C34&lt;=0,D34&lt;C34),"n/m",D34/C34-1)</f>
        <v>0.60516702484434437</v>
      </c>
      <c r="E246" s="29">
        <f>IF(OR(D34&lt;=0,E34&lt;D34),"n/m",E34/D34-1)</f>
        <v>1.5607119623259003</v>
      </c>
      <c r="F246" s="29" t="str">
        <f>IF(OR(E34&lt;=0,F34&lt;E34),"n/m",F34/E34-1)</f>
        <v>n/m</v>
      </c>
      <c r="G246" s="29">
        <f>IF(OR(F34&lt;=0,G34&lt;F34),"n/m",G34/F34-1)</f>
        <v>2.0222709506964245</v>
      </c>
      <c r="H246" s="29" t="str">
        <f>IF(OR(G34&lt;=0,H34&lt;G34),"n/m",H34/G34-1)</f>
        <v>n/m</v>
      </c>
      <c r="I246" t="s">
        <v>412</v>
      </c>
    </row>
    <row r="247" spans="1:10" x14ac:dyDescent="0.3">
      <c r="A247" s="139"/>
      <c r="B247" s="139"/>
    </row>
    <row r="248" spans="1:10" x14ac:dyDescent="0.3">
      <c r="A248" s="142" t="s">
        <v>602</v>
      </c>
      <c r="B248" s="143"/>
      <c r="C248" s="10"/>
      <c r="D248" s="10"/>
      <c r="E248" s="10"/>
      <c r="F248" s="10"/>
      <c r="G248" s="10"/>
      <c r="H248" s="10"/>
      <c r="I248" s="10"/>
      <c r="J248" s="10"/>
    </row>
    <row r="249" spans="1:10" x14ac:dyDescent="0.3">
      <c r="A249" s="139"/>
      <c r="B249" s="139"/>
    </row>
    <row r="250" spans="1:10" ht="22.05" customHeight="1" x14ac:dyDescent="0.3">
      <c r="A250" s="205" t="s">
        <v>603</v>
      </c>
      <c r="B250" s="205"/>
      <c r="C250" s="206"/>
      <c r="D250" s="206"/>
      <c r="E250" s="206"/>
      <c r="F250" s="206"/>
      <c r="G250" s="206"/>
      <c r="H250" s="206"/>
    </row>
    <row r="251" spans="1:10" x14ac:dyDescent="0.3">
      <c r="A251" s="139" t="s">
        <v>604</v>
      </c>
      <c r="B251" s="139"/>
      <c r="C251" s="93">
        <v>0</v>
      </c>
      <c r="D251" s="93">
        <v>0</v>
      </c>
      <c r="E251" s="93">
        <v>7387</v>
      </c>
      <c r="F251" s="93">
        <v>7387</v>
      </c>
      <c r="G251" s="93">
        <v>7387</v>
      </c>
      <c r="H251" s="93">
        <v>0</v>
      </c>
    </row>
    <row r="252" spans="1:10" x14ac:dyDescent="0.3">
      <c r="A252" s="139" t="s">
        <v>605</v>
      </c>
      <c r="B252" s="139"/>
      <c r="C252" s="93">
        <v>0</v>
      </c>
      <c r="D252" s="93">
        <v>0</v>
      </c>
      <c r="E252" s="93">
        <v>0</v>
      </c>
      <c r="F252" s="93">
        <v>0</v>
      </c>
      <c r="G252" s="93">
        <v>0</v>
      </c>
      <c r="H252" s="93">
        <v>185.18600000000001</v>
      </c>
    </row>
    <row r="253" spans="1:10" x14ac:dyDescent="0.3">
      <c r="A253" s="139" t="s">
        <v>606</v>
      </c>
      <c r="B253" s="139"/>
      <c r="C253" s="93">
        <v>0</v>
      </c>
      <c r="D253" s="93">
        <v>0</v>
      </c>
      <c r="E253" s="93">
        <v>0</v>
      </c>
      <c r="F253" s="93">
        <v>0</v>
      </c>
      <c r="G253" s="93">
        <v>0</v>
      </c>
      <c r="H253" s="93">
        <v>0</v>
      </c>
    </row>
    <row r="254" spans="1:10" x14ac:dyDescent="0.3">
      <c r="A254" s="139" t="s">
        <v>607</v>
      </c>
      <c r="B254" s="139"/>
      <c r="C254" s="93">
        <v>0</v>
      </c>
      <c r="D254" s="93">
        <v>0</v>
      </c>
      <c r="E254" s="93">
        <v>0</v>
      </c>
      <c r="F254" s="93">
        <v>0</v>
      </c>
      <c r="G254" s="93">
        <v>0</v>
      </c>
      <c r="H254" s="93">
        <v>0</v>
      </c>
    </row>
    <row r="255" spans="1:10" x14ac:dyDescent="0.3">
      <c r="A255" s="139" t="s">
        <v>608</v>
      </c>
      <c r="B255" s="139"/>
      <c r="C255" s="93">
        <v>0</v>
      </c>
      <c r="D255" s="93">
        <v>0</v>
      </c>
      <c r="E255" s="93">
        <v>0</v>
      </c>
      <c r="F255" s="93">
        <v>2591.8989999999999</v>
      </c>
      <c r="G255" s="93">
        <v>5468.8919999999998</v>
      </c>
      <c r="H255" s="93">
        <v>5646.3429999999998</v>
      </c>
    </row>
    <row r="256" spans="1:10" x14ac:dyDescent="0.3">
      <c r="A256" s="139" t="s">
        <v>609</v>
      </c>
      <c r="B256" s="139"/>
      <c r="C256" s="93">
        <v>0</v>
      </c>
      <c r="D256" s="93">
        <v>0</v>
      </c>
      <c r="E256" s="93">
        <v>7387</v>
      </c>
      <c r="F256" s="93">
        <v>7387</v>
      </c>
      <c r="G256" s="93">
        <v>7387</v>
      </c>
      <c r="H256" s="93">
        <v>7572.1859999999997</v>
      </c>
    </row>
    <row r="257" spans="1:8" x14ac:dyDescent="0.3">
      <c r="A257" s="139" t="s">
        <v>610</v>
      </c>
      <c r="B257" s="139"/>
      <c r="C257" s="93">
        <v>0</v>
      </c>
      <c r="D257" s="93">
        <v>0</v>
      </c>
      <c r="E257" s="93">
        <v>0</v>
      </c>
      <c r="F257" s="93">
        <v>0</v>
      </c>
      <c r="G257" s="93">
        <v>0</v>
      </c>
      <c r="H257" s="93">
        <v>0</v>
      </c>
    </row>
    <row r="258" spans="1:8" x14ac:dyDescent="0.3">
      <c r="A258" s="139"/>
      <c r="B258" s="139"/>
    </row>
    <row r="259" spans="1:8" x14ac:dyDescent="0.3">
      <c r="A259" s="139"/>
      <c r="B259" s="139"/>
    </row>
    <row r="260" spans="1:8" x14ac:dyDescent="0.3">
      <c r="A260" s="149" t="s">
        <v>611</v>
      </c>
      <c r="B260" s="149"/>
      <c r="C260" s="92"/>
      <c r="D260" s="92"/>
      <c r="E260" s="92"/>
      <c r="F260" s="92"/>
      <c r="G260" s="92"/>
      <c r="H260" s="92"/>
    </row>
    <row r="261" spans="1:8" x14ac:dyDescent="0.3">
      <c r="A261" s="139"/>
      <c r="B261" s="139"/>
    </row>
    <row r="262" spans="1:8" x14ac:dyDescent="0.3">
      <c r="A262" s="139"/>
      <c r="B262" s="139"/>
    </row>
    <row r="263" spans="1:8" x14ac:dyDescent="0.3">
      <c r="A263" s="139"/>
      <c r="B263" s="139"/>
    </row>
    <row r="264" spans="1:8" x14ac:dyDescent="0.3">
      <c r="A264" s="139"/>
      <c r="B264" s="139"/>
    </row>
    <row r="265" spans="1:8" x14ac:dyDescent="0.3">
      <c r="A265" s="139"/>
      <c r="B265" s="139"/>
    </row>
    <row r="266" spans="1:8" x14ac:dyDescent="0.3">
      <c r="A266" s="139"/>
      <c r="B266" s="139"/>
    </row>
    <row r="267" spans="1:8" x14ac:dyDescent="0.3">
      <c r="A267" s="139"/>
      <c r="B267" s="139"/>
    </row>
    <row r="268" spans="1:8" x14ac:dyDescent="0.3">
      <c r="A268" s="139"/>
      <c r="B268" s="139"/>
    </row>
    <row r="269" spans="1:8" x14ac:dyDescent="0.3">
      <c r="A269" s="139"/>
      <c r="B269" s="139"/>
    </row>
    <row r="270" spans="1:8" x14ac:dyDescent="0.3">
      <c r="A270" s="139"/>
      <c r="B270" s="139"/>
    </row>
    <row r="271" spans="1:8" x14ac:dyDescent="0.3">
      <c r="A271" s="139"/>
      <c r="B271" s="139"/>
    </row>
    <row r="272" spans="1:8" x14ac:dyDescent="0.3">
      <c r="A272" s="139"/>
      <c r="B272" s="139"/>
    </row>
    <row r="273" spans="1:2" x14ac:dyDescent="0.3">
      <c r="A273" s="139"/>
      <c r="B273" s="139"/>
    </row>
    <row r="274" spans="1:2" x14ac:dyDescent="0.3">
      <c r="A274" s="139"/>
      <c r="B274" s="139"/>
    </row>
    <row r="275" spans="1:2" x14ac:dyDescent="0.3">
      <c r="A275" s="139"/>
      <c r="B275" s="139"/>
    </row>
    <row r="276" spans="1:2" x14ac:dyDescent="0.3">
      <c r="A276" s="139"/>
      <c r="B276" s="139"/>
    </row>
    <row r="277" spans="1:2" x14ac:dyDescent="0.3">
      <c r="A277" s="139"/>
      <c r="B277" s="139"/>
    </row>
    <row r="278" spans="1:2" x14ac:dyDescent="0.3">
      <c r="A278" s="139"/>
      <c r="B278" s="139"/>
    </row>
    <row r="279" spans="1:2" x14ac:dyDescent="0.3">
      <c r="A279" s="139"/>
      <c r="B279" s="139"/>
    </row>
    <row r="280" spans="1:2" x14ac:dyDescent="0.3">
      <c r="A280" s="139"/>
      <c r="B280" s="139"/>
    </row>
    <row r="281" spans="1:2" x14ac:dyDescent="0.3">
      <c r="A281" s="139"/>
      <c r="B281" s="139"/>
    </row>
    <row r="282" spans="1:2" x14ac:dyDescent="0.3">
      <c r="A282" s="139"/>
      <c r="B282" s="139"/>
    </row>
    <row r="283" spans="1:2" x14ac:dyDescent="0.3">
      <c r="A283" s="139"/>
      <c r="B283" s="139"/>
    </row>
    <row r="284" spans="1:2" x14ac:dyDescent="0.3">
      <c r="A284" s="139"/>
      <c r="B284" s="139"/>
    </row>
    <row r="285" spans="1:2" x14ac:dyDescent="0.3">
      <c r="A285" s="139"/>
      <c r="B285" s="139"/>
    </row>
    <row r="286" spans="1:2" x14ac:dyDescent="0.3">
      <c r="A286" s="139"/>
      <c r="B286" s="139"/>
    </row>
    <row r="287" spans="1:2" x14ac:dyDescent="0.3">
      <c r="A287" s="139"/>
      <c r="B287" s="139"/>
    </row>
    <row r="288" spans="1:2" x14ac:dyDescent="0.3">
      <c r="A288" s="139"/>
      <c r="B288" s="139"/>
    </row>
    <row r="289" spans="1:2" x14ac:dyDescent="0.3">
      <c r="A289" s="139"/>
      <c r="B289" s="139"/>
    </row>
    <row r="290" spans="1:2" x14ac:dyDescent="0.3">
      <c r="A290" s="139"/>
      <c r="B290" s="139"/>
    </row>
    <row r="291" spans="1:2" x14ac:dyDescent="0.3">
      <c r="A291" s="139"/>
      <c r="B291" s="139"/>
    </row>
    <row r="292" spans="1:2" x14ac:dyDescent="0.3">
      <c r="A292" s="139"/>
      <c r="B292" s="139"/>
    </row>
    <row r="293" spans="1:2" x14ac:dyDescent="0.3">
      <c r="A293" s="139"/>
      <c r="B293" s="139"/>
    </row>
    <row r="294" spans="1:2" x14ac:dyDescent="0.3">
      <c r="A294" s="139"/>
      <c r="B294" s="139"/>
    </row>
    <row r="295" spans="1:2" x14ac:dyDescent="0.3">
      <c r="A295" s="139"/>
      <c r="B295" s="139"/>
    </row>
    <row r="296" spans="1:2" x14ac:dyDescent="0.3">
      <c r="A296" s="139"/>
      <c r="B296" s="139"/>
    </row>
    <row r="297" spans="1:2" x14ac:dyDescent="0.3">
      <c r="A297" s="139"/>
      <c r="B297" s="139"/>
    </row>
    <row r="298" spans="1:2" x14ac:dyDescent="0.3">
      <c r="A298" s="139"/>
      <c r="B298" s="139"/>
    </row>
    <row r="299" spans="1:2" x14ac:dyDescent="0.3">
      <c r="A299" s="139"/>
      <c r="B299" s="139"/>
    </row>
    <row r="300" spans="1:2" x14ac:dyDescent="0.3">
      <c r="A300" s="139"/>
      <c r="B300" s="139"/>
    </row>
    <row r="301" spans="1:2" x14ac:dyDescent="0.3">
      <c r="A301" s="139"/>
      <c r="B301" s="139"/>
    </row>
    <row r="302" spans="1:2" x14ac:dyDescent="0.3">
      <c r="A302" s="139"/>
      <c r="B302" s="139"/>
    </row>
    <row r="303" spans="1:2" x14ac:dyDescent="0.3">
      <c r="A303" s="139"/>
      <c r="B303" s="139"/>
    </row>
    <row r="304" spans="1:2" x14ac:dyDescent="0.3">
      <c r="A304" s="139"/>
      <c r="B304" s="139"/>
    </row>
    <row r="305" spans="1:2" x14ac:dyDescent="0.3">
      <c r="A305" s="139"/>
      <c r="B305" s="139"/>
    </row>
    <row r="306" spans="1:2" x14ac:dyDescent="0.3">
      <c r="A306" s="139"/>
      <c r="B306" s="139"/>
    </row>
    <row r="307" spans="1:2" x14ac:dyDescent="0.3">
      <c r="A307" s="139"/>
      <c r="B307" s="139"/>
    </row>
    <row r="308" spans="1:2" x14ac:dyDescent="0.3">
      <c r="A308" s="139"/>
      <c r="B308" s="139"/>
    </row>
    <row r="309" spans="1:2" x14ac:dyDescent="0.3">
      <c r="A309" s="139"/>
      <c r="B309" s="139"/>
    </row>
    <row r="310" spans="1:2" x14ac:dyDescent="0.3">
      <c r="A310" s="139"/>
      <c r="B310" s="139"/>
    </row>
    <row r="311" spans="1:2" x14ac:dyDescent="0.3">
      <c r="A311" s="139"/>
      <c r="B311" s="139"/>
    </row>
    <row r="312" spans="1:2" x14ac:dyDescent="0.3">
      <c r="A312" s="139"/>
      <c r="B312" s="139"/>
    </row>
    <row r="313" spans="1:2" x14ac:dyDescent="0.3">
      <c r="A313" s="139"/>
      <c r="B313" s="139"/>
    </row>
    <row r="314" spans="1:2" x14ac:dyDescent="0.3">
      <c r="A314" s="139"/>
      <c r="B314" s="139"/>
    </row>
    <row r="315" spans="1:2" x14ac:dyDescent="0.3">
      <c r="A315" s="139"/>
      <c r="B315" s="139"/>
    </row>
    <row r="316" spans="1:2" x14ac:dyDescent="0.3">
      <c r="A316" s="139"/>
      <c r="B316" s="139"/>
    </row>
    <row r="317" spans="1:2" x14ac:dyDescent="0.3">
      <c r="A317" s="139"/>
      <c r="B317" s="139"/>
    </row>
    <row r="318" spans="1:2" x14ac:dyDescent="0.3">
      <c r="A318" s="139"/>
      <c r="B318" s="139"/>
    </row>
    <row r="319" spans="1:2" x14ac:dyDescent="0.3">
      <c r="A319" s="139"/>
      <c r="B319" s="139"/>
    </row>
    <row r="320" spans="1:2" x14ac:dyDescent="0.3">
      <c r="A320" s="139"/>
      <c r="B320" s="139"/>
    </row>
    <row r="321" spans="1:2" x14ac:dyDescent="0.3">
      <c r="A321" s="139"/>
      <c r="B321" s="139"/>
    </row>
    <row r="322" spans="1:2" x14ac:dyDescent="0.3">
      <c r="A322" s="139"/>
      <c r="B322" s="139"/>
    </row>
    <row r="323" spans="1:2" x14ac:dyDescent="0.3">
      <c r="A323" s="139"/>
      <c r="B323" s="139"/>
    </row>
    <row r="324" spans="1:2" x14ac:dyDescent="0.3">
      <c r="A324" s="139"/>
      <c r="B324" s="139"/>
    </row>
    <row r="325" spans="1:2" x14ac:dyDescent="0.3">
      <c r="A325" s="139"/>
      <c r="B325" s="139"/>
    </row>
    <row r="326" spans="1:2" x14ac:dyDescent="0.3">
      <c r="A326" s="139"/>
      <c r="B326" s="139"/>
    </row>
    <row r="327" spans="1:2" x14ac:dyDescent="0.3">
      <c r="A327" s="139"/>
      <c r="B327" s="139"/>
    </row>
    <row r="328" spans="1:2" x14ac:dyDescent="0.3">
      <c r="A328" s="139"/>
      <c r="B328" s="139"/>
    </row>
    <row r="329" spans="1:2" x14ac:dyDescent="0.3">
      <c r="A329" s="139"/>
      <c r="B329" s="139"/>
    </row>
    <row r="330" spans="1:2" x14ac:dyDescent="0.3">
      <c r="A330" s="139"/>
      <c r="B330" s="139"/>
    </row>
    <row r="331" spans="1:2" x14ac:dyDescent="0.3">
      <c r="A331" s="139"/>
      <c r="B331" s="139"/>
    </row>
    <row r="332" spans="1:2" x14ac:dyDescent="0.3">
      <c r="A332" s="139"/>
      <c r="B332" s="139"/>
    </row>
    <row r="333" spans="1:2" x14ac:dyDescent="0.3">
      <c r="A333" s="139"/>
      <c r="B333" s="139"/>
    </row>
    <row r="334" spans="1:2" x14ac:dyDescent="0.3">
      <c r="A334" s="139"/>
      <c r="B334" s="139"/>
    </row>
    <row r="335" spans="1:2" x14ac:dyDescent="0.3">
      <c r="A335" s="139"/>
      <c r="B335" s="139"/>
    </row>
    <row r="336" spans="1:2" x14ac:dyDescent="0.3">
      <c r="A336" s="139"/>
      <c r="B336" s="139"/>
    </row>
    <row r="337" spans="1:2" x14ac:dyDescent="0.3">
      <c r="A337" s="139"/>
      <c r="B337" s="139"/>
    </row>
    <row r="338" spans="1:2" x14ac:dyDescent="0.3">
      <c r="A338" s="139"/>
      <c r="B338" s="139"/>
    </row>
    <row r="339" spans="1:2" x14ac:dyDescent="0.3">
      <c r="A339" s="139"/>
      <c r="B339" s="139"/>
    </row>
    <row r="340" spans="1:2" x14ac:dyDescent="0.3">
      <c r="A340" s="139"/>
      <c r="B340" s="139"/>
    </row>
    <row r="341" spans="1:2" x14ac:dyDescent="0.3">
      <c r="A341" s="139"/>
      <c r="B341" s="139"/>
    </row>
    <row r="342" spans="1:2" x14ac:dyDescent="0.3">
      <c r="A342" s="139"/>
      <c r="B342" s="139"/>
    </row>
    <row r="343" spans="1:2" x14ac:dyDescent="0.3">
      <c r="A343" s="139"/>
      <c r="B343" s="139"/>
    </row>
    <row r="344" spans="1:2" x14ac:dyDescent="0.3">
      <c r="A344" s="139"/>
      <c r="B344" s="139"/>
    </row>
    <row r="345" spans="1:2" x14ac:dyDescent="0.3">
      <c r="A345" s="139"/>
      <c r="B345" s="139"/>
    </row>
    <row r="346" spans="1:2" x14ac:dyDescent="0.3">
      <c r="A346" s="139"/>
      <c r="B346" s="139"/>
    </row>
    <row r="347" spans="1:2" x14ac:dyDescent="0.3">
      <c r="A347" s="139"/>
      <c r="B347" s="139"/>
    </row>
    <row r="348" spans="1:2" x14ac:dyDescent="0.3">
      <c r="A348" s="139"/>
      <c r="B348" s="139"/>
    </row>
    <row r="349" spans="1:2" x14ac:dyDescent="0.3">
      <c r="A349" s="139"/>
      <c r="B349" s="139"/>
    </row>
    <row r="350" spans="1:2" x14ac:dyDescent="0.3">
      <c r="A350" s="139"/>
      <c r="B350" s="139"/>
    </row>
    <row r="351" spans="1:2" x14ac:dyDescent="0.3">
      <c r="A351" s="139"/>
      <c r="B351" s="139"/>
    </row>
    <row r="352" spans="1:2" x14ac:dyDescent="0.3">
      <c r="A352" s="139"/>
      <c r="B352" s="139"/>
    </row>
    <row r="353" spans="1:2" x14ac:dyDescent="0.3">
      <c r="A353" s="139"/>
      <c r="B353" s="139"/>
    </row>
    <row r="354" spans="1:2" x14ac:dyDescent="0.3">
      <c r="A354" s="139"/>
      <c r="B354" s="139"/>
    </row>
    <row r="355" spans="1:2" x14ac:dyDescent="0.3">
      <c r="A355" s="139"/>
      <c r="B355" s="139"/>
    </row>
    <row r="356" spans="1:2" x14ac:dyDescent="0.3">
      <c r="A356" s="139"/>
      <c r="B356" s="139"/>
    </row>
    <row r="357" spans="1:2" x14ac:dyDescent="0.3">
      <c r="A357" s="139"/>
      <c r="B357" s="139"/>
    </row>
    <row r="358" spans="1:2" x14ac:dyDescent="0.3">
      <c r="A358" s="139"/>
      <c r="B358" s="139"/>
    </row>
    <row r="359" spans="1:2" x14ac:dyDescent="0.3">
      <c r="A359" s="139"/>
      <c r="B359" s="139"/>
    </row>
    <row r="360" spans="1:2" x14ac:dyDescent="0.3">
      <c r="A360" s="139"/>
      <c r="B360" s="139"/>
    </row>
    <row r="361" spans="1:2" x14ac:dyDescent="0.3">
      <c r="A361" s="139"/>
      <c r="B361" s="139"/>
    </row>
    <row r="362" spans="1:2" x14ac:dyDescent="0.3">
      <c r="A362" s="139"/>
      <c r="B362" s="139"/>
    </row>
    <row r="363" spans="1:2" x14ac:dyDescent="0.3">
      <c r="A363" s="139"/>
      <c r="B363" s="139"/>
    </row>
    <row r="364" spans="1:2" x14ac:dyDescent="0.3">
      <c r="A364" s="139"/>
      <c r="B364" s="139"/>
    </row>
    <row r="365" spans="1:2" x14ac:dyDescent="0.3">
      <c r="A365" s="139"/>
      <c r="B365" s="139"/>
    </row>
    <row r="366" spans="1:2" x14ac:dyDescent="0.3">
      <c r="A366" s="139"/>
      <c r="B366" s="139"/>
    </row>
    <row r="367" spans="1:2" x14ac:dyDescent="0.3">
      <c r="A367" s="139"/>
      <c r="B367" s="139"/>
    </row>
    <row r="368" spans="1:2" x14ac:dyDescent="0.3">
      <c r="A368" s="139"/>
      <c r="B368" s="139"/>
    </row>
    <row r="369" spans="1:2" x14ac:dyDescent="0.3">
      <c r="A369" s="139"/>
      <c r="B369" s="139"/>
    </row>
    <row r="370" spans="1:2" x14ac:dyDescent="0.3">
      <c r="A370" s="139"/>
      <c r="B370" s="139"/>
    </row>
    <row r="371" spans="1:2" x14ac:dyDescent="0.3">
      <c r="A371" s="139"/>
      <c r="B371" s="139"/>
    </row>
    <row r="372" spans="1:2" x14ac:dyDescent="0.3">
      <c r="A372" s="139"/>
      <c r="B372" s="139"/>
    </row>
    <row r="373" spans="1:2" x14ac:dyDescent="0.3">
      <c r="A373" s="139"/>
      <c r="B373" s="139"/>
    </row>
    <row r="374" spans="1:2" x14ac:dyDescent="0.3">
      <c r="A374" s="139"/>
      <c r="B374" s="139"/>
    </row>
    <row r="375" spans="1:2" x14ac:dyDescent="0.3">
      <c r="A375" s="139"/>
      <c r="B375" s="139"/>
    </row>
    <row r="376" spans="1:2" x14ac:dyDescent="0.3">
      <c r="A376" s="139"/>
      <c r="B376" s="139"/>
    </row>
    <row r="377" spans="1:2" x14ac:dyDescent="0.3">
      <c r="A377" s="139"/>
      <c r="B377" s="139"/>
    </row>
    <row r="378" spans="1:2" x14ac:dyDescent="0.3">
      <c r="A378" s="139"/>
      <c r="B378" s="139"/>
    </row>
    <row r="379" spans="1:2" x14ac:dyDescent="0.3">
      <c r="A379" s="139"/>
      <c r="B379" s="139"/>
    </row>
    <row r="380" spans="1:2" x14ac:dyDescent="0.3">
      <c r="A380" s="139"/>
      <c r="B380" s="139"/>
    </row>
    <row r="381" spans="1:2" x14ac:dyDescent="0.3">
      <c r="A381" s="139"/>
      <c r="B381" s="139"/>
    </row>
    <row r="382" spans="1:2" x14ac:dyDescent="0.3">
      <c r="A382" s="139"/>
      <c r="B382" s="139"/>
    </row>
    <row r="383" spans="1:2" x14ac:dyDescent="0.3">
      <c r="A383" s="139"/>
      <c r="B383" s="139"/>
    </row>
    <row r="384" spans="1:2" x14ac:dyDescent="0.3">
      <c r="A384" s="139"/>
      <c r="B384" s="139"/>
    </row>
    <row r="385" spans="1:2" x14ac:dyDescent="0.3">
      <c r="A385" s="139"/>
      <c r="B385" s="139"/>
    </row>
    <row r="386" spans="1:2" x14ac:dyDescent="0.3">
      <c r="A386" s="139"/>
      <c r="B386" s="139"/>
    </row>
    <row r="387" spans="1:2" x14ac:dyDescent="0.3">
      <c r="A387" s="139"/>
      <c r="B387" s="139"/>
    </row>
    <row r="388" spans="1:2" x14ac:dyDescent="0.3">
      <c r="A388" s="139"/>
      <c r="B388" s="139"/>
    </row>
    <row r="389" spans="1:2" x14ac:dyDescent="0.3">
      <c r="A389" s="139"/>
      <c r="B389" s="139"/>
    </row>
    <row r="390" spans="1:2" x14ac:dyDescent="0.3">
      <c r="A390" s="139"/>
      <c r="B390" s="139"/>
    </row>
    <row r="391" spans="1:2" x14ac:dyDescent="0.3">
      <c r="A391" s="139"/>
      <c r="B391" s="139"/>
    </row>
    <row r="392" spans="1:2" x14ac:dyDescent="0.3">
      <c r="A392" s="139"/>
      <c r="B392" s="139"/>
    </row>
    <row r="393" spans="1:2" x14ac:dyDescent="0.3">
      <c r="A393" s="139"/>
      <c r="B393" s="139"/>
    </row>
    <row r="394" spans="1:2" x14ac:dyDescent="0.3">
      <c r="A394" s="139"/>
      <c r="B394" s="139"/>
    </row>
    <row r="395" spans="1:2" x14ac:dyDescent="0.3">
      <c r="A395" s="139"/>
      <c r="B395" s="139"/>
    </row>
    <row r="396" spans="1:2" x14ac:dyDescent="0.3">
      <c r="A396" s="139"/>
      <c r="B396" s="139"/>
    </row>
    <row r="397" spans="1:2" x14ac:dyDescent="0.3">
      <c r="A397" s="139"/>
      <c r="B397" s="139"/>
    </row>
    <row r="398" spans="1:2" x14ac:dyDescent="0.3">
      <c r="A398" s="139"/>
      <c r="B398" s="139"/>
    </row>
    <row r="399" spans="1:2" x14ac:dyDescent="0.3">
      <c r="A399" s="139"/>
      <c r="B399" s="139"/>
    </row>
    <row r="400" spans="1:2" x14ac:dyDescent="0.3">
      <c r="A400" s="139"/>
      <c r="B400" s="139"/>
    </row>
  </sheetData>
  <mergeCells count="16">
    <mergeCell ref="B6:J6"/>
    <mergeCell ref="B7:J7"/>
    <mergeCell ref="B8:J8"/>
    <mergeCell ref="B9:J9"/>
    <mergeCell ref="B10:J10"/>
    <mergeCell ref="B11:J11"/>
    <mergeCell ref="B12:J12"/>
    <mergeCell ref="B13:J13"/>
    <mergeCell ref="B14:J14"/>
    <mergeCell ref="B15:J15"/>
    <mergeCell ref="A250:H250"/>
    <mergeCell ref="A137:H137"/>
    <mergeCell ref="A143:H143"/>
    <mergeCell ref="A154:H154"/>
    <mergeCell ref="A160:H160"/>
    <mergeCell ref="A168:H16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45"/>
  <sheetViews>
    <sheetView showGridLines="0" workbookViewId="0">
      <pane xSplit="4" ySplit="4" topLeftCell="E5" activePane="bottomRight" state="frozen"/>
      <selection pane="topRight"/>
      <selection pane="bottomLeft"/>
      <selection pane="bottomRight" activeCell="E5" sqref="E5"/>
    </sheetView>
  </sheetViews>
  <sheetFormatPr defaultColWidth="8.6640625" defaultRowHeight="14.4" x14ac:dyDescent="0.3"/>
  <cols>
    <col min="1" max="1" width="16" customWidth="1"/>
    <col min="2" max="2" width="6" customWidth="1"/>
    <col min="3" max="3" width="44" customWidth="1"/>
    <col min="4" max="4" width="8" customWidth="1"/>
    <col min="5" max="9" width="11" customWidth="1"/>
    <col min="10" max="10" width="12" customWidth="1"/>
    <col min="11" max="11" width="7" customWidth="1"/>
    <col min="12" max="13" width="12" customWidth="1"/>
    <col min="14" max="14" width="11" customWidth="1"/>
    <col min="15" max="15" width="10" customWidth="1"/>
    <col min="16" max="16" width="30" customWidth="1"/>
    <col min="17" max="17" width="40" customWidth="1"/>
    <col min="18" max="18" width="8" customWidth="1"/>
  </cols>
  <sheetData>
    <row r="1" spans="1:18" ht="18" x14ac:dyDescent="0.35">
      <c r="A1" s="9" t="s">
        <v>9358</v>
      </c>
    </row>
    <row r="2" spans="1:18" x14ac:dyDescent="0.3">
      <c r="A2" s="32" t="s">
        <v>905</v>
      </c>
    </row>
    <row r="4" spans="1:18" ht="30" customHeight="1" x14ac:dyDescent="0.3">
      <c r="A4" s="34" t="s">
        <v>906</v>
      </c>
      <c r="B4" s="34" t="s">
        <v>907</v>
      </c>
      <c r="C4" s="34" t="s">
        <v>908</v>
      </c>
      <c r="D4" s="34" t="s">
        <v>909</v>
      </c>
      <c r="E4" s="34" t="s">
        <v>18</v>
      </c>
      <c r="F4" s="34" t="s">
        <v>68</v>
      </c>
      <c r="G4" s="34" t="s">
        <v>86</v>
      </c>
      <c r="H4" s="34" t="s">
        <v>106</v>
      </c>
      <c r="I4" s="34" t="s">
        <v>114</v>
      </c>
      <c r="J4" s="34" t="s">
        <v>910</v>
      </c>
      <c r="K4" s="34" t="s">
        <v>911</v>
      </c>
      <c r="L4" s="34" t="s">
        <v>912</v>
      </c>
      <c r="M4" s="34" t="s">
        <v>913</v>
      </c>
      <c r="N4" s="34" t="s">
        <v>914</v>
      </c>
      <c r="O4" s="34" t="s">
        <v>915</v>
      </c>
      <c r="P4" s="34" t="s">
        <v>916</v>
      </c>
      <c r="Q4" s="34" t="s">
        <v>917</v>
      </c>
      <c r="R4" s="34" t="s">
        <v>918</v>
      </c>
    </row>
    <row r="5" spans="1:18" ht="22.05" customHeight="1" x14ac:dyDescent="0.3">
      <c r="A5" s="213" t="s">
        <v>919</v>
      </c>
      <c r="B5" s="206"/>
      <c r="C5" s="206"/>
      <c r="D5" s="206"/>
      <c r="E5" s="206"/>
      <c r="F5" s="206"/>
      <c r="G5" s="206"/>
      <c r="H5" s="206"/>
      <c r="I5" s="206"/>
      <c r="J5" s="206"/>
      <c r="K5" s="206"/>
      <c r="L5" s="206"/>
      <c r="M5" s="206"/>
      <c r="N5" s="206"/>
      <c r="O5" s="206"/>
      <c r="P5" s="206"/>
      <c r="Q5" s="206"/>
      <c r="R5" s="206"/>
    </row>
    <row r="6" spans="1:18" x14ac:dyDescent="0.3">
      <c r="A6" s="35" t="s">
        <v>459</v>
      </c>
      <c r="B6" s="13">
        <v>1</v>
      </c>
      <c r="C6" s="12" t="s">
        <v>460</v>
      </c>
      <c r="D6" s="13"/>
      <c r="E6" s="13"/>
      <c r="F6" s="13"/>
      <c r="G6" s="13"/>
      <c r="H6" s="13"/>
      <c r="I6" s="13"/>
      <c r="J6" s="13"/>
      <c r="K6" s="13"/>
      <c r="L6" s="13"/>
      <c r="M6" s="13"/>
      <c r="N6" s="13"/>
      <c r="O6" s="13"/>
      <c r="P6" s="13"/>
      <c r="Q6" s="36"/>
      <c r="R6" s="13"/>
    </row>
    <row r="7" spans="1:18" x14ac:dyDescent="0.3">
      <c r="C7" s="37" t="s">
        <v>19</v>
      </c>
      <c r="D7" t="s">
        <v>20</v>
      </c>
      <c r="E7" s="94">
        <f>KOHC!D138</f>
        <v>1.3006446691414961</v>
      </c>
      <c r="F7" s="94">
        <f>LUCK!D138</f>
        <v>1.3386079458938223</v>
      </c>
      <c r="G7" s="94">
        <f>DGKC!D138</f>
        <v>0.91452508864509019</v>
      </c>
      <c r="H7" s="94">
        <f>MLCF!D138</f>
        <v>1.4780988568182505</v>
      </c>
      <c r="I7" s="94">
        <f>FCCL!D138</f>
        <v>2.01862288296847</v>
      </c>
      <c r="J7" s="95">
        <f>IF(COUNT(E7:I7)=0,"n/m",AVERAGE(E7:I7))</f>
        <v>1.410099888693426</v>
      </c>
      <c r="K7">
        <f>COUNT(E7:I7)</f>
        <v>5</v>
      </c>
      <c r="L7" s="96">
        <f>IF(AND(ISNUMBER(E7),ISNUMBER(J7)),E7-J7,"n/m")</f>
        <v>-0.10945521955192983</v>
      </c>
      <c r="M7" s="96">
        <f>IF(COUNT(F7:I7)=0,"n/m",AVERAGE(F7:I7))</f>
        <v>1.437463693581408</v>
      </c>
      <c r="N7" s="96">
        <f>IF(COUNT(E7:I7)=0,"n/m",MEDIAN(E7:I7))</f>
        <v>1.3386079458938223</v>
      </c>
      <c r="O7" t="s">
        <v>920</v>
      </c>
      <c r="P7" s="8" t="str">
        <f>IF(NOT(ISNUMBER(L7)),"n/m",IF(O7="Higher",IF(L7&gt;=0,"Above avg - favourable","Below avg - unfavourable"),IF(O7="Lower",IF(L7&lt;=0,"Below avg - favourable","Above avg - unfavourable"),IF(L7&gt;=0,"Above avg - context-dependent","Below avg - context-dependent"))))&amp;IF(K7&lt;5," (N="&amp;K7&amp;")","")</f>
        <v>Below avg - unfavourable</v>
      </c>
      <c r="R7" s="40" t="str">
        <f>IF(K7=0,"n/m",IF(ABS(J7-SUM(E7:I7)/K7)&lt;0.000000001,"OK","ERR"))</f>
        <v>OK</v>
      </c>
    </row>
    <row r="8" spans="1:18" x14ac:dyDescent="0.3">
      <c r="C8" s="37" t="s">
        <v>19</v>
      </c>
      <c r="D8" t="s">
        <v>26</v>
      </c>
      <c r="E8" s="94">
        <f>KOHC!E138</f>
        <v>1.8735085276109804</v>
      </c>
      <c r="F8" s="94">
        <f>LUCK!E138</f>
        <v>1.4760766300374313</v>
      </c>
      <c r="G8" s="94">
        <f>DGKC!E138</f>
        <v>0.88552877147710041</v>
      </c>
      <c r="H8" s="94">
        <f>MLCF!E138</f>
        <v>1.2549557408945418</v>
      </c>
      <c r="I8" s="94">
        <f>FCCL!E138</f>
        <v>1.0559688948718087</v>
      </c>
      <c r="J8" s="95">
        <f>IF(COUNT(E8:I8)=0,"n/m",AVERAGE(E8:I8))</f>
        <v>1.3092077129783726</v>
      </c>
      <c r="K8">
        <f>COUNT(E8:I8)</f>
        <v>5</v>
      </c>
      <c r="L8" s="96">
        <f>IF(AND(ISNUMBER(E8),ISNUMBER(J8)),E8-J8,"n/m")</f>
        <v>0.56430081463260784</v>
      </c>
      <c r="M8" s="96">
        <f>IF(COUNT(F8:I8)=0,"n/m",AVERAGE(F8:I8))</f>
        <v>1.1681325093202206</v>
      </c>
      <c r="N8" s="96">
        <f>IF(COUNT(E8:I8)=0,"n/m",MEDIAN(E8:I8))</f>
        <v>1.2549557408945418</v>
      </c>
      <c r="O8" t="s">
        <v>920</v>
      </c>
      <c r="P8" s="8" t="str">
        <f>IF(NOT(ISNUMBER(L8)),"n/m",IF(O8="Higher",IF(L8&gt;=0,"Above avg - favourable","Below avg - unfavourable"),IF(O8="Lower",IF(L8&lt;=0,"Below avg - favourable","Above avg - unfavourable"),IF(L8&gt;=0,"Above avg - context-dependent","Below avg - context-dependent"))))&amp;IF(K8&lt;5," (N="&amp;K8&amp;")","")</f>
        <v>Above avg - favourable</v>
      </c>
      <c r="R8" s="40" t="str">
        <f>IF(K8=0,"n/m",IF(ABS(J8-SUM(E8:I8)/K8)&lt;0.000000001,"OK","ERR"))</f>
        <v>OK</v>
      </c>
    </row>
    <row r="9" spans="1:18" x14ac:dyDescent="0.3">
      <c r="C9" s="37" t="s">
        <v>19</v>
      </c>
      <c r="D9" t="s">
        <v>27</v>
      </c>
      <c r="E9" s="94">
        <f>KOHC!F138</f>
        <v>2.311570515459215</v>
      </c>
      <c r="F9" s="94">
        <f>LUCK!F138</f>
        <v>1.290071633326858</v>
      </c>
      <c r="G9" s="94">
        <f>DGKC!F138</f>
        <v>0.80176749057385621</v>
      </c>
      <c r="H9" s="94">
        <f>MLCF!F138</f>
        <v>1.3715472215546312</v>
      </c>
      <c r="I9" s="94">
        <f>FCCL!F138</f>
        <v>0.81211137558007007</v>
      </c>
      <c r="J9" s="95">
        <f>IF(COUNT(E9:I9)=0,"n/m",AVERAGE(E9:I9))</f>
        <v>1.3174136472989262</v>
      </c>
      <c r="K9">
        <f>COUNT(E9:I9)</f>
        <v>5</v>
      </c>
      <c r="L9" s="96">
        <f>IF(AND(ISNUMBER(E9),ISNUMBER(J9)),E9-J9,"n/m")</f>
        <v>0.99415686816028881</v>
      </c>
      <c r="M9" s="96">
        <f>IF(COUNT(F9:I9)=0,"n/m",AVERAGE(F9:I9))</f>
        <v>1.068874430258854</v>
      </c>
      <c r="N9" s="96">
        <f>IF(COUNT(E9:I9)=0,"n/m",MEDIAN(E9:I9))</f>
        <v>1.290071633326858</v>
      </c>
      <c r="O9" t="s">
        <v>920</v>
      </c>
      <c r="P9" s="8" t="str">
        <f>IF(NOT(ISNUMBER(L9)),"n/m",IF(O9="Higher",IF(L9&gt;=0,"Above avg - favourable","Below avg - unfavourable"),IF(O9="Lower",IF(L9&lt;=0,"Below avg - favourable","Above avg - unfavourable"),IF(L9&gt;=0,"Above avg - context-dependent","Below avg - context-dependent"))))&amp;IF(K9&lt;5," (N="&amp;K9&amp;")","")</f>
        <v>Above avg - favourable</v>
      </c>
      <c r="R9" s="40" t="str">
        <f>IF(K9=0,"n/m",IF(ABS(J9-SUM(E9:I9)/K9)&lt;0.000000001,"OK","ERR"))</f>
        <v>OK</v>
      </c>
    </row>
    <row r="10" spans="1:18" x14ac:dyDescent="0.3">
      <c r="C10" s="37" t="s">
        <v>19</v>
      </c>
      <c r="D10" t="s">
        <v>28</v>
      </c>
      <c r="E10" s="94">
        <f>KOHC!G138</f>
        <v>2.9031590530160019</v>
      </c>
      <c r="F10" s="94">
        <f>LUCK!G138</f>
        <v>1.2632222354743232</v>
      </c>
      <c r="G10" s="94">
        <f>DGKC!G138</f>
        <v>1.296185931254842</v>
      </c>
      <c r="H10" s="94">
        <f>MLCF!G138</f>
        <v>1.4446782415124371</v>
      </c>
      <c r="I10" s="94">
        <f>FCCL!G138</f>
        <v>0.95974773116730094</v>
      </c>
      <c r="J10" s="95">
        <f>IF(COUNT(E10:I10)=0,"n/m",AVERAGE(E10:I10))</f>
        <v>1.5733986384849812</v>
      </c>
      <c r="K10">
        <f>COUNT(E10:I10)</f>
        <v>5</v>
      </c>
      <c r="L10" s="96">
        <f>IF(AND(ISNUMBER(E10),ISNUMBER(J10)),E10-J10,"n/m")</f>
        <v>1.3297604145310207</v>
      </c>
      <c r="M10" s="96">
        <f>IF(COUNT(F10:I10)=0,"n/m",AVERAGE(F10:I10))</f>
        <v>1.2409585348522258</v>
      </c>
      <c r="N10" s="96">
        <f>IF(COUNT(E10:I10)=0,"n/m",MEDIAN(E10:I10))</f>
        <v>1.296185931254842</v>
      </c>
      <c r="O10" t="s">
        <v>920</v>
      </c>
      <c r="P10" s="8" t="str">
        <f>IF(NOT(ISNUMBER(L10)),"n/m",IF(O10="Higher",IF(L10&gt;=0,"Above avg - favourable","Below avg - unfavourable"),IF(O10="Lower",IF(L10&lt;=0,"Below avg - favourable","Above avg - unfavourable"),IF(L10&gt;=0,"Above avg - context-dependent","Below avg - context-dependent"))))&amp;IF(K10&lt;5," (N="&amp;K10&amp;")","")</f>
        <v>Above avg - favourable</v>
      </c>
      <c r="R10" s="40" t="str">
        <f>IF(K10=0,"n/m",IF(ABS(J10-SUM(E10:I10)/K10)&lt;0.000000001,"OK","ERR"))</f>
        <v>OK</v>
      </c>
    </row>
    <row r="11" spans="1:18" x14ac:dyDescent="0.3">
      <c r="C11" s="37" t="s">
        <v>19</v>
      </c>
      <c r="D11" t="s">
        <v>29</v>
      </c>
      <c r="E11" s="94">
        <f>KOHC!H138</f>
        <v>3.311248687172772</v>
      </c>
      <c r="F11" s="94">
        <f>LUCK!H138</f>
        <v>1.7146143875904156</v>
      </c>
      <c r="G11" s="94">
        <f>DGKC!H138</f>
        <v>1.8489517932979607</v>
      </c>
      <c r="H11" s="94">
        <f>MLCF!H138</f>
        <v>1.5324411303645513</v>
      </c>
      <c r="I11" s="94">
        <f>FCCL!H138</f>
        <v>1.3210140828410366</v>
      </c>
      <c r="J11" s="95">
        <f>IF(COUNT(E11:I11)=0,"n/m",AVERAGE(E11:I11))</f>
        <v>1.9456540162533476</v>
      </c>
      <c r="K11">
        <f>COUNT(E11:I11)</f>
        <v>5</v>
      </c>
      <c r="L11" s="96">
        <f>IF(AND(ISNUMBER(E11),ISNUMBER(J11)),E11-J11,"n/m")</f>
        <v>1.3655946709194244</v>
      </c>
      <c r="M11" s="96">
        <f>IF(COUNT(F11:I11)=0,"n/m",AVERAGE(F11:I11))</f>
        <v>1.6042553485234912</v>
      </c>
      <c r="N11" s="96">
        <f>IF(COUNT(E11:I11)=0,"n/m",MEDIAN(E11:I11))</f>
        <v>1.7146143875904156</v>
      </c>
      <c r="O11" t="s">
        <v>920</v>
      </c>
      <c r="P11" s="8" t="str">
        <f>IF(NOT(ISNUMBER(L11)),"n/m",IF(O11="Higher",IF(L11&gt;=0,"Above avg - favourable","Below avg - unfavourable"),IF(O11="Lower",IF(L11&lt;=0,"Below avg - favourable","Above avg - unfavourable"),IF(L11&gt;=0,"Above avg - context-dependent","Below avg - context-dependent"))))&amp;IF(K11&lt;5," (N="&amp;K11&amp;")","")</f>
        <v>Above avg - favourable</v>
      </c>
      <c r="R11" s="40" t="str">
        <f>IF(K11=0,"n/m",IF(ABS(J11-SUM(E11:I11)/K11)&lt;0.000000001,"OK","ERR"))</f>
        <v>OK</v>
      </c>
    </row>
    <row r="12" spans="1:18" x14ac:dyDescent="0.3">
      <c r="A12" s="35" t="s">
        <v>459</v>
      </c>
      <c r="B12" s="13">
        <v>2</v>
      </c>
      <c r="C12" s="12" t="s">
        <v>463</v>
      </c>
      <c r="D12" s="13"/>
      <c r="E12" s="13"/>
      <c r="F12" s="13"/>
      <c r="G12" s="13"/>
      <c r="H12" s="13"/>
      <c r="I12" s="13"/>
      <c r="J12" s="13"/>
      <c r="K12" s="13"/>
      <c r="L12" s="13"/>
      <c r="M12" s="13"/>
      <c r="N12" s="13"/>
      <c r="O12" s="13"/>
      <c r="P12" s="13"/>
      <c r="Q12" s="36"/>
      <c r="R12" s="13"/>
    </row>
    <row r="13" spans="1:18" x14ac:dyDescent="0.3">
      <c r="C13" s="37" t="s">
        <v>30</v>
      </c>
      <c r="D13" t="s">
        <v>20</v>
      </c>
      <c r="E13" s="94">
        <f>KOHC!D139</f>
        <v>0.74816043855554903</v>
      </c>
      <c r="F13" s="94">
        <f>LUCK!D139</f>
        <v>0.89000886100685095</v>
      </c>
      <c r="G13" s="94">
        <f>DGKC!D139</f>
        <v>0.52718830778210601</v>
      </c>
      <c r="H13" s="94">
        <f>MLCF!D139</f>
        <v>0.43971691910387301</v>
      </c>
      <c r="I13" s="94">
        <f>FCCL!D139</f>
        <v>1.1357988467684703</v>
      </c>
      <c r="J13" s="95">
        <f>IF(COUNT(E13:I13)=0,"n/m",AVERAGE(E13:I13))</f>
        <v>0.74817467464336995</v>
      </c>
      <c r="K13">
        <f>COUNT(E13:I13)</f>
        <v>5</v>
      </c>
      <c r="L13" s="96">
        <f>IF(AND(ISNUMBER(E13),ISNUMBER(J13)),E13-J13,"n/m")</f>
        <v>-1.4236087820918009E-5</v>
      </c>
      <c r="M13" s="96">
        <f>IF(COUNT(F13:I13)=0,"n/m",AVERAGE(F13:I13))</f>
        <v>0.7481782336653251</v>
      </c>
      <c r="N13" s="96">
        <f>IF(COUNT(E13:I13)=0,"n/m",MEDIAN(E13:I13))</f>
        <v>0.74816043855554903</v>
      </c>
      <c r="O13" t="s">
        <v>920</v>
      </c>
      <c r="P13" s="8" t="str">
        <f>IF(NOT(ISNUMBER(L13)),"n/m",IF(O13="Higher",IF(L13&gt;=0,"Above avg - favourable","Below avg - unfavourable"),IF(O13="Lower",IF(L13&lt;=0,"Below avg - favourable","Above avg - unfavourable"),IF(L13&gt;=0,"Above avg - context-dependent","Below avg - context-dependent"))))&amp;IF(K13&lt;5," (N="&amp;K13&amp;")","")</f>
        <v>Below avg - unfavourable</v>
      </c>
      <c r="R13" s="40" t="str">
        <f>IF(K13=0,"n/m",IF(ABS(J13-SUM(E13:I13)/K13)&lt;0.000000001,"OK","ERR"))</f>
        <v>OK</v>
      </c>
    </row>
    <row r="14" spans="1:18" x14ac:dyDescent="0.3">
      <c r="C14" s="37" t="s">
        <v>30</v>
      </c>
      <c r="D14" t="s">
        <v>26</v>
      </c>
      <c r="E14" s="94">
        <f>KOHC!E139</f>
        <v>1.2758070110452304</v>
      </c>
      <c r="F14" s="94">
        <f>LUCK!E139</f>
        <v>0.87076091919208631</v>
      </c>
      <c r="G14" s="94">
        <f>DGKC!E139</f>
        <v>0.39093390789665328</v>
      </c>
      <c r="H14" s="94">
        <f>MLCF!E139</f>
        <v>0.29473524106223353</v>
      </c>
      <c r="I14" s="94">
        <f>FCCL!E139</f>
        <v>0.47078421060569281</v>
      </c>
      <c r="J14" s="95">
        <f>IF(COUNT(E14:I14)=0,"n/m",AVERAGE(E14:I14))</f>
        <v>0.66060425796037925</v>
      </c>
      <c r="K14">
        <f>COUNT(E14:I14)</f>
        <v>5</v>
      </c>
      <c r="L14" s="96">
        <f>IF(AND(ISNUMBER(E14),ISNUMBER(J14)),E14-J14,"n/m")</f>
        <v>0.61520275308485117</v>
      </c>
      <c r="M14" s="96">
        <f>IF(COUNT(F14:I14)=0,"n/m",AVERAGE(F14:I14))</f>
        <v>0.50680356968916651</v>
      </c>
      <c r="N14" s="96">
        <f>IF(COUNT(E14:I14)=0,"n/m",MEDIAN(E14:I14))</f>
        <v>0.47078421060569281</v>
      </c>
      <c r="O14" t="s">
        <v>920</v>
      </c>
      <c r="P14" s="8" t="str">
        <f>IF(NOT(ISNUMBER(L14)),"n/m",IF(O14="Higher",IF(L14&gt;=0,"Above avg - favourable","Below avg - unfavourable"),IF(O14="Lower",IF(L14&lt;=0,"Below avg - favourable","Above avg - unfavourable"),IF(L14&gt;=0,"Above avg - context-dependent","Below avg - context-dependent"))))&amp;IF(K14&lt;5," (N="&amp;K14&amp;")","")</f>
        <v>Above avg - favourable</v>
      </c>
      <c r="R14" s="40" t="str">
        <f>IF(K14=0,"n/m",IF(ABS(J14-SUM(E14:I14)/K14)&lt;0.000000001,"OK","ERR"))</f>
        <v>OK</v>
      </c>
    </row>
    <row r="15" spans="1:18" x14ac:dyDescent="0.3">
      <c r="C15" s="37" t="s">
        <v>30</v>
      </c>
      <c r="D15" t="s">
        <v>27</v>
      </c>
      <c r="E15" s="94">
        <f>KOHC!F139</f>
        <v>1.5392110300634694</v>
      </c>
      <c r="F15" s="94">
        <f>LUCK!F139</f>
        <v>0.85412226562426408</v>
      </c>
      <c r="G15" s="94">
        <f>DGKC!F139</f>
        <v>0.33489936167445872</v>
      </c>
      <c r="H15" s="94">
        <f>MLCF!F139</f>
        <v>0.5204561252187091</v>
      </c>
      <c r="I15" s="94">
        <f>FCCL!F139</f>
        <v>0.28121710873313321</v>
      </c>
      <c r="J15" s="95">
        <f>IF(COUNT(E15:I15)=0,"n/m",AVERAGE(E15:I15))</f>
        <v>0.70598117826280693</v>
      </c>
      <c r="K15">
        <f>COUNT(E15:I15)</f>
        <v>5</v>
      </c>
      <c r="L15" s="96">
        <f>IF(AND(ISNUMBER(E15),ISNUMBER(J15)),E15-J15,"n/m")</f>
        <v>0.83322985180066245</v>
      </c>
      <c r="M15" s="96">
        <f>IF(COUNT(F15:I15)=0,"n/m",AVERAGE(F15:I15))</f>
        <v>0.49767371531264132</v>
      </c>
      <c r="N15" s="96">
        <f>IF(COUNT(E15:I15)=0,"n/m",MEDIAN(E15:I15))</f>
        <v>0.5204561252187091</v>
      </c>
      <c r="O15" t="s">
        <v>920</v>
      </c>
      <c r="P15" s="8" t="str">
        <f>IF(NOT(ISNUMBER(L15)),"n/m",IF(O15="Higher",IF(L15&gt;=0,"Above avg - favourable","Below avg - unfavourable"),IF(O15="Lower",IF(L15&lt;=0,"Below avg - favourable","Above avg - unfavourable"),IF(L15&gt;=0,"Above avg - context-dependent","Below avg - context-dependent"))))&amp;IF(K15&lt;5," (N="&amp;K15&amp;")","")</f>
        <v>Above avg - favourable</v>
      </c>
      <c r="R15" s="40" t="str">
        <f>IF(K15=0,"n/m",IF(ABS(J15-SUM(E15:I15)/K15)&lt;0.000000001,"OK","ERR"))</f>
        <v>OK</v>
      </c>
    </row>
    <row r="16" spans="1:18" x14ac:dyDescent="0.3">
      <c r="C16" s="37" t="s">
        <v>30</v>
      </c>
      <c r="D16" t="s">
        <v>28</v>
      </c>
      <c r="E16" s="94">
        <f>KOHC!G139</f>
        <v>2.2200593399212352</v>
      </c>
      <c r="F16" s="94">
        <f>LUCK!G139</f>
        <v>0.83698311631700717</v>
      </c>
      <c r="G16" s="94">
        <f>DGKC!G139</f>
        <v>0.66771764923027133</v>
      </c>
      <c r="H16" s="94">
        <f>MLCF!G139</f>
        <v>0.60942670638462615</v>
      </c>
      <c r="I16" s="94">
        <f>FCCL!G139</f>
        <v>0.3420463898878065</v>
      </c>
      <c r="J16" s="95">
        <f>IF(COUNT(E16:I16)=0,"n/m",AVERAGE(E16:I16))</f>
        <v>0.93524664034818927</v>
      </c>
      <c r="K16">
        <f>COUNT(E16:I16)</f>
        <v>5</v>
      </c>
      <c r="L16" s="96">
        <f>IF(AND(ISNUMBER(E16),ISNUMBER(J16)),E16-J16,"n/m")</f>
        <v>1.2848126995730458</v>
      </c>
      <c r="M16" s="96">
        <f>IF(COUNT(F16:I16)=0,"n/m",AVERAGE(F16:I16))</f>
        <v>0.61404346545492783</v>
      </c>
      <c r="N16" s="96">
        <f>IF(COUNT(E16:I16)=0,"n/m",MEDIAN(E16:I16))</f>
        <v>0.66771764923027133</v>
      </c>
      <c r="O16" t="s">
        <v>920</v>
      </c>
      <c r="P16" s="8" t="str">
        <f>IF(NOT(ISNUMBER(L16)),"n/m",IF(O16="Higher",IF(L16&gt;=0,"Above avg - favourable","Below avg - unfavourable"),IF(O16="Lower",IF(L16&lt;=0,"Below avg - favourable","Above avg - unfavourable"),IF(L16&gt;=0,"Above avg - context-dependent","Below avg - context-dependent"))))&amp;IF(K16&lt;5," (N="&amp;K16&amp;")","")</f>
        <v>Above avg - favourable</v>
      </c>
      <c r="R16" s="40" t="str">
        <f>IF(K16=0,"n/m",IF(ABS(J16-SUM(E16:I16)/K16)&lt;0.000000001,"OK","ERR"))</f>
        <v>OK</v>
      </c>
    </row>
    <row r="17" spans="1:18" x14ac:dyDescent="0.3">
      <c r="C17" s="37" t="s">
        <v>30</v>
      </c>
      <c r="D17" t="s">
        <v>29</v>
      </c>
      <c r="E17" s="94">
        <f>KOHC!H139</f>
        <v>2.6677003784340947</v>
      </c>
      <c r="F17" s="94">
        <f>LUCK!H139</f>
        <v>1.2939267138361998</v>
      </c>
      <c r="G17" s="94">
        <f>DGKC!H139</f>
        <v>1.0579587679634685</v>
      </c>
      <c r="H17" s="94">
        <f>MLCF!H139</f>
        <v>0.80788282595509864</v>
      </c>
      <c r="I17" s="94">
        <f>FCCL!H139</f>
        <v>0.67753380767364924</v>
      </c>
      <c r="J17" s="95">
        <f>IF(COUNT(E17:I17)=0,"n/m",AVERAGE(E17:I17))</f>
        <v>1.3010004987725021</v>
      </c>
      <c r="K17">
        <f>COUNT(E17:I17)</f>
        <v>5</v>
      </c>
      <c r="L17" s="96">
        <f>IF(AND(ISNUMBER(E17),ISNUMBER(J17)),E17-J17,"n/m")</f>
        <v>1.3666998796615926</v>
      </c>
      <c r="M17" s="96">
        <f>IF(COUNT(F17:I17)=0,"n/m",AVERAGE(F17:I17))</f>
        <v>0.95932552885710409</v>
      </c>
      <c r="N17" s="96">
        <f>IF(COUNT(E17:I17)=0,"n/m",MEDIAN(E17:I17))</f>
        <v>1.0579587679634685</v>
      </c>
      <c r="O17" t="s">
        <v>920</v>
      </c>
      <c r="P17" s="8" t="str">
        <f>IF(NOT(ISNUMBER(L17)),"n/m",IF(O17="Higher",IF(L17&gt;=0,"Above avg - favourable","Below avg - unfavourable"),IF(O17="Lower",IF(L17&lt;=0,"Below avg - favourable","Above avg - unfavourable"),IF(L17&gt;=0,"Above avg - context-dependent","Below avg - context-dependent"))))&amp;IF(K17&lt;5," (N="&amp;K17&amp;")","")</f>
        <v>Above avg - favourable</v>
      </c>
      <c r="R17" s="40" t="str">
        <f>IF(K17=0,"n/m",IF(ABS(J17-SUM(E17:I17)/K17)&lt;0.000000001,"OK","ERR"))</f>
        <v>OK</v>
      </c>
    </row>
    <row r="18" spans="1:18" x14ac:dyDescent="0.3">
      <c r="A18" s="35" t="s">
        <v>459</v>
      </c>
      <c r="B18" s="13">
        <v>3</v>
      </c>
      <c r="C18" s="12" t="s">
        <v>465</v>
      </c>
      <c r="D18" s="13"/>
      <c r="E18" s="13"/>
      <c r="F18" s="13"/>
      <c r="G18" s="13"/>
      <c r="H18" s="13"/>
      <c r="I18" s="13"/>
      <c r="J18" s="13"/>
      <c r="K18" s="13"/>
      <c r="L18" s="13"/>
      <c r="M18" s="13"/>
      <c r="N18" s="13"/>
      <c r="O18" s="13"/>
      <c r="P18" s="13"/>
      <c r="Q18" s="36"/>
      <c r="R18" s="13"/>
    </row>
    <row r="19" spans="1:18" x14ac:dyDescent="0.3">
      <c r="C19" s="37" t="s">
        <v>145</v>
      </c>
      <c r="D19" t="s">
        <v>20</v>
      </c>
      <c r="E19" s="94">
        <f>KOHC!D140</f>
        <v>0.15817363525137568</v>
      </c>
      <c r="F19" s="94">
        <f>LUCK!D140</f>
        <v>9.2981138751599135E-2</v>
      </c>
      <c r="G19" s="94">
        <f>DGKC!D140</f>
        <v>2.0011480184397672E-2</v>
      </c>
      <c r="H19" s="94">
        <f>MLCF!D140</f>
        <v>4.2825558053104403E-2</v>
      </c>
      <c r="I19" s="94">
        <f>FCCL!D140</f>
        <v>0.14618299383526975</v>
      </c>
      <c r="J19" s="95">
        <f>IF(COUNT(E19:I19)=0,"n/m",AVERAGE(E19:I19))</f>
        <v>9.2034961215149341E-2</v>
      </c>
      <c r="K19">
        <f>COUNT(E19:I19)</f>
        <v>5</v>
      </c>
      <c r="L19" s="96">
        <f>IF(AND(ISNUMBER(E19),ISNUMBER(J19)),E19-J19,"n/m")</f>
        <v>6.6138674036226336E-2</v>
      </c>
      <c r="M19" s="96">
        <f>IF(COUNT(F19:I19)=0,"n/m",AVERAGE(F19:I19))</f>
        <v>7.5500292706092736E-2</v>
      </c>
      <c r="N19" s="96">
        <f>IF(COUNT(E19:I19)=0,"n/m",MEDIAN(E19:I19))</f>
        <v>9.2981138751599135E-2</v>
      </c>
      <c r="O19" t="s">
        <v>920</v>
      </c>
      <c r="P19" s="8" t="str">
        <f>IF(NOT(ISNUMBER(L19)),"n/m",IF(O19="Higher",IF(L19&gt;=0,"Above avg - favourable","Below avg - unfavourable"),IF(O19="Lower",IF(L19&lt;=0,"Below avg - favourable","Above avg - unfavourable"),IF(L19&gt;=0,"Above avg - context-dependent","Below avg - context-dependent"))))&amp;IF(K19&lt;5," (N="&amp;K19&amp;")","")</f>
        <v>Above avg - favourable</v>
      </c>
      <c r="R19" s="40" t="str">
        <f>IF(K19=0,"n/m",IF(ABS(J19-SUM(E19:I19)/K19)&lt;0.000000001,"OK","ERR"))</f>
        <v>OK</v>
      </c>
    </row>
    <row r="20" spans="1:18" x14ac:dyDescent="0.3">
      <c r="C20" s="37" t="s">
        <v>145</v>
      </c>
      <c r="D20" t="s">
        <v>26</v>
      </c>
      <c r="E20" s="94">
        <f>KOHC!E140</f>
        <v>5.0670963775722312E-2</v>
      </c>
      <c r="F20" s="94">
        <f>LUCK!E140</f>
        <v>0.12750015990720837</v>
      </c>
      <c r="G20" s="94">
        <f>DGKC!E140</f>
        <v>8.913248794490819E-3</v>
      </c>
      <c r="H20" s="94">
        <f>MLCF!E140</f>
        <v>4.9006165540003331E-2</v>
      </c>
      <c r="I20" s="94">
        <f>FCCL!E140</f>
        <v>8.632203736853207E-2</v>
      </c>
      <c r="J20" s="95">
        <f>IF(COUNT(E20:I20)=0,"n/m",AVERAGE(E20:I20))</f>
        <v>6.4482515077191382E-2</v>
      </c>
      <c r="K20">
        <f>COUNT(E20:I20)</f>
        <v>5</v>
      </c>
      <c r="L20" s="96">
        <f>IF(AND(ISNUMBER(E20),ISNUMBER(J20)),E20-J20,"n/m")</f>
        <v>-1.381155130146907E-2</v>
      </c>
      <c r="M20" s="96">
        <f>IF(COUNT(F20:I20)=0,"n/m",AVERAGE(F20:I20))</f>
        <v>6.7935402902558645E-2</v>
      </c>
      <c r="N20" s="96">
        <f>IF(COUNT(E20:I20)=0,"n/m",MEDIAN(E20:I20))</f>
        <v>5.0670963775722312E-2</v>
      </c>
      <c r="O20" t="s">
        <v>920</v>
      </c>
      <c r="P20" s="8" t="str">
        <f>IF(NOT(ISNUMBER(L20)),"n/m",IF(O20="Higher",IF(L20&gt;=0,"Above avg - favourable","Below avg - unfavourable"),IF(O20="Lower",IF(L20&lt;=0,"Below avg - favourable","Above avg - unfavourable"),IF(L20&gt;=0,"Above avg - context-dependent","Below avg - context-dependent"))))&amp;IF(K20&lt;5," (N="&amp;K20&amp;")","")</f>
        <v>Below avg - unfavourable</v>
      </c>
      <c r="R20" s="40" t="str">
        <f>IF(K20=0,"n/m",IF(ABS(J20-SUM(E20:I20)/K20)&lt;0.000000001,"OK","ERR"))</f>
        <v>OK</v>
      </c>
    </row>
    <row r="21" spans="1:18" x14ac:dyDescent="0.3">
      <c r="C21" s="37" t="s">
        <v>145</v>
      </c>
      <c r="D21" t="s">
        <v>27</v>
      </c>
      <c r="E21" s="94">
        <f>KOHC!F140</f>
        <v>9.4178046452072631E-2</v>
      </c>
      <c r="F21" s="94">
        <f>LUCK!F140</f>
        <v>8.9131716180629636E-2</v>
      </c>
      <c r="G21" s="94">
        <f>DGKC!F140</f>
        <v>1.3866688142092815E-2</v>
      </c>
      <c r="H21" s="94">
        <f>MLCF!F140</f>
        <v>4.5680298533070048E-2</v>
      </c>
      <c r="I21" s="94">
        <f>FCCL!F140</f>
        <v>3.4066835387760418E-2</v>
      </c>
      <c r="J21" s="95">
        <f>IF(COUNT(E21:I21)=0,"n/m",AVERAGE(E21:I21))</f>
        <v>5.5384716939125112E-2</v>
      </c>
      <c r="K21">
        <f>COUNT(E21:I21)</f>
        <v>5</v>
      </c>
      <c r="L21" s="96">
        <f>IF(AND(ISNUMBER(E21),ISNUMBER(J21)),E21-J21,"n/m")</f>
        <v>3.8793329512947519E-2</v>
      </c>
      <c r="M21" s="96">
        <f>IF(COUNT(F21:I21)=0,"n/m",AVERAGE(F21:I21))</f>
        <v>4.5686384560888228E-2</v>
      </c>
      <c r="N21" s="96">
        <f>IF(COUNT(E21:I21)=0,"n/m",MEDIAN(E21:I21))</f>
        <v>4.5680298533070048E-2</v>
      </c>
      <c r="O21" t="s">
        <v>920</v>
      </c>
      <c r="P21" s="8" t="str">
        <f>IF(NOT(ISNUMBER(L21)),"n/m",IF(O21="Higher",IF(L21&gt;=0,"Above avg - favourable","Below avg - unfavourable"),IF(O21="Lower",IF(L21&lt;=0,"Below avg - favourable","Above avg - unfavourable"),IF(L21&gt;=0,"Above avg - context-dependent","Below avg - context-dependent"))))&amp;IF(K21&lt;5," (N="&amp;K21&amp;")","")</f>
        <v>Above avg - favourable</v>
      </c>
      <c r="R21" s="40" t="str">
        <f>IF(K21=0,"n/m",IF(ABS(J21-SUM(E21:I21)/K21)&lt;0.000000001,"OK","ERR"))</f>
        <v>OK</v>
      </c>
    </row>
    <row r="22" spans="1:18" x14ac:dyDescent="0.3">
      <c r="C22" s="37" t="s">
        <v>145</v>
      </c>
      <c r="D22" t="s">
        <v>28</v>
      </c>
      <c r="E22" s="94">
        <f>KOHC!G140</f>
        <v>9.9376831489781367E-2</v>
      </c>
      <c r="F22" s="94">
        <f>LUCK!G140</f>
        <v>4.7374946328530058E-2</v>
      </c>
      <c r="G22" s="94">
        <f>DGKC!G140</f>
        <v>2.2719990993528554E-2</v>
      </c>
      <c r="H22" s="94">
        <f>MLCF!G140</f>
        <v>6.0943337383991658E-2</v>
      </c>
      <c r="I22" s="94">
        <f>FCCL!G140</f>
        <v>0.10917301381732912</v>
      </c>
      <c r="J22" s="95">
        <f>IF(COUNT(E22:I22)=0,"n/m",AVERAGE(E22:I22))</f>
        <v>6.7917624002632154E-2</v>
      </c>
      <c r="K22">
        <f>COUNT(E22:I22)</f>
        <v>5</v>
      </c>
      <c r="L22" s="96">
        <f>IF(AND(ISNUMBER(E22),ISNUMBER(J22)),E22-J22,"n/m")</f>
        <v>3.1459207487149213E-2</v>
      </c>
      <c r="M22" s="96">
        <f>IF(COUNT(F22:I22)=0,"n/m",AVERAGE(F22:I22))</f>
        <v>6.0052822130844855E-2</v>
      </c>
      <c r="N22" s="96">
        <f>IF(COUNT(E22:I22)=0,"n/m",MEDIAN(E22:I22))</f>
        <v>6.0943337383991658E-2</v>
      </c>
      <c r="O22" t="s">
        <v>920</v>
      </c>
      <c r="P22" s="8" t="str">
        <f>IF(NOT(ISNUMBER(L22)),"n/m",IF(O22="Higher",IF(L22&gt;=0,"Above avg - favourable","Below avg - unfavourable"),IF(O22="Lower",IF(L22&lt;=0,"Below avg - favourable","Above avg - unfavourable"),IF(L22&gt;=0,"Above avg - context-dependent","Below avg - context-dependent"))))&amp;IF(K22&lt;5," (N="&amp;K22&amp;")","")</f>
        <v>Above avg - favourable</v>
      </c>
      <c r="R22" s="40" t="str">
        <f>IF(K22=0,"n/m",IF(ABS(J22-SUM(E22:I22)/K22)&lt;0.000000001,"OK","ERR"))</f>
        <v>OK</v>
      </c>
    </row>
    <row r="23" spans="1:18" x14ac:dyDescent="0.3">
      <c r="C23" s="37" t="s">
        <v>145</v>
      </c>
      <c r="D23" t="s">
        <v>29</v>
      </c>
      <c r="E23" s="94">
        <f>KOHC!H140</f>
        <v>0.1243988942257843</v>
      </c>
      <c r="F23" s="94">
        <f>LUCK!H140</f>
        <v>4.7582830711888222E-2</v>
      </c>
      <c r="G23" s="94">
        <f>DGKC!H140</f>
        <v>2.1953369467390581E-2</v>
      </c>
      <c r="H23" s="94">
        <f>MLCF!H140</f>
        <v>6.9243334827372452E-2</v>
      </c>
      <c r="I23" s="94">
        <f>FCCL!H140</f>
        <v>8.6995944871083974E-2</v>
      </c>
      <c r="J23" s="95">
        <f>IF(COUNT(E23:I23)=0,"n/m",AVERAGE(E23:I23))</f>
        <v>7.0034874820703905E-2</v>
      </c>
      <c r="K23">
        <f>COUNT(E23:I23)</f>
        <v>5</v>
      </c>
      <c r="L23" s="96">
        <f>IF(AND(ISNUMBER(E23),ISNUMBER(J23)),E23-J23,"n/m")</f>
        <v>5.4364019405080399E-2</v>
      </c>
      <c r="M23" s="96">
        <f>IF(COUNT(F23:I23)=0,"n/m",AVERAGE(F23:I23))</f>
        <v>5.6443869969433805E-2</v>
      </c>
      <c r="N23" s="96">
        <f>IF(COUNT(E23:I23)=0,"n/m",MEDIAN(E23:I23))</f>
        <v>6.9243334827372452E-2</v>
      </c>
      <c r="O23" t="s">
        <v>920</v>
      </c>
      <c r="P23" s="8" t="str">
        <f>IF(NOT(ISNUMBER(L23)),"n/m",IF(O23="Higher",IF(L23&gt;=0,"Above avg - favourable","Below avg - unfavourable"),IF(O23="Lower",IF(L23&lt;=0,"Below avg - favourable","Above avg - unfavourable"),IF(L23&gt;=0,"Above avg - context-dependent","Below avg - context-dependent"))))&amp;IF(K23&lt;5," (N="&amp;K23&amp;")","")</f>
        <v>Above avg - favourable</v>
      </c>
      <c r="R23" s="40" t="str">
        <f>IF(K23=0,"n/m",IF(ABS(J23-SUM(E23:I23)/K23)&lt;0.000000001,"OK","ERR"))</f>
        <v>OK</v>
      </c>
    </row>
    <row r="24" spans="1:18" x14ac:dyDescent="0.3">
      <c r="A24" s="35" t="s">
        <v>459</v>
      </c>
      <c r="B24" s="13">
        <v>4</v>
      </c>
      <c r="C24" s="12" t="s">
        <v>467</v>
      </c>
      <c r="D24" s="13"/>
      <c r="E24" s="13"/>
      <c r="F24" s="13"/>
      <c r="G24" s="13"/>
      <c r="H24" s="13"/>
      <c r="I24" s="13"/>
      <c r="J24" s="13"/>
      <c r="K24" s="13"/>
      <c r="L24" s="13"/>
      <c r="M24" s="13"/>
      <c r="N24" s="13"/>
      <c r="O24" s="13"/>
      <c r="P24" s="13"/>
      <c r="Q24" s="36" t="s">
        <v>921</v>
      </c>
      <c r="R24" s="13"/>
    </row>
    <row r="25" spans="1:18" x14ac:dyDescent="0.3">
      <c r="C25" s="37" t="s">
        <v>201</v>
      </c>
      <c r="D25" t="s">
        <v>20</v>
      </c>
      <c r="E25" s="97">
        <f>KOHC!D141</f>
        <v>2276.5547739999984</v>
      </c>
      <c r="F25" s="97">
        <f>LUCK!D141</f>
        <v>10289.302000000007</v>
      </c>
      <c r="G25" s="97" t="str">
        <f>DGKC!D141</f>
        <v>n/m</v>
      </c>
      <c r="H25" s="97">
        <f>MLCF!D141</f>
        <v>5473.9680000000026</v>
      </c>
      <c r="I25" s="97">
        <f>FCCL!D141</f>
        <v>6276.7430000000004</v>
      </c>
      <c r="J25" s="98">
        <f>IF(COUNT(E25:I25)=0,"n/m",AVERAGE(E25:I25))</f>
        <v>6079.1419435000025</v>
      </c>
      <c r="K25">
        <f>COUNT(E25:I25)</f>
        <v>4</v>
      </c>
      <c r="L25" s="99">
        <f>IF(AND(ISNUMBER(E25),ISNUMBER(J25)),E25-J25,"n/m")</f>
        <v>-3802.5871695000042</v>
      </c>
      <c r="M25" s="99">
        <f>IF(COUNT(F25:I25)=0,"n/m",AVERAGE(F25:I25))</f>
        <v>7346.671000000003</v>
      </c>
      <c r="N25" s="99">
        <f>IF(COUNT(E25:I25)=0,"n/m",MEDIAN(E25:I25))</f>
        <v>5875.3555000000015</v>
      </c>
      <c r="O25" t="s">
        <v>922</v>
      </c>
      <c r="P25" s="8" t="str">
        <f>IF(NOT(ISNUMBER(L25)),"n/m",IF(O25="Higher",IF(L25&gt;=0,"Above avg - favourable","Below avg - unfavourable"),IF(O25="Lower",IF(L25&lt;=0,"Below avg - favourable","Above avg - unfavourable"),IF(L25&gt;=0,"Above avg - context-dependent","Below avg - context-dependent"))))&amp;IF(K25&lt;5," (N="&amp;K25&amp;")","")</f>
        <v>Below avg - context-dependent (N=4)</v>
      </c>
      <c r="R25" s="40" t="str">
        <f>IF(K25=0,"n/m",IF(ABS(J25-SUM(E25:I25)/K25)&lt;0.000000001,"OK","ERR"))</f>
        <v>OK</v>
      </c>
    </row>
    <row r="26" spans="1:18" x14ac:dyDescent="0.3">
      <c r="C26" s="37" t="s">
        <v>201</v>
      </c>
      <c r="D26" t="s">
        <v>26</v>
      </c>
      <c r="E26" s="97">
        <f>KOHC!E141</f>
        <v>8287.8407679999964</v>
      </c>
      <c r="F26" s="97">
        <f>LUCK!E141</f>
        <v>14454.333000000006</v>
      </c>
      <c r="G26" s="97" t="str">
        <f>DGKC!E141</f>
        <v>n/m</v>
      </c>
      <c r="H26" s="97">
        <f>MLCF!E141</f>
        <v>4128.5980000000036</v>
      </c>
      <c r="I26" s="97">
        <f>FCCL!E141</f>
        <v>1495.5590000000011</v>
      </c>
      <c r="J26" s="98">
        <f>IF(COUNT(E26:I26)=0,"n/m",AVERAGE(E26:I26))</f>
        <v>7091.5826920000018</v>
      </c>
      <c r="K26">
        <f>COUNT(E26:I26)</f>
        <v>4</v>
      </c>
      <c r="L26" s="99">
        <f>IF(AND(ISNUMBER(E26),ISNUMBER(J26)),E26-J26,"n/m")</f>
        <v>1196.2580759999946</v>
      </c>
      <c r="M26" s="99">
        <f>IF(COUNT(F26:I26)=0,"n/m",AVERAGE(F26:I26))</f>
        <v>6692.8300000000045</v>
      </c>
      <c r="N26" s="99">
        <f>IF(COUNT(E26:I26)=0,"n/m",MEDIAN(E26:I26))</f>
        <v>6208.219384</v>
      </c>
      <c r="O26" t="s">
        <v>922</v>
      </c>
      <c r="P26" s="8" t="str">
        <f>IF(NOT(ISNUMBER(L26)),"n/m",IF(O26="Higher",IF(L26&gt;=0,"Above avg - favourable","Below avg - unfavourable"),IF(O26="Lower",IF(L26&lt;=0,"Below avg - favourable","Above avg - unfavourable"),IF(L26&gt;=0,"Above avg - context-dependent","Below avg - context-dependent"))))&amp;IF(K26&lt;5," (N="&amp;K26&amp;")","")</f>
        <v>Above avg - context-dependent (N=4)</v>
      </c>
      <c r="R26" s="40" t="str">
        <f>IF(K26=0,"n/m",IF(ABS(J26-SUM(E26:I26)/K26)&lt;0.000000001,"OK","ERR"))</f>
        <v>OK</v>
      </c>
    </row>
    <row r="27" spans="1:18" x14ac:dyDescent="0.3">
      <c r="C27" s="37" t="s">
        <v>201</v>
      </c>
      <c r="D27" t="s">
        <v>27</v>
      </c>
      <c r="E27" s="97">
        <f>KOHC!F141</f>
        <v>13000.905238000001</v>
      </c>
      <c r="F27" s="97">
        <f>LUCK!F141</f>
        <v>13395.762999999999</v>
      </c>
      <c r="G27" s="97" t="str">
        <f>DGKC!F141</f>
        <v>n/m</v>
      </c>
      <c r="H27" s="97">
        <f>MLCF!F141</f>
        <v>6024.645999999997</v>
      </c>
      <c r="I27" s="97" t="str">
        <f>FCCL!F141</f>
        <v>n/m</v>
      </c>
      <c r="J27" s="98">
        <f>IF(COUNT(E27:I27)=0,"n/m",AVERAGE(E27:I27))</f>
        <v>10807.104745999999</v>
      </c>
      <c r="K27">
        <f>COUNT(E27:I27)</f>
        <v>3</v>
      </c>
      <c r="L27" s="99">
        <f>IF(AND(ISNUMBER(E27),ISNUMBER(J27)),E27-J27,"n/m")</f>
        <v>2193.8004920000021</v>
      </c>
      <c r="M27" s="99">
        <f>IF(COUNT(F27:I27)=0,"n/m",AVERAGE(F27:I27))</f>
        <v>9710.204499999998</v>
      </c>
      <c r="N27" s="99">
        <f>IF(COUNT(E27:I27)=0,"n/m",MEDIAN(E27:I27))</f>
        <v>13000.905238000001</v>
      </c>
      <c r="O27" t="s">
        <v>922</v>
      </c>
      <c r="P27" s="8" t="str">
        <f>IF(NOT(ISNUMBER(L27)),"n/m",IF(O27="Higher",IF(L27&gt;=0,"Above avg - favourable","Below avg - unfavourable"),IF(O27="Lower",IF(L27&lt;=0,"Below avg - favourable","Above avg - unfavourable"),IF(L27&gt;=0,"Above avg - context-dependent","Below avg - context-dependent"))))&amp;IF(K27&lt;5," (N="&amp;K27&amp;")","")</f>
        <v>Above avg - context-dependent (N=3)</v>
      </c>
      <c r="R27" s="40" t="str">
        <f>IF(K27=0,"n/m",IF(ABS(J27-SUM(E27:I27)/K27)&lt;0.000000001,"OK","ERR"))</f>
        <v>OK</v>
      </c>
    </row>
    <row r="28" spans="1:18" x14ac:dyDescent="0.3">
      <c r="C28" s="37" t="s">
        <v>201</v>
      </c>
      <c r="D28" t="s">
        <v>28</v>
      </c>
      <c r="E28" s="97">
        <f>KOHC!G141</f>
        <v>21116.760542</v>
      </c>
      <c r="F28" s="97">
        <f>LUCK!G141</f>
        <v>14263.611000000004</v>
      </c>
      <c r="G28" s="97">
        <f>DGKC!G141</f>
        <v>9544.8039999999928</v>
      </c>
      <c r="H28" s="97">
        <f>MLCF!G141</f>
        <v>8270.0370000000003</v>
      </c>
      <c r="I28" s="97" t="str">
        <f>FCCL!G141</f>
        <v>n/m</v>
      </c>
      <c r="J28" s="98">
        <f>IF(COUNT(E28:I28)=0,"n/m",AVERAGE(E28:I28))</f>
        <v>13298.803135499998</v>
      </c>
      <c r="K28">
        <f>COUNT(E28:I28)</f>
        <v>4</v>
      </c>
      <c r="L28" s="99">
        <f>IF(AND(ISNUMBER(E28),ISNUMBER(J28)),E28-J28,"n/m")</f>
        <v>7817.9574065000015</v>
      </c>
      <c r="M28" s="99">
        <f>IF(COUNT(F28:I28)=0,"n/m",AVERAGE(F28:I28))</f>
        <v>10692.817333333332</v>
      </c>
      <c r="N28" s="99">
        <f>IF(COUNT(E28:I28)=0,"n/m",MEDIAN(E28:I28))</f>
        <v>11904.207499999999</v>
      </c>
      <c r="O28" t="s">
        <v>922</v>
      </c>
      <c r="P28" s="8" t="str">
        <f>IF(NOT(ISNUMBER(L28)),"n/m",IF(O28="Higher",IF(L28&gt;=0,"Above avg - favourable","Below avg - unfavourable"),IF(O28="Lower",IF(L28&lt;=0,"Below avg - favourable","Above avg - unfavourable"),IF(L28&gt;=0,"Above avg - context-dependent","Below avg - context-dependent"))))&amp;IF(K28&lt;5," (N="&amp;K28&amp;")","")</f>
        <v>Above avg - context-dependent (N=4)</v>
      </c>
      <c r="R28" s="40" t="str">
        <f>IF(K28=0,"n/m",IF(ABS(J28-SUM(E28:I28)/K28)&lt;0.000000001,"OK","ERR"))</f>
        <v>OK</v>
      </c>
    </row>
    <row r="29" spans="1:18" x14ac:dyDescent="0.3">
      <c r="C29" s="37" t="s">
        <v>201</v>
      </c>
      <c r="D29" t="s">
        <v>29</v>
      </c>
      <c r="E29" s="97">
        <f>KOHC!H141</f>
        <v>26953.091383000003</v>
      </c>
      <c r="F29" s="97">
        <f>LUCK!H141</f>
        <v>41905.97600000001</v>
      </c>
      <c r="G29" s="97">
        <f>DGKC!H141</f>
        <v>21997.121999999999</v>
      </c>
      <c r="H29" s="97">
        <f>MLCF!H141</f>
        <v>12422.112999999994</v>
      </c>
      <c r="I29" s="97">
        <f>FCCL!H141</f>
        <v>9835.0680000000066</v>
      </c>
      <c r="J29" s="98">
        <f>IF(COUNT(E29:I29)=0,"n/m",AVERAGE(E29:I29))</f>
        <v>22622.674076600008</v>
      </c>
      <c r="K29">
        <f>COUNT(E29:I29)</f>
        <v>5</v>
      </c>
      <c r="L29" s="99">
        <f>IF(AND(ISNUMBER(E29),ISNUMBER(J29)),E29-J29,"n/m")</f>
        <v>4330.4173063999951</v>
      </c>
      <c r="M29" s="99">
        <f>IF(COUNT(F29:I29)=0,"n/m",AVERAGE(F29:I29))</f>
        <v>21540.069750000002</v>
      </c>
      <c r="N29" s="99">
        <f>IF(COUNT(E29:I29)=0,"n/m",MEDIAN(E29:I29))</f>
        <v>21997.121999999999</v>
      </c>
      <c r="O29" t="s">
        <v>922</v>
      </c>
      <c r="P29" s="8" t="str">
        <f>IF(NOT(ISNUMBER(L29)),"n/m",IF(O29="Higher",IF(L29&gt;=0,"Above avg - favourable","Below avg - unfavourable"),IF(O29="Lower",IF(L29&lt;=0,"Below avg - favourable","Above avg - unfavourable"),IF(L29&gt;=0,"Above avg - context-dependent","Below avg - context-dependent"))))&amp;IF(K29&lt;5," (N="&amp;K29&amp;")","")</f>
        <v>Above avg - context-dependent</v>
      </c>
      <c r="R29" s="40" t="str">
        <f>IF(K29=0,"n/m",IF(ABS(J29-SUM(E29:I29)/K29)&lt;0.000000001,"OK","ERR"))</f>
        <v>OK</v>
      </c>
    </row>
    <row r="30" spans="1:18" x14ac:dyDescent="0.3">
      <c r="A30" s="35" t="s">
        <v>459</v>
      </c>
      <c r="B30" s="13">
        <v>5</v>
      </c>
      <c r="C30" s="12" t="s">
        <v>469</v>
      </c>
      <c r="D30" s="13"/>
      <c r="E30" s="13"/>
      <c r="F30" s="13"/>
      <c r="G30" s="13"/>
      <c r="H30" s="13"/>
      <c r="I30" s="13"/>
      <c r="J30" s="13"/>
      <c r="K30" s="13"/>
      <c r="L30" s="13"/>
      <c r="M30" s="13"/>
      <c r="N30" s="13"/>
      <c r="O30" s="13"/>
      <c r="P30" s="13"/>
      <c r="Q30" s="36" t="s">
        <v>921</v>
      </c>
      <c r="R30" s="13"/>
    </row>
    <row r="31" spans="1:18" x14ac:dyDescent="0.3">
      <c r="C31" s="37" t="s">
        <v>923</v>
      </c>
      <c r="D31" t="s">
        <v>20</v>
      </c>
      <c r="E31" s="97" t="str">
        <f>KOHC!D142</f>
        <v>n/m</v>
      </c>
      <c r="F31" s="97" t="str">
        <f>LUCK!D142</f>
        <v>n/m</v>
      </c>
      <c r="G31" s="97">
        <f>DGKC!D142</f>
        <v>8099.1470000000063</v>
      </c>
      <c r="H31" s="97">
        <f>MLCF!D142</f>
        <v>8772.3020000000015</v>
      </c>
      <c r="I31" s="97">
        <f>FCCL!D142</f>
        <v>3035.3930000000009</v>
      </c>
      <c r="J31" s="98">
        <f>IF(COUNT(E31:I31)=0,"n/m",AVERAGE(E31:I31))</f>
        <v>6635.6140000000023</v>
      </c>
      <c r="K31">
        <f>COUNT(E31:I31)</f>
        <v>3</v>
      </c>
      <c r="L31" s="99" t="str">
        <f>IF(AND(ISNUMBER(E31),ISNUMBER(J31)),E31-J31,"n/m")</f>
        <v>n/m</v>
      </c>
      <c r="M31" s="99">
        <f>IF(COUNT(F31:I31)=0,"n/m",AVERAGE(F31:I31))</f>
        <v>6635.6140000000023</v>
      </c>
      <c r="N31" s="99">
        <f>IF(COUNT(E31:I31)=0,"n/m",MEDIAN(E31:I31))</f>
        <v>8099.1470000000063</v>
      </c>
      <c r="O31" t="s">
        <v>922</v>
      </c>
      <c r="P31" s="8" t="str">
        <f>IF(NOT(ISNUMBER(L31)),"n/m",IF(O31="Higher",IF(L31&gt;=0,"Above avg - favourable","Below avg - unfavourable"),IF(O31="Lower",IF(L31&lt;=0,"Below avg - favourable","Above avg - unfavourable"),IF(L31&gt;=0,"Above avg - context-dependent","Below avg - context-dependent"))))&amp;IF(K31&lt;5," (N="&amp;K31&amp;")","")</f>
        <v>n/m (N=3)</v>
      </c>
      <c r="R31" s="40" t="str">
        <f>IF(K31=0,"n/m",IF(ABS(J31-SUM(E31:I31)/K31)&lt;0.000000001,"OK","ERR"))</f>
        <v>OK</v>
      </c>
    </row>
    <row r="32" spans="1:18" x14ac:dyDescent="0.3">
      <c r="C32" s="37" t="s">
        <v>923</v>
      </c>
      <c r="D32" t="s">
        <v>26</v>
      </c>
      <c r="E32" s="97" t="str">
        <f>KOHC!E142</f>
        <v>n/m</v>
      </c>
      <c r="F32" s="97" t="str">
        <f>LUCK!E142</f>
        <v>n/m</v>
      </c>
      <c r="G32" s="97">
        <f>DGKC!E142</f>
        <v>17790.203999999998</v>
      </c>
      <c r="H32" s="97">
        <f>MLCF!E142</f>
        <v>10212.653</v>
      </c>
      <c r="I32" s="97">
        <f>FCCL!E142</f>
        <v>9408.2049999999999</v>
      </c>
      <c r="J32" s="98">
        <f>IF(COUNT(E32:I32)=0,"n/m",AVERAGE(E32:I32))</f>
        <v>12470.353999999999</v>
      </c>
      <c r="K32">
        <f>COUNT(E32:I32)</f>
        <v>3</v>
      </c>
      <c r="L32" s="99" t="str">
        <f>IF(AND(ISNUMBER(E32),ISNUMBER(J32)),E32-J32,"n/m")</f>
        <v>n/m</v>
      </c>
      <c r="M32" s="99">
        <f>IF(COUNT(F32:I32)=0,"n/m",AVERAGE(F32:I32))</f>
        <v>12470.353999999999</v>
      </c>
      <c r="N32" s="99">
        <f>IF(COUNT(E32:I32)=0,"n/m",MEDIAN(E32:I32))</f>
        <v>10212.653</v>
      </c>
      <c r="O32" t="s">
        <v>922</v>
      </c>
      <c r="P32" s="8" t="str">
        <f>IF(NOT(ISNUMBER(L32)),"n/m",IF(O32="Higher",IF(L32&gt;=0,"Above avg - favourable","Below avg - unfavourable"),IF(O32="Lower",IF(L32&lt;=0,"Below avg - favourable","Above avg - unfavourable"),IF(L32&gt;=0,"Above avg - context-dependent","Below avg - context-dependent"))))&amp;IF(K32&lt;5," (N="&amp;K32&amp;")","")</f>
        <v>n/m (N=3)</v>
      </c>
      <c r="R32" s="40" t="str">
        <f>IF(K32=0,"n/m",IF(ABS(J32-SUM(E32:I32)/K32)&lt;0.000000001,"OK","ERR"))</f>
        <v>OK</v>
      </c>
    </row>
    <row r="33" spans="1:18" x14ac:dyDescent="0.3">
      <c r="C33" s="37" t="s">
        <v>923</v>
      </c>
      <c r="D33" t="s">
        <v>27</v>
      </c>
      <c r="E33" s="97">
        <f>KOHC!F142</f>
        <v>1004.8001120000008</v>
      </c>
      <c r="F33" s="97" t="str">
        <f>LUCK!F142</f>
        <v>n/m</v>
      </c>
      <c r="G33" s="97">
        <f>DGKC!F142</f>
        <v>15215.495000000003</v>
      </c>
      <c r="H33" s="97">
        <f>MLCF!F142</f>
        <v>5291.2239999999983</v>
      </c>
      <c r="I33" s="97">
        <f>FCCL!F142</f>
        <v>10212.416999999998</v>
      </c>
      <c r="J33" s="98">
        <f>IF(COUNT(E33:I33)=0,"n/m",AVERAGE(E33:I33))</f>
        <v>7930.9840279999999</v>
      </c>
      <c r="K33">
        <f>COUNT(E33:I33)</f>
        <v>4</v>
      </c>
      <c r="L33" s="99">
        <f>IF(AND(ISNUMBER(E33),ISNUMBER(J33)),E33-J33,"n/m")</f>
        <v>-6926.183915999999</v>
      </c>
      <c r="M33" s="99">
        <f>IF(COUNT(F33:I33)=0,"n/m",AVERAGE(F33:I33))</f>
        <v>10239.712</v>
      </c>
      <c r="N33" s="99">
        <f>IF(COUNT(E33:I33)=0,"n/m",MEDIAN(E33:I33))</f>
        <v>7751.820499999998</v>
      </c>
      <c r="O33" t="s">
        <v>922</v>
      </c>
      <c r="P33" s="8" t="str">
        <f>IF(NOT(ISNUMBER(L33)),"n/m",IF(O33="Higher",IF(L33&gt;=0,"Above avg - favourable","Below avg - unfavourable"),IF(O33="Lower",IF(L33&lt;=0,"Below avg - favourable","Above avg - unfavourable"),IF(L33&gt;=0,"Above avg - context-dependent","Below avg - context-dependent"))))&amp;IF(K33&lt;5," (N="&amp;K33&amp;")","")</f>
        <v>Below avg - context-dependent (N=4)</v>
      </c>
      <c r="R33" s="40" t="str">
        <f>IF(K33=0,"n/m",IF(ABS(J33-SUM(E33:I33)/K33)&lt;0.000000001,"OK","ERR"))</f>
        <v>OK</v>
      </c>
    </row>
    <row r="34" spans="1:18" x14ac:dyDescent="0.3">
      <c r="C34" s="37" t="s">
        <v>923</v>
      </c>
      <c r="D34" t="s">
        <v>28</v>
      </c>
      <c r="E34" s="97">
        <f>KOHC!G142</f>
        <v>949.06124299999647</v>
      </c>
      <c r="F34" s="97" t="str">
        <f>LUCK!G142</f>
        <v>n/m</v>
      </c>
      <c r="G34" s="97">
        <f>DGKC!G142</f>
        <v>10223.228999999994</v>
      </c>
      <c r="H34" s="97">
        <f>MLCF!G142</f>
        <v>9031.93</v>
      </c>
      <c r="I34" s="97">
        <f>FCCL!G142</f>
        <v>10303.164999999997</v>
      </c>
      <c r="J34" s="98">
        <f>IF(COUNT(E34:I34)=0,"n/m",AVERAGE(E34:I34))</f>
        <v>7626.8463107499965</v>
      </c>
      <c r="K34">
        <f>COUNT(E34:I34)</f>
        <v>4</v>
      </c>
      <c r="L34" s="99">
        <f>IF(AND(ISNUMBER(E34),ISNUMBER(J34)),E34-J34,"n/m")</f>
        <v>-6677.7850677500001</v>
      </c>
      <c r="M34" s="99">
        <f>IF(COUNT(F34:I34)=0,"n/m",AVERAGE(F34:I34))</f>
        <v>9852.7746666666626</v>
      </c>
      <c r="N34" s="99">
        <f>IF(COUNT(E34:I34)=0,"n/m",MEDIAN(E34:I34))</f>
        <v>9627.5794999999962</v>
      </c>
      <c r="O34" t="s">
        <v>922</v>
      </c>
      <c r="P34" s="8" t="str">
        <f>IF(NOT(ISNUMBER(L34)),"n/m",IF(O34="Higher",IF(L34&gt;=0,"Above avg - favourable","Below avg - unfavourable"),IF(O34="Lower",IF(L34&lt;=0,"Below avg - favourable","Above avg - unfavourable"),IF(L34&gt;=0,"Above avg - context-dependent","Below avg - context-dependent"))))&amp;IF(K34&lt;5," (N="&amp;K34&amp;")","")</f>
        <v>Below avg - context-dependent (N=4)</v>
      </c>
      <c r="R34" s="40" t="str">
        <f>IF(K34=0,"n/m",IF(ABS(J34-SUM(E34:I34)/K34)&lt;0.000000001,"OK","ERR"))</f>
        <v>OK</v>
      </c>
    </row>
    <row r="35" spans="1:18" x14ac:dyDescent="0.3">
      <c r="C35" s="37" t="s">
        <v>923</v>
      </c>
      <c r="D35" t="s">
        <v>29</v>
      </c>
      <c r="E35" s="97" t="str">
        <f>KOHC!H142</f>
        <v>n/m</v>
      </c>
      <c r="F35" s="97" t="str">
        <f>LUCK!H142</f>
        <v>n/m</v>
      </c>
      <c r="G35" s="97">
        <f>DGKC!H142</f>
        <v>9579.732</v>
      </c>
      <c r="H35" s="97">
        <f>MLCF!H142</f>
        <v>4949.6489999999976</v>
      </c>
      <c r="I35" s="97">
        <f>FCCL!H142</f>
        <v>14427.799000000005</v>
      </c>
      <c r="J35" s="98">
        <f>IF(COUNT(E35:I35)=0,"n/m",AVERAGE(E35:I35))</f>
        <v>9652.3933333333334</v>
      </c>
      <c r="K35">
        <f>COUNT(E35:I35)</f>
        <v>3</v>
      </c>
      <c r="L35" s="99" t="str">
        <f>IF(AND(ISNUMBER(E35),ISNUMBER(J35)),E35-J35,"n/m")</f>
        <v>n/m</v>
      </c>
      <c r="M35" s="99">
        <f>IF(COUNT(F35:I35)=0,"n/m",AVERAGE(F35:I35))</f>
        <v>9652.3933333333334</v>
      </c>
      <c r="N35" s="99">
        <f>IF(COUNT(E35:I35)=0,"n/m",MEDIAN(E35:I35))</f>
        <v>9579.732</v>
      </c>
      <c r="O35" t="s">
        <v>922</v>
      </c>
      <c r="P35" s="8" t="str">
        <f>IF(NOT(ISNUMBER(L35)),"n/m",IF(O35="Higher",IF(L35&gt;=0,"Above avg - favourable","Below avg - unfavourable"),IF(O35="Lower",IF(L35&lt;=0,"Below avg - favourable","Above avg - unfavourable"),IF(L35&gt;=0,"Above avg - context-dependent","Below avg - context-dependent"))))&amp;IF(K35&lt;5," (N="&amp;K35&amp;")","")</f>
        <v>n/m (N=3)</v>
      </c>
      <c r="R35" s="40" t="str">
        <f>IF(K35=0,"n/m",IF(ABS(J35-SUM(E35:I35)/K35)&lt;0.000000001,"OK","ERR"))</f>
        <v>OK</v>
      </c>
    </row>
    <row r="36" spans="1:18" ht="22.05" customHeight="1" x14ac:dyDescent="0.3">
      <c r="A36" s="213" t="s">
        <v>924</v>
      </c>
      <c r="B36" s="206"/>
      <c r="C36" s="206"/>
      <c r="D36" s="206"/>
      <c r="E36" s="206"/>
      <c r="F36" s="206"/>
      <c r="G36" s="206"/>
      <c r="H36" s="206"/>
      <c r="I36" s="206"/>
      <c r="J36" s="206"/>
      <c r="K36" s="206"/>
      <c r="L36" s="206"/>
      <c r="M36" s="206"/>
      <c r="N36" s="206"/>
      <c r="O36" s="206"/>
      <c r="P36" s="206"/>
      <c r="Q36" s="206"/>
      <c r="R36" s="206"/>
    </row>
    <row r="37" spans="1:18" x14ac:dyDescent="0.3">
      <c r="A37" s="35" t="s">
        <v>471</v>
      </c>
      <c r="B37" s="13">
        <v>6</v>
      </c>
      <c r="C37" s="12" t="s">
        <v>472</v>
      </c>
      <c r="D37" s="13"/>
      <c r="E37" s="13"/>
      <c r="F37" s="13"/>
      <c r="G37" s="13"/>
      <c r="H37" s="13"/>
      <c r="I37" s="13"/>
      <c r="J37" s="13"/>
      <c r="K37" s="13"/>
      <c r="L37" s="13"/>
      <c r="M37" s="13"/>
      <c r="N37" s="13"/>
      <c r="O37" s="13"/>
      <c r="P37" s="13"/>
      <c r="Q37" s="36" t="s">
        <v>925</v>
      </c>
      <c r="R37" s="13"/>
    </row>
    <row r="38" spans="1:18" x14ac:dyDescent="0.3">
      <c r="C38" s="37" t="s">
        <v>31</v>
      </c>
      <c r="D38" t="s">
        <v>20</v>
      </c>
      <c r="E38" s="94">
        <f>KOHC!D144</f>
        <v>4.8570986013255171</v>
      </c>
      <c r="F38" s="94">
        <f>LUCK!D144</f>
        <v>3.8136073127139278</v>
      </c>
      <c r="G38" s="94">
        <f>DGKC!D144</f>
        <v>2.6267527531726218</v>
      </c>
      <c r="H38" s="94">
        <f>MLCF!D144</f>
        <v>2.5503561154199565</v>
      </c>
      <c r="I38" s="94">
        <f>FCCL!D144</f>
        <v>3.593399445976929</v>
      </c>
      <c r="J38" s="95">
        <f>IF(COUNT(E38:I38)=0,"n/m",AVERAGE(E38:I38))</f>
        <v>3.4882428457217904</v>
      </c>
      <c r="K38">
        <f>COUNT(E38:I38)</f>
        <v>5</v>
      </c>
      <c r="L38" s="96">
        <f>IF(AND(ISNUMBER(E38),ISNUMBER(J38)),E38-J38,"n/m")</f>
        <v>1.3688557556037266</v>
      </c>
      <c r="M38" s="96">
        <f>IF(COUNT(F38:I38)=0,"n/m",AVERAGE(F38:I38))</f>
        <v>3.1460289068208587</v>
      </c>
      <c r="N38" s="96">
        <f>IF(COUNT(E38:I38)=0,"n/m",MEDIAN(E38:I38))</f>
        <v>3.593399445976929</v>
      </c>
      <c r="O38" t="s">
        <v>920</v>
      </c>
      <c r="P38" s="8" t="str">
        <f>IF(NOT(ISNUMBER(L38)),"n/m",IF(O38="Higher",IF(L38&gt;=0,"Above avg - favourable","Below avg - unfavourable"),IF(O38="Lower",IF(L38&lt;=0,"Below avg - favourable","Above avg - unfavourable"),IF(L38&gt;=0,"Above avg - context-dependent","Below avg - context-dependent"))))&amp;IF(K38&lt;5," (N="&amp;K38&amp;")","")</f>
        <v>Above avg - favourable</v>
      </c>
      <c r="R38" s="40" t="str">
        <f>IF(K38=0,"n/m",IF(ABS(J38-SUM(E38:I38)/K38)&lt;0.000000001,"OK","ERR"))</f>
        <v>OK</v>
      </c>
    </row>
    <row r="39" spans="1:18" x14ac:dyDescent="0.3">
      <c r="C39" s="37" t="s">
        <v>31</v>
      </c>
      <c r="D39" t="s">
        <v>26</v>
      </c>
      <c r="E39" s="94">
        <f>KOHC!E144</f>
        <v>4.6811317215716919</v>
      </c>
      <c r="F39" s="94">
        <f>LUCK!E144</f>
        <v>3.657733126059421</v>
      </c>
      <c r="G39" s="94">
        <f>DGKC!E144</f>
        <v>2.479761249901864</v>
      </c>
      <c r="H39" s="94">
        <f>MLCF!E144</f>
        <v>2.6418827583195736</v>
      </c>
      <c r="I39" s="94">
        <f>FCCL!E144</f>
        <v>3.6798285509863442</v>
      </c>
      <c r="J39" s="95">
        <f>IF(COUNT(E39:I39)=0,"n/m",AVERAGE(E39:I39))</f>
        <v>3.4280674813677789</v>
      </c>
      <c r="K39">
        <f>COUNT(E39:I39)</f>
        <v>5</v>
      </c>
      <c r="L39" s="96">
        <f>IF(AND(ISNUMBER(E39),ISNUMBER(J39)),E39-J39,"n/m")</f>
        <v>1.2530642402039129</v>
      </c>
      <c r="M39" s="96">
        <f>IF(COUNT(F39:I39)=0,"n/m",AVERAGE(F39:I39))</f>
        <v>3.1148014213168009</v>
      </c>
      <c r="N39" s="96">
        <f>IF(COUNT(E39:I39)=0,"n/m",MEDIAN(E39:I39))</f>
        <v>3.657733126059421</v>
      </c>
      <c r="O39" t="s">
        <v>920</v>
      </c>
      <c r="P39" s="8" t="str">
        <f>IF(NOT(ISNUMBER(L39)),"n/m",IF(O39="Higher",IF(L39&gt;=0,"Above avg - favourable","Below avg - unfavourable"),IF(O39="Lower",IF(L39&lt;=0,"Below avg - favourable","Above avg - unfavourable"),IF(L39&gt;=0,"Above avg - context-dependent","Below avg - context-dependent"))))&amp;IF(K39&lt;5," (N="&amp;K39&amp;")","")</f>
        <v>Above avg - favourable</v>
      </c>
      <c r="R39" s="40" t="str">
        <f>IF(K39=0,"n/m",IF(ABS(J39-SUM(E39:I39)/K39)&lt;0.000000001,"OK","ERR"))</f>
        <v>OK</v>
      </c>
    </row>
    <row r="40" spans="1:18" x14ac:dyDescent="0.3">
      <c r="C40" s="37" t="s">
        <v>31</v>
      </c>
      <c r="D40" t="s">
        <v>27</v>
      </c>
      <c r="E40" s="94">
        <f>KOHC!F144</f>
        <v>4.2753791437713859</v>
      </c>
      <c r="F40" s="94">
        <f>LUCK!F144</f>
        <v>3.6234818387767853</v>
      </c>
      <c r="G40" s="94">
        <f>DGKC!F144</f>
        <v>2.4352964976956684</v>
      </c>
      <c r="H40" s="94">
        <f>MLCF!F144</f>
        <v>2.991643999189634</v>
      </c>
      <c r="I40" s="94">
        <f>FCCL!F144</f>
        <v>3.0981941833220765</v>
      </c>
      <c r="J40" s="95">
        <f>IF(COUNT(E40:I40)=0,"n/m",AVERAGE(E40:I40))</f>
        <v>3.2847991325511101</v>
      </c>
      <c r="K40">
        <f>COUNT(E40:I40)</f>
        <v>5</v>
      </c>
      <c r="L40" s="96">
        <f>IF(AND(ISNUMBER(E40),ISNUMBER(J40)),E40-J40,"n/m")</f>
        <v>0.99058001122027584</v>
      </c>
      <c r="M40" s="96">
        <f>IF(COUNT(F40:I40)=0,"n/m",AVERAGE(F40:I40))</f>
        <v>3.0371541297460412</v>
      </c>
      <c r="N40" s="96">
        <f>IF(COUNT(E40:I40)=0,"n/m",MEDIAN(E40:I40))</f>
        <v>3.0981941833220765</v>
      </c>
      <c r="O40" t="s">
        <v>920</v>
      </c>
      <c r="P40" s="8" t="str">
        <f>IF(NOT(ISNUMBER(L40)),"n/m",IF(O40="Higher",IF(L40&gt;=0,"Above avg - favourable","Below avg - unfavourable"),IF(O40="Lower",IF(L40&lt;=0,"Below avg - favourable","Above avg - unfavourable"),IF(L40&gt;=0,"Above avg - context-dependent","Below avg - context-dependent"))))&amp;IF(K40&lt;5," (N="&amp;K40&amp;")","")</f>
        <v>Above avg - favourable</v>
      </c>
      <c r="R40" s="40" t="str">
        <f>IF(K40=0,"n/m",IF(ABS(J40-SUM(E40:I40)/K40)&lt;0.000000001,"OK","ERR"))</f>
        <v>OK</v>
      </c>
    </row>
    <row r="41" spans="1:18" x14ac:dyDescent="0.3">
      <c r="C41" s="37" t="s">
        <v>31</v>
      </c>
      <c r="D41" t="s">
        <v>28</v>
      </c>
      <c r="E41" s="94">
        <f>KOHC!G144</f>
        <v>3.5957369645110586</v>
      </c>
      <c r="F41" s="94">
        <f>LUCK!G144</f>
        <v>3.5401699550948362</v>
      </c>
      <c r="G41" s="94">
        <f>DGKC!G144</f>
        <v>2.5832010951831741</v>
      </c>
      <c r="H41" s="94">
        <f>MLCF!G144</f>
        <v>3.1013565995658121</v>
      </c>
      <c r="I41" s="94">
        <f>FCCL!G144</f>
        <v>3.4267755412065504</v>
      </c>
      <c r="J41" s="95">
        <f>IF(COUNT(E41:I41)=0,"n/m",AVERAGE(E41:I41))</f>
        <v>3.2494480311122858</v>
      </c>
      <c r="K41">
        <f>COUNT(E41:I41)</f>
        <v>5</v>
      </c>
      <c r="L41" s="96">
        <f>IF(AND(ISNUMBER(E41),ISNUMBER(J41)),E41-J41,"n/m")</f>
        <v>0.34628893339877287</v>
      </c>
      <c r="M41" s="96">
        <f>IF(COUNT(F41:I41)=0,"n/m",AVERAGE(F41:I41))</f>
        <v>3.162875797762593</v>
      </c>
      <c r="N41" s="96">
        <f>IF(COUNT(E41:I41)=0,"n/m",MEDIAN(E41:I41))</f>
        <v>3.4267755412065504</v>
      </c>
      <c r="O41" t="s">
        <v>920</v>
      </c>
      <c r="P41" s="8" t="str">
        <f>IF(NOT(ISNUMBER(L41)),"n/m",IF(O41="Higher",IF(L41&gt;=0,"Above avg - favourable","Below avg - unfavourable"),IF(O41="Lower",IF(L41&lt;=0,"Below avg - favourable","Above avg - unfavourable"),IF(L41&gt;=0,"Above avg - context-dependent","Below avg - context-dependent"))))&amp;IF(K41&lt;5," (N="&amp;K41&amp;")","")</f>
        <v>Above avg - favourable</v>
      </c>
      <c r="R41" s="40" t="str">
        <f>IF(K41=0,"n/m",IF(ABS(J41-SUM(E41:I41)/K41)&lt;0.000000001,"OK","ERR"))</f>
        <v>OK</v>
      </c>
    </row>
    <row r="42" spans="1:18" x14ac:dyDescent="0.3">
      <c r="C42" s="37" t="s">
        <v>31</v>
      </c>
      <c r="D42" t="s">
        <v>29</v>
      </c>
      <c r="E42" s="94">
        <f>KOHC!H144</f>
        <v>3.024880626442934</v>
      </c>
      <c r="F42" s="94">
        <f>LUCK!H144</f>
        <v>3.4260949525900268</v>
      </c>
      <c r="G42" s="94">
        <f>DGKC!H144</f>
        <v>2.6203448800361673</v>
      </c>
      <c r="H42" s="94">
        <f>MLCF!H144</f>
        <v>2.7865732877055658</v>
      </c>
      <c r="I42" s="94">
        <f>FCCL!H144</f>
        <v>3.1608830315846066</v>
      </c>
      <c r="J42" s="95">
        <f>IF(COUNT(E42:I42)=0,"n/m",AVERAGE(E42:I42))</f>
        <v>3.0037553556718599</v>
      </c>
      <c r="K42">
        <f>COUNT(E42:I42)</f>
        <v>5</v>
      </c>
      <c r="L42" s="96">
        <f>IF(AND(ISNUMBER(E42),ISNUMBER(J42)),E42-J42,"n/m")</f>
        <v>2.1125270771074067E-2</v>
      </c>
      <c r="M42" s="96">
        <f>IF(COUNT(F42:I42)=0,"n/m",AVERAGE(F42:I42))</f>
        <v>2.9984740379790917</v>
      </c>
      <c r="N42" s="96">
        <f>IF(COUNT(E42:I42)=0,"n/m",MEDIAN(E42:I42))</f>
        <v>3.024880626442934</v>
      </c>
      <c r="O42" t="s">
        <v>920</v>
      </c>
      <c r="P42" s="8" t="str">
        <f>IF(NOT(ISNUMBER(L42)),"n/m",IF(O42="Higher",IF(L42&gt;=0,"Above avg - favourable","Below avg - unfavourable"),IF(O42="Lower",IF(L42&lt;=0,"Below avg - favourable","Above avg - unfavourable"),IF(L42&gt;=0,"Above avg - context-dependent","Below avg - context-dependent"))))&amp;IF(K42&lt;5," (N="&amp;K42&amp;")","")</f>
        <v>Above avg - favourable</v>
      </c>
      <c r="R42" s="40" t="str">
        <f>IF(K42=0,"n/m",IF(ABS(J42-SUM(E42:I42)/K42)&lt;0.000000001,"OK","ERR"))</f>
        <v>OK</v>
      </c>
    </row>
    <row r="43" spans="1:18" x14ac:dyDescent="0.3">
      <c r="A43" s="35" t="s">
        <v>471</v>
      </c>
      <c r="B43" s="13">
        <v>7</v>
      </c>
      <c r="C43" s="12" t="s">
        <v>474</v>
      </c>
      <c r="D43" s="13"/>
      <c r="E43" s="13"/>
      <c r="F43" s="13"/>
      <c r="G43" s="13"/>
      <c r="H43" s="13"/>
      <c r="I43" s="13"/>
      <c r="J43" s="13"/>
      <c r="K43" s="13"/>
      <c r="L43" s="13"/>
      <c r="M43" s="13"/>
      <c r="N43" s="13"/>
      <c r="O43" s="13"/>
      <c r="P43" s="13"/>
      <c r="Q43" s="36" t="s">
        <v>926</v>
      </c>
      <c r="R43" s="13"/>
    </row>
    <row r="44" spans="1:18" x14ac:dyDescent="0.3">
      <c r="C44" s="37" t="s">
        <v>129</v>
      </c>
      <c r="D44" t="s">
        <v>20</v>
      </c>
      <c r="E44" s="94">
        <f>KOHC!D145</f>
        <v>32.556527152183129</v>
      </c>
      <c r="F44" s="94">
        <f>LUCK!D145</f>
        <v>20.525799758937445</v>
      </c>
      <c r="G44" s="94">
        <f>DGKC!D145</f>
        <v>22.768270883109405</v>
      </c>
      <c r="H44" s="94">
        <f>MLCF!D145</f>
        <v>15.020941563038772</v>
      </c>
      <c r="I44" s="94">
        <f>FCCL!D145</f>
        <v>19.415164144242155</v>
      </c>
      <c r="J44" s="95">
        <f>IF(COUNT(E44:I44)=0,"n/m",AVERAGE(E44:I44))</f>
        <v>22.057340700302184</v>
      </c>
      <c r="K44">
        <f>COUNT(E44:I44)</f>
        <v>5</v>
      </c>
      <c r="L44" s="96">
        <f>IF(AND(ISNUMBER(E44),ISNUMBER(J44)),E44-J44,"n/m")</f>
        <v>10.499186451880945</v>
      </c>
      <c r="M44" s="96">
        <f>IF(COUNT(F44:I44)=0,"n/m",AVERAGE(F44:I44))</f>
        <v>19.432544087331944</v>
      </c>
      <c r="N44" s="96">
        <f>IF(COUNT(E44:I44)=0,"n/m",MEDIAN(E44:I44))</f>
        <v>20.525799758937445</v>
      </c>
      <c r="O44" t="s">
        <v>920</v>
      </c>
      <c r="P44" s="8" t="str">
        <f>IF(NOT(ISNUMBER(L44)),"n/m",IF(O44="Higher",IF(L44&gt;=0,"Above avg - favourable","Below avg - unfavourable"),IF(O44="Lower",IF(L44&lt;=0,"Below avg - favourable","Above avg - unfavourable"),IF(L44&gt;=0,"Above avg - context-dependent","Below avg - context-dependent"))))&amp;IF(K44&lt;5," (N="&amp;K44&amp;")","")</f>
        <v>Above avg - favourable</v>
      </c>
      <c r="R44" s="40" t="str">
        <f>IF(K44=0,"n/m",IF(ABS(J44-SUM(E44:I44)/K44)&lt;0.000000001,"OK","ERR"))</f>
        <v>OK</v>
      </c>
    </row>
    <row r="45" spans="1:18" x14ac:dyDescent="0.3">
      <c r="C45" s="37" t="s">
        <v>129</v>
      </c>
      <c r="D45" t="s">
        <v>26</v>
      </c>
      <c r="E45" s="94">
        <f>KOHC!E145</f>
        <v>34.614462046513971</v>
      </c>
      <c r="F45" s="94">
        <f>LUCK!E145</f>
        <v>26.020654219821807</v>
      </c>
      <c r="G45" s="94">
        <f>DGKC!E145</f>
        <v>36.922320391767833</v>
      </c>
      <c r="H45" s="94">
        <f>MLCF!E145</f>
        <v>25.905344380386534</v>
      </c>
      <c r="I45" s="94">
        <f>FCCL!E145</f>
        <v>28.088084014998095</v>
      </c>
      <c r="J45" s="95">
        <f>IF(COUNT(E45:I45)=0,"n/m",AVERAGE(E45:I45))</f>
        <v>30.31017301069765</v>
      </c>
      <c r="K45">
        <f>COUNT(E45:I45)</f>
        <v>5</v>
      </c>
      <c r="L45" s="96">
        <f>IF(AND(ISNUMBER(E45),ISNUMBER(J45)),E45-J45,"n/m")</f>
        <v>4.3042890358163213</v>
      </c>
      <c r="M45" s="96">
        <f>IF(COUNT(F45:I45)=0,"n/m",AVERAGE(F45:I45))</f>
        <v>29.234100751743568</v>
      </c>
      <c r="N45" s="96">
        <f>IF(COUNT(E45:I45)=0,"n/m",MEDIAN(E45:I45))</f>
        <v>28.088084014998095</v>
      </c>
      <c r="O45" t="s">
        <v>920</v>
      </c>
      <c r="P45" s="8" t="str">
        <f>IF(NOT(ISNUMBER(L45)),"n/m",IF(O45="Higher",IF(L45&gt;=0,"Above avg - favourable","Below avg - unfavourable"),IF(O45="Lower",IF(L45&lt;=0,"Below avg - favourable","Above avg - unfavourable"),IF(L45&gt;=0,"Above avg - context-dependent","Below avg - context-dependent"))))&amp;IF(K45&lt;5," (N="&amp;K45&amp;")","")</f>
        <v>Above avg - favourable</v>
      </c>
      <c r="R45" s="40" t="str">
        <f>IF(K45=0,"n/m",IF(ABS(J45-SUM(E45:I45)/K45)&lt;0.000000001,"OK","ERR"))</f>
        <v>OK</v>
      </c>
    </row>
    <row r="46" spans="1:18" x14ac:dyDescent="0.3">
      <c r="C46" s="37" t="s">
        <v>129</v>
      </c>
      <c r="D46" t="s">
        <v>27</v>
      </c>
      <c r="E46" s="94">
        <f>KOHC!F145</f>
        <v>36.690956476472735</v>
      </c>
      <c r="F46" s="94">
        <f>LUCK!F145</f>
        <v>22.253946370189343</v>
      </c>
      <c r="G46" s="94">
        <f>DGKC!F145</f>
        <v>48.836111797909446</v>
      </c>
      <c r="H46" s="94">
        <f>MLCF!F145</f>
        <v>26.600659453629234</v>
      </c>
      <c r="I46" s="94">
        <f>FCCL!F145</f>
        <v>22.745855737892271</v>
      </c>
      <c r="J46" s="95">
        <f>IF(COUNT(E46:I46)=0,"n/m",AVERAGE(E46:I46))</f>
        <v>31.425505967218601</v>
      </c>
      <c r="K46">
        <f>COUNT(E46:I46)</f>
        <v>5</v>
      </c>
      <c r="L46" s="96">
        <f>IF(AND(ISNUMBER(E46),ISNUMBER(J46)),E46-J46,"n/m")</f>
        <v>5.2654505092541335</v>
      </c>
      <c r="M46" s="96">
        <f>IF(COUNT(F46:I46)=0,"n/m",AVERAGE(F46:I46))</f>
        <v>30.109143339905074</v>
      </c>
      <c r="N46" s="96">
        <f>IF(COUNT(E46:I46)=0,"n/m",MEDIAN(E46:I46))</f>
        <v>26.600659453629234</v>
      </c>
      <c r="O46" t="s">
        <v>920</v>
      </c>
      <c r="P46" s="8" t="str">
        <f>IF(NOT(ISNUMBER(L46)),"n/m",IF(O46="Higher",IF(L46&gt;=0,"Above avg - favourable","Below avg - unfavourable"),IF(O46="Lower",IF(L46&lt;=0,"Below avg - favourable","Above avg - unfavourable"),IF(L46&gt;=0,"Above avg - context-dependent","Below avg - context-dependent"))))&amp;IF(K46&lt;5," (N="&amp;K46&amp;")","")</f>
        <v>Above avg - favourable</v>
      </c>
      <c r="R46" s="40" t="str">
        <f>IF(K46=0,"n/m",IF(ABS(J46-SUM(E46:I46)/K46)&lt;0.000000001,"OK","ERR"))</f>
        <v>OK</v>
      </c>
    </row>
    <row r="47" spans="1:18" x14ac:dyDescent="0.3">
      <c r="C47" s="37" t="s">
        <v>129</v>
      </c>
      <c r="D47" t="s">
        <v>28</v>
      </c>
      <c r="E47" s="94">
        <f>KOHC!G145</f>
        <v>23.311269128267483</v>
      </c>
      <c r="F47" s="94">
        <f>LUCK!G145</f>
        <v>19.185416979630755</v>
      </c>
      <c r="G47" s="94">
        <f>DGKC!G145</f>
        <v>64.453707869774377</v>
      </c>
      <c r="H47" s="94">
        <f>MLCF!G145</f>
        <v>19.574371293114748</v>
      </c>
      <c r="I47" s="94">
        <f>FCCL!G145</f>
        <v>17.554064923929165</v>
      </c>
      <c r="J47" s="95">
        <f>IF(COUNT(E47:I47)=0,"n/m",AVERAGE(E47:I47))</f>
        <v>28.815766038943309</v>
      </c>
      <c r="K47">
        <f>COUNT(E47:I47)</f>
        <v>5</v>
      </c>
      <c r="L47" s="96">
        <f>IF(AND(ISNUMBER(E47),ISNUMBER(J47)),E47-J47,"n/m")</f>
        <v>-5.5044969106758259</v>
      </c>
      <c r="M47" s="96">
        <f>IF(COUNT(F47:I47)=0,"n/m",AVERAGE(F47:I47))</f>
        <v>30.191890266612262</v>
      </c>
      <c r="N47" s="96">
        <f>IF(COUNT(E47:I47)=0,"n/m",MEDIAN(E47:I47))</f>
        <v>19.574371293114748</v>
      </c>
      <c r="O47" t="s">
        <v>920</v>
      </c>
      <c r="P47" s="8" t="str">
        <f>IF(NOT(ISNUMBER(L47)),"n/m",IF(O47="Higher",IF(L47&gt;=0,"Above avg - favourable","Below avg - unfavourable"),IF(O47="Lower",IF(L47&lt;=0,"Below avg - favourable","Above avg - unfavourable"),IF(L47&gt;=0,"Above avg - context-dependent","Below avg - context-dependent"))))&amp;IF(K47&lt;5," (N="&amp;K47&amp;")","")</f>
        <v>Below avg - unfavourable</v>
      </c>
      <c r="R47" s="40" t="str">
        <f>IF(K47=0,"n/m",IF(ABS(J47-SUM(E47:I47)/K47)&lt;0.000000001,"OK","ERR"))</f>
        <v>OK</v>
      </c>
    </row>
    <row r="48" spans="1:18" x14ac:dyDescent="0.3">
      <c r="C48" s="37" t="s">
        <v>129</v>
      </c>
      <c r="D48" t="s">
        <v>29</v>
      </c>
      <c r="E48" s="94">
        <f>KOHC!H145</f>
        <v>19.742821104933064</v>
      </c>
      <c r="F48" s="94">
        <f>LUCK!H145</f>
        <v>18.743761644592638</v>
      </c>
      <c r="G48" s="94">
        <f>DGKC!H145</f>
        <v>61.216079379365482</v>
      </c>
      <c r="H48" s="94">
        <f>MLCF!H145</f>
        <v>15.67064847793373</v>
      </c>
      <c r="I48" s="94">
        <f>FCCL!H145</f>
        <v>14.282644096931071</v>
      </c>
      <c r="J48" s="95">
        <f>IF(COUNT(E48:I48)=0,"n/m",AVERAGE(E48:I48))</f>
        <v>25.931190940751197</v>
      </c>
      <c r="K48">
        <f>COUNT(E48:I48)</f>
        <v>5</v>
      </c>
      <c r="L48" s="96">
        <f>IF(AND(ISNUMBER(E48),ISNUMBER(J48)),E48-J48,"n/m")</f>
        <v>-6.1883698358181327</v>
      </c>
      <c r="M48" s="96">
        <f>IF(COUNT(F48:I48)=0,"n/m",AVERAGE(F48:I48))</f>
        <v>27.478283399705727</v>
      </c>
      <c r="N48" s="96">
        <f>IF(COUNT(E48:I48)=0,"n/m",MEDIAN(E48:I48))</f>
        <v>18.743761644592638</v>
      </c>
      <c r="O48" t="s">
        <v>920</v>
      </c>
      <c r="P48" s="8" t="str">
        <f>IF(NOT(ISNUMBER(L48)),"n/m",IF(O48="Higher",IF(L48&gt;=0,"Above avg - favourable","Below avg - unfavourable"),IF(O48="Lower",IF(L48&lt;=0,"Below avg - favourable","Above avg - unfavourable"),IF(L48&gt;=0,"Above avg - context-dependent","Below avg - context-dependent"))))&amp;IF(K48&lt;5," (N="&amp;K48&amp;")","")</f>
        <v>Below avg - unfavourable</v>
      </c>
      <c r="R48" s="40" t="str">
        <f>IF(K48=0,"n/m",IF(ABS(J48-SUM(E48:I48)/K48)&lt;0.000000001,"OK","ERR"))</f>
        <v>OK</v>
      </c>
    </row>
    <row r="49" spans="1:18" x14ac:dyDescent="0.3">
      <c r="A49" s="35" t="s">
        <v>471</v>
      </c>
      <c r="B49" s="13">
        <v>8</v>
      </c>
      <c r="C49" s="12" t="s">
        <v>476</v>
      </c>
      <c r="D49" s="13"/>
      <c r="E49" s="13"/>
      <c r="F49" s="13"/>
      <c r="G49" s="13"/>
      <c r="H49" s="13"/>
      <c r="I49" s="13"/>
      <c r="J49" s="13"/>
      <c r="K49" s="13"/>
      <c r="L49" s="13"/>
      <c r="M49" s="13"/>
      <c r="N49" s="13"/>
      <c r="O49" s="13"/>
      <c r="P49" s="13"/>
      <c r="Q49" s="36" t="s">
        <v>927</v>
      </c>
      <c r="R49" s="13"/>
    </row>
    <row r="50" spans="1:18" x14ac:dyDescent="0.3">
      <c r="C50" s="37" t="s">
        <v>133</v>
      </c>
      <c r="D50" t="s">
        <v>20</v>
      </c>
      <c r="E50" s="94">
        <f>KOHC!D146</f>
        <v>13.672632178905467</v>
      </c>
      <c r="F50" s="94">
        <f>LUCK!D146</f>
        <v>16.047824735429948</v>
      </c>
      <c r="G50" s="94">
        <f>DGKC!D146</f>
        <v>6.3303916348672544</v>
      </c>
      <c r="H50" s="94">
        <f>MLCF!D146</f>
        <v>7.2602146292371854</v>
      </c>
      <c r="I50" s="94">
        <f>FCCL!D146</f>
        <v>29.905586617872185</v>
      </c>
      <c r="J50" s="95">
        <f>IF(COUNT(E50:I50)=0,"n/m",AVERAGE(E50:I50))</f>
        <v>14.643329959262408</v>
      </c>
      <c r="K50">
        <f>COUNT(E50:I50)</f>
        <v>5</v>
      </c>
      <c r="L50" s="96">
        <f>IF(AND(ISNUMBER(E50),ISNUMBER(J50)),E50-J50,"n/m")</f>
        <v>-0.97069778035694121</v>
      </c>
      <c r="M50" s="96">
        <f>IF(COUNT(F50:I50)=0,"n/m",AVERAGE(F50:I50))</f>
        <v>14.886004404351644</v>
      </c>
      <c r="N50" s="96">
        <f>IF(COUNT(E50:I50)=0,"n/m",MEDIAN(E50:I50))</f>
        <v>13.672632178905467</v>
      </c>
      <c r="O50" t="s">
        <v>922</v>
      </c>
      <c r="P50" s="8" t="str">
        <f>IF(NOT(ISNUMBER(L50)),"n/m",IF(O50="Higher",IF(L50&gt;=0,"Above avg - favourable","Below avg - unfavourable"),IF(O50="Lower",IF(L50&lt;=0,"Below avg - favourable","Above avg - unfavourable"),IF(L50&gt;=0,"Above avg - context-dependent","Below avg - context-dependent"))))&amp;IF(K50&lt;5," (N="&amp;K50&amp;")","")</f>
        <v>Below avg - context-dependent</v>
      </c>
      <c r="R50" s="40" t="str">
        <f>IF(K50=0,"n/m",IF(ABS(J50-SUM(E50:I50)/K50)&lt;0.000000001,"OK","ERR"))</f>
        <v>OK</v>
      </c>
    </row>
    <row r="51" spans="1:18" x14ac:dyDescent="0.3">
      <c r="C51" s="37" t="s">
        <v>133</v>
      </c>
      <c r="D51" t="s">
        <v>26</v>
      </c>
      <c r="E51" s="94">
        <f>KOHC!E146</f>
        <v>16.261881526580382</v>
      </c>
      <c r="F51" s="94">
        <f>LUCK!E146</f>
        <v>18.777106060975406</v>
      </c>
      <c r="G51" s="94">
        <f>DGKC!E146</f>
        <v>8.4673674918557111</v>
      </c>
      <c r="H51" s="94">
        <f>MLCF!E146</f>
        <v>9.4325162502916413</v>
      </c>
      <c r="I51" s="94">
        <f>FCCL!E146</f>
        <v>21.870744516457957</v>
      </c>
      <c r="J51" s="95">
        <f>IF(COUNT(E51:I51)=0,"n/m",AVERAGE(E51:I51))</f>
        <v>14.961923169232218</v>
      </c>
      <c r="K51">
        <f>COUNT(E51:I51)</f>
        <v>5</v>
      </c>
      <c r="L51" s="96">
        <f>IF(AND(ISNUMBER(E51),ISNUMBER(J51)),E51-J51,"n/m")</f>
        <v>1.2999583573481637</v>
      </c>
      <c r="M51" s="96">
        <f>IF(COUNT(F51:I51)=0,"n/m",AVERAGE(F51:I51))</f>
        <v>14.636933579895178</v>
      </c>
      <c r="N51" s="96">
        <f>IF(COUNT(E51:I51)=0,"n/m",MEDIAN(E51:I51))</f>
        <v>16.261881526580382</v>
      </c>
      <c r="O51" t="s">
        <v>922</v>
      </c>
      <c r="P51" s="8" t="str">
        <f>IF(NOT(ISNUMBER(L51)),"n/m",IF(O51="Higher",IF(L51&gt;=0,"Above avg - favourable","Below avg - unfavourable"),IF(O51="Lower",IF(L51&lt;=0,"Below avg - favourable","Above avg - unfavourable"),IF(L51&gt;=0,"Above avg - context-dependent","Below avg - context-dependent"))))&amp;IF(K51&lt;5," (N="&amp;K51&amp;")","")</f>
        <v>Above avg - context-dependent</v>
      </c>
      <c r="R51" s="40" t="str">
        <f>IF(K51=0,"n/m",IF(ABS(J51-SUM(E51:I51)/K51)&lt;0.000000001,"OK","ERR"))</f>
        <v>OK</v>
      </c>
    </row>
    <row r="52" spans="1:18" x14ac:dyDescent="0.3">
      <c r="C52" s="37" t="s">
        <v>133</v>
      </c>
      <c r="D52" t="s">
        <v>27</v>
      </c>
      <c r="E52" s="94">
        <f>KOHC!F146</f>
        <v>29.126311219807445</v>
      </c>
      <c r="F52" s="94">
        <f>LUCK!F146</f>
        <v>16.644862602259856</v>
      </c>
      <c r="G52" s="94">
        <f>DGKC!F146</f>
        <v>10.657952462664126</v>
      </c>
      <c r="H52" s="94">
        <f>MLCF!F146</f>
        <v>8.1416462547085988</v>
      </c>
      <c r="I52" s="94">
        <f>FCCL!F146</f>
        <v>17.959235676951813</v>
      </c>
      <c r="J52" s="95">
        <f>IF(COUNT(E52:I52)=0,"n/m",AVERAGE(E52:I52))</f>
        <v>16.50600164327837</v>
      </c>
      <c r="K52">
        <f>COUNT(E52:I52)</f>
        <v>5</v>
      </c>
      <c r="L52" s="96">
        <f>IF(AND(ISNUMBER(E52),ISNUMBER(J52)),E52-J52,"n/m")</f>
        <v>12.620309576529074</v>
      </c>
      <c r="M52" s="96">
        <f>IF(COUNT(F52:I52)=0,"n/m",AVERAGE(F52:I52))</f>
        <v>13.350924249146098</v>
      </c>
      <c r="N52" s="96">
        <f>IF(COUNT(E52:I52)=0,"n/m",MEDIAN(E52:I52))</f>
        <v>16.644862602259856</v>
      </c>
      <c r="O52" t="s">
        <v>922</v>
      </c>
      <c r="P52" s="8" t="str">
        <f>IF(NOT(ISNUMBER(L52)),"n/m",IF(O52="Higher",IF(L52&gt;=0,"Above avg - favourable","Below avg - unfavourable"),IF(O52="Lower",IF(L52&lt;=0,"Below avg - favourable","Above avg - unfavourable"),IF(L52&gt;=0,"Above avg - context-dependent","Below avg - context-dependent"))))&amp;IF(K52&lt;5," (N="&amp;K52&amp;")","")</f>
        <v>Above avg - context-dependent</v>
      </c>
      <c r="R52" s="40" t="str">
        <f>IF(K52=0,"n/m",IF(ABS(J52-SUM(E52:I52)/K52)&lt;0.000000001,"OK","ERR"))</f>
        <v>OK</v>
      </c>
    </row>
    <row r="53" spans="1:18" x14ac:dyDescent="0.3">
      <c r="C53" s="37" t="s">
        <v>133</v>
      </c>
      <c r="D53" t="s">
        <v>28</v>
      </c>
      <c r="E53" s="94">
        <f>KOHC!G146</f>
        <v>22.304499451290301</v>
      </c>
      <c r="F53" s="94">
        <f>LUCK!G146</f>
        <v>12.541557640159668</v>
      </c>
      <c r="G53" s="94">
        <f>DGKC!G146</f>
        <v>9.58994930634071</v>
      </c>
      <c r="H53" s="94">
        <f>MLCF!G146</f>
        <v>7.535611628959118</v>
      </c>
      <c r="I53" s="94">
        <f>FCCL!G146</f>
        <v>20.316171981863199</v>
      </c>
      <c r="J53" s="95">
        <f>IF(COUNT(E53:I53)=0,"n/m",AVERAGE(E53:I53))</f>
        <v>14.4575580017226</v>
      </c>
      <c r="K53">
        <f>COUNT(E53:I53)</f>
        <v>5</v>
      </c>
      <c r="L53" s="96">
        <f>IF(AND(ISNUMBER(E53),ISNUMBER(J53)),E53-J53,"n/m")</f>
        <v>7.8469414495677015</v>
      </c>
      <c r="M53" s="96">
        <f>IF(COUNT(F53:I53)=0,"n/m",AVERAGE(F53:I53))</f>
        <v>12.495822639330674</v>
      </c>
      <c r="N53" s="96">
        <f>IF(COUNT(E53:I53)=0,"n/m",MEDIAN(E53:I53))</f>
        <v>12.541557640159668</v>
      </c>
      <c r="O53" t="s">
        <v>922</v>
      </c>
      <c r="P53" s="8" t="str">
        <f>IF(NOT(ISNUMBER(L53)),"n/m",IF(O53="Higher",IF(L53&gt;=0,"Above avg - favourable","Below avg - unfavourable"),IF(O53="Lower",IF(L53&lt;=0,"Below avg - favourable","Above avg - unfavourable"),IF(L53&gt;=0,"Above avg - context-dependent","Below avg - context-dependent"))))&amp;IF(K53&lt;5," (N="&amp;K53&amp;")","")</f>
        <v>Above avg - context-dependent</v>
      </c>
      <c r="R53" s="40" t="str">
        <f>IF(K53=0,"n/m",IF(ABS(J53-SUM(E53:I53)/K53)&lt;0.000000001,"OK","ERR"))</f>
        <v>OK</v>
      </c>
    </row>
    <row r="54" spans="1:18" x14ac:dyDescent="0.3">
      <c r="C54" s="37" t="s">
        <v>133</v>
      </c>
      <c r="D54" t="s">
        <v>29</v>
      </c>
      <c r="E54" s="94">
        <f>KOHC!H146</f>
        <v>11.733886186566796</v>
      </c>
      <c r="F54" s="94">
        <f>LUCK!H146</f>
        <v>12.034170742972393</v>
      </c>
      <c r="G54" s="94">
        <f>DGKC!H146</f>
        <v>11.934245278189531</v>
      </c>
      <c r="H54" s="94">
        <f>MLCF!H146</f>
        <v>7.1065730520996766</v>
      </c>
      <c r="I54" s="94">
        <f>FCCL!H146</f>
        <v>24.107258331311616</v>
      </c>
      <c r="J54" s="95">
        <f>IF(COUNT(E54:I54)=0,"n/m",AVERAGE(E54:I54))</f>
        <v>13.383226718228002</v>
      </c>
      <c r="K54">
        <f>COUNT(E54:I54)</f>
        <v>5</v>
      </c>
      <c r="L54" s="96">
        <f>IF(AND(ISNUMBER(E54),ISNUMBER(J54)),E54-J54,"n/m")</f>
        <v>-1.6493405316612062</v>
      </c>
      <c r="M54" s="96">
        <f>IF(COUNT(F54:I54)=0,"n/m",AVERAGE(F54:I54))</f>
        <v>13.795561851143304</v>
      </c>
      <c r="N54" s="96">
        <f>IF(COUNT(E54:I54)=0,"n/m",MEDIAN(E54:I54))</f>
        <v>11.934245278189531</v>
      </c>
      <c r="O54" t="s">
        <v>922</v>
      </c>
      <c r="P54" s="8" t="str">
        <f>IF(NOT(ISNUMBER(L54)),"n/m",IF(O54="Higher",IF(L54&gt;=0,"Above avg - favourable","Below avg - unfavourable"),IF(O54="Lower",IF(L54&lt;=0,"Below avg - favourable","Above avg - unfavourable"),IF(L54&gt;=0,"Above avg - context-dependent","Below avg - context-dependent"))))&amp;IF(K54&lt;5," (N="&amp;K54&amp;")","")</f>
        <v>Below avg - context-dependent</v>
      </c>
      <c r="R54" s="40" t="str">
        <f>IF(K54=0,"n/m",IF(ABS(J54-SUM(E54:I54)/K54)&lt;0.000000001,"OK","ERR"))</f>
        <v>OK</v>
      </c>
    </row>
    <row r="55" spans="1:18" x14ac:dyDescent="0.3">
      <c r="A55" s="35" t="s">
        <v>471</v>
      </c>
      <c r="B55" s="13">
        <v>9</v>
      </c>
      <c r="C55" s="12" t="s">
        <v>478</v>
      </c>
      <c r="D55" s="13"/>
      <c r="E55" s="13"/>
      <c r="F55" s="13"/>
      <c r="G55" s="13"/>
      <c r="H55" s="13"/>
      <c r="I55" s="13"/>
      <c r="J55" s="13"/>
      <c r="K55" s="13"/>
      <c r="L55" s="13"/>
      <c r="M55" s="13"/>
      <c r="N55" s="13"/>
      <c r="O55" s="13"/>
      <c r="P55" s="13"/>
      <c r="Q55" s="36"/>
      <c r="R55" s="13"/>
    </row>
    <row r="56" spans="1:18" x14ac:dyDescent="0.3">
      <c r="C56" s="37" t="s">
        <v>134</v>
      </c>
      <c r="D56" t="s">
        <v>20</v>
      </c>
      <c r="E56" s="100">
        <f>KOHC!D147</f>
        <v>75.147743531578783</v>
      </c>
      <c r="F56" s="100">
        <f>LUCK!D147</f>
        <v>95.709906676324849</v>
      </c>
      <c r="G56" s="100">
        <f>DGKC!D147</f>
        <v>138.95483675010863</v>
      </c>
      <c r="H56" s="100">
        <f>MLCF!D147</f>
        <v>143.11726813096334</v>
      </c>
      <c r="I56" s="100">
        <f>FCCL!D147</f>
        <v>101.57512558439446</v>
      </c>
      <c r="J56" s="101">
        <f>IF(COUNT(E56:I56)=0,"n/m",AVERAGE(E56:I56))</f>
        <v>110.90097613467401</v>
      </c>
      <c r="K56">
        <f>COUNT(E56:I56)</f>
        <v>5</v>
      </c>
      <c r="L56" s="102">
        <f>IF(AND(ISNUMBER(E56),ISNUMBER(J56)),E56-J56,"n/m")</f>
        <v>-35.753232603095228</v>
      </c>
      <c r="M56" s="102">
        <f>IF(COUNT(F56:I56)=0,"n/m",AVERAGE(F56:I56))</f>
        <v>119.83928428544782</v>
      </c>
      <c r="N56" s="102">
        <f>IF(COUNT(E56:I56)=0,"n/m",MEDIAN(E56:I56))</f>
        <v>101.57512558439446</v>
      </c>
      <c r="O56" t="s">
        <v>928</v>
      </c>
      <c r="P56" s="8" t="str">
        <f>IF(NOT(ISNUMBER(L56)),"n/m",IF(O56="Higher",IF(L56&gt;=0,"Above avg - favourable","Below avg - unfavourable"),IF(O56="Lower",IF(L56&lt;=0,"Below avg - favourable","Above avg - unfavourable"),IF(L56&gt;=0,"Above avg - context-dependent","Below avg - context-dependent"))))&amp;IF(K56&lt;5," (N="&amp;K56&amp;")","")</f>
        <v>Below avg - favourable</v>
      </c>
      <c r="R56" s="40" t="str">
        <f>IF(K56=0,"n/m",IF(ABS(J56-SUM(E56:I56)/K56)&lt;0.000000001,"OK","ERR"))</f>
        <v>OK</v>
      </c>
    </row>
    <row r="57" spans="1:18" x14ac:dyDescent="0.3">
      <c r="C57" s="37" t="s">
        <v>134</v>
      </c>
      <c r="D57" t="s">
        <v>26</v>
      </c>
      <c r="E57" s="100">
        <f>KOHC!E147</f>
        <v>77.972597591731756</v>
      </c>
      <c r="F57" s="100">
        <f>LUCK!E147</f>
        <v>99.788581457615734</v>
      </c>
      <c r="G57" s="100">
        <f>DGKC!E147</f>
        <v>147.19158951872677</v>
      </c>
      <c r="H57" s="100">
        <f>MLCF!E147</f>
        <v>138.1590454196257</v>
      </c>
      <c r="I57" s="100">
        <f>FCCL!E147</f>
        <v>99.189403784088</v>
      </c>
      <c r="J57" s="101">
        <f>IF(COUNT(E57:I57)=0,"n/m",AVERAGE(E57:I57))</f>
        <v>112.46024355435759</v>
      </c>
      <c r="K57">
        <f>COUNT(E57:I57)</f>
        <v>5</v>
      </c>
      <c r="L57" s="102">
        <f>IF(AND(ISNUMBER(E57),ISNUMBER(J57)),E57-J57,"n/m")</f>
        <v>-34.487645962625834</v>
      </c>
      <c r="M57" s="102">
        <f>IF(COUNT(F57:I57)=0,"n/m",AVERAGE(F57:I57))</f>
        <v>121.08215504501405</v>
      </c>
      <c r="N57" s="102">
        <f>IF(COUNT(E57:I57)=0,"n/m",MEDIAN(E57:I57))</f>
        <v>99.788581457615734</v>
      </c>
      <c r="O57" t="s">
        <v>928</v>
      </c>
      <c r="P57" s="8" t="str">
        <f>IF(NOT(ISNUMBER(L57)),"n/m",IF(O57="Higher",IF(L57&gt;=0,"Above avg - favourable","Below avg - unfavourable"),IF(O57="Lower",IF(L57&lt;=0,"Below avg - favourable","Above avg - unfavourable"),IF(L57&gt;=0,"Above avg - context-dependent","Below avg - context-dependent"))))&amp;IF(K57&lt;5," (N="&amp;K57&amp;")","")</f>
        <v>Below avg - favourable</v>
      </c>
      <c r="R57" s="40" t="str">
        <f>IF(K57=0,"n/m",IF(ABS(J57-SUM(E57:I57)/K57)&lt;0.000000001,"OK","ERR"))</f>
        <v>OK</v>
      </c>
    </row>
    <row r="58" spans="1:18" x14ac:dyDescent="0.3">
      <c r="C58" s="37" t="s">
        <v>134</v>
      </c>
      <c r="D58" t="s">
        <v>27</v>
      </c>
      <c r="E58" s="100">
        <f>KOHC!F147</f>
        <v>85.372545387407953</v>
      </c>
      <c r="F58" s="100">
        <f>LUCK!F147</f>
        <v>100.73184197970664</v>
      </c>
      <c r="G58" s="100">
        <f>DGKC!F147</f>
        <v>149.87908057411946</v>
      </c>
      <c r="H58" s="100">
        <f>MLCF!F147</f>
        <v>122.0064954583065</v>
      </c>
      <c r="I58" s="100">
        <f>FCCL!F147</f>
        <v>117.81056267061489</v>
      </c>
      <c r="J58" s="101">
        <f>IF(COUNT(E58:I58)=0,"n/m",AVERAGE(E58:I58))</f>
        <v>115.16010521403109</v>
      </c>
      <c r="K58">
        <f>COUNT(E58:I58)</f>
        <v>5</v>
      </c>
      <c r="L58" s="102">
        <f>IF(AND(ISNUMBER(E58),ISNUMBER(J58)),E58-J58,"n/m")</f>
        <v>-29.787559826623138</v>
      </c>
      <c r="M58" s="102">
        <f>IF(COUNT(F58:I58)=0,"n/m",AVERAGE(F58:I58))</f>
        <v>122.60699517068687</v>
      </c>
      <c r="N58" s="102">
        <f>IF(COUNT(E58:I58)=0,"n/m",MEDIAN(E58:I58))</f>
        <v>117.81056267061489</v>
      </c>
      <c r="O58" t="s">
        <v>928</v>
      </c>
      <c r="P58" s="8" t="str">
        <f>IF(NOT(ISNUMBER(L58)),"n/m",IF(O58="Higher",IF(L58&gt;=0,"Above avg - favourable","Below avg - unfavourable"),IF(O58="Lower",IF(L58&lt;=0,"Below avg - favourable","Above avg - unfavourable"),IF(L58&gt;=0,"Above avg - context-dependent","Below avg - context-dependent"))))&amp;IF(K58&lt;5," (N="&amp;K58&amp;")","")</f>
        <v>Below avg - favourable</v>
      </c>
      <c r="R58" s="40" t="str">
        <f>IF(K58=0,"n/m",IF(ABS(J58-SUM(E58:I58)/K58)&lt;0.000000001,"OK","ERR"))</f>
        <v>OK</v>
      </c>
    </row>
    <row r="59" spans="1:18" x14ac:dyDescent="0.3">
      <c r="C59" s="37" t="s">
        <v>134</v>
      </c>
      <c r="D59" t="s">
        <v>28</v>
      </c>
      <c r="E59" s="100">
        <f>KOHC!G147</f>
        <v>101.50909357454404</v>
      </c>
      <c r="F59" s="100">
        <f>LUCK!G147</f>
        <v>103.10239469568691</v>
      </c>
      <c r="G59" s="100">
        <f>DGKC!G147</f>
        <v>141.29755545575051</v>
      </c>
      <c r="H59" s="100">
        <f>MLCF!G147</f>
        <v>117.69043264844159</v>
      </c>
      <c r="I59" s="100">
        <f>FCCL!G147</f>
        <v>106.51412548353994</v>
      </c>
      <c r="J59" s="101">
        <f>IF(COUNT(E59:I59)=0,"n/m",AVERAGE(E59:I59))</f>
        <v>114.0227203715926</v>
      </c>
      <c r="K59">
        <f>COUNT(E59:I59)</f>
        <v>5</v>
      </c>
      <c r="L59" s="102">
        <f>IF(AND(ISNUMBER(E59),ISNUMBER(J59)),E59-J59,"n/m")</f>
        <v>-12.513626797048559</v>
      </c>
      <c r="M59" s="102">
        <f>IF(COUNT(F59:I59)=0,"n/m",AVERAGE(F59:I59))</f>
        <v>117.15112707085474</v>
      </c>
      <c r="N59" s="102">
        <f>IF(COUNT(E59:I59)=0,"n/m",MEDIAN(E59:I59))</f>
        <v>106.51412548353994</v>
      </c>
      <c r="O59" t="s">
        <v>928</v>
      </c>
      <c r="P59" s="8" t="str">
        <f>IF(NOT(ISNUMBER(L59)),"n/m",IF(O59="Higher",IF(L59&gt;=0,"Above avg - favourable","Below avg - unfavourable"),IF(O59="Lower",IF(L59&lt;=0,"Below avg - favourable","Above avg - unfavourable"),IF(L59&gt;=0,"Above avg - context-dependent","Below avg - context-dependent"))))&amp;IF(K59&lt;5," (N="&amp;K59&amp;")","")</f>
        <v>Below avg - favourable</v>
      </c>
      <c r="R59" s="40" t="str">
        <f>IF(K59=0,"n/m",IF(ABS(J59-SUM(E59:I59)/K59)&lt;0.000000001,"OK","ERR"))</f>
        <v>OK</v>
      </c>
    </row>
    <row r="60" spans="1:18" x14ac:dyDescent="0.3">
      <c r="C60" s="37" t="s">
        <v>134</v>
      </c>
      <c r="D60" t="s">
        <v>29</v>
      </c>
      <c r="E60" s="100">
        <f>KOHC!H147</f>
        <v>120.66591878345184</v>
      </c>
      <c r="F60" s="100">
        <f>LUCK!H147</f>
        <v>106.53528435458882</v>
      </c>
      <c r="G60" s="100">
        <f>DGKC!H147</f>
        <v>139.29464124392746</v>
      </c>
      <c r="H60" s="100">
        <f>MLCF!H147</f>
        <v>130.98525045452405</v>
      </c>
      <c r="I60" s="100">
        <f>FCCL!H147</f>
        <v>115.47406099903009</v>
      </c>
      <c r="J60" s="101">
        <f>IF(COUNT(E60:I60)=0,"n/m",AVERAGE(E60:I60))</f>
        <v>122.59103116710443</v>
      </c>
      <c r="K60">
        <f>COUNT(E60:I60)</f>
        <v>5</v>
      </c>
      <c r="L60" s="102">
        <f>IF(AND(ISNUMBER(E60),ISNUMBER(J60)),E60-J60,"n/m")</f>
        <v>-1.9251123836525892</v>
      </c>
      <c r="M60" s="102">
        <f>IF(COUNT(F60:I60)=0,"n/m",AVERAGE(F60:I60))</f>
        <v>123.0723092630176</v>
      </c>
      <c r="N60" s="102">
        <f>IF(COUNT(E60:I60)=0,"n/m",MEDIAN(E60:I60))</f>
        <v>120.66591878345184</v>
      </c>
      <c r="O60" t="s">
        <v>928</v>
      </c>
      <c r="P60" s="8" t="str">
        <f>IF(NOT(ISNUMBER(L60)),"n/m",IF(O60="Higher",IF(L60&gt;=0,"Above avg - favourable","Below avg - unfavourable"),IF(O60="Lower",IF(L60&lt;=0,"Below avg - favourable","Above avg - unfavourable"),IF(L60&gt;=0,"Above avg - context-dependent","Below avg - context-dependent"))))&amp;IF(K60&lt;5," (N="&amp;K60&amp;")","")</f>
        <v>Below avg - favourable</v>
      </c>
      <c r="R60" s="40" t="str">
        <f>IF(K60=0,"n/m",IF(ABS(J60-SUM(E60:I60)/K60)&lt;0.000000001,"OK","ERR"))</f>
        <v>OK</v>
      </c>
    </row>
    <row r="61" spans="1:18" x14ac:dyDescent="0.3">
      <c r="A61" s="35" t="s">
        <v>471</v>
      </c>
      <c r="B61" s="13">
        <v>10</v>
      </c>
      <c r="C61" s="12" t="s">
        <v>481</v>
      </c>
      <c r="D61" s="13"/>
      <c r="E61" s="13"/>
      <c r="F61" s="13"/>
      <c r="G61" s="13"/>
      <c r="H61" s="13"/>
      <c r="I61" s="13"/>
      <c r="J61" s="13"/>
      <c r="K61" s="13"/>
      <c r="L61" s="13"/>
      <c r="M61" s="13"/>
      <c r="N61" s="13"/>
      <c r="O61" s="13"/>
      <c r="P61" s="13"/>
      <c r="Q61" s="36"/>
      <c r="R61" s="13"/>
    </row>
    <row r="62" spans="1:18" x14ac:dyDescent="0.3">
      <c r="C62" s="37" t="s">
        <v>187</v>
      </c>
      <c r="D62" t="s">
        <v>20</v>
      </c>
      <c r="E62" s="100">
        <f>KOHC!D148</f>
        <v>11.211269503464973</v>
      </c>
      <c r="F62" s="100">
        <f>LUCK!D148</f>
        <v>17.782498333156049</v>
      </c>
      <c r="G62" s="100">
        <f>DGKC!D148</f>
        <v>16.031081230273596</v>
      </c>
      <c r="H62" s="100">
        <f>MLCF!D148</f>
        <v>24.299408826550263</v>
      </c>
      <c r="I62" s="100">
        <f>FCCL!D148</f>
        <v>18.799738044359827</v>
      </c>
      <c r="J62" s="101">
        <f>IF(COUNT(E62:I62)=0,"n/m",AVERAGE(E62:I62))</f>
        <v>17.624799187560942</v>
      </c>
      <c r="K62">
        <f>COUNT(E62:I62)</f>
        <v>5</v>
      </c>
      <c r="L62" s="102">
        <f>IF(AND(ISNUMBER(E62),ISNUMBER(J62)),E62-J62,"n/m")</f>
        <v>-6.4135296840959697</v>
      </c>
      <c r="M62" s="102">
        <f>IF(COUNT(F62:I62)=0,"n/m",AVERAGE(F62:I62))</f>
        <v>19.228181608584933</v>
      </c>
      <c r="N62" s="102">
        <f>IF(COUNT(E62:I62)=0,"n/m",MEDIAN(E62:I62))</f>
        <v>17.782498333156049</v>
      </c>
      <c r="O62" t="s">
        <v>928</v>
      </c>
      <c r="P62" s="8" t="str">
        <f>IF(NOT(ISNUMBER(L62)),"n/m",IF(O62="Higher",IF(L62&gt;=0,"Above avg - favourable","Below avg - unfavourable"),IF(O62="Lower",IF(L62&lt;=0,"Below avg - favourable","Above avg - unfavourable"),IF(L62&gt;=0,"Above avg - context-dependent","Below avg - context-dependent"))))&amp;IF(K62&lt;5," (N="&amp;K62&amp;")","")</f>
        <v>Below avg - favourable</v>
      </c>
      <c r="R62" s="40" t="str">
        <f>IF(K62=0,"n/m",IF(ABS(J62-SUM(E62:I62)/K62)&lt;0.000000001,"OK","ERR"))</f>
        <v>OK</v>
      </c>
    </row>
    <row r="63" spans="1:18" x14ac:dyDescent="0.3">
      <c r="C63" s="37" t="s">
        <v>187</v>
      </c>
      <c r="D63" t="s">
        <v>26</v>
      </c>
      <c r="E63" s="100">
        <f>KOHC!E148</f>
        <v>10.544725482358297</v>
      </c>
      <c r="F63" s="100">
        <f>LUCK!E148</f>
        <v>14.027318333985361</v>
      </c>
      <c r="G63" s="100">
        <f>DGKC!E148</f>
        <v>9.8856192169704489</v>
      </c>
      <c r="H63" s="100">
        <f>MLCF!E148</f>
        <v>14.089756717395696</v>
      </c>
      <c r="I63" s="100">
        <f>FCCL!E148</f>
        <v>12.994834386179642</v>
      </c>
      <c r="J63" s="101">
        <f>IF(COUNT(E63:I63)=0,"n/m",AVERAGE(E63:I63))</f>
        <v>12.308450827377888</v>
      </c>
      <c r="K63">
        <f>COUNT(E63:I63)</f>
        <v>5</v>
      </c>
      <c r="L63" s="102">
        <f>IF(AND(ISNUMBER(E63),ISNUMBER(J63)),E63-J63,"n/m")</f>
        <v>-1.7637253450195907</v>
      </c>
      <c r="M63" s="102">
        <f>IF(COUNT(F63:I63)=0,"n/m",AVERAGE(F63:I63))</f>
        <v>12.749382163632786</v>
      </c>
      <c r="N63" s="102">
        <f>IF(COUNT(E63:I63)=0,"n/m",MEDIAN(E63:I63))</f>
        <v>12.994834386179642</v>
      </c>
      <c r="O63" t="s">
        <v>928</v>
      </c>
      <c r="P63" s="8" t="str">
        <f>IF(NOT(ISNUMBER(L63)),"n/m",IF(O63="Higher",IF(L63&gt;=0,"Above avg - favourable","Below avg - unfavourable"),IF(O63="Lower",IF(L63&lt;=0,"Below avg - favourable","Above avg - unfavourable"),IF(L63&gt;=0,"Above avg - context-dependent","Below avg - context-dependent"))))&amp;IF(K63&lt;5," (N="&amp;K63&amp;")","")</f>
        <v>Below avg - favourable</v>
      </c>
      <c r="R63" s="40" t="str">
        <f>IF(K63=0,"n/m",IF(ABS(J63-SUM(E63:I63)/K63)&lt;0.000000001,"OK","ERR"))</f>
        <v>OK</v>
      </c>
    </row>
    <row r="64" spans="1:18" x14ac:dyDescent="0.3">
      <c r="C64" s="37" t="s">
        <v>187</v>
      </c>
      <c r="D64" t="s">
        <v>27</v>
      </c>
      <c r="E64" s="100">
        <f>KOHC!F148</f>
        <v>9.9479554378487851</v>
      </c>
      <c r="F64" s="100">
        <f>LUCK!F148</f>
        <v>16.401585315624828</v>
      </c>
      <c r="G64" s="100">
        <f>DGKC!F148</f>
        <v>7.4739774843341396</v>
      </c>
      <c r="H64" s="100">
        <f>MLCF!F148</f>
        <v>13.72146433573479</v>
      </c>
      <c r="I64" s="100">
        <f>FCCL!F148</f>
        <v>16.046879229606091</v>
      </c>
      <c r="J64" s="101">
        <f>IF(COUNT(E64:I64)=0,"n/m",AVERAGE(E64:I64))</f>
        <v>12.718372360629726</v>
      </c>
      <c r="K64">
        <f>COUNT(E64:I64)</f>
        <v>5</v>
      </c>
      <c r="L64" s="102">
        <f>IF(AND(ISNUMBER(E64),ISNUMBER(J64)),E64-J64,"n/m")</f>
        <v>-2.7704169227809405</v>
      </c>
      <c r="M64" s="102">
        <f>IF(COUNT(F64:I64)=0,"n/m",AVERAGE(F64:I64))</f>
        <v>13.410976591324962</v>
      </c>
      <c r="N64" s="102">
        <f>IF(COUNT(E64:I64)=0,"n/m",MEDIAN(E64:I64))</f>
        <v>13.72146433573479</v>
      </c>
      <c r="O64" t="s">
        <v>928</v>
      </c>
      <c r="P64" s="8" t="str">
        <f>IF(NOT(ISNUMBER(L64)),"n/m",IF(O64="Higher",IF(L64&gt;=0,"Above avg - favourable","Below avg - unfavourable"),IF(O64="Lower",IF(L64&lt;=0,"Below avg - favourable","Above avg - unfavourable"),IF(L64&gt;=0,"Above avg - context-dependent","Below avg - context-dependent"))))&amp;IF(K64&lt;5," (N="&amp;K64&amp;")","")</f>
        <v>Below avg - favourable</v>
      </c>
      <c r="R64" s="40" t="str">
        <f>IF(K64=0,"n/m",IF(ABS(J64-SUM(E64:I64)/K64)&lt;0.000000001,"OK","ERR"))</f>
        <v>OK</v>
      </c>
    </row>
    <row r="65" spans="1:18" x14ac:dyDescent="0.3">
      <c r="C65" s="37" t="s">
        <v>187</v>
      </c>
      <c r="D65" t="s">
        <v>28</v>
      </c>
      <c r="E65" s="100">
        <f>KOHC!G148</f>
        <v>15.657663166755571</v>
      </c>
      <c r="F65" s="100">
        <f>LUCK!G148</f>
        <v>19.024866667611246</v>
      </c>
      <c r="G65" s="100">
        <f>DGKC!G148</f>
        <v>5.6629790909386459</v>
      </c>
      <c r="H65" s="100">
        <f>MLCF!G148</f>
        <v>18.646831335440545</v>
      </c>
      <c r="I65" s="100">
        <f>FCCL!G148</f>
        <v>20.792904753499183</v>
      </c>
      <c r="J65" s="101">
        <f>IF(COUNT(E65:I65)=0,"n/m",AVERAGE(E65:I65))</f>
        <v>15.957049002849038</v>
      </c>
      <c r="K65">
        <f>COUNT(E65:I65)</f>
        <v>5</v>
      </c>
      <c r="L65" s="102">
        <f>IF(AND(ISNUMBER(E65),ISNUMBER(J65)),E65-J65,"n/m")</f>
        <v>-0.29938583609346736</v>
      </c>
      <c r="M65" s="102">
        <f>IF(COUNT(F65:I65)=0,"n/m",AVERAGE(F65:I65))</f>
        <v>16.031895461872406</v>
      </c>
      <c r="N65" s="102">
        <f>IF(COUNT(E65:I65)=0,"n/m",MEDIAN(E65:I65))</f>
        <v>18.646831335440545</v>
      </c>
      <c r="O65" t="s">
        <v>928</v>
      </c>
      <c r="P65" s="8" t="str">
        <f>IF(NOT(ISNUMBER(L65)),"n/m",IF(O65="Higher",IF(L65&gt;=0,"Above avg - favourable","Below avg - unfavourable"),IF(O65="Lower",IF(L65&lt;=0,"Below avg - favourable","Above avg - unfavourable"),IF(L65&gt;=0,"Above avg - context-dependent","Below avg - context-dependent"))))&amp;IF(K65&lt;5," (N="&amp;K65&amp;")","")</f>
        <v>Below avg - favourable</v>
      </c>
      <c r="R65" s="40" t="str">
        <f>IF(K65=0,"n/m",IF(ABS(J65-SUM(E65:I65)/K65)&lt;0.000000001,"OK","ERR"))</f>
        <v>OK</v>
      </c>
    </row>
    <row r="66" spans="1:18" x14ac:dyDescent="0.3">
      <c r="C66" s="37" t="s">
        <v>187</v>
      </c>
      <c r="D66" t="s">
        <v>29</v>
      </c>
      <c r="E66" s="100">
        <f>KOHC!H148</f>
        <v>18.487732733839078</v>
      </c>
      <c r="F66" s="100">
        <f>LUCK!H148</f>
        <v>19.473145621508603</v>
      </c>
      <c r="G66" s="100">
        <f>DGKC!H148</f>
        <v>5.9624857341490083</v>
      </c>
      <c r="H66" s="100">
        <f>MLCF!H148</f>
        <v>23.291952500495849</v>
      </c>
      <c r="I66" s="100">
        <f>FCCL!H148</f>
        <v>25.555492212987932</v>
      </c>
      <c r="J66" s="101">
        <f>IF(COUNT(E66:I66)=0,"n/m",AVERAGE(E66:I66))</f>
        <v>18.554161760596095</v>
      </c>
      <c r="K66">
        <f>COUNT(E66:I66)</f>
        <v>5</v>
      </c>
      <c r="L66" s="102">
        <f>IF(AND(ISNUMBER(E66),ISNUMBER(J66)),E66-J66,"n/m")</f>
        <v>-6.642902675701734E-2</v>
      </c>
      <c r="M66" s="102">
        <f>IF(COUNT(F66:I66)=0,"n/m",AVERAGE(F66:I66))</f>
        <v>18.570769017285347</v>
      </c>
      <c r="N66" s="102">
        <f>IF(COUNT(E66:I66)=0,"n/m",MEDIAN(E66:I66))</f>
        <v>19.473145621508603</v>
      </c>
      <c r="O66" t="s">
        <v>928</v>
      </c>
      <c r="P66" s="8" t="str">
        <f>IF(NOT(ISNUMBER(L66)),"n/m",IF(O66="Higher",IF(L66&gt;=0,"Above avg - favourable","Below avg - unfavourable"),IF(O66="Lower",IF(L66&lt;=0,"Below avg - favourable","Above avg - unfavourable"),IF(L66&gt;=0,"Above avg - context-dependent","Below avg - context-dependent"))))&amp;IF(K66&lt;5," (N="&amp;K66&amp;")","")</f>
        <v>Below avg - favourable</v>
      </c>
      <c r="R66" s="40" t="str">
        <f>IF(K66=0,"n/m",IF(ABS(J66-SUM(E66:I66)/K66)&lt;0.000000001,"OK","ERR"))</f>
        <v>OK</v>
      </c>
    </row>
    <row r="67" spans="1:18" x14ac:dyDescent="0.3">
      <c r="A67" s="35" t="s">
        <v>471</v>
      </c>
      <c r="B67" s="13">
        <v>11</v>
      </c>
      <c r="C67" s="12" t="s">
        <v>483</v>
      </c>
      <c r="D67" s="13"/>
      <c r="E67" s="13"/>
      <c r="F67" s="13"/>
      <c r="G67" s="13"/>
      <c r="H67" s="13"/>
      <c r="I67" s="13"/>
      <c r="J67" s="13"/>
      <c r="K67" s="13"/>
      <c r="L67" s="13"/>
      <c r="M67" s="13"/>
      <c r="N67" s="13"/>
      <c r="O67" s="13"/>
      <c r="P67" s="13"/>
      <c r="Q67" s="36" t="s">
        <v>929</v>
      </c>
      <c r="R67" s="13"/>
    </row>
    <row r="68" spans="1:18" x14ac:dyDescent="0.3">
      <c r="C68" s="37" t="s">
        <v>190</v>
      </c>
      <c r="D68" t="s">
        <v>20</v>
      </c>
      <c r="E68" s="100">
        <f>KOHC!D149</f>
        <v>26.695664391757177</v>
      </c>
      <c r="F68" s="100">
        <f>LUCK!D149</f>
        <v>22.744515597441875</v>
      </c>
      <c r="G68" s="100">
        <f>DGKC!D149</f>
        <v>57.658360027776368</v>
      </c>
      <c r="H68" s="100">
        <f>MLCF!D149</f>
        <v>50.273995830664546</v>
      </c>
      <c r="I68" s="100">
        <f>FCCL!D149</f>
        <v>12.205077421282503</v>
      </c>
      <c r="J68" s="101">
        <f>IF(COUNT(E68:I68)=0,"n/m",AVERAGE(E68:I68))</f>
        <v>33.915522653784492</v>
      </c>
      <c r="K68">
        <f>COUNT(E68:I68)</f>
        <v>5</v>
      </c>
      <c r="L68" s="102">
        <f>IF(AND(ISNUMBER(E68),ISNUMBER(J68)),E68-J68,"n/m")</f>
        <v>-7.2198582620273157</v>
      </c>
      <c r="M68" s="102">
        <f>IF(COUNT(F68:I68)=0,"n/m",AVERAGE(F68:I68))</f>
        <v>35.720487219291329</v>
      </c>
      <c r="N68" s="102">
        <f>IF(COUNT(E68:I68)=0,"n/m",MEDIAN(E68:I68))</f>
        <v>26.695664391757177</v>
      </c>
      <c r="O68" t="s">
        <v>922</v>
      </c>
      <c r="P68" s="8" t="str">
        <f>IF(NOT(ISNUMBER(L68)),"n/m",IF(O68="Higher",IF(L68&gt;=0,"Above avg - favourable","Below avg - unfavourable"),IF(O68="Lower",IF(L68&lt;=0,"Below avg - favourable","Above avg - unfavourable"),IF(L68&gt;=0,"Above avg - context-dependent","Below avg - context-dependent"))))&amp;IF(K68&lt;5," (N="&amp;K68&amp;")","")</f>
        <v>Below avg - context-dependent</v>
      </c>
      <c r="R68" s="40" t="str">
        <f>IF(K68=0,"n/m",IF(ABS(J68-SUM(E68:I68)/K68)&lt;0.000000001,"OK","ERR"))</f>
        <v>OK</v>
      </c>
    </row>
    <row r="69" spans="1:18" x14ac:dyDescent="0.3">
      <c r="C69" s="37" t="s">
        <v>190</v>
      </c>
      <c r="D69" t="s">
        <v>26</v>
      </c>
      <c r="E69" s="100">
        <f>KOHC!E149</f>
        <v>22.445127238407188</v>
      </c>
      <c r="F69" s="100">
        <f>LUCK!E149</f>
        <v>19.438565176908817</v>
      </c>
      <c r="G69" s="100">
        <f>DGKC!E149</f>
        <v>43.106668082030595</v>
      </c>
      <c r="H69" s="100">
        <f>MLCF!E149</f>
        <v>38.695931214400467</v>
      </c>
      <c r="I69" s="100">
        <f>FCCL!E149</f>
        <v>16.688960895928066</v>
      </c>
      <c r="J69" s="101">
        <f>IF(COUNT(E69:I69)=0,"n/m",AVERAGE(E69:I69))</f>
        <v>28.075050521535026</v>
      </c>
      <c r="K69">
        <f>COUNT(E69:I69)</f>
        <v>5</v>
      </c>
      <c r="L69" s="102">
        <f>IF(AND(ISNUMBER(E69),ISNUMBER(J69)),E69-J69,"n/m")</f>
        <v>-5.6299232831278374</v>
      </c>
      <c r="M69" s="102">
        <f>IF(COUNT(F69:I69)=0,"n/m",AVERAGE(F69:I69))</f>
        <v>29.482531342316985</v>
      </c>
      <c r="N69" s="102">
        <f>IF(COUNT(E69:I69)=0,"n/m",MEDIAN(E69:I69))</f>
        <v>22.445127238407188</v>
      </c>
      <c r="O69" t="s">
        <v>922</v>
      </c>
      <c r="P69" s="8" t="str">
        <f>IF(NOT(ISNUMBER(L69)),"n/m",IF(O69="Higher",IF(L69&gt;=0,"Above avg - favourable","Below avg - unfavourable"),IF(O69="Lower",IF(L69&lt;=0,"Below avg - favourable","Above avg - unfavourable"),IF(L69&gt;=0,"Above avg - context-dependent","Below avg - context-dependent"))))&amp;IF(K69&lt;5," (N="&amp;K69&amp;")","")</f>
        <v>Below avg - context-dependent</v>
      </c>
      <c r="R69" s="40" t="str">
        <f>IF(K69=0,"n/m",IF(ABS(J69-SUM(E69:I69)/K69)&lt;0.000000001,"OK","ERR"))</f>
        <v>OK</v>
      </c>
    </row>
    <row r="70" spans="1:18" x14ac:dyDescent="0.3">
      <c r="C70" s="37" t="s">
        <v>190</v>
      </c>
      <c r="D70" t="s">
        <v>27</v>
      </c>
      <c r="E70" s="100">
        <f>KOHC!F149</f>
        <v>12.531624662163896</v>
      </c>
      <c r="F70" s="100">
        <f>LUCK!F149</f>
        <v>21.928688071624236</v>
      </c>
      <c r="G70" s="100">
        <f>DGKC!F149</f>
        <v>34.246728091407007</v>
      </c>
      <c r="H70" s="100">
        <f>MLCF!F149</f>
        <v>44.831228056476625</v>
      </c>
      <c r="I70" s="100">
        <f>FCCL!F149</f>
        <v>20.323804785769745</v>
      </c>
      <c r="J70" s="101">
        <f>IF(COUNT(E70:I70)=0,"n/m",AVERAGE(E70:I70))</f>
        <v>26.772414733488301</v>
      </c>
      <c r="K70">
        <f>COUNT(E70:I70)</f>
        <v>5</v>
      </c>
      <c r="L70" s="102">
        <f>IF(AND(ISNUMBER(E70),ISNUMBER(J70)),E70-J70,"n/m")</f>
        <v>-14.240790071324405</v>
      </c>
      <c r="M70" s="102">
        <f>IF(COUNT(F70:I70)=0,"n/m",AVERAGE(F70:I70))</f>
        <v>30.332612251319404</v>
      </c>
      <c r="N70" s="102">
        <f>IF(COUNT(E70:I70)=0,"n/m",MEDIAN(E70:I70))</f>
        <v>21.928688071624236</v>
      </c>
      <c r="O70" t="s">
        <v>922</v>
      </c>
      <c r="P70" s="8" t="str">
        <f>IF(NOT(ISNUMBER(L70)),"n/m",IF(O70="Higher",IF(L70&gt;=0,"Above avg - favourable","Below avg - unfavourable"),IF(O70="Lower",IF(L70&lt;=0,"Below avg - favourable","Above avg - unfavourable"),IF(L70&gt;=0,"Above avg - context-dependent","Below avg - context-dependent"))))&amp;IF(K70&lt;5," (N="&amp;K70&amp;")","")</f>
        <v>Below avg - context-dependent</v>
      </c>
      <c r="R70" s="40" t="str">
        <f>IF(K70=0,"n/m",IF(ABS(J70-SUM(E70:I70)/K70)&lt;0.000000001,"OK","ERR"))</f>
        <v>OK</v>
      </c>
    </row>
    <row r="71" spans="1:18" x14ac:dyDescent="0.3">
      <c r="C71" s="37" t="s">
        <v>190</v>
      </c>
      <c r="D71" t="s">
        <v>28</v>
      </c>
      <c r="E71" s="100">
        <f>KOHC!G149</f>
        <v>16.364411171705761</v>
      </c>
      <c r="F71" s="100">
        <f>LUCK!G149</f>
        <v>29.103243031888116</v>
      </c>
      <c r="G71" s="100">
        <f>DGKC!G149</f>
        <v>38.06068085872657</v>
      </c>
      <c r="H71" s="100">
        <f>MLCF!G149</f>
        <v>48.436678795562727</v>
      </c>
      <c r="I71" s="100">
        <f>FCCL!G149</f>
        <v>17.96598297778959</v>
      </c>
      <c r="J71" s="101">
        <f>IF(COUNT(E71:I71)=0,"n/m",AVERAGE(E71:I71))</f>
        <v>29.986199367134553</v>
      </c>
      <c r="K71">
        <f>COUNT(E71:I71)</f>
        <v>5</v>
      </c>
      <c r="L71" s="102">
        <f>IF(AND(ISNUMBER(E71),ISNUMBER(J71)),E71-J71,"n/m")</f>
        <v>-13.621788195428792</v>
      </c>
      <c r="M71" s="102">
        <f>IF(COUNT(F71:I71)=0,"n/m",AVERAGE(F71:I71))</f>
        <v>33.391646415991751</v>
      </c>
      <c r="N71" s="102">
        <f>IF(COUNT(E71:I71)=0,"n/m",MEDIAN(E71:I71))</f>
        <v>29.103243031888116</v>
      </c>
      <c r="O71" t="s">
        <v>922</v>
      </c>
      <c r="P71" s="8" t="str">
        <f>IF(NOT(ISNUMBER(L71)),"n/m",IF(O71="Higher",IF(L71&gt;=0,"Above avg - favourable","Below avg - unfavourable"),IF(O71="Lower",IF(L71&lt;=0,"Below avg - favourable","Above avg - unfavourable"),IF(L71&gt;=0,"Above avg - context-dependent","Below avg - context-dependent"))))&amp;IF(K71&lt;5," (N="&amp;K71&amp;")","")</f>
        <v>Below avg - context-dependent</v>
      </c>
      <c r="R71" s="40" t="str">
        <f>IF(K71=0,"n/m",IF(ABS(J71-SUM(E71:I71)/K71)&lt;0.000000001,"OK","ERR"))</f>
        <v>OK</v>
      </c>
    </row>
    <row r="72" spans="1:18" x14ac:dyDescent="0.3">
      <c r="C72" s="37" t="s">
        <v>190</v>
      </c>
      <c r="D72" t="s">
        <v>29</v>
      </c>
      <c r="E72" s="100">
        <f>KOHC!H149</f>
        <v>31.106488864521271</v>
      </c>
      <c r="F72" s="100">
        <f>LUCK!H149</f>
        <v>30.330299261637901</v>
      </c>
      <c r="G72" s="100">
        <f>DGKC!H149</f>
        <v>30.584254931231971</v>
      </c>
      <c r="H72" s="100">
        <f>MLCF!H149</f>
        <v>51.360901706647297</v>
      </c>
      <c r="I72" s="100">
        <f>FCCL!H149</f>
        <v>15.14066821634052</v>
      </c>
      <c r="J72" s="101">
        <f>IF(COUNT(E72:I72)=0,"n/m",AVERAGE(E72:I72))</f>
        <v>31.704522596075794</v>
      </c>
      <c r="K72">
        <f>COUNT(E72:I72)</f>
        <v>5</v>
      </c>
      <c r="L72" s="102">
        <f>IF(AND(ISNUMBER(E72),ISNUMBER(J72)),E72-J72,"n/m")</f>
        <v>-0.59803373155452277</v>
      </c>
      <c r="M72" s="102">
        <f>IF(COUNT(F72:I72)=0,"n/m",AVERAGE(F72:I72))</f>
        <v>31.854031028964421</v>
      </c>
      <c r="N72" s="102">
        <f>IF(COUNT(E72:I72)=0,"n/m",MEDIAN(E72:I72))</f>
        <v>30.584254931231971</v>
      </c>
      <c r="O72" t="s">
        <v>922</v>
      </c>
      <c r="P72" s="8" t="str">
        <f>IF(NOT(ISNUMBER(L72)),"n/m",IF(O72="Higher",IF(L72&gt;=0,"Above avg - favourable","Below avg - unfavourable"),IF(O72="Lower",IF(L72&lt;=0,"Below avg - favourable","Above avg - unfavourable"),IF(L72&gt;=0,"Above avg - context-dependent","Below avg - context-dependent"))))&amp;IF(K72&lt;5," (N="&amp;K72&amp;")","")</f>
        <v>Below avg - context-dependent</v>
      </c>
      <c r="R72" s="40" t="str">
        <f>IF(K72=0,"n/m",IF(ABS(J72-SUM(E72:I72)/K72)&lt;0.000000001,"OK","ERR"))</f>
        <v>OK</v>
      </c>
    </row>
    <row r="73" spans="1:18" x14ac:dyDescent="0.3">
      <c r="A73" s="35" t="s">
        <v>471</v>
      </c>
      <c r="B73" s="13">
        <v>12</v>
      </c>
      <c r="C73" s="12" t="s">
        <v>485</v>
      </c>
      <c r="D73" s="13"/>
      <c r="E73" s="13"/>
      <c r="F73" s="13"/>
      <c r="G73" s="13"/>
      <c r="H73" s="13"/>
      <c r="I73" s="13"/>
      <c r="J73" s="13"/>
      <c r="K73" s="13"/>
      <c r="L73" s="13"/>
      <c r="M73" s="13"/>
      <c r="N73" s="13"/>
      <c r="O73" s="13"/>
      <c r="P73" s="13"/>
      <c r="Q73" s="36"/>
      <c r="R73" s="13"/>
    </row>
    <row r="74" spans="1:18" x14ac:dyDescent="0.3">
      <c r="C74" s="37" t="s">
        <v>192</v>
      </c>
      <c r="D74" t="s">
        <v>20</v>
      </c>
      <c r="E74" s="100">
        <f>KOHC!D150</f>
        <v>86.359013035043759</v>
      </c>
      <c r="F74" s="100">
        <f>LUCK!D150</f>
        <v>113.4924050094809</v>
      </c>
      <c r="G74" s="100">
        <f>DGKC!D150</f>
        <v>154.98591798038223</v>
      </c>
      <c r="H74" s="100">
        <f>MLCF!D150</f>
        <v>167.4166769575136</v>
      </c>
      <c r="I74" s="100">
        <f>FCCL!D150</f>
        <v>120.37486362875428</v>
      </c>
      <c r="J74" s="101">
        <f>IF(COUNT(E74:I74)=0,"n/m",AVERAGE(E74:I74))</f>
        <v>128.52577532223495</v>
      </c>
      <c r="K74">
        <f>COUNT(E74:I74)</f>
        <v>5</v>
      </c>
      <c r="L74" s="102">
        <f>IF(AND(ISNUMBER(E74),ISNUMBER(J74)),E74-J74,"n/m")</f>
        <v>-42.16676228719119</v>
      </c>
      <c r="M74" s="102">
        <f>IF(COUNT(F74:I74)=0,"n/m",AVERAGE(F74:I74))</f>
        <v>139.06746589403275</v>
      </c>
      <c r="N74" s="102">
        <f>IF(COUNT(E74:I74)=0,"n/m",MEDIAN(E74:I74))</f>
        <v>120.37486362875428</v>
      </c>
      <c r="O74" t="s">
        <v>928</v>
      </c>
      <c r="P74" s="8" t="str">
        <f>IF(NOT(ISNUMBER(L74)),"n/m",IF(O74="Higher",IF(L74&gt;=0,"Above avg - favourable","Below avg - unfavourable"),IF(O74="Lower",IF(L74&lt;=0,"Below avg - favourable","Above avg - unfavourable"),IF(L74&gt;=0,"Above avg - context-dependent","Below avg - context-dependent"))))&amp;IF(K74&lt;5," (N="&amp;K74&amp;")","")</f>
        <v>Below avg - favourable</v>
      </c>
      <c r="R74" s="40" t="str">
        <f>IF(K74=0,"n/m",IF(ABS(J74-SUM(E74:I74)/K74)&lt;0.000000001,"OK","ERR"))</f>
        <v>OK</v>
      </c>
    </row>
    <row r="75" spans="1:18" x14ac:dyDescent="0.3">
      <c r="C75" s="37" t="s">
        <v>192</v>
      </c>
      <c r="D75" t="s">
        <v>26</v>
      </c>
      <c r="E75" s="100">
        <f>KOHC!E150</f>
        <v>88.517323074090058</v>
      </c>
      <c r="F75" s="100">
        <f>LUCK!E150</f>
        <v>113.8158997916011</v>
      </c>
      <c r="G75" s="100">
        <f>DGKC!E150</f>
        <v>157.07720873569721</v>
      </c>
      <c r="H75" s="100">
        <f>MLCF!E150</f>
        <v>152.24880213702139</v>
      </c>
      <c r="I75" s="100">
        <f>FCCL!E150</f>
        <v>112.18423817026765</v>
      </c>
      <c r="J75" s="101">
        <f>IF(COUNT(E75:I75)=0,"n/m",AVERAGE(E75:I75))</f>
        <v>124.76869438173549</v>
      </c>
      <c r="K75">
        <f>COUNT(E75:I75)</f>
        <v>5</v>
      </c>
      <c r="L75" s="102">
        <f>IF(AND(ISNUMBER(E75),ISNUMBER(J75)),E75-J75,"n/m")</f>
        <v>-36.251371307645428</v>
      </c>
      <c r="M75" s="102">
        <f>IF(COUNT(F75:I75)=0,"n/m",AVERAGE(F75:I75))</f>
        <v>133.83153720864684</v>
      </c>
      <c r="N75" s="102">
        <f>IF(COUNT(E75:I75)=0,"n/m",MEDIAN(E75:I75))</f>
        <v>113.8158997916011</v>
      </c>
      <c r="O75" t="s">
        <v>928</v>
      </c>
      <c r="P75" s="8" t="str">
        <f>IF(NOT(ISNUMBER(L75)),"n/m",IF(O75="Higher",IF(L75&gt;=0,"Above avg - favourable","Below avg - unfavourable"),IF(O75="Lower",IF(L75&lt;=0,"Below avg - favourable","Above avg - unfavourable"),IF(L75&gt;=0,"Above avg - context-dependent","Below avg - context-dependent"))))&amp;IF(K75&lt;5," (N="&amp;K75&amp;")","")</f>
        <v>Below avg - favourable</v>
      </c>
      <c r="R75" s="40" t="str">
        <f>IF(K75=0,"n/m",IF(ABS(J75-SUM(E75:I75)/K75)&lt;0.000000001,"OK","ERR"))</f>
        <v>OK</v>
      </c>
    </row>
    <row r="76" spans="1:18" x14ac:dyDescent="0.3">
      <c r="C76" s="37" t="s">
        <v>192</v>
      </c>
      <c r="D76" t="s">
        <v>27</v>
      </c>
      <c r="E76" s="100">
        <f>KOHC!F150</f>
        <v>95.320500825256744</v>
      </c>
      <c r="F76" s="100">
        <f>LUCK!F150</f>
        <v>117.13342729533147</v>
      </c>
      <c r="G76" s="100">
        <f>DGKC!F150</f>
        <v>157.3530580584536</v>
      </c>
      <c r="H76" s="100">
        <f>MLCF!F150</f>
        <v>135.72795979404128</v>
      </c>
      <c r="I76" s="100">
        <f>FCCL!F150</f>
        <v>133.85744190022098</v>
      </c>
      <c r="J76" s="101">
        <f>IF(COUNT(E76:I76)=0,"n/m",AVERAGE(E76:I76))</f>
        <v>127.87847757466082</v>
      </c>
      <c r="K76">
        <f>COUNT(E76:I76)</f>
        <v>5</v>
      </c>
      <c r="L76" s="102">
        <f>IF(AND(ISNUMBER(E76),ISNUMBER(J76)),E76-J76,"n/m")</f>
        <v>-32.557976749404077</v>
      </c>
      <c r="M76" s="102">
        <f>IF(COUNT(F76:I76)=0,"n/m",AVERAGE(F76:I76))</f>
        <v>136.01797176201183</v>
      </c>
      <c r="N76" s="102">
        <f>IF(COUNT(E76:I76)=0,"n/m",MEDIAN(E76:I76))</f>
        <v>133.85744190022098</v>
      </c>
      <c r="O76" t="s">
        <v>928</v>
      </c>
      <c r="P76" s="8" t="str">
        <f>IF(NOT(ISNUMBER(L76)),"n/m",IF(O76="Higher",IF(L76&gt;=0,"Above avg - favourable","Below avg - unfavourable"),IF(O76="Lower",IF(L76&lt;=0,"Below avg - favourable","Above avg - unfavourable"),IF(L76&gt;=0,"Above avg - context-dependent","Below avg - context-dependent"))))&amp;IF(K76&lt;5," (N="&amp;K76&amp;")","")</f>
        <v>Below avg - favourable</v>
      </c>
      <c r="R76" s="40" t="str">
        <f>IF(K76=0,"n/m",IF(ABS(J76-SUM(E76:I76)/K76)&lt;0.000000001,"OK","ERR"))</f>
        <v>OK</v>
      </c>
    </row>
    <row r="77" spans="1:18" x14ac:dyDescent="0.3">
      <c r="C77" s="37" t="s">
        <v>192</v>
      </c>
      <c r="D77" t="s">
        <v>28</v>
      </c>
      <c r="E77" s="100">
        <f>KOHC!G150</f>
        <v>117.16675674129961</v>
      </c>
      <c r="F77" s="100">
        <f>LUCK!G150</f>
        <v>122.12726136329816</v>
      </c>
      <c r="G77" s="100">
        <f>DGKC!G150</f>
        <v>146.96053454668916</v>
      </c>
      <c r="H77" s="100">
        <f>MLCF!G150</f>
        <v>136.33726398388214</v>
      </c>
      <c r="I77" s="100">
        <f>FCCL!G150</f>
        <v>127.30703023703913</v>
      </c>
      <c r="J77" s="101">
        <f>IF(COUNT(E77:I77)=0,"n/m",AVERAGE(E77:I77))</f>
        <v>129.97976937444164</v>
      </c>
      <c r="K77">
        <f>COUNT(E77:I77)</f>
        <v>5</v>
      </c>
      <c r="L77" s="102">
        <f>IF(AND(ISNUMBER(E77),ISNUMBER(J77)),E77-J77,"n/m")</f>
        <v>-12.813012633142037</v>
      </c>
      <c r="M77" s="102">
        <f>IF(COUNT(F77:I77)=0,"n/m",AVERAGE(F77:I77))</f>
        <v>133.18302253272716</v>
      </c>
      <c r="N77" s="102">
        <f>IF(COUNT(E77:I77)=0,"n/m",MEDIAN(E77:I77))</f>
        <v>127.30703023703913</v>
      </c>
      <c r="O77" t="s">
        <v>928</v>
      </c>
      <c r="P77" s="8" t="str">
        <f>IF(NOT(ISNUMBER(L77)),"n/m",IF(O77="Higher",IF(L77&gt;=0,"Above avg - favourable","Below avg - unfavourable"),IF(O77="Lower",IF(L77&lt;=0,"Below avg - favourable","Above avg - unfavourable"),IF(L77&gt;=0,"Above avg - context-dependent","Below avg - context-dependent"))))&amp;IF(K77&lt;5," (N="&amp;K77&amp;")","")</f>
        <v>Below avg - favourable</v>
      </c>
      <c r="R77" s="40" t="str">
        <f>IF(K77=0,"n/m",IF(ABS(J77-SUM(E77:I77)/K77)&lt;0.000000001,"OK","ERR"))</f>
        <v>OK</v>
      </c>
    </row>
    <row r="78" spans="1:18" x14ac:dyDescent="0.3">
      <c r="C78" s="37" t="s">
        <v>192</v>
      </c>
      <c r="D78" t="s">
        <v>29</v>
      </c>
      <c r="E78" s="100">
        <f>KOHC!H150</f>
        <v>139.15365151729091</v>
      </c>
      <c r="F78" s="100">
        <f>LUCK!H150</f>
        <v>126.00842997609743</v>
      </c>
      <c r="G78" s="100">
        <f>DGKC!H150</f>
        <v>145.25712697807646</v>
      </c>
      <c r="H78" s="100">
        <f>MLCF!H150</f>
        <v>154.2772029550199</v>
      </c>
      <c r="I78" s="100">
        <f>FCCL!H150</f>
        <v>141.02955321201802</v>
      </c>
      <c r="J78" s="101">
        <f>IF(COUNT(E78:I78)=0,"n/m",AVERAGE(E78:I78))</f>
        <v>141.14519292770055</v>
      </c>
      <c r="K78">
        <f>COUNT(E78:I78)</f>
        <v>5</v>
      </c>
      <c r="L78" s="102">
        <f>IF(AND(ISNUMBER(E78),ISNUMBER(J78)),E78-J78,"n/m")</f>
        <v>-1.9915414104096385</v>
      </c>
      <c r="M78" s="102">
        <f>IF(COUNT(F78:I78)=0,"n/m",AVERAGE(F78:I78))</f>
        <v>141.64307828030297</v>
      </c>
      <c r="N78" s="102">
        <f>IF(COUNT(E78:I78)=0,"n/m",MEDIAN(E78:I78))</f>
        <v>141.02955321201802</v>
      </c>
      <c r="O78" t="s">
        <v>928</v>
      </c>
      <c r="P78" s="8" t="str">
        <f>IF(NOT(ISNUMBER(L78)),"n/m",IF(O78="Higher",IF(L78&gt;=0,"Above avg - favourable","Below avg - unfavourable"),IF(O78="Lower",IF(L78&lt;=0,"Below avg - favourable","Above avg - unfavourable"),IF(L78&gt;=0,"Above avg - context-dependent","Below avg - context-dependent"))))&amp;IF(K78&lt;5," (N="&amp;K78&amp;")","")</f>
        <v>Below avg - favourable</v>
      </c>
      <c r="R78" s="40" t="str">
        <f>IF(K78=0,"n/m",IF(ABS(J78-SUM(E78:I78)/K78)&lt;0.000000001,"OK","ERR"))</f>
        <v>OK</v>
      </c>
    </row>
    <row r="79" spans="1:18" x14ac:dyDescent="0.3">
      <c r="A79" s="35" t="s">
        <v>471</v>
      </c>
      <c r="B79" s="13">
        <v>13</v>
      </c>
      <c r="C79" s="12" t="s">
        <v>487</v>
      </c>
      <c r="D79" s="13"/>
      <c r="E79" s="13"/>
      <c r="F79" s="13"/>
      <c r="G79" s="13"/>
      <c r="H79" s="13"/>
      <c r="I79" s="13"/>
      <c r="J79" s="13"/>
      <c r="K79" s="13"/>
      <c r="L79" s="13"/>
      <c r="M79" s="13"/>
      <c r="N79" s="13"/>
      <c r="O79" s="13"/>
      <c r="P79" s="13"/>
      <c r="Q79" s="36"/>
      <c r="R79" s="13"/>
    </row>
    <row r="80" spans="1:18" x14ac:dyDescent="0.3">
      <c r="C80" s="37" t="s">
        <v>150</v>
      </c>
      <c r="D80" t="s">
        <v>20</v>
      </c>
      <c r="E80" s="100">
        <f>KOHC!D151</f>
        <v>59.663348643286582</v>
      </c>
      <c r="F80" s="100">
        <f>LUCK!D151</f>
        <v>90.747889412039029</v>
      </c>
      <c r="G80" s="100">
        <f>DGKC!D151</f>
        <v>97.327557952605858</v>
      </c>
      <c r="H80" s="100">
        <f>MLCF!D151</f>
        <v>117.14268112684906</v>
      </c>
      <c r="I80" s="100">
        <f>FCCL!D151</f>
        <v>108.16978620747179</v>
      </c>
      <c r="J80" s="101">
        <f>IF(COUNT(E80:I80)=0,"n/m",AVERAGE(E80:I80))</f>
        <v>94.610252668450471</v>
      </c>
      <c r="K80">
        <f>COUNT(E80:I80)</f>
        <v>5</v>
      </c>
      <c r="L80" s="102">
        <f>IF(AND(ISNUMBER(E80),ISNUMBER(J80)),E80-J80,"n/m")</f>
        <v>-34.946904025163889</v>
      </c>
      <c r="M80" s="102">
        <f>IF(COUNT(F80:I80)=0,"n/m",AVERAGE(F80:I80))</f>
        <v>103.34697867474145</v>
      </c>
      <c r="N80" s="102">
        <f>IF(COUNT(E80:I80)=0,"n/m",MEDIAN(E80:I80))</f>
        <v>97.327557952605858</v>
      </c>
      <c r="O80" t="s">
        <v>928</v>
      </c>
      <c r="P80" s="8" t="str">
        <f>IF(NOT(ISNUMBER(L80)),"n/m",IF(O80="Higher",IF(L80&gt;=0,"Above avg - favourable","Below avg - unfavourable"),IF(O80="Lower",IF(L80&lt;=0,"Below avg - favourable","Above avg - unfavourable"),IF(L80&gt;=0,"Above avg - context-dependent","Below avg - context-dependent"))))&amp;IF(K80&lt;5," (N="&amp;K80&amp;")","")</f>
        <v>Below avg - favourable</v>
      </c>
      <c r="R80" s="40" t="str">
        <f>IF(K80=0,"n/m",IF(ABS(J80-SUM(E80:I80)/K80)&lt;0.000000001,"OK","ERR"))</f>
        <v>OK</v>
      </c>
    </row>
    <row r="81" spans="1:18" x14ac:dyDescent="0.3">
      <c r="C81" s="37" t="s">
        <v>150</v>
      </c>
      <c r="D81" t="s">
        <v>26</v>
      </c>
      <c r="E81" s="100">
        <f>KOHC!E151</f>
        <v>66.072195835682862</v>
      </c>
      <c r="F81" s="100">
        <f>LUCK!E151</f>
        <v>94.377334614692273</v>
      </c>
      <c r="G81" s="100">
        <f>DGKC!E151</f>
        <v>113.97054065366662</v>
      </c>
      <c r="H81" s="100">
        <f>MLCF!E151</f>
        <v>113.55287092262091</v>
      </c>
      <c r="I81" s="100">
        <f>FCCL!E151</f>
        <v>95.495277274339585</v>
      </c>
      <c r="J81" s="101">
        <f>IF(COUNT(E81:I81)=0,"n/m",AVERAGE(E81:I81))</f>
        <v>96.693643860200453</v>
      </c>
      <c r="K81">
        <f>COUNT(E81:I81)</f>
        <v>5</v>
      </c>
      <c r="L81" s="102">
        <f>IF(AND(ISNUMBER(E81),ISNUMBER(J81)),E81-J81,"n/m")</f>
        <v>-30.621448024517591</v>
      </c>
      <c r="M81" s="102">
        <f>IF(COUNT(F81:I81)=0,"n/m",AVERAGE(F81:I81))</f>
        <v>104.34900586632985</v>
      </c>
      <c r="N81" s="102">
        <f>IF(COUNT(E81:I81)=0,"n/m",MEDIAN(E81:I81))</f>
        <v>95.495277274339585</v>
      </c>
      <c r="O81" t="s">
        <v>928</v>
      </c>
      <c r="P81" s="8" t="str">
        <f>IF(NOT(ISNUMBER(L81)),"n/m",IF(O81="Higher",IF(L81&gt;=0,"Above avg - favourable","Below avg - unfavourable"),IF(O81="Lower",IF(L81&lt;=0,"Below avg - favourable","Above avg - unfavourable"),IF(L81&gt;=0,"Above avg - context-dependent","Below avg - context-dependent"))))&amp;IF(K81&lt;5," (N="&amp;K81&amp;")","")</f>
        <v>Below avg - favourable</v>
      </c>
      <c r="R81" s="40" t="str">
        <f>IF(K81=0,"n/m",IF(ABS(J81-SUM(E81:I81)/K81)&lt;0.000000001,"OK","ERR"))</f>
        <v>OK</v>
      </c>
    </row>
    <row r="82" spans="1:18" x14ac:dyDescent="0.3">
      <c r="C82" s="37" t="s">
        <v>150</v>
      </c>
      <c r="D82" t="s">
        <v>27</v>
      </c>
      <c r="E82" s="100">
        <f>KOHC!F151</f>
        <v>82.788876163092851</v>
      </c>
      <c r="F82" s="100">
        <f>LUCK!F151</f>
        <v>95.204739223707236</v>
      </c>
      <c r="G82" s="100">
        <f>DGKC!F151</f>
        <v>123.10632996704659</v>
      </c>
      <c r="H82" s="100">
        <f>MLCF!F151</f>
        <v>90.896731737564664</v>
      </c>
      <c r="I82" s="100">
        <f>FCCL!F151</f>
        <v>113.53363711445124</v>
      </c>
      <c r="J82" s="101">
        <f>IF(COUNT(E82:I82)=0,"n/m",AVERAGE(E82:I82))</f>
        <v>101.10606284117253</v>
      </c>
      <c r="K82">
        <f>COUNT(E82:I82)</f>
        <v>5</v>
      </c>
      <c r="L82" s="102">
        <f>IF(AND(ISNUMBER(E82),ISNUMBER(J82)),E82-J82,"n/m")</f>
        <v>-18.317186678079679</v>
      </c>
      <c r="M82" s="102">
        <f>IF(COUNT(F82:I82)=0,"n/m",AVERAGE(F82:I82))</f>
        <v>105.68535951069242</v>
      </c>
      <c r="N82" s="102">
        <f>IF(COUNT(E82:I82)=0,"n/m",MEDIAN(E82:I82))</f>
        <v>95.204739223707236</v>
      </c>
      <c r="O82" t="s">
        <v>928</v>
      </c>
      <c r="P82" s="8" t="str">
        <f>IF(NOT(ISNUMBER(L82)),"n/m",IF(O82="Higher",IF(L82&gt;=0,"Above avg - favourable","Below avg - unfavourable"),IF(O82="Lower",IF(L82&lt;=0,"Below avg - favourable","Above avg - unfavourable"),IF(L82&gt;=0,"Above avg - context-dependent","Below avg - context-dependent"))))&amp;IF(K82&lt;5," (N="&amp;K82&amp;")","")</f>
        <v>Below avg - favourable</v>
      </c>
      <c r="R82" s="40" t="str">
        <f>IF(K82=0,"n/m",IF(ABS(J82-SUM(E82:I82)/K82)&lt;0.000000001,"OK","ERR"))</f>
        <v>OK</v>
      </c>
    </row>
    <row r="83" spans="1:18" x14ac:dyDescent="0.3">
      <c r="C83" s="37" t="s">
        <v>150</v>
      </c>
      <c r="D83" t="s">
        <v>28</v>
      </c>
      <c r="E83" s="100">
        <f>KOHC!G151</f>
        <v>100.80234556959385</v>
      </c>
      <c r="F83" s="100">
        <f>LUCK!G151</f>
        <v>93.024018331410048</v>
      </c>
      <c r="G83" s="100">
        <f>DGKC!G151</f>
        <v>108.89985368796259</v>
      </c>
      <c r="H83" s="100">
        <f>MLCF!G151</f>
        <v>87.900585188319411</v>
      </c>
      <c r="I83" s="100">
        <f>FCCL!G151</f>
        <v>109.34104725924954</v>
      </c>
      <c r="J83" s="101">
        <f>IF(COUNT(E83:I83)=0,"n/m",AVERAGE(E83:I83))</f>
        <v>99.993570007307085</v>
      </c>
      <c r="K83">
        <f>COUNT(E83:I83)</f>
        <v>5</v>
      </c>
      <c r="L83" s="102">
        <f>IF(AND(ISNUMBER(E83),ISNUMBER(J83)),E83-J83,"n/m")</f>
        <v>0.80877556228676895</v>
      </c>
      <c r="M83" s="102">
        <f>IF(COUNT(F83:I83)=0,"n/m",AVERAGE(F83:I83))</f>
        <v>99.791376116735393</v>
      </c>
      <c r="N83" s="102">
        <f>IF(COUNT(E83:I83)=0,"n/m",MEDIAN(E83:I83))</f>
        <v>100.80234556959385</v>
      </c>
      <c r="O83" t="s">
        <v>928</v>
      </c>
      <c r="P83" s="8" t="str">
        <f>IF(NOT(ISNUMBER(L83)),"n/m",IF(O83="Higher",IF(L83&gt;=0,"Above avg - favourable","Below avg - unfavourable"),IF(O83="Lower",IF(L83&lt;=0,"Below avg - favourable","Above avg - unfavourable"),IF(L83&gt;=0,"Above avg - context-dependent","Below avg - context-dependent"))))&amp;IF(K83&lt;5," (N="&amp;K83&amp;")","")</f>
        <v>Above avg - unfavourable</v>
      </c>
      <c r="R83" s="40" t="str">
        <f>IF(K83=0,"n/m",IF(ABS(J83-SUM(E83:I83)/K83)&lt;0.000000001,"OK","ERR"))</f>
        <v>OK</v>
      </c>
    </row>
    <row r="84" spans="1:18" x14ac:dyDescent="0.3">
      <c r="C84" s="37" t="s">
        <v>150</v>
      </c>
      <c r="D84" t="s">
        <v>29</v>
      </c>
      <c r="E84" s="100">
        <f>KOHC!H151</f>
        <v>108.04716265276964</v>
      </c>
      <c r="F84" s="100">
        <f>LUCK!H151</f>
        <v>95.678130714459527</v>
      </c>
      <c r="G84" s="100">
        <f>DGKC!H151</f>
        <v>114.67287204684449</v>
      </c>
      <c r="H84" s="100">
        <f>MLCF!H151</f>
        <v>102.9163012483726</v>
      </c>
      <c r="I84" s="100">
        <f>FCCL!H151</f>
        <v>125.8888849956775</v>
      </c>
      <c r="J84" s="101">
        <f>IF(COUNT(E84:I84)=0,"n/m",AVERAGE(E84:I84))</f>
        <v>109.44067033162476</v>
      </c>
      <c r="K84">
        <f>COUNT(E84:I84)</f>
        <v>5</v>
      </c>
      <c r="L84" s="102">
        <f>IF(AND(ISNUMBER(E84),ISNUMBER(J84)),E84-J84,"n/m")</f>
        <v>-1.3935076788551157</v>
      </c>
      <c r="M84" s="102">
        <f>IF(COUNT(F84:I84)=0,"n/m",AVERAGE(F84:I84))</f>
        <v>109.78904725133853</v>
      </c>
      <c r="N84" s="102">
        <f>IF(COUNT(E84:I84)=0,"n/m",MEDIAN(E84:I84))</f>
        <v>108.04716265276964</v>
      </c>
      <c r="O84" t="s">
        <v>928</v>
      </c>
      <c r="P84" s="8" t="str">
        <f>IF(NOT(ISNUMBER(L84)),"n/m",IF(O84="Higher",IF(L84&gt;=0,"Above avg - favourable","Below avg - unfavourable"),IF(O84="Lower",IF(L84&lt;=0,"Below avg - favourable","Above avg - unfavourable"),IF(L84&gt;=0,"Above avg - context-dependent","Below avg - context-dependent"))))&amp;IF(K84&lt;5," (N="&amp;K84&amp;")","")</f>
        <v>Below avg - favourable</v>
      </c>
      <c r="R84" s="40" t="str">
        <f>IF(K84=0,"n/m",IF(ABS(J84-SUM(E84:I84)/K84)&lt;0.000000001,"OK","ERR"))</f>
        <v>OK</v>
      </c>
    </row>
    <row r="85" spans="1:18" x14ac:dyDescent="0.3">
      <c r="A85" s="35" t="s">
        <v>471</v>
      </c>
      <c r="B85" s="13">
        <v>14</v>
      </c>
      <c r="C85" s="12" t="s">
        <v>489</v>
      </c>
      <c r="D85" s="13"/>
      <c r="E85" s="13"/>
      <c r="F85" s="13"/>
      <c r="G85" s="13"/>
      <c r="H85" s="13"/>
      <c r="I85" s="13"/>
      <c r="J85" s="13"/>
      <c r="K85" s="13"/>
      <c r="L85" s="13"/>
      <c r="M85" s="13"/>
      <c r="N85" s="13"/>
      <c r="O85" s="13"/>
      <c r="P85" s="13"/>
      <c r="Q85" s="36"/>
      <c r="R85" s="13"/>
    </row>
    <row r="86" spans="1:18" x14ac:dyDescent="0.3">
      <c r="C86" s="37" t="s">
        <v>196</v>
      </c>
      <c r="D86" t="s">
        <v>20</v>
      </c>
      <c r="E86" s="94">
        <f>KOHC!D152</f>
        <v>0.70920116218432216</v>
      </c>
      <c r="F86" s="94">
        <f>LUCK!D152</f>
        <v>0.43075247100519976</v>
      </c>
      <c r="G86" s="94">
        <f>DGKC!D152</f>
        <v>0.33732156053453599</v>
      </c>
      <c r="H86" s="94">
        <f>MLCF!D152</f>
        <v>0.53744508968075833</v>
      </c>
      <c r="I86" s="94">
        <f>FCCL!D152</f>
        <v>0.76734835914940258</v>
      </c>
      <c r="J86" s="95">
        <f>IF(COUNT(E86:I86)=0,"n/m",AVERAGE(E86:I86))</f>
        <v>0.5564137285108437</v>
      </c>
      <c r="K86">
        <f>COUNT(E86:I86)</f>
        <v>5</v>
      </c>
      <c r="L86" s="96">
        <f>IF(AND(ISNUMBER(E86),ISNUMBER(J86)),E86-J86,"n/m")</f>
        <v>0.15278743367347847</v>
      </c>
      <c r="M86" s="96">
        <f>IF(COUNT(F86:I86)=0,"n/m",AVERAGE(F86:I86))</f>
        <v>0.51821687009247408</v>
      </c>
      <c r="N86" s="96">
        <f>IF(COUNT(E86:I86)=0,"n/m",MEDIAN(E86:I86))</f>
        <v>0.53744508968075833</v>
      </c>
      <c r="O86" t="s">
        <v>920</v>
      </c>
      <c r="P86" s="8" t="str">
        <f>IF(NOT(ISNUMBER(L86)),"n/m",IF(O86="Higher",IF(L86&gt;=0,"Above avg - favourable","Below avg - unfavourable"),IF(O86="Lower",IF(L86&lt;=0,"Below avg - favourable","Above avg - unfavourable"),IF(L86&gt;=0,"Above avg - context-dependent","Below avg - context-dependent"))))&amp;IF(K86&lt;5," (N="&amp;K86&amp;")","")</f>
        <v>Above avg - favourable</v>
      </c>
      <c r="R86" s="40" t="str">
        <f>IF(K86=0,"n/m",IF(ABS(J86-SUM(E86:I86)/K86)&lt;0.000000001,"OK","ERR"))</f>
        <v>OK</v>
      </c>
    </row>
    <row r="87" spans="1:18" x14ac:dyDescent="0.3">
      <c r="C87" s="37" t="s">
        <v>196</v>
      </c>
      <c r="D87" t="s">
        <v>26</v>
      </c>
      <c r="E87" s="94">
        <f>KOHC!E152</f>
        <v>0.82774287277782643</v>
      </c>
      <c r="F87" s="94">
        <f>LUCK!E152</f>
        <v>0.47516141470304879</v>
      </c>
      <c r="G87" s="94">
        <f>DGKC!E152</f>
        <v>0.42297281053904634</v>
      </c>
      <c r="H87" s="94">
        <f>MLCF!E152</f>
        <v>0.65366765919302627</v>
      </c>
      <c r="I87" s="94">
        <f>FCCL!E152</f>
        <v>0.7342538737719585</v>
      </c>
      <c r="J87" s="95">
        <f>IF(COUNT(E87:I87)=0,"n/m",AVERAGE(E87:I87))</f>
        <v>0.62275972619698128</v>
      </c>
      <c r="K87">
        <f>COUNT(E87:I87)</f>
        <v>5</v>
      </c>
      <c r="L87" s="96">
        <f>IF(AND(ISNUMBER(E87),ISNUMBER(J87)),E87-J87,"n/m")</f>
        <v>0.20498314658084515</v>
      </c>
      <c r="M87" s="96">
        <f>IF(COUNT(F87:I87)=0,"n/m",AVERAGE(F87:I87))</f>
        <v>0.57151393955176999</v>
      </c>
      <c r="N87" s="96">
        <f>IF(COUNT(E87:I87)=0,"n/m",MEDIAN(E87:I87))</f>
        <v>0.65366765919302627</v>
      </c>
      <c r="O87" t="s">
        <v>920</v>
      </c>
      <c r="P87" s="8" t="str">
        <f>IF(NOT(ISNUMBER(L87)),"n/m",IF(O87="Higher",IF(L87&gt;=0,"Above avg - favourable","Below avg - unfavourable"),IF(O87="Lower",IF(L87&lt;=0,"Below avg - favourable","Above avg - unfavourable"),IF(L87&gt;=0,"Above avg - context-dependent","Below avg - context-dependent"))))&amp;IF(K87&lt;5," (N="&amp;K87&amp;")","")</f>
        <v>Above avg - favourable</v>
      </c>
      <c r="R87" s="40" t="str">
        <f>IF(K87=0,"n/m",IF(ABS(J87-SUM(E87:I87)/K87)&lt;0.000000001,"OK","ERR"))</f>
        <v>OK</v>
      </c>
    </row>
    <row r="88" spans="1:18" x14ac:dyDescent="0.3">
      <c r="C88" s="37" t="s">
        <v>196</v>
      </c>
      <c r="D88" t="s">
        <v>27</v>
      </c>
      <c r="E88" s="94">
        <f>KOHC!F152</f>
        <v>0.83809913508098699</v>
      </c>
      <c r="F88" s="94">
        <f>LUCK!F152</f>
        <v>0.4815184479475107</v>
      </c>
      <c r="G88" s="94">
        <f>DGKC!F152</f>
        <v>0.47909875248597583</v>
      </c>
      <c r="H88" s="94">
        <f>MLCF!F152</f>
        <v>0.72213314787239957</v>
      </c>
      <c r="I88" s="94">
        <f>FCCL!F152</f>
        <v>0.53910589227730144</v>
      </c>
      <c r="J88" s="95">
        <f>IF(COUNT(E88:I88)=0,"n/m",AVERAGE(E88:I88))</f>
        <v>0.61199107513283491</v>
      </c>
      <c r="K88">
        <f>COUNT(E88:I88)</f>
        <v>5</v>
      </c>
      <c r="L88" s="96">
        <f>IF(AND(ISNUMBER(E88),ISNUMBER(J88)),E88-J88,"n/m")</f>
        <v>0.22610805994815208</v>
      </c>
      <c r="M88" s="96">
        <f>IF(COUNT(F88:I88)=0,"n/m",AVERAGE(F88:I88))</f>
        <v>0.55546406014579686</v>
      </c>
      <c r="N88" s="96">
        <f>IF(COUNT(E88:I88)=0,"n/m",MEDIAN(E88:I88))</f>
        <v>0.53910589227730144</v>
      </c>
      <c r="O88" t="s">
        <v>920</v>
      </c>
      <c r="P88" s="8" t="str">
        <f>IF(NOT(ISNUMBER(L88)),"n/m",IF(O88="Higher",IF(L88&gt;=0,"Above avg - favourable","Below avg - unfavourable"),IF(O88="Lower",IF(L88&lt;=0,"Below avg - favourable","Above avg - unfavourable"),IF(L88&gt;=0,"Above avg - context-dependent","Below avg - context-dependent"))))&amp;IF(K88&lt;5," (N="&amp;K88&amp;")","")</f>
        <v>Above avg - favourable</v>
      </c>
      <c r="R88" s="40" t="str">
        <f>IF(K88=0,"n/m",IF(ABS(J88-SUM(E88:I88)/K88)&lt;0.000000001,"OK","ERR"))</f>
        <v>OK</v>
      </c>
    </row>
    <row r="89" spans="1:18" x14ac:dyDescent="0.3">
      <c r="C89" s="37" t="s">
        <v>196</v>
      </c>
      <c r="D89" t="s">
        <v>28</v>
      </c>
      <c r="E89" s="94">
        <f>KOHC!G152</f>
        <v>0.71323366076722194</v>
      </c>
      <c r="F89" s="94">
        <f>LUCK!G152</f>
        <v>0.51588313723050583</v>
      </c>
      <c r="G89" s="94">
        <f>DGKC!G152</f>
        <v>0.48362452491954855</v>
      </c>
      <c r="H89" s="94">
        <f>MLCF!G152</f>
        <v>0.70292648738788954</v>
      </c>
      <c r="I89" s="94">
        <f>FCCL!G152</f>
        <v>0.55871595475208058</v>
      </c>
      <c r="J89" s="95">
        <f>IF(COUNT(E89:I89)=0,"n/m",AVERAGE(E89:I89))</f>
        <v>0.59487675301144927</v>
      </c>
      <c r="K89">
        <f>COUNT(E89:I89)</f>
        <v>5</v>
      </c>
      <c r="L89" s="96">
        <f>IF(AND(ISNUMBER(E89),ISNUMBER(J89)),E89-J89,"n/m")</f>
        <v>0.11835690775577268</v>
      </c>
      <c r="M89" s="96">
        <f>IF(COUNT(F89:I89)=0,"n/m",AVERAGE(F89:I89))</f>
        <v>0.5652875260725061</v>
      </c>
      <c r="N89" s="96">
        <f>IF(COUNT(E89:I89)=0,"n/m",MEDIAN(E89:I89))</f>
        <v>0.55871595475208058</v>
      </c>
      <c r="O89" t="s">
        <v>920</v>
      </c>
      <c r="P89" s="8" t="str">
        <f>IF(NOT(ISNUMBER(L89)),"n/m",IF(O89="Higher",IF(L89&gt;=0,"Above avg - favourable","Below avg - unfavourable"),IF(O89="Lower",IF(L89&lt;=0,"Below avg - favourable","Above avg - unfavourable"),IF(L89&gt;=0,"Above avg - context-dependent","Below avg - context-dependent"))))&amp;IF(K89&lt;5," (N="&amp;K89&amp;")","")</f>
        <v>Above avg - favourable</v>
      </c>
      <c r="R89" s="40" t="str">
        <f>IF(K89=0,"n/m",IF(ABS(J89-SUM(E89:I89)/K89)&lt;0.000000001,"OK","ERR"))</f>
        <v>OK</v>
      </c>
    </row>
    <row r="90" spans="1:18" x14ac:dyDescent="0.3">
      <c r="C90" s="37" t="s">
        <v>196</v>
      </c>
      <c r="D90" t="s">
        <v>29</v>
      </c>
      <c r="E90" s="94">
        <f>KOHC!H152</f>
        <v>0.59752332567837996</v>
      </c>
      <c r="F90" s="94">
        <f>LUCK!H152</f>
        <v>0.49728501600707337</v>
      </c>
      <c r="G90" s="94">
        <f>DGKC!H152</f>
        <v>0.50573556879142922</v>
      </c>
      <c r="H90" s="94">
        <f>MLCF!H152</f>
        <v>0.63113315053305719</v>
      </c>
      <c r="I90" s="94">
        <f>FCCL!H152</f>
        <v>0.57673689270626904</v>
      </c>
      <c r="J90" s="95">
        <f>IF(COUNT(E90:I90)=0,"n/m",AVERAGE(E90:I90))</f>
        <v>0.56168279074324179</v>
      </c>
      <c r="K90">
        <f>COUNT(E90:I90)</f>
        <v>5</v>
      </c>
      <c r="L90" s="96">
        <f>IF(AND(ISNUMBER(E90),ISNUMBER(J90)),E90-J90,"n/m")</f>
        <v>3.5840534935138169E-2</v>
      </c>
      <c r="M90" s="96">
        <f>IF(COUNT(F90:I90)=0,"n/m",AVERAGE(F90:I90))</f>
        <v>0.55272265700945722</v>
      </c>
      <c r="N90" s="96">
        <f>IF(COUNT(E90:I90)=0,"n/m",MEDIAN(E90:I90))</f>
        <v>0.57673689270626904</v>
      </c>
      <c r="O90" t="s">
        <v>920</v>
      </c>
      <c r="P90" s="8" t="str">
        <f>IF(NOT(ISNUMBER(L90)),"n/m",IF(O90="Higher",IF(L90&gt;=0,"Above avg - favourable","Below avg - unfavourable"),IF(O90="Lower",IF(L90&lt;=0,"Below avg - favourable","Above avg - unfavourable"),IF(L90&gt;=0,"Above avg - context-dependent","Below avg - context-dependent"))))&amp;IF(K90&lt;5," (N="&amp;K90&amp;")","")</f>
        <v>Above avg - favourable</v>
      </c>
      <c r="R90" s="40" t="str">
        <f>IF(K90=0,"n/m",IF(ABS(J90-SUM(E90:I90)/K90)&lt;0.000000001,"OK","ERR"))</f>
        <v>OK</v>
      </c>
    </row>
    <row r="91" spans="1:18" x14ac:dyDescent="0.3">
      <c r="A91" s="35" t="s">
        <v>471</v>
      </c>
      <c r="B91" s="13">
        <v>15</v>
      </c>
      <c r="C91" s="12" t="s">
        <v>491</v>
      </c>
      <c r="D91" s="13"/>
      <c r="E91" s="13"/>
      <c r="F91" s="13"/>
      <c r="G91" s="13"/>
      <c r="H91" s="13"/>
      <c r="I91" s="13"/>
      <c r="J91" s="13"/>
      <c r="K91" s="13"/>
      <c r="L91" s="13"/>
      <c r="M91" s="13"/>
      <c r="N91" s="13"/>
      <c r="O91" s="13"/>
      <c r="P91" s="13"/>
      <c r="Q91" s="36" t="s">
        <v>930</v>
      </c>
      <c r="R91" s="13"/>
    </row>
    <row r="92" spans="1:18" x14ac:dyDescent="0.3">
      <c r="C92" s="37" t="s">
        <v>199</v>
      </c>
      <c r="D92" t="s">
        <v>20</v>
      </c>
      <c r="E92" s="94">
        <f>KOHC!D153</f>
        <v>1.0844791007988606</v>
      </c>
      <c r="F92" s="94">
        <f>LUCK!D153</f>
        <v>1.0641934084392231</v>
      </c>
      <c r="G92" s="94">
        <f>DGKC!D153</f>
        <v>0.58402255289253091</v>
      </c>
      <c r="H92" s="94">
        <f>MLCF!D153</f>
        <v>0.83828806929430799</v>
      </c>
      <c r="I92" s="94">
        <f>FCCL!D153</f>
        <v>1.121529000686929</v>
      </c>
      <c r="J92" s="95">
        <f>IF(COUNT(E92:I92)=0,"n/m",AVERAGE(E92:I92))</f>
        <v>0.93850242642237025</v>
      </c>
      <c r="K92">
        <f>COUNT(E92:I92)</f>
        <v>5</v>
      </c>
      <c r="L92" s="96">
        <f>IF(AND(ISNUMBER(E92),ISNUMBER(J92)),E92-J92,"n/m")</f>
        <v>0.14597667437649031</v>
      </c>
      <c r="M92" s="96">
        <f>IF(COUNT(F92:I92)=0,"n/m",AVERAGE(F92:I92))</f>
        <v>0.90200825782824767</v>
      </c>
      <c r="N92" s="96">
        <f>IF(COUNT(E92:I92)=0,"n/m",MEDIAN(E92:I92))</f>
        <v>1.0641934084392231</v>
      </c>
      <c r="O92" t="s">
        <v>920</v>
      </c>
      <c r="P92" s="8" t="str">
        <f>IF(NOT(ISNUMBER(L92)),"n/m",IF(O92="Higher",IF(L92&gt;=0,"Above avg - favourable","Below avg - unfavourable"),IF(O92="Lower",IF(L92&lt;=0,"Below avg - favourable","Above avg - unfavourable"),IF(L92&gt;=0,"Above avg - context-dependent","Below avg - context-dependent"))))&amp;IF(K92&lt;5," (N="&amp;K92&amp;")","")</f>
        <v>Above avg - favourable</v>
      </c>
      <c r="R92" s="40" t="str">
        <f>IF(K92=0,"n/m",IF(ABS(J92-SUM(E92:I92)/K92)&lt;0.000000001,"OK","ERR"))</f>
        <v>OK</v>
      </c>
    </row>
    <row r="93" spans="1:18" x14ac:dyDescent="0.3">
      <c r="C93" s="37" t="s">
        <v>199</v>
      </c>
      <c r="D93" t="s">
        <v>26</v>
      </c>
      <c r="E93" s="94">
        <f>KOHC!E153</f>
        <v>1.5307978904973403</v>
      </c>
      <c r="F93" s="94">
        <f>LUCK!E153</f>
        <v>1.3656161868044014</v>
      </c>
      <c r="G93" s="94">
        <f>DGKC!E153</f>
        <v>0.72840234543749571</v>
      </c>
      <c r="H93" s="94">
        <f>MLCF!E153</f>
        <v>1.1720665852059551</v>
      </c>
      <c r="I93" s="94">
        <f>FCCL!E153</f>
        <v>1.6551596506379742</v>
      </c>
      <c r="J93" s="95">
        <f>IF(COUNT(E93:I93)=0,"n/m",AVERAGE(E93:I93))</f>
        <v>1.2904085317166332</v>
      </c>
      <c r="K93">
        <f>COUNT(E93:I93)</f>
        <v>5</v>
      </c>
      <c r="L93" s="96">
        <f>IF(AND(ISNUMBER(E93),ISNUMBER(J93)),E93-J93,"n/m")</f>
        <v>0.24038935878070711</v>
      </c>
      <c r="M93" s="96">
        <f>IF(COUNT(F93:I93)=0,"n/m",AVERAGE(F93:I93))</f>
        <v>1.2303111920214564</v>
      </c>
      <c r="N93" s="96">
        <f>IF(COUNT(E93:I93)=0,"n/m",MEDIAN(E93:I93))</f>
        <v>1.3656161868044014</v>
      </c>
      <c r="O93" t="s">
        <v>920</v>
      </c>
      <c r="P93" s="8" t="str">
        <f>IF(NOT(ISNUMBER(L93)),"n/m",IF(O93="Higher",IF(L93&gt;=0,"Above avg - favourable","Below avg - unfavourable"),IF(O93="Lower",IF(L93&lt;=0,"Below avg - favourable","Above avg - unfavourable"),IF(L93&gt;=0,"Above avg - context-dependent","Below avg - context-dependent"))))&amp;IF(K93&lt;5," (N="&amp;K93&amp;")","")</f>
        <v>Above avg - favourable</v>
      </c>
      <c r="R93" s="40" t="str">
        <f>IF(K93=0,"n/m",IF(ABS(J93-SUM(E93:I93)/K93)&lt;0.000000001,"OK","ERR"))</f>
        <v>OK</v>
      </c>
    </row>
    <row r="94" spans="1:18" x14ac:dyDescent="0.3">
      <c r="C94" s="37" t="s">
        <v>199</v>
      </c>
      <c r="D94" t="s">
        <v>27</v>
      </c>
      <c r="E94" s="94">
        <f>KOHC!F153</f>
        <v>1.876337672472641</v>
      </c>
      <c r="F94" s="94">
        <f>LUCK!F153</f>
        <v>1.2739571002729932</v>
      </c>
      <c r="G94" s="94">
        <f>DGKC!F153</f>
        <v>0.80069529730312039</v>
      </c>
      <c r="H94" s="94">
        <f>MLCF!F153</f>
        <v>1.2158524918829576</v>
      </c>
      <c r="I94" s="94">
        <f>FCCL!F153</f>
        <v>1.1919170397378338</v>
      </c>
      <c r="J94" s="95">
        <f>IF(COUNT(E94:I94)=0,"n/m",AVERAGE(E94:I94))</f>
        <v>1.2717519203339092</v>
      </c>
      <c r="K94">
        <f>COUNT(E94:I94)</f>
        <v>5</v>
      </c>
      <c r="L94" s="96">
        <f>IF(AND(ISNUMBER(E94),ISNUMBER(J94)),E94-J94,"n/m")</f>
        <v>0.60458575213873189</v>
      </c>
      <c r="M94" s="96">
        <f>IF(COUNT(F94:I94)=0,"n/m",AVERAGE(F94:I94))</f>
        <v>1.1206054822992262</v>
      </c>
      <c r="N94" s="96">
        <f>IF(COUNT(E94:I94)=0,"n/m",MEDIAN(E94:I94))</f>
        <v>1.2158524918829576</v>
      </c>
      <c r="O94" t="s">
        <v>920</v>
      </c>
      <c r="P94" s="8" t="str">
        <f>IF(NOT(ISNUMBER(L94)),"n/m",IF(O94="Higher",IF(L94&gt;=0,"Above avg - favourable","Below avg - unfavourable"),IF(O94="Lower",IF(L94&lt;=0,"Below avg - favourable","Above avg - unfavourable"),IF(L94&gt;=0,"Above avg - context-dependent","Below avg - context-dependent"))))&amp;IF(K94&lt;5," (N="&amp;K94&amp;")","")</f>
        <v>Above avg - favourable</v>
      </c>
      <c r="R94" s="40" t="str">
        <f>IF(K94=0,"n/m",IF(ABS(J94-SUM(E94:I94)/K94)&lt;0.000000001,"OK","ERR"))</f>
        <v>OK</v>
      </c>
    </row>
    <row r="95" spans="1:18" x14ac:dyDescent="0.3">
      <c r="C95" s="37" t="s">
        <v>199</v>
      </c>
      <c r="D95" t="s">
        <v>28</v>
      </c>
      <c r="E95" s="94">
        <f>KOHC!G153</f>
        <v>1.8650719460684553</v>
      </c>
      <c r="F95" s="94">
        <f>LUCK!G153</f>
        <v>1.242164612598929</v>
      </c>
      <c r="G95" s="94">
        <f>DGKC!G153</f>
        <v>0.83184936052767189</v>
      </c>
      <c r="H95" s="94">
        <f>MLCF!G153</f>
        <v>1.0531088846951966</v>
      </c>
      <c r="I95" s="94">
        <f>FCCL!G153</f>
        <v>0.88898511220750387</v>
      </c>
      <c r="J95" s="95">
        <f>IF(COUNT(E95:I95)=0,"n/m",AVERAGE(E95:I95))</f>
        <v>1.1762359832195513</v>
      </c>
      <c r="K95">
        <f>COUNT(E95:I95)</f>
        <v>5</v>
      </c>
      <c r="L95" s="96">
        <f>IF(AND(ISNUMBER(E95),ISNUMBER(J95)),E95-J95,"n/m")</f>
        <v>0.68883596284890403</v>
      </c>
      <c r="M95" s="96">
        <f>IF(COUNT(F95:I95)=0,"n/m",AVERAGE(F95:I95))</f>
        <v>1.0040269925073253</v>
      </c>
      <c r="N95" s="96">
        <f>IF(COUNT(E95:I95)=0,"n/m",MEDIAN(E95:I95))</f>
        <v>1.0531088846951966</v>
      </c>
      <c r="O95" t="s">
        <v>920</v>
      </c>
      <c r="P95" s="8" t="str">
        <f>IF(NOT(ISNUMBER(L95)),"n/m",IF(O95="Higher",IF(L95&gt;=0,"Above avg - favourable","Below avg - unfavourable"),IF(O95="Lower",IF(L95&lt;=0,"Below avg - favourable","Above avg - unfavourable"),IF(L95&gt;=0,"Above avg - context-dependent","Below avg - context-dependent"))))&amp;IF(K95&lt;5," (N="&amp;K95&amp;")","")</f>
        <v>Above avg - favourable</v>
      </c>
      <c r="R95" s="40" t="str">
        <f>IF(K95=0,"n/m",IF(ABS(J95-SUM(E95:I95)/K95)&lt;0.000000001,"OK","ERR"))</f>
        <v>OK</v>
      </c>
    </row>
    <row r="96" spans="1:18" x14ac:dyDescent="0.3">
      <c r="C96" s="37" t="s">
        <v>199</v>
      </c>
      <c r="D96" t="s">
        <v>29</v>
      </c>
      <c r="E96" s="94">
        <f>KOHC!H153</f>
        <v>1.7861104563188661</v>
      </c>
      <c r="F96" s="94">
        <f>LUCK!H153</f>
        <v>1.2601477514941262</v>
      </c>
      <c r="G96" s="94">
        <f>DGKC!H153</f>
        <v>0.92770303514995711</v>
      </c>
      <c r="H96" s="94">
        <f>MLCF!H153</f>
        <v>1.0752521941525262</v>
      </c>
      <c r="I96" s="94">
        <f>FCCL!H153</f>
        <v>0.81080188367005523</v>
      </c>
      <c r="J96" s="95">
        <f>IF(COUNT(E96:I96)=0,"n/m",AVERAGE(E96:I96))</f>
        <v>1.172003064157106</v>
      </c>
      <c r="K96">
        <f>COUNT(E96:I96)</f>
        <v>5</v>
      </c>
      <c r="L96" s="96">
        <f>IF(AND(ISNUMBER(E96),ISNUMBER(J96)),E96-J96,"n/m")</f>
        <v>0.61410739216176013</v>
      </c>
      <c r="M96" s="96">
        <f>IF(COUNT(F96:I96)=0,"n/m",AVERAGE(F96:I96))</f>
        <v>1.0184762161166661</v>
      </c>
      <c r="N96" s="96">
        <f>IF(COUNT(E96:I96)=0,"n/m",MEDIAN(E96:I96))</f>
        <v>1.0752521941525262</v>
      </c>
      <c r="O96" t="s">
        <v>920</v>
      </c>
      <c r="P96" s="8" t="str">
        <f>IF(NOT(ISNUMBER(L96)),"n/m",IF(O96="Higher",IF(L96&gt;=0,"Above avg - favourable","Below avg - unfavourable"),IF(O96="Lower",IF(L96&lt;=0,"Below avg - favourable","Above avg - unfavourable"),IF(L96&gt;=0,"Above avg - context-dependent","Below avg - context-dependent"))))&amp;IF(K96&lt;5," (N="&amp;K96&amp;")","")</f>
        <v>Above avg - favourable</v>
      </c>
      <c r="R96" s="40" t="str">
        <f>IF(K96=0,"n/m",IF(ABS(J96-SUM(E96:I96)/K96)&lt;0.000000001,"OK","ERR"))</f>
        <v>OK</v>
      </c>
    </row>
    <row r="97" spans="1:18" ht="22.05" customHeight="1" x14ac:dyDescent="0.3">
      <c r="A97" s="213" t="s">
        <v>931</v>
      </c>
      <c r="B97" s="206"/>
      <c r="C97" s="206"/>
      <c r="D97" s="206"/>
      <c r="E97" s="206"/>
      <c r="F97" s="206"/>
      <c r="G97" s="206"/>
      <c r="H97" s="206"/>
      <c r="I97" s="206"/>
      <c r="J97" s="206"/>
      <c r="K97" s="206"/>
      <c r="L97" s="206"/>
      <c r="M97" s="206"/>
      <c r="N97" s="206"/>
      <c r="O97" s="206"/>
      <c r="P97" s="206"/>
      <c r="Q97" s="206"/>
      <c r="R97" s="206"/>
    </row>
    <row r="98" spans="1:18" x14ac:dyDescent="0.3">
      <c r="A98" s="35" t="s">
        <v>493</v>
      </c>
      <c r="B98" s="13">
        <v>16</v>
      </c>
      <c r="C98" s="12" t="s">
        <v>494</v>
      </c>
      <c r="D98" s="13"/>
      <c r="E98" s="13"/>
      <c r="F98" s="13"/>
      <c r="G98" s="13"/>
      <c r="H98" s="13"/>
      <c r="I98" s="13"/>
      <c r="J98" s="13"/>
      <c r="K98" s="13"/>
      <c r="L98" s="13"/>
      <c r="M98" s="13"/>
      <c r="N98" s="13"/>
      <c r="O98" s="13"/>
      <c r="P98" s="13"/>
      <c r="Q98" s="36"/>
      <c r="R98" s="13"/>
    </row>
    <row r="99" spans="1:18" x14ac:dyDescent="0.3">
      <c r="C99" s="37" t="s">
        <v>932</v>
      </c>
      <c r="D99" t="s">
        <v>20</v>
      </c>
      <c r="E99" s="103">
        <f>KOHC!D155</f>
        <v>0.38416638255503399</v>
      </c>
      <c r="F99" s="103">
        <f>LUCK!D155</f>
        <v>0.27606535150381284</v>
      </c>
      <c r="G99" s="103">
        <f>DGKC!D155</f>
        <v>0.46714504184305206</v>
      </c>
      <c r="H99" s="103">
        <f>MLCF!D155</f>
        <v>0.43322840867921292</v>
      </c>
      <c r="I99" s="103">
        <f>FCCL!D155</f>
        <v>0.31647148170702821</v>
      </c>
      <c r="J99" s="104">
        <f>IF(COUNT(E99:I99)=0,"n/m",AVERAGE(E99:I99))</f>
        <v>0.37541533325762799</v>
      </c>
      <c r="K99">
        <f>COUNT(E99:I99)</f>
        <v>5</v>
      </c>
      <c r="L99" s="105">
        <f>IF(AND(ISNUMBER(E99),ISNUMBER(J99)),E99-J99,"n/m")</f>
        <v>8.7510492974059995E-3</v>
      </c>
      <c r="M99" s="105">
        <f>IF(COUNT(F99:I99)=0,"n/m",AVERAGE(F99:I99))</f>
        <v>0.37322757093327652</v>
      </c>
      <c r="N99" s="105">
        <f>IF(COUNT(E99:I99)=0,"n/m",MEDIAN(E99:I99))</f>
        <v>0.38416638255503399</v>
      </c>
      <c r="O99" t="s">
        <v>928</v>
      </c>
      <c r="P99" s="8" t="str">
        <f>IF(NOT(ISNUMBER(L99)),"n/m",IF(O99="Higher",IF(L99&gt;=0,"Above avg - favourable","Below avg - unfavourable"),IF(O99="Lower",IF(L99&lt;=0,"Below avg - favourable","Above avg - unfavourable"),IF(L99&gt;=0,"Above avg - context-dependent","Below avg - context-dependent"))))&amp;IF(K99&lt;5," (N="&amp;K99&amp;")","")</f>
        <v>Above avg - unfavourable</v>
      </c>
      <c r="R99" s="40" t="str">
        <f>IF(K99=0,"n/m",IF(ABS(J99-SUM(E99:I99)/K99)&lt;0.000000001,"OK","ERR"))</f>
        <v>OK</v>
      </c>
    </row>
    <row r="100" spans="1:18" x14ac:dyDescent="0.3">
      <c r="C100" s="37" t="s">
        <v>932</v>
      </c>
      <c r="D100" t="s">
        <v>26</v>
      </c>
      <c r="E100" s="103">
        <f>KOHC!E155</f>
        <v>0.37149249167170456</v>
      </c>
      <c r="F100" s="103">
        <f>LUCK!E155</f>
        <v>0.30504607293955061</v>
      </c>
      <c r="G100" s="103">
        <f>DGKC!E155</f>
        <v>0.48801207258126744</v>
      </c>
      <c r="H100" s="103">
        <f>MLCF!E155</f>
        <v>0.50666660909348882</v>
      </c>
      <c r="I100" s="103">
        <f>FCCL!E155</f>
        <v>0.49219848282922141</v>
      </c>
      <c r="J100" s="104">
        <f>IF(COUNT(E100:I100)=0,"n/m",AVERAGE(E100:I100))</f>
        <v>0.43268314582304657</v>
      </c>
      <c r="K100">
        <f>COUNT(E100:I100)</f>
        <v>5</v>
      </c>
      <c r="L100" s="105">
        <f>IF(AND(ISNUMBER(E100),ISNUMBER(J100)),E100-J100,"n/m")</f>
        <v>-6.1190654151342005E-2</v>
      </c>
      <c r="M100" s="105">
        <f>IF(COUNT(F100:I100)=0,"n/m",AVERAGE(F100:I100))</f>
        <v>0.44798080936088208</v>
      </c>
      <c r="N100" s="105">
        <f>IF(COUNT(E100:I100)=0,"n/m",MEDIAN(E100:I100))</f>
        <v>0.48801207258126744</v>
      </c>
      <c r="O100" t="s">
        <v>928</v>
      </c>
      <c r="P100" s="8" t="str">
        <f>IF(NOT(ISNUMBER(L100)),"n/m",IF(O100="Higher",IF(L100&gt;=0,"Above avg - favourable","Below avg - unfavourable"),IF(O100="Lower",IF(L100&lt;=0,"Below avg - favourable","Above avg - unfavourable"),IF(L100&gt;=0,"Above avg - context-dependent","Below avg - context-dependent"))))&amp;IF(K100&lt;5," (N="&amp;K100&amp;")","")</f>
        <v>Below avg - favourable</v>
      </c>
      <c r="R100" s="40" t="str">
        <f>IF(K100=0,"n/m",IF(ABS(J100-SUM(E100:I100)/K100)&lt;0.000000001,"OK","ERR"))</f>
        <v>OK</v>
      </c>
    </row>
    <row r="101" spans="1:18" x14ac:dyDescent="0.3">
      <c r="C101" s="37" t="s">
        <v>932</v>
      </c>
      <c r="D101" t="s">
        <v>27</v>
      </c>
      <c r="E101" s="103">
        <f>KOHC!F155</f>
        <v>0.34161124098483342</v>
      </c>
      <c r="F101" s="103">
        <f>LUCK!F155</f>
        <v>0.35532697822447284</v>
      </c>
      <c r="G101" s="103">
        <f>DGKC!F155</f>
        <v>0.52348952241922664</v>
      </c>
      <c r="H101" s="103">
        <f>MLCF!F155</f>
        <v>0.49933942690835115</v>
      </c>
      <c r="I101" s="103">
        <f>FCCL!F155</f>
        <v>0.53053055814614203</v>
      </c>
      <c r="J101" s="104">
        <f>IF(COUNT(E101:I101)=0,"n/m",AVERAGE(E101:I101))</f>
        <v>0.45005954533660519</v>
      </c>
      <c r="K101">
        <f>COUNT(E101:I101)</f>
        <v>5</v>
      </c>
      <c r="L101" s="105">
        <f>IF(AND(ISNUMBER(E101),ISNUMBER(J101)),E101-J101,"n/m")</f>
        <v>-0.10844830435177177</v>
      </c>
      <c r="M101" s="105">
        <f>IF(COUNT(F101:I101)=0,"n/m",AVERAGE(F101:I101))</f>
        <v>0.47717162142454816</v>
      </c>
      <c r="N101" s="105">
        <f>IF(COUNT(E101:I101)=0,"n/m",MEDIAN(E101:I101))</f>
        <v>0.49933942690835115</v>
      </c>
      <c r="O101" t="s">
        <v>928</v>
      </c>
      <c r="P101" s="8" t="str">
        <f>IF(NOT(ISNUMBER(L101)),"n/m",IF(O101="Higher",IF(L101&gt;=0,"Above avg - favourable","Below avg - unfavourable"),IF(O101="Lower",IF(L101&lt;=0,"Below avg - favourable","Above avg - unfavourable"),IF(L101&gt;=0,"Above avg - context-dependent","Below avg - context-dependent"))))&amp;IF(K101&lt;5," (N="&amp;K101&amp;")","")</f>
        <v>Below avg - favourable</v>
      </c>
      <c r="R101" s="40" t="str">
        <f>IF(K101=0,"n/m",IF(ABS(J101-SUM(E101:I101)/K101)&lt;0.000000001,"OK","ERR"))</f>
        <v>OK</v>
      </c>
    </row>
    <row r="102" spans="1:18" x14ac:dyDescent="0.3">
      <c r="C102" s="37" t="s">
        <v>932</v>
      </c>
      <c r="D102" t="s">
        <v>28</v>
      </c>
      <c r="E102" s="103">
        <f>KOHC!G155</f>
        <v>0.30169945185029512</v>
      </c>
      <c r="F102" s="103">
        <f>LUCK!G155</f>
        <v>0.36859036410390322</v>
      </c>
      <c r="G102" s="103">
        <f>DGKC!G155</f>
        <v>0.45191223946360831</v>
      </c>
      <c r="H102" s="103">
        <f>MLCF!G155</f>
        <v>0.4704820926001394</v>
      </c>
      <c r="I102" s="103">
        <f>FCCL!G155</f>
        <v>0.5028400637434024</v>
      </c>
      <c r="J102" s="104">
        <f>IF(COUNT(E102:I102)=0,"n/m",AVERAGE(E102:I102))</f>
        <v>0.41910484235226975</v>
      </c>
      <c r="K102">
        <f>COUNT(E102:I102)</f>
        <v>5</v>
      </c>
      <c r="L102" s="105">
        <f>IF(AND(ISNUMBER(E102),ISNUMBER(J102)),E102-J102,"n/m")</f>
        <v>-0.11740539050197463</v>
      </c>
      <c r="M102" s="105">
        <f>IF(COUNT(F102:I102)=0,"n/m",AVERAGE(F102:I102))</f>
        <v>0.44845618997776338</v>
      </c>
      <c r="N102" s="105">
        <f>IF(COUNT(E102:I102)=0,"n/m",MEDIAN(E102:I102))</f>
        <v>0.45191223946360831</v>
      </c>
      <c r="O102" t="s">
        <v>928</v>
      </c>
      <c r="P102" s="8" t="str">
        <f>IF(NOT(ISNUMBER(L102)),"n/m",IF(O102="Higher",IF(L102&gt;=0,"Above avg - favourable","Below avg - unfavourable"),IF(O102="Lower",IF(L102&lt;=0,"Below avg - favourable","Above avg - unfavourable"),IF(L102&gt;=0,"Above avg - context-dependent","Below avg - context-dependent"))))&amp;IF(K102&lt;5," (N="&amp;K102&amp;")","")</f>
        <v>Below avg - favourable</v>
      </c>
      <c r="R102" s="40" t="str">
        <f>IF(K102=0,"n/m",IF(ABS(J102-SUM(E102:I102)/K102)&lt;0.000000001,"OK","ERR"))</f>
        <v>OK</v>
      </c>
    </row>
    <row r="103" spans="1:18" x14ac:dyDescent="0.3">
      <c r="C103" s="37" t="s">
        <v>932</v>
      </c>
      <c r="D103" t="s">
        <v>29</v>
      </c>
      <c r="E103" s="103">
        <f>KOHC!H155</f>
        <v>0.28204672647028445</v>
      </c>
      <c r="F103" s="103">
        <f>LUCK!H155</f>
        <v>0.34053721034041001</v>
      </c>
      <c r="G103" s="103">
        <f>DGKC!H155</f>
        <v>0.35125595827177031</v>
      </c>
      <c r="H103" s="103">
        <f>MLCF!H155</f>
        <v>0.40001822406143511</v>
      </c>
      <c r="I103" s="103">
        <f>FCCL!H155</f>
        <v>0.4760663500346739</v>
      </c>
      <c r="J103" s="104">
        <f>IF(COUNT(E103:I103)=0,"n/m",AVERAGE(E103:I103))</f>
        <v>0.36998489383571476</v>
      </c>
      <c r="K103">
        <f>COUNT(E103:I103)</f>
        <v>5</v>
      </c>
      <c r="L103" s="105">
        <f>IF(AND(ISNUMBER(E103),ISNUMBER(J103)),E103-J103,"n/m")</f>
        <v>-8.7938167365430309E-2</v>
      </c>
      <c r="M103" s="105">
        <f>IF(COUNT(F103:I103)=0,"n/m",AVERAGE(F103:I103))</f>
        <v>0.39196943567707232</v>
      </c>
      <c r="N103" s="105">
        <f>IF(COUNT(E103:I103)=0,"n/m",MEDIAN(E103:I103))</f>
        <v>0.35125595827177031</v>
      </c>
      <c r="O103" t="s">
        <v>928</v>
      </c>
      <c r="P103" s="8" t="str">
        <f>IF(NOT(ISNUMBER(L103)),"n/m",IF(O103="Higher",IF(L103&gt;=0,"Above avg - favourable","Below avg - unfavourable"),IF(O103="Lower",IF(L103&lt;=0,"Below avg - favourable","Above avg - unfavourable"),IF(L103&gt;=0,"Above avg - context-dependent","Below avg - context-dependent"))))&amp;IF(K103&lt;5," (N="&amp;K103&amp;")","")</f>
        <v>Below avg - favourable</v>
      </c>
      <c r="R103" s="40" t="str">
        <f>IF(K103=0,"n/m",IF(ABS(J103-SUM(E103:I103)/K103)&lt;0.000000001,"OK","ERR"))</f>
        <v>OK</v>
      </c>
    </row>
    <row r="104" spans="1:18" x14ac:dyDescent="0.3">
      <c r="A104" s="35" t="s">
        <v>493</v>
      </c>
      <c r="B104" s="13">
        <v>17</v>
      </c>
      <c r="C104" s="12" t="s">
        <v>496</v>
      </c>
      <c r="D104" s="13"/>
      <c r="E104" s="13"/>
      <c r="F104" s="13"/>
      <c r="G104" s="13"/>
      <c r="H104" s="13"/>
      <c r="I104" s="13"/>
      <c r="J104" s="13"/>
      <c r="K104" s="13"/>
      <c r="L104" s="13"/>
      <c r="M104" s="13"/>
      <c r="N104" s="13"/>
      <c r="O104" s="13"/>
      <c r="P104" s="13"/>
      <c r="Q104" s="36" t="s">
        <v>933</v>
      </c>
      <c r="R104" s="13"/>
    </row>
    <row r="105" spans="1:18" x14ac:dyDescent="0.3">
      <c r="C105" s="37" t="s">
        <v>151</v>
      </c>
      <c r="D105" t="s">
        <v>20</v>
      </c>
      <c r="E105" s="94">
        <f>KOHC!D156</f>
        <v>0.6238152183846396</v>
      </c>
      <c r="F105" s="94">
        <f>LUCK!D156</f>
        <v>0.38134015560282553</v>
      </c>
      <c r="G105" s="94">
        <f>DGKC!D156</f>
        <v>0.87668329756905172</v>
      </c>
      <c r="H105" s="94">
        <f>MLCF!D156</f>
        <v>0.76437918786583992</v>
      </c>
      <c r="I105" s="94">
        <f>FCCL!D156</f>
        <v>0.46299674883701519</v>
      </c>
      <c r="J105" s="95">
        <f>IF(COUNT(E105:I105)=0,"n/m",AVERAGE(E105:I105))</f>
        <v>0.62184292165187438</v>
      </c>
      <c r="K105">
        <f>COUNT(E105:I105)</f>
        <v>5</v>
      </c>
      <c r="L105" s="96">
        <f>IF(AND(ISNUMBER(E105),ISNUMBER(J105)),E105-J105,"n/m")</f>
        <v>1.9722967327652219E-3</v>
      </c>
      <c r="M105" s="96">
        <f>IF(COUNT(F105:I105)=0,"n/m",AVERAGE(F105:I105))</f>
        <v>0.62134984746868305</v>
      </c>
      <c r="N105" s="96">
        <f>IF(COUNT(E105:I105)=0,"n/m",MEDIAN(E105:I105))</f>
        <v>0.6238152183846396</v>
      </c>
      <c r="O105" t="s">
        <v>928</v>
      </c>
      <c r="P105" s="8" t="str">
        <f>IF(NOT(ISNUMBER(L105)),"n/m",IF(O105="Higher",IF(L105&gt;=0,"Above avg - favourable","Below avg - unfavourable"),IF(O105="Lower",IF(L105&lt;=0,"Below avg - favourable","Above avg - unfavourable"),IF(L105&gt;=0,"Above avg - context-dependent","Below avg - context-dependent"))))&amp;IF(K105&lt;5," (N="&amp;K105&amp;")","")</f>
        <v>Above avg - unfavourable</v>
      </c>
      <c r="R105" s="40" t="str">
        <f>IF(K105=0,"n/m",IF(ABS(J105-SUM(E105:I105)/K105)&lt;0.000000001,"OK","ERR"))</f>
        <v>OK</v>
      </c>
    </row>
    <row r="106" spans="1:18" x14ac:dyDescent="0.3">
      <c r="C106" s="37" t="s">
        <v>151</v>
      </c>
      <c r="D106" t="s">
        <v>26</v>
      </c>
      <c r="E106" s="94">
        <f>KOHC!E156</f>
        <v>0.59107088896964888</v>
      </c>
      <c r="F106" s="94">
        <f>LUCK!E156</f>
        <v>0.43894431135866752</v>
      </c>
      <c r="G106" s="94">
        <f>DGKC!E156</f>
        <v>0.95317105432867721</v>
      </c>
      <c r="H106" s="94">
        <f>MLCF!E156</f>
        <v>1.0270267904681609</v>
      </c>
      <c r="I106" s="94">
        <f>FCCL!E156</f>
        <v>0.96927336013391707</v>
      </c>
      <c r="J106" s="95">
        <f>IF(COUNT(E106:I106)=0,"n/m",AVERAGE(E106:I106))</f>
        <v>0.79589728105181434</v>
      </c>
      <c r="K106">
        <f>COUNT(E106:I106)</f>
        <v>5</v>
      </c>
      <c r="L106" s="96">
        <f>IF(AND(ISNUMBER(E106),ISNUMBER(J106)),E106-J106,"n/m")</f>
        <v>-0.20482639208216546</v>
      </c>
      <c r="M106" s="96">
        <f>IF(COUNT(F106:I106)=0,"n/m",AVERAGE(F106:I106))</f>
        <v>0.84710387907235574</v>
      </c>
      <c r="N106" s="96">
        <f>IF(COUNT(E106:I106)=0,"n/m",MEDIAN(E106:I106))</f>
        <v>0.95317105432867721</v>
      </c>
      <c r="O106" t="s">
        <v>928</v>
      </c>
      <c r="P106" s="8" t="str">
        <f>IF(NOT(ISNUMBER(L106)),"n/m",IF(O106="Higher",IF(L106&gt;=0,"Above avg - favourable","Below avg - unfavourable"),IF(O106="Lower",IF(L106&lt;=0,"Below avg - favourable","Above avg - unfavourable"),IF(L106&gt;=0,"Above avg - context-dependent","Below avg - context-dependent"))))&amp;IF(K106&lt;5," (N="&amp;K106&amp;")","")</f>
        <v>Below avg - favourable</v>
      </c>
      <c r="R106" s="40" t="str">
        <f>IF(K106=0,"n/m",IF(ABS(J106-SUM(E106:I106)/K106)&lt;0.000000001,"OK","ERR"))</f>
        <v>OK</v>
      </c>
    </row>
    <row r="107" spans="1:18" x14ac:dyDescent="0.3">
      <c r="C107" s="37" t="s">
        <v>151</v>
      </c>
      <c r="D107" t="s">
        <v>27</v>
      </c>
      <c r="E107" s="94">
        <f>KOHC!F156</f>
        <v>0.51885946761275747</v>
      </c>
      <c r="F107" s="94">
        <f>LUCK!F156</f>
        <v>0.5511739536514938</v>
      </c>
      <c r="G107" s="94">
        <f>DGKC!F156</f>
        <v>1.0985897415665749</v>
      </c>
      <c r="H107" s="94">
        <f>MLCF!F156</f>
        <v>0.99736119388203615</v>
      </c>
      <c r="I107" s="94">
        <f>FCCL!F156</f>
        <v>1.130064091181662</v>
      </c>
      <c r="J107" s="95">
        <f>IF(COUNT(E107:I107)=0,"n/m",AVERAGE(E107:I107))</f>
        <v>0.85920968957890498</v>
      </c>
      <c r="K107">
        <f>COUNT(E107:I107)</f>
        <v>5</v>
      </c>
      <c r="L107" s="96">
        <f>IF(AND(ISNUMBER(E107),ISNUMBER(J107)),E107-J107,"n/m")</f>
        <v>-0.3403502219661475</v>
      </c>
      <c r="M107" s="96">
        <f>IF(COUNT(F107:I107)=0,"n/m",AVERAGE(F107:I107))</f>
        <v>0.94429724507044166</v>
      </c>
      <c r="N107" s="96">
        <f>IF(COUNT(E107:I107)=0,"n/m",MEDIAN(E107:I107))</f>
        <v>0.99736119388203615</v>
      </c>
      <c r="O107" t="s">
        <v>928</v>
      </c>
      <c r="P107" s="8" t="str">
        <f>IF(NOT(ISNUMBER(L107)),"n/m",IF(O107="Higher",IF(L107&gt;=0,"Above avg - favourable","Below avg - unfavourable"),IF(O107="Lower",IF(L107&lt;=0,"Below avg - favourable","Above avg - unfavourable"),IF(L107&gt;=0,"Above avg - context-dependent","Below avg - context-dependent"))))&amp;IF(K107&lt;5," (N="&amp;K107&amp;")","")</f>
        <v>Below avg - favourable</v>
      </c>
      <c r="R107" s="40" t="str">
        <f>IF(K107=0,"n/m",IF(ABS(J107-SUM(E107:I107)/K107)&lt;0.000000001,"OK","ERR"))</f>
        <v>OK</v>
      </c>
    </row>
    <row r="108" spans="1:18" x14ac:dyDescent="0.3">
      <c r="C108" s="37" t="s">
        <v>151</v>
      </c>
      <c r="D108" t="s">
        <v>28</v>
      </c>
      <c r="E108" s="94">
        <f>KOHC!G156</f>
        <v>0.43204813836923311</v>
      </c>
      <c r="F108" s="94">
        <f>LUCK!G156</f>
        <v>0.58375790160503283</v>
      </c>
      <c r="G108" s="94">
        <f>DGKC!G156</f>
        <v>0.82452532605606788</v>
      </c>
      <c r="H108" s="94">
        <f>MLCF!G156</f>
        <v>0.88851025815234452</v>
      </c>
      <c r="I108" s="94">
        <f>FCCL!G156</f>
        <v>1.0114251512894896</v>
      </c>
      <c r="J108" s="95">
        <f>IF(COUNT(E108:I108)=0,"n/m",AVERAGE(E108:I108))</f>
        <v>0.74805335509443349</v>
      </c>
      <c r="K108">
        <f>COUNT(E108:I108)</f>
        <v>5</v>
      </c>
      <c r="L108" s="96">
        <f>IF(AND(ISNUMBER(E108),ISNUMBER(J108)),E108-J108,"n/m")</f>
        <v>-0.31600521672520038</v>
      </c>
      <c r="M108" s="96">
        <f>IF(COUNT(F108:I108)=0,"n/m",AVERAGE(F108:I108))</f>
        <v>0.82705465927573374</v>
      </c>
      <c r="N108" s="96">
        <f>IF(COUNT(E108:I108)=0,"n/m",MEDIAN(E108:I108))</f>
        <v>0.82452532605606788</v>
      </c>
      <c r="O108" t="s">
        <v>928</v>
      </c>
      <c r="P108" s="8" t="str">
        <f>IF(NOT(ISNUMBER(L108)),"n/m",IF(O108="Higher",IF(L108&gt;=0,"Above avg - favourable","Below avg - unfavourable"),IF(O108="Lower",IF(L108&lt;=0,"Below avg - favourable","Above avg - unfavourable"),IF(L108&gt;=0,"Above avg - context-dependent","Below avg - context-dependent"))))&amp;IF(K108&lt;5," (N="&amp;K108&amp;")","")</f>
        <v>Below avg - favourable</v>
      </c>
      <c r="R108" s="40" t="str">
        <f>IF(K108=0,"n/m",IF(ABS(J108-SUM(E108:I108)/K108)&lt;0.000000001,"OK","ERR"))</f>
        <v>OK</v>
      </c>
    </row>
    <row r="109" spans="1:18" x14ac:dyDescent="0.3">
      <c r="C109" s="37" t="s">
        <v>151</v>
      </c>
      <c r="D109" t="s">
        <v>29</v>
      </c>
      <c r="E109" s="94">
        <f>KOHC!H156</f>
        <v>0.39284830485365951</v>
      </c>
      <c r="F109" s="94">
        <f>LUCK!H156</f>
        <v>0.5163857850360184</v>
      </c>
      <c r="G109" s="94">
        <f>DGKC!H156</f>
        <v>0.54143997582781278</v>
      </c>
      <c r="H109" s="94">
        <f>MLCF!H156</f>
        <v>0.66671729059716445</v>
      </c>
      <c r="I109" s="94">
        <f>FCCL!H156</f>
        <v>0.90863862259310912</v>
      </c>
      <c r="J109" s="95">
        <f>IF(COUNT(E109:I109)=0,"n/m",AVERAGE(E109:I109))</f>
        <v>0.60520599578155276</v>
      </c>
      <c r="K109">
        <f>COUNT(E109:I109)</f>
        <v>5</v>
      </c>
      <c r="L109" s="96">
        <f>IF(AND(ISNUMBER(E109),ISNUMBER(J109)),E109-J109,"n/m")</f>
        <v>-0.21235769092789325</v>
      </c>
      <c r="M109" s="96">
        <f>IF(COUNT(F109:I109)=0,"n/m",AVERAGE(F109:I109))</f>
        <v>0.65829541851352613</v>
      </c>
      <c r="N109" s="96">
        <f>IF(COUNT(E109:I109)=0,"n/m",MEDIAN(E109:I109))</f>
        <v>0.54143997582781278</v>
      </c>
      <c r="O109" t="s">
        <v>928</v>
      </c>
      <c r="P109" s="8" t="str">
        <f>IF(NOT(ISNUMBER(L109)),"n/m",IF(O109="Higher",IF(L109&gt;=0,"Above avg - favourable","Below avg - unfavourable"),IF(O109="Lower",IF(L109&lt;=0,"Below avg - favourable","Above avg - unfavourable"),IF(L109&gt;=0,"Above avg - context-dependent","Below avg - context-dependent"))))&amp;IF(K109&lt;5," (N="&amp;K109&amp;")","")</f>
        <v>Below avg - favourable</v>
      </c>
      <c r="R109" s="40" t="str">
        <f>IF(K109=0,"n/m",IF(ABS(J109-SUM(E109:I109)/K109)&lt;0.000000001,"OK","ERR"))</f>
        <v>OK</v>
      </c>
    </row>
    <row r="110" spans="1:18" x14ac:dyDescent="0.3">
      <c r="A110" s="35" t="s">
        <v>493</v>
      </c>
      <c r="B110" s="13">
        <v>18</v>
      </c>
      <c r="C110" s="12" t="s">
        <v>498</v>
      </c>
      <c r="D110" s="13"/>
      <c r="E110" s="13"/>
      <c r="F110" s="13"/>
      <c r="G110" s="13"/>
      <c r="H110" s="13"/>
      <c r="I110" s="13"/>
      <c r="J110" s="13"/>
      <c r="K110" s="13"/>
      <c r="L110" s="13"/>
      <c r="M110" s="13"/>
      <c r="N110" s="13"/>
      <c r="O110" s="13"/>
      <c r="P110" s="13"/>
      <c r="Q110" s="36" t="s">
        <v>934</v>
      </c>
      <c r="R110" s="13"/>
    </row>
    <row r="111" spans="1:18" x14ac:dyDescent="0.3">
      <c r="C111" s="37" t="s">
        <v>935</v>
      </c>
      <c r="D111" t="s">
        <v>20</v>
      </c>
      <c r="E111" s="103">
        <f>KOHC!D157</f>
        <v>0.21400284667161887</v>
      </c>
      <c r="F111" s="103">
        <f>LUCK!D157</f>
        <v>8.4815663134025443E-2</v>
      </c>
      <c r="G111" s="103">
        <f>DGKC!D157</f>
        <v>0.37343360902882045</v>
      </c>
      <c r="H111" s="103">
        <f>MLCF!D157</f>
        <v>0.30189800416032447</v>
      </c>
      <c r="I111" s="103">
        <f>FCCL!D157</f>
        <v>9.9369789844821352E-2</v>
      </c>
      <c r="J111" s="104">
        <f>IF(COUNT(E111:I111)=0,"n/m",AVERAGE(E111:I111))</f>
        <v>0.21470398256792214</v>
      </c>
      <c r="K111">
        <f>COUNT(E111:I111)</f>
        <v>5</v>
      </c>
      <c r="L111" s="105">
        <f>IF(AND(ISNUMBER(E111),ISNUMBER(J111)),E111-J111,"n/m")</f>
        <v>-7.0113589630327322E-4</v>
      </c>
      <c r="M111" s="105">
        <f>IF(COUNT(F111:I111)=0,"n/m",AVERAGE(F111:I111))</f>
        <v>0.21487926654199793</v>
      </c>
      <c r="N111" s="105">
        <f>IF(COUNT(E111:I111)=0,"n/m",MEDIAN(E111:I111))</f>
        <v>0.21400284667161887</v>
      </c>
      <c r="O111" t="s">
        <v>928</v>
      </c>
      <c r="P111" s="8" t="str">
        <f>IF(NOT(ISNUMBER(L111)),"n/m",IF(O111="Higher",IF(L111&gt;=0,"Above avg - favourable","Below avg - unfavourable"),IF(O111="Lower",IF(L111&lt;=0,"Below avg - favourable","Above avg - unfavourable"),IF(L111&gt;=0,"Above avg - context-dependent","Below avg - context-dependent"))))&amp;IF(K111&lt;5," (N="&amp;K111&amp;")","")</f>
        <v>Below avg - favourable</v>
      </c>
      <c r="R111" s="40" t="str">
        <f>IF(K111=0,"n/m",IF(ABS(J111-SUM(E111:I111)/K111)&lt;0.000000001,"OK","ERR"))</f>
        <v>OK</v>
      </c>
    </row>
    <row r="112" spans="1:18" x14ac:dyDescent="0.3">
      <c r="C112" s="37" t="s">
        <v>935</v>
      </c>
      <c r="D112" t="s">
        <v>26</v>
      </c>
      <c r="E112" s="103">
        <f>KOHC!E157</f>
        <v>0.13497287275854264</v>
      </c>
      <c r="F112" s="103">
        <f>LUCK!E157</f>
        <v>0.10820094237127705</v>
      </c>
      <c r="G112" s="103">
        <f>DGKC!E157</f>
        <v>0.39929807208366225</v>
      </c>
      <c r="H112" s="103">
        <f>MLCF!E157</f>
        <v>0.381087654689308</v>
      </c>
      <c r="I112" s="103">
        <f>FCCL!E157</f>
        <v>0.30982053797366449</v>
      </c>
      <c r="J112" s="104">
        <f>IF(COUNT(E112:I112)=0,"n/m",AVERAGE(E112:I112))</f>
        <v>0.26667601597529089</v>
      </c>
      <c r="K112">
        <f>COUNT(E112:I112)</f>
        <v>5</v>
      </c>
      <c r="L112" s="105">
        <f>IF(AND(ISNUMBER(E112),ISNUMBER(J112)),E112-J112,"n/m")</f>
        <v>-0.13170314321674825</v>
      </c>
      <c r="M112" s="105">
        <f>IF(COUNT(F112:I112)=0,"n/m",AVERAGE(F112:I112))</f>
        <v>0.29960180177947793</v>
      </c>
      <c r="N112" s="105">
        <f>IF(COUNT(E112:I112)=0,"n/m",MEDIAN(E112:I112))</f>
        <v>0.30982053797366449</v>
      </c>
      <c r="O112" t="s">
        <v>928</v>
      </c>
      <c r="P112" s="8" t="str">
        <f>IF(NOT(ISNUMBER(L112)),"n/m",IF(O112="Higher",IF(L112&gt;=0,"Above avg - favourable","Below avg - unfavourable"),IF(O112="Lower",IF(L112&lt;=0,"Below avg - favourable","Above avg - unfavourable"),IF(L112&gt;=0,"Above avg - context-dependent","Below avg - context-dependent"))))&amp;IF(K112&lt;5," (N="&amp;K112&amp;")","")</f>
        <v>Below avg - favourable</v>
      </c>
      <c r="R112" s="40" t="str">
        <f>IF(K112=0,"n/m",IF(ABS(J112-SUM(E112:I112)/K112)&lt;0.000000001,"OK","ERR"))</f>
        <v>OK</v>
      </c>
    </row>
    <row r="113" spans="1:18" x14ac:dyDescent="0.3">
      <c r="C113" s="37" t="s">
        <v>935</v>
      </c>
      <c r="D113" t="s">
        <v>27</v>
      </c>
      <c r="E113" s="103">
        <f>KOHC!F157</f>
        <v>8.8937391462133447E-2</v>
      </c>
      <c r="F113" s="103">
        <f>LUCK!F157</f>
        <v>0.13283363678865434</v>
      </c>
      <c r="G113" s="103">
        <f>DGKC!F157</f>
        <v>0.39850127088453147</v>
      </c>
      <c r="H113" s="103">
        <f>MLCF!F157</f>
        <v>0.30676284445350793</v>
      </c>
      <c r="I113" s="103">
        <f>FCCL!F157</f>
        <v>0.38414531386940193</v>
      </c>
      <c r="J113" s="104">
        <f>IF(COUNT(E113:I113)=0,"n/m",AVERAGE(E113:I113))</f>
        <v>0.26223609149164584</v>
      </c>
      <c r="K113">
        <f>COUNT(E113:I113)</f>
        <v>5</v>
      </c>
      <c r="L113" s="105">
        <f>IF(AND(ISNUMBER(E113),ISNUMBER(J113)),E113-J113,"n/m")</f>
        <v>-0.17329870002951239</v>
      </c>
      <c r="M113" s="105">
        <f>IF(COUNT(F113:I113)=0,"n/m",AVERAGE(F113:I113))</f>
        <v>0.30556076649902392</v>
      </c>
      <c r="N113" s="105">
        <f>IF(COUNT(E113:I113)=0,"n/m",MEDIAN(E113:I113))</f>
        <v>0.30676284445350793</v>
      </c>
      <c r="O113" t="s">
        <v>928</v>
      </c>
      <c r="P113" s="8" t="str">
        <f>IF(NOT(ISNUMBER(L113)),"n/m",IF(O113="Higher",IF(L113&gt;=0,"Above avg - favourable","Below avg - unfavourable"),IF(O113="Lower",IF(L113&lt;=0,"Below avg - favourable","Above avg - unfavourable"),IF(L113&gt;=0,"Above avg - context-dependent","Below avg - context-dependent"))))&amp;IF(K113&lt;5," (N="&amp;K113&amp;")","")</f>
        <v>Below avg - favourable</v>
      </c>
      <c r="R113" s="40" t="str">
        <f>IF(K113=0,"n/m",IF(ABS(J113-SUM(E113:I113)/K113)&lt;0.000000001,"OK","ERR"))</f>
        <v>OK</v>
      </c>
    </row>
    <row r="114" spans="1:18" x14ac:dyDescent="0.3">
      <c r="C114" s="37" t="s">
        <v>935</v>
      </c>
      <c r="D114" t="s">
        <v>28</v>
      </c>
      <c r="E114" s="103">
        <f>KOHC!G157</f>
        <v>4.9789363275218823E-2</v>
      </c>
      <c r="F114" s="103">
        <f>LUCK!G157</f>
        <v>0.12102350075289672</v>
      </c>
      <c r="G114" s="103">
        <f>DGKC!G157</f>
        <v>0.31153681009483003</v>
      </c>
      <c r="H114" s="103">
        <f>MLCF!G157</f>
        <v>0.2692569010491479</v>
      </c>
      <c r="I114" s="103">
        <f>FCCL!G157</f>
        <v>0.33266855232872222</v>
      </c>
      <c r="J114" s="104">
        <f>IF(COUNT(E114:I114)=0,"n/m",AVERAGE(E114:I114))</f>
        <v>0.21685502550016317</v>
      </c>
      <c r="K114">
        <f>COUNT(E114:I114)</f>
        <v>5</v>
      </c>
      <c r="L114" s="105">
        <f>IF(AND(ISNUMBER(E114),ISNUMBER(J114)),E114-J114,"n/m")</f>
        <v>-0.16706566222494434</v>
      </c>
      <c r="M114" s="105">
        <f>IF(COUNT(F114:I114)=0,"n/m",AVERAGE(F114:I114))</f>
        <v>0.25862144105639923</v>
      </c>
      <c r="N114" s="105">
        <f>IF(COUNT(E114:I114)=0,"n/m",MEDIAN(E114:I114))</f>
        <v>0.2692569010491479</v>
      </c>
      <c r="O114" t="s">
        <v>928</v>
      </c>
      <c r="P114" s="8" t="str">
        <f>IF(NOT(ISNUMBER(L114)),"n/m",IF(O114="Higher",IF(L114&gt;=0,"Above avg - favourable","Below avg - unfavourable"),IF(O114="Lower",IF(L114&lt;=0,"Below avg - favourable","Above avg - unfavourable"),IF(L114&gt;=0,"Above avg - context-dependent","Below avg - context-dependent"))))&amp;IF(K114&lt;5," (N="&amp;K114&amp;")","")</f>
        <v>Below avg - favourable</v>
      </c>
      <c r="R114" s="40" t="str">
        <f>IF(K114=0,"n/m",IF(ABS(J114-SUM(E114:I114)/K114)&lt;0.000000001,"OK","ERR"))</f>
        <v>OK</v>
      </c>
    </row>
    <row r="115" spans="1:18" x14ac:dyDescent="0.3">
      <c r="C115" s="37" t="s">
        <v>935</v>
      </c>
      <c r="D115" t="s">
        <v>29</v>
      </c>
      <c r="E115" s="103">
        <f>KOHC!H157</f>
        <v>4.4675679300715997E-2</v>
      </c>
      <c r="F115" s="103">
        <f>LUCK!H157</f>
        <v>9.0648585990198302E-2</v>
      </c>
      <c r="G115" s="103">
        <f>DGKC!H157</f>
        <v>0.18792347676351873</v>
      </c>
      <c r="H115" s="103">
        <f>MLCF!H157</f>
        <v>0.1694536072536581</v>
      </c>
      <c r="I115" s="103">
        <f>FCCL!H157</f>
        <v>0.3220730092552348</v>
      </c>
      <c r="J115" s="104">
        <f>IF(COUNT(E115:I115)=0,"n/m",AVERAGE(E115:I115))</f>
        <v>0.16295487171266518</v>
      </c>
      <c r="K115">
        <f>COUNT(E115:I115)</f>
        <v>5</v>
      </c>
      <c r="L115" s="105">
        <f>IF(AND(ISNUMBER(E115),ISNUMBER(J115)),E115-J115,"n/m")</f>
        <v>-0.11827919241194917</v>
      </c>
      <c r="M115" s="105">
        <f>IF(COUNT(F115:I115)=0,"n/m",AVERAGE(F115:I115))</f>
        <v>0.19252466981565247</v>
      </c>
      <c r="N115" s="105">
        <f>IF(COUNT(E115:I115)=0,"n/m",MEDIAN(E115:I115))</f>
        <v>0.1694536072536581</v>
      </c>
      <c r="O115" t="s">
        <v>928</v>
      </c>
      <c r="P115" s="8" t="str">
        <f>IF(NOT(ISNUMBER(L115)),"n/m",IF(O115="Higher",IF(L115&gt;=0,"Above avg - favourable","Below avg - unfavourable"),IF(O115="Lower",IF(L115&lt;=0,"Below avg - favourable","Above avg - unfavourable"),IF(L115&gt;=0,"Above avg - context-dependent","Below avg - context-dependent"))))&amp;IF(K115&lt;5," (N="&amp;K115&amp;")","")</f>
        <v>Below avg - favourable</v>
      </c>
      <c r="R115" s="40" t="str">
        <f>IF(K115=0,"n/m",IF(ABS(J115-SUM(E115:I115)/K115)&lt;0.000000001,"OK","ERR"))</f>
        <v>OK</v>
      </c>
    </row>
    <row r="116" spans="1:18" x14ac:dyDescent="0.3">
      <c r="A116" s="35" t="s">
        <v>493</v>
      </c>
      <c r="B116" s="13">
        <v>19</v>
      </c>
      <c r="C116" s="12" t="s">
        <v>500</v>
      </c>
      <c r="D116" s="13"/>
      <c r="E116" s="13"/>
      <c r="F116" s="13"/>
      <c r="G116" s="13"/>
      <c r="H116" s="13"/>
      <c r="I116" s="13"/>
      <c r="J116" s="13"/>
      <c r="K116" s="13"/>
      <c r="L116" s="13"/>
      <c r="M116" s="13"/>
      <c r="N116" s="13"/>
      <c r="O116" s="13"/>
      <c r="P116" s="13"/>
      <c r="Q116" s="36"/>
      <c r="R116" s="13"/>
    </row>
    <row r="117" spans="1:18" x14ac:dyDescent="0.3">
      <c r="C117" s="37" t="s">
        <v>936</v>
      </c>
      <c r="D117" t="s">
        <v>20</v>
      </c>
      <c r="E117" s="103">
        <f>KOHC!D158</f>
        <v>0.1220875910318789</v>
      </c>
      <c r="F117" s="103">
        <f>LUCK!D158</f>
        <v>1.8763703805448454E-2</v>
      </c>
      <c r="G117" s="103">
        <f>DGKC!D158</f>
        <v>0.13996233662270563</v>
      </c>
      <c r="H117" s="103">
        <f>MLCF!D158</f>
        <v>0.19077425632568037</v>
      </c>
      <c r="I117" s="103">
        <f>FCCL!D158</f>
        <v>1.6594947919858761E-2</v>
      </c>
      <c r="J117" s="104">
        <f>IF(COUNT(E117:I117)=0,"n/m",AVERAGE(E117:I117))</f>
        <v>9.7636567141114433E-2</v>
      </c>
      <c r="K117">
        <f>COUNT(E117:I117)</f>
        <v>5</v>
      </c>
      <c r="L117" s="105">
        <f>IF(AND(ISNUMBER(E117),ISNUMBER(J117)),E117-J117,"n/m")</f>
        <v>2.4451023890764464E-2</v>
      </c>
      <c r="M117" s="105">
        <f>IF(COUNT(F117:I117)=0,"n/m",AVERAGE(F117:I117))</f>
        <v>9.15238111684233E-2</v>
      </c>
      <c r="N117" s="105">
        <f>IF(COUNT(E117:I117)=0,"n/m",MEDIAN(E117:I117))</f>
        <v>0.1220875910318789</v>
      </c>
      <c r="O117" t="s">
        <v>928</v>
      </c>
      <c r="P117" s="8" t="str">
        <f>IF(NOT(ISNUMBER(L117)),"n/m",IF(O117="Higher",IF(L117&gt;=0,"Above avg - favourable","Below avg - unfavourable"),IF(O117="Lower",IF(L117&lt;=0,"Below avg - favourable","Above avg - unfavourable"),IF(L117&gt;=0,"Above avg - context-dependent","Below avg - context-dependent"))))&amp;IF(K117&lt;5," (N="&amp;K117&amp;")","")</f>
        <v>Above avg - unfavourable</v>
      </c>
      <c r="R117" s="40" t="str">
        <f>IF(K117=0,"n/m",IF(ABS(J117-SUM(E117:I117)/K117)&lt;0.000000001,"OK","ERR"))</f>
        <v>OK</v>
      </c>
    </row>
    <row r="118" spans="1:18" x14ac:dyDescent="0.3">
      <c r="C118" s="37" t="s">
        <v>936</v>
      </c>
      <c r="D118" t="s">
        <v>26</v>
      </c>
      <c r="E118" s="103">
        <f>KOHC!E158</f>
        <v>7.3341433387860686E-2</v>
      </c>
      <c r="F118" s="103">
        <f>LUCK!E158</f>
        <v>7.6277386327579882E-2</v>
      </c>
      <c r="G118" s="103">
        <f>DGKC!E158</f>
        <v>0.10374941529310935</v>
      </c>
      <c r="H118" s="103">
        <f>MLCF!E158</f>
        <v>0.22836689667151214</v>
      </c>
      <c r="I118" s="103">
        <f>FCCL!E158</f>
        <v>0.1727906268810509</v>
      </c>
      <c r="J118" s="104">
        <f>IF(COUNT(E118:I118)=0,"n/m",AVERAGE(E118:I118))</f>
        <v>0.13090515171222256</v>
      </c>
      <c r="K118">
        <f>COUNT(E118:I118)</f>
        <v>5</v>
      </c>
      <c r="L118" s="105">
        <f>IF(AND(ISNUMBER(E118),ISNUMBER(J118)),E118-J118,"n/m")</f>
        <v>-5.7563718324361871E-2</v>
      </c>
      <c r="M118" s="105">
        <f>IF(COUNT(F118:I118)=0,"n/m",AVERAGE(F118:I118))</f>
        <v>0.14529608129331306</v>
      </c>
      <c r="N118" s="105">
        <f>IF(COUNT(E118:I118)=0,"n/m",MEDIAN(E118:I118))</f>
        <v>0.10374941529310935</v>
      </c>
      <c r="O118" t="s">
        <v>928</v>
      </c>
      <c r="P118" s="8" t="str">
        <f>IF(NOT(ISNUMBER(L118)),"n/m",IF(O118="Higher",IF(L118&gt;=0,"Above avg - favourable","Below avg - unfavourable"),IF(O118="Lower",IF(L118&lt;=0,"Below avg - favourable","Above avg - unfavourable"),IF(L118&gt;=0,"Above avg - context-dependent","Below avg - context-dependent"))))&amp;IF(K118&lt;5," (N="&amp;K118&amp;")","")</f>
        <v>Below avg - favourable</v>
      </c>
      <c r="R118" s="40" t="str">
        <f>IF(K118=0,"n/m",IF(ABS(J118-SUM(E118:I118)/K118)&lt;0.000000001,"OK","ERR"))</f>
        <v>OK</v>
      </c>
    </row>
    <row r="119" spans="1:18" x14ac:dyDescent="0.3">
      <c r="C119" s="37" t="s">
        <v>936</v>
      </c>
      <c r="D119" t="s">
        <v>27</v>
      </c>
      <c r="E119" s="103">
        <f>KOHC!F158</f>
        <v>4.338813037035516E-2</v>
      </c>
      <c r="F119" s="103">
        <f>LUCK!F158</f>
        <v>6.8318742919969699E-2</v>
      </c>
      <c r="G119" s="103">
        <f>DGKC!F158</f>
        <v>7.1734730719220832E-2</v>
      </c>
      <c r="H119" s="103">
        <f>MLCF!F158</f>
        <v>0.19245552926882725</v>
      </c>
      <c r="I119" s="103">
        <f>FCCL!F158</f>
        <v>0.22975152572601862</v>
      </c>
      <c r="J119" s="104">
        <f>IF(COUNT(E119:I119)=0,"n/m",AVERAGE(E119:I119))</f>
        <v>0.12112973180087831</v>
      </c>
      <c r="K119">
        <f>COUNT(E119:I119)</f>
        <v>5</v>
      </c>
      <c r="L119" s="105">
        <f>IF(AND(ISNUMBER(E119),ISNUMBER(J119)),E119-J119,"n/m")</f>
        <v>-7.7741601430523152E-2</v>
      </c>
      <c r="M119" s="105">
        <f>IF(COUNT(F119:I119)=0,"n/m",AVERAGE(F119:I119))</f>
        <v>0.1405651321585091</v>
      </c>
      <c r="N119" s="105">
        <f>IF(COUNT(E119:I119)=0,"n/m",MEDIAN(E119:I119))</f>
        <v>7.1734730719220832E-2</v>
      </c>
      <c r="O119" t="s">
        <v>928</v>
      </c>
      <c r="P119" s="8" t="str">
        <f>IF(NOT(ISNUMBER(L119)),"n/m",IF(O119="Higher",IF(L119&gt;=0,"Above avg - favourable","Below avg - unfavourable"),IF(O119="Lower",IF(L119&lt;=0,"Below avg - favourable","Above avg - unfavourable"),IF(L119&gt;=0,"Above avg - context-dependent","Below avg - context-dependent"))))&amp;IF(K119&lt;5," (N="&amp;K119&amp;")","")</f>
        <v>Below avg - favourable</v>
      </c>
      <c r="R119" s="40" t="str">
        <f>IF(K119=0,"n/m",IF(ABS(J119-SUM(E119:I119)/K119)&lt;0.000000001,"OK","ERR"))</f>
        <v>OK</v>
      </c>
    </row>
    <row r="120" spans="1:18" x14ac:dyDescent="0.3">
      <c r="C120" s="37" t="s">
        <v>936</v>
      </c>
      <c r="D120" t="s">
        <v>28</v>
      </c>
      <c r="E120" s="103">
        <f>KOHC!G158</f>
        <v>1.901053423767185E-2</v>
      </c>
      <c r="F120" s="103">
        <f>LUCK!G158</f>
        <v>5.4528421285721974E-2</v>
      </c>
      <c r="G120" s="103">
        <f>DGKC!G158</f>
        <v>0.11536675950040348</v>
      </c>
      <c r="H120" s="103">
        <f>MLCF!G158</f>
        <v>0.14411873105243719</v>
      </c>
      <c r="I120" s="103">
        <f>FCCL!G158</f>
        <v>0.203376413547186</v>
      </c>
      <c r="J120" s="104">
        <f>IF(COUNT(E120:I120)=0,"n/m",AVERAGE(E120:I120))</f>
        <v>0.10728017192468409</v>
      </c>
      <c r="K120">
        <f>COUNT(E120:I120)</f>
        <v>5</v>
      </c>
      <c r="L120" s="105">
        <f>IF(AND(ISNUMBER(E120),ISNUMBER(J120)),E120-J120,"n/m")</f>
        <v>-8.8269637687012237E-2</v>
      </c>
      <c r="M120" s="105">
        <f>IF(COUNT(F120:I120)=0,"n/m",AVERAGE(F120:I120))</f>
        <v>0.12934758134643715</v>
      </c>
      <c r="N120" s="105">
        <f>IF(COUNT(E120:I120)=0,"n/m",MEDIAN(E120:I120))</f>
        <v>0.11536675950040348</v>
      </c>
      <c r="O120" t="s">
        <v>928</v>
      </c>
      <c r="P120" s="8" t="str">
        <f>IF(NOT(ISNUMBER(L120)),"n/m",IF(O120="Higher",IF(L120&gt;=0,"Above avg - favourable","Below avg - unfavourable"),IF(O120="Lower",IF(L120&lt;=0,"Below avg - favourable","Above avg - unfavourable"),IF(L120&gt;=0,"Above avg - context-dependent","Below avg - context-dependent"))))&amp;IF(K120&lt;5," (N="&amp;K120&amp;")","")</f>
        <v>Below avg - favourable</v>
      </c>
      <c r="R120" s="40" t="str">
        <f>IF(K120=0,"n/m",IF(ABS(J120-SUM(E120:I120)/K120)&lt;0.000000001,"OK","ERR"))</f>
        <v>OK</v>
      </c>
    </row>
    <row r="121" spans="1:18" x14ac:dyDescent="0.3">
      <c r="C121" s="37" t="s">
        <v>936</v>
      </c>
      <c r="D121" t="s">
        <v>29</v>
      </c>
      <c r="E121" s="103">
        <f>KOHC!H158</f>
        <v>2.1693131655174568E-2</v>
      </c>
      <c r="F121" s="103">
        <f>LUCK!H158</f>
        <v>3.4431452033591402E-2</v>
      </c>
      <c r="G121" s="103">
        <f>DGKC!H158</f>
        <v>6.9171710922452334E-2</v>
      </c>
      <c r="H121" s="103">
        <f>MLCF!H158</f>
        <v>8.2364546531727131E-2</v>
      </c>
      <c r="I121" s="103">
        <f>FCCL!H158</f>
        <v>0.15113814624398686</v>
      </c>
      <c r="J121" s="104">
        <f>IF(COUNT(E121:I121)=0,"n/m",AVERAGE(E121:I121))</f>
        <v>7.175979747738645E-2</v>
      </c>
      <c r="K121">
        <f>COUNT(E121:I121)</f>
        <v>5</v>
      </c>
      <c r="L121" s="105">
        <f>IF(AND(ISNUMBER(E121),ISNUMBER(J121)),E121-J121,"n/m")</f>
        <v>-5.0066665822211878E-2</v>
      </c>
      <c r="M121" s="105">
        <f>IF(COUNT(F121:I121)=0,"n/m",AVERAGE(F121:I121))</f>
        <v>8.427646393293943E-2</v>
      </c>
      <c r="N121" s="105">
        <f>IF(COUNT(E121:I121)=0,"n/m",MEDIAN(E121:I121))</f>
        <v>6.9171710922452334E-2</v>
      </c>
      <c r="O121" t="s">
        <v>928</v>
      </c>
      <c r="P121" s="8" t="str">
        <f>IF(NOT(ISNUMBER(L121)),"n/m",IF(O121="Higher",IF(L121&gt;=0,"Above avg - favourable","Below avg - unfavourable"),IF(O121="Lower",IF(L121&lt;=0,"Below avg - favourable","Above avg - unfavourable"),IF(L121&gt;=0,"Above avg - context-dependent","Below avg - context-dependent"))))&amp;IF(K121&lt;5," (N="&amp;K121&amp;")","")</f>
        <v>Below avg - favourable</v>
      </c>
      <c r="R121" s="40" t="str">
        <f>IF(K121=0,"n/m",IF(ABS(J121-SUM(E121:I121)/K121)&lt;0.000000001,"OK","ERR"))</f>
        <v>OK</v>
      </c>
    </row>
    <row r="122" spans="1:18" x14ac:dyDescent="0.3">
      <c r="A122" s="35" t="s">
        <v>493</v>
      </c>
      <c r="B122" s="13">
        <v>20</v>
      </c>
      <c r="C122" s="12" t="s">
        <v>502</v>
      </c>
      <c r="D122" s="13"/>
      <c r="E122" s="13"/>
      <c r="F122" s="13"/>
      <c r="G122" s="13"/>
      <c r="H122" s="13"/>
      <c r="I122" s="13"/>
      <c r="J122" s="13"/>
      <c r="K122" s="13"/>
      <c r="L122" s="13"/>
      <c r="M122" s="13"/>
      <c r="N122" s="13"/>
      <c r="O122" s="13"/>
      <c r="P122" s="13"/>
      <c r="Q122" s="36" t="s">
        <v>937</v>
      </c>
      <c r="R122" s="13"/>
    </row>
    <row r="123" spans="1:18" x14ac:dyDescent="0.3">
      <c r="C123" s="37" t="s">
        <v>938</v>
      </c>
      <c r="D123" t="s">
        <v>20</v>
      </c>
      <c r="E123" s="94">
        <f>KOHC!D159</f>
        <v>11.019706901181747</v>
      </c>
      <c r="F123" s="94">
        <f>LUCK!D159</f>
        <v>52.042228263318378</v>
      </c>
      <c r="G123" s="94">
        <f>DGKC!D159</f>
        <v>2.6652770217618258</v>
      </c>
      <c r="H123" s="94">
        <f>MLCF!D159</f>
        <v>6.0690005651989436</v>
      </c>
      <c r="I123" s="94">
        <f>FCCL!D159</f>
        <v>56.640991401771736</v>
      </c>
      <c r="J123" s="95">
        <f>IF(COUNT(E123:I123)=0,"n/m",AVERAGE(E123:I123))</f>
        <v>25.68744083064653</v>
      </c>
      <c r="K123">
        <f>COUNT(E123:I123)</f>
        <v>5</v>
      </c>
      <c r="L123" s="96">
        <f>IF(AND(ISNUMBER(E123),ISNUMBER(J123)),E123-J123,"n/m")</f>
        <v>-14.667733929464783</v>
      </c>
      <c r="M123" s="96">
        <f>IF(COUNT(F123:I123)=0,"n/m",AVERAGE(F123:I123))</f>
        <v>29.35437431301272</v>
      </c>
      <c r="N123" s="96">
        <f>IF(COUNT(E123:I123)=0,"n/m",MEDIAN(E123:I123))</f>
        <v>11.019706901181747</v>
      </c>
      <c r="O123" t="s">
        <v>920</v>
      </c>
      <c r="P123" s="8" t="str">
        <f>IF(NOT(ISNUMBER(L123)),"n/m",IF(O123="Higher",IF(L123&gt;=0,"Above avg - favourable","Below avg - unfavourable"),IF(O123="Lower",IF(L123&lt;=0,"Below avg - favourable","Above avg - unfavourable"),IF(L123&gt;=0,"Above avg - context-dependent","Below avg - context-dependent"))))&amp;IF(K123&lt;5," (N="&amp;K123&amp;")","")</f>
        <v>Below avg - unfavourable</v>
      </c>
      <c r="R123" s="40" t="str">
        <f>IF(K123=0,"n/m",IF(ABS(J123-SUM(E123:I123)/K123)&lt;0.000000001,"OK","ERR"))</f>
        <v>OK</v>
      </c>
    </row>
    <row r="124" spans="1:18" x14ac:dyDescent="0.3">
      <c r="C124" s="37" t="s">
        <v>938</v>
      </c>
      <c r="D124" t="s">
        <v>26</v>
      </c>
      <c r="E124" s="94">
        <f>KOHC!E159</f>
        <v>18.36315245249661</v>
      </c>
      <c r="F124" s="94">
        <f>LUCK!E159</f>
        <v>55.297361076962446</v>
      </c>
      <c r="G124" s="94">
        <f>DGKC!E159</f>
        <v>2.7057478339935286</v>
      </c>
      <c r="H124" s="94">
        <f>MLCF!E159</f>
        <v>5.2807135989112588</v>
      </c>
      <c r="I124" s="94">
        <f>FCCL!E159</f>
        <v>12.790793831338474</v>
      </c>
      <c r="J124" s="95">
        <f>IF(COUNT(E124:I124)=0,"n/m",AVERAGE(E124:I124))</f>
        <v>18.887553758740463</v>
      </c>
      <c r="K124">
        <f>COUNT(E124:I124)</f>
        <v>5</v>
      </c>
      <c r="L124" s="96">
        <f>IF(AND(ISNUMBER(E124),ISNUMBER(J124)),E124-J124,"n/m")</f>
        <v>-0.52440130624385262</v>
      </c>
      <c r="M124" s="96">
        <f>IF(COUNT(F124:I124)=0,"n/m",AVERAGE(F124:I124))</f>
        <v>19.018654085301428</v>
      </c>
      <c r="N124" s="96">
        <f>IF(COUNT(E124:I124)=0,"n/m",MEDIAN(E124:I124))</f>
        <v>12.790793831338474</v>
      </c>
      <c r="O124" t="s">
        <v>920</v>
      </c>
      <c r="P124" s="8" t="str">
        <f>IF(NOT(ISNUMBER(L124)),"n/m",IF(O124="Higher",IF(L124&gt;=0,"Above avg - favourable","Below avg - unfavourable"),IF(O124="Lower",IF(L124&lt;=0,"Below avg - favourable","Above avg - unfavourable"),IF(L124&gt;=0,"Above avg - context-dependent","Below avg - context-dependent"))))&amp;IF(K124&lt;5," (N="&amp;K124&amp;")","")</f>
        <v>Below avg - unfavourable</v>
      </c>
      <c r="R124" s="40" t="str">
        <f>IF(K124=0,"n/m",IF(ABS(J124-SUM(E124:I124)/K124)&lt;0.000000001,"OK","ERR"))</f>
        <v>OK</v>
      </c>
    </row>
    <row r="125" spans="1:18" x14ac:dyDescent="0.3">
      <c r="C125" s="37" t="s">
        <v>938</v>
      </c>
      <c r="D125" t="s">
        <v>27</v>
      </c>
      <c r="E125" s="94">
        <f>KOHC!F159</f>
        <v>16.398825279873954</v>
      </c>
      <c r="F125" s="94">
        <f>LUCK!F159</f>
        <v>19.427961435835122</v>
      </c>
      <c r="G125" s="94">
        <f>DGKC!F159</f>
        <v>1.4774958199074884</v>
      </c>
      <c r="H125" s="94">
        <f>MLCF!F159</f>
        <v>4.4728409440308576</v>
      </c>
      <c r="I125" s="94">
        <f>FCCL!F159</f>
        <v>6.3034558691867248</v>
      </c>
      <c r="J125" s="95">
        <f>IF(COUNT(E125:I125)=0,"n/m",AVERAGE(E125:I125))</f>
        <v>9.6161158697668299</v>
      </c>
      <c r="K125">
        <f>COUNT(E125:I125)</f>
        <v>5</v>
      </c>
      <c r="L125" s="96">
        <f>IF(AND(ISNUMBER(E125),ISNUMBER(J125)),E125-J125,"n/m")</f>
        <v>6.7827094101071239</v>
      </c>
      <c r="M125" s="96">
        <f>IF(COUNT(F125:I125)=0,"n/m",AVERAGE(F125:I125))</f>
        <v>7.920438517240048</v>
      </c>
      <c r="N125" s="96">
        <f>IF(COUNT(E125:I125)=0,"n/m",MEDIAN(E125:I125))</f>
        <v>6.3034558691867248</v>
      </c>
      <c r="O125" t="s">
        <v>920</v>
      </c>
      <c r="P125" s="8" t="str">
        <f>IF(NOT(ISNUMBER(L125)),"n/m",IF(O125="Higher",IF(L125&gt;=0,"Above avg - favourable","Below avg - unfavourable"),IF(O125="Lower",IF(L125&lt;=0,"Below avg - favourable","Above avg - unfavourable"),IF(L125&gt;=0,"Above avg - context-dependent","Below avg - context-dependent"))))&amp;IF(K125&lt;5," (N="&amp;K125&amp;")","")</f>
        <v>Above avg - favourable</v>
      </c>
      <c r="R125" s="40" t="str">
        <f>IF(K125=0,"n/m",IF(ABS(J125-SUM(E125:I125)/K125)&lt;0.000000001,"OK","ERR"))</f>
        <v>OK</v>
      </c>
    </row>
    <row r="126" spans="1:18" x14ac:dyDescent="0.3">
      <c r="C126" s="37" t="s">
        <v>938</v>
      </c>
      <c r="D126" t="s">
        <v>28</v>
      </c>
      <c r="E126" s="94">
        <f>KOHC!G159</f>
        <v>22.367720224205137</v>
      </c>
      <c r="F126" s="94">
        <f>LUCK!G159</f>
        <v>27.534616013098077</v>
      </c>
      <c r="G126" s="94">
        <f>DGKC!G159</f>
        <v>1.3678290337209771</v>
      </c>
      <c r="H126" s="94">
        <f>MLCF!G159</f>
        <v>3.2227818573661908</v>
      </c>
      <c r="I126" s="94">
        <f>FCCL!G159</f>
        <v>3.7820866561894588</v>
      </c>
      <c r="J126" s="95">
        <f>IF(COUNT(E126:I126)=0,"n/m",AVERAGE(E126:I126))</f>
        <v>11.65500675691597</v>
      </c>
      <c r="K126">
        <f>COUNT(E126:I126)</f>
        <v>5</v>
      </c>
      <c r="L126" s="96">
        <f>IF(AND(ISNUMBER(E126),ISNUMBER(J126)),E126-J126,"n/m")</f>
        <v>10.712713467289166</v>
      </c>
      <c r="M126" s="96">
        <f>IF(COUNT(F126:I126)=0,"n/m",AVERAGE(F126:I126))</f>
        <v>8.9768283900936758</v>
      </c>
      <c r="N126" s="96">
        <f>IF(COUNT(E126:I126)=0,"n/m",MEDIAN(E126:I126))</f>
        <v>3.7820866561894588</v>
      </c>
      <c r="O126" t="s">
        <v>920</v>
      </c>
      <c r="P126" s="8" t="str">
        <f>IF(NOT(ISNUMBER(L126)),"n/m",IF(O126="Higher",IF(L126&gt;=0,"Above avg - favourable","Below avg - unfavourable"),IF(O126="Lower",IF(L126&lt;=0,"Below avg - favourable","Above avg - unfavourable"),IF(L126&gt;=0,"Above avg - context-dependent","Below avg - context-dependent"))))&amp;IF(K126&lt;5," (N="&amp;K126&amp;")","")</f>
        <v>Above avg - favourable</v>
      </c>
      <c r="R126" s="40" t="str">
        <f>IF(K126=0,"n/m",IF(ABS(J126-SUM(E126:I126)/K126)&lt;0.000000001,"OK","ERR"))</f>
        <v>OK</v>
      </c>
    </row>
    <row r="127" spans="1:18" x14ac:dyDescent="0.3">
      <c r="C127" s="37" t="s">
        <v>938</v>
      </c>
      <c r="D127" t="s">
        <v>29</v>
      </c>
      <c r="E127" s="94">
        <f>KOHC!H159</f>
        <v>59.098953198372307</v>
      </c>
      <c r="F127" s="94">
        <f>LUCK!H159</f>
        <v>36.720891491779703</v>
      </c>
      <c r="G127" s="94">
        <f>DGKC!H159</f>
        <v>4.4213215166047632</v>
      </c>
      <c r="H127" s="94">
        <f>MLCF!H159</f>
        <v>7.3870430005793857</v>
      </c>
      <c r="I127" s="94">
        <f>FCCL!H159</f>
        <v>4.8107709914812053</v>
      </c>
      <c r="J127" s="95">
        <f>IF(COUNT(E127:I127)=0,"n/m",AVERAGE(E127:I127))</f>
        <v>22.487796039763474</v>
      </c>
      <c r="K127">
        <f>COUNT(E127:I127)</f>
        <v>5</v>
      </c>
      <c r="L127" s="96">
        <f>IF(AND(ISNUMBER(E127),ISNUMBER(J127)),E127-J127,"n/m")</f>
        <v>36.611157158608833</v>
      </c>
      <c r="M127" s="96">
        <f>IF(COUNT(F127:I127)=0,"n/m",AVERAGE(F127:I127))</f>
        <v>13.335006750111265</v>
      </c>
      <c r="N127" s="96">
        <f>IF(COUNT(E127:I127)=0,"n/m",MEDIAN(E127:I127))</f>
        <v>7.3870430005793857</v>
      </c>
      <c r="O127" t="s">
        <v>920</v>
      </c>
      <c r="P127" s="8" t="str">
        <f>IF(NOT(ISNUMBER(L127)),"n/m",IF(O127="Higher",IF(L127&gt;=0,"Above avg - favourable","Below avg - unfavourable"),IF(O127="Lower",IF(L127&lt;=0,"Below avg - favourable","Above avg - unfavourable"),IF(L127&gt;=0,"Above avg - context-dependent","Below avg - context-dependent"))))&amp;IF(K127&lt;5," (N="&amp;K127&amp;")","")</f>
        <v>Above avg - favourable</v>
      </c>
      <c r="R127" s="40" t="str">
        <f>IF(K127=0,"n/m",IF(ABS(J127-SUM(E127:I127)/K127)&lt;0.000000001,"OK","ERR"))</f>
        <v>OK</v>
      </c>
    </row>
    <row r="128" spans="1:18" ht="22.05" customHeight="1" x14ac:dyDescent="0.3">
      <c r="A128" s="213" t="s">
        <v>939</v>
      </c>
      <c r="B128" s="206">
        <v>21</v>
      </c>
      <c r="C128" s="213" t="s">
        <v>940</v>
      </c>
      <c r="D128" s="206"/>
      <c r="E128" s="206"/>
      <c r="F128" s="206"/>
      <c r="G128" s="206"/>
      <c r="H128" s="206"/>
      <c r="I128" s="206"/>
      <c r="J128" s="206"/>
      <c r="K128" s="206"/>
      <c r="L128" s="206"/>
      <c r="M128" s="206"/>
      <c r="N128" s="206"/>
      <c r="O128" s="206"/>
      <c r="P128" s="206"/>
      <c r="Q128" s="213" t="s">
        <v>941</v>
      </c>
      <c r="R128" s="206"/>
    </row>
    <row r="129" spans="1:18" x14ac:dyDescent="0.3">
      <c r="A129" s="35" t="s">
        <v>504</v>
      </c>
      <c r="B129" s="13">
        <v>21</v>
      </c>
      <c r="C129" s="12" t="s">
        <v>505</v>
      </c>
      <c r="D129" s="13"/>
      <c r="E129" s="13"/>
      <c r="F129" s="13"/>
      <c r="G129" s="13"/>
      <c r="H129" s="13"/>
      <c r="I129" s="13"/>
      <c r="J129" s="13"/>
      <c r="K129" s="13"/>
      <c r="L129" s="13"/>
      <c r="M129" s="13"/>
      <c r="N129" s="13"/>
      <c r="O129" s="13"/>
      <c r="P129" s="13"/>
      <c r="Q129" s="36"/>
      <c r="R129" s="13"/>
    </row>
    <row r="130" spans="1:18" x14ac:dyDescent="0.3">
      <c r="C130" s="37" t="s">
        <v>154</v>
      </c>
      <c r="D130" t="s">
        <v>20</v>
      </c>
      <c r="E130" s="103">
        <f>KOHC!D161</f>
        <v>0.24796341300828931</v>
      </c>
      <c r="F130" s="103">
        <f>LUCK!D161</f>
        <v>0.30117079055471246</v>
      </c>
      <c r="G130" s="103">
        <f>DGKC!D161</f>
        <v>0.17894713739497631</v>
      </c>
      <c r="H130" s="103">
        <f>MLCF!D161</f>
        <v>0.20830714445240356</v>
      </c>
      <c r="I130" s="103">
        <f>FCCL!D161</f>
        <v>0.24985924725452316</v>
      </c>
      <c r="J130" s="104">
        <f>IF(COUNT(E130:I130)=0,"n/m",AVERAGE(E130:I130))</f>
        <v>0.23724954653298097</v>
      </c>
      <c r="K130">
        <f>COUNT(E130:I130)</f>
        <v>5</v>
      </c>
      <c r="L130" s="105">
        <f>IF(AND(ISNUMBER(E130),ISNUMBER(J130)),E130-J130,"n/m")</f>
        <v>1.0713866475308337E-2</v>
      </c>
      <c r="M130" s="105">
        <f>IF(COUNT(F130:I130)=0,"n/m",AVERAGE(F130:I130))</f>
        <v>0.23457107991415388</v>
      </c>
      <c r="N130" s="105">
        <f>IF(COUNT(E130:I130)=0,"n/m",MEDIAN(E130:I130))</f>
        <v>0.24796341300828931</v>
      </c>
      <c r="O130" t="s">
        <v>920</v>
      </c>
      <c r="P130" s="8" t="str">
        <f>IF(NOT(ISNUMBER(L130)),"n/m",IF(O130="Higher",IF(L130&gt;=0,"Above avg - favourable","Below avg - unfavourable"),IF(O130="Lower",IF(L130&lt;=0,"Below avg - favourable","Above avg - unfavourable"),IF(L130&gt;=0,"Above avg - context-dependent","Below avg - context-dependent"))))&amp;IF(K130&lt;5," (N="&amp;K130&amp;")","")</f>
        <v>Above avg - favourable</v>
      </c>
      <c r="R130" s="40" t="str">
        <f>IF(K130=0,"n/m",IF(ABS(J130-SUM(E130:I130)/K130)&lt;0.000000001,"OK","ERR"))</f>
        <v>OK</v>
      </c>
    </row>
    <row r="131" spans="1:18" x14ac:dyDescent="0.3">
      <c r="C131" s="37" t="s">
        <v>154</v>
      </c>
      <c r="D131" t="s">
        <v>26</v>
      </c>
      <c r="E131" s="103">
        <f>KOHC!E161</f>
        <v>0.29843914213509881</v>
      </c>
      <c r="F131" s="103">
        <f>LUCK!E161</f>
        <v>0.27809669144361399</v>
      </c>
      <c r="G131" s="103">
        <f>DGKC!E161</f>
        <v>0.17966261135996409</v>
      </c>
      <c r="H131" s="103">
        <f>MLCF!E161</f>
        <v>0.25300003367709667</v>
      </c>
      <c r="I131" s="103">
        <f>FCCL!E161</f>
        <v>0.28507903988852556</v>
      </c>
      <c r="J131" s="104">
        <f>IF(COUNT(E131:I131)=0,"n/m",AVERAGE(E131:I131))</f>
        <v>0.25885550370085986</v>
      </c>
      <c r="K131">
        <f>COUNT(E131:I131)</f>
        <v>5</v>
      </c>
      <c r="L131" s="105">
        <f>IF(AND(ISNUMBER(E131),ISNUMBER(J131)),E131-J131,"n/m")</f>
        <v>3.9583638434238955E-2</v>
      </c>
      <c r="M131" s="105">
        <f>IF(COUNT(F131:I131)=0,"n/m",AVERAGE(F131:I131))</f>
        <v>0.24895959409230009</v>
      </c>
      <c r="N131" s="105">
        <f>IF(COUNT(E131:I131)=0,"n/m",MEDIAN(E131:I131))</f>
        <v>0.27809669144361399</v>
      </c>
      <c r="O131" t="s">
        <v>920</v>
      </c>
      <c r="P131" s="8" t="str">
        <f>IF(NOT(ISNUMBER(L131)),"n/m",IF(O131="Higher",IF(L131&gt;=0,"Above avg - favourable","Below avg - unfavourable"),IF(O131="Lower",IF(L131&lt;=0,"Below avg - favourable","Above avg - unfavourable"),IF(L131&gt;=0,"Above avg - context-dependent","Below avg - context-dependent"))))&amp;IF(K131&lt;5," (N="&amp;K131&amp;")","")</f>
        <v>Above avg - favourable</v>
      </c>
      <c r="R131" s="40" t="str">
        <f>IF(K131=0,"n/m",IF(ABS(J131-SUM(E131:I131)/K131)&lt;0.000000001,"OK","ERR"))</f>
        <v>OK</v>
      </c>
    </row>
    <row r="132" spans="1:18" x14ac:dyDescent="0.3">
      <c r="C132" s="37" t="s">
        <v>154</v>
      </c>
      <c r="D132" t="s">
        <v>27</v>
      </c>
      <c r="E132" s="103">
        <f>KOHC!F161</f>
        <v>0.26804356818989611</v>
      </c>
      <c r="F132" s="103">
        <f>LUCK!F161</f>
        <v>0.27194087595679139</v>
      </c>
      <c r="G132" s="103">
        <f>DGKC!F161</f>
        <v>0.14704852458583501</v>
      </c>
      <c r="H132" s="103">
        <f>MLCF!F161</f>
        <v>0.29276322471727417</v>
      </c>
      <c r="I132" s="103">
        <f>FCCL!F161</f>
        <v>0.29996604048210768</v>
      </c>
      <c r="J132" s="104">
        <f>IF(COUNT(E132:I132)=0,"n/m",AVERAGE(E132:I132))</f>
        <v>0.25595244678638085</v>
      </c>
      <c r="K132">
        <f>COUNT(E132:I132)</f>
        <v>5</v>
      </c>
      <c r="L132" s="105">
        <f>IF(AND(ISNUMBER(E132),ISNUMBER(J132)),E132-J132,"n/m")</f>
        <v>1.2091121403515259E-2</v>
      </c>
      <c r="M132" s="105">
        <f>IF(COUNT(F132:I132)=0,"n/m",AVERAGE(F132:I132))</f>
        <v>0.25292966643550208</v>
      </c>
      <c r="N132" s="105">
        <f>IF(COUNT(E132:I132)=0,"n/m",MEDIAN(E132:I132))</f>
        <v>0.27194087595679139</v>
      </c>
      <c r="O132" t="s">
        <v>920</v>
      </c>
      <c r="P132" s="8" t="str">
        <f>IF(NOT(ISNUMBER(L132)),"n/m",IF(O132="Higher",IF(L132&gt;=0,"Above avg - favourable","Below avg - unfavourable"),IF(O132="Lower",IF(L132&lt;=0,"Below avg - favourable","Above avg - unfavourable"),IF(L132&gt;=0,"Above avg - context-dependent","Below avg - context-dependent"))))&amp;IF(K132&lt;5," (N="&amp;K132&amp;")","")</f>
        <v>Above avg - favourable</v>
      </c>
      <c r="R132" s="40" t="str">
        <f>IF(K132=0,"n/m",IF(ABS(J132-SUM(E132:I132)/K132)&lt;0.000000001,"OK","ERR"))</f>
        <v>OK</v>
      </c>
    </row>
    <row r="133" spans="1:18" x14ac:dyDescent="0.3">
      <c r="C133" s="37" t="s">
        <v>154</v>
      </c>
      <c r="D133" t="s">
        <v>28</v>
      </c>
      <c r="E133" s="103">
        <f>KOHC!G161</f>
        <v>0.29125851467425595</v>
      </c>
      <c r="F133" s="103">
        <f>LUCK!G161</f>
        <v>0.33648030796321582</v>
      </c>
      <c r="G133" s="103">
        <f>DGKC!G161</f>
        <v>0.15942563608432631</v>
      </c>
      <c r="H133" s="103">
        <f>MLCF!G161</f>
        <v>0.31547845382378364</v>
      </c>
      <c r="I133" s="103">
        <f>FCCL!G161</f>
        <v>0.32089986350224731</v>
      </c>
      <c r="J133" s="104">
        <f>IF(COUNT(E133:I133)=0,"n/m",AVERAGE(E133:I133))</f>
        <v>0.28470855520956578</v>
      </c>
      <c r="K133">
        <f>COUNT(E133:I133)</f>
        <v>5</v>
      </c>
      <c r="L133" s="105">
        <f>IF(AND(ISNUMBER(E133),ISNUMBER(J133)),E133-J133,"n/m")</f>
        <v>6.5499594646901693E-3</v>
      </c>
      <c r="M133" s="105">
        <f>IF(COUNT(F133:I133)=0,"n/m",AVERAGE(F133:I133))</f>
        <v>0.28307106534339327</v>
      </c>
      <c r="N133" s="105">
        <f>IF(COUNT(E133:I133)=0,"n/m",MEDIAN(E133:I133))</f>
        <v>0.31547845382378364</v>
      </c>
      <c r="O133" t="s">
        <v>920</v>
      </c>
      <c r="P133" s="8" t="str">
        <f>IF(NOT(ISNUMBER(L133)),"n/m",IF(O133="Higher",IF(L133&gt;=0,"Above avg - favourable","Below avg - unfavourable"),IF(O133="Lower",IF(L133&lt;=0,"Below avg - favourable","Above avg - unfavourable"),IF(L133&gt;=0,"Above avg - context-dependent","Below avg - context-dependent"))))&amp;IF(K133&lt;5," (N="&amp;K133&amp;")","")</f>
        <v>Above avg - favourable</v>
      </c>
      <c r="R133" s="40" t="str">
        <f>IF(K133=0,"n/m",IF(ABS(J133-SUM(E133:I133)/K133)&lt;0.000000001,"OK","ERR"))</f>
        <v>OK</v>
      </c>
    </row>
    <row r="134" spans="1:18" x14ac:dyDescent="0.3">
      <c r="C134" s="37" t="s">
        <v>154</v>
      </c>
      <c r="D134" t="s">
        <v>29</v>
      </c>
      <c r="E134" s="103">
        <f>KOHC!H161</f>
        <v>0.39220278175445145</v>
      </c>
      <c r="F134" s="103">
        <f>LUCK!H161</f>
        <v>0.34281652982067301</v>
      </c>
      <c r="G134" s="103">
        <f>DGKC!H161</f>
        <v>0.25740632547300923</v>
      </c>
      <c r="H134" s="103">
        <f>MLCF!H161</f>
        <v>0.34444405990469212</v>
      </c>
      <c r="I134" s="103">
        <f>FCCL!H161</f>
        <v>0.35490842202929052</v>
      </c>
      <c r="J134" s="104">
        <f>IF(COUNT(E134:I134)=0,"n/m",AVERAGE(E134:I134))</f>
        <v>0.33835562379642325</v>
      </c>
      <c r="K134">
        <f>COUNT(E134:I134)</f>
        <v>5</v>
      </c>
      <c r="L134" s="105">
        <f>IF(AND(ISNUMBER(E134),ISNUMBER(J134)),E134-J134,"n/m")</f>
        <v>5.3847157958028191E-2</v>
      </c>
      <c r="M134" s="105">
        <f>IF(COUNT(F134:I134)=0,"n/m",AVERAGE(F134:I134))</f>
        <v>0.32489383430691621</v>
      </c>
      <c r="N134" s="105">
        <f>IF(COUNT(E134:I134)=0,"n/m",MEDIAN(E134:I134))</f>
        <v>0.34444405990469212</v>
      </c>
      <c r="O134" t="s">
        <v>920</v>
      </c>
      <c r="P134" s="8" t="str">
        <f>IF(NOT(ISNUMBER(L134)),"n/m",IF(O134="Higher",IF(L134&gt;=0,"Above avg - favourable","Below avg - unfavourable"),IF(O134="Lower",IF(L134&lt;=0,"Below avg - favourable","Above avg - unfavourable"),IF(L134&gt;=0,"Above avg - context-dependent","Below avg - context-dependent"))))&amp;IF(K134&lt;5," (N="&amp;K134&amp;")","")</f>
        <v>Above avg - favourable</v>
      </c>
      <c r="R134" s="40" t="str">
        <f>IF(K134=0,"n/m",IF(ABS(J134-SUM(E134:I134)/K134)&lt;0.000000001,"OK","ERR"))</f>
        <v>OK</v>
      </c>
    </row>
    <row r="135" spans="1:18" x14ac:dyDescent="0.3">
      <c r="A135" s="35" t="s">
        <v>504</v>
      </c>
      <c r="B135" s="13">
        <v>22</v>
      </c>
      <c r="C135" s="12" t="s">
        <v>507</v>
      </c>
      <c r="D135" s="13"/>
      <c r="E135" s="13"/>
      <c r="F135" s="13"/>
      <c r="G135" s="13"/>
      <c r="H135" s="13"/>
      <c r="I135" s="13"/>
      <c r="J135" s="13"/>
      <c r="K135" s="13"/>
      <c r="L135" s="13"/>
      <c r="M135" s="13"/>
      <c r="N135" s="13"/>
      <c r="O135" s="13"/>
      <c r="P135" s="13"/>
      <c r="Q135" s="36"/>
      <c r="R135" s="13"/>
    </row>
    <row r="136" spans="1:18" x14ac:dyDescent="0.3">
      <c r="C136" s="37" t="s">
        <v>942</v>
      </c>
      <c r="D136" t="s">
        <v>20</v>
      </c>
      <c r="E136" s="103">
        <f>KOHC!D162</f>
        <v>0.21749401729182569</v>
      </c>
      <c r="F136" s="103">
        <f>LUCK!D162</f>
        <v>0.18004359810777762</v>
      </c>
      <c r="G136" s="103">
        <f>DGKC!D162</f>
        <v>0.11451399971933833</v>
      </c>
      <c r="H136" s="103">
        <f>MLCF!D162</f>
        <v>0.14213957498981164</v>
      </c>
      <c r="I136" s="103">
        <f>FCCL!D162</f>
        <v>0.20485989925955708</v>
      </c>
      <c r="J136" s="104">
        <f>IF(COUNT(E136:I136)=0,"n/m",AVERAGE(E136:I136))</f>
        <v>0.17181021787366207</v>
      </c>
      <c r="K136">
        <f>COUNT(E136:I136)</f>
        <v>5</v>
      </c>
      <c r="L136" s="105">
        <f>IF(AND(ISNUMBER(E136),ISNUMBER(J136)),E136-J136,"n/m")</f>
        <v>4.5683799418163612E-2</v>
      </c>
      <c r="M136" s="105">
        <f>IF(COUNT(F136:I136)=0,"n/m",AVERAGE(F136:I136))</f>
        <v>0.16038926801912115</v>
      </c>
      <c r="N136" s="105">
        <f>IF(COUNT(E136:I136)=0,"n/m",MEDIAN(E136:I136))</f>
        <v>0.18004359810777762</v>
      </c>
      <c r="O136" t="s">
        <v>920</v>
      </c>
      <c r="P136" s="8" t="str">
        <f>IF(NOT(ISNUMBER(L136)),"n/m",IF(O136="Higher",IF(L136&gt;=0,"Above avg - favourable","Below avg - unfavourable"),IF(O136="Lower",IF(L136&lt;=0,"Below avg - favourable","Above avg - unfavourable"),IF(L136&gt;=0,"Above avg - context-dependent","Below avg - context-dependent"))))&amp;IF(K136&lt;5," (N="&amp;K136&amp;")","")</f>
        <v>Above avg - favourable</v>
      </c>
      <c r="R136" s="40" t="str">
        <f>IF(K136=0,"n/m",IF(ABS(J136-SUM(E136:I136)/K136)&lt;0.000000001,"OK","ERR"))</f>
        <v>OK</v>
      </c>
    </row>
    <row r="137" spans="1:18" x14ac:dyDescent="0.3">
      <c r="C137" s="37" t="s">
        <v>942</v>
      </c>
      <c r="D137" t="s">
        <v>26</v>
      </c>
      <c r="E137" s="103">
        <f>KOHC!E162</f>
        <v>0.26684521417223683</v>
      </c>
      <c r="F137" s="103">
        <f>LUCK!E162</f>
        <v>0.1779173984606045</v>
      </c>
      <c r="G137" s="103">
        <f>DGKC!E162</f>
        <v>0.11847261096319517</v>
      </c>
      <c r="H137" s="103">
        <f>MLCF!E162</f>
        <v>0.18277011721154793</v>
      </c>
      <c r="I137" s="103">
        <f>FCCL!E162</f>
        <v>0.21665144691719232</v>
      </c>
      <c r="J137" s="104">
        <f>IF(COUNT(E137:I137)=0,"n/m",AVERAGE(E137:I137))</f>
        <v>0.19253135754495534</v>
      </c>
      <c r="K137">
        <f>COUNT(E137:I137)</f>
        <v>5</v>
      </c>
      <c r="L137" s="105">
        <f>IF(AND(ISNUMBER(E137),ISNUMBER(J137)),E137-J137,"n/m")</f>
        <v>7.4313856627281488E-2</v>
      </c>
      <c r="M137" s="105">
        <f>IF(COUNT(F137:I137)=0,"n/m",AVERAGE(F137:I137))</f>
        <v>0.17395289338813497</v>
      </c>
      <c r="N137" s="105">
        <f>IF(COUNT(E137:I137)=0,"n/m",MEDIAN(E137:I137))</f>
        <v>0.18277011721154793</v>
      </c>
      <c r="O137" t="s">
        <v>920</v>
      </c>
      <c r="P137" s="8" t="str">
        <f>IF(NOT(ISNUMBER(L137)),"n/m",IF(O137="Higher",IF(L137&gt;=0,"Above avg - favourable","Below avg - unfavourable"),IF(O137="Lower",IF(L137&lt;=0,"Below avg - favourable","Above avg - unfavourable"),IF(L137&gt;=0,"Above avg - context-dependent","Below avg - context-dependent"))))&amp;IF(K137&lt;5," (N="&amp;K137&amp;")","")</f>
        <v>Above avg - favourable</v>
      </c>
      <c r="R137" s="40" t="str">
        <f>IF(K137=0,"n/m",IF(ABS(J137-SUM(E137:I137)/K137)&lt;0.000000001,"OK","ERR"))</f>
        <v>OK</v>
      </c>
    </row>
    <row r="138" spans="1:18" x14ac:dyDescent="0.3">
      <c r="C138" s="37" t="s">
        <v>942</v>
      </c>
      <c r="D138" t="s">
        <v>27</v>
      </c>
      <c r="E138" s="103">
        <f>KOHC!F162</f>
        <v>0.23441531849714523</v>
      </c>
      <c r="F138" s="103">
        <f>LUCK!F162</f>
        <v>0.17181730260097375</v>
      </c>
      <c r="G138" s="103">
        <f>DGKC!F162</f>
        <v>0.10245374767974941</v>
      </c>
      <c r="H138" s="103">
        <f>MLCF!F162</f>
        <v>0.19097413673296146</v>
      </c>
      <c r="I138" s="103">
        <f>FCCL!F162</f>
        <v>0.22890646914712581</v>
      </c>
      <c r="J138" s="104">
        <f>IF(COUNT(E138:I138)=0,"n/m",AVERAGE(E138:I138))</f>
        <v>0.18571339493159114</v>
      </c>
      <c r="K138">
        <f>COUNT(E138:I138)</f>
        <v>5</v>
      </c>
      <c r="L138" s="105">
        <f>IF(AND(ISNUMBER(E138),ISNUMBER(J138)),E138-J138,"n/m")</f>
        <v>4.8701923565554084E-2</v>
      </c>
      <c r="M138" s="105">
        <f>IF(COUNT(F138:I138)=0,"n/m",AVERAGE(F138:I138))</f>
        <v>0.17353791404020263</v>
      </c>
      <c r="N138" s="105">
        <f>IF(COUNT(E138:I138)=0,"n/m",MEDIAN(E138:I138))</f>
        <v>0.19097413673296146</v>
      </c>
      <c r="O138" t="s">
        <v>920</v>
      </c>
      <c r="P138" s="8" t="str">
        <f>IF(NOT(ISNUMBER(L138)),"n/m",IF(O138="Higher",IF(L138&gt;=0,"Above avg - favourable","Below avg - unfavourable"),IF(O138="Lower",IF(L138&lt;=0,"Below avg - favourable","Above avg - unfavourable"),IF(L138&gt;=0,"Above avg - context-dependent","Below avg - context-dependent"))))&amp;IF(K138&lt;5," (N="&amp;K138&amp;")","")</f>
        <v>Above avg - favourable</v>
      </c>
      <c r="R138" s="40" t="str">
        <f>IF(K138=0,"n/m",IF(ABS(J138-SUM(E138:I138)/K138)&lt;0.000000001,"OK","ERR"))</f>
        <v>OK</v>
      </c>
    </row>
    <row r="139" spans="1:18" x14ac:dyDescent="0.3">
      <c r="C139" s="37" t="s">
        <v>942</v>
      </c>
      <c r="D139" t="s">
        <v>28</v>
      </c>
      <c r="E139" s="103">
        <f>KOHC!G162</f>
        <v>0.25877948344250634</v>
      </c>
      <c r="F139" s="103">
        <f>LUCK!G162</f>
        <v>0.22886089116784467</v>
      </c>
      <c r="G139" s="103">
        <f>DGKC!G162</f>
        <v>0.10002042893371189</v>
      </c>
      <c r="H139" s="103">
        <f>MLCF!G162</f>
        <v>0.19131892826420518</v>
      </c>
      <c r="I139" s="103">
        <f>FCCL!G162</f>
        <v>0.25056237189043495</v>
      </c>
      <c r="J139" s="104">
        <f>IF(COUNT(E139:I139)=0,"n/m",AVERAGE(E139:I139))</f>
        <v>0.20590842073974064</v>
      </c>
      <c r="K139">
        <f>COUNT(E139:I139)</f>
        <v>5</v>
      </c>
      <c r="L139" s="105">
        <f>IF(AND(ISNUMBER(E139),ISNUMBER(J139)),E139-J139,"n/m")</f>
        <v>5.2871062702765703E-2</v>
      </c>
      <c r="M139" s="105">
        <f>IF(COUNT(F139:I139)=0,"n/m",AVERAGE(F139:I139))</f>
        <v>0.19269065506404917</v>
      </c>
      <c r="N139" s="105">
        <f>IF(COUNT(E139:I139)=0,"n/m",MEDIAN(E139:I139))</f>
        <v>0.22886089116784467</v>
      </c>
      <c r="O139" t="s">
        <v>920</v>
      </c>
      <c r="P139" s="8" t="str">
        <f>IF(NOT(ISNUMBER(L139)),"n/m",IF(O139="Higher",IF(L139&gt;=0,"Above avg - favourable","Below avg - unfavourable"),IF(O139="Lower",IF(L139&lt;=0,"Below avg - favourable","Above avg - unfavourable"),IF(L139&gt;=0,"Above avg - context-dependent","Below avg - context-dependent"))))&amp;IF(K139&lt;5," (N="&amp;K139&amp;")","")</f>
        <v>Above avg - favourable</v>
      </c>
      <c r="R139" s="40" t="str">
        <f>IF(K139=0,"n/m",IF(ABS(J139-SUM(E139:I139)/K139)&lt;0.000000001,"OK","ERR"))</f>
        <v>OK</v>
      </c>
    </row>
    <row r="140" spans="1:18" x14ac:dyDescent="0.3">
      <c r="C140" s="37" t="s">
        <v>942</v>
      </c>
      <c r="D140" t="s">
        <v>29</v>
      </c>
      <c r="E140" s="103">
        <f>KOHC!H162</f>
        <v>0.34143534845456586</v>
      </c>
      <c r="F140" s="103">
        <f>LUCK!H162</f>
        <v>0.22670718514712962</v>
      </c>
      <c r="G140" s="103">
        <f>DGKC!H162</f>
        <v>0.17530880023555062</v>
      </c>
      <c r="H140" s="103">
        <f>MLCF!H162</f>
        <v>0.22809306765820289</v>
      </c>
      <c r="I140" s="103">
        <f>FCCL!H162</f>
        <v>0.28629833956275708</v>
      </c>
      <c r="J140" s="104">
        <f>IF(COUNT(E140:I140)=0,"n/m",AVERAGE(E140:I140))</f>
        <v>0.25156854821164121</v>
      </c>
      <c r="K140">
        <f>COUNT(E140:I140)</f>
        <v>5</v>
      </c>
      <c r="L140" s="105">
        <f>IF(AND(ISNUMBER(E140),ISNUMBER(J140)),E140-J140,"n/m")</f>
        <v>8.9866800242924649E-2</v>
      </c>
      <c r="M140" s="105">
        <f>IF(COUNT(F140:I140)=0,"n/m",AVERAGE(F140:I140))</f>
        <v>0.22910184815091006</v>
      </c>
      <c r="N140" s="105">
        <f>IF(COUNT(E140:I140)=0,"n/m",MEDIAN(E140:I140))</f>
        <v>0.22809306765820289</v>
      </c>
      <c r="O140" t="s">
        <v>920</v>
      </c>
      <c r="P140" s="8" t="str">
        <f>IF(NOT(ISNUMBER(L140)),"n/m",IF(O140="Higher",IF(L140&gt;=0,"Above avg - favourable","Below avg - unfavourable"),IF(O140="Lower",IF(L140&lt;=0,"Below avg - favourable","Above avg - unfavourable"),IF(L140&gt;=0,"Above avg - context-dependent","Below avg - context-dependent"))))&amp;IF(K140&lt;5," (N="&amp;K140&amp;")","")</f>
        <v>Above avg - favourable</v>
      </c>
      <c r="R140" s="40" t="str">
        <f>IF(K140=0,"n/m",IF(ABS(J140-SUM(E140:I140)/K140)&lt;0.000000001,"OK","ERR"))</f>
        <v>OK</v>
      </c>
    </row>
    <row r="141" spans="1:18" x14ac:dyDescent="0.3">
      <c r="A141" s="35" t="s">
        <v>504</v>
      </c>
      <c r="B141" s="13">
        <v>23</v>
      </c>
      <c r="C141" s="12" t="s">
        <v>509</v>
      </c>
      <c r="D141" s="13"/>
      <c r="E141" s="13"/>
      <c r="F141" s="13"/>
      <c r="G141" s="13"/>
      <c r="H141" s="13"/>
      <c r="I141" s="13"/>
      <c r="J141" s="13"/>
      <c r="K141" s="13"/>
      <c r="L141" s="13"/>
      <c r="M141" s="13"/>
      <c r="N141" s="13"/>
      <c r="O141" s="13"/>
      <c r="P141" s="13"/>
      <c r="Q141" s="36"/>
      <c r="R141" s="13"/>
    </row>
    <row r="142" spans="1:18" x14ac:dyDescent="0.3">
      <c r="C142" s="37" t="s">
        <v>155</v>
      </c>
      <c r="D142" t="s">
        <v>20</v>
      </c>
      <c r="E142" s="103">
        <f>KOHC!D163</f>
        <v>0.1453819089897026</v>
      </c>
      <c r="F142" s="103">
        <f>LUCK!D163</f>
        <v>0.22354637821997994</v>
      </c>
      <c r="G142" s="103">
        <f>DGKC!D163</f>
        <v>8.2497529800351119E-2</v>
      </c>
      <c r="H142" s="103">
        <f>MLCF!D163</f>
        <v>0.1759822170452098</v>
      </c>
      <c r="I142" s="103">
        <f>FCCL!D163</f>
        <v>0.14302295902338913</v>
      </c>
      <c r="J142" s="104">
        <f>IF(COUNT(E142:I142)=0,"n/m",AVERAGE(E142:I142))</f>
        <v>0.15408619861572653</v>
      </c>
      <c r="K142">
        <f>COUNT(E142:I142)</f>
        <v>5</v>
      </c>
      <c r="L142" s="105">
        <f>IF(AND(ISNUMBER(E142),ISNUMBER(J142)),E142-J142,"n/m")</f>
        <v>-8.7042896260239311E-3</v>
      </c>
      <c r="M142" s="105">
        <f>IF(COUNT(F142:I142)=0,"n/m",AVERAGE(F142:I142))</f>
        <v>0.1562622710222325</v>
      </c>
      <c r="N142" s="105">
        <f>IF(COUNT(E142:I142)=0,"n/m",MEDIAN(E142:I142))</f>
        <v>0.1453819089897026</v>
      </c>
      <c r="O142" t="s">
        <v>920</v>
      </c>
      <c r="P142" s="8" t="str">
        <f>IF(NOT(ISNUMBER(L142)),"n/m",IF(O142="Higher",IF(L142&gt;=0,"Above avg - favourable","Below avg - unfavourable"),IF(O142="Lower",IF(L142&lt;=0,"Below avg - favourable","Above avg - unfavourable"),IF(L142&gt;=0,"Above avg - context-dependent","Below avg - context-dependent"))))&amp;IF(K142&lt;5," (N="&amp;K142&amp;")","")</f>
        <v>Below avg - unfavourable</v>
      </c>
      <c r="R142" s="40" t="str">
        <f>IF(K142=0,"n/m",IF(ABS(J142-SUM(E142:I142)/K142)&lt;0.000000001,"OK","ERR"))</f>
        <v>OK</v>
      </c>
    </row>
    <row r="143" spans="1:18" x14ac:dyDescent="0.3">
      <c r="C143" s="37" t="s">
        <v>155</v>
      </c>
      <c r="D143" t="s">
        <v>26</v>
      </c>
      <c r="E143" s="103">
        <f>KOHC!E163</f>
        <v>0.15282075695786385</v>
      </c>
      <c r="F143" s="103">
        <f>LUCK!E163</f>
        <v>0.18865400166042842</v>
      </c>
      <c r="G143" s="103">
        <f>DGKC!E163</f>
        <v>5.120493100192175E-2</v>
      </c>
      <c r="H143" s="103">
        <f>MLCF!E163</f>
        <v>7.4739658936337147E-2</v>
      </c>
      <c r="I143" s="103">
        <f>FCCL!E163</f>
        <v>0.13112336204567002</v>
      </c>
      <c r="J143" s="104">
        <f>IF(COUNT(E143:I143)=0,"n/m",AVERAGE(E143:I143))</f>
        <v>0.11970854212044424</v>
      </c>
      <c r="K143">
        <f>COUNT(E143:I143)</f>
        <v>5</v>
      </c>
      <c r="L143" s="105">
        <f>IF(AND(ISNUMBER(E143),ISNUMBER(J143)),E143-J143,"n/m")</f>
        <v>3.3112214837419607E-2</v>
      </c>
      <c r="M143" s="105">
        <f>IF(COUNT(F143:I143)=0,"n/m",AVERAGE(F143:I143))</f>
        <v>0.11143048841108932</v>
      </c>
      <c r="N143" s="105">
        <f>IF(COUNT(E143:I143)=0,"n/m",MEDIAN(E143:I143))</f>
        <v>0.13112336204567002</v>
      </c>
      <c r="O143" t="s">
        <v>920</v>
      </c>
      <c r="P143" s="8" t="str">
        <f>IF(NOT(ISNUMBER(L143)),"n/m",IF(O143="Higher",IF(L143&gt;=0,"Above avg - favourable","Below avg - unfavourable"),IF(O143="Lower",IF(L143&lt;=0,"Below avg - favourable","Above avg - unfavourable"),IF(L143&gt;=0,"Above avg - context-dependent","Below avg - context-dependent"))))&amp;IF(K143&lt;5," (N="&amp;K143&amp;")","")</f>
        <v>Above avg - favourable</v>
      </c>
      <c r="R143" s="40" t="str">
        <f>IF(K143=0,"n/m",IF(ABS(J143-SUM(E143:I143)/K143)&lt;0.000000001,"OK","ERR"))</f>
        <v>OK</v>
      </c>
    </row>
    <row r="144" spans="1:18" x14ac:dyDescent="0.3">
      <c r="C144" s="37" t="s">
        <v>155</v>
      </c>
      <c r="D144" t="s">
        <v>27</v>
      </c>
      <c r="E144" s="103">
        <f>KOHC!F163</f>
        <v>0.14955052871384544</v>
      </c>
      <c r="F144" s="103">
        <f>LUCK!F163</f>
        <v>0.14322765825125466</v>
      </c>
      <c r="G144" s="103" t="str">
        <f>DGKC!F163</f>
        <v>n/m</v>
      </c>
      <c r="H144" s="103">
        <f>MLCF!F163</f>
        <v>7.2358441549152441E-2</v>
      </c>
      <c r="I144" s="103">
        <f>FCCL!F163</f>
        <v>0.10929571726641699</v>
      </c>
      <c r="J144" s="104">
        <f>IF(COUNT(E144:I144)=0,"n/m",AVERAGE(E144:I144))</f>
        <v>0.11860808644516738</v>
      </c>
      <c r="K144">
        <f>COUNT(E144:I144)</f>
        <v>4</v>
      </c>
      <c r="L144" s="105">
        <f>IF(AND(ISNUMBER(E144),ISNUMBER(J144)),E144-J144,"n/m")</f>
        <v>3.0942442268678066E-2</v>
      </c>
      <c r="M144" s="105">
        <f>IF(COUNT(F144:I144)=0,"n/m",AVERAGE(F144:I144))</f>
        <v>0.10829393902227469</v>
      </c>
      <c r="N144" s="105">
        <f>IF(COUNT(E144:I144)=0,"n/m",MEDIAN(E144:I144))</f>
        <v>0.12626168775883584</v>
      </c>
      <c r="O144" t="s">
        <v>920</v>
      </c>
      <c r="P144" s="8" t="str">
        <f>IF(NOT(ISNUMBER(L144)),"n/m",IF(O144="Higher",IF(L144&gt;=0,"Above avg - favourable","Below avg - unfavourable"),IF(O144="Lower",IF(L144&lt;=0,"Below avg - favourable","Above avg - unfavourable"),IF(L144&gt;=0,"Above avg - context-dependent","Below avg - context-dependent"))))&amp;IF(K144&lt;5," (N="&amp;K144&amp;")","")</f>
        <v>Above avg - favourable (N=4)</v>
      </c>
      <c r="R144" s="40" t="str">
        <f>IF(K144=0,"n/m",IF(ABS(J144-SUM(E144:I144)/K144)&lt;0.000000001,"OK","ERR"))</f>
        <v>OK</v>
      </c>
    </row>
    <row r="145" spans="1:18" x14ac:dyDescent="0.3">
      <c r="C145" s="37" t="s">
        <v>155</v>
      </c>
      <c r="D145" t="s">
        <v>28</v>
      </c>
      <c r="E145" s="103">
        <f>KOHC!G163</f>
        <v>0.23011561219895646</v>
      </c>
      <c r="F145" s="103">
        <f>LUCK!G163</f>
        <v>0.24371604713228476</v>
      </c>
      <c r="G145" s="103">
        <f>DGKC!G163</f>
        <v>8.2133065966830711E-3</v>
      </c>
      <c r="H145" s="103">
        <f>MLCF!G163</f>
        <v>7.9342975209845082E-2</v>
      </c>
      <c r="I145" s="103">
        <f>FCCL!G163</f>
        <v>0.10275526425549537</v>
      </c>
      <c r="J145" s="104">
        <f>IF(COUNT(E145:I145)=0,"n/m",AVERAGE(E145:I145))</f>
        <v>0.13282864107865294</v>
      </c>
      <c r="K145">
        <f>COUNT(E145:I145)</f>
        <v>5</v>
      </c>
      <c r="L145" s="105">
        <f>IF(AND(ISNUMBER(E145),ISNUMBER(J145)),E145-J145,"n/m")</f>
        <v>9.7286971120303517E-2</v>
      </c>
      <c r="M145" s="105">
        <f>IF(COUNT(F145:I145)=0,"n/m",AVERAGE(F145:I145))</f>
        <v>0.10850689829857707</v>
      </c>
      <c r="N145" s="105">
        <f>IF(COUNT(E145:I145)=0,"n/m",MEDIAN(E145:I145))</f>
        <v>0.10275526425549537</v>
      </c>
      <c r="O145" t="s">
        <v>920</v>
      </c>
      <c r="P145" s="8" t="str">
        <f>IF(NOT(ISNUMBER(L145)),"n/m",IF(O145="Higher",IF(L145&gt;=0,"Above avg - favourable","Below avg - unfavourable"),IF(O145="Lower",IF(L145&lt;=0,"Below avg - favourable","Above avg - unfavourable"),IF(L145&gt;=0,"Above avg - context-dependent","Below avg - context-dependent"))))&amp;IF(K145&lt;5," (N="&amp;K145&amp;")","")</f>
        <v>Above avg - favourable</v>
      </c>
      <c r="R145" s="40" t="str">
        <f>IF(K145=0,"n/m",IF(ABS(J145-SUM(E145:I145)/K145)&lt;0.000000001,"OK","ERR"))</f>
        <v>OK</v>
      </c>
    </row>
    <row r="146" spans="1:18" x14ac:dyDescent="0.3">
      <c r="C146" s="37" t="s">
        <v>155</v>
      </c>
      <c r="D146" t="s">
        <v>29</v>
      </c>
      <c r="E146" s="103">
        <f>KOHC!H163</f>
        <v>0.30837719707594857</v>
      </c>
      <c r="F146" s="103">
        <f>LUCK!H163</f>
        <v>0.26577542757733763</v>
      </c>
      <c r="G146" s="103">
        <f>DGKC!H163</f>
        <v>0.12066652759857006</v>
      </c>
      <c r="H146" s="103">
        <f>MLCF!H163</f>
        <v>0.24711008947956384</v>
      </c>
      <c r="I146" s="103">
        <f>FCCL!H163</f>
        <v>0.14980611609777766</v>
      </c>
      <c r="J146" s="104">
        <f>IF(COUNT(E146:I146)=0,"n/m",AVERAGE(E146:I146))</f>
        <v>0.21834707156583955</v>
      </c>
      <c r="K146">
        <f>COUNT(E146:I146)</f>
        <v>5</v>
      </c>
      <c r="L146" s="105">
        <f>IF(AND(ISNUMBER(E146),ISNUMBER(J146)),E146-J146,"n/m")</f>
        <v>9.0030125510109027E-2</v>
      </c>
      <c r="M146" s="105">
        <f>IF(COUNT(F146:I146)=0,"n/m",AVERAGE(F146:I146))</f>
        <v>0.19583954018831229</v>
      </c>
      <c r="N146" s="105">
        <f>IF(COUNT(E146:I146)=0,"n/m",MEDIAN(E146:I146))</f>
        <v>0.24711008947956384</v>
      </c>
      <c r="O146" t="s">
        <v>920</v>
      </c>
      <c r="P146" s="8" t="str">
        <f>IF(NOT(ISNUMBER(L146)),"n/m",IF(O146="Higher",IF(L146&gt;=0,"Above avg - favourable","Below avg - unfavourable"),IF(O146="Lower",IF(L146&lt;=0,"Below avg - favourable","Above avg - unfavourable"),IF(L146&gt;=0,"Above avg - context-dependent","Below avg - context-dependent"))))&amp;IF(K146&lt;5," (N="&amp;K146&amp;")","")</f>
        <v>Above avg - favourable</v>
      </c>
      <c r="R146" s="40" t="str">
        <f>IF(K146=0,"n/m",IF(ABS(J146-SUM(E146:I146)/K146)&lt;0.000000001,"OK","ERR"))</f>
        <v>OK</v>
      </c>
    </row>
    <row r="147" spans="1:18" x14ac:dyDescent="0.3">
      <c r="A147" s="35" t="s">
        <v>504</v>
      </c>
      <c r="B147" s="13">
        <v>24</v>
      </c>
      <c r="C147" s="12" t="s">
        <v>511</v>
      </c>
      <c r="D147" s="13"/>
      <c r="E147" s="13"/>
      <c r="F147" s="13"/>
      <c r="G147" s="13"/>
      <c r="H147" s="13"/>
      <c r="I147" s="13"/>
      <c r="J147" s="13"/>
      <c r="K147" s="13"/>
      <c r="L147" s="13"/>
      <c r="M147" s="13"/>
      <c r="N147" s="13"/>
      <c r="O147" s="13"/>
      <c r="P147" s="13"/>
      <c r="Q147" s="36"/>
      <c r="R147" s="13"/>
    </row>
    <row r="148" spans="1:18" x14ac:dyDescent="0.3">
      <c r="C148" s="37" t="s">
        <v>136</v>
      </c>
      <c r="D148" t="s">
        <v>20</v>
      </c>
      <c r="E148" s="103">
        <f>KOHC!D164</f>
        <v>0.10310501881607244</v>
      </c>
      <c r="F148" s="103">
        <f>LUCK!D164</f>
        <v>9.6293154802519321E-2</v>
      </c>
      <c r="G148" s="103">
        <f>DGKC!D164</f>
        <v>2.782819549249883E-2</v>
      </c>
      <c r="H148" s="103">
        <f>MLCF!D164</f>
        <v>9.4580778422081457E-2</v>
      </c>
      <c r="I148" s="103">
        <f>FCCL!D164</f>
        <v>0.10974843292728989</v>
      </c>
      <c r="J148" s="104">
        <f>IF(COUNT(E148:I148)=0,"n/m",AVERAGE(E148:I148))</f>
        <v>8.6311116092092383E-2</v>
      </c>
      <c r="K148">
        <f>COUNT(E148:I148)</f>
        <v>5</v>
      </c>
      <c r="L148" s="105">
        <f>IF(AND(ISNUMBER(E148),ISNUMBER(J148)),E148-J148,"n/m")</f>
        <v>1.6793902723980056E-2</v>
      </c>
      <c r="M148" s="105">
        <f>IF(COUNT(F148:I148)=0,"n/m",AVERAGE(F148:I148))</f>
        <v>8.2112640411097365E-2</v>
      </c>
      <c r="N148" s="105">
        <f>IF(COUNT(E148:I148)=0,"n/m",MEDIAN(E148:I148))</f>
        <v>9.6293154802519321E-2</v>
      </c>
      <c r="O148" t="s">
        <v>920</v>
      </c>
      <c r="P148" s="8" t="str">
        <f>IF(NOT(ISNUMBER(L148)),"n/m",IF(O148="Higher",IF(L148&gt;=0,"Above avg - favourable","Below avg - unfavourable"),IF(O148="Lower",IF(L148&lt;=0,"Below avg - favourable","Above avg - unfavourable"),IF(L148&gt;=0,"Above avg - context-dependent","Below avg - context-dependent"))))&amp;IF(K148&lt;5," (N="&amp;K148&amp;")","")</f>
        <v>Above avg - favourable</v>
      </c>
      <c r="R148" s="40" t="str">
        <f>IF(K148=0,"n/m",IF(ABS(J148-SUM(E148:I148)/K148)&lt;0.000000001,"OK","ERR"))</f>
        <v>OK</v>
      </c>
    </row>
    <row r="149" spans="1:18" x14ac:dyDescent="0.3">
      <c r="C149" s="37" t="s">
        <v>136</v>
      </c>
      <c r="D149" t="s">
        <v>26</v>
      </c>
      <c r="E149" s="103">
        <f>KOHC!E164</f>
        <v>0.12649629238438423</v>
      </c>
      <c r="F149" s="103">
        <f>LUCK!E164</f>
        <v>8.9641102318360491E-2</v>
      </c>
      <c r="G149" s="103">
        <f>DGKC!E164</f>
        <v>2.1658293579340789E-2</v>
      </c>
      <c r="H149" s="103">
        <f>MLCF!E164</f>
        <v>4.8854897905800651E-2</v>
      </c>
      <c r="I149" s="103">
        <f>FCCL!E164</f>
        <v>9.6277836524036209E-2</v>
      </c>
      <c r="J149" s="104">
        <f>IF(COUNT(E149:I149)=0,"n/m",AVERAGE(E149:I149))</f>
        <v>7.6585684542384486E-2</v>
      </c>
      <c r="K149">
        <f>COUNT(E149:I149)</f>
        <v>5</v>
      </c>
      <c r="L149" s="105">
        <f>IF(AND(ISNUMBER(E149),ISNUMBER(J149)),E149-J149,"n/m")</f>
        <v>4.9910607841999743E-2</v>
      </c>
      <c r="M149" s="105">
        <f>IF(COUNT(F149:I149)=0,"n/m",AVERAGE(F149:I149))</f>
        <v>6.4108032581884536E-2</v>
      </c>
      <c r="N149" s="105">
        <f>IF(COUNT(E149:I149)=0,"n/m",MEDIAN(E149:I149))</f>
        <v>8.9641102318360491E-2</v>
      </c>
      <c r="O149" t="s">
        <v>920</v>
      </c>
      <c r="P149" s="8" t="str">
        <f>IF(NOT(ISNUMBER(L149)),"n/m",IF(O149="Higher",IF(L149&gt;=0,"Above avg - favourable","Below avg - unfavourable"),IF(O149="Lower",IF(L149&lt;=0,"Below avg - favourable","Above avg - unfavourable"),IF(L149&gt;=0,"Above avg - context-dependent","Below avg - context-dependent"))))&amp;IF(K149&lt;5," (N="&amp;K149&amp;")","")</f>
        <v>Above avg - favourable</v>
      </c>
      <c r="R149" s="40" t="str">
        <f>IF(K149=0,"n/m",IF(ABS(J149-SUM(E149:I149)/K149)&lt;0.000000001,"OK","ERR"))</f>
        <v>OK</v>
      </c>
    </row>
    <row r="150" spans="1:18" x14ac:dyDescent="0.3">
      <c r="C150" s="37" t="s">
        <v>136</v>
      </c>
      <c r="D150" t="s">
        <v>27</v>
      </c>
      <c r="E150" s="103">
        <f>KOHC!F164</f>
        <v>0.12533816876597817</v>
      </c>
      <c r="F150" s="103">
        <f>LUCK!F164</f>
        <v>6.896675970430062E-2</v>
      </c>
      <c r="G150" s="103" t="str">
        <f>DGKC!F164</f>
        <v>n/m</v>
      </c>
      <c r="H150" s="103">
        <f>MLCF!F164</f>
        <v>5.2252429171030478E-2</v>
      </c>
      <c r="I150" s="103">
        <f>FCCL!F164</f>
        <v>5.8921965178999398E-2</v>
      </c>
      <c r="J150" s="104">
        <f>IF(COUNT(E150:I150)=0,"n/m",AVERAGE(E150:I150))</f>
        <v>7.6369830705077177E-2</v>
      </c>
      <c r="K150">
        <f>COUNT(E150:I150)</f>
        <v>4</v>
      </c>
      <c r="L150" s="105">
        <f>IF(AND(ISNUMBER(E150),ISNUMBER(J150)),E150-J150,"n/m")</f>
        <v>4.8968338060900993E-2</v>
      </c>
      <c r="M150" s="105">
        <f>IF(COUNT(F150:I150)=0,"n/m",AVERAGE(F150:I150))</f>
        <v>6.0047051351443496E-2</v>
      </c>
      <c r="N150" s="105">
        <f>IF(COUNT(E150:I150)=0,"n/m",MEDIAN(E150:I150))</f>
        <v>6.3944362441650013E-2</v>
      </c>
      <c r="O150" t="s">
        <v>920</v>
      </c>
      <c r="P150" s="8" t="str">
        <f>IF(NOT(ISNUMBER(L150)),"n/m",IF(O150="Higher",IF(L150&gt;=0,"Above avg - favourable","Below avg - unfavourable"),IF(O150="Lower",IF(L150&lt;=0,"Below avg - favourable","Above avg - unfavourable"),IF(L150&gt;=0,"Above avg - context-dependent","Below avg - context-dependent"))))&amp;IF(K150&lt;5," (N="&amp;K150&amp;")","")</f>
        <v>Above avg - favourable (N=4)</v>
      </c>
      <c r="R150" s="40" t="str">
        <f>IF(K150=0,"n/m",IF(ABS(J150-SUM(E150:I150)/K150)&lt;0.000000001,"OK","ERR"))</f>
        <v>OK</v>
      </c>
    </row>
    <row r="151" spans="1:18" x14ac:dyDescent="0.3">
      <c r="C151" s="37" t="s">
        <v>136</v>
      </c>
      <c r="D151" t="s">
        <v>28</v>
      </c>
      <c r="E151" s="103">
        <f>KOHC!G164</f>
        <v>0.16412620048835211</v>
      </c>
      <c r="F151" s="103">
        <f>LUCK!G164</f>
        <v>0.12572899898802087</v>
      </c>
      <c r="G151" s="103">
        <f>DGKC!G164</f>
        <v>3.9721565008394447E-3</v>
      </c>
      <c r="H151" s="103">
        <f>MLCF!G164</f>
        <v>5.5772278863160801E-2</v>
      </c>
      <c r="I151" s="103">
        <f>FCCL!G164</f>
        <v>5.7411005574311447E-2</v>
      </c>
      <c r="J151" s="104">
        <f>IF(COUNT(E151:I151)=0,"n/m",AVERAGE(E151:I151))</f>
        <v>8.1402128082936925E-2</v>
      </c>
      <c r="K151">
        <f>COUNT(E151:I151)</f>
        <v>5</v>
      </c>
      <c r="L151" s="105">
        <f>IF(AND(ISNUMBER(E151),ISNUMBER(J151)),E151-J151,"n/m")</f>
        <v>8.2724072405415183E-2</v>
      </c>
      <c r="M151" s="105">
        <f>IF(COUNT(F151:I151)=0,"n/m",AVERAGE(F151:I151))</f>
        <v>6.0721109981583143E-2</v>
      </c>
      <c r="N151" s="105">
        <f>IF(COUNT(E151:I151)=0,"n/m",MEDIAN(E151:I151))</f>
        <v>5.7411005574311447E-2</v>
      </c>
      <c r="O151" t="s">
        <v>920</v>
      </c>
      <c r="P151" s="8" t="str">
        <f>IF(NOT(ISNUMBER(L151)),"n/m",IF(O151="Higher",IF(L151&gt;=0,"Above avg - favourable","Below avg - unfavourable"),IF(O151="Lower",IF(L151&lt;=0,"Below avg - favourable","Above avg - unfavourable"),IF(L151&gt;=0,"Above avg - context-dependent","Below avg - context-dependent"))))&amp;IF(K151&lt;5," (N="&amp;K151&amp;")","")</f>
        <v>Above avg - favourable</v>
      </c>
      <c r="R151" s="40" t="str">
        <f>IF(K151=0,"n/m",IF(ABS(J151-SUM(E151:I151)/K151)&lt;0.000000001,"OK","ERR"))</f>
        <v>OK</v>
      </c>
    </row>
    <row r="152" spans="1:18" x14ac:dyDescent="0.3">
      <c r="C152" s="37" t="s">
        <v>136</v>
      </c>
      <c r="D152" t="s">
        <v>29</v>
      </c>
      <c r="E152" s="103">
        <f>KOHC!H164</f>
        <v>0.184262568360198</v>
      </c>
      <c r="F152" s="103">
        <f>LUCK!H164</f>
        <v>0.13216613775708311</v>
      </c>
      <c r="G152" s="103">
        <f>DGKC!H164</f>
        <v>6.1025354969149528E-2</v>
      </c>
      <c r="H152" s="103">
        <f>MLCF!H164</f>
        <v>0.15595936930174281</v>
      </c>
      <c r="I152" s="103">
        <f>FCCL!H164</f>
        <v>8.6398713906626887E-2</v>
      </c>
      <c r="J152" s="104">
        <f>IF(COUNT(E152:I152)=0,"n/m",AVERAGE(E152:I152))</f>
        <v>0.12396242885896007</v>
      </c>
      <c r="K152">
        <f>COUNT(E152:I152)</f>
        <v>5</v>
      </c>
      <c r="L152" s="105">
        <f>IF(AND(ISNUMBER(E152),ISNUMBER(J152)),E152-J152,"n/m")</f>
        <v>6.0300139501237929E-2</v>
      </c>
      <c r="M152" s="105">
        <f>IF(COUNT(F152:I152)=0,"n/m",AVERAGE(F152:I152))</f>
        <v>0.10888739398365059</v>
      </c>
      <c r="N152" s="105">
        <f>IF(COUNT(E152:I152)=0,"n/m",MEDIAN(E152:I152))</f>
        <v>0.13216613775708311</v>
      </c>
      <c r="O152" t="s">
        <v>920</v>
      </c>
      <c r="P152" s="8" t="str">
        <f>IF(NOT(ISNUMBER(L152)),"n/m",IF(O152="Higher",IF(L152&gt;=0,"Above avg - favourable","Below avg - unfavourable"),IF(O152="Lower",IF(L152&lt;=0,"Below avg - favourable","Above avg - unfavourable"),IF(L152&gt;=0,"Above avg - context-dependent","Below avg - context-dependent"))))&amp;IF(K152&lt;5," (N="&amp;K152&amp;")","")</f>
        <v>Above avg - favourable</v>
      </c>
      <c r="R152" s="40" t="str">
        <f>IF(K152=0,"n/m",IF(ABS(J152-SUM(E152:I152)/K152)&lt;0.000000001,"OK","ERR"))</f>
        <v>OK</v>
      </c>
    </row>
    <row r="153" spans="1:18" x14ac:dyDescent="0.3">
      <c r="A153" s="35" t="s">
        <v>504</v>
      </c>
      <c r="B153" s="13">
        <v>25</v>
      </c>
      <c r="C153" s="12" t="s">
        <v>513</v>
      </c>
      <c r="D153" s="13"/>
      <c r="E153" s="13"/>
      <c r="F153" s="13"/>
      <c r="G153" s="13"/>
      <c r="H153" s="13"/>
      <c r="I153" s="13"/>
      <c r="J153" s="13"/>
      <c r="K153" s="13"/>
      <c r="L153" s="13"/>
      <c r="M153" s="13"/>
      <c r="N153" s="13"/>
      <c r="O153" s="13"/>
      <c r="P153" s="13"/>
      <c r="Q153" s="36" t="s">
        <v>943</v>
      </c>
      <c r="R153" s="13"/>
    </row>
    <row r="154" spans="1:18" x14ac:dyDescent="0.3">
      <c r="C154" s="37" t="s">
        <v>53</v>
      </c>
      <c r="D154" t="s">
        <v>20</v>
      </c>
      <c r="E154" s="103">
        <f>KOHC!D165</f>
        <v>0.17081753753269491</v>
      </c>
      <c r="F154" s="103">
        <f>LUCK!D165</f>
        <v>0.13249756211762712</v>
      </c>
      <c r="G154" s="103">
        <f>DGKC!D165</f>
        <v>5.3114745768384881E-2</v>
      </c>
      <c r="H154" s="103">
        <f>MLCF!D165</f>
        <v>0.18163818640771748</v>
      </c>
      <c r="I154" s="103">
        <f>FCCL!D165</f>
        <v>0.16115839021414832</v>
      </c>
      <c r="J154" s="104">
        <f>IF(COUNT(E154:I154)=0,"n/m",AVERAGE(E154:I154))</f>
        <v>0.13984528440811456</v>
      </c>
      <c r="K154">
        <f>COUNT(E154:I154)</f>
        <v>5</v>
      </c>
      <c r="L154" s="105">
        <f>IF(AND(ISNUMBER(E154),ISNUMBER(J154)),E154-J154,"n/m")</f>
        <v>3.0972253124580351E-2</v>
      </c>
      <c r="M154" s="105">
        <f>IF(COUNT(F154:I154)=0,"n/m",AVERAGE(F154:I154))</f>
        <v>0.13210222112696945</v>
      </c>
      <c r="N154" s="105">
        <f>IF(COUNT(E154:I154)=0,"n/m",MEDIAN(E154:I154))</f>
        <v>0.16115839021414832</v>
      </c>
      <c r="O154" t="s">
        <v>920</v>
      </c>
      <c r="P154" s="8" t="str">
        <f>IF(NOT(ISNUMBER(L154)),"n/m",IF(O154="Higher",IF(L154&gt;=0,"Above avg - favourable","Below avg - unfavourable"),IF(O154="Lower",IF(L154&lt;=0,"Below avg - favourable","Above avg - unfavourable"),IF(L154&gt;=0,"Above avg - context-dependent","Below avg - context-dependent"))))&amp;IF(K154&lt;5," (N="&amp;K154&amp;")","")</f>
        <v>Above avg - favourable</v>
      </c>
      <c r="R154" s="40" t="str">
        <f>IF(K154=0,"n/m",IF(ABS(J154-SUM(E154:I154)/K154)&lt;0.000000001,"OK","ERR"))</f>
        <v>OK</v>
      </c>
    </row>
    <row r="155" spans="1:18" x14ac:dyDescent="0.3">
      <c r="C155" s="37" t="s">
        <v>53</v>
      </c>
      <c r="D155" t="s">
        <v>26</v>
      </c>
      <c r="E155" s="103">
        <f>KOHC!E165</f>
        <v>0.20312531536122019</v>
      </c>
      <c r="F155" s="103">
        <f>LUCK!E165</f>
        <v>0.12657053998488341</v>
      </c>
      <c r="G155" s="103">
        <f>DGKC!E165</f>
        <v>4.1453492679972344E-2</v>
      </c>
      <c r="H155" s="103">
        <f>MLCF!E165</f>
        <v>9.286217037724577E-2</v>
      </c>
      <c r="I155" s="103">
        <f>FCCL!E165</f>
        <v>0.17559284966237051</v>
      </c>
      <c r="J155" s="104">
        <f>IF(COUNT(E155:I155)=0,"n/m",AVERAGE(E155:I155))</f>
        <v>0.12792087361313845</v>
      </c>
      <c r="K155">
        <f>COUNT(E155:I155)</f>
        <v>5</v>
      </c>
      <c r="L155" s="105">
        <f>IF(AND(ISNUMBER(E155),ISNUMBER(J155)),E155-J155,"n/m")</f>
        <v>7.5204441748081746E-2</v>
      </c>
      <c r="M155" s="105">
        <f>IF(COUNT(F155:I155)=0,"n/m",AVERAGE(F155:I155))</f>
        <v>0.10911976317611802</v>
      </c>
      <c r="N155" s="105">
        <f>IF(COUNT(E155:I155)=0,"n/m",MEDIAN(E155:I155))</f>
        <v>0.12657053998488341</v>
      </c>
      <c r="O155" t="s">
        <v>920</v>
      </c>
      <c r="P155" s="8" t="str">
        <f>IF(NOT(ISNUMBER(L155)),"n/m",IF(O155="Higher",IF(L155&gt;=0,"Above avg - favourable","Below avg - unfavourable"),IF(O155="Lower",IF(L155&lt;=0,"Below avg - favourable","Above avg - unfavourable"),IF(L155&gt;=0,"Above avg - context-dependent","Below avg - context-dependent"))))&amp;IF(K155&lt;5," (N="&amp;K155&amp;")","")</f>
        <v>Above avg - favourable</v>
      </c>
      <c r="R155" s="40" t="str">
        <f>IF(K155=0,"n/m",IF(ABS(J155-SUM(E155:I155)/K155)&lt;0.000000001,"OK","ERR"))</f>
        <v>OK</v>
      </c>
    </row>
    <row r="156" spans="1:18" x14ac:dyDescent="0.3">
      <c r="C156" s="37" t="s">
        <v>53</v>
      </c>
      <c r="D156" t="s">
        <v>27</v>
      </c>
      <c r="E156" s="103">
        <f>KOHC!F165</f>
        <v>0.19449095680324069</v>
      </c>
      <c r="F156" s="103">
        <f>LUCK!F165</f>
        <v>0.10323783929435384</v>
      </c>
      <c r="G156" s="103" t="str">
        <f>DGKC!F165</f>
        <v>n/m</v>
      </c>
      <c r="H156" s="103">
        <f>MLCF!F165</f>
        <v>0.10510254167180039</v>
      </c>
      <c r="I156" s="103">
        <f>FCCL!F165</f>
        <v>0.12105723655011702</v>
      </c>
      <c r="J156" s="104">
        <f>IF(COUNT(E156:I156)=0,"n/m",AVERAGE(E156:I156))</f>
        <v>0.13097214357987796</v>
      </c>
      <c r="K156">
        <f>COUNT(E156:I156)</f>
        <v>4</v>
      </c>
      <c r="L156" s="105">
        <f>IF(AND(ISNUMBER(E156),ISNUMBER(J156)),E156-J156,"n/m")</f>
        <v>6.3518813223362725E-2</v>
      </c>
      <c r="M156" s="105">
        <f>IF(COUNT(F156:I156)=0,"n/m",AVERAGE(F156:I156))</f>
        <v>0.10979920583875709</v>
      </c>
      <c r="N156" s="105">
        <f>IF(COUNT(E156:I156)=0,"n/m",MEDIAN(E156:I156))</f>
        <v>0.1130798891109587</v>
      </c>
      <c r="O156" t="s">
        <v>920</v>
      </c>
      <c r="P156" s="8" t="str">
        <f>IF(NOT(ISNUMBER(L156)),"n/m",IF(O156="Higher",IF(L156&gt;=0,"Above avg - favourable","Below avg - unfavourable"),IF(O156="Lower",IF(L156&lt;=0,"Below avg - favourable","Above avg - unfavourable"),IF(L156&gt;=0,"Above avg - context-dependent","Below avg - context-dependent"))))&amp;IF(K156&lt;5," (N="&amp;K156&amp;")","")</f>
        <v>Above avg - favourable (N=4)</v>
      </c>
      <c r="R156" s="40" t="str">
        <f>IF(K156=0,"n/m",IF(ABS(J156-SUM(E156:I156)/K156)&lt;0.000000001,"OK","ERR"))</f>
        <v>OK</v>
      </c>
    </row>
    <row r="157" spans="1:18" x14ac:dyDescent="0.3">
      <c r="C157" s="37" t="s">
        <v>53</v>
      </c>
      <c r="D157" t="s">
        <v>28</v>
      </c>
      <c r="E157" s="103">
        <f>KOHC!G165</f>
        <v>0.24134090965005384</v>
      </c>
      <c r="F157" s="103">
        <f>LUCK!G165</f>
        <v>0.19715059997190104</v>
      </c>
      <c r="G157" s="103">
        <f>DGKC!G165</f>
        <v>7.7463112901141971E-3</v>
      </c>
      <c r="H157" s="103">
        <f>MLCF!G165</f>
        <v>0.10812221617479151</v>
      </c>
      <c r="I157" s="103">
        <f>FCCL!G165</f>
        <v>0.11868144080382984</v>
      </c>
      <c r="J157" s="104">
        <f>IF(COUNT(E157:I157)=0,"n/m",AVERAGE(E157:I157))</f>
        <v>0.13460829557813808</v>
      </c>
      <c r="K157">
        <f>COUNT(E157:I157)</f>
        <v>5</v>
      </c>
      <c r="L157" s="105">
        <f>IF(AND(ISNUMBER(E157),ISNUMBER(J157)),E157-J157,"n/m")</f>
        <v>0.10673261407191575</v>
      </c>
      <c r="M157" s="105">
        <f>IF(COUNT(F157:I157)=0,"n/m",AVERAGE(F157:I157))</f>
        <v>0.10792514206015913</v>
      </c>
      <c r="N157" s="105">
        <f>IF(COUNT(E157:I157)=0,"n/m",MEDIAN(E157:I157))</f>
        <v>0.11868144080382984</v>
      </c>
      <c r="O157" t="s">
        <v>920</v>
      </c>
      <c r="P157" s="8" t="str">
        <f>IF(NOT(ISNUMBER(L157)),"n/m",IF(O157="Higher",IF(L157&gt;=0,"Above avg - favourable","Below avg - unfavourable"),IF(O157="Lower",IF(L157&lt;=0,"Below avg - favourable","Above avg - unfavourable"),IF(L157&gt;=0,"Above avg - context-dependent","Below avg - context-dependent"))))&amp;IF(K157&lt;5," (N="&amp;K157&amp;")","")</f>
        <v>Above avg - favourable</v>
      </c>
      <c r="R157" s="40" t="str">
        <f>IF(K157=0,"n/m",IF(ABS(J157-SUM(E157:I157)/K157)&lt;0.000000001,"OK","ERR"))</f>
        <v>OK</v>
      </c>
    </row>
    <row r="158" spans="1:18" x14ac:dyDescent="0.3">
      <c r="C158" s="37" t="s">
        <v>53</v>
      </c>
      <c r="D158" t="s">
        <v>29</v>
      </c>
      <c r="E158" s="103">
        <f>KOHC!H165</f>
        <v>0.25998290898160303</v>
      </c>
      <c r="F158" s="103">
        <f>LUCK!H165</f>
        <v>0.2044798130421526</v>
      </c>
      <c r="G158" s="103">
        <f>DGKC!H165</f>
        <v>0.10175126160150023</v>
      </c>
      <c r="H158" s="103">
        <f>MLCF!H165</f>
        <v>0.2746085954343051</v>
      </c>
      <c r="I158" s="103">
        <f>FCCL!H165</f>
        <v>0.16903802023631961</v>
      </c>
      <c r="J158" s="104">
        <f>IF(COUNT(E158:I158)=0,"n/m",AVERAGE(E158:I158))</f>
        <v>0.2019721198591761</v>
      </c>
      <c r="K158">
        <f>COUNT(E158:I158)</f>
        <v>5</v>
      </c>
      <c r="L158" s="105">
        <f>IF(AND(ISNUMBER(E158),ISNUMBER(J158)),E158-J158,"n/m")</f>
        <v>5.8010789122426937E-2</v>
      </c>
      <c r="M158" s="105">
        <f>IF(COUNT(F158:I158)=0,"n/m",AVERAGE(F158:I158))</f>
        <v>0.18746942257856938</v>
      </c>
      <c r="N158" s="105">
        <f>IF(COUNT(E158:I158)=0,"n/m",MEDIAN(E158:I158))</f>
        <v>0.2044798130421526</v>
      </c>
      <c r="O158" t="s">
        <v>920</v>
      </c>
      <c r="P158" s="8" t="str">
        <f>IF(NOT(ISNUMBER(L158)),"n/m",IF(O158="Higher",IF(L158&gt;=0,"Above avg - favourable","Below avg - unfavourable"),IF(O158="Lower",IF(L158&lt;=0,"Below avg - favourable","Above avg - unfavourable"),IF(L158&gt;=0,"Above avg - context-dependent","Below avg - context-dependent"))))&amp;IF(K158&lt;5," (N="&amp;K158&amp;")","")</f>
        <v>Above avg - favourable</v>
      </c>
      <c r="R158" s="40" t="str">
        <f>IF(K158=0,"n/m",IF(ABS(J158-SUM(E158:I158)/K158)&lt;0.000000001,"OK","ERR"))</f>
        <v>OK</v>
      </c>
    </row>
    <row r="159" spans="1:18" x14ac:dyDescent="0.3">
      <c r="A159" s="35" t="s">
        <v>504</v>
      </c>
      <c r="B159" s="13">
        <v>26</v>
      </c>
      <c r="C159" s="12" t="s">
        <v>515</v>
      </c>
      <c r="D159" s="13"/>
      <c r="E159" s="13"/>
      <c r="F159" s="13"/>
      <c r="G159" s="13"/>
      <c r="H159" s="13"/>
      <c r="I159" s="13"/>
      <c r="J159" s="13"/>
      <c r="K159" s="13"/>
      <c r="L159" s="13"/>
      <c r="M159" s="13"/>
      <c r="N159" s="13"/>
      <c r="O159" s="13"/>
      <c r="P159" s="13"/>
      <c r="Q159" s="36"/>
      <c r="R159" s="13"/>
    </row>
    <row r="160" spans="1:18" x14ac:dyDescent="0.3">
      <c r="C160" s="37" t="s">
        <v>944</v>
      </c>
      <c r="D160" t="s">
        <v>20</v>
      </c>
      <c r="E160" s="103">
        <f>KOHC!D166</f>
        <v>0.14327122643181978</v>
      </c>
      <c r="F160" s="103">
        <f>LUCK!D166</f>
        <v>0.12407020191785936</v>
      </c>
      <c r="G160" s="103">
        <f>DGKC!D166</f>
        <v>5.1853645860762271E-2</v>
      </c>
      <c r="H160" s="103">
        <f>MLCF!D166</f>
        <v>0.14080488311422401</v>
      </c>
      <c r="I160" s="103">
        <f>FCCL!D166</f>
        <v>0.14667479520486254</v>
      </c>
      <c r="J160" s="104">
        <f>IF(COUNT(E160:I160)=0,"n/m",AVERAGE(E160:I160))</f>
        <v>0.12133495050590559</v>
      </c>
      <c r="K160">
        <f>COUNT(E160:I160)</f>
        <v>5</v>
      </c>
      <c r="L160" s="105">
        <f>IF(AND(ISNUMBER(E160),ISNUMBER(J160)),E160-J160,"n/m")</f>
        <v>2.1936275925914184E-2</v>
      </c>
      <c r="M160" s="105">
        <f>IF(COUNT(F160:I160)=0,"n/m",AVERAGE(F160:I160))</f>
        <v>0.11585088152442705</v>
      </c>
      <c r="N160" s="105">
        <f>IF(COUNT(E160:I160)=0,"n/m",MEDIAN(E160:I160))</f>
        <v>0.14080488311422401</v>
      </c>
      <c r="O160" t="s">
        <v>920</v>
      </c>
      <c r="P160" s="8" t="str">
        <f>IF(NOT(ISNUMBER(L160)),"n/m",IF(O160="Higher",IF(L160&gt;=0,"Above avg - favourable","Below avg - unfavourable"),IF(O160="Lower",IF(L160&lt;=0,"Below avg - favourable","Above avg - unfavourable"),IF(L160&gt;=0,"Above avg - context-dependent","Below avg - context-dependent"))))&amp;IF(K160&lt;5," (N="&amp;K160&amp;")","")</f>
        <v>Above avg - favourable</v>
      </c>
      <c r="R160" s="40" t="str">
        <f>IF(K160=0,"n/m",IF(ABS(J160-SUM(E160:I160)/K160)&lt;0.000000001,"OK","ERR"))</f>
        <v>OK</v>
      </c>
    </row>
    <row r="161" spans="1:18" x14ac:dyDescent="0.3">
      <c r="C161" s="37" t="s">
        <v>944</v>
      </c>
      <c r="D161" t="s">
        <v>26</v>
      </c>
      <c r="E161" s="103">
        <f>KOHC!E166</f>
        <v>0.17824324729851332</v>
      </c>
      <c r="F161" s="103">
        <f>LUCK!E166</f>
        <v>0.11634647447890245</v>
      </c>
      <c r="G161" s="103">
        <f>DGKC!E166</f>
        <v>4.05309965203835E-2</v>
      </c>
      <c r="H161" s="103">
        <f>MLCF!E166</f>
        <v>7.5521025119116542E-2</v>
      </c>
      <c r="I161" s="103">
        <f>FCCL!E166</f>
        <v>0.14345364774826339</v>
      </c>
      <c r="J161" s="104">
        <f>IF(COUNT(E161:I161)=0,"n/m",AVERAGE(E161:I161))</f>
        <v>0.11081907823303586</v>
      </c>
      <c r="K161">
        <f>COUNT(E161:I161)</f>
        <v>5</v>
      </c>
      <c r="L161" s="105">
        <f>IF(AND(ISNUMBER(E161),ISNUMBER(J161)),E161-J161,"n/m")</f>
        <v>6.7424169065477463E-2</v>
      </c>
      <c r="M161" s="105">
        <f>IF(COUNT(F161:I161)=0,"n/m",AVERAGE(F161:I161))</f>
        <v>9.3963035966666469E-2</v>
      </c>
      <c r="N161" s="105">
        <f>IF(COUNT(E161:I161)=0,"n/m",MEDIAN(E161:I161))</f>
        <v>0.11634647447890245</v>
      </c>
      <c r="O161" t="s">
        <v>920</v>
      </c>
      <c r="P161" s="8" t="str">
        <f>IF(NOT(ISNUMBER(L161)),"n/m",IF(O161="Higher",IF(L161&gt;=0,"Above avg - favourable","Below avg - unfavourable"),IF(O161="Lower",IF(L161&lt;=0,"Below avg - favourable","Above avg - unfavourable"),IF(L161&gt;=0,"Above avg - context-dependent","Below avg - context-dependent"))))&amp;IF(K161&lt;5," (N="&amp;K161&amp;")","")</f>
        <v>Above avg - favourable</v>
      </c>
      <c r="R161" s="40" t="str">
        <f>IF(K161=0,"n/m",IF(ABS(J161-SUM(E161:I161)/K161)&lt;0.000000001,"OK","ERR"))</f>
        <v>OK</v>
      </c>
    </row>
    <row r="162" spans="1:18" x14ac:dyDescent="0.3">
      <c r="C162" s="37" t="s">
        <v>944</v>
      </c>
      <c r="D162" t="s">
        <v>27</v>
      </c>
      <c r="E162" s="103">
        <f>KOHC!F166</f>
        <v>0.18523585661078099</v>
      </c>
      <c r="F162" s="103">
        <f>LUCK!F166</f>
        <v>9.5708914196974623E-2</v>
      </c>
      <c r="G162" s="103" t="str">
        <f>DGKC!F166</f>
        <v>n/m</v>
      </c>
      <c r="H162" s="103">
        <f>MLCF!F166</f>
        <v>8.9430416861785711E-2</v>
      </c>
      <c r="I162" s="103">
        <f>FCCL!F166</f>
        <v>0.1007154983763438</v>
      </c>
      <c r="J162" s="104">
        <f>IF(COUNT(E162:I162)=0,"n/m",AVERAGE(E162:I162))</f>
        <v>0.11777267151147128</v>
      </c>
      <c r="K162">
        <f>COUNT(E162:I162)</f>
        <v>4</v>
      </c>
      <c r="L162" s="105">
        <f>IF(AND(ISNUMBER(E162),ISNUMBER(J162)),E162-J162,"n/m")</f>
        <v>6.7463185099309708E-2</v>
      </c>
      <c r="M162" s="105">
        <f>IF(COUNT(F162:I162)=0,"n/m",AVERAGE(F162:I162))</f>
        <v>9.5284943145034717E-2</v>
      </c>
      <c r="N162" s="105">
        <f>IF(COUNT(E162:I162)=0,"n/m",MEDIAN(E162:I162))</f>
        <v>9.821220628665922E-2</v>
      </c>
      <c r="O162" t="s">
        <v>920</v>
      </c>
      <c r="P162" s="8" t="str">
        <f>IF(NOT(ISNUMBER(L162)),"n/m",IF(O162="Higher",IF(L162&gt;=0,"Above avg - favourable","Below avg - unfavourable"),IF(O162="Lower",IF(L162&lt;=0,"Below avg - favourable","Above avg - unfavourable"),IF(L162&gt;=0,"Above avg - context-dependent","Below avg - context-dependent"))))&amp;IF(K162&lt;5," (N="&amp;K162&amp;")","")</f>
        <v>Above avg - favourable (N=4)</v>
      </c>
      <c r="R162" s="40" t="str">
        <f>IF(K162=0,"n/m",IF(ABS(J162-SUM(E162:I162)/K162)&lt;0.000000001,"OK","ERR"))</f>
        <v>OK</v>
      </c>
    </row>
    <row r="163" spans="1:18" x14ac:dyDescent="0.3">
      <c r="C163" s="37" t="s">
        <v>944</v>
      </c>
      <c r="D163" t="s">
        <v>28</v>
      </c>
      <c r="E163" s="103">
        <f>KOHC!G166</f>
        <v>0.23611149584842697</v>
      </c>
      <c r="F163" s="103">
        <f>LUCK!G166</f>
        <v>0.17873836755692779</v>
      </c>
      <c r="G163" s="103">
        <f>DGKC!G166</f>
        <v>1.909789097765336E-2</v>
      </c>
      <c r="H163" s="103">
        <f>MLCF!G166</f>
        <v>0.1128071865450392</v>
      </c>
      <c r="I163" s="103">
        <f>FCCL!G166</f>
        <v>0.10367976942536491</v>
      </c>
      <c r="J163" s="104">
        <f>IF(COUNT(E163:I163)=0,"n/m",AVERAGE(E163:I163))</f>
        <v>0.13008694207068244</v>
      </c>
      <c r="K163">
        <f>COUNT(E163:I163)</f>
        <v>5</v>
      </c>
      <c r="L163" s="105">
        <f>IF(AND(ISNUMBER(E163),ISNUMBER(J163)),E163-J163,"n/m")</f>
        <v>0.10602455377774453</v>
      </c>
      <c r="M163" s="105">
        <f>IF(COUNT(F163:I163)=0,"n/m",AVERAGE(F163:I163))</f>
        <v>0.1035808036262463</v>
      </c>
      <c r="N163" s="105">
        <f>IF(COUNT(E163:I163)=0,"n/m",MEDIAN(E163:I163))</f>
        <v>0.1128071865450392</v>
      </c>
      <c r="O163" t="s">
        <v>920</v>
      </c>
      <c r="P163" s="8" t="str">
        <f>IF(NOT(ISNUMBER(L163)),"n/m",IF(O163="Higher",IF(L163&gt;=0,"Above avg - favourable","Below avg - unfavourable"),IF(O163="Lower",IF(L163&lt;=0,"Below avg - favourable","Above avg - unfavourable"),IF(L163&gt;=0,"Above avg - context-dependent","Below avg - context-dependent"))))&amp;IF(K163&lt;5," (N="&amp;K163&amp;")","")</f>
        <v>Above avg - favourable</v>
      </c>
      <c r="R163" s="40" t="str">
        <f>IF(K163=0,"n/m",IF(ABS(J163-SUM(E163:I163)/K163)&lt;0.000000001,"OK","ERR"))</f>
        <v>OK</v>
      </c>
    </row>
    <row r="164" spans="1:18" x14ac:dyDescent="0.3">
      <c r="C164" s="37" t="s">
        <v>944</v>
      </c>
      <c r="D164" t="s">
        <v>29</v>
      </c>
      <c r="E164" s="103">
        <f>KOHC!H166</f>
        <v>0.2526376274461683</v>
      </c>
      <c r="F164" s="103">
        <f>LUCK!H166</f>
        <v>0.18835780074997993</v>
      </c>
      <c r="G164" s="103">
        <f>DGKC!H166</f>
        <v>9.9291849001870353E-2</v>
      </c>
      <c r="H164" s="103">
        <f>MLCF!H166</f>
        <v>0.25096399764604915</v>
      </c>
      <c r="I164" s="103">
        <f>FCCL!H166</f>
        <v>0.14425829076270691</v>
      </c>
      <c r="J164" s="104">
        <f>IF(COUNT(E164:I164)=0,"n/m",AVERAGE(E164:I164))</f>
        <v>0.18710191312135493</v>
      </c>
      <c r="K164">
        <f>COUNT(E164:I164)</f>
        <v>5</v>
      </c>
      <c r="L164" s="105">
        <f>IF(AND(ISNUMBER(E164),ISNUMBER(J164)),E164-J164,"n/m")</f>
        <v>6.5535714324813366E-2</v>
      </c>
      <c r="M164" s="105">
        <f>IF(COUNT(F164:I164)=0,"n/m",AVERAGE(F164:I164))</f>
        <v>0.17071798454015158</v>
      </c>
      <c r="N164" s="105">
        <f>IF(COUNT(E164:I164)=0,"n/m",MEDIAN(E164:I164))</f>
        <v>0.18835780074997993</v>
      </c>
      <c r="O164" t="s">
        <v>920</v>
      </c>
      <c r="P164" s="8" t="str">
        <f>IF(NOT(ISNUMBER(L164)),"n/m",IF(O164="Higher",IF(L164&gt;=0,"Above avg - favourable","Below avg - unfavourable"),IF(O164="Lower",IF(L164&lt;=0,"Below avg - favourable","Above avg - unfavourable"),IF(L164&gt;=0,"Above avg - context-dependent","Below avg - context-dependent"))))&amp;IF(K164&lt;5," (N="&amp;K164&amp;")","")</f>
        <v>Above avg - favourable</v>
      </c>
      <c r="R164" s="40" t="str">
        <f>IF(K164=0,"n/m",IF(ABS(J164-SUM(E164:I164)/K164)&lt;0.000000001,"OK","ERR"))</f>
        <v>OK</v>
      </c>
    </row>
    <row r="165" spans="1:18" x14ac:dyDescent="0.3">
      <c r="A165" s="35" t="s">
        <v>504</v>
      </c>
      <c r="B165" s="13">
        <v>27</v>
      </c>
      <c r="C165" s="12" t="s">
        <v>517</v>
      </c>
      <c r="D165" s="13"/>
      <c r="E165" s="13"/>
      <c r="F165" s="13"/>
      <c r="G165" s="13"/>
      <c r="H165" s="13"/>
      <c r="I165" s="13"/>
      <c r="J165" s="13"/>
      <c r="K165" s="13"/>
      <c r="L165" s="13"/>
      <c r="M165" s="13"/>
      <c r="N165" s="13"/>
      <c r="O165" s="13"/>
      <c r="P165" s="13"/>
      <c r="Q165" s="36"/>
      <c r="R165" s="13"/>
    </row>
    <row r="166" spans="1:18" x14ac:dyDescent="0.3">
      <c r="C166" s="37" t="s">
        <v>945</v>
      </c>
      <c r="D166" t="s">
        <v>20</v>
      </c>
      <c r="E166" s="103">
        <f>KOHC!D167</f>
        <v>0.15927842615719043</v>
      </c>
      <c r="F166" s="103">
        <f>LUCK!D167</f>
        <v>0.11856914427701815</v>
      </c>
      <c r="G166" s="103">
        <f>DGKC!D167</f>
        <v>5.7523936465569407E-2</v>
      </c>
      <c r="H166" s="103">
        <f>MLCF!D167</f>
        <v>0.13283318203671918</v>
      </c>
      <c r="I166" s="103">
        <f>FCCL!D167</f>
        <v>0.16494792527118216</v>
      </c>
      <c r="J166" s="104">
        <f>IF(COUNT(E166:I166)=0,"n/m",AVERAGE(E166:I166))</f>
        <v>0.12663052284153586</v>
      </c>
      <c r="K166">
        <f>COUNT(E166:I166)</f>
        <v>5</v>
      </c>
      <c r="L166" s="105">
        <f>IF(AND(ISNUMBER(E166),ISNUMBER(J166)),E166-J166,"n/m")</f>
        <v>3.2647903315654564E-2</v>
      </c>
      <c r="M166" s="105">
        <f>IF(COUNT(F166:I166)=0,"n/m",AVERAGE(F166:I166))</f>
        <v>0.11846854701262222</v>
      </c>
      <c r="N166" s="105">
        <f>IF(COUNT(E166:I166)=0,"n/m",MEDIAN(E166:I166))</f>
        <v>0.13283318203671918</v>
      </c>
      <c r="O166" t="s">
        <v>920</v>
      </c>
      <c r="P166" s="8" t="str">
        <f>IF(NOT(ISNUMBER(L166)),"n/m",IF(O166="Higher",IF(L166&gt;=0,"Above avg - favourable","Below avg - unfavourable"),IF(O166="Lower",IF(L166&lt;=0,"Below avg - favourable","Above avg - unfavourable"),IF(L166&gt;=0,"Above avg - context-dependent","Below avg - context-dependent"))))&amp;IF(K166&lt;5," (N="&amp;K166&amp;")","")</f>
        <v>Above avg - favourable</v>
      </c>
      <c r="R166" s="40" t="str">
        <f>IF(K166=0,"n/m",IF(ABS(J166-SUM(E166:I166)/K166)&lt;0.000000001,"OK","ERR"))</f>
        <v>OK</v>
      </c>
    </row>
    <row r="167" spans="1:18" x14ac:dyDescent="0.3">
      <c r="C167" s="37" t="s">
        <v>945</v>
      </c>
      <c r="D167" t="s">
        <v>26</v>
      </c>
      <c r="E167" s="103">
        <f>KOHC!E167</f>
        <v>0.23825496283693048</v>
      </c>
      <c r="F167" s="103">
        <f>LUCK!E167</f>
        <v>0.12782774158166904</v>
      </c>
      <c r="G167" s="103">
        <f>DGKC!E167</f>
        <v>6.989042461377605E-2</v>
      </c>
      <c r="H167" s="103">
        <f>MLCF!E167</f>
        <v>0.12023345655576649</v>
      </c>
      <c r="I167" s="103">
        <f>FCCL!E167</f>
        <v>0.17231375246947031</v>
      </c>
      <c r="J167" s="104">
        <f>IF(COUNT(E167:I167)=0,"n/m",AVERAGE(E167:I167))</f>
        <v>0.14570406761152249</v>
      </c>
      <c r="K167">
        <f>COUNT(E167:I167)</f>
        <v>5</v>
      </c>
      <c r="L167" s="105">
        <f>IF(AND(ISNUMBER(E167),ISNUMBER(J167)),E167-J167,"n/m")</f>
        <v>9.2550895225407992E-2</v>
      </c>
      <c r="M167" s="105">
        <f>IF(COUNT(F167:I167)=0,"n/m",AVERAGE(F167:I167))</f>
        <v>0.12256634380517048</v>
      </c>
      <c r="N167" s="105">
        <f>IF(COUNT(E167:I167)=0,"n/m",MEDIAN(E167:I167))</f>
        <v>0.12782774158166904</v>
      </c>
      <c r="O167" t="s">
        <v>920</v>
      </c>
      <c r="P167" s="8" t="str">
        <f>IF(NOT(ISNUMBER(L167)),"n/m",IF(O167="Higher",IF(L167&gt;=0,"Above avg - favourable","Below avg - unfavourable"),IF(O167="Lower",IF(L167&lt;=0,"Below avg - favourable","Above avg - unfavourable"),IF(L167&gt;=0,"Above avg - context-dependent","Below avg - context-dependent"))))&amp;IF(K167&lt;5," (N="&amp;K167&amp;")","")</f>
        <v>Above avg - favourable</v>
      </c>
      <c r="R167" s="40" t="str">
        <f>IF(K167=0,"n/m",IF(ABS(J167-SUM(E167:I167)/K167)&lt;0.000000001,"OK","ERR"))</f>
        <v>OK</v>
      </c>
    </row>
    <row r="168" spans="1:18" x14ac:dyDescent="0.3">
      <c r="C168" s="37" t="s">
        <v>945</v>
      </c>
      <c r="D168" t="s">
        <v>27</v>
      </c>
      <c r="E168" s="103">
        <f>KOHC!F167</f>
        <v>0.24137695696625033</v>
      </c>
      <c r="F168" s="103">
        <f>LUCK!F167</f>
        <v>0.11311909776428172</v>
      </c>
      <c r="G168" s="103">
        <f>DGKC!F167</f>
        <v>7.3024239249942391E-2</v>
      </c>
      <c r="H168" s="103">
        <f>MLCF!F167</f>
        <v>0.13961471498448411</v>
      </c>
      <c r="I168" s="103">
        <f>FCCL!F167</f>
        <v>0.13103867634936517</v>
      </c>
      <c r="J168" s="104">
        <f>IF(COUNT(E168:I168)=0,"n/m",AVERAGE(E168:I168))</f>
        <v>0.13963473706286472</v>
      </c>
      <c r="K168">
        <f>COUNT(E168:I168)</f>
        <v>5</v>
      </c>
      <c r="L168" s="105">
        <f>IF(AND(ISNUMBER(E168),ISNUMBER(J168)),E168-J168,"n/m")</f>
        <v>0.10174221990338561</v>
      </c>
      <c r="M168" s="105">
        <f>IF(COUNT(F168:I168)=0,"n/m",AVERAGE(F168:I168))</f>
        <v>0.11419918208701835</v>
      </c>
      <c r="N168" s="105">
        <f>IF(COUNT(E168:I168)=0,"n/m",MEDIAN(E168:I168))</f>
        <v>0.13103867634936517</v>
      </c>
      <c r="O168" t="s">
        <v>920</v>
      </c>
      <c r="P168" s="8" t="str">
        <f>IF(NOT(ISNUMBER(L168)),"n/m",IF(O168="Higher",IF(L168&gt;=0,"Above avg - favourable","Below avg - unfavourable"),IF(O168="Lower",IF(L168&lt;=0,"Below avg - favourable","Above avg - unfavourable"),IF(L168&gt;=0,"Above avg - context-dependent","Below avg - context-dependent"))))&amp;IF(K168&lt;5," (N="&amp;K168&amp;")","")</f>
        <v>Above avg - favourable</v>
      </c>
      <c r="R168" s="40" t="str">
        <f>IF(K168=0,"n/m",IF(ABS(J168-SUM(E168:I168)/K168)&lt;0.000000001,"OK","ERR"))</f>
        <v>OK</v>
      </c>
    </row>
    <row r="169" spans="1:18" x14ac:dyDescent="0.3">
      <c r="C169" s="37" t="s">
        <v>945</v>
      </c>
      <c r="D169" t="s">
        <v>28</v>
      </c>
      <c r="E169" s="103">
        <f>KOHC!G167</f>
        <v>0.26673832964758931</v>
      </c>
      <c r="F169" s="103">
        <f>LUCK!G167</f>
        <v>0.19221205649491527</v>
      </c>
      <c r="G169" s="103">
        <f>DGKC!G167</f>
        <v>7.9385238924046184E-2</v>
      </c>
      <c r="H169" s="103">
        <f>MLCF!G167</f>
        <v>0.13825037772501389</v>
      </c>
      <c r="I169" s="103">
        <f>FCCL!G167</f>
        <v>0.14585563246661551</v>
      </c>
      <c r="J169" s="104">
        <f>IF(COUNT(E169:I169)=0,"n/m",AVERAGE(E169:I169))</f>
        <v>0.16448832705163602</v>
      </c>
      <c r="K169">
        <f>COUNT(E169:I169)</f>
        <v>5</v>
      </c>
      <c r="L169" s="105">
        <f>IF(AND(ISNUMBER(E169),ISNUMBER(J169)),E169-J169,"n/m")</f>
        <v>0.10225000259595329</v>
      </c>
      <c r="M169" s="105">
        <f>IF(COUNT(F169:I169)=0,"n/m",AVERAGE(F169:I169))</f>
        <v>0.1389258264026477</v>
      </c>
      <c r="N169" s="105">
        <f>IF(COUNT(E169:I169)=0,"n/m",MEDIAN(E169:I169))</f>
        <v>0.14585563246661551</v>
      </c>
      <c r="O169" t="s">
        <v>920</v>
      </c>
      <c r="P169" s="8" t="str">
        <f>IF(NOT(ISNUMBER(L169)),"n/m",IF(O169="Higher",IF(L169&gt;=0,"Above avg - favourable","Below avg - unfavourable"),IF(O169="Lower",IF(L169&lt;=0,"Below avg - favourable","Above avg - unfavourable"),IF(L169&gt;=0,"Above avg - context-dependent","Below avg - context-dependent"))))&amp;IF(K169&lt;5," (N="&amp;K169&amp;")","")</f>
        <v>Above avg - favourable</v>
      </c>
      <c r="R169" s="40" t="str">
        <f>IF(K169=0,"n/m",IF(ABS(J169-SUM(E169:I169)/K169)&lt;0.000000001,"OK","ERR"))</f>
        <v>OK</v>
      </c>
    </row>
    <row r="170" spans="1:18" x14ac:dyDescent="0.3">
      <c r="C170" s="37" t="s">
        <v>945</v>
      </c>
      <c r="D170" t="s">
        <v>29</v>
      </c>
      <c r="E170" s="103">
        <f>KOHC!H167</f>
        <v>0.28807830028219766</v>
      </c>
      <c r="F170" s="103">
        <f>LUCK!H167</f>
        <v>0.19447652728583156</v>
      </c>
      <c r="G170" s="103">
        <f>DGKC!H167</f>
        <v>0.11870857622241335</v>
      </c>
      <c r="H170" s="103">
        <f>MLCF!H167</f>
        <v>0.23086739193474415</v>
      </c>
      <c r="I170" s="103">
        <f>FCCL!H167</f>
        <v>0.17698081009657979</v>
      </c>
      <c r="J170" s="104">
        <f>IF(COUNT(E170:I170)=0,"n/m",AVERAGE(E170:I170))</f>
        <v>0.20182232116435334</v>
      </c>
      <c r="K170">
        <f>COUNT(E170:I170)</f>
        <v>5</v>
      </c>
      <c r="L170" s="105">
        <f>IF(AND(ISNUMBER(E170),ISNUMBER(J170)),E170-J170,"n/m")</f>
        <v>8.6255979117844328E-2</v>
      </c>
      <c r="M170" s="105">
        <f>IF(COUNT(F170:I170)=0,"n/m",AVERAGE(F170:I170))</f>
        <v>0.1802583263848922</v>
      </c>
      <c r="N170" s="105">
        <f>IF(COUNT(E170:I170)=0,"n/m",MEDIAN(E170:I170))</f>
        <v>0.19447652728583156</v>
      </c>
      <c r="O170" t="s">
        <v>920</v>
      </c>
      <c r="P170" s="8" t="str">
        <f>IF(NOT(ISNUMBER(L170)),"n/m",IF(O170="Higher",IF(L170&gt;=0,"Above avg - favourable","Below avg - unfavourable"),IF(O170="Lower",IF(L170&lt;=0,"Below avg - favourable","Above avg - unfavourable"),IF(L170&gt;=0,"Above avg - context-dependent","Below avg - context-dependent"))))&amp;IF(K170&lt;5," (N="&amp;K170&amp;")","")</f>
        <v>Above avg - favourable</v>
      </c>
      <c r="R170" s="40" t="str">
        <f>IF(K170=0,"n/m",IF(ABS(J170-SUM(E170:I170)/K170)&lt;0.000000001,"OK","ERR"))</f>
        <v>OK</v>
      </c>
    </row>
    <row r="171" spans="1:18" ht="22.05" customHeight="1" x14ac:dyDescent="0.3">
      <c r="A171" s="213" t="s">
        <v>946</v>
      </c>
      <c r="B171" s="206">
        <v>28</v>
      </c>
      <c r="C171" s="213" t="s">
        <v>947</v>
      </c>
      <c r="D171" s="206"/>
      <c r="E171" s="206"/>
      <c r="F171" s="206"/>
      <c r="G171" s="206"/>
      <c r="H171" s="206"/>
      <c r="I171" s="206"/>
      <c r="J171" s="206"/>
      <c r="K171" s="206"/>
      <c r="L171" s="206"/>
      <c r="M171" s="206"/>
      <c r="N171" s="206"/>
      <c r="O171" s="206"/>
      <c r="P171" s="206"/>
      <c r="Q171" s="213"/>
      <c r="R171" s="206"/>
    </row>
    <row r="172" spans="1:18" x14ac:dyDescent="0.3">
      <c r="A172" s="35" t="s">
        <v>519</v>
      </c>
      <c r="B172" s="13">
        <v>28</v>
      </c>
      <c r="C172" s="12" t="s">
        <v>520</v>
      </c>
      <c r="D172" s="13"/>
      <c r="E172" s="13"/>
      <c r="F172" s="13"/>
      <c r="G172" s="13"/>
      <c r="H172" s="13"/>
      <c r="I172" s="13"/>
      <c r="J172" s="13"/>
      <c r="K172" s="13"/>
      <c r="L172" s="13"/>
      <c r="M172" s="13"/>
      <c r="N172" s="13"/>
      <c r="O172" s="13"/>
      <c r="P172" s="13"/>
      <c r="Q172" s="36" t="s">
        <v>948</v>
      </c>
      <c r="R172" s="13"/>
    </row>
    <row r="173" spans="1:18" x14ac:dyDescent="0.3">
      <c r="C173" s="37" t="s">
        <v>139</v>
      </c>
      <c r="D173" t="s">
        <v>20</v>
      </c>
      <c r="E173" s="106">
        <f>KOHC!D169</f>
        <v>110.64122209168052</v>
      </c>
      <c r="F173" s="106">
        <f>LUCK!D169</f>
        <v>350.05878005411677</v>
      </c>
      <c r="G173" s="106">
        <f>DGKC!D169</f>
        <v>167.71209700741193</v>
      </c>
      <c r="H173" s="106">
        <f>MLCF!D169</f>
        <v>34.180972265393187</v>
      </c>
      <c r="I173" s="106">
        <f>FCCL!D169</f>
        <v>16.868689643176804</v>
      </c>
      <c r="J173" s="107">
        <f>IF(COUNT(E173:I173)=0,"n/m",AVERAGE(E173:I173))</f>
        <v>135.89235221235583</v>
      </c>
      <c r="K173">
        <f>COUNT(E173:I173)</f>
        <v>5</v>
      </c>
      <c r="L173" s="108">
        <f>IF(AND(ISNUMBER(E173),ISNUMBER(J173)),E173-J173,"n/m")</f>
        <v>-25.251130120675313</v>
      </c>
      <c r="M173" s="108">
        <f>IF(COUNT(F173:I173)=0,"n/m",AVERAGE(F173:I173))</f>
        <v>142.20513474252468</v>
      </c>
      <c r="N173" s="108">
        <f>IF(COUNT(E173:I173)=0,"n/m",MEDIAN(E173:I173))</f>
        <v>110.64122209168052</v>
      </c>
      <c r="O173" t="s">
        <v>922</v>
      </c>
      <c r="P173" s="8" t="str">
        <f>IF(NOT(ISNUMBER(L173)),"n/m",IF(O173="Higher",IF(L173&gt;=0,"Above avg - favourable","Below avg - unfavourable"),IF(O173="Lower",IF(L173&lt;=0,"Below avg - favourable","Above avg - unfavourable"),IF(L173&gt;=0,"Above avg - context-dependent","Below avg - context-dependent"))))&amp;IF(K173&lt;5," (N="&amp;K173&amp;")","")</f>
        <v>Below avg - context-dependent</v>
      </c>
      <c r="R173" s="40" t="str">
        <f>IF(K173=0,"n/m",IF(ABS(J173-SUM(E173:I173)/K173)&lt;0.000000001,"OK","ERR"))</f>
        <v>OK</v>
      </c>
    </row>
    <row r="174" spans="1:18" x14ac:dyDescent="0.3">
      <c r="C174" s="37" t="s">
        <v>139</v>
      </c>
      <c r="D174" t="s">
        <v>26</v>
      </c>
      <c r="E174" s="106">
        <f>KOHC!E169</f>
        <v>135.64693964412666</v>
      </c>
      <c r="F174" s="106">
        <f>LUCK!E169</f>
        <v>397.49617008117508</v>
      </c>
      <c r="G174" s="106">
        <f>DGKC!E169</f>
        <v>159.58697532246367</v>
      </c>
      <c r="H174" s="106">
        <f>MLCF!E169</f>
        <v>37.561557627459578</v>
      </c>
      <c r="I174" s="106">
        <f>FCCL!E169</f>
        <v>26.480675904195227</v>
      </c>
      <c r="J174" s="107">
        <f>IF(COUNT(E174:I174)=0,"n/m",AVERAGE(E174:I174))</f>
        <v>151.35446371588404</v>
      </c>
      <c r="K174">
        <f>COUNT(E174:I174)</f>
        <v>5</v>
      </c>
      <c r="L174" s="108">
        <f>IF(AND(ISNUMBER(E174),ISNUMBER(J174)),E174-J174,"n/m")</f>
        <v>-15.707524071757376</v>
      </c>
      <c r="M174" s="108">
        <f>IF(COUNT(F174:I174)=0,"n/m",AVERAGE(F174:I174))</f>
        <v>155.2813447338234</v>
      </c>
      <c r="N174" s="108">
        <f>IF(COUNT(E174:I174)=0,"n/m",MEDIAN(E174:I174))</f>
        <v>135.64693964412666</v>
      </c>
      <c r="O174" t="s">
        <v>922</v>
      </c>
      <c r="P174" s="8" t="str">
        <f>IF(NOT(ISNUMBER(L174)),"n/m",IF(O174="Higher",IF(L174&gt;=0,"Above avg - favourable","Below avg - unfavourable"),IF(O174="Lower",IF(L174&lt;=0,"Below avg - favourable","Above avg - unfavourable"),IF(L174&gt;=0,"Above avg - context-dependent","Below avg - context-dependent"))))&amp;IF(K174&lt;5," (N="&amp;K174&amp;")","")</f>
        <v>Below avg - context-dependent</v>
      </c>
      <c r="R174" s="40" t="str">
        <f>IF(K174=0,"n/m",IF(ABS(J174-SUM(E174:I174)/K174)&lt;0.000000001,"OK","ERR"))</f>
        <v>OK</v>
      </c>
    </row>
    <row r="175" spans="1:18" x14ac:dyDescent="0.3">
      <c r="C175" s="37" t="s">
        <v>139</v>
      </c>
      <c r="D175" t="s">
        <v>27</v>
      </c>
      <c r="E175" s="106">
        <f>KOHC!F169</f>
        <v>162.35106244484723</v>
      </c>
      <c r="F175" s="106">
        <f>LUCK!F169</f>
        <v>440.50456229600826</v>
      </c>
      <c r="G175" s="106">
        <f>DGKC!F169</f>
        <v>146.51786922779672</v>
      </c>
      <c r="H175" s="106">
        <f>MLCF!F169</f>
        <v>41.844014540695262</v>
      </c>
      <c r="I175" s="106">
        <f>FCCL!F169</f>
        <v>26.571458006604239</v>
      </c>
      <c r="J175" s="107">
        <f>IF(COUNT(E175:I175)=0,"n/m",AVERAGE(E175:I175))</f>
        <v>163.55779330319035</v>
      </c>
      <c r="K175">
        <f>COUNT(E175:I175)</f>
        <v>5</v>
      </c>
      <c r="L175" s="108">
        <f>IF(AND(ISNUMBER(E175),ISNUMBER(J175)),E175-J175,"n/m")</f>
        <v>-1.2067308583431213</v>
      </c>
      <c r="M175" s="108">
        <f>IF(COUNT(F175:I175)=0,"n/m",AVERAGE(F175:I175))</f>
        <v>163.8594760177761</v>
      </c>
      <c r="N175" s="108">
        <f>IF(COUNT(E175:I175)=0,"n/m",MEDIAN(E175:I175))</f>
        <v>146.51786922779672</v>
      </c>
      <c r="O175" t="s">
        <v>922</v>
      </c>
      <c r="P175" s="8" t="str">
        <f>IF(NOT(ISNUMBER(L175)),"n/m",IF(O175="Higher",IF(L175&gt;=0,"Above avg - favourable","Below avg - unfavourable"),IF(O175="Lower",IF(L175&lt;=0,"Below avg - favourable","Above avg - unfavourable"),IF(L175&gt;=0,"Above avg - context-dependent","Below avg - context-dependent"))))&amp;IF(K175&lt;5," (N="&amp;K175&amp;")","")</f>
        <v>Below avg - context-dependent</v>
      </c>
      <c r="R175" s="40" t="str">
        <f>IF(K175=0,"n/m",IF(ABS(J175-SUM(E175:I175)/K175)&lt;0.000000001,"OK","ERR"))</f>
        <v>OK</v>
      </c>
    </row>
    <row r="176" spans="1:18" x14ac:dyDescent="0.3">
      <c r="C176" s="37" t="s">
        <v>139</v>
      </c>
      <c r="D176" t="s">
        <v>28</v>
      </c>
      <c r="E176" s="106">
        <f>KOHC!G169</f>
        <v>209.79287853383309</v>
      </c>
      <c r="F176" s="106">
        <f>LUCK!G169</f>
        <v>504.3046996587031</v>
      </c>
      <c r="G176" s="106">
        <f>DGKC!G169</f>
        <v>173.12082034314415</v>
      </c>
      <c r="H176" s="106">
        <f>MLCF!G169</f>
        <v>50.226982139301263</v>
      </c>
      <c r="I176" s="106">
        <f>FCCL!G169</f>
        <v>29.923935347634316</v>
      </c>
      <c r="J176" s="107">
        <f>IF(COUNT(E176:I176)=0,"n/m",AVERAGE(E176:I176))</f>
        <v>193.47386320452318</v>
      </c>
      <c r="K176">
        <f>COUNT(E176:I176)</f>
        <v>5</v>
      </c>
      <c r="L176" s="108">
        <f>IF(AND(ISNUMBER(E176),ISNUMBER(J176)),E176-J176,"n/m")</f>
        <v>16.319015329309906</v>
      </c>
      <c r="M176" s="108">
        <f>IF(COUNT(F176:I176)=0,"n/m",AVERAGE(F176:I176))</f>
        <v>189.39410937219571</v>
      </c>
      <c r="N176" s="108">
        <f>IF(COUNT(E176:I176)=0,"n/m",MEDIAN(E176:I176))</f>
        <v>173.12082034314415</v>
      </c>
      <c r="O176" t="s">
        <v>922</v>
      </c>
      <c r="P176" s="8" t="str">
        <f>IF(NOT(ISNUMBER(L176)),"n/m",IF(O176="Higher",IF(L176&gt;=0,"Above avg - favourable","Below avg - unfavourable"),IF(O176="Lower",IF(L176&lt;=0,"Below avg - favourable","Above avg - unfavourable"),IF(L176&gt;=0,"Above avg - context-dependent","Below avg - context-dependent"))))&amp;IF(K176&lt;5," (N="&amp;K176&amp;")","")</f>
        <v>Above avg - context-dependent</v>
      </c>
      <c r="R176" s="40" t="str">
        <f>IF(K176=0,"n/m",IF(ABS(J176-SUM(E176:I176)/K176)&lt;0.000000001,"OK","ERR"))</f>
        <v>OK</v>
      </c>
    </row>
    <row r="177" spans="1:18" x14ac:dyDescent="0.3">
      <c r="C177" s="37" t="s">
        <v>139</v>
      </c>
      <c r="D177" t="s">
        <v>29</v>
      </c>
      <c r="E177" s="106">
        <f>KOHC!H169</f>
        <v>260.8226721418157</v>
      </c>
      <c r="F177" s="106">
        <f>LUCK!H169</f>
        <v>120.07535836177475</v>
      </c>
      <c r="G177" s="106">
        <f>DGKC!H169</f>
        <v>216.07703932560804</v>
      </c>
      <c r="H177" s="106">
        <f>MLCF!H169</f>
        <v>68.217013474898792</v>
      </c>
      <c r="I177" s="106">
        <f>FCCL!H169</f>
        <v>34.356887072804682</v>
      </c>
      <c r="J177" s="107">
        <f>IF(COUNT(E177:I177)=0,"n/m",AVERAGE(E177:I177))</f>
        <v>139.90979407538038</v>
      </c>
      <c r="K177">
        <f>COUNT(E177:I177)</f>
        <v>5</v>
      </c>
      <c r="L177" s="108">
        <f>IF(AND(ISNUMBER(E177),ISNUMBER(J177)),E177-J177,"n/m")</f>
        <v>120.91287806643533</v>
      </c>
      <c r="M177" s="108">
        <f>IF(COUNT(F177:I177)=0,"n/m",AVERAGE(F177:I177))</f>
        <v>109.68157455877157</v>
      </c>
      <c r="N177" s="108">
        <f>IF(COUNT(E177:I177)=0,"n/m",MEDIAN(E177:I177))</f>
        <v>120.07535836177475</v>
      </c>
      <c r="O177" t="s">
        <v>922</v>
      </c>
      <c r="P177" s="8" t="str">
        <f>IF(NOT(ISNUMBER(L177)),"n/m",IF(O177="Higher",IF(L177&gt;=0,"Above avg - favourable","Below avg - unfavourable"),IF(O177="Lower",IF(L177&lt;=0,"Below avg - favourable","Above avg - unfavourable"),IF(L177&gt;=0,"Above avg - context-dependent","Below avg - context-dependent"))))&amp;IF(K177&lt;5," (N="&amp;K177&amp;")","")</f>
        <v>Above avg - context-dependent</v>
      </c>
      <c r="R177" s="40" t="str">
        <f>IF(K177=0,"n/m",IF(ABS(J177-SUM(E177:I177)/K177)&lt;0.000000001,"OK","ERR"))</f>
        <v>OK</v>
      </c>
    </row>
    <row r="178" spans="1:18" x14ac:dyDescent="0.3">
      <c r="A178" s="35" t="s">
        <v>519</v>
      </c>
      <c r="B178" s="13">
        <v>29</v>
      </c>
      <c r="C178" s="12" t="s">
        <v>522</v>
      </c>
      <c r="D178" s="13"/>
      <c r="E178" s="13"/>
      <c r="F178" s="13"/>
      <c r="G178" s="13"/>
      <c r="H178" s="13"/>
      <c r="I178" s="13"/>
      <c r="J178" s="13"/>
      <c r="K178" s="13"/>
      <c r="L178" s="13"/>
      <c r="M178" s="13"/>
      <c r="N178" s="13"/>
      <c r="O178" s="13"/>
      <c r="P178" s="13"/>
      <c r="Q178" s="36" t="s">
        <v>949</v>
      </c>
      <c r="R178" s="13"/>
    </row>
    <row r="179" spans="1:18" x14ac:dyDescent="0.3">
      <c r="C179" s="37" t="s">
        <v>162</v>
      </c>
      <c r="D179" t="s">
        <v>20</v>
      </c>
      <c r="E179" s="94">
        <f>KOHC!D170</f>
        <v>1.8663025958706099</v>
      </c>
      <c r="F179" s="94">
        <f>LUCK!D170</f>
        <v>2.4665571875286716</v>
      </c>
      <c r="G179" s="94">
        <f>DGKC!D170</f>
        <v>0.7031096868032638</v>
      </c>
      <c r="H179" s="94">
        <f>MLCF!D170</f>
        <v>1.3744489078669448</v>
      </c>
      <c r="I179" s="94">
        <f>FCCL!D170</f>
        <v>1.3634728296339984</v>
      </c>
      <c r="J179" s="95">
        <f>IF(COUNT(E179:I179)=0,"n/m",AVERAGE(E179:I179))</f>
        <v>1.5547782415406979</v>
      </c>
      <c r="K179">
        <f>COUNT(E179:I179)</f>
        <v>5</v>
      </c>
      <c r="L179" s="96">
        <f>IF(AND(ISNUMBER(E179),ISNUMBER(J179)),E179-J179,"n/m")</f>
        <v>0.31152435432991199</v>
      </c>
      <c r="M179" s="96">
        <f>IF(COUNT(F179:I179)=0,"n/m",AVERAGE(F179:I179))</f>
        <v>1.4768971529582196</v>
      </c>
      <c r="N179" s="96">
        <f>IF(COUNT(E179:I179)=0,"n/m",MEDIAN(E179:I179))</f>
        <v>1.3744489078669448</v>
      </c>
      <c r="O179" t="s">
        <v>922</v>
      </c>
      <c r="P179" s="8" t="str">
        <f>IF(NOT(ISNUMBER(L179)),"n/m",IF(O179="Higher",IF(L179&gt;=0,"Above avg - favourable","Below avg - unfavourable"),IF(O179="Lower",IF(L179&lt;=0,"Below avg - favourable","Above avg - unfavourable"),IF(L179&gt;=0,"Above avg - context-dependent","Below avg - context-dependent"))))&amp;IF(K179&lt;5," (N="&amp;K179&amp;")","")</f>
        <v>Above avg - context-dependent</v>
      </c>
      <c r="R179" s="40" t="str">
        <f>IF(K179=0,"n/m",IF(ABS(J179-SUM(E179:I179)/K179)&lt;0.000000001,"OK","ERR"))</f>
        <v>OK</v>
      </c>
    </row>
    <row r="180" spans="1:18" x14ac:dyDescent="0.3">
      <c r="C180" s="37" t="s">
        <v>162</v>
      </c>
      <c r="D180" t="s">
        <v>26</v>
      </c>
      <c r="E180" s="94">
        <f>KOHC!E170</f>
        <v>0.95932868328175702</v>
      </c>
      <c r="F180" s="94">
        <f>LUCK!E170</f>
        <v>1.1548287368561481</v>
      </c>
      <c r="G180" s="94">
        <f>DGKC!E170</f>
        <v>0.39163597075332512</v>
      </c>
      <c r="H180" s="94">
        <f>MLCF!E170</f>
        <v>0.72813806794864222</v>
      </c>
      <c r="I180" s="94">
        <f>FCCL!E170</f>
        <v>0.53510718726613404</v>
      </c>
      <c r="J180" s="95">
        <f>IF(COUNT(E180:I180)=0,"n/m",AVERAGE(E180:I180))</f>
        <v>0.75380772922120132</v>
      </c>
      <c r="K180">
        <f>COUNT(E180:I180)</f>
        <v>5</v>
      </c>
      <c r="L180" s="96">
        <f>IF(AND(ISNUMBER(E180),ISNUMBER(J180)),E180-J180,"n/m")</f>
        <v>0.20552095406055571</v>
      </c>
      <c r="M180" s="96">
        <f>IF(COUNT(F180:I180)=0,"n/m",AVERAGE(F180:I180))</f>
        <v>0.70242749070606236</v>
      </c>
      <c r="N180" s="96">
        <f>IF(COUNT(E180:I180)=0,"n/m",MEDIAN(E180:I180))</f>
        <v>0.72813806794864222</v>
      </c>
      <c r="O180" t="s">
        <v>922</v>
      </c>
      <c r="P180" s="8" t="str">
        <f>IF(NOT(ISNUMBER(L180)),"n/m",IF(O180="Higher",IF(L180&gt;=0,"Above avg - favourable","Below avg - unfavourable"),IF(O180="Lower",IF(L180&lt;=0,"Below avg - favourable","Above avg - unfavourable"),IF(L180&gt;=0,"Above avg - context-dependent","Below avg - context-dependent"))))&amp;IF(K180&lt;5," (N="&amp;K180&amp;")","")</f>
        <v>Above avg - context-dependent</v>
      </c>
      <c r="R180" s="40" t="str">
        <f>IF(K180=0,"n/m",IF(ABS(J180-SUM(E180:I180)/K180)&lt;0.000000001,"OK","ERR"))</f>
        <v>OK</v>
      </c>
    </row>
    <row r="181" spans="1:18" x14ac:dyDescent="0.3">
      <c r="C181" s="37" t="s">
        <v>162</v>
      </c>
      <c r="D181" t="s">
        <v>27</v>
      </c>
      <c r="E181" s="94">
        <f>KOHC!F170</f>
        <v>1.0684870021034203</v>
      </c>
      <c r="F181" s="94">
        <f>LUCK!F170</f>
        <v>1.1852090640758639</v>
      </c>
      <c r="G181" s="94">
        <f>DGKC!F170</f>
        <v>0.35012794187063967</v>
      </c>
      <c r="H181" s="94">
        <f>MLCF!F170</f>
        <v>0.67703828877240613</v>
      </c>
      <c r="I181" s="94">
        <f>FCCL!F170</f>
        <v>0.44258015488186969</v>
      </c>
      <c r="J181" s="95">
        <f>IF(COUNT(E181:I181)=0,"n/m",AVERAGE(E181:I181))</f>
        <v>0.74468849034083984</v>
      </c>
      <c r="K181">
        <f>COUNT(E181:I181)</f>
        <v>5</v>
      </c>
      <c r="L181" s="96">
        <f>IF(AND(ISNUMBER(E181),ISNUMBER(J181)),E181-J181,"n/m")</f>
        <v>0.32379851176258045</v>
      </c>
      <c r="M181" s="96">
        <f>IF(COUNT(F181:I181)=0,"n/m",AVERAGE(F181:I181))</f>
        <v>0.66373886240019475</v>
      </c>
      <c r="N181" s="96">
        <f>IF(COUNT(E181:I181)=0,"n/m",MEDIAN(E181:I181))</f>
        <v>0.67703828877240613</v>
      </c>
      <c r="O181" t="s">
        <v>922</v>
      </c>
      <c r="P181" s="8" t="str">
        <f>IF(NOT(ISNUMBER(L181)),"n/m",IF(O181="Higher",IF(L181&gt;=0,"Above avg - favourable","Below avg - unfavourable"),IF(O181="Lower",IF(L181&lt;=0,"Below avg - favourable","Above avg - unfavourable"),IF(L181&gt;=0,"Above avg - context-dependent","Below avg - context-dependent"))))&amp;IF(K181&lt;5," (N="&amp;K181&amp;")","")</f>
        <v>Above avg - context-dependent</v>
      </c>
      <c r="R181" s="40" t="str">
        <f>IF(K181=0,"n/m",IF(ABS(J181-SUM(E181:I181)/K181)&lt;0.000000001,"OK","ERR"))</f>
        <v>OK</v>
      </c>
    </row>
    <row r="182" spans="1:18" x14ac:dyDescent="0.3">
      <c r="C182" s="37" t="s">
        <v>162</v>
      </c>
      <c r="D182" t="s">
        <v>28</v>
      </c>
      <c r="E182" s="94">
        <f>KOHC!G170</f>
        <v>1.1937011482475723</v>
      </c>
      <c r="F182" s="94">
        <f>LUCK!G170</f>
        <v>1.7979804681845026</v>
      </c>
      <c r="G182" s="94">
        <f>DGKC!G170</f>
        <v>0.52142775098382221</v>
      </c>
      <c r="H182" s="94">
        <f>MLCF!G170</f>
        <v>0.75656546305349337</v>
      </c>
      <c r="I182" s="94">
        <f>FCCL!G170</f>
        <v>0.76560785651514207</v>
      </c>
      <c r="J182" s="95">
        <f>IF(COUNT(E182:I182)=0,"n/m",AVERAGE(E182:I182))</f>
        <v>1.0070565373969065</v>
      </c>
      <c r="K182">
        <f>COUNT(E182:I182)</f>
        <v>5</v>
      </c>
      <c r="L182" s="96">
        <f>IF(AND(ISNUMBER(E182),ISNUMBER(J182)),E182-J182,"n/m")</f>
        <v>0.18664461085066586</v>
      </c>
      <c r="M182" s="96">
        <f>IF(COUNT(F182:I182)=0,"n/m",AVERAGE(F182:I182))</f>
        <v>0.96039538468424013</v>
      </c>
      <c r="N182" s="96">
        <f>IF(COUNT(E182:I182)=0,"n/m",MEDIAN(E182:I182))</f>
        <v>0.76560785651514207</v>
      </c>
      <c r="O182" t="s">
        <v>922</v>
      </c>
      <c r="P182" s="8" t="str">
        <f>IF(NOT(ISNUMBER(L182)),"n/m",IF(O182="Higher",IF(L182&gt;=0,"Above avg - favourable","Below avg - unfavourable"),IF(O182="Lower",IF(L182&lt;=0,"Below avg - favourable","Above avg - unfavourable"),IF(L182&gt;=0,"Above avg - context-dependent","Below avg - context-dependent"))))&amp;IF(K182&lt;5," (N="&amp;K182&amp;")","")</f>
        <v>Above avg - context-dependent</v>
      </c>
      <c r="R182" s="40" t="str">
        <f>IF(K182=0,"n/m",IF(ABS(J182-SUM(E182:I182)/K182)&lt;0.000000001,"OK","ERR"))</f>
        <v>OK</v>
      </c>
    </row>
    <row r="183" spans="1:18" x14ac:dyDescent="0.3">
      <c r="C183" s="37" t="s">
        <v>162</v>
      </c>
      <c r="D183" t="s">
        <v>29</v>
      </c>
      <c r="E183" s="94">
        <f>KOHC!H170</f>
        <v>1.4544747850514033</v>
      </c>
      <c r="F183" s="94">
        <f>LUCK!H170</f>
        <v>2.9584754511387614</v>
      </c>
      <c r="G183" s="94">
        <f>DGKC!H170</f>
        <v>0.76620820294800718</v>
      </c>
      <c r="H183" s="94">
        <f>MLCF!H170</f>
        <v>1.2354689205356633</v>
      </c>
      <c r="I183" s="94">
        <f>FCCL!H170</f>
        <v>1.3001759998029245</v>
      </c>
      <c r="J183" s="95">
        <f>IF(COUNT(E183:I183)=0,"n/m",AVERAGE(E183:I183))</f>
        <v>1.5429606718953519</v>
      </c>
      <c r="K183">
        <f>COUNT(E183:I183)</f>
        <v>5</v>
      </c>
      <c r="L183" s="96">
        <f>IF(AND(ISNUMBER(E183),ISNUMBER(J183)),E183-J183,"n/m")</f>
        <v>-8.8485886843948647E-2</v>
      </c>
      <c r="M183" s="96">
        <f>IF(COUNT(F183:I183)=0,"n/m",AVERAGE(F183:I183))</f>
        <v>1.5650821436063391</v>
      </c>
      <c r="N183" s="96">
        <f>IF(COUNT(E183:I183)=0,"n/m",MEDIAN(E183:I183))</f>
        <v>1.3001759998029245</v>
      </c>
      <c r="O183" t="s">
        <v>922</v>
      </c>
      <c r="P183" s="8" t="str">
        <f>IF(NOT(ISNUMBER(L183)),"n/m",IF(O183="Higher",IF(L183&gt;=0,"Above avg - favourable","Below avg - unfavourable"),IF(O183="Lower",IF(L183&lt;=0,"Below avg - favourable","Above avg - unfavourable"),IF(L183&gt;=0,"Above avg - context-dependent","Below avg - context-dependent"))))&amp;IF(K183&lt;5," (N="&amp;K183&amp;")","")</f>
        <v>Below avg - context-dependent</v>
      </c>
      <c r="R183" s="40" t="str">
        <f>IF(K183=0,"n/m",IF(ABS(J183-SUM(E183:I183)/K183)&lt;0.000000001,"OK","ERR"))</f>
        <v>OK</v>
      </c>
    </row>
    <row r="184" spans="1:18" x14ac:dyDescent="0.3">
      <c r="A184" s="35" t="s">
        <v>519</v>
      </c>
      <c r="B184" s="13">
        <v>30</v>
      </c>
      <c r="C184" s="12" t="s">
        <v>524</v>
      </c>
      <c r="D184" s="13"/>
      <c r="E184" s="13"/>
      <c r="F184" s="13"/>
      <c r="G184" s="13"/>
      <c r="H184" s="13"/>
      <c r="I184" s="13"/>
      <c r="J184" s="13"/>
      <c r="K184" s="13"/>
      <c r="L184" s="13"/>
      <c r="M184" s="13"/>
      <c r="N184" s="13"/>
      <c r="O184" s="13"/>
      <c r="P184" s="13"/>
      <c r="Q184" s="36" t="s">
        <v>950</v>
      </c>
      <c r="R184" s="13"/>
    </row>
    <row r="185" spans="1:18" x14ac:dyDescent="0.3">
      <c r="C185" s="37" t="s">
        <v>143</v>
      </c>
      <c r="D185" t="s">
        <v>20</v>
      </c>
      <c r="E185" s="106">
        <f>KOHC!D171</f>
        <v>17.412549352402124</v>
      </c>
      <c r="F185" s="106">
        <f>LUCK!D171</f>
        <v>43.510441437959038</v>
      </c>
      <c r="G185" s="106">
        <f>DGKC!D171</f>
        <v>8.4937471274650029</v>
      </c>
      <c r="H185" s="106">
        <f>MLCF!D171</f>
        <v>5.6941155155115029</v>
      </c>
      <c r="I185" s="106">
        <f>FCCL!D171</f>
        <v>2.5158090033808875</v>
      </c>
      <c r="J185" s="107">
        <f>IF(COUNT(E185:I185)=0,"n/m",AVERAGE(E185:I185))</f>
        <v>15.525332487343713</v>
      </c>
      <c r="K185">
        <f>COUNT(E185:I185)</f>
        <v>5</v>
      </c>
      <c r="L185" s="108">
        <f>IF(AND(ISNUMBER(E185),ISNUMBER(J185)),E185-J185,"n/m")</f>
        <v>1.8872168650584111</v>
      </c>
      <c r="M185" s="108">
        <f>IF(COUNT(F185:I185)=0,"n/m",AVERAGE(F185:I185))</f>
        <v>15.053528271079109</v>
      </c>
      <c r="N185" s="108">
        <f>IF(COUNT(E185:I185)=0,"n/m",MEDIAN(E185:I185))</f>
        <v>8.4937471274650029</v>
      </c>
      <c r="O185" t="s">
        <v>922</v>
      </c>
      <c r="P185" s="8" t="str">
        <f>IF(NOT(ISNUMBER(L185)),"n/m",IF(O185="Higher",IF(L185&gt;=0,"Above avg - favourable","Below avg - unfavourable"),IF(O185="Lower",IF(L185&lt;=0,"Below avg - favourable","Above avg - unfavourable"),IF(L185&gt;=0,"Above avg - context-dependent","Below avg - context-dependent"))))&amp;IF(K185&lt;5," (N="&amp;K185&amp;")","")</f>
        <v>Above avg - context-dependent</v>
      </c>
      <c r="R185" s="40" t="str">
        <f>IF(K185=0,"n/m",IF(ABS(J185-SUM(E185:I185)/K185)&lt;0.000000001,"OK","ERR"))</f>
        <v>OK</v>
      </c>
    </row>
    <row r="186" spans="1:18" x14ac:dyDescent="0.3">
      <c r="C186" s="37" t="s">
        <v>143</v>
      </c>
      <c r="D186" t="s">
        <v>26</v>
      </c>
      <c r="E186" s="106">
        <f>KOHC!E171</f>
        <v>25.013680261160516</v>
      </c>
      <c r="F186" s="106">
        <f>LUCK!E171</f>
        <v>47.309216853498242</v>
      </c>
      <c r="G186" s="106">
        <f>DGKC!E171</f>
        <v>6.7838445707817723</v>
      </c>
      <c r="H186" s="106">
        <f>MLCF!E171</f>
        <v>3.3041099784606085</v>
      </c>
      <c r="I186" s="106">
        <f>FCCL!E171</f>
        <v>3.2621706372812294</v>
      </c>
      <c r="J186" s="107">
        <f>IF(COUNT(E186:I186)=0,"n/m",AVERAGE(E186:I186))</f>
        <v>17.134604460236471</v>
      </c>
      <c r="K186">
        <f>COUNT(E186:I186)</f>
        <v>5</v>
      </c>
      <c r="L186" s="108">
        <f>IF(AND(ISNUMBER(E186),ISNUMBER(J186)),E186-J186,"n/m")</f>
        <v>7.8790758009240456</v>
      </c>
      <c r="M186" s="108">
        <f>IF(COUNT(F186:I186)=0,"n/m",AVERAGE(F186:I186))</f>
        <v>15.164835510005464</v>
      </c>
      <c r="N186" s="108">
        <f>IF(COUNT(E186:I186)=0,"n/m",MEDIAN(E186:I186))</f>
        <v>6.7838445707817723</v>
      </c>
      <c r="O186" t="s">
        <v>922</v>
      </c>
      <c r="P186" s="8" t="str">
        <f>IF(NOT(ISNUMBER(L186)),"n/m",IF(O186="Higher",IF(L186&gt;=0,"Above avg - favourable","Below avg - unfavourable"),IF(O186="Lower",IF(L186&lt;=0,"Below avg - favourable","Above avg - unfavourable"),IF(L186&gt;=0,"Above avg - context-dependent","Below avg - context-dependent"))))&amp;IF(K186&lt;5," (N="&amp;K186&amp;")","")</f>
        <v>Above avg - context-dependent</v>
      </c>
      <c r="R186" s="40" t="str">
        <f>IF(K186=0,"n/m",IF(ABS(J186-SUM(E186:I186)/K186)&lt;0.000000001,"OK","ERR"))</f>
        <v>OK</v>
      </c>
    </row>
    <row r="187" spans="1:18" x14ac:dyDescent="0.3">
      <c r="C187" s="37" t="s">
        <v>143</v>
      </c>
      <c r="D187" t="s">
        <v>27</v>
      </c>
      <c r="E187" s="106">
        <f>KOHC!F171</f>
        <v>28.978958275869324</v>
      </c>
      <c r="F187" s="106">
        <f>LUCK!F171</f>
        <v>43.061512349842658</v>
      </c>
      <c r="G187" s="106" t="str">
        <f>DGKC!F171</f>
        <v>n/m</v>
      </c>
      <c r="H187" s="106">
        <f>MLCF!F171</f>
        <v>4.1845053824045904</v>
      </c>
      <c r="I187" s="106">
        <f>FCCL!F171</f>
        <v>3.0330791851886794</v>
      </c>
      <c r="J187" s="107">
        <f>IF(COUNT(E187:I187)=0,"n/m",AVERAGE(E187:I187))</f>
        <v>19.814513798326313</v>
      </c>
      <c r="K187">
        <f>COUNT(E187:I187)</f>
        <v>4</v>
      </c>
      <c r="L187" s="108">
        <f>IF(AND(ISNUMBER(E187),ISNUMBER(J187)),E187-J187,"n/m")</f>
        <v>9.1644444775430109</v>
      </c>
      <c r="M187" s="108">
        <f>IF(COUNT(F187:I187)=0,"n/m",AVERAGE(F187:I187))</f>
        <v>16.759698972478642</v>
      </c>
      <c r="N187" s="108">
        <f>IF(COUNT(E187:I187)=0,"n/m",MEDIAN(E187:I187))</f>
        <v>16.581731829136956</v>
      </c>
      <c r="O187" t="s">
        <v>922</v>
      </c>
      <c r="P187" s="8" t="str">
        <f>IF(NOT(ISNUMBER(L187)),"n/m",IF(O187="Higher",IF(L187&gt;=0,"Above avg - favourable","Below avg - unfavourable"),IF(O187="Lower",IF(L187&lt;=0,"Below avg - favourable","Above avg - unfavourable"),IF(L187&gt;=0,"Above avg - context-dependent","Below avg - context-dependent"))))&amp;IF(K187&lt;5," (N="&amp;K187&amp;")","")</f>
        <v>Above avg - context-dependent (N=4)</v>
      </c>
      <c r="R187" s="40" t="str">
        <f>IF(K187=0,"n/m",IF(ABS(J187-SUM(E187:I187)/K187)&lt;0.000000001,"OK","ERR"))</f>
        <v>OK</v>
      </c>
    </row>
    <row r="188" spans="1:18" x14ac:dyDescent="0.3">
      <c r="C188" s="37" t="s">
        <v>143</v>
      </c>
      <c r="D188" t="s">
        <v>28</v>
      </c>
      <c r="E188" s="106">
        <f>KOHC!G171</f>
        <v>45.274272678614977</v>
      </c>
      <c r="F188" s="106">
        <f>LUCK!G171</f>
        <v>94.540589177116431</v>
      </c>
      <c r="G188" s="106">
        <f>DGKC!G171</f>
        <v>1.2380103440270365</v>
      </c>
      <c r="H188" s="106">
        <f>MLCF!G171</f>
        <v>4.9791974962957211</v>
      </c>
      <c r="I188" s="106">
        <f>FCCL!G171</f>
        <v>3.3524781610919856</v>
      </c>
      <c r="J188" s="107">
        <f>IF(COUNT(E188:I188)=0,"n/m",AVERAGE(E188:I188))</f>
        <v>29.876909571429231</v>
      </c>
      <c r="K188">
        <f>COUNT(E188:I188)</f>
        <v>5</v>
      </c>
      <c r="L188" s="108">
        <f>IF(AND(ISNUMBER(E188),ISNUMBER(J188)),E188-J188,"n/m")</f>
        <v>15.397363107185747</v>
      </c>
      <c r="M188" s="108">
        <f>IF(COUNT(F188:I188)=0,"n/m",AVERAGE(F188:I188))</f>
        <v>26.027568794632792</v>
      </c>
      <c r="N188" s="108">
        <f>IF(COUNT(E188:I188)=0,"n/m",MEDIAN(E188:I188))</f>
        <v>4.9791974962957211</v>
      </c>
      <c r="O188" t="s">
        <v>922</v>
      </c>
      <c r="P188" s="8" t="str">
        <f>IF(NOT(ISNUMBER(L188)),"n/m",IF(O188="Higher",IF(L188&gt;=0,"Above avg - favourable","Below avg - unfavourable"),IF(O188="Lower",IF(L188&lt;=0,"Below avg - favourable","Above avg - unfavourable"),IF(L188&gt;=0,"Above avg - context-dependent","Below avg - context-dependent"))))&amp;IF(K188&lt;5," (N="&amp;K188&amp;")","")</f>
        <v>Above avg - context-dependent</v>
      </c>
      <c r="R188" s="40" t="str">
        <f>IF(K188=0,"n/m",IF(ABS(J188-SUM(E188:I188)/K188)&lt;0.000000001,"OK","ERR"))</f>
        <v>OK</v>
      </c>
    </row>
    <row r="189" spans="1:18" x14ac:dyDescent="0.3">
      <c r="C189" s="37" t="s">
        <v>143</v>
      </c>
      <c r="D189" t="s">
        <v>29</v>
      </c>
      <c r="E189" s="106">
        <f>KOHC!H171</f>
        <v>59.842054600869929</v>
      </c>
      <c r="F189" s="106">
        <f>LUCK!H171</f>
        <v>22.588506484641641</v>
      </c>
      <c r="G189" s="106">
        <f>DGKC!H171</f>
        <v>19.800685803443983</v>
      </c>
      <c r="H189" s="106">
        <f>MLCF!H171</f>
        <v>16.262863426829693</v>
      </c>
      <c r="I189" s="106">
        <f>FCCL!H171</f>
        <v>5.4329528095311241</v>
      </c>
      <c r="J189" s="107">
        <f>IF(COUNT(E189:I189)=0,"n/m",AVERAGE(E189:I189))</f>
        <v>24.785412625063277</v>
      </c>
      <c r="K189">
        <f>COUNT(E189:I189)</f>
        <v>5</v>
      </c>
      <c r="L189" s="108">
        <f>IF(AND(ISNUMBER(E189),ISNUMBER(J189)),E189-J189,"n/m")</f>
        <v>35.056641975806656</v>
      </c>
      <c r="M189" s="108">
        <f>IF(COUNT(F189:I189)=0,"n/m",AVERAGE(F189:I189))</f>
        <v>16.021252131111613</v>
      </c>
      <c r="N189" s="108">
        <f>IF(COUNT(E189:I189)=0,"n/m",MEDIAN(E189:I189))</f>
        <v>19.800685803443983</v>
      </c>
      <c r="O189" t="s">
        <v>922</v>
      </c>
      <c r="P189" s="8" t="str">
        <f>IF(NOT(ISNUMBER(L189)),"n/m",IF(O189="Higher",IF(L189&gt;=0,"Above avg - favourable","Below avg - unfavourable"),IF(O189="Lower",IF(L189&lt;=0,"Below avg - favourable","Above avg - unfavourable"),IF(L189&gt;=0,"Above avg - context-dependent","Below avg - context-dependent"))))&amp;IF(K189&lt;5," (N="&amp;K189&amp;")","")</f>
        <v>Above avg - context-dependent</v>
      </c>
      <c r="R189" s="40" t="str">
        <f>IF(K189=0,"n/m",IF(ABS(J189-SUM(E189:I189)/K189)&lt;0.000000001,"OK","ERR"))</f>
        <v>OK</v>
      </c>
    </row>
    <row r="190" spans="1:18" x14ac:dyDescent="0.3">
      <c r="A190" s="35" t="s">
        <v>519</v>
      </c>
      <c r="B190" s="13">
        <v>31</v>
      </c>
      <c r="C190" s="12" t="s">
        <v>526</v>
      </c>
      <c r="D190" s="13"/>
      <c r="E190" s="13"/>
      <c r="F190" s="13"/>
      <c r="G190" s="13"/>
      <c r="H190" s="13"/>
      <c r="I190" s="13"/>
      <c r="J190" s="13"/>
      <c r="K190" s="13"/>
      <c r="L190" s="13"/>
      <c r="M190" s="13"/>
      <c r="N190" s="13"/>
      <c r="O190" s="13"/>
      <c r="P190" s="13"/>
      <c r="Q190" s="36" t="s">
        <v>951</v>
      </c>
      <c r="R190" s="13"/>
    </row>
    <row r="191" spans="1:18" x14ac:dyDescent="0.3">
      <c r="C191" s="37" t="s">
        <v>952</v>
      </c>
      <c r="D191" t="s">
        <v>20</v>
      </c>
      <c r="E191" s="94">
        <f>KOHC!D172</f>
        <v>11.858688571154802</v>
      </c>
      <c r="F191" s="94">
        <f>LUCK!D172</f>
        <v>19.844432082610968</v>
      </c>
      <c r="G191" s="94">
        <f>DGKC!D172</f>
        <v>13.883154069739035</v>
      </c>
      <c r="H191" s="94">
        <f>MLCF!D172</f>
        <v>8.2506229232653325</v>
      </c>
      <c r="I191" s="94">
        <f>FCCL!D172</f>
        <v>9.1421884447870596</v>
      </c>
      <c r="J191" s="95">
        <f>IF(COUNT(E191:I191)=0,"n/m",AVERAGE(E191:I191))</f>
        <v>12.59581721831144</v>
      </c>
      <c r="K191">
        <f>COUNT(E191:I191)</f>
        <v>5</v>
      </c>
      <c r="L191" s="96">
        <f>IF(AND(ISNUMBER(E191),ISNUMBER(J191)),E191-J191,"n/m")</f>
        <v>-0.73712864715663784</v>
      </c>
      <c r="M191" s="96">
        <f>IF(COUNT(F191:I191)=0,"n/m",AVERAGE(F191:I191))</f>
        <v>12.780099380100598</v>
      </c>
      <c r="N191" s="96">
        <f>IF(COUNT(E191:I191)=0,"n/m",MEDIAN(E191:I191))</f>
        <v>11.858688571154802</v>
      </c>
      <c r="O191" t="s">
        <v>922</v>
      </c>
      <c r="P191" s="8" t="str">
        <f>IF(NOT(ISNUMBER(L191)),"n/m",IF(O191="Higher",IF(L191&gt;=0,"Above avg - favourable","Below avg - unfavourable"),IF(O191="Lower",IF(L191&lt;=0,"Below avg - favourable","Above avg - unfavourable"),IF(L191&gt;=0,"Above avg - context-dependent","Below avg - context-dependent"))))&amp;IF(K191&lt;5," (N="&amp;K191&amp;")","")</f>
        <v>Below avg - context-dependent</v>
      </c>
      <c r="R191" s="40" t="str">
        <f>IF(K191=0,"n/m",IF(ABS(J191-SUM(E191:I191)/K191)&lt;0.000000001,"OK","ERR"))</f>
        <v>OK</v>
      </c>
    </row>
    <row r="192" spans="1:18" x14ac:dyDescent="0.3">
      <c r="C192" s="37" t="s">
        <v>952</v>
      </c>
      <c r="D192" t="s">
        <v>26</v>
      </c>
      <c r="E192" s="94">
        <f>KOHC!E172</f>
        <v>5.2023532179731546</v>
      </c>
      <c r="F192" s="94">
        <f>LUCK!E172</f>
        <v>9.7029718632101325</v>
      </c>
      <c r="G192" s="94">
        <f>DGKC!E172</f>
        <v>9.2130648554640278</v>
      </c>
      <c r="H192" s="94">
        <f>MLCF!E172</f>
        <v>8.2775695053414715</v>
      </c>
      <c r="I192" s="94">
        <f>FCCL!E172</f>
        <v>4.3437335368236942</v>
      </c>
      <c r="J192" s="95">
        <f>IF(COUNT(E192:I192)=0,"n/m",AVERAGE(E192:I192))</f>
        <v>7.3479385957624954</v>
      </c>
      <c r="K192">
        <f>COUNT(E192:I192)</f>
        <v>5</v>
      </c>
      <c r="L192" s="96">
        <f>IF(AND(ISNUMBER(E192),ISNUMBER(J192)),E192-J192,"n/m")</f>
        <v>-2.1455853777893408</v>
      </c>
      <c r="M192" s="96">
        <f>IF(COUNT(F192:I192)=0,"n/m",AVERAGE(F192:I192))</f>
        <v>7.8843349402098317</v>
      </c>
      <c r="N192" s="96">
        <f>IF(COUNT(E192:I192)=0,"n/m",MEDIAN(E192:I192))</f>
        <v>8.2775695053414715</v>
      </c>
      <c r="O192" t="s">
        <v>922</v>
      </c>
      <c r="P192" s="8" t="str">
        <f>IF(NOT(ISNUMBER(L192)),"n/m",IF(O192="Higher",IF(L192&gt;=0,"Above avg - favourable","Below avg - unfavourable"),IF(O192="Lower",IF(L192&lt;=0,"Below avg - favourable","Above avg - unfavourable"),IF(L192&gt;=0,"Above avg - context-dependent","Below avg - context-dependent"))))&amp;IF(K192&lt;5," (N="&amp;K192&amp;")","")</f>
        <v>Below avg - context-dependent</v>
      </c>
      <c r="R192" s="40" t="str">
        <f>IF(K192=0,"n/m",IF(ABS(J192-SUM(E192:I192)/K192)&lt;0.000000001,"OK","ERR"))</f>
        <v>OK</v>
      </c>
    </row>
    <row r="193" spans="1:18" x14ac:dyDescent="0.3">
      <c r="C193" s="37" t="s">
        <v>952</v>
      </c>
      <c r="D193" t="s">
        <v>27</v>
      </c>
      <c r="E193" s="94">
        <f>KOHC!F172</f>
        <v>5.9860674889907219</v>
      </c>
      <c r="F193" s="94">
        <f>LUCK!F172</f>
        <v>12.124283879265743</v>
      </c>
      <c r="G193" s="94" t="str">
        <f>DGKC!F172</f>
        <v>n/m</v>
      </c>
      <c r="H193" s="94">
        <f>MLCF!F172</f>
        <v>6.7702147353244424</v>
      </c>
      <c r="I193" s="94">
        <f>FCCL!F172</f>
        <v>3.877247932539039</v>
      </c>
      <c r="J193" s="95">
        <f>IF(COUNT(E193:I193)=0,"n/m",AVERAGE(E193:I193))</f>
        <v>7.1894535090299874</v>
      </c>
      <c r="K193">
        <f>COUNT(E193:I193)</f>
        <v>4</v>
      </c>
      <c r="L193" s="96">
        <f>IF(AND(ISNUMBER(E193),ISNUMBER(J193)),E193-J193,"n/m")</f>
        <v>-1.2033860200392654</v>
      </c>
      <c r="M193" s="96">
        <f>IF(COUNT(F193:I193)=0,"n/m",AVERAGE(F193:I193))</f>
        <v>7.5905821823764077</v>
      </c>
      <c r="N193" s="96">
        <f>IF(COUNT(E193:I193)=0,"n/m",MEDIAN(E193:I193))</f>
        <v>6.3781411121575822</v>
      </c>
      <c r="O193" t="s">
        <v>922</v>
      </c>
      <c r="P193" s="8" t="str">
        <f>IF(NOT(ISNUMBER(L193)),"n/m",IF(O193="Higher",IF(L193&gt;=0,"Above avg - favourable","Below avg - unfavourable"),IF(O193="Lower",IF(L193&lt;=0,"Below avg - favourable","Above avg - unfavourable"),IF(L193&gt;=0,"Above avg - context-dependent","Below avg - context-dependent"))))&amp;IF(K193&lt;5," (N="&amp;K193&amp;")","")</f>
        <v>Below avg - context-dependent (N=4)</v>
      </c>
      <c r="R193" s="40" t="str">
        <f>IF(K193=0,"n/m",IF(ABS(J193-SUM(E193:I193)/K193)&lt;0.000000001,"OK","ERR"))</f>
        <v>OK</v>
      </c>
    </row>
    <row r="194" spans="1:18" x14ac:dyDescent="0.3">
      <c r="C194" s="37" t="s">
        <v>952</v>
      </c>
      <c r="D194" t="s">
        <v>28</v>
      </c>
      <c r="E194" s="94">
        <f>KOHC!G172</f>
        <v>5.5313975285193058</v>
      </c>
      <c r="F194" s="94">
        <f>LUCK!G172</f>
        <v>9.5909070156236584</v>
      </c>
      <c r="G194" s="94">
        <f>DGKC!G172</f>
        <v>72.91538429829842</v>
      </c>
      <c r="H194" s="94">
        <f>MLCF!G172</f>
        <v>7.6317519094733912</v>
      </c>
      <c r="I194" s="94">
        <f>FCCL!G172</f>
        <v>6.8337507059367812</v>
      </c>
      <c r="J194" s="95">
        <f>IF(COUNT(E194:I194)=0,"n/m",AVERAGE(E194:I194))</f>
        <v>20.500638291570311</v>
      </c>
      <c r="K194">
        <f>COUNT(E194:I194)</f>
        <v>5</v>
      </c>
      <c r="L194" s="96">
        <f>IF(AND(ISNUMBER(E194),ISNUMBER(J194)),E194-J194,"n/m")</f>
        <v>-14.969240763051005</v>
      </c>
      <c r="M194" s="96">
        <f>IF(COUNT(F194:I194)=0,"n/m",AVERAGE(F194:I194))</f>
        <v>24.242948482333063</v>
      </c>
      <c r="N194" s="96">
        <f>IF(COUNT(E194:I194)=0,"n/m",MEDIAN(E194:I194))</f>
        <v>7.6317519094733912</v>
      </c>
      <c r="O194" t="s">
        <v>922</v>
      </c>
      <c r="P194" s="8" t="str">
        <f>IF(NOT(ISNUMBER(L194)),"n/m",IF(O194="Higher",IF(L194&gt;=0,"Above avg - favourable","Below avg - unfavourable"),IF(O194="Lower",IF(L194&lt;=0,"Below avg - favourable","Above avg - unfavourable"),IF(L194&gt;=0,"Above avg - context-dependent","Below avg - context-dependent"))))&amp;IF(K194&lt;5," (N="&amp;K194&amp;")","")</f>
        <v>Below avg - context-dependent</v>
      </c>
      <c r="R194" s="40" t="str">
        <f>IF(K194=0,"n/m",IF(ABS(J194-SUM(E194:I194)/K194)&lt;0.000000001,"OK","ERR"))</f>
        <v>OK</v>
      </c>
    </row>
    <row r="195" spans="1:18" x14ac:dyDescent="0.3">
      <c r="C195" s="37" t="s">
        <v>952</v>
      </c>
      <c r="D195" t="s">
        <v>29</v>
      </c>
      <c r="E195" s="94">
        <f>KOHC!H172</f>
        <v>6.3393545313613817</v>
      </c>
      <c r="F195" s="94">
        <f>LUCK!H172</f>
        <v>15.726582022655393</v>
      </c>
      <c r="G195" s="94">
        <f>DGKC!H172</f>
        <v>8.3613265542147914</v>
      </c>
      <c r="H195" s="94">
        <f>MLCF!H172</f>
        <v>5.1823592062489379</v>
      </c>
      <c r="I195" s="94">
        <f>FCCL!H172</f>
        <v>8.2220482242427426</v>
      </c>
      <c r="J195" s="95">
        <f>IF(COUNT(E195:I195)=0,"n/m",AVERAGE(E195:I195))</f>
        <v>8.7663341077446493</v>
      </c>
      <c r="K195">
        <f>COUNT(E195:I195)</f>
        <v>5</v>
      </c>
      <c r="L195" s="96">
        <f>IF(AND(ISNUMBER(E195),ISNUMBER(J195)),E195-J195,"n/m")</f>
        <v>-2.4269795763832676</v>
      </c>
      <c r="M195" s="96">
        <f>IF(COUNT(F195:I195)=0,"n/m",AVERAGE(F195:I195))</f>
        <v>9.3730790018404662</v>
      </c>
      <c r="N195" s="96">
        <f>IF(COUNT(E195:I195)=0,"n/m",MEDIAN(E195:I195))</f>
        <v>8.2220482242427426</v>
      </c>
      <c r="O195" t="s">
        <v>922</v>
      </c>
      <c r="P195" s="8" t="str">
        <f>IF(NOT(ISNUMBER(L195)),"n/m",IF(O195="Higher",IF(L195&gt;=0,"Above avg - favourable","Below avg - unfavourable"),IF(O195="Lower",IF(L195&lt;=0,"Below avg - favourable","Above avg - unfavourable"),IF(L195&gt;=0,"Above avg - context-dependent","Below avg - context-dependent"))))&amp;IF(K195&lt;5," (N="&amp;K195&amp;")","")</f>
        <v>Below avg - context-dependent</v>
      </c>
      <c r="R195" s="40" t="str">
        <f>IF(K195=0,"n/m",IF(ABS(J195-SUM(E195:I195)/K195)&lt;0.000000001,"OK","ERR"))</f>
        <v>OK</v>
      </c>
    </row>
    <row r="196" spans="1:18" x14ac:dyDescent="0.3">
      <c r="A196" s="35" t="s">
        <v>519</v>
      </c>
      <c r="B196" s="13">
        <v>32</v>
      </c>
      <c r="C196" s="12" t="s">
        <v>528</v>
      </c>
      <c r="D196" s="13"/>
      <c r="E196" s="13"/>
      <c r="F196" s="13"/>
      <c r="G196" s="13"/>
      <c r="H196" s="13"/>
      <c r="I196" s="13"/>
      <c r="J196" s="13"/>
      <c r="K196" s="13"/>
      <c r="L196" s="13"/>
      <c r="M196" s="13"/>
      <c r="N196" s="13"/>
      <c r="O196" s="13"/>
      <c r="P196" s="13"/>
      <c r="Q196" s="36" t="s">
        <v>953</v>
      </c>
      <c r="R196" s="13"/>
    </row>
    <row r="197" spans="1:18" x14ac:dyDescent="0.3">
      <c r="C197" s="37" t="s">
        <v>104</v>
      </c>
      <c r="D197" t="s">
        <v>20</v>
      </c>
      <c r="E197" s="103">
        <f>KOHC!D173</f>
        <v>0</v>
      </c>
      <c r="F197" s="103">
        <f>LUCK!D173</f>
        <v>0</v>
      </c>
      <c r="G197" s="103">
        <f>DGKC!D173</f>
        <v>8.4803256445047485E-3</v>
      </c>
      <c r="H197" s="103">
        <f>MLCF!D173</f>
        <v>0</v>
      </c>
      <c r="I197" s="103">
        <f>FCCL!D173</f>
        <v>0</v>
      </c>
      <c r="J197" s="104">
        <f>IF(COUNT(E197:I197)=0,"n/m",AVERAGE(E197:I197))</f>
        <v>1.6960651289009497E-3</v>
      </c>
      <c r="K197">
        <f>COUNT(E197:I197)</f>
        <v>5</v>
      </c>
      <c r="L197" s="105">
        <f>IF(AND(ISNUMBER(E197),ISNUMBER(J197)),E197-J197,"n/m")</f>
        <v>-1.6960651289009497E-3</v>
      </c>
      <c r="M197" s="105">
        <f>IF(COUNT(F197:I197)=0,"n/m",AVERAGE(F197:I197))</f>
        <v>2.1200814111261871E-3</v>
      </c>
      <c r="N197" s="105">
        <f>IF(COUNT(E197:I197)=0,"n/m",MEDIAN(E197:I197))</f>
        <v>0</v>
      </c>
      <c r="O197" t="s">
        <v>922</v>
      </c>
      <c r="P197" s="8" t="str">
        <f>IF(NOT(ISNUMBER(L197)),"n/m",IF(O197="Higher",IF(L197&gt;=0,"Above avg - favourable","Below avg - unfavourable"),IF(O197="Lower",IF(L197&lt;=0,"Below avg - favourable","Above avg - unfavourable"),IF(L197&gt;=0,"Above avg - context-dependent","Below avg - context-dependent"))))&amp;IF(K197&lt;5," (N="&amp;K197&amp;")","")</f>
        <v>Below avg - context-dependent</v>
      </c>
      <c r="R197" s="40" t="str">
        <f>IF(K197=0,"n/m",IF(ABS(J197-SUM(E197:I197)/K197)&lt;0.000000001,"OK","ERR"))</f>
        <v>OK</v>
      </c>
    </row>
    <row r="198" spans="1:18" x14ac:dyDescent="0.3">
      <c r="C198" s="37" t="s">
        <v>104</v>
      </c>
      <c r="D198" t="s">
        <v>26</v>
      </c>
      <c r="E198" s="103">
        <f>KOHC!E173</f>
        <v>0</v>
      </c>
      <c r="F198" s="103">
        <f>LUCK!E173</f>
        <v>0</v>
      </c>
      <c r="G198" s="103">
        <f>DGKC!E173</f>
        <v>1.6E-2</v>
      </c>
      <c r="H198" s="103">
        <f>MLCF!E173</f>
        <v>0</v>
      </c>
      <c r="I198" s="103">
        <f>FCCL!E173</f>
        <v>0</v>
      </c>
      <c r="J198" s="104">
        <f>IF(COUNT(E198:I198)=0,"n/m",AVERAGE(E198:I198))</f>
        <v>3.2000000000000002E-3</v>
      </c>
      <c r="K198">
        <f>COUNT(E198:I198)</f>
        <v>5</v>
      </c>
      <c r="L198" s="105">
        <f>IF(AND(ISNUMBER(E198),ISNUMBER(J198)),E198-J198,"n/m")</f>
        <v>-3.2000000000000002E-3</v>
      </c>
      <c r="M198" s="105">
        <f>IF(COUNT(F198:I198)=0,"n/m",AVERAGE(F198:I198))</f>
        <v>4.0000000000000001E-3</v>
      </c>
      <c r="N198" s="105">
        <f>IF(COUNT(E198:I198)=0,"n/m",MEDIAN(E198:I198))</f>
        <v>0</v>
      </c>
      <c r="O198" t="s">
        <v>922</v>
      </c>
      <c r="P198" s="8" t="str">
        <f>IF(NOT(ISNUMBER(L198)),"n/m",IF(O198="Higher",IF(L198&gt;=0,"Above avg - favourable","Below avg - unfavourable"),IF(O198="Lower",IF(L198&lt;=0,"Below avg - favourable","Above avg - unfavourable"),IF(L198&gt;=0,"Above avg - context-dependent","Below avg - context-dependent"))))&amp;IF(K198&lt;5," (N="&amp;K198&amp;")","")</f>
        <v>Below avg - context-dependent</v>
      </c>
      <c r="R198" s="40" t="str">
        <f>IF(K198=0,"n/m",IF(ABS(J198-SUM(E198:I198)/K198)&lt;0.000000001,"OK","ERR"))</f>
        <v>OK</v>
      </c>
    </row>
    <row r="199" spans="1:18" x14ac:dyDescent="0.3">
      <c r="C199" s="37" t="s">
        <v>104</v>
      </c>
      <c r="D199" t="s">
        <v>27</v>
      </c>
      <c r="E199" s="103">
        <f>KOHC!F173</f>
        <v>0</v>
      </c>
      <c r="F199" s="103">
        <f>LUCK!F173</f>
        <v>3.4476814342354764E-2</v>
      </c>
      <c r="G199" s="103">
        <f>DGKC!F173</f>
        <v>0</v>
      </c>
      <c r="H199" s="103">
        <f>MLCF!F173</f>
        <v>0</v>
      </c>
      <c r="I199" s="103">
        <f>FCCL!F173</f>
        <v>0</v>
      </c>
      <c r="J199" s="104">
        <f>IF(COUNT(E199:I199)=0,"n/m",AVERAGE(E199:I199))</f>
        <v>6.8953628684709526E-3</v>
      </c>
      <c r="K199">
        <f>COUNT(E199:I199)</f>
        <v>5</v>
      </c>
      <c r="L199" s="105">
        <f>IF(AND(ISNUMBER(E199),ISNUMBER(J199)),E199-J199,"n/m")</f>
        <v>-6.8953628684709526E-3</v>
      </c>
      <c r="M199" s="105">
        <f>IF(COUNT(F199:I199)=0,"n/m",AVERAGE(F199:I199))</f>
        <v>8.619203585588691E-3</v>
      </c>
      <c r="N199" s="105">
        <f>IF(COUNT(E199:I199)=0,"n/m",MEDIAN(E199:I199))</f>
        <v>0</v>
      </c>
      <c r="O199" t="s">
        <v>922</v>
      </c>
      <c r="P199" s="8" t="str">
        <f>IF(NOT(ISNUMBER(L199)),"n/m",IF(O199="Higher",IF(L199&gt;=0,"Above avg - favourable","Below avg - unfavourable"),IF(O199="Lower",IF(L199&lt;=0,"Below avg - favourable","Above avg - unfavourable"),IF(L199&gt;=0,"Above avg - context-dependent","Below avg - context-dependent"))))&amp;IF(K199&lt;5," (N="&amp;K199&amp;")","")</f>
        <v>Below avg - context-dependent</v>
      </c>
      <c r="R199" s="40" t="str">
        <f>IF(K199=0,"n/m",IF(ABS(J199-SUM(E199:I199)/K199)&lt;0.000000001,"OK","ERR"))</f>
        <v>OK</v>
      </c>
    </row>
    <row r="200" spans="1:18" x14ac:dyDescent="0.3">
      <c r="C200" s="37" t="s">
        <v>104</v>
      </c>
      <c r="D200" t="s">
        <v>28</v>
      </c>
      <c r="E200" s="103">
        <f>KOHC!G173</f>
        <v>0</v>
      </c>
      <c r="F200" s="103">
        <f>LUCK!G173</f>
        <v>1.6542962072502287E-2</v>
      </c>
      <c r="G200" s="103">
        <f>DGKC!G173</f>
        <v>0</v>
      </c>
      <c r="H200" s="103">
        <f>MLCF!G173</f>
        <v>0</v>
      </c>
      <c r="I200" s="103">
        <f>FCCL!G173</f>
        <v>4.3649061545176782E-2</v>
      </c>
      <c r="J200" s="104">
        <f>IF(COUNT(E200:I200)=0,"n/m",AVERAGE(E200:I200))</f>
        <v>1.2038404723535814E-2</v>
      </c>
      <c r="K200">
        <f>COUNT(E200:I200)</f>
        <v>5</v>
      </c>
      <c r="L200" s="105">
        <f>IF(AND(ISNUMBER(E200),ISNUMBER(J200)),E200-J200,"n/m")</f>
        <v>-1.2038404723535814E-2</v>
      </c>
      <c r="M200" s="105">
        <f>IF(COUNT(F200:I200)=0,"n/m",AVERAGE(F200:I200))</f>
        <v>1.5048005904419768E-2</v>
      </c>
      <c r="N200" s="105">
        <f>IF(COUNT(E200:I200)=0,"n/m",MEDIAN(E200:I200))</f>
        <v>0</v>
      </c>
      <c r="O200" t="s">
        <v>922</v>
      </c>
      <c r="P200" s="8" t="str">
        <f>IF(NOT(ISNUMBER(L200)),"n/m",IF(O200="Higher",IF(L200&gt;=0,"Above avg - favourable","Below avg - unfavourable"),IF(O200="Lower",IF(L200&lt;=0,"Below avg - favourable","Above avg - unfavourable"),IF(L200&gt;=0,"Above avg - context-dependent","Below avg - context-dependent"))))&amp;IF(K200&lt;5," (N="&amp;K200&amp;")","")</f>
        <v>Below avg - context-dependent</v>
      </c>
      <c r="R200" s="40" t="str">
        <f>IF(K200=0,"n/m",IF(ABS(J200-SUM(E200:I200)/K200)&lt;0.000000001,"OK","ERR"))</f>
        <v>OK</v>
      </c>
    </row>
    <row r="201" spans="1:18" x14ac:dyDescent="0.3">
      <c r="C201" s="37" t="s">
        <v>104</v>
      </c>
      <c r="D201" t="s">
        <v>29</v>
      </c>
      <c r="E201" s="103">
        <f>KOHC!H173</f>
        <v>0</v>
      </c>
      <c r="F201" s="103">
        <f>LUCK!H173</f>
        <v>1.1259993244004052E-2</v>
      </c>
      <c r="G201" s="103">
        <f>DGKC!H173</f>
        <v>1.2080212611741966E-2</v>
      </c>
      <c r="H201" s="103">
        <f>MLCF!H173</f>
        <v>0</v>
      </c>
      <c r="I201" s="103">
        <f>FCCL!H173</f>
        <v>2.7982986344302664E-2</v>
      </c>
      <c r="J201" s="104">
        <f>IF(COUNT(E201:I201)=0,"n/m",AVERAGE(E201:I201))</f>
        <v>1.0264638440009737E-2</v>
      </c>
      <c r="K201">
        <f>COUNT(E201:I201)</f>
        <v>5</v>
      </c>
      <c r="L201" s="105">
        <f>IF(AND(ISNUMBER(E201),ISNUMBER(J201)),E201-J201,"n/m")</f>
        <v>-1.0264638440009737E-2</v>
      </c>
      <c r="M201" s="105">
        <f>IF(COUNT(F201:I201)=0,"n/m",AVERAGE(F201:I201))</f>
        <v>1.2830798050012171E-2</v>
      </c>
      <c r="N201" s="105">
        <f>IF(COUNT(E201:I201)=0,"n/m",MEDIAN(E201:I201))</f>
        <v>1.1259993244004052E-2</v>
      </c>
      <c r="O201" t="s">
        <v>922</v>
      </c>
      <c r="P201" s="8" t="str">
        <f>IF(NOT(ISNUMBER(L201)),"n/m",IF(O201="Higher",IF(L201&gt;=0,"Above avg - favourable","Below avg - unfavourable"),IF(O201="Lower",IF(L201&lt;=0,"Below avg - favourable","Above avg - unfavourable"),IF(L201&gt;=0,"Above avg - context-dependent","Below avg - context-dependent"))))&amp;IF(K201&lt;5," (N="&amp;K201&amp;")","")</f>
        <v>Below avg - context-dependent</v>
      </c>
      <c r="R201" s="40" t="str">
        <f>IF(K201=0,"n/m",IF(ABS(J201-SUM(E201:I201)/K201)&lt;0.000000001,"OK","ERR"))</f>
        <v>OK</v>
      </c>
    </row>
    <row r="202" spans="1:18" x14ac:dyDescent="0.3">
      <c r="A202" s="35" t="s">
        <v>519</v>
      </c>
      <c r="B202" s="13">
        <v>33</v>
      </c>
      <c r="C202" s="12" t="s">
        <v>530</v>
      </c>
      <c r="D202" s="13"/>
      <c r="E202" s="13"/>
      <c r="F202" s="13"/>
      <c r="G202" s="13"/>
      <c r="H202" s="13"/>
      <c r="I202" s="13"/>
      <c r="J202" s="13"/>
      <c r="K202" s="13"/>
      <c r="L202" s="13"/>
      <c r="M202" s="13"/>
      <c r="N202" s="13"/>
      <c r="O202" s="13"/>
      <c r="P202" s="13"/>
      <c r="Q202" s="36" t="s">
        <v>954</v>
      </c>
      <c r="R202" s="13"/>
    </row>
    <row r="203" spans="1:18" x14ac:dyDescent="0.3">
      <c r="C203" s="37" t="s">
        <v>124</v>
      </c>
      <c r="D203" t="s">
        <v>20</v>
      </c>
      <c r="E203" s="103">
        <f>KOHC!D174</f>
        <v>0</v>
      </c>
      <c r="F203" s="103">
        <f>LUCK!D174</f>
        <v>0</v>
      </c>
      <c r="G203" s="103">
        <f>DGKC!D174</f>
        <v>0.11773366748421842</v>
      </c>
      <c r="H203" s="103">
        <f>MLCF!D174</f>
        <v>0</v>
      </c>
      <c r="I203" s="103">
        <f>FCCL!D174</f>
        <v>0</v>
      </c>
      <c r="J203" s="104">
        <f>IF(COUNT(E203:I203)=0,"n/m",AVERAGE(E203:I203))</f>
        <v>2.3546733496843684E-2</v>
      </c>
      <c r="K203">
        <f>COUNT(E203:I203)</f>
        <v>5</v>
      </c>
      <c r="L203" s="105">
        <f>IF(AND(ISNUMBER(E203),ISNUMBER(J203)),E203-J203,"n/m")</f>
        <v>-2.3546733496843684E-2</v>
      </c>
      <c r="M203" s="105">
        <f>IF(COUNT(F203:I203)=0,"n/m",AVERAGE(F203:I203))</f>
        <v>2.9433416871054604E-2</v>
      </c>
      <c r="N203" s="105">
        <f>IF(COUNT(E203:I203)=0,"n/m",MEDIAN(E203:I203))</f>
        <v>0</v>
      </c>
      <c r="O203" t="s">
        <v>922</v>
      </c>
      <c r="P203" s="8" t="str">
        <f>IF(NOT(ISNUMBER(L203)),"n/m",IF(O203="Higher",IF(L203&gt;=0,"Above avg - favourable","Below avg - unfavourable"),IF(O203="Lower",IF(L203&lt;=0,"Below avg - favourable","Above avg - unfavourable"),IF(L203&gt;=0,"Above avg - context-dependent","Below avg - context-dependent"))))&amp;IF(K203&lt;5," (N="&amp;K203&amp;")","")</f>
        <v>Below avg - context-dependent</v>
      </c>
      <c r="R203" s="40" t="str">
        <f>IF(K203=0,"n/m",IF(ABS(J203-SUM(E203:I203)/K203)&lt;0.000000001,"OK","ERR"))</f>
        <v>OK</v>
      </c>
    </row>
    <row r="204" spans="1:18" x14ac:dyDescent="0.3">
      <c r="C204" s="37" t="s">
        <v>124</v>
      </c>
      <c r="D204" t="s">
        <v>26</v>
      </c>
      <c r="E204" s="103">
        <f>KOHC!E174</f>
        <v>0</v>
      </c>
      <c r="F204" s="103">
        <f>LUCK!E174</f>
        <v>0</v>
      </c>
      <c r="G204" s="103">
        <f>DGKC!E174</f>
        <v>0.14740903768742444</v>
      </c>
      <c r="H204" s="103">
        <f>MLCF!E174</f>
        <v>0</v>
      </c>
      <c r="I204" s="103">
        <f>FCCL!E174</f>
        <v>0</v>
      </c>
      <c r="J204" s="104">
        <f>IF(COUNT(E204:I204)=0,"n/m",AVERAGE(E204:I204))</f>
        <v>2.9481807537484889E-2</v>
      </c>
      <c r="K204">
        <f>COUNT(E204:I204)</f>
        <v>5</v>
      </c>
      <c r="L204" s="105">
        <f>IF(AND(ISNUMBER(E204),ISNUMBER(J204)),E204-J204,"n/m")</f>
        <v>-2.9481807537484889E-2</v>
      </c>
      <c r="M204" s="105">
        <f>IF(COUNT(F204:I204)=0,"n/m",AVERAGE(F204:I204))</f>
        <v>3.6852259421856111E-2</v>
      </c>
      <c r="N204" s="105">
        <f>IF(COUNT(E204:I204)=0,"n/m",MEDIAN(E204:I204))</f>
        <v>0</v>
      </c>
      <c r="O204" t="s">
        <v>922</v>
      </c>
      <c r="P204" s="8" t="str">
        <f>IF(NOT(ISNUMBER(L204)),"n/m",IF(O204="Higher",IF(L204&gt;=0,"Above avg - favourable","Below avg - unfavourable"),IF(O204="Lower",IF(L204&lt;=0,"Below avg - favourable","Above avg - unfavourable"),IF(L204&gt;=0,"Above avg - context-dependent","Below avg - context-dependent"))))&amp;IF(K204&lt;5," (N="&amp;K204&amp;")","")</f>
        <v>Below avg - context-dependent</v>
      </c>
      <c r="R204" s="40" t="str">
        <f>IF(K204=0,"n/m",IF(ABS(J204-SUM(E204:I204)/K204)&lt;0.000000001,"OK","ERR"))</f>
        <v>OK</v>
      </c>
    </row>
    <row r="205" spans="1:18" x14ac:dyDescent="0.3">
      <c r="C205" s="37" t="s">
        <v>124</v>
      </c>
      <c r="D205" t="s">
        <v>27</v>
      </c>
      <c r="E205" s="103">
        <f>KOHC!F174</f>
        <v>0</v>
      </c>
      <c r="F205" s="103">
        <f>LUCK!F174</f>
        <v>0.41800668433944982</v>
      </c>
      <c r="G205" s="103" t="str">
        <f>DGKC!F174</f>
        <v>n/m</v>
      </c>
      <c r="H205" s="103">
        <f>MLCF!F174</f>
        <v>0</v>
      </c>
      <c r="I205" s="103">
        <f>FCCL!F174</f>
        <v>0</v>
      </c>
      <c r="J205" s="104">
        <f>IF(COUNT(E205:I205)=0,"n/m",AVERAGE(E205:I205))</f>
        <v>0.10450167108486245</v>
      </c>
      <c r="K205">
        <f>COUNT(E205:I205)</f>
        <v>4</v>
      </c>
      <c r="L205" s="105">
        <f>IF(AND(ISNUMBER(E205),ISNUMBER(J205)),E205-J205,"n/m")</f>
        <v>-0.10450167108486245</v>
      </c>
      <c r="M205" s="105">
        <f>IF(COUNT(F205:I205)=0,"n/m",AVERAGE(F205:I205))</f>
        <v>0.13933556144648326</v>
      </c>
      <c r="N205" s="105">
        <f>IF(COUNT(E205:I205)=0,"n/m",MEDIAN(E205:I205))</f>
        <v>0</v>
      </c>
      <c r="O205" t="s">
        <v>922</v>
      </c>
      <c r="P205" s="8" t="str">
        <f>IF(NOT(ISNUMBER(L205)),"n/m",IF(O205="Higher",IF(L205&gt;=0,"Above avg - favourable","Below avg - unfavourable"),IF(O205="Lower",IF(L205&lt;=0,"Below avg - favourable","Above avg - unfavourable"),IF(L205&gt;=0,"Above avg - context-dependent","Below avg - context-dependent"))))&amp;IF(K205&lt;5," (N="&amp;K205&amp;")","")</f>
        <v>Below avg - context-dependent (N=4)</v>
      </c>
      <c r="R205" s="40" t="str">
        <f>IF(K205=0,"n/m",IF(ABS(J205-SUM(E205:I205)/K205)&lt;0.000000001,"OK","ERR"))</f>
        <v>OK</v>
      </c>
    </row>
    <row r="206" spans="1:18" x14ac:dyDescent="0.3">
      <c r="C206" s="37" t="s">
        <v>124</v>
      </c>
      <c r="D206" t="s">
        <v>28</v>
      </c>
      <c r="E206" s="103">
        <f>KOHC!G174</f>
        <v>0</v>
      </c>
      <c r="F206" s="103">
        <f>LUCK!G174</f>
        <v>0.15866201100035829</v>
      </c>
      <c r="G206" s="103">
        <f>DGKC!G174</f>
        <v>0</v>
      </c>
      <c r="H206" s="103">
        <f>MLCF!G174</f>
        <v>0</v>
      </c>
      <c r="I206" s="103">
        <f>FCCL!G174</f>
        <v>0.29828680514782985</v>
      </c>
      <c r="J206" s="104">
        <f>IF(COUNT(E206:I206)=0,"n/m",AVERAGE(E206:I206))</f>
        <v>9.1389763229637627E-2</v>
      </c>
      <c r="K206">
        <f>COUNT(E206:I206)</f>
        <v>5</v>
      </c>
      <c r="L206" s="105">
        <f>IF(AND(ISNUMBER(E206),ISNUMBER(J206)),E206-J206,"n/m")</f>
        <v>-9.1389763229637627E-2</v>
      </c>
      <c r="M206" s="105">
        <f>IF(COUNT(F206:I206)=0,"n/m",AVERAGE(F206:I206))</f>
        <v>0.11423720403704704</v>
      </c>
      <c r="N206" s="105">
        <f>IF(COUNT(E206:I206)=0,"n/m",MEDIAN(E206:I206))</f>
        <v>0</v>
      </c>
      <c r="O206" t="s">
        <v>922</v>
      </c>
      <c r="P206" s="8" t="str">
        <f>IF(NOT(ISNUMBER(L206)),"n/m",IF(O206="Higher",IF(L206&gt;=0,"Above avg - favourable","Below avg - unfavourable"),IF(O206="Lower",IF(L206&lt;=0,"Below avg - favourable","Above avg - unfavourable"),IF(L206&gt;=0,"Above avg - context-dependent","Below avg - context-dependent"))))&amp;IF(K206&lt;5," (N="&amp;K206&amp;")","")</f>
        <v>Below avg - context-dependent</v>
      </c>
      <c r="R206" s="40" t="str">
        <f>IF(K206=0,"n/m",IF(ABS(J206-SUM(E206:I206)/K206)&lt;0.000000001,"OK","ERR"))</f>
        <v>OK</v>
      </c>
    </row>
    <row r="207" spans="1:18" x14ac:dyDescent="0.3">
      <c r="C207" s="37" t="s">
        <v>124</v>
      </c>
      <c r="D207" t="s">
        <v>29</v>
      </c>
      <c r="E207" s="103">
        <f>KOHC!H174</f>
        <v>0</v>
      </c>
      <c r="F207" s="103">
        <f>LUCK!H174</f>
        <v>0.17708120732637533</v>
      </c>
      <c r="G207" s="103">
        <f>DGKC!H174</f>
        <v>0.10100660249111851</v>
      </c>
      <c r="H207" s="103">
        <f>MLCF!H174</f>
        <v>0</v>
      </c>
      <c r="I207" s="103">
        <f>FCCL!H174</f>
        <v>0.23007746318118263</v>
      </c>
      <c r="J207" s="104">
        <f>IF(COUNT(E207:I207)=0,"n/m",AVERAGE(E207:I207))</f>
        <v>0.10163305459973529</v>
      </c>
      <c r="K207">
        <f>COUNT(E207:I207)</f>
        <v>5</v>
      </c>
      <c r="L207" s="105">
        <f>IF(AND(ISNUMBER(E207),ISNUMBER(J207)),E207-J207,"n/m")</f>
        <v>-0.10163305459973529</v>
      </c>
      <c r="M207" s="105">
        <f>IF(COUNT(F207:I207)=0,"n/m",AVERAGE(F207:I207))</f>
        <v>0.12704131824966911</v>
      </c>
      <c r="N207" s="105">
        <f>IF(COUNT(E207:I207)=0,"n/m",MEDIAN(E207:I207))</f>
        <v>0.10100660249111851</v>
      </c>
      <c r="O207" t="s">
        <v>922</v>
      </c>
      <c r="P207" s="8" t="str">
        <f>IF(NOT(ISNUMBER(L207)),"n/m",IF(O207="Higher",IF(L207&gt;=0,"Above avg - favourable","Below avg - unfavourable"),IF(O207="Lower",IF(L207&lt;=0,"Below avg - favourable","Above avg - unfavourable"),IF(L207&gt;=0,"Above avg - context-dependent","Below avg - context-dependent"))))&amp;IF(K207&lt;5," (N="&amp;K207&amp;")","")</f>
        <v>Below avg - context-dependent</v>
      </c>
      <c r="R207" s="40" t="str">
        <f>IF(K207=0,"n/m",IF(ABS(J207-SUM(E207:I207)/K207)&lt;0.000000001,"OK","ERR"))</f>
        <v>OK</v>
      </c>
    </row>
    <row r="228" spans="1:18" x14ac:dyDescent="0.3">
      <c r="A228" s="35" t="s">
        <v>955</v>
      </c>
      <c r="B228" s="13" t="s">
        <v>956</v>
      </c>
      <c r="C228" s="12" t="s">
        <v>957</v>
      </c>
      <c r="D228" s="13"/>
      <c r="E228" s="13"/>
      <c r="F228" s="13"/>
      <c r="G228" s="13"/>
      <c r="H228" s="13"/>
      <c r="I228" s="13"/>
      <c r="J228" s="13"/>
      <c r="K228" s="13"/>
      <c r="L228" s="13"/>
      <c r="M228" s="13"/>
      <c r="N228" s="13"/>
      <c r="O228" s="13"/>
      <c r="P228" s="13"/>
      <c r="Q228" s="36" t="s">
        <v>955</v>
      </c>
      <c r="R228" s="13"/>
    </row>
    <row r="229" spans="1:18" x14ac:dyDescent="0.3">
      <c r="C229" s="37" t="s">
        <v>957</v>
      </c>
      <c r="D229" t="s">
        <v>20</v>
      </c>
      <c r="E229" s="41">
        <f>KOHC!D180</f>
        <v>0</v>
      </c>
      <c r="F229" s="41">
        <f>LUCK!D180</f>
        <v>0</v>
      </c>
      <c r="G229" s="41">
        <f>DGKC!D180</f>
        <v>0</v>
      </c>
      <c r="H229" s="41">
        <f>MLCF!D180</f>
        <v>0</v>
      </c>
      <c r="I229" s="41">
        <f>FCCL!D180</f>
        <v>0</v>
      </c>
      <c r="J229" s="42">
        <f>IF(COUNT(E229:I229)=0,"n/m",AVERAGE(E229:I229))</f>
        <v>0</v>
      </c>
      <c r="K229">
        <f>COUNT(E229:I229)</f>
        <v>5</v>
      </c>
      <c r="L229" s="29">
        <f>IF(AND(ISNUMBER(E229),ISNUMBER(J229)),E229-J229,"n/m")</f>
        <v>0</v>
      </c>
      <c r="M229" s="29">
        <f>IF(COUNT(F229:I229)=0,"n/m",AVERAGE(F229:I229))</f>
        <v>0</v>
      </c>
      <c r="N229" s="29">
        <f>IF(COUNT(E229:I229)=0,"n/m",MEDIAN(E229:I229))</f>
        <v>0</v>
      </c>
      <c r="O229" t="s">
        <v>920</v>
      </c>
      <c r="P229" s="8" t="str">
        <f>IF(NOT(ISNUMBER(L229)),"n/m",IF(O229="Higher",IF(L229&gt;=0,"Above avg - favourable","Below avg - unfavourable"),IF(O229="Lower",IF(L229&lt;=0,"Below avg - favourable","Above avg - unfavourable"),IF(L229&gt;=0,"Above avg - context-dependent","Below avg - context-dependent"))))&amp;IF(K229&lt;5," (N="&amp;K229&amp;")","")</f>
        <v>Above avg - favourable</v>
      </c>
      <c r="R229" s="40" t="str">
        <f>IF(K229=0,"n/m",IF(ABS(J229-SUM(E229:I229)/K229)&lt;0.000000001,"OK","ERR"))</f>
        <v>OK</v>
      </c>
    </row>
    <row r="230" spans="1:18" x14ac:dyDescent="0.3">
      <c r="C230" s="37" t="s">
        <v>957</v>
      </c>
      <c r="D230" t="s">
        <v>26</v>
      </c>
      <c r="E230" s="41">
        <f>KOHC!E180</f>
        <v>0</v>
      </c>
      <c r="F230" s="41">
        <f>LUCK!E180</f>
        <v>0</v>
      </c>
      <c r="G230" s="41">
        <f>DGKC!E180</f>
        <v>0</v>
      </c>
      <c r="H230" s="41">
        <f>MLCF!E180</f>
        <v>0</v>
      </c>
      <c r="I230" s="41">
        <f>FCCL!E180</f>
        <v>0</v>
      </c>
      <c r="J230" s="42">
        <f>IF(COUNT(E230:I230)=0,"n/m",AVERAGE(E230:I230))</f>
        <v>0</v>
      </c>
      <c r="K230">
        <f>COUNT(E230:I230)</f>
        <v>5</v>
      </c>
      <c r="L230" s="29">
        <f>IF(AND(ISNUMBER(E230),ISNUMBER(J230)),E230-J230,"n/m")</f>
        <v>0</v>
      </c>
      <c r="M230" s="29">
        <f>IF(COUNT(F230:I230)=0,"n/m",AVERAGE(F230:I230))</f>
        <v>0</v>
      </c>
      <c r="N230" s="29">
        <f>IF(COUNT(E230:I230)=0,"n/m",MEDIAN(E230:I230))</f>
        <v>0</v>
      </c>
      <c r="O230" t="s">
        <v>920</v>
      </c>
      <c r="P230" s="8" t="str">
        <f>IF(NOT(ISNUMBER(L230)),"n/m",IF(O230="Higher",IF(L230&gt;=0,"Above avg - favourable","Below avg - unfavourable"),IF(O230="Lower",IF(L230&lt;=0,"Below avg - favourable","Above avg - unfavourable"),IF(L230&gt;=0,"Above avg - context-dependent","Below avg - context-dependent"))))&amp;IF(K230&lt;5," (N="&amp;K230&amp;")","")</f>
        <v>Above avg - favourable</v>
      </c>
      <c r="R230" s="40" t="str">
        <f>IF(K230=0,"n/m",IF(ABS(J230-SUM(E230:I230)/K230)&lt;0.000000001,"OK","ERR"))</f>
        <v>OK</v>
      </c>
    </row>
    <row r="231" spans="1:18" x14ac:dyDescent="0.3">
      <c r="C231" s="37" t="s">
        <v>957</v>
      </c>
      <c r="D231" t="s">
        <v>27</v>
      </c>
      <c r="E231" s="41">
        <f>KOHC!F180</f>
        <v>0</v>
      </c>
      <c r="F231" s="41">
        <f>LUCK!F180</f>
        <v>0</v>
      </c>
      <c r="G231" s="41">
        <f>DGKC!F180</f>
        <v>0</v>
      </c>
      <c r="H231" s="41">
        <f>MLCF!F180</f>
        <v>0</v>
      </c>
      <c r="I231" s="41">
        <f>FCCL!F180</f>
        <v>0</v>
      </c>
      <c r="J231" s="42">
        <f>IF(COUNT(E231:I231)=0,"n/m",AVERAGE(E231:I231))</f>
        <v>0</v>
      </c>
      <c r="K231">
        <f>COUNT(E231:I231)</f>
        <v>5</v>
      </c>
      <c r="L231" s="29">
        <f>IF(AND(ISNUMBER(E231),ISNUMBER(J231)),E231-J231,"n/m")</f>
        <v>0</v>
      </c>
      <c r="M231" s="29">
        <f>IF(COUNT(F231:I231)=0,"n/m",AVERAGE(F231:I231))</f>
        <v>0</v>
      </c>
      <c r="N231" s="29">
        <f>IF(COUNT(E231:I231)=0,"n/m",MEDIAN(E231:I231))</f>
        <v>0</v>
      </c>
      <c r="O231" t="s">
        <v>920</v>
      </c>
      <c r="P231" s="8" t="str">
        <f>IF(NOT(ISNUMBER(L231)),"n/m",IF(O231="Higher",IF(L231&gt;=0,"Above avg - favourable","Below avg - unfavourable"),IF(O231="Lower",IF(L231&lt;=0,"Below avg - favourable","Above avg - unfavourable"),IF(L231&gt;=0,"Above avg - context-dependent","Below avg - context-dependent"))))&amp;IF(K231&lt;5," (N="&amp;K231&amp;")","")</f>
        <v>Above avg - favourable</v>
      </c>
      <c r="R231" s="40" t="str">
        <f>IF(K231=0,"n/m",IF(ABS(J231-SUM(E231:I231)/K231)&lt;0.000000001,"OK","ERR"))</f>
        <v>OK</v>
      </c>
    </row>
    <row r="232" spans="1:18" x14ac:dyDescent="0.3">
      <c r="C232" s="37" t="s">
        <v>957</v>
      </c>
      <c r="D232" t="s">
        <v>28</v>
      </c>
      <c r="E232" s="41">
        <f>KOHC!G180</f>
        <v>0</v>
      </c>
      <c r="F232" s="41">
        <f>LUCK!G180</f>
        <v>0</v>
      </c>
      <c r="G232" s="41">
        <f>DGKC!G180</f>
        <v>0</v>
      </c>
      <c r="H232" s="41">
        <f>MLCF!G180</f>
        <v>0</v>
      </c>
      <c r="I232" s="41">
        <f>FCCL!G180</f>
        <v>0</v>
      </c>
      <c r="J232" s="42">
        <f>IF(COUNT(E232:I232)=0,"n/m",AVERAGE(E232:I232))</f>
        <v>0</v>
      </c>
      <c r="K232">
        <f>COUNT(E232:I232)</f>
        <v>5</v>
      </c>
      <c r="L232" s="29">
        <f>IF(AND(ISNUMBER(E232),ISNUMBER(J232)),E232-J232,"n/m")</f>
        <v>0</v>
      </c>
      <c r="M232" s="29">
        <f>IF(COUNT(F232:I232)=0,"n/m",AVERAGE(F232:I232))</f>
        <v>0</v>
      </c>
      <c r="N232" s="29">
        <f>IF(COUNT(E232:I232)=0,"n/m",MEDIAN(E232:I232))</f>
        <v>0</v>
      </c>
      <c r="O232" t="s">
        <v>920</v>
      </c>
      <c r="P232" s="8" t="str">
        <f>IF(NOT(ISNUMBER(L232)),"n/m",IF(O232="Higher",IF(L232&gt;=0,"Above avg - favourable","Below avg - unfavourable"),IF(O232="Lower",IF(L232&lt;=0,"Below avg - favourable","Above avg - unfavourable"),IF(L232&gt;=0,"Above avg - context-dependent","Below avg - context-dependent"))))&amp;IF(K232&lt;5," (N="&amp;K232&amp;")","")</f>
        <v>Above avg - favourable</v>
      </c>
      <c r="R232" s="40" t="str">
        <f>IF(K232=0,"n/m",IF(ABS(J232-SUM(E232:I232)/K232)&lt;0.000000001,"OK","ERR"))</f>
        <v>OK</v>
      </c>
    </row>
    <row r="233" spans="1:18" x14ac:dyDescent="0.3">
      <c r="C233" s="37" t="s">
        <v>957</v>
      </c>
      <c r="D233" t="s">
        <v>29</v>
      </c>
      <c r="E233" s="41">
        <f>KOHC!H180</f>
        <v>0</v>
      </c>
      <c r="F233" s="41">
        <f>LUCK!H180</f>
        <v>0</v>
      </c>
      <c r="G233" s="41">
        <f>DGKC!H180</f>
        <v>0</v>
      </c>
      <c r="H233" s="41">
        <f>MLCF!H180</f>
        <v>0</v>
      </c>
      <c r="I233" s="41">
        <f>FCCL!H180</f>
        <v>0</v>
      </c>
      <c r="J233" s="42">
        <f>IF(COUNT(E233:I233)=0,"n/m",AVERAGE(E233:I233))</f>
        <v>0</v>
      </c>
      <c r="K233">
        <f>COUNT(E233:I233)</f>
        <v>5</v>
      </c>
      <c r="L233" s="29">
        <f>IF(AND(ISNUMBER(E233),ISNUMBER(J233)),E233-J233,"n/m")</f>
        <v>0</v>
      </c>
      <c r="M233" s="29">
        <f>IF(COUNT(F233:I233)=0,"n/m",AVERAGE(F233:I233))</f>
        <v>0</v>
      </c>
      <c r="N233" s="29">
        <f>IF(COUNT(E233:I233)=0,"n/m",MEDIAN(E233:I233))</f>
        <v>0</v>
      </c>
      <c r="O233" t="s">
        <v>920</v>
      </c>
      <c r="P233" s="8" t="str">
        <f>IF(NOT(ISNUMBER(L233)),"n/m",IF(O233="Higher",IF(L233&gt;=0,"Above avg - favourable","Below avg - unfavourable"),IF(O233="Lower",IF(L233&lt;=0,"Below avg - favourable","Above avg - unfavourable"),IF(L233&gt;=0,"Above avg - context-dependent","Below avg - context-dependent"))))&amp;IF(K233&lt;5," (N="&amp;K233&amp;")","")</f>
        <v>Above avg - favourable</v>
      </c>
      <c r="R233" s="40" t="str">
        <f>IF(K233=0,"n/m",IF(ABS(J233-SUM(E233:I233)/K233)&lt;0.000000001,"OK","ERR"))</f>
        <v>OK</v>
      </c>
    </row>
    <row r="234" spans="1:18" x14ac:dyDescent="0.3">
      <c r="A234" s="35" t="s">
        <v>955</v>
      </c>
      <c r="B234" s="13" t="s">
        <v>958</v>
      </c>
      <c r="C234" s="12" t="s">
        <v>959</v>
      </c>
      <c r="D234" s="13"/>
      <c r="E234" s="13"/>
      <c r="F234" s="13"/>
      <c r="G234" s="13"/>
      <c r="H234" s="13"/>
      <c r="I234" s="13"/>
      <c r="J234" s="13"/>
      <c r="K234" s="13"/>
      <c r="L234" s="13"/>
      <c r="M234" s="13"/>
      <c r="N234" s="13"/>
      <c r="O234" s="13"/>
      <c r="P234" s="13"/>
      <c r="Q234" s="36" t="s">
        <v>955</v>
      </c>
      <c r="R234" s="13"/>
    </row>
    <row r="235" spans="1:18" x14ac:dyDescent="0.3">
      <c r="C235" s="37" t="s">
        <v>959</v>
      </c>
      <c r="D235" t="s">
        <v>20</v>
      </c>
      <c r="E235" s="41">
        <f>KOHC!D181</f>
        <v>0</v>
      </c>
      <c r="F235" s="41">
        <f>LUCK!D181</f>
        <v>0</v>
      </c>
      <c r="G235" s="41">
        <f>DGKC!D181</f>
        <v>0</v>
      </c>
      <c r="H235" s="41">
        <f>MLCF!D181</f>
        <v>0</v>
      </c>
      <c r="I235" s="41">
        <f>FCCL!D181</f>
        <v>0</v>
      </c>
      <c r="J235" s="42">
        <f>IF(COUNT(E235:I235)=0,"n/m",AVERAGE(E235:I235))</f>
        <v>0</v>
      </c>
      <c r="K235">
        <f>COUNT(E235:I235)</f>
        <v>5</v>
      </c>
      <c r="L235" s="29">
        <f>IF(AND(ISNUMBER(E235),ISNUMBER(J235)),E235-J235,"n/m")</f>
        <v>0</v>
      </c>
      <c r="M235" s="29">
        <f>IF(COUNT(F235:I235)=0,"n/m",AVERAGE(F235:I235))</f>
        <v>0</v>
      </c>
      <c r="N235" s="29">
        <f>IF(COUNT(E235:I235)=0,"n/m",MEDIAN(E235:I235))</f>
        <v>0</v>
      </c>
      <c r="O235" t="s">
        <v>920</v>
      </c>
      <c r="P235" s="8" t="str">
        <f>IF(NOT(ISNUMBER(L235)),"n/m",IF(O235="Higher",IF(L235&gt;=0,"Above avg - favourable","Below avg - unfavourable"),IF(O235="Lower",IF(L235&lt;=0,"Below avg - favourable","Above avg - unfavourable"),IF(L235&gt;=0,"Above avg - context-dependent","Below avg - context-dependent"))))&amp;IF(K235&lt;5," (N="&amp;K235&amp;")","")</f>
        <v>Above avg - favourable</v>
      </c>
      <c r="R235" s="40" t="str">
        <f>IF(K235=0,"n/m",IF(ABS(J235-SUM(E235:I235)/K235)&lt;0.000000001,"OK","ERR"))</f>
        <v>OK</v>
      </c>
    </row>
    <row r="236" spans="1:18" x14ac:dyDescent="0.3">
      <c r="C236" s="37" t="s">
        <v>959</v>
      </c>
      <c r="D236" t="s">
        <v>26</v>
      </c>
      <c r="E236" s="41">
        <f>KOHC!E181</f>
        <v>0</v>
      </c>
      <c r="F236" s="41">
        <f>LUCK!E181</f>
        <v>0</v>
      </c>
      <c r="G236" s="41">
        <f>DGKC!E181</f>
        <v>0</v>
      </c>
      <c r="H236" s="41">
        <f>MLCF!E181</f>
        <v>0</v>
      </c>
      <c r="I236" s="41">
        <f>FCCL!E181</f>
        <v>0</v>
      </c>
      <c r="J236" s="42">
        <f>IF(COUNT(E236:I236)=0,"n/m",AVERAGE(E236:I236))</f>
        <v>0</v>
      </c>
      <c r="K236">
        <f>COUNT(E236:I236)</f>
        <v>5</v>
      </c>
      <c r="L236" s="29">
        <f>IF(AND(ISNUMBER(E236),ISNUMBER(J236)),E236-J236,"n/m")</f>
        <v>0</v>
      </c>
      <c r="M236" s="29">
        <f>IF(COUNT(F236:I236)=0,"n/m",AVERAGE(F236:I236))</f>
        <v>0</v>
      </c>
      <c r="N236" s="29">
        <f>IF(COUNT(E236:I236)=0,"n/m",MEDIAN(E236:I236))</f>
        <v>0</v>
      </c>
      <c r="O236" t="s">
        <v>920</v>
      </c>
      <c r="P236" s="8" t="str">
        <f>IF(NOT(ISNUMBER(L236)),"n/m",IF(O236="Higher",IF(L236&gt;=0,"Above avg - favourable","Below avg - unfavourable"),IF(O236="Lower",IF(L236&lt;=0,"Below avg - favourable","Above avg - unfavourable"),IF(L236&gt;=0,"Above avg - context-dependent","Below avg - context-dependent"))))&amp;IF(K236&lt;5," (N="&amp;K236&amp;")","")</f>
        <v>Above avg - favourable</v>
      </c>
      <c r="R236" s="40" t="str">
        <f>IF(K236=0,"n/m",IF(ABS(J236-SUM(E236:I236)/K236)&lt;0.000000001,"OK","ERR"))</f>
        <v>OK</v>
      </c>
    </row>
    <row r="237" spans="1:18" x14ac:dyDescent="0.3">
      <c r="C237" s="37" t="s">
        <v>959</v>
      </c>
      <c r="D237" t="s">
        <v>27</v>
      </c>
      <c r="E237" s="41">
        <f>KOHC!F181</f>
        <v>0</v>
      </c>
      <c r="F237" s="41">
        <f>LUCK!F181</f>
        <v>0</v>
      </c>
      <c r="G237" s="41">
        <f>DGKC!F181</f>
        <v>0</v>
      </c>
      <c r="H237" s="41">
        <f>MLCF!F181</f>
        <v>0</v>
      </c>
      <c r="I237" s="41">
        <f>FCCL!F181</f>
        <v>0</v>
      </c>
      <c r="J237" s="42">
        <f>IF(COUNT(E237:I237)=0,"n/m",AVERAGE(E237:I237))</f>
        <v>0</v>
      </c>
      <c r="K237">
        <f>COUNT(E237:I237)</f>
        <v>5</v>
      </c>
      <c r="L237" s="29">
        <f>IF(AND(ISNUMBER(E237),ISNUMBER(J237)),E237-J237,"n/m")</f>
        <v>0</v>
      </c>
      <c r="M237" s="29">
        <f>IF(COUNT(F237:I237)=0,"n/m",AVERAGE(F237:I237))</f>
        <v>0</v>
      </c>
      <c r="N237" s="29">
        <f>IF(COUNT(E237:I237)=0,"n/m",MEDIAN(E237:I237))</f>
        <v>0</v>
      </c>
      <c r="O237" t="s">
        <v>920</v>
      </c>
      <c r="P237" s="8" t="str">
        <f>IF(NOT(ISNUMBER(L237)),"n/m",IF(O237="Higher",IF(L237&gt;=0,"Above avg - favourable","Below avg - unfavourable"),IF(O237="Lower",IF(L237&lt;=0,"Below avg - favourable","Above avg - unfavourable"),IF(L237&gt;=0,"Above avg - context-dependent","Below avg - context-dependent"))))&amp;IF(K237&lt;5," (N="&amp;K237&amp;")","")</f>
        <v>Above avg - favourable</v>
      </c>
      <c r="R237" s="40" t="str">
        <f>IF(K237=0,"n/m",IF(ABS(J237-SUM(E237:I237)/K237)&lt;0.000000001,"OK","ERR"))</f>
        <v>OK</v>
      </c>
    </row>
    <row r="238" spans="1:18" x14ac:dyDescent="0.3">
      <c r="C238" s="37" t="s">
        <v>959</v>
      </c>
      <c r="D238" t="s">
        <v>28</v>
      </c>
      <c r="E238" s="41">
        <f>KOHC!G181</f>
        <v>0</v>
      </c>
      <c r="F238" s="41">
        <f>LUCK!G181</f>
        <v>0</v>
      </c>
      <c r="G238" s="41">
        <f>DGKC!G181</f>
        <v>0</v>
      </c>
      <c r="H238" s="41">
        <f>MLCF!G181</f>
        <v>0</v>
      </c>
      <c r="I238" s="41">
        <f>FCCL!G181</f>
        <v>0</v>
      </c>
      <c r="J238" s="42">
        <f>IF(COUNT(E238:I238)=0,"n/m",AVERAGE(E238:I238))</f>
        <v>0</v>
      </c>
      <c r="K238">
        <f>COUNT(E238:I238)</f>
        <v>5</v>
      </c>
      <c r="L238" s="29">
        <f>IF(AND(ISNUMBER(E238),ISNUMBER(J238)),E238-J238,"n/m")</f>
        <v>0</v>
      </c>
      <c r="M238" s="29">
        <f>IF(COUNT(F238:I238)=0,"n/m",AVERAGE(F238:I238))</f>
        <v>0</v>
      </c>
      <c r="N238" s="29">
        <f>IF(COUNT(E238:I238)=0,"n/m",MEDIAN(E238:I238))</f>
        <v>0</v>
      </c>
      <c r="O238" t="s">
        <v>920</v>
      </c>
      <c r="P238" s="8" t="str">
        <f>IF(NOT(ISNUMBER(L238)),"n/m",IF(O238="Higher",IF(L238&gt;=0,"Above avg - favourable","Below avg - unfavourable"),IF(O238="Lower",IF(L238&lt;=0,"Below avg - favourable","Above avg - unfavourable"),IF(L238&gt;=0,"Above avg - context-dependent","Below avg - context-dependent"))))&amp;IF(K238&lt;5," (N="&amp;K238&amp;")","")</f>
        <v>Above avg - favourable</v>
      </c>
      <c r="R238" s="40" t="str">
        <f>IF(K238=0,"n/m",IF(ABS(J238-SUM(E238:I238)/K238)&lt;0.000000001,"OK","ERR"))</f>
        <v>OK</v>
      </c>
    </row>
    <row r="239" spans="1:18" x14ac:dyDescent="0.3">
      <c r="C239" s="37" t="s">
        <v>959</v>
      </c>
      <c r="D239" t="s">
        <v>29</v>
      </c>
      <c r="E239" s="41">
        <f>KOHC!H181</f>
        <v>0</v>
      </c>
      <c r="F239" s="41">
        <f>LUCK!H181</f>
        <v>0</v>
      </c>
      <c r="G239" s="41">
        <f>DGKC!H181</f>
        <v>0</v>
      </c>
      <c r="H239" s="41">
        <f>MLCF!H181</f>
        <v>0</v>
      </c>
      <c r="I239" s="41">
        <f>FCCL!H181</f>
        <v>0</v>
      </c>
      <c r="J239" s="42">
        <f>IF(COUNT(E239:I239)=0,"n/m",AVERAGE(E239:I239))</f>
        <v>0</v>
      </c>
      <c r="K239">
        <f>COUNT(E239:I239)</f>
        <v>5</v>
      </c>
      <c r="L239" s="29">
        <f>IF(AND(ISNUMBER(E239),ISNUMBER(J239)),E239-J239,"n/m")</f>
        <v>0</v>
      </c>
      <c r="M239" s="29">
        <f>IF(COUNT(F239:I239)=0,"n/m",AVERAGE(F239:I239))</f>
        <v>0</v>
      </c>
      <c r="N239" s="29">
        <f>IF(COUNT(E239:I239)=0,"n/m",MEDIAN(E239:I239))</f>
        <v>0</v>
      </c>
      <c r="O239" t="s">
        <v>920</v>
      </c>
      <c r="P239" s="8" t="str">
        <f>IF(NOT(ISNUMBER(L239)),"n/m",IF(O239="Higher",IF(L239&gt;=0,"Above avg - favourable","Below avg - unfavourable"),IF(O239="Lower",IF(L239&lt;=0,"Below avg - favourable","Above avg - unfavourable"),IF(L239&gt;=0,"Above avg - context-dependent","Below avg - context-dependent"))))&amp;IF(K239&lt;5," (N="&amp;K239&amp;")","")</f>
        <v>Above avg - favourable</v>
      </c>
      <c r="R239" s="40" t="str">
        <f>IF(K239=0,"n/m",IF(ABS(J239-SUM(E239:I239)/K239)&lt;0.000000001,"OK","ERR"))</f>
        <v>OK</v>
      </c>
    </row>
    <row r="240" spans="1:18" x14ac:dyDescent="0.3">
      <c r="A240" s="35" t="s">
        <v>955</v>
      </c>
      <c r="B240" s="13" t="s">
        <v>960</v>
      </c>
      <c r="C240" s="12" t="s">
        <v>961</v>
      </c>
      <c r="D240" s="13"/>
      <c r="E240" s="13"/>
      <c r="F240" s="13"/>
      <c r="G240" s="13"/>
      <c r="H240" s="13"/>
      <c r="I240" s="13"/>
      <c r="J240" s="13"/>
      <c r="K240" s="13"/>
      <c r="L240" s="13"/>
      <c r="M240" s="13"/>
      <c r="N240" s="13"/>
      <c r="O240" s="13"/>
      <c r="P240" s="13"/>
      <c r="Q240" s="36" t="s">
        <v>955</v>
      </c>
      <c r="R240" s="13"/>
    </row>
    <row r="241" spans="3:18" x14ac:dyDescent="0.3">
      <c r="C241" s="37" t="s">
        <v>961</v>
      </c>
      <c r="D241" t="s">
        <v>20</v>
      </c>
      <c r="E241" s="38">
        <f>KOHC!D182</f>
        <v>0</v>
      </c>
      <c r="F241" s="38">
        <f>LUCK!D182</f>
        <v>0</v>
      </c>
      <c r="G241" s="38">
        <f>DGKC!D182</f>
        <v>0</v>
      </c>
      <c r="H241" s="38">
        <f>MLCF!D182</f>
        <v>0</v>
      </c>
      <c r="I241" s="38">
        <f>FCCL!D182</f>
        <v>0</v>
      </c>
      <c r="J241" s="39">
        <f>IF(COUNT(E241:I241)=0,"n/m",AVERAGE(E241:I241))</f>
        <v>0</v>
      </c>
      <c r="K241">
        <f>COUNT(E241:I241)</f>
        <v>5</v>
      </c>
      <c r="L241" s="33">
        <f>IF(AND(ISNUMBER(E241),ISNUMBER(J241)),E241-J241,"n/m")</f>
        <v>0</v>
      </c>
      <c r="M241" s="33">
        <f>IF(COUNT(F241:I241)=0,"n/m",AVERAGE(F241:I241))</f>
        <v>0</v>
      </c>
      <c r="N241" s="33">
        <f>IF(COUNT(E241:I241)=0,"n/m",MEDIAN(E241:I241))</f>
        <v>0</v>
      </c>
      <c r="O241" t="s">
        <v>928</v>
      </c>
      <c r="P241" s="8" t="str">
        <f>IF(NOT(ISNUMBER(L241)),"n/m",IF(O241="Higher",IF(L241&gt;=0,"Above avg - favourable","Below avg - unfavourable"),IF(O241="Lower",IF(L241&lt;=0,"Below avg - favourable","Above avg - unfavourable"),IF(L241&gt;=0,"Above avg - context-dependent","Below avg - context-dependent"))))&amp;IF(K241&lt;5," (N="&amp;K241&amp;")","")</f>
        <v>Below avg - favourable</v>
      </c>
      <c r="R241" s="40" t="str">
        <f>IF(K241=0,"n/m",IF(ABS(J241-SUM(E241:I241)/K241)&lt;0.000000001,"OK","ERR"))</f>
        <v>OK</v>
      </c>
    </row>
    <row r="242" spans="3:18" x14ac:dyDescent="0.3">
      <c r="C242" s="37" t="s">
        <v>961</v>
      </c>
      <c r="D242" t="s">
        <v>26</v>
      </c>
      <c r="E242" s="38">
        <f>KOHC!E182</f>
        <v>0</v>
      </c>
      <c r="F242" s="38">
        <f>LUCK!E182</f>
        <v>0</v>
      </c>
      <c r="G242" s="38">
        <f>DGKC!E182</f>
        <v>0</v>
      </c>
      <c r="H242" s="38">
        <f>MLCF!E182</f>
        <v>0</v>
      </c>
      <c r="I242" s="38">
        <f>FCCL!E182</f>
        <v>0</v>
      </c>
      <c r="J242" s="39">
        <f>IF(COUNT(E242:I242)=0,"n/m",AVERAGE(E242:I242))</f>
        <v>0</v>
      </c>
      <c r="K242">
        <f>COUNT(E242:I242)</f>
        <v>5</v>
      </c>
      <c r="L242" s="33">
        <f>IF(AND(ISNUMBER(E242),ISNUMBER(J242)),E242-J242,"n/m")</f>
        <v>0</v>
      </c>
      <c r="M242" s="33">
        <f>IF(COUNT(F242:I242)=0,"n/m",AVERAGE(F242:I242))</f>
        <v>0</v>
      </c>
      <c r="N242" s="33">
        <f>IF(COUNT(E242:I242)=0,"n/m",MEDIAN(E242:I242))</f>
        <v>0</v>
      </c>
      <c r="O242" t="s">
        <v>928</v>
      </c>
      <c r="P242" s="8" t="str">
        <f>IF(NOT(ISNUMBER(L242)),"n/m",IF(O242="Higher",IF(L242&gt;=0,"Above avg - favourable","Below avg - unfavourable"),IF(O242="Lower",IF(L242&lt;=0,"Below avg - favourable","Above avg - unfavourable"),IF(L242&gt;=0,"Above avg - context-dependent","Below avg - context-dependent"))))&amp;IF(K242&lt;5," (N="&amp;K242&amp;")","")</f>
        <v>Below avg - favourable</v>
      </c>
      <c r="R242" s="40" t="str">
        <f>IF(K242=0,"n/m",IF(ABS(J242-SUM(E242:I242)/K242)&lt;0.000000001,"OK","ERR"))</f>
        <v>OK</v>
      </c>
    </row>
    <row r="243" spans="3:18" x14ac:dyDescent="0.3">
      <c r="C243" s="37" t="s">
        <v>961</v>
      </c>
      <c r="D243" t="s">
        <v>27</v>
      </c>
      <c r="E243" s="38">
        <f>KOHC!F182</f>
        <v>0</v>
      </c>
      <c r="F243" s="38">
        <f>LUCK!F182</f>
        <v>0</v>
      </c>
      <c r="G243" s="38">
        <f>DGKC!F182</f>
        <v>0</v>
      </c>
      <c r="H243" s="38">
        <f>MLCF!F182</f>
        <v>0</v>
      </c>
      <c r="I243" s="38">
        <f>FCCL!F182</f>
        <v>0</v>
      </c>
      <c r="J243" s="39">
        <f>IF(COUNT(E243:I243)=0,"n/m",AVERAGE(E243:I243))</f>
        <v>0</v>
      </c>
      <c r="K243">
        <f>COUNT(E243:I243)</f>
        <v>5</v>
      </c>
      <c r="L243" s="33">
        <f>IF(AND(ISNUMBER(E243),ISNUMBER(J243)),E243-J243,"n/m")</f>
        <v>0</v>
      </c>
      <c r="M243" s="33">
        <f>IF(COUNT(F243:I243)=0,"n/m",AVERAGE(F243:I243))</f>
        <v>0</v>
      </c>
      <c r="N243" s="33">
        <f>IF(COUNT(E243:I243)=0,"n/m",MEDIAN(E243:I243))</f>
        <v>0</v>
      </c>
      <c r="O243" t="s">
        <v>928</v>
      </c>
      <c r="P243" s="8" t="str">
        <f>IF(NOT(ISNUMBER(L243)),"n/m",IF(O243="Higher",IF(L243&gt;=0,"Above avg - favourable","Below avg - unfavourable"),IF(O243="Lower",IF(L243&lt;=0,"Below avg - favourable","Above avg - unfavourable"),IF(L243&gt;=0,"Above avg - context-dependent","Below avg - context-dependent"))))&amp;IF(K243&lt;5," (N="&amp;K243&amp;")","")</f>
        <v>Below avg - favourable</v>
      </c>
      <c r="R243" s="40" t="str">
        <f>IF(K243=0,"n/m",IF(ABS(J243-SUM(E243:I243)/K243)&lt;0.000000001,"OK","ERR"))</f>
        <v>OK</v>
      </c>
    </row>
    <row r="244" spans="3:18" x14ac:dyDescent="0.3">
      <c r="C244" s="37" t="s">
        <v>961</v>
      </c>
      <c r="D244" t="s">
        <v>28</v>
      </c>
      <c r="E244" s="38">
        <f>KOHC!G182</f>
        <v>0</v>
      </c>
      <c r="F244" s="38">
        <f>LUCK!G182</f>
        <v>0</v>
      </c>
      <c r="G244" s="38">
        <f>DGKC!G182</f>
        <v>0</v>
      </c>
      <c r="H244" s="38">
        <f>MLCF!G182</f>
        <v>0</v>
      </c>
      <c r="I244" s="38">
        <f>FCCL!G182</f>
        <v>0</v>
      </c>
      <c r="J244" s="39">
        <f>IF(COUNT(E244:I244)=0,"n/m",AVERAGE(E244:I244))</f>
        <v>0</v>
      </c>
      <c r="K244">
        <f>COUNT(E244:I244)</f>
        <v>5</v>
      </c>
      <c r="L244" s="33">
        <f>IF(AND(ISNUMBER(E244),ISNUMBER(J244)),E244-J244,"n/m")</f>
        <v>0</v>
      </c>
      <c r="M244" s="33">
        <f>IF(COUNT(F244:I244)=0,"n/m",AVERAGE(F244:I244))</f>
        <v>0</v>
      </c>
      <c r="N244" s="33">
        <f>IF(COUNT(E244:I244)=0,"n/m",MEDIAN(E244:I244))</f>
        <v>0</v>
      </c>
      <c r="O244" t="s">
        <v>928</v>
      </c>
      <c r="P244" s="8" t="str">
        <f>IF(NOT(ISNUMBER(L244)),"n/m",IF(O244="Higher",IF(L244&gt;=0,"Above avg - favourable","Below avg - unfavourable"),IF(O244="Lower",IF(L244&lt;=0,"Below avg - favourable","Above avg - unfavourable"),IF(L244&gt;=0,"Above avg - context-dependent","Below avg - context-dependent"))))&amp;IF(K244&lt;5," (N="&amp;K244&amp;")","")</f>
        <v>Below avg - favourable</v>
      </c>
      <c r="R244" s="40" t="str">
        <f>IF(K244=0,"n/m",IF(ABS(J244-SUM(E244:I244)/K244)&lt;0.000000001,"OK","ERR"))</f>
        <v>OK</v>
      </c>
    </row>
    <row r="245" spans="3:18" x14ac:dyDescent="0.3">
      <c r="C245" s="37" t="s">
        <v>961</v>
      </c>
      <c r="D245" t="s">
        <v>29</v>
      </c>
      <c r="E245" s="38">
        <f>KOHC!H182</f>
        <v>0</v>
      </c>
      <c r="F245" s="38">
        <f>LUCK!H182</f>
        <v>0</v>
      </c>
      <c r="G245" s="38">
        <f>DGKC!H182</f>
        <v>0</v>
      </c>
      <c r="H245" s="38">
        <f>MLCF!H182</f>
        <v>0</v>
      </c>
      <c r="I245" s="38">
        <f>FCCL!H182</f>
        <v>0</v>
      </c>
      <c r="J245" s="39">
        <f>IF(COUNT(E245:I245)=0,"n/m",AVERAGE(E245:I245))</f>
        <v>0</v>
      </c>
      <c r="K245">
        <f>COUNT(E245:I245)</f>
        <v>5</v>
      </c>
      <c r="L245" s="33">
        <f>IF(AND(ISNUMBER(E245),ISNUMBER(J245)),E245-J245,"n/m")</f>
        <v>0</v>
      </c>
      <c r="M245" s="33">
        <f>IF(COUNT(F245:I245)=0,"n/m",AVERAGE(F245:I245))</f>
        <v>0</v>
      </c>
      <c r="N245" s="33">
        <f>IF(COUNT(E245:I245)=0,"n/m",MEDIAN(E245:I245))</f>
        <v>0</v>
      </c>
      <c r="O245" t="s">
        <v>928</v>
      </c>
      <c r="P245" s="8" t="str">
        <f>IF(NOT(ISNUMBER(L245)),"n/m",IF(O245="Higher",IF(L245&gt;=0,"Above avg - favourable","Below avg - unfavourable"),IF(O245="Lower",IF(L245&lt;=0,"Below avg - favourable","Above avg - unfavourable"),IF(L245&gt;=0,"Above avg - context-dependent","Below avg - context-dependent"))))&amp;IF(K245&lt;5," (N="&amp;K245&amp;")","")</f>
        <v>Below avg - favourable</v>
      </c>
      <c r="R245" s="40" t="str">
        <f>IF(K245=0,"n/m",IF(ABS(J245-SUM(E245:I245)/K245)&lt;0.000000001,"OK","ERR"))</f>
        <v>OK</v>
      </c>
    </row>
  </sheetData>
  <mergeCells count="5">
    <mergeCell ref="A5:R5"/>
    <mergeCell ref="A36:R36"/>
    <mergeCell ref="A97:R97"/>
    <mergeCell ref="A128:R128"/>
    <mergeCell ref="A171:R17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972"/>
  <sheetViews>
    <sheetView showGridLines="0" workbookViewId="0">
      <pane ySplit="4" topLeftCell="A5" activePane="bottomLeft" state="frozen"/>
      <selection pane="bottomLeft"/>
    </sheetView>
  </sheetViews>
  <sheetFormatPr defaultColWidth="8.6640625" defaultRowHeight="14.4" x14ac:dyDescent="0.3"/>
  <cols>
    <col min="1" max="1" width="12" customWidth="1"/>
    <col min="2" max="2" width="10" customWidth="1"/>
    <col min="3" max="3" width="7" customWidth="1"/>
    <col min="4" max="4" width="30" customWidth="1"/>
    <col min="5" max="5" width="12" customWidth="1"/>
    <col min="6" max="6" width="40" customWidth="1"/>
    <col min="7" max="7" width="34" customWidth="1"/>
    <col min="8" max="8" width="13" customWidth="1"/>
    <col min="9" max="9" width="24" customWidth="1"/>
    <col min="10" max="10" width="8" customWidth="1"/>
    <col min="11" max="12" width="9" customWidth="1"/>
    <col min="13" max="13" width="12" customWidth="1"/>
    <col min="14" max="14" width="18" customWidth="1"/>
    <col min="15" max="16" width="14" customWidth="1"/>
    <col min="17" max="17" width="10" customWidth="1"/>
    <col min="18" max="18" width="22" customWidth="1"/>
    <col min="19" max="19" width="50" customWidth="1"/>
  </cols>
  <sheetData>
    <row r="1" spans="1:19" ht="18" x14ac:dyDescent="0.35">
      <c r="A1" s="9" t="s">
        <v>962</v>
      </c>
    </row>
    <row r="3" spans="1:19" x14ac:dyDescent="0.3">
      <c r="A3" s="5" t="s">
        <v>963</v>
      </c>
      <c r="B3" s="10"/>
      <c r="C3" s="10"/>
      <c r="D3" s="10"/>
      <c r="E3" s="10"/>
      <c r="F3" s="10"/>
      <c r="G3" s="10"/>
      <c r="H3" s="10"/>
      <c r="I3" s="10"/>
      <c r="J3" s="10"/>
      <c r="K3" s="10"/>
      <c r="L3" s="10"/>
      <c r="M3" s="10"/>
      <c r="N3" s="10"/>
      <c r="O3" s="10"/>
      <c r="P3" s="10"/>
      <c r="Q3" s="10"/>
      <c r="R3" s="10"/>
      <c r="S3" s="10"/>
    </row>
    <row r="4" spans="1:19" x14ac:dyDescent="0.3">
      <c r="A4" s="12" t="s">
        <v>1</v>
      </c>
      <c r="B4" s="12" t="s">
        <v>964</v>
      </c>
      <c r="C4" s="12"/>
      <c r="D4" s="12"/>
      <c r="E4" s="12" t="s">
        <v>965</v>
      </c>
      <c r="F4" s="12" t="s">
        <v>20</v>
      </c>
      <c r="G4" s="12" t="s">
        <v>26</v>
      </c>
      <c r="H4" s="12" t="s">
        <v>27</v>
      </c>
      <c r="I4" s="12" t="s">
        <v>28</v>
      </c>
      <c r="J4" s="12" t="s">
        <v>29</v>
      </c>
    </row>
    <row r="5" spans="1:19" x14ac:dyDescent="0.3">
      <c r="A5" t="s">
        <v>18</v>
      </c>
      <c r="B5" t="s">
        <v>966</v>
      </c>
      <c r="C5" t="str">
        <f>IF(ABS(KOHC!C37-KOHC!C63)&lt;0.000001,"PASS","REVIEW: official footing")</f>
        <v>PASS</v>
      </c>
      <c r="D5" t="str">
        <f>IF(ABS(KOHC!D37-KOHC!D63)&lt;0.000001,"PASS","REVIEW: official footing")</f>
        <v>PASS</v>
      </c>
      <c r="E5" t="str">
        <f>IF(ABS(KOHC!E37-KOHC!E63)&lt;0.000001,"PASS","REVIEW: official footing")</f>
        <v>PASS</v>
      </c>
      <c r="F5" t="str">
        <f>IF(ABS(KOHC!F37-KOHC!F63)&lt;0.000001,"PASS","REVIEW: official footing")</f>
        <v>PASS</v>
      </c>
      <c r="G5" t="str">
        <f>IF(ABS(KOHC!G37-KOHC!G63)&lt;0.000001,"PASS","REVIEW: official footing")</f>
        <v>PASS</v>
      </c>
      <c r="H5" t="str">
        <f>IF(ABS(KOHC!H37-KOHC!H63)&lt;0.000001,"PASS","REVIEW: official footing")</f>
        <v>PASS</v>
      </c>
      <c r="I5" t="str">
        <f>KOHC!G79</f>
        <v>PASS</v>
      </c>
      <c r="J5" t="str">
        <f>KOHC!H79</f>
        <v>PASS</v>
      </c>
    </row>
    <row r="6" spans="1:19" x14ac:dyDescent="0.3">
      <c r="A6" t="s">
        <v>18</v>
      </c>
      <c r="B6" t="s">
        <v>967</v>
      </c>
      <c r="C6" t="str">
        <f>IF(ABS(KOHC!C37-KOHC!C75)&lt;0.000001,"PASS","REVIEW")</f>
        <v>PASS</v>
      </c>
      <c r="D6" t="str">
        <f>IF(ABS(KOHC!D37-KOHC!D75)&lt;0.000001,"PASS","REVIEW")</f>
        <v>PASS</v>
      </c>
      <c r="E6" t="str">
        <f>IF(ABS(KOHC!E37-KOHC!E75)&lt;0.000001,"PASS","REVIEW")</f>
        <v>PASS</v>
      </c>
      <c r="F6" t="str">
        <f>IF(ABS(KOHC!F37-KOHC!F75)&lt;0.000001,"PASS","REVIEW")</f>
        <v>PASS</v>
      </c>
      <c r="G6" t="str">
        <f>IF(ABS(KOHC!G37-KOHC!G75)&lt;0.000001,"PASS","REVIEW")</f>
        <v>PASS</v>
      </c>
      <c r="H6" t="str">
        <f>IF(ABS(KOHC!H37-KOHC!H75)&lt;0.000001,"PASS","REVIEW")</f>
        <v>PASS</v>
      </c>
      <c r="I6" t="str">
        <f>KOHC!G80</f>
        <v>PASS</v>
      </c>
      <c r="J6" t="str">
        <f>KOHC!H80</f>
        <v>PASS</v>
      </c>
    </row>
    <row r="7" spans="1:19" x14ac:dyDescent="0.3">
      <c r="A7" t="s">
        <v>18</v>
      </c>
      <c r="B7" t="s">
        <v>968</v>
      </c>
      <c r="C7" t="str">
        <f>IF(AND(ABS(KOHC!C41-KOHC!C76)&lt;0.000001,ABS(KOHC!C36-KOHC!C77)&lt;0.000001,ABS(KOHC!C61-KOHC!C78)&lt;0.000001),"PASS","REVIEW")</f>
        <v>PASS</v>
      </c>
      <c r="D7" t="str">
        <f>IF(AND(ABS(KOHC!D41-KOHC!D76)&lt;0.000001,ABS(KOHC!D36-KOHC!D77)&lt;0.000001,ABS(KOHC!D61-KOHC!D78)&lt;0.000001),"PASS","REVIEW")</f>
        <v>PASS</v>
      </c>
      <c r="E7" t="str">
        <f>IF(AND(ABS(KOHC!E41-KOHC!E76)&lt;0.000001,ABS(KOHC!E36-KOHC!E77)&lt;0.000001,ABS(KOHC!E61-KOHC!E78)&lt;0.000001),"PASS","REVIEW")</f>
        <v>PASS</v>
      </c>
      <c r="F7" t="str">
        <f>IF(AND(ABS(KOHC!F41-KOHC!F76)&lt;0.000001,ABS(KOHC!F36-KOHC!F77)&lt;0.000001,ABS(KOHC!F61-KOHC!F78)&lt;0.000001),"PASS","REVIEW")</f>
        <v>PASS</v>
      </c>
      <c r="G7" t="str">
        <f>IF(AND(ABS(KOHC!G41-KOHC!G76)&lt;0.000001,ABS(KOHC!G36-KOHC!G77)&lt;0.000001,ABS(KOHC!G61-KOHC!G78)&lt;0.000001),"PASS","REVIEW")</f>
        <v>PASS</v>
      </c>
      <c r="H7" t="str">
        <f>IF(AND(ABS(KOHC!H41-KOHC!H76)&lt;0.000001,ABS(KOHC!H36-KOHC!H77)&lt;0.000001,ABS(KOHC!H61-KOHC!H78)&lt;0.000001),"PASS","REVIEW")</f>
        <v>PASS</v>
      </c>
      <c r="I7" t="str">
        <f>KOHC!G81</f>
        <v>PASS</v>
      </c>
      <c r="J7" t="str">
        <f>KOHC!H81</f>
        <v>PASS</v>
      </c>
    </row>
    <row r="8" spans="1:19" x14ac:dyDescent="0.3">
      <c r="A8" t="s">
        <v>18</v>
      </c>
      <c r="B8" t="s">
        <v>969</v>
      </c>
      <c r="D8" t="str">
        <f>IF(AND(ABS(KOHC!D86-KOHC!D100)&lt;0.000001,ABS(KOHC!D96-KOHC!D101)&lt;0.000001,ABS(KOHC!D99-KOHC!D102)&lt;0.000001),"PASS","REVIEW")</f>
        <v>PASS</v>
      </c>
      <c r="E8" t="str">
        <f>IF(AND(ABS(KOHC!E86-KOHC!E100)&lt;0.000001,ABS(KOHC!E96-KOHC!E101)&lt;0.000001,ABS(KOHC!E99-KOHC!E102)&lt;0.000001),"PASS","REVIEW")</f>
        <v>PASS</v>
      </c>
      <c r="F8" t="str">
        <f>IF(AND(ABS(KOHC!F86-KOHC!F100)&lt;0.000001,ABS(KOHC!F96-KOHC!F101)&lt;0.000001,ABS(KOHC!F99-KOHC!F102)&lt;0.000001),"PASS","REVIEW")</f>
        <v>PASS</v>
      </c>
      <c r="G8" t="str">
        <f>IF(AND(ABS(KOHC!G86-KOHC!G100)&lt;0.000001,ABS(KOHC!G96-KOHC!G101)&lt;0.000001,ABS(KOHC!G99-KOHC!G102)&lt;0.000001),"PASS","REVIEW")</f>
        <v>PASS</v>
      </c>
      <c r="H8" t="str">
        <f>IF(AND(ABS(KOHC!H86-KOHC!H100)&lt;0.000001,ABS(KOHC!H96-KOHC!H101)&lt;0.000001,ABS(KOHC!H99-KOHC!H102)&lt;0.000001),"PASS","REVIEW")</f>
        <v>PASS</v>
      </c>
      <c r="I8" t="str">
        <f>KOHC!G103</f>
        <v>PASS</v>
      </c>
      <c r="J8" t="str">
        <f>KOHC!H103</f>
        <v>PASS</v>
      </c>
    </row>
    <row r="9" spans="1:19" x14ac:dyDescent="0.3">
      <c r="A9" t="s">
        <v>18</v>
      </c>
      <c r="B9" t="s">
        <v>970</v>
      </c>
      <c r="D9" t="str">
        <f>IF(ABS((KOHC!D99/KOHC!D129)/1-KOHC!D132)&lt;=0.01,"PASS","REVIEW: source EPS")</f>
        <v>PASS</v>
      </c>
      <c r="E9" t="str">
        <f>IF(ABS((KOHC!E99/KOHC!E129)/1-KOHC!E132)&lt;=0.01,"PASS","REVIEW: source EPS")</f>
        <v>PASS</v>
      </c>
      <c r="F9" t="str">
        <f>IF(ABS((KOHC!F99/KOHC!F129)/1-KOHC!F132)&lt;=0.01,"PASS","REVIEW: source EPS")</f>
        <v>PASS</v>
      </c>
      <c r="G9" t="str">
        <f>IF(ABS((KOHC!G99/KOHC!G129)/1-KOHC!G132)&lt;=0.01,"PASS","REVIEW: source EPS")</f>
        <v>PASS</v>
      </c>
      <c r="H9" t="str">
        <f>IF(ABS((KOHC!H99/KOHC!H129)/5-KOHC!H132)&lt;=0.01,"PASS","REVIEW: source EPS")</f>
        <v>PASS</v>
      </c>
      <c r="I9" t="str">
        <f>IF(ABS(KOHC!G171/1-KOHC!G132)&lt;=0.01,"PASS","REVIEW")</f>
        <v>PASS</v>
      </c>
      <c r="J9" t="str">
        <f>IF(ABS(KOHC!H171/5-KOHC!H132)&lt;=0.01,"PASS","REVIEW")</f>
        <v>PASS</v>
      </c>
    </row>
    <row r="10" spans="1:19" x14ac:dyDescent="0.3">
      <c r="A10" t="s">
        <v>18</v>
      </c>
      <c r="B10" t="s">
        <v>971</v>
      </c>
      <c r="C10" t="str">
        <f>IF(COUNT(KOHC!C65,KOHC!C32,KOHC!C51,KOHC!C22,KOHC!C37,KOHC!C41,KOHC!C70)=7,"PASS","REVIEW")</f>
        <v>PASS</v>
      </c>
      <c r="D10" t="str">
        <f>IF(COUNT(KOHC!D65,KOHC!D32,KOHC!D51,KOHC!D22,KOHC!D37,KOHC!D41,KOHC!D70)=7,"PASS","REVIEW")</f>
        <v>PASS</v>
      </c>
      <c r="E10" t="str">
        <f>IF(COUNT(KOHC!E65,KOHC!E32,KOHC!E51,KOHC!E22,KOHC!E37,KOHC!E41,KOHC!E70)=7,"PASS","REVIEW")</f>
        <v>PASS</v>
      </c>
      <c r="F10" t="str">
        <f>IF(COUNT(KOHC!F65,KOHC!F32,KOHC!F51,KOHC!F22,KOHC!F37,KOHC!F41,KOHC!F70)=7,"PASS","REVIEW")</f>
        <v>PASS</v>
      </c>
      <c r="G10" t="str">
        <f>IF(COUNT(KOHC!G65,KOHC!G32,KOHC!G51,KOHC!G22,KOHC!G37,KOHC!G41,KOHC!G70)=7,"PASS","REVIEW")</f>
        <v>PASS</v>
      </c>
      <c r="H10" t="str">
        <f>IF(COUNT(KOHC!H65,KOHC!H32,KOHC!H51,KOHC!H22,KOHC!H37,KOHC!H41,KOHC!H70)=7,"PASS","REVIEW")</f>
        <v>PASS</v>
      </c>
      <c r="I10" t="str">
        <f>IF(AND(ISNUMBER(KOHC!F37),ISNUMBER(KOHC!F51),ISNUMBER(KOHC!F21)),"PASS","FAIL")</f>
        <v>PASS</v>
      </c>
      <c r="J10" t="str">
        <f>IF(AND(ISNUMBER(KOHC!G37),ISNUMBER(KOHC!G51),ISNUMBER(KOHC!G21)),"PASS","FAIL")</f>
        <v>PASS</v>
      </c>
    </row>
    <row r="11" spans="1:19" x14ac:dyDescent="0.3">
      <c r="A11" t="s">
        <v>18</v>
      </c>
      <c r="B11" t="s">
        <v>972</v>
      </c>
      <c r="D11" t="str">
        <f>IF(COUNTIFS('Ratio Verification'!A6:A830,"KOHC",'Ratio Verification'!B6:B830,2021,'Ratio Verification'!N6:N830,"PASS")=33,"PASS","FAIL")</f>
        <v>PASS</v>
      </c>
      <c r="E11" t="str">
        <f>IF(COUNTIFS('Ratio Verification'!A6:A830,"KOHC",'Ratio Verification'!B6:B830,2022,'Ratio Verification'!N6:N830,"PASS")=33,"PASS","FAIL")</f>
        <v>PASS</v>
      </c>
      <c r="F11" t="str">
        <f>IF(COUNTIFS('Ratio Verification'!A6:A830,"KOHC",'Ratio Verification'!B6:B830,2023,'Ratio Verification'!N6:N830,"PASS")=33,"PASS","FAIL")</f>
        <v>PASS</v>
      </c>
      <c r="G11" t="str">
        <f>IF(COUNTIFS('Ratio Verification'!A6:A830,"KOHC",'Ratio Verification'!B6:B830,2024,'Ratio Verification'!N6:N830,"PASS")=33,"PASS","FAIL")</f>
        <v>PASS</v>
      </c>
      <c r="H11" t="str">
        <f>IF(COUNTIFS('Ratio Verification'!A6:A830,"KOHC",'Ratio Verification'!B6:B830,2025,'Ratio Verification'!N6:N830,"PASS")=33,"PASS","FAIL")</f>
        <v>PASS</v>
      </c>
      <c r="I11" t="str">
        <f>IF(SUMPRODUCT(--ISERROR(KOHC!G138:G189))=0,"PASS","FAIL")</f>
        <v>PASS</v>
      </c>
      <c r="J11" t="str">
        <f>IF(SUMPRODUCT(--ISERROR(KOHC!H138:H189))=0,"PASS","FAIL")</f>
        <v>PASS</v>
      </c>
    </row>
    <row r="12" spans="1:19" x14ac:dyDescent="0.3">
      <c r="A12" t="s">
        <v>18</v>
      </c>
      <c r="B12" t="s">
        <v>973</v>
      </c>
      <c r="D12">
        <f>COUNTIF(KOHC!D138:D174,"n/m")</f>
        <v>1</v>
      </c>
      <c r="E12">
        <f>COUNTIF(KOHC!E138:E174,"n/m")</f>
        <v>1</v>
      </c>
      <c r="F12">
        <f>COUNTIF(KOHC!F138:F174,"n/m")</f>
        <v>0</v>
      </c>
      <c r="G12">
        <f>COUNTIF(KOHC!G138:G174,"n/m")</f>
        <v>0</v>
      </c>
      <c r="H12">
        <f>COUNTIF(KOHC!H138:H174,"n/m")</f>
        <v>1</v>
      </c>
      <c r="I12">
        <f>COUNTIF(KOHC!G138:G182,"n/m")</f>
        <v>0</v>
      </c>
      <c r="J12">
        <f>COUNTIF(KOHC!H138:H182,"n/m")</f>
        <v>1</v>
      </c>
    </row>
    <row r="13" spans="1:19" x14ac:dyDescent="0.3">
      <c r="A13" t="s">
        <v>18</v>
      </c>
      <c r="B13" t="s">
        <v>974</v>
      </c>
      <c r="D13" t="s">
        <v>975</v>
      </c>
      <c r="E13" t="s">
        <v>975</v>
      </c>
      <c r="F13" t="s">
        <v>975</v>
      </c>
      <c r="G13" t="s">
        <v>975</v>
      </c>
      <c r="H13" t="s">
        <v>975</v>
      </c>
      <c r="I13" t="s">
        <v>976</v>
      </c>
      <c r="J13" t="s">
        <v>976</v>
      </c>
      <c r="K13" s="8" t="s">
        <v>977</v>
      </c>
    </row>
    <row r="14" spans="1:19" x14ac:dyDescent="0.3">
      <c r="A14" t="s">
        <v>68</v>
      </c>
      <c r="B14" t="s">
        <v>966</v>
      </c>
      <c r="C14" t="str">
        <f>IF(ABS(LUCK!C37-LUCK!C63)&lt;0.000001,"PASS","REVIEW: official footing")</f>
        <v>REVIEW: official footing</v>
      </c>
      <c r="D14" t="str">
        <f>IF(ABS(LUCK!D37-LUCK!D63)&lt;0.000001,"PASS","REVIEW: official footing")</f>
        <v>PASS</v>
      </c>
      <c r="E14" t="str">
        <f>IF(ABS(LUCK!E37-LUCK!E63)&lt;0.000001,"PASS","REVIEW: official footing")</f>
        <v>PASS</v>
      </c>
      <c r="F14" t="str">
        <f>IF(ABS(LUCK!F37-LUCK!F63)&lt;0.000001,"PASS","REVIEW: official footing")</f>
        <v>PASS</v>
      </c>
      <c r="G14" t="str">
        <f>IF(ABS(LUCK!G37-LUCK!G63)&lt;0.000001,"PASS","REVIEW: official footing")</f>
        <v>PASS</v>
      </c>
      <c r="H14" t="str">
        <f>IF(ABS(LUCK!H37-LUCK!H63)&lt;0.000001,"PASS","REVIEW: official footing")</f>
        <v>PASS</v>
      </c>
      <c r="I14" t="str">
        <f>LUCK!G79</f>
        <v>PASS</v>
      </c>
      <c r="J14" t="str">
        <f>LUCK!H79</f>
        <v>PASS</v>
      </c>
    </row>
    <row r="15" spans="1:19" x14ac:dyDescent="0.3">
      <c r="A15" t="s">
        <v>68</v>
      </c>
      <c r="B15" t="s">
        <v>967</v>
      </c>
      <c r="C15" t="str">
        <f>IF(ABS(LUCK!C37-LUCK!C75)&lt;0.000001,"PASS","REVIEW")</f>
        <v>PASS</v>
      </c>
      <c r="D15" t="str">
        <f>IF(ABS(LUCK!D37-LUCK!D75)&lt;0.000001,"PASS","REVIEW")</f>
        <v>PASS</v>
      </c>
      <c r="E15" t="str">
        <f>IF(ABS(LUCK!E37-LUCK!E75)&lt;0.000001,"PASS","REVIEW")</f>
        <v>PASS</v>
      </c>
      <c r="F15" t="str">
        <f>IF(ABS(LUCK!F37-LUCK!F75)&lt;0.000001,"PASS","REVIEW")</f>
        <v>PASS</v>
      </c>
      <c r="G15" t="str">
        <f>IF(ABS(LUCK!G37-LUCK!G75)&lt;0.000001,"PASS","REVIEW")</f>
        <v>PASS</v>
      </c>
      <c r="H15" t="str">
        <f>IF(ABS(LUCK!H37-LUCK!H75)&lt;0.000001,"PASS","REVIEW")</f>
        <v>PASS</v>
      </c>
      <c r="I15" t="str">
        <f>LUCK!G80</f>
        <v>PASS</v>
      </c>
      <c r="J15" t="str">
        <f>LUCK!H80</f>
        <v>PASS</v>
      </c>
    </row>
    <row r="16" spans="1:19" x14ac:dyDescent="0.3">
      <c r="A16" t="s">
        <v>68</v>
      </c>
      <c r="B16" t="s">
        <v>968</v>
      </c>
      <c r="C16" t="str">
        <f>IF(AND(ABS(LUCK!C41-LUCK!C76)&lt;0.000001,ABS(LUCK!C36-LUCK!C77)&lt;0.000001,ABS(LUCK!C61-LUCK!C78)&lt;0.000001),"PASS","REVIEW")</f>
        <v>PASS</v>
      </c>
      <c r="D16" t="str">
        <f>IF(AND(ABS(LUCK!D41-LUCK!D76)&lt;0.000001,ABS(LUCK!D36-LUCK!D77)&lt;0.000001,ABS(LUCK!D61-LUCK!D78)&lt;0.000001),"PASS","REVIEW")</f>
        <v>PASS</v>
      </c>
      <c r="E16" t="str">
        <f>IF(AND(ABS(LUCK!E41-LUCK!E76)&lt;0.000001,ABS(LUCK!E36-LUCK!E77)&lt;0.000001,ABS(LUCK!E61-LUCK!E78)&lt;0.000001),"PASS","REVIEW")</f>
        <v>PASS</v>
      </c>
      <c r="F16" t="str">
        <f>IF(AND(ABS(LUCK!F41-LUCK!F76)&lt;0.000001,ABS(LUCK!F36-LUCK!F77)&lt;0.000001,ABS(LUCK!F61-LUCK!F78)&lt;0.000001),"PASS","REVIEW")</f>
        <v>PASS</v>
      </c>
      <c r="G16" t="str">
        <f>IF(AND(ABS(LUCK!G41-LUCK!G76)&lt;0.000001,ABS(LUCK!G36-LUCK!G77)&lt;0.000001,ABS(LUCK!G61-LUCK!G78)&lt;0.000001),"PASS","REVIEW")</f>
        <v>PASS</v>
      </c>
      <c r="H16" t="str">
        <f>IF(AND(ABS(LUCK!H41-LUCK!H76)&lt;0.000001,ABS(LUCK!H36-LUCK!H77)&lt;0.000001,ABS(LUCK!H61-LUCK!H78)&lt;0.000001),"PASS","REVIEW")</f>
        <v>PASS</v>
      </c>
      <c r="I16" t="str">
        <f>LUCK!G81</f>
        <v>PASS</v>
      </c>
      <c r="J16" t="str">
        <f>LUCK!H81</f>
        <v>PASS</v>
      </c>
    </row>
    <row r="17" spans="1:11" x14ac:dyDescent="0.3">
      <c r="A17" t="s">
        <v>68</v>
      </c>
      <c r="B17" t="s">
        <v>969</v>
      </c>
      <c r="D17" t="str">
        <f>IF(AND(ABS(LUCK!D86-LUCK!D100)&lt;0.000001,ABS(LUCK!D96-LUCK!D101)&lt;0.000001,ABS(LUCK!D99-LUCK!D102)&lt;0.000001),"PASS","REVIEW")</f>
        <v>PASS</v>
      </c>
      <c r="E17" t="str">
        <f>IF(AND(ABS(LUCK!E86-LUCK!E100)&lt;0.000001,ABS(LUCK!E96-LUCK!E101)&lt;0.000001,ABS(LUCK!E99-LUCK!E102)&lt;0.000001),"PASS","REVIEW")</f>
        <v>PASS</v>
      </c>
      <c r="F17" t="str">
        <f>IF(AND(ABS(LUCK!F86-LUCK!F100)&lt;0.000001,ABS(LUCK!F96-LUCK!F101)&lt;0.000001,ABS(LUCK!F99-LUCK!F102)&lt;0.000001),"PASS","REVIEW")</f>
        <v>PASS</v>
      </c>
      <c r="G17" t="str">
        <f>IF(AND(ABS(LUCK!G86-LUCK!G100)&lt;0.000001,ABS(LUCK!G96-LUCK!G101)&lt;0.000001,ABS(LUCK!G99-LUCK!G102)&lt;0.000001),"PASS","REVIEW")</f>
        <v>PASS</v>
      </c>
      <c r="H17" t="str">
        <f>IF(AND(ABS(LUCK!H86-LUCK!H100)&lt;0.000001,ABS(LUCK!H96-LUCK!H101)&lt;0.000001,ABS(LUCK!H99-LUCK!H102)&lt;0.000001),"PASS","REVIEW")</f>
        <v>PASS</v>
      </c>
      <c r="I17" t="str">
        <f>LUCK!G103</f>
        <v>PASS</v>
      </c>
      <c r="J17" t="str">
        <f>LUCK!H103</f>
        <v>PASS</v>
      </c>
    </row>
    <row r="18" spans="1:11" x14ac:dyDescent="0.3">
      <c r="A18" t="s">
        <v>68</v>
      </c>
      <c r="B18" t="s">
        <v>970</v>
      </c>
      <c r="D18" t="str">
        <f>IF(ABS((LUCK!D99/LUCK!D129)/1-LUCK!D132)&lt;=0.01,"PASS","REVIEW: source EPS")</f>
        <v>PASS</v>
      </c>
      <c r="E18" t="str">
        <f>IF(ABS((LUCK!E99/LUCK!E129)/1-LUCK!E132)&lt;=0.01,"PASS","REVIEW: source EPS")</f>
        <v>PASS</v>
      </c>
      <c r="F18" t="str">
        <f>IF(ABS((LUCK!F99/LUCK!F129)/1-LUCK!F132)&lt;=0.01,"PASS","REVIEW: source EPS")</f>
        <v>PASS</v>
      </c>
      <c r="G18" t="str">
        <f>IF(ABS((LUCK!G99/LUCK!G129)/1-LUCK!G132)&lt;=0.01,"PASS","REVIEW: source EPS")</f>
        <v>PASS</v>
      </c>
      <c r="H18" t="str">
        <f>IF(ABS((LUCK!H99/LUCK!H129)/1-LUCK!H132)&lt;=0.01,"PASS","REVIEW: source EPS")</f>
        <v>PASS</v>
      </c>
      <c r="I18" t="str">
        <f>IF(ABS(LUCK!G171/1-LUCK!G132)&lt;=0.01,"PASS","REVIEW")</f>
        <v>PASS</v>
      </c>
      <c r="J18" t="str">
        <f>IF(ABS(LUCK!H171/1-LUCK!H132)&lt;=0.01,"PASS","REVIEW")</f>
        <v>PASS</v>
      </c>
    </row>
    <row r="19" spans="1:11" x14ac:dyDescent="0.3">
      <c r="A19" t="s">
        <v>68</v>
      </c>
      <c r="B19" t="s">
        <v>971</v>
      </c>
      <c r="C19" t="str">
        <f>IF(COUNT(LUCK!C65,LUCK!C32,LUCK!C51,LUCK!C22,LUCK!C37,LUCK!C41,LUCK!C70)=7,"PASS","REVIEW")</f>
        <v>PASS</v>
      </c>
      <c r="D19" t="str">
        <f>IF(COUNT(LUCK!D65,LUCK!D32,LUCK!D51,LUCK!D22,LUCK!D37,LUCK!D41,LUCK!D70)=7,"PASS","REVIEW")</f>
        <v>PASS</v>
      </c>
      <c r="E19" t="str">
        <f>IF(COUNT(LUCK!E65,LUCK!E32,LUCK!E51,LUCK!E22,LUCK!E37,LUCK!E41,LUCK!E70)=7,"PASS","REVIEW")</f>
        <v>PASS</v>
      </c>
      <c r="F19" t="str">
        <f>IF(COUNT(LUCK!F65,LUCK!F32,LUCK!F51,LUCK!F22,LUCK!F37,LUCK!F41,LUCK!F70)=7,"PASS","REVIEW")</f>
        <v>PASS</v>
      </c>
      <c r="G19" t="str">
        <f>IF(COUNT(LUCK!G65,LUCK!G32,LUCK!G51,LUCK!G22,LUCK!G37,LUCK!G41,LUCK!G70)=7,"PASS","REVIEW")</f>
        <v>PASS</v>
      </c>
      <c r="H19" t="str">
        <f>IF(COUNT(LUCK!H65,LUCK!H32,LUCK!H51,LUCK!H22,LUCK!H37,LUCK!H41,LUCK!H70)=7,"PASS","REVIEW")</f>
        <v>PASS</v>
      </c>
      <c r="I19" t="str">
        <f>IF(AND(ISNUMBER(LUCK!F37),ISNUMBER(LUCK!F51),ISNUMBER(LUCK!F21)),"PASS","FAIL")</f>
        <v>PASS</v>
      </c>
      <c r="J19" t="str">
        <f>IF(AND(ISNUMBER(LUCK!G37),ISNUMBER(LUCK!G51),ISNUMBER(LUCK!G21)),"PASS","FAIL")</f>
        <v>PASS</v>
      </c>
    </row>
    <row r="20" spans="1:11" x14ac:dyDescent="0.3">
      <c r="A20" t="s">
        <v>68</v>
      </c>
      <c r="B20" t="s">
        <v>972</v>
      </c>
      <c r="D20" t="str">
        <f>IF(COUNTIFS('Ratio Verification'!A6:A830,"LUCK",'Ratio Verification'!B6:B830,2021,'Ratio Verification'!N6:N830,"PASS")=33,"PASS","FAIL")</f>
        <v>PASS</v>
      </c>
      <c r="E20" t="str">
        <f>IF(COUNTIFS('Ratio Verification'!A6:A830,"LUCK",'Ratio Verification'!B6:B830,2022,'Ratio Verification'!N6:N830,"PASS")=33,"PASS","FAIL")</f>
        <v>PASS</v>
      </c>
      <c r="F20" t="str">
        <f>IF(COUNTIFS('Ratio Verification'!A6:A830,"LUCK",'Ratio Verification'!B6:B830,2023,'Ratio Verification'!N6:N830,"PASS")=33,"PASS","FAIL")</f>
        <v>PASS</v>
      </c>
      <c r="G20" t="str">
        <f>IF(COUNTIFS('Ratio Verification'!A6:A830,"LUCK",'Ratio Verification'!B6:B830,2024,'Ratio Verification'!N6:N830,"PASS")=33,"PASS","FAIL")</f>
        <v>PASS</v>
      </c>
      <c r="H20" t="str">
        <f>IF(COUNTIFS('Ratio Verification'!A6:A830,"LUCK",'Ratio Verification'!B6:B830,2025,'Ratio Verification'!N6:N830,"PASS")=33,"PASS","FAIL")</f>
        <v>PASS</v>
      </c>
      <c r="I20" t="str">
        <f>IF(SUMPRODUCT(--ISERROR(LUCK!G138:G189))=0,"PASS","FAIL")</f>
        <v>PASS</v>
      </c>
      <c r="J20" t="str">
        <f>IF(SUMPRODUCT(--ISERROR(LUCK!H138:H189))=0,"PASS","FAIL")</f>
        <v>PASS</v>
      </c>
    </row>
    <row r="21" spans="1:11" x14ac:dyDescent="0.3">
      <c r="A21" t="s">
        <v>68</v>
      </c>
      <c r="B21" t="s">
        <v>973</v>
      </c>
      <c r="D21">
        <f>COUNTIF(LUCK!D138:D174,"n/m")</f>
        <v>1</v>
      </c>
      <c r="E21">
        <f>COUNTIF(LUCK!E138:E174,"n/m")</f>
        <v>1</v>
      </c>
      <c r="F21">
        <f>COUNTIF(LUCK!F138:F174,"n/m")</f>
        <v>1</v>
      </c>
      <c r="G21">
        <f>COUNTIF(LUCK!G138:G174,"n/m")</f>
        <v>1</v>
      </c>
      <c r="H21">
        <f>COUNTIF(LUCK!H138:H174,"n/m")</f>
        <v>1</v>
      </c>
      <c r="I21">
        <f>COUNTIF(LUCK!G138:G182,"n/m")</f>
        <v>1</v>
      </c>
      <c r="J21">
        <f>COUNTIF(LUCK!H138:H182,"n/m")</f>
        <v>1</v>
      </c>
    </row>
    <row r="22" spans="1:11" x14ac:dyDescent="0.3">
      <c r="A22" t="s">
        <v>68</v>
      </c>
      <c r="B22" t="s">
        <v>974</v>
      </c>
      <c r="D22" t="s">
        <v>975</v>
      </c>
      <c r="E22" t="s">
        <v>975</v>
      </c>
      <c r="F22" t="s">
        <v>975</v>
      </c>
      <c r="G22" t="s">
        <v>975</v>
      </c>
      <c r="H22" t="s">
        <v>975</v>
      </c>
      <c r="I22" t="s">
        <v>976</v>
      </c>
      <c r="J22" t="s">
        <v>976</v>
      </c>
      <c r="K22" s="8" t="s">
        <v>977</v>
      </c>
    </row>
    <row r="23" spans="1:11" x14ac:dyDescent="0.3">
      <c r="A23" t="s">
        <v>86</v>
      </c>
      <c r="B23" t="s">
        <v>966</v>
      </c>
      <c r="C23" t="str">
        <f>IF(ABS(DGKC!C37-DGKC!C63)&lt;0.000001,"PASS","REVIEW: official footing")</f>
        <v>PASS</v>
      </c>
      <c r="D23" t="str">
        <f>IF(ABS(DGKC!D37-DGKC!D63)&lt;0.000001,"PASS","REVIEW: official footing")</f>
        <v>PASS</v>
      </c>
      <c r="E23" t="str">
        <f>IF(ABS(DGKC!E37-DGKC!E63)&lt;0.000001,"PASS","REVIEW: official footing")</f>
        <v>PASS</v>
      </c>
      <c r="F23" t="str">
        <f>IF(ABS(DGKC!F37-DGKC!F63)&lt;0.000001,"PASS","REVIEW: official footing")</f>
        <v>PASS</v>
      </c>
      <c r="G23" t="str">
        <f>IF(ABS(DGKC!G37-DGKC!G63)&lt;0.000001,"PASS","REVIEW: official footing")</f>
        <v>PASS</v>
      </c>
      <c r="H23" t="str">
        <f>IF(ABS(DGKC!H37-DGKC!H63)&lt;0.000001,"PASS","REVIEW: official footing")</f>
        <v>PASS</v>
      </c>
      <c r="I23" t="str">
        <f>DGKC!G79</f>
        <v>PASS</v>
      </c>
      <c r="J23" t="str">
        <f>DGKC!H79</f>
        <v>PASS</v>
      </c>
    </row>
    <row r="24" spans="1:11" x14ac:dyDescent="0.3">
      <c r="A24" t="s">
        <v>86</v>
      </c>
      <c r="B24" t="s">
        <v>967</v>
      </c>
      <c r="C24" t="str">
        <f>IF(ABS(DGKC!C37-DGKC!C75)&lt;0.000001,"PASS","REVIEW")</f>
        <v>PASS</v>
      </c>
      <c r="D24" t="str">
        <f>IF(ABS(DGKC!D37-DGKC!D75)&lt;0.000001,"PASS","REVIEW")</f>
        <v>PASS</v>
      </c>
      <c r="E24" t="str">
        <f>IF(ABS(DGKC!E37-DGKC!E75)&lt;0.000001,"PASS","REVIEW")</f>
        <v>PASS</v>
      </c>
      <c r="F24" t="str">
        <f>IF(ABS(DGKC!F37-DGKC!F75)&lt;0.000001,"PASS","REVIEW")</f>
        <v>PASS</v>
      </c>
      <c r="G24" t="str">
        <f>IF(ABS(DGKC!G37-DGKC!G75)&lt;0.000001,"PASS","REVIEW")</f>
        <v>PASS</v>
      </c>
      <c r="H24" t="str">
        <f>IF(ABS(DGKC!H37-DGKC!H75)&lt;0.000001,"PASS","REVIEW")</f>
        <v>PASS</v>
      </c>
      <c r="I24" t="str">
        <f>DGKC!G80</f>
        <v>PASS</v>
      </c>
      <c r="J24" t="str">
        <f>DGKC!H80</f>
        <v>PASS</v>
      </c>
    </row>
    <row r="25" spans="1:11" x14ac:dyDescent="0.3">
      <c r="A25" t="s">
        <v>86</v>
      </c>
      <c r="B25" t="s">
        <v>968</v>
      </c>
      <c r="C25" t="str">
        <f>IF(AND(ABS(DGKC!C41-DGKC!C76)&lt;0.000001,ABS(DGKC!C36-DGKC!C77)&lt;0.000001,ABS(DGKC!C61-DGKC!C78)&lt;0.000001),"PASS","REVIEW")</f>
        <v>PASS</v>
      </c>
      <c r="D25" t="str">
        <f>IF(AND(ABS(DGKC!D41-DGKC!D76)&lt;0.000001,ABS(DGKC!D36-DGKC!D77)&lt;0.000001,ABS(DGKC!D61-DGKC!D78)&lt;0.000001),"PASS","REVIEW")</f>
        <v>PASS</v>
      </c>
      <c r="E25" t="str">
        <f>IF(AND(ABS(DGKC!E41-DGKC!E76)&lt;0.000001,ABS(DGKC!E36-DGKC!E77)&lt;0.000001,ABS(DGKC!E61-DGKC!E78)&lt;0.000001),"PASS","REVIEW")</f>
        <v>PASS</v>
      </c>
      <c r="F25" t="str">
        <f>IF(AND(ABS(DGKC!F41-DGKC!F76)&lt;0.000001,ABS(DGKC!F36-DGKC!F77)&lt;0.000001,ABS(DGKC!F61-DGKC!F78)&lt;0.000001),"PASS","REVIEW")</f>
        <v>PASS</v>
      </c>
      <c r="G25" t="str">
        <f>IF(AND(ABS(DGKC!G41-DGKC!G76)&lt;0.000001,ABS(DGKC!G36-DGKC!G77)&lt;0.000001,ABS(DGKC!G61-DGKC!G78)&lt;0.000001),"PASS","REVIEW")</f>
        <v>PASS</v>
      </c>
      <c r="H25" t="str">
        <f>IF(AND(ABS(DGKC!H41-DGKC!H76)&lt;0.000001,ABS(DGKC!H36-DGKC!H77)&lt;0.000001,ABS(DGKC!H61-DGKC!H78)&lt;0.000001),"PASS","REVIEW")</f>
        <v>PASS</v>
      </c>
      <c r="I25" t="str">
        <f>DGKC!G81</f>
        <v>PASS</v>
      </c>
      <c r="J25" t="str">
        <f>DGKC!H81</f>
        <v>PASS</v>
      </c>
    </row>
    <row r="26" spans="1:11" x14ac:dyDescent="0.3">
      <c r="A26" t="s">
        <v>86</v>
      </c>
      <c r="B26" t="s">
        <v>969</v>
      </c>
      <c r="D26" t="str">
        <f>IF(AND(ABS(DGKC!D86-DGKC!D100)&lt;0.000001,ABS(DGKC!D96-DGKC!D101)&lt;0.000001,ABS(DGKC!D99-DGKC!D102)&lt;0.000001),"PASS","REVIEW")</f>
        <v>PASS</v>
      </c>
      <c r="E26" t="str">
        <f>IF(AND(ABS(DGKC!E86-DGKC!E100)&lt;0.000001,ABS(DGKC!E96-DGKC!E101)&lt;0.000001,ABS(DGKC!E99-DGKC!E102)&lt;0.000001),"PASS","REVIEW")</f>
        <v>PASS</v>
      </c>
      <c r="F26" t="str">
        <f>IF(AND(ABS(DGKC!F86-DGKC!F100)&lt;0.000001,ABS(DGKC!F96-DGKC!F101)&lt;0.000001,ABS(DGKC!F99-DGKC!F102)&lt;0.000001),"PASS","REVIEW")</f>
        <v>PASS</v>
      </c>
      <c r="G26" t="str">
        <f>IF(AND(ABS(DGKC!G86-DGKC!G100)&lt;0.000001,ABS(DGKC!G96-DGKC!G101)&lt;0.000001,ABS(DGKC!G99-DGKC!G102)&lt;0.000001),"PASS","REVIEW")</f>
        <v>PASS</v>
      </c>
      <c r="H26" t="str">
        <f>IF(AND(ABS(DGKC!H86-DGKC!H100)&lt;0.000001,ABS(DGKC!H96-DGKC!H101)&lt;0.000001,ABS(DGKC!H99-DGKC!H102)&lt;0.000001),"PASS","REVIEW")</f>
        <v>PASS</v>
      </c>
      <c r="I26" t="str">
        <f>DGKC!G103</f>
        <v>PASS</v>
      </c>
      <c r="J26" t="str">
        <f>DGKC!H103</f>
        <v>PASS</v>
      </c>
    </row>
    <row r="27" spans="1:11" x14ac:dyDescent="0.3">
      <c r="A27" t="s">
        <v>86</v>
      </c>
      <c r="B27" t="s">
        <v>970</v>
      </c>
      <c r="D27" t="str">
        <f>IF(ABS((DGKC!D99/DGKC!D129)/1-DGKC!D132)&lt;=0.01,"PASS","REVIEW: source EPS")</f>
        <v>PASS</v>
      </c>
      <c r="E27" t="str">
        <f>IF(ABS((DGKC!E99/DGKC!E129)/1-DGKC!E132)&lt;=0.01,"PASS","REVIEW: source EPS")</f>
        <v>PASS</v>
      </c>
      <c r="F27" t="str">
        <f>IF(ABS((DGKC!F99/DGKC!F129)/1-DGKC!F132)&lt;=0.01,"PASS","REVIEW: source EPS")</f>
        <v>PASS</v>
      </c>
      <c r="G27" t="str">
        <f>IF(ABS((DGKC!G99/DGKC!G129)/1-DGKC!G132)&lt;=0.01,"PASS","REVIEW: source EPS")</f>
        <v>PASS</v>
      </c>
      <c r="H27" t="str">
        <f>IF(ABS((DGKC!H99/DGKC!H129)/1-DGKC!H132)&lt;=0.01,"PASS","REVIEW: source EPS")</f>
        <v>PASS</v>
      </c>
      <c r="I27" t="str">
        <f>IF(ABS(DGKC!G171/1-DGKC!G132)&lt;=0.01,"PASS","REVIEW")</f>
        <v>PASS</v>
      </c>
      <c r="J27" t="str">
        <f>IF(ABS(DGKC!H171/1-DGKC!H132)&lt;=0.01,"PASS","REVIEW")</f>
        <v>PASS</v>
      </c>
    </row>
    <row r="28" spans="1:11" x14ac:dyDescent="0.3">
      <c r="A28" t="s">
        <v>86</v>
      </c>
      <c r="B28" t="s">
        <v>971</v>
      </c>
      <c r="C28" t="str">
        <f>IF(COUNT(DGKC!C65,DGKC!C32,DGKC!C51,DGKC!C22,DGKC!C37,DGKC!C41,DGKC!C70)=7,"PASS","REVIEW")</f>
        <v>PASS</v>
      </c>
      <c r="D28" t="str">
        <f>IF(COUNT(DGKC!D65,DGKC!D32,DGKC!D51,DGKC!D22,DGKC!D37,DGKC!D41,DGKC!D70)=7,"PASS","REVIEW")</f>
        <v>PASS</v>
      </c>
      <c r="E28" t="str">
        <f>IF(COUNT(DGKC!E65,DGKC!E32,DGKC!E51,DGKC!E22,DGKC!E37,DGKC!E41,DGKC!E70)=7,"PASS","REVIEW")</f>
        <v>PASS</v>
      </c>
      <c r="F28" t="str">
        <f>IF(COUNT(DGKC!F65,DGKC!F32,DGKC!F51,DGKC!F22,DGKC!F37,DGKC!F41,DGKC!F70)=7,"PASS","REVIEW")</f>
        <v>PASS</v>
      </c>
      <c r="G28" t="str">
        <f>IF(COUNT(DGKC!G65,DGKC!G32,DGKC!G51,DGKC!G22,DGKC!G37,DGKC!G41,DGKC!G70)=7,"PASS","REVIEW")</f>
        <v>PASS</v>
      </c>
      <c r="H28" t="str">
        <f>IF(COUNT(DGKC!H65,DGKC!H32,DGKC!H51,DGKC!H22,DGKC!H37,DGKC!H41,DGKC!H70)=7,"PASS","REVIEW")</f>
        <v>PASS</v>
      </c>
      <c r="I28" t="str">
        <f>IF(AND(ISNUMBER(DGKC!F37),ISNUMBER(DGKC!F51),ISNUMBER(DGKC!F21)),"PASS","FAIL")</f>
        <v>PASS</v>
      </c>
      <c r="J28" t="str">
        <f>IF(AND(ISNUMBER(DGKC!G37),ISNUMBER(DGKC!G51),ISNUMBER(DGKC!G21)),"PASS","FAIL")</f>
        <v>PASS</v>
      </c>
    </row>
    <row r="29" spans="1:11" x14ac:dyDescent="0.3">
      <c r="A29" t="s">
        <v>86</v>
      </c>
      <c r="B29" t="s">
        <v>972</v>
      </c>
      <c r="D29" t="str">
        <f>IF(COUNTIFS('Ratio Verification'!A6:A830,"DGKC",'Ratio Verification'!B6:B830,2021,'Ratio Verification'!N6:N830,"PASS")=33,"PASS","FAIL")</f>
        <v>PASS</v>
      </c>
      <c r="E29" t="str">
        <f>IF(COUNTIFS('Ratio Verification'!A6:A830,"DGKC",'Ratio Verification'!B6:B830,2022,'Ratio Verification'!N6:N830,"PASS")=33,"PASS","FAIL")</f>
        <v>PASS</v>
      </c>
      <c r="F29" t="str">
        <f>IF(COUNTIFS('Ratio Verification'!A6:A830,"DGKC",'Ratio Verification'!B6:B830,2023,'Ratio Verification'!N6:N830,"PASS")=33,"PASS","FAIL")</f>
        <v>PASS</v>
      </c>
      <c r="G29" t="str">
        <f>IF(COUNTIFS('Ratio Verification'!A6:A830,"DGKC",'Ratio Verification'!B6:B830,2024,'Ratio Verification'!N6:N830,"PASS")=33,"PASS","FAIL")</f>
        <v>PASS</v>
      </c>
      <c r="H29" t="str">
        <f>IF(COUNTIFS('Ratio Verification'!A6:A830,"DGKC",'Ratio Verification'!B6:B830,2025,'Ratio Verification'!N6:N830,"PASS")=33,"PASS","FAIL")</f>
        <v>PASS</v>
      </c>
      <c r="I29" t="str">
        <f>IF(SUMPRODUCT(--ISERROR(DGKC!G138:G189))=0,"PASS","FAIL")</f>
        <v>PASS</v>
      </c>
      <c r="J29" t="str">
        <f>IF(SUMPRODUCT(--ISERROR(DGKC!H138:H189))=0,"PASS","FAIL")</f>
        <v>PASS</v>
      </c>
    </row>
    <row r="30" spans="1:11" x14ac:dyDescent="0.3">
      <c r="A30" t="s">
        <v>86</v>
      </c>
      <c r="B30" t="s">
        <v>973</v>
      </c>
      <c r="D30">
        <f>COUNTIF(DGKC!D138:D174,"n/m")</f>
        <v>1</v>
      </c>
      <c r="E30">
        <f>COUNTIF(DGKC!E138:E174,"n/m")</f>
        <v>1</v>
      </c>
      <c r="F30">
        <f>COUNTIF(DGKC!F138:F174,"n/m")</f>
        <v>8</v>
      </c>
      <c r="G30">
        <f>COUNTIF(DGKC!G138:G174,"n/m")</f>
        <v>0</v>
      </c>
      <c r="H30">
        <f>COUNTIF(DGKC!H138:H174,"n/m")</f>
        <v>0</v>
      </c>
      <c r="I30">
        <f>COUNTIF(DGKC!G138:G182,"n/m")</f>
        <v>0</v>
      </c>
      <c r="J30">
        <f>COUNTIF(DGKC!H138:H182,"n/m")</f>
        <v>0</v>
      </c>
    </row>
    <row r="31" spans="1:11" x14ac:dyDescent="0.3">
      <c r="A31" t="s">
        <v>86</v>
      </c>
      <c r="B31" t="s">
        <v>974</v>
      </c>
      <c r="D31" t="s">
        <v>975</v>
      </c>
      <c r="E31" t="s">
        <v>975</v>
      </c>
      <c r="F31" t="s">
        <v>975</v>
      </c>
      <c r="G31" t="s">
        <v>975</v>
      </c>
      <c r="H31" t="s">
        <v>975</v>
      </c>
      <c r="I31" t="s">
        <v>976</v>
      </c>
      <c r="J31" t="s">
        <v>976</v>
      </c>
      <c r="K31" s="8" t="s">
        <v>977</v>
      </c>
    </row>
    <row r="32" spans="1:11" x14ac:dyDescent="0.3">
      <c r="A32" t="s">
        <v>106</v>
      </c>
      <c r="B32" t="s">
        <v>966</v>
      </c>
      <c r="C32" t="str">
        <f>IF(ABS(MLCF!C37-MLCF!C63)&lt;0.000001,"PASS","REVIEW: official footing")</f>
        <v>PASS</v>
      </c>
      <c r="D32" t="str">
        <f>IF(ABS(MLCF!D37-MLCF!D63)&lt;0.000001,"PASS","REVIEW: official footing")</f>
        <v>PASS</v>
      </c>
      <c r="E32" t="str">
        <f>IF(ABS(MLCF!E37-MLCF!E63)&lt;0.000001,"PASS","REVIEW: official footing")</f>
        <v>PASS</v>
      </c>
      <c r="F32" t="str">
        <f>IF(ABS(MLCF!F37-MLCF!F63)&lt;0.000001,"PASS","REVIEW: official footing")</f>
        <v>PASS</v>
      </c>
      <c r="G32" t="str">
        <f>IF(ABS(MLCF!G37-MLCF!G63)&lt;0.000001,"PASS","REVIEW: official footing")</f>
        <v>PASS</v>
      </c>
      <c r="H32" t="str">
        <f>IF(ABS(MLCF!H37-MLCF!H63)&lt;0.000001,"PASS","REVIEW: official footing")</f>
        <v>PASS</v>
      </c>
      <c r="I32" t="str">
        <f>MLCF!G79</f>
        <v>PASS</v>
      </c>
      <c r="J32" t="str">
        <f>MLCF!H79</f>
        <v>PASS</v>
      </c>
    </row>
    <row r="33" spans="1:11" x14ac:dyDescent="0.3">
      <c r="A33" t="s">
        <v>106</v>
      </c>
      <c r="B33" t="s">
        <v>967</v>
      </c>
      <c r="C33" t="str">
        <f>IF(ABS(MLCF!C37-MLCF!C75)&lt;0.000001,"PASS","REVIEW")</f>
        <v>PASS</v>
      </c>
      <c r="D33" t="str">
        <f>IF(ABS(MLCF!D37-MLCF!D75)&lt;0.000001,"PASS","REVIEW")</f>
        <v>PASS</v>
      </c>
      <c r="E33" t="str">
        <f>IF(ABS(MLCF!E37-MLCF!E75)&lt;0.000001,"PASS","REVIEW")</f>
        <v>PASS</v>
      </c>
      <c r="F33" t="str">
        <f>IF(ABS(MLCF!F37-MLCF!F75)&lt;0.000001,"PASS","REVIEW")</f>
        <v>PASS</v>
      </c>
      <c r="G33" t="str">
        <f>IF(ABS(MLCF!G37-MLCF!G75)&lt;0.000001,"PASS","REVIEW")</f>
        <v>PASS</v>
      </c>
      <c r="H33" t="str">
        <f>IF(ABS(MLCF!H37-MLCF!H75)&lt;0.000001,"PASS","REVIEW")</f>
        <v>PASS</v>
      </c>
      <c r="I33" t="str">
        <f>MLCF!G80</f>
        <v>PASS</v>
      </c>
      <c r="J33" t="str">
        <f>MLCF!H80</f>
        <v>PASS</v>
      </c>
    </row>
    <row r="34" spans="1:11" x14ac:dyDescent="0.3">
      <c r="A34" t="s">
        <v>106</v>
      </c>
      <c r="B34" t="s">
        <v>968</v>
      </c>
      <c r="C34" t="str">
        <f>IF(AND(ABS(MLCF!C41-MLCF!C76)&lt;0.000001,ABS(MLCF!C36-MLCF!C77)&lt;0.000001,ABS(MLCF!C61-MLCF!C78)&lt;0.000001),"PASS","REVIEW")</f>
        <v>PASS</v>
      </c>
      <c r="D34" t="str">
        <f>IF(AND(ABS(MLCF!D41-MLCF!D76)&lt;0.000001,ABS(MLCF!D36-MLCF!D77)&lt;0.000001,ABS(MLCF!D61-MLCF!D78)&lt;0.000001),"PASS","REVIEW")</f>
        <v>PASS</v>
      </c>
      <c r="E34" t="str">
        <f>IF(AND(ABS(MLCF!E41-MLCF!E76)&lt;0.000001,ABS(MLCF!E36-MLCF!E77)&lt;0.000001,ABS(MLCF!E61-MLCF!E78)&lt;0.000001),"PASS","REVIEW")</f>
        <v>PASS</v>
      </c>
      <c r="F34" t="str">
        <f>IF(AND(ABS(MLCF!F41-MLCF!F76)&lt;0.000001,ABS(MLCF!F36-MLCF!F77)&lt;0.000001,ABS(MLCF!F61-MLCF!F78)&lt;0.000001),"PASS","REVIEW")</f>
        <v>PASS</v>
      </c>
      <c r="G34" t="str">
        <f>IF(AND(ABS(MLCF!G41-MLCF!G76)&lt;0.000001,ABS(MLCF!G36-MLCF!G77)&lt;0.000001,ABS(MLCF!G61-MLCF!G78)&lt;0.000001),"PASS","REVIEW")</f>
        <v>PASS</v>
      </c>
      <c r="H34" t="str">
        <f>IF(AND(ABS(MLCF!H41-MLCF!H76)&lt;0.000001,ABS(MLCF!H36-MLCF!H77)&lt;0.000001,ABS(MLCF!H61-MLCF!H78)&lt;0.000001),"PASS","REVIEW")</f>
        <v>PASS</v>
      </c>
      <c r="I34" t="str">
        <f>MLCF!G81</f>
        <v>PASS</v>
      </c>
      <c r="J34" t="str">
        <f>MLCF!H81</f>
        <v>PASS</v>
      </c>
    </row>
    <row r="35" spans="1:11" x14ac:dyDescent="0.3">
      <c r="A35" t="s">
        <v>106</v>
      </c>
      <c r="B35" t="s">
        <v>969</v>
      </c>
      <c r="D35" t="str">
        <f>IF(AND(ABS(MLCF!D86-MLCF!D100)&lt;0.000001,ABS(MLCF!D96-MLCF!D101)&lt;0.000001,ABS(MLCF!D99-MLCF!D102)&lt;0.000001),"PASS","REVIEW")</f>
        <v>PASS</v>
      </c>
      <c r="E35" t="str">
        <f>IF(AND(ABS(MLCF!E86-MLCF!E100)&lt;0.000001,ABS(MLCF!E96-MLCF!E101)&lt;0.000001,ABS(MLCF!E99-MLCF!E102)&lt;0.000001),"PASS","REVIEW")</f>
        <v>PASS</v>
      </c>
      <c r="F35" t="str">
        <f>IF(AND(ABS(MLCF!F86-MLCF!F100)&lt;0.000001,ABS(MLCF!F96-MLCF!F101)&lt;0.000001,ABS(MLCF!F99-MLCF!F102)&lt;0.000001),"PASS","REVIEW")</f>
        <v>PASS</v>
      </c>
      <c r="G35" t="str">
        <f>IF(AND(ABS(MLCF!G86-MLCF!G100)&lt;0.000001,ABS(MLCF!G96-MLCF!G101)&lt;0.000001,ABS(MLCF!G99-MLCF!G102)&lt;0.000001),"PASS","REVIEW")</f>
        <v>PASS</v>
      </c>
      <c r="H35" t="str">
        <f>IF(AND(ABS(MLCF!H86-MLCF!H100)&lt;0.000001,ABS(MLCF!H96-MLCF!H101)&lt;0.000001,ABS(MLCF!H99-MLCF!H102)&lt;0.000001),"PASS","REVIEW")</f>
        <v>PASS</v>
      </c>
      <c r="I35" t="str">
        <f>MLCF!G103</f>
        <v>PASS</v>
      </c>
      <c r="J35" t="str">
        <f>MLCF!H103</f>
        <v>PASS</v>
      </c>
    </row>
    <row r="36" spans="1:11" x14ac:dyDescent="0.3">
      <c r="A36" t="s">
        <v>106</v>
      </c>
      <c r="B36" t="s">
        <v>970</v>
      </c>
      <c r="D36" t="str">
        <f>IF(ABS((MLCF!D99/MLCF!D129)/1-MLCF!D132)&lt;=0.01,"PASS","REVIEW: source EPS")</f>
        <v>PASS</v>
      </c>
      <c r="E36" t="str">
        <f>IF(ABS((MLCF!E99/MLCF!E129)/1-MLCF!E132)&lt;=0.01,"PASS","REVIEW: source EPS")</f>
        <v>PASS</v>
      </c>
      <c r="F36" t="str">
        <f>IF(ABS((MLCF!F99/MLCF!F129)/1-MLCF!F132)&lt;=0.01,"PASS","REVIEW: source EPS")</f>
        <v>PASS</v>
      </c>
      <c r="G36" t="str">
        <f>IF(ABS((MLCF!G99/MLCF!G129)/1-MLCF!G132)&lt;=0.01,"PASS","REVIEW: source EPS")</f>
        <v>PASS</v>
      </c>
      <c r="H36" t="str">
        <f>IF(ABS((MLCF!H99/MLCF!H129)/1-MLCF!H132)&lt;=0.01,"PASS","REVIEW: source EPS")</f>
        <v>PASS</v>
      </c>
      <c r="I36" t="str">
        <f>IF(ABS(MLCF!G171/1-MLCF!G132)&lt;=0.01,"PASS","REVIEW")</f>
        <v>PASS</v>
      </c>
      <c r="J36" t="str">
        <f>IF(ABS(MLCF!H171/1-MLCF!H132)&lt;=0.01,"PASS","REVIEW")</f>
        <v>PASS</v>
      </c>
    </row>
    <row r="37" spans="1:11" x14ac:dyDescent="0.3">
      <c r="A37" t="s">
        <v>106</v>
      </c>
      <c r="B37" t="s">
        <v>971</v>
      </c>
      <c r="C37" t="str">
        <f>IF(COUNT(MLCF!C65,MLCF!C32,MLCF!C51,MLCF!C22,MLCF!C37,MLCF!C41,MLCF!C70)=7,"PASS","REVIEW")</f>
        <v>PASS</v>
      </c>
      <c r="D37" t="str">
        <f>IF(COUNT(MLCF!D65,MLCF!D32,MLCF!D51,MLCF!D22,MLCF!D37,MLCF!D41,MLCF!D70)=7,"PASS","REVIEW")</f>
        <v>PASS</v>
      </c>
      <c r="E37" t="str">
        <f>IF(COUNT(MLCF!E65,MLCF!E32,MLCF!E51,MLCF!E22,MLCF!E37,MLCF!E41,MLCF!E70)=7,"PASS","REVIEW")</f>
        <v>PASS</v>
      </c>
      <c r="F37" t="str">
        <f>IF(COUNT(MLCF!F65,MLCF!F32,MLCF!F51,MLCF!F22,MLCF!F37,MLCF!F41,MLCF!F70)=7,"PASS","REVIEW")</f>
        <v>PASS</v>
      </c>
      <c r="G37" t="str">
        <f>IF(COUNT(MLCF!G65,MLCF!G32,MLCF!G51,MLCF!G22,MLCF!G37,MLCF!G41,MLCF!G70)=7,"PASS","REVIEW")</f>
        <v>PASS</v>
      </c>
      <c r="H37" t="str">
        <f>IF(COUNT(MLCF!H65,MLCF!H32,MLCF!H51,MLCF!H22,MLCF!H37,MLCF!H41,MLCF!H70)=7,"PASS","REVIEW")</f>
        <v>PASS</v>
      </c>
      <c r="I37" t="str">
        <f>IF(AND(ISNUMBER(MLCF!F37),ISNUMBER(MLCF!F51),ISNUMBER(MLCF!F21)),"PASS","FAIL")</f>
        <v>PASS</v>
      </c>
      <c r="J37" t="str">
        <f>IF(AND(ISNUMBER(MLCF!G37),ISNUMBER(MLCF!G51),ISNUMBER(MLCF!G21)),"PASS","FAIL")</f>
        <v>PASS</v>
      </c>
    </row>
    <row r="38" spans="1:11" x14ac:dyDescent="0.3">
      <c r="A38" t="s">
        <v>106</v>
      </c>
      <c r="B38" t="s">
        <v>972</v>
      </c>
      <c r="D38" t="str">
        <f>IF(COUNTIFS('Ratio Verification'!A6:A830,"MLCF",'Ratio Verification'!B6:B830,2021,'Ratio Verification'!N6:N830,"PASS")=33,"PASS","FAIL")</f>
        <v>PASS</v>
      </c>
      <c r="E38" t="str">
        <f>IF(COUNTIFS('Ratio Verification'!A6:A830,"MLCF",'Ratio Verification'!B6:B830,2022,'Ratio Verification'!N6:N830,"PASS")=33,"PASS","FAIL")</f>
        <v>PASS</v>
      </c>
      <c r="F38" t="str">
        <f>IF(COUNTIFS('Ratio Verification'!A6:A830,"MLCF",'Ratio Verification'!B6:B830,2023,'Ratio Verification'!N6:N830,"PASS")=33,"PASS","FAIL")</f>
        <v>PASS</v>
      </c>
      <c r="G38" t="str">
        <f>IF(COUNTIFS('Ratio Verification'!A6:A830,"MLCF",'Ratio Verification'!B6:B830,2024,'Ratio Verification'!N6:N830,"PASS")=33,"PASS","FAIL")</f>
        <v>PASS</v>
      </c>
      <c r="H38" t="str">
        <f>IF(COUNTIFS('Ratio Verification'!A6:A830,"MLCF",'Ratio Verification'!B6:B830,2025,'Ratio Verification'!N6:N830,"PASS")=33,"PASS","FAIL")</f>
        <v>PASS</v>
      </c>
      <c r="I38" t="str">
        <f>IF(SUMPRODUCT(--ISERROR(MLCF!G138:G189))=0,"PASS","FAIL")</f>
        <v>PASS</v>
      </c>
      <c r="J38" t="str">
        <f>IF(SUMPRODUCT(--ISERROR(MLCF!H138:H189))=0,"PASS","FAIL")</f>
        <v>PASS</v>
      </c>
    </row>
    <row r="39" spans="1:11" x14ac:dyDescent="0.3">
      <c r="A39" t="s">
        <v>106</v>
      </c>
      <c r="B39" t="s">
        <v>973</v>
      </c>
      <c r="D39">
        <f>COUNTIF(MLCF!D138:D174,"n/m")</f>
        <v>0</v>
      </c>
      <c r="E39">
        <f>COUNTIF(MLCF!E138:E174,"n/m")</f>
        <v>0</v>
      </c>
      <c r="F39">
        <f>COUNTIF(MLCF!F138:F174,"n/m")</f>
        <v>0</v>
      </c>
      <c r="G39">
        <f>COUNTIF(MLCF!G138:G174,"n/m")</f>
        <v>0</v>
      </c>
      <c r="H39">
        <f>COUNTIF(MLCF!H138:H174,"n/m")</f>
        <v>0</v>
      </c>
      <c r="I39">
        <f>COUNTIF(MLCF!G138:G182,"n/m")</f>
        <v>0</v>
      </c>
      <c r="J39">
        <f>COUNTIF(MLCF!H138:H182,"n/m")</f>
        <v>0</v>
      </c>
    </row>
    <row r="40" spans="1:11" x14ac:dyDescent="0.3">
      <c r="A40" t="s">
        <v>106</v>
      </c>
      <c r="B40" t="s">
        <v>974</v>
      </c>
      <c r="D40" t="s">
        <v>975</v>
      </c>
      <c r="E40" t="s">
        <v>975</v>
      </c>
      <c r="F40" t="s">
        <v>975</v>
      </c>
      <c r="G40" t="s">
        <v>975</v>
      </c>
      <c r="H40" t="s">
        <v>975</v>
      </c>
      <c r="I40" t="s">
        <v>976</v>
      </c>
      <c r="J40" t="s">
        <v>976</v>
      </c>
      <c r="K40" s="8" t="s">
        <v>977</v>
      </c>
    </row>
    <row r="41" spans="1:11" x14ac:dyDescent="0.3">
      <c r="A41" t="s">
        <v>114</v>
      </c>
      <c r="B41" t="s">
        <v>966</v>
      </c>
      <c r="C41" t="str">
        <f>IF(ABS(FCCL!C37-FCCL!C63)&lt;0.000001,"PASS","REVIEW: official footing")</f>
        <v>PASS</v>
      </c>
      <c r="D41" t="str">
        <f>IF(ABS(FCCL!D37-FCCL!D63)&lt;0.000001,"PASS","REVIEW: official footing")</f>
        <v>PASS</v>
      </c>
      <c r="E41" t="str">
        <f>IF(ABS(FCCL!E37-FCCL!E63)&lt;0.000001,"PASS","REVIEW: official footing")</f>
        <v>PASS</v>
      </c>
      <c r="F41" t="str">
        <f>IF(ABS(FCCL!F37-FCCL!F63)&lt;0.000001,"PASS","REVIEW: official footing")</f>
        <v>PASS</v>
      </c>
      <c r="G41" t="str">
        <f>IF(ABS(FCCL!G37-FCCL!G63)&lt;0.000001,"PASS","REVIEW: official footing")</f>
        <v>PASS</v>
      </c>
      <c r="H41" t="str">
        <f>IF(ABS(FCCL!H37-FCCL!H63)&lt;0.000001,"PASS","REVIEW: official footing")</f>
        <v>PASS</v>
      </c>
      <c r="I41" t="str">
        <f>FCCL!G79</f>
        <v>PASS</v>
      </c>
      <c r="J41" t="str">
        <f>FCCL!H79</f>
        <v>PASS</v>
      </c>
    </row>
    <row r="42" spans="1:11" x14ac:dyDescent="0.3">
      <c r="A42" t="s">
        <v>114</v>
      </c>
      <c r="B42" t="s">
        <v>967</v>
      </c>
      <c r="C42" t="str">
        <f>IF(ABS(FCCL!C37-FCCL!C75)&lt;0.000001,"PASS","REVIEW")</f>
        <v>PASS</v>
      </c>
      <c r="D42" t="str">
        <f>IF(ABS(FCCL!D37-FCCL!D75)&lt;0.000001,"PASS","REVIEW")</f>
        <v>PASS</v>
      </c>
      <c r="E42" t="str">
        <f>IF(ABS(FCCL!E37-FCCL!E75)&lt;0.000001,"PASS","REVIEW")</f>
        <v>PASS</v>
      </c>
      <c r="F42" t="str">
        <f>IF(ABS(FCCL!F37-FCCL!F75)&lt;0.000001,"PASS","REVIEW")</f>
        <v>PASS</v>
      </c>
      <c r="G42" t="str">
        <f>IF(ABS(FCCL!G37-FCCL!G75)&lt;0.000001,"PASS","REVIEW")</f>
        <v>PASS</v>
      </c>
      <c r="H42" t="str">
        <f>IF(ABS(FCCL!H37-FCCL!H75)&lt;0.000001,"PASS","REVIEW")</f>
        <v>PASS</v>
      </c>
      <c r="I42" t="str">
        <f>FCCL!G80</f>
        <v>PASS</v>
      </c>
      <c r="J42" t="str">
        <f>FCCL!H80</f>
        <v>PASS</v>
      </c>
    </row>
    <row r="43" spans="1:11" x14ac:dyDescent="0.3">
      <c r="A43" t="s">
        <v>114</v>
      </c>
      <c r="B43" t="s">
        <v>968</v>
      </c>
      <c r="C43" t="str">
        <f>IF(AND(ABS(FCCL!C41-FCCL!C76)&lt;0.000001,ABS(FCCL!C36-FCCL!C77)&lt;0.000001,ABS(FCCL!C61-FCCL!C78)&lt;0.000001),"PASS","REVIEW")</f>
        <v>PASS</v>
      </c>
      <c r="D43" t="str">
        <f>IF(AND(ABS(FCCL!D41-FCCL!D76)&lt;0.000001,ABS(FCCL!D36-FCCL!D77)&lt;0.000001,ABS(FCCL!D61-FCCL!D78)&lt;0.000001),"PASS","REVIEW")</f>
        <v>PASS</v>
      </c>
      <c r="E43" t="str">
        <f>IF(AND(ABS(FCCL!E41-FCCL!E76)&lt;0.000001,ABS(FCCL!E36-FCCL!E77)&lt;0.000001,ABS(FCCL!E61-FCCL!E78)&lt;0.000001),"PASS","REVIEW")</f>
        <v>PASS</v>
      </c>
      <c r="F43" t="str">
        <f>IF(AND(ABS(FCCL!F41-FCCL!F76)&lt;0.000001,ABS(FCCL!F36-FCCL!F77)&lt;0.000001,ABS(FCCL!F61-FCCL!F78)&lt;0.000001),"PASS","REVIEW")</f>
        <v>PASS</v>
      </c>
      <c r="G43" t="str">
        <f>IF(AND(ABS(FCCL!G41-FCCL!G76)&lt;0.000001,ABS(FCCL!G36-FCCL!G77)&lt;0.000001,ABS(FCCL!G61-FCCL!G78)&lt;0.000001),"PASS","REVIEW")</f>
        <v>PASS</v>
      </c>
      <c r="H43" t="str">
        <f>IF(AND(ABS(FCCL!H41-FCCL!H76)&lt;0.000001,ABS(FCCL!H36-FCCL!H77)&lt;0.000001,ABS(FCCL!H61-FCCL!H78)&lt;0.000001),"PASS","REVIEW")</f>
        <v>PASS</v>
      </c>
      <c r="I43" t="str">
        <f>FCCL!G81</f>
        <v>PASS</v>
      </c>
      <c r="J43" t="str">
        <f>FCCL!H81</f>
        <v>PASS</v>
      </c>
    </row>
    <row r="44" spans="1:11" x14ac:dyDescent="0.3">
      <c r="A44" t="s">
        <v>114</v>
      </c>
      <c r="B44" t="s">
        <v>969</v>
      </c>
      <c r="D44" t="str">
        <f>IF(AND(ABS(FCCL!D86-FCCL!D100)&lt;0.000001,ABS(FCCL!D96-FCCL!D101)&lt;0.000001,ABS(FCCL!D99-FCCL!D102)&lt;0.000001),"PASS","REVIEW")</f>
        <v>PASS</v>
      </c>
      <c r="E44" t="str">
        <f>IF(AND(ABS(FCCL!E86-FCCL!E100)&lt;0.000001,ABS(FCCL!E96-FCCL!E101)&lt;0.000001,ABS(FCCL!E99-FCCL!E102)&lt;0.000001),"PASS","REVIEW")</f>
        <v>PASS</v>
      </c>
      <c r="F44" t="str">
        <f>IF(AND(ABS(FCCL!F86-FCCL!F100)&lt;0.000001,ABS(FCCL!F96-FCCL!F101)&lt;0.000001,ABS(FCCL!F99-FCCL!F102)&lt;0.000001),"PASS","REVIEW")</f>
        <v>PASS</v>
      </c>
      <c r="G44" t="str">
        <f>IF(AND(ABS(FCCL!G86-FCCL!G100)&lt;0.000001,ABS(FCCL!G96-FCCL!G101)&lt;0.000001,ABS(FCCL!G99-FCCL!G102)&lt;0.000001),"PASS","REVIEW")</f>
        <v>PASS</v>
      </c>
      <c r="H44" t="str">
        <f>IF(AND(ABS(FCCL!H86-FCCL!H100)&lt;0.000001,ABS(FCCL!H96-FCCL!H101)&lt;0.000001,ABS(FCCL!H99-FCCL!H102)&lt;0.000001),"PASS","REVIEW")</f>
        <v>PASS</v>
      </c>
      <c r="I44" t="str">
        <f>FCCL!G103</f>
        <v>PASS</v>
      </c>
      <c r="J44" t="str">
        <f>FCCL!H103</f>
        <v>PASS</v>
      </c>
    </row>
    <row r="45" spans="1:11" x14ac:dyDescent="0.3">
      <c r="A45" t="s">
        <v>114</v>
      </c>
      <c r="B45" t="s">
        <v>970</v>
      </c>
      <c r="D45" t="str">
        <f>IF(ABS((FCCL!D99/FCCL!D129)/1-FCCL!D132)&lt;=0.01,"PASS","REVIEW: source EPS")</f>
        <v>PASS</v>
      </c>
      <c r="E45" t="str">
        <f>IF(ABS((FCCL!E99/FCCL!E129)/1-FCCL!E132)&lt;=0.01,"PASS","REVIEW: source EPS")</f>
        <v>PASS</v>
      </c>
      <c r="F45" t="str">
        <f>IF(ABS((FCCL!F99/FCCL!F129)/1-FCCL!F132)&lt;=0.01,"PASS","REVIEW: source EPS")</f>
        <v>REVIEW: source EPS</v>
      </c>
      <c r="G45" t="str">
        <f>IF(ABS((FCCL!G99/FCCL!G129)/1-FCCL!G132)&lt;=0.01,"PASS","REVIEW: source EPS")</f>
        <v>PASS</v>
      </c>
      <c r="H45" t="str">
        <f>IF(ABS((FCCL!H99/FCCL!H129)/1-FCCL!H132)&lt;=0.01,"PASS","REVIEW: source EPS")</f>
        <v>PASS</v>
      </c>
      <c r="I45" t="str">
        <f>IF(ABS(FCCL!G171/1-FCCL!G132)&lt;=0.01,"PASS","REVIEW")</f>
        <v>PASS</v>
      </c>
      <c r="J45" t="str">
        <f>IF(ABS(FCCL!H171/1-FCCL!H132)&lt;=0.01,"PASS","REVIEW")</f>
        <v>PASS</v>
      </c>
    </row>
    <row r="46" spans="1:11" x14ac:dyDescent="0.3">
      <c r="A46" t="s">
        <v>114</v>
      </c>
      <c r="B46" t="s">
        <v>971</v>
      </c>
      <c r="C46" t="str">
        <f>IF(COUNT(FCCL!C65,FCCL!C32,FCCL!C51,FCCL!C22,FCCL!C37,FCCL!C41,FCCL!C70)=7,"PASS","REVIEW")</f>
        <v>PASS</v>
      </c>
      <c r="D46" t="str">
        <f>IF(COUNT(FCCL!D65,FCCL!D32,FCCL!D51,FCCL!D22,FCCL!D37,FCCL!D41,FCCL!D70)=7,"PASS","REVIEW")</f>
        <v>PASS</v>
      </c>
      <c r="E46" t="str">
        <f>IF(COUNT(FCCL!E65,FCCL!E32,FCCL!E51,FCCL!E22,FCCL!E37,FCCL!E41,FCCL!E70)=7,"PASS","REVIEW")</f>
        <v>PASS</v>
      </c>
      <c r="F46" t="str">
        <f>IF(COUNT(FCCL!F65,FCCL!F32,FCCL!F51,FCCL!F22,FCCL!F37,FCCL!F41,FCCL!F70)=7,"PASS","REVIEW")</f>
        <v>PASS</v>
      </c>
      <c r="G46" t="str">
        <f>IF(COUNT(FCCL!G65,FCCL!G32,FCCL!G51,FCCL!G22,FCCL!G37,FCCL!G41,FCCL!G70)=7,"PASS","REVIEW")</f>
        <v>PASS</v>
      </c>
      <c r="H46" t="str">
        <f>IF(COUNT(FCCL!H65,FCCL!H32,FCCL!H51,FCCL!H22,FCCL!H37,FCCL!H41,FCCL!H70)=7,"PASS","REVIEW")</f>
        <v>PASS</v>
      </c>
      <c r="I46" t="str">
        <f>IF(AND(ISNUMBER(FCCL!F37),ISNUMBER(FCCL!F51),ISNUMBER(FCCL!F21)),"PASS","FAIL")</f>
        <v>PASS</v>
      </c>
      <c r="J46" t="str">
        <f>IF(AND(ISNUMBER(FCCL!G37),ISNUMBER(FCCL!G51),ISNUMBER(FCCL!G21)),"PASS","FAIL")</f>
        <v>PASS</v>
      </c>
    </row>
    <row r="47" spans="1:11" x14ac:dyDescent="0.3">
      <c r="A47" t="s">
        <v>114</v>
      </c>
      <c r="B47" t="s">
        <v>972</v>
      </c>
      <c r="D47" t="str">
        <f>IF(COUNTIFS('Ratio Verification'!A6:A830,"FCCL",'Ratio Verification'!B6:B830,2021,'Ratio Verification'!N6:N830,"PASS")=33,"PASS","FAIL")</f>
        <v>PASS</v>
      </c>
      <c r="E47" t="str">
        <f>IF(COUNTIFS('Ratio Verification'!A6:A830,"FCCL",'Ratio Verification'!B6:B830,2022,'Ratio Verification'!N6:N830,"PASS")=33,"PASS","FAIL")</f>
        <v>PASS</v>
      </c>
      <c r="F47" t="str">
        <f>IF(COUNTIFS('Ratio Verification'!A6:A830,"FCCL",'Ratio Verification'!B6:B830,2023,'Ratio Verification'!N6:N830,"PASS")=33,"PASS","FAIL")</f>
        <v>PASS</v>
      </c>
      <c r="G47" t="str">
        <f>IF(COUNTIFS('Ratio Verification'!A6:A830,"FCCL",'Ratio Verification'!B6:B830,2024,'Ratio Verification'!N6:N830,"PASS")=33,"PASS","FAIL")</f>
        <v>PASS</v>
      </c>
      <c r="H47" t="str">
        <f>IF(COUNTIFS('Ratio Verification'!A6:A830,"FCCL",'Ratio Verification'!B6:B830,2025,'Ratio Verification'!N6:N830,"PASS")=33,"PASS","FAIL")</f>
        <v>PASS</v>
      </c>
      <c r="I47" t="str">
        <f>IF(SUMPRODUCT(--ISERROR(FCCL!G138:G189))=0,"PASS","FAIL")</f>
        <v>PASS</v>
      </c>
      <c r="J47" t="str">
        <f>IF(SUMPRODUCT(--ISERROR(FCCL!H138:H189))=0,"PASS","FAIL")</f>
        <v>PASS</v>
      </c>
    </row>
    <row r="48" spans="1:11" x14ac:dyDescent="0.3">
      <c r="A48" t="s">
        <v>114</v>
      </c>
      <c r="B48" t="s">
        <v>973</v>
      </c>
      <c r="D48">
        <f>COUNTIF(FCCL!D138:D174,"n/m")</f>
        <v>0</v>
      </c>
      <c r="E48">
        <f>COUNTIF(FCCL!E138:E174,"n/m")</f>
        <v>0</v>
      </c>
      <c r="F48">
        <f>COUNTIF(FCCL!F138:F174,"n/m")</f>
        <v>1</v>
      </c>
      <c r="G48">
        <f>COUNTIF(FCCL!G138:G174,"n/m")</f>
        <v>1</v>
      </c>
      <c r="H48">
        <f>COUNTIF(FCCL!H138:H174,"n/m")</f>
        <v>0</v>
      </c>
      <c r="I48">
        <f>COUNTIF(FCCL!G138:G182,"n/m")</f>
        <v>1</v>
      </c>
      <c r="J48">
        <f>COUNTIF(FCCL!H138:H182,"n/m")</f>
        <v>0</v>
      </c>
    </row>
    <row r="49" spans="1:19" x14ac:dyDescent="0.3">
      <c r="A49" t="s">
        <v>114</v>
      </c>
      <c r="B49" t="s">
        <v>974</v>
      </c>
      <c r="D49" t="s">
        <v>975</v>
      </c>
      <c r="E49" t="s">
        <v>975</v>
      </c>
      <c r="F49" t="s">
        <v>975</v>
      </c>
      <c r="G49" t="s">
        <v>975</v>
      </c>
      <c r="H49" t="s">
        <v>975</v>
      </c>
      <c r="I49" t="s">
        <v>976</v>
      </c>
      <c r="J49" t="s">
        <v>976</v>
      </c>
      <c r="K49" s="8" t="s">
        <v>977</v>
      </c>
    </row>
    <row r="50" spans="1:19" x14ac:dyDescent="0.3">
      <c r="A50" t="s">
        <v>978</v>
      </c>
      <c r="B50" t="s">
        <v>979</v>
      </c>
      <c r="D50" t="str">
        <f>IF(COUNTIF('Industry Comparison'!R7:R208,"ERR")=0,"PASS","FAIL")</f>
        <v>PASS</v>
      </c>
      <c r="F50" t="str">
        <f>IF(AND(ABS(SUM('Industry Comparison'!E5:E400)-SUM(KOHC!D138:H182))&lt;0.000001,ABS(SUM('Industry Comparison'!F5:F400)-SUM(LUCK!D138:H182))&lt;0.000001,ABS(SUM('Industry Comparison'!G5:G400)-SUM(DGKC!D138:H182))&lt;0.000001,ABS(SUM('Industry Comparison'!H5:H400)-SUM(MLCF!D138:H182))&lt;0.000001,ABS(SUM('Industry Comparison'!I5:I400)-SUM(FCCL!D138:H182))&lt;0.000001),"PASS","FAIL")</f>
        <v>PASS</v>
      </c>
    </row>
    <row r="51" spans="1:19" x14ac:dyDescent="0.3">
      <c r="A51" t="s">
        <v>978</v>
      </c>
      <c r="B51" t="s">
        <v>980</v>
      </c>
      <c r="D51" t="str">
        <f>IF(COUNTIF('Ratio Verification'!N6:N830,"FAIL")=0,"PASS","FAIL")</f>
        <v>PASS</v>
      </c>
      <c r="F51" t="str">
        <f>IF(COUNTIF('Industry Comparison'!R:R,"ERR")=0,"PASS","FAIL")</f>
        <v>PASS</v>
      </c>
    </row>
    <row r="52" spans="1:19" x14ac:dyDescent="0.3">
      <c r="A52" t="s">
        <v>978</v>
      </c>
      <c r="B52" t="s">
        <v>981</v>
      </c>
      <c r="D52" t="str">
        <f>IF(COUNTIF('Input Review'!J6:J1715,"&gt;0.000001")+COUNTIF('Input Review'!J6:J1715,"&lt;-0.000001")=0,"PASS","FAIL")</f>
        <v>PASS</v>
      </c>
      <c r="F52" t="str">
        <f>IF(COUNTIF(Q:Q,"FAIL")=0,"PASS","FAIL")</f>
        <v>PASS</v>
      </c>
    </row>
    <row r="53" spans="1:19" x14ac:dyDescent="0.3">
      <c r="A53" t="s">
        <v>978</v>
      </c>
      <c r="B53" t="s">
        <v>982</v>
      </c>
      <c r="D53" t="s">
        <v>983</v>
      </c>
      <c r="F53" t="s">
        <v>984</v>
      </c>
    </row>
    <row r="55" spans="1:19" x14ac:dyDescent="0.3">
      <c r="A55" s="5" t="s">
        <v>985</v>
      </c>
      <c r="B55" s="10"/>
      <c r="C55" s="10"/>
      <c r="D55" s="10"/>
      <c r="E55" s="10"/>
      <c r="F55" s="10"/>
      <c r="G55" s="10"/>
      <c r="H55" s="10"/>
      <c r="I55" s="10"/>
      <c r="J55" s="10"/>
      <c r="K55" s="10"/>
      <c r="L55" s="10"/>
      <c r="M55" s="10"/>
      <c r="N55" s="10"/>
      <c r="O55" s="10"/>
      <c r="P55" s="10"/>
      <c r="Q55" s="10"/>
      <c r="R55" s="10"/>
      <c r="S55" s="10"/>
    </row>
    <row r="56" spans="1:19" x14ac:dyDescent="0.3">
      <c r="A56" s="12" t="s">
        <v>1</v>
      </c>
      <c r="B56" s="12" t="s">
        <v>986</v>
      </c>
      <c r="C56" s="13"/>
      <c r="D56" s="12" t="s">
        <v>987</v>
      </c>
      <c r="E56" s="13"/>
      <c r="F56" s="13"/>
      <c r="G56" s="13"/>
      <c r="H56" s="13"/>
      <c r="I56" s="13"/>
      <c r="J56" s="12" t="s">
        <v>988</v>
      </c>
    </row>
    <row r="57" spans="1:19" ht="27.75" customHeight="1" x14ac:dyDescent="0.3">
      <c r="A57" t="s">
        <v>989</v>
      </c>
      <c r="B57" t="s">
        <v>232</v>
      </c>
      <c r="D57" s="214" t="s">
        <v>990</v>
      </c>
      <c r="E57" s="214"/>
      <c r="F57" s="214"/>
      <c r="G57" s="214"/>
      <c r="H57" s="214"/>
      <c r="I57" s="214"/>
      <c r="J57" s="3" t="s">
        <v>991</v>
      </c>
    </row>
    <row r="58" spans="1:19" ht="27.75" customHeight="1" x14ac:dyDescent="0.3">
      <c r="A58" t="s">
        <v>992</v>
      </c>
      <c r="B58" t="s">
        <v>993</v>
      </c>
      <c r="D58" s="214" t="s">
        <v>994</v>
      </c>
      <c r="E58" s="214"/>
      <c r="F58" s="214"/>
      <c r="G58" s="214"/>
      <c r="H58" s="214"/>
      <c r="I58" s="214"/>
      <c r="J58" s="3" t="s">
        <v>995</v>
      </c>
    </row>
    <row r="59" spans="1:19" ht="27.75" customHeight="1" x14ac:dyDescent="0.3">
      <c r="A59" t="s">
        <v>18</v>
      </c>
      <c r="B59" t="s">
        <v>996</v>
      </c>
      <c r="D59" s="214" t="s">
        <v>997</v>
      </c>
      <c r="E59" s="214"/>
      <c r="F59" s="214"/>
      <c r="G59" s="214"/>
      <c r="H59" s="214"/>
      <c r="I59" s="214"/>
      <c r="J59" s="3" t="s">
        <v>998</v>
      </c>
    </row>
    <row r="60" spans="1:19" ht="27.75" customHeight="1" x14ac:dyDescent="0.3">
      <c r="A60" t="s">
        <v>18</v>
      </c>
      <c r="B60" t="s">
        <v>999</v>
      </c>
      <c r="D60" s="214" t="s">
        <v>1000</v>
      </c>
      <c r="E60" s="214"/>
      <c r="F60" s="214"/>
      <c r="G60" s="214"/>
      <c r="H60" s="214"/>
      <c r="I60" s="214"/>
      <c r="J60" s="3" t="s">
        <v>1001</v>
      </c>
    </row>
    <row r="61" spans="1:19" ht="27.75" customHeight="1" x14ac:dyDescent="0.3">
      <c r="A61" t="s">
        <v>18</v>
      </c>
      <c r="B61" t="s">
        <v>1002</v>
      </c>
      <c r="C61" t="s">
        <v>1003</v>
      </c>
      <c r="D61" s="214" t="s">
        <v>1004</v>
      </c>
      <c r="E61" s="214"/>
      <c r="F61" s="214"/>
      <c r="G61" s="214"/>
      <c r="H61" s="214"/>
      <c r="I61" s="214"/>
      <c r="J61" s="3" t="s">
        <v>998</v>
      </c>
    </row>
    <row r="62" spans="1:19" ht="27.75" customHeight="1" x14ac:dyDescent="0.3">
      <c r="A62" t="s">
        <v>68</v>
      </c>
      <c r="B62" t="s">
        <v>1005</v>
      </c>
      <c r="C62" t="s">
        <v>1006</v>
      </c>
      <c r="D62" s="214" t="s">
        <v>1007</v>
      </c>
      <c r="E62" s="214"/>
      <c r="F62" s="214"/>
      <c r="G62" s="214"/>
      <c r="H62" s="214"/>
      <c r="I62" s="214"/>
      <c r="J62" s="3" t="s">
        <v>998</v>
      </c>
    </row>
    <row r="63" spans="1:19" ht="27.75" customHeight="1" x14ac:dyDescent="0.3">
      <c r="A63" t="s">
        <v>68</v>
      </c>
      <c r="B63" t="s">
        <v>1008</v>
      </c>
      <c r="D63" s="214" t="s">
        <v>1009</v>
      </c>
      <c r="E63" s="214"/>
      <c r="F63" s="214"/>
      <c r="G63" s="214"/>
      <c r="H63" s="214"/>
      <c r="I63" s="214"/>
      <c r="J63" s="3" t="s">
        <v>1001</v>
      </c>
    </row>
    <row r="64" spans="1:19" ht="27.75" customHeight="1" x14ac:dyDescent="0.3">
      <c r="A64" t="s">
        <v>114</v>
      </c>
      <c r="B64" t="s">
        <v>1010</v>
      </c>
      <c r="C64" t="s">
        <v>1011</v>
      </c>
      <c r="D64" s="214" t="s">
        <v>1012</v>
      </c>
      <c r="E64" s="214"/>
      <c r="F64" s="214"/>
      <c r="G64" s="214"/>
      <c r="H64" s="214"/>
      <c r="I64" s="214"/>
      <c r="J64" s="3" t="s">
        <v>1013</v>
      </c>
    </row>
    <row r="65" spans="1:19" ht="27.75" customHeight="1" x14ac:dyDescent="0.3">
      <c r="A65" t="s">
        <v>114</v>
      </c>
      <c r="B65" t="s">
        <v>1014</v>
      </c>
      <c r="D65" s="214" t="s">
        <v>1015</v>
      </c>
      <c r="E65" s="214"/>
      <c r="F65" s="214"/>
      <c r="G65" s="214"/>
      <c r="H65" s="214"/>
      <c r="I65" s="214"/>
      <c r="J65" s="3" t="s">
        <v>998</v>
      </c>
    </row>
    <row r="66" spans="1:19" ht="27.75" customHeight="1" x14ac:dyDescent="0.3">
      <c r="A66" t="s">
        <v>114</v>
      </c>
      <c r="B66" t="s">
        <v>1016</v>
      </c>
      <c r="D66" s="214" t="s">
        <v>1017</v>
      </c>
      <c r="E66" s="214"/>
      <c r="F66" s="214"/>
      <c r="G66" s="214"/>
      <c r="H66" s="214"/>
      <c r="I66" s="214"/>
      <c r="J66" s="3" t="s">
        <v>1001</v>
      </c>
    </row>
    <row r="67" spans="1:19" ht="27.75" customHeight="1" x14ac:dyDescent="0.3">
      <c r="A67" t="s">
        <v>106</v>
      </c>
      <c r="B67" t="s">
        <v>1018</v>
      </c>
      <c r="D67" s="214" t="s">
        <v>1019</v>
      </c>
      <c r="E67" s="214"/>
      <c r="F67" s="214"/>
      <c r="G67" s="214"/>
      <c r="H67" s="214"/>
      <c r="I67" s="214"/>
      <c r="J67" s="3" t="s">
        <v>998</v>
      </c>
    </row>
    <row r="68" spans="1:19" ht="27.75" customHeight="1" x14ac:dyDescent="0.3">
      <c r="A68" t="s">
        <v>114</v>
      </c>
      <c r="B68" t="s">
        <v>1018</v>
      </c>
      <c r="D68" s="214" t="s">
        <v>1020</v>
      </c>
      <c r="E68" s="214"/>
      <c r="F68" s="214"/>
      <c r="G68" s="214"/>
      <c r="H68" s="214"/>
      <c r="I68" s="214"/>
      <c r="J68" s="3" t="s">
        <v>998</v>
      </c>
    </row>
    <row r="69" spans="1:19" ht="27.75" customHeight="1" x14ac:dyDescent="0.3">
      <c r="A69" t="s">
        <v>1021</v>
      </c>
      <c r="B69" t="s">
        <v>1022</v>
      </c>
      <c r="C69" t="s">
        <v>1023</v>
      </c>
      <c r="D69" s="214" t="s">
        <v>1024</v>
      </c>
      <c r="E69" s="214"/>
      <c r="F69" s="214"/>
      <c r="G69" s="214"/>
      <c r="H69" s="214"/>
      <c r="I69" s="214"/>
      <c r="J69" s="3" t="s">
        <v>1001</v>
      </c>
    </row>
    <row r="70" spans="1:19" ht="27.75" customHeight="1" x14ac:dyDescent="0.3">
      <c r="A70" t="s">
        <v>992</v>
      </c>
      <c r="B70" t="s">
        <v>1025</v>
      </c>
      <c r="D70" s="214" t="s">
        <v>1026</v>
      </c>
      <c r="E70" s="214"/>
      <c r="F70" s="214"/>
      <c r="G70" s="214"/>
      <c r="H70" s="214"/>
      <c r="I70" s="214"/>
      <c r="J70" s="3" t="s">
        <v>1001</v>
      </c>
    </row>
    <row r="71" spans="1:19" ht="37.950000000000003" customHeight="1" x14ac:dyDescent="0.3">
      <c r="A71" t="s">
        <v>18</v>
      </c>
      <c r="B71" t="s">
        <v>1027</v>
      </c>
      <c r="C71" s="214" t="s">
        <v>1028</v>
      </c>
      <c r="D71" s="214"/>
      <c r="E71" s="214"/>
      <c r="F71" s="214"/>
      <c r="G71" s="214"/>
      <c r="H71" s="214"/>
    </row>
    <row r="72" spans="1:19" x14ac:dyDescent="0.3">
      <c r="A72" s="5" t="s">
        <v>1029</v>
      </c>
      <c r="B72" s="10"/>
      <c r="C72" s="10"/>
      <c r="D72" s="10"/>
      <c r="E72" s="10"/>
      <c r="F72" s="10"/>
      <c r="G72" s="10"/>
      <c r="H72" s="10"/>
      <c r="I72" s="10"/>
      <c r="J72" s="10"/>
      <c r="K72" s="10"/>
      <c r="L72" s="10"/>
      <c r="M72" s="10"/>
      <c r="N72" s="10"/>
      <c r="O72" s="10"/>
      <c r="P72" s="10"/>
      <c r="Q72" s="10"/>
      <c r="R72" s="10"/>
      <c r="S72" s="10"/>
    </row>
    <row r="73" spans="1:19" x14ac:dyDescent="0.3">
      <c r="A73" s="12" t="s">
        <v>1</v>
      </c>
      <c r="B73" s="12" t="s">
        <v>3</v>
      </c>
      <c r="C73" s="12" t="s">
        <v>1030</v>
      </c>
      <c r="D73" s="12" t="s">
        <v>906</v>
      </c>
      <c r="E73" s="12" t="s">
        <v>1031</v>
      </c>
      <c r="F73" s="12" t="s">
        <v>1032</v>
      </c>
      <c r="G73" s="12" t="s">
        <v>1033</v>
      </c>
      <c r="H73" s="12" t="s">
        <v>1034</v>
      </c>
    </row>
    <row r="74" spans="1:19" x14ac:dyDescent="0.3">
      <c r="A74" t="s">
        <v>18</v>
      </c>
      <c r="B74" t="s">
        <v>20</v>
      </c>
      <c r="C74" t="s">
        <v>1035</v>
      </c>
      <c r="D74" t="s">
        <v>1036</v>
      </c>
      <c r="E74" s="31">
        <v>4136.0861590000004</v>
      </c>
      <c r="F74" s="31">
        <v>4134.0861590000004</v>
      </c>
      <c r="G74" s="31">
        <f t="shared" ref="G74:G105" si="0">F74-E74</f>
        <v>-2</v>
      </c>
      <c r="H74" t="s">
        <v>1037</v>
      </c>
    </row>
    <row r="75" spans="1:19" x14ac:dyDescent="0.3">
      <c r="A75" t="s">
        <v>18</v>
      </c>
      <c r="B75" t="s">
        <v>20</v>
      </c>
      <c r="C75" t="s">
        <v>1035</v>
      </c>
      <c r="D75" t="s">
        <v>1038</v>
      </c>
      <c r="E75" s="31">
        <v>43.326639999999998</v>
      </c>
      <c r="F75" s="31">
        <v>69.765739999999994</v>
      </c>
      <c r="G75" s="31">
        <f t="shared" si="0"/>
        <v>26.439099999999996</v>
      </c>
      <c r="H75" t="s">
        <v>1037</v>
      </c>
    </row>
    <row r="76" spans="1:19" x14ac:dyDescent="0.3">
      <c r="A76" t="s">
        <v>18</v>
      </c>
      <c r="B76" t="s">
        <v>20</v>
      </c>
      <c r="C76" t="s">
        <v>1035</v>
      </c>
      <c r="D76" t="s">
        <v>1039</v>
      </c>
      <c r="E76" s="31">
        <v>22051.984013000001</v>
      </c>
      <c r="F76" s="31">
        <v>22027.544913000002</v>
      </c>
      <c r="G76" s="31">
        <f t="shared" si="0"/>
        <v>-24.439099999999598</v>
      </c>
      <c r="H76" t="s">
        <v>1037</v>
      </c>
    </row>
    <row r="77" spans="1:19" x14ac:dyDescent="0.3">
      <c r="A77" t="s">
        <v>18</v>
      </c>
      <c r="B77" t="s">
        <v>27</v>
      </c>
      <c r="C77" t="s">
        <v>1035</v>
      </c>
      <c r="D77" t="s">
        <v>1040</v>
      </c>
      <c r="E77" s="31">
        <v>5171.1447049999997</v>
      </c>
      <c r="F77" s="31">
        <v>5307.0753530000002</v>
      </c>
      <c r="G77" s="31">
        <f t="shared" si="0"/>
        <v>135.93064800000047</v>
      </c>
      <c r="H77" t="s">
        <v>1041</v>
      </c>
    </row>
    <row r="78" spans="1:19" x14ac:dyDescent="0.3">
      <c r="A78" t="s">
        <v>18</v>
      </c>
      <c r="B78" t="s">
        <v>27</v>
      </c>
      <c r="C78" t="s">
        <v>1035</v>
      </c>
      <c r="D78" t="s">
        <v>1042</v>
      </c>
      <c r="E78" s="31">
        <v>3215.684878</v>
      </c>
      <c r="F78" s="31">
        <v>3079.75423</v>
      </c>
      <c r="G78" s="31">
        <f t="shared" si="0"/>
        <v>-135.93064800000002</v>
      </c>
      <c r="H78" t="s">
        <v>1041</v>
      </c>
    </row>
    <row r="79" spans="1:19" x14ac:dyDescent="0.3">
      <c r="A79" t="s">
        <v>18</v>
      </c>
      <c r="B79" t="s">
        <v>27</v>
      </c>
      <c r="C79" t="s">
        <v>1043</v>
      </c>
      <c r="D79" t="s">
        <v>1044</v>
      </c>
      <c r="E79" s="31">
        <v>11209.6356</v>
      </c>
      <c r="F79" s="31">
        <v>9123.8275470000008</v>
      </c>
      <c r="G79" s="31">
        <f t="shared" si="0"/>
        <v>-2085.8080529999988</v>
      </c>
      <c r="H79" t="s">
        <v>1041</v>
      </c>
    </row>
    <row r="80" spans="1:19" x14ac:dyDescent="0.3">
      <c r="A80" t="s">
        <v>18</v>
      </c>
      <c r="B80" t="s">
        <v>27</v>
      </c>
      <c r="C80" t="s">
        <v>1043</v>
      </c>
      <c r="D80" t="s">
        <v>1045</v>
      </c>
      <c r="E80" s="31">
        <v>10469.327827999999</v>
      </c>
      <c r="F80" s="31">
        <v>10125.346823</v>
      </c>
      <c r="G80" s="31">
        <f t="shared" si="0"/>
        <v>-343.98100499999964</v>
      </c>
      <c r="H80" t="s">
        <v>1041</v>
      </c>
    </row>
    <row r="81" spans="1:8" x14ac:dyDescent="0.3">
      <c r="A81" t="s">
        <v>18</v>
      </c>
      <c r="B81" t="s">
        <v>27</v>
      </c>
      <c r="C81" t="s">
        <v>1043</v>
      </c>
      <c r="D81" t="s">
        <v>1046</v>
      </c>
      <c r="E81" s="31">
        <v>-4648.5766830000002</v>
      </c>
      <c r="F81" s="31">
        <v>-4304.5956779999997</v>
      </c>
      <c r="G81" s="31">
        <f t="shared" si="0"/>
        <v>343.98100500000055</v>
      </c>
      <c r="H81" t="s">
        <v>1041</v>
      </c>
    </row>
    <row r="82" spans="1:8" x14ac:dyDescent="0.3">
      <c r="A82" t="s">
        <v>18</v>
      </c>
      <c r="B82" t="s">
        <v>27</v>
      </c>
      <c r="C82" t="s">
        <v>1047</v>
      </c>
      <c r="D82" t="s">
        <v>1048</v>
      </c>
      <c r="E82" s="31">
        <v>-3669.8222460000002</v>
      </c>
      <c r="F82" s="31">
        <v>-2470.5157629999999</v>
      </c>
      <c r="G82" s="31">
        <f t="shared" si="0"/>
        <v>1199.3064830000003</v>
      </c>
      <c r="H82" t="s">
        <v>1041</v>
      </c>
    </row>
    <row r="83" spans="1:8" x14ac:dyDescent="0.3">
      <c r="A83" t="s">
        <v>18</v>
      </c>
      <c r="B83" t="s">
        <v>27</v>
      </c>
      <c r="C83" t="s">
        <v>1047</v>
      </c>
      <c r="D83" t="s">
        <v>1049</v>
      </c>
      <c r="E83" s="31">
        <v>5651.3882439999998</v>
      </c>
      <c r="F83" s="31">
        <v>4452.0817610000004</v>
      </c>
      <c r="G83" s="31">
        <f t="shared" si="0"/>
        <v>-1199.3064829999994</v>
      </c>
      <c r="H83" t="s">
        <v>1041</v>
      </c>
    </row>
    <row r="84" spans="1:8" x14ac:dyDescent="0.3">
      <c r="A84" t="s">
        <v>18</v>
      </c>
      <c r="B84" t="s">
        <v>27</v>
      </c>
      <c r="C84" t="s">
        <v>1047</v>
      </c>
      <c r="D84" t="s">
        <v>1050</v>
      </c>
      <c r="E84" s="31">
        <v>9061.8996920000009</v>
      </c>
      <c r="F84" s="31">
        <v>7862.5932089999997</v>
      </c>
      <c r="G84" s="31">
        <f t="shared" si="0"/>
        <v>-1199.3064830000012</v>
      </c>
      <c r="H84" t="s">
        <v>1041</v>
      </c>
    </row>
    <row r="85" spans="1:8" x14ac:dyDescent="0.3">
      <c r="A85" t="s">
        <v>18</v>
      </c>
      <c r="B85" t="s">
        <v>27</v>
      </c>
      <c r="C85" t="s">
        <v>1047</v>
      </c>
      <c r="D85" t="s">
        <v>1051</v>
      </c>
      <c r="E85" s="31">
        <v>-2455.1596420000001</v>
      </c>
      <c r="F85" s="31">
        <v>-2247.109285</v>
      </c>
      <c r="G85" s="31">
        <f t="shared" si="0"/>
        <v>208.05035700000008</v>
      </c>
      <c r="H85" t="s">
        <v>1041</v>
      </c>
    </row>
    <row r="86" spans="1:8" x14ac:dyDescent="0.3">
      <c r="A86" t="s">
        <v>18</v>
      </c>
      <c r="B86" t="s">
        <v>28</v>
      </c>
      <c r="C86" t="s">
        <v>1035</v>
      </c>
      <c r="D86" t="s">
        <v>1052</v>
      </c>
      <c r="E86" s="31">
        <v>135.001023</v>
      </c>
      <c r="F86" s="31">
        <v>0</v>
      </c>
      <c r="G86" s="31">
        <f t="shared" si="0"/>
        <v>-135.001023</v>
      </c>
      <c r="H86" t="s">
        <v>1053</v>
      </c>
    </row>
    <row r="87" spans="1:8" x14ac:dyDescent="0.3">
      <c r="A87" t="s">
        <v>18</v>
      </c>
      <c r="B87" t="s">
        <v>28</v>
      </c>
      <c r="C87" t="s">
        <v>1035</v>
      </c>
      <c r="D87" t="s">
        <v>1054</v>
      </c>
      <c r="E87" s="31">
        <v>1222.1388910000001</v>
      </c>
      <c r="F87" s="31">
        <v>1140.3278190000001</v>
      </c>
      <c r="G87" s="31">
        <f t="shared" si="0"/>
        <v>-81.811071999999967</v>
      </c>
      <c r="H87" t="s">
        <v>1053</v>
      </c>
    </row>
    <row r="88" spans="1:8" x14ac:dyDescent="0.3">
      <c r="A88" t="s">
        <v>18</v>
      </c>
      <c r="B88" t="s">
        <v>28</v>
      </c>
      <c r="C88" t="s">
        <v>1035</v>
      </c>
      <c r="D88" t="s">
        <v>1055</v>
      </c>
      <c r="E88" s="31">
        <v>1034.355873</v>
      </c>
      <c r="F88" s="31">
        <v>1169.2956429999999</v>
      </c>
      <c r="G88" s="31">
        <f t="shared" si="0"/>
        <v>134.93976999999995</v>
      </c>
      <c r="H88" t="s">
        <v>1053</v>
      </c>
    </row>
    <row r="89" spans="1:8" x14ac:dyDescent="0.3">
      <c r="A89" t="s">
        <v>18</v>
      </c>
      <c r="B89" t="s">
        <v>28</v>
      </c>
      <c r="C89" t="s">
        <v>1035</v>
      </c>
      <c r="D89" t="s">
        <v>1038</v>
      </c>
      <c r="E89" s="31">
        <v>64.527034</v>
      </c>
      <c r="F89" s="31">
        <v>147.38810599999999</v>
      </c>
      <c r="G89" s="31">
        <f t="shared" si="0"/>
        <v>82.861071999999993</v>
      </c>
      <c r="H89" t="s">
        <v>1053</v>
      </c>
    </row>
    <row r="90" spans="1:8" x14ac:dyDescent="0.3">
      <c r="A90" t="s">
        <v>18</v>
      </c>
      <c r="B90" t="s">
        <v>28</v>
      </c>
      <c r="C90" t="s">
        <v>1035</v>
      </c>
      <c r="D90" t="s">
        <v>1039</v>
      </c>
      <c r="E90" s="31">
        <v>22157.690533000001</v>
      </c>
      <c r="F90" s="31">
        <v>22156.640533000002</v>
      </c>
      <c r="G90" s="31">
        <f t="shared" si="0"/>
        <v>-1.0499999999992724</v>
      </c>
      <c r="H90" t="s">
        <v>1053</v>
      </c>
    </row>
    <row r="91" spans="1:8" x14ac:dyDescent="0.3">
      <c r="A91" t="s">
        <v>18</v>
      </c>
      <c r="B91" t="s">
        <v>28</v>
      </c>
      <c r="C91" t="s">
        <v>1035</v>
      </c>
      <c r="D91" t="s">
        <v>1056</v>
      </c>
      <c r="E91" s="31">
        <v>0</v>
      </c>
      <c r="F91" s="31">
        <v>6.1253000000000002E-2</v>
      </c>
      <c r="G91" s="31">
        <f t="shared" si="0"/>
        <v>6.1253000000000002E-2</v>
      </c>
      <c r="H91" t="s">
        <v>1053</v>
      </c>
    </row>
    <row r="92" spans="1:8" x14ac:dyDescent="0.3">
      <c r="A92" t="s">
        <v>18</v>
      </c>
      <c r="B92" t="s">
        <v>28</v>
      </c>
      <c r="C92" t="s">
        <v>1043</v>
      </c>
      <c r="D92" t="s">
        <v>1044</v>
      </c>
      <c r="E92" s="31">
        <v>9999.2389160000002</v>
      </c>
      <c r="F92" s="31">
        <v>10001.249432000001</v>
      </c>
      <c r="G92" s="31">
        <f t="shared" si="0"/>
        <v>2.0105160000002797</v>
      </c>
      <c r="H92" t="s">
        <v>1053</v>
      </c>
    </row>
    <row r="93" spans="1:8" x14ac:dyDescent="0.3">
      <c r="A93" t="s">
        <v>18</v>
      </c>
      <c r="B93" t="s">
        <v>28</v>
      </c>
      <c r="C93" t="s">
        <v>1043</v>
      </c>
      <c r="D93" t="s">
        <v>1057</v>
      </c>
      <c r="E93" s="31">
        <v>4454.4270290000004</v>
      </c>
      <c r="F93" s="31">
        <v>4452.4165130000001</v>
      </c>
      <c r="G93" s="31">
        <f t="shared" si="0"/>
        <v>-2.0105160000002797</v>
      </c>
      <c r="H93" t="s">
        <v>1053</v>
      </c>
    </row>
    <row r="94" spans="1:8" x14ac:dyDescent="0.3">
      <c r="A94" t="s">
        <v>18</v>
      </c>
      <c r="B94" t="s">
        <v>28</v>
      </c>
      <c r="C94" t="s">
        <v>1043</v>
      </c>
      <c r="D94" t="s">
        <v>1058</v>
      </c>
      <c r="E94" s="31">
        <v>8893.4547879999991</v>
      </c>
      <c r="F94" s="31">
        <v>8893.4547870000006</v>
      </c>
      <c r="G94" s="31">
        <f t="shared" si="0"/>
        <v>-9.9999851954635233E-7</v>
      </c>
      <c r="H94" t="s">
        <v>1053</v>
      </c>
    </row>
    <row r="95" spans="1:8" x14ac:dyDescent="0.3">
      <c r="A95" t="s">
        <v>18</v>
      </c>
      <c r="B95" t="s">
        <v>28</v>
      </c>
      <c r="C95" t="s">
        <v>1043</v>
      </c>
      <c r="D95" t="s">
        <v>1046</v>
      </c>
      <c r="E95" s="31">
        <v>-4038.6789469999999</v>
      </c>
      <c r="F95" s="31">
        <v>-4038.6789480000002</v>
      </c>
      <c r="G95" s="31">
        <f t="shared" si="0"/>
        <v>-1.0000003385357559E-6</v>
      </c>
      <c r="H95" t="s">
        <v>1053</v>
      </c>
    </row>
    <row r="96" spans="1:8" x14ac:dyDescent="0.3">
      <c r="A96" t="s">
        <v>18</v>
      </c>
      <c r="B96" t="s">
        <v>28</v>
      </c>
      <c r="C96" t="s">
        <v>1047</v>
      </c>
      <c r="D96" t="s">
        <v>1059</v>
      </c>
      <c r="E96" s="31">
        <v>-1110.5438799999999</v>
      </c>
      <c r="F96" s="31">
        <v>-1107.2849329999999</v>
      </c>
      <c r="G96" s="31">
        <f t="shared" si="0"/>
        <v>3.2589470000000347</v>
      </c>
      <c r="H96" t="s">
        <v>1053</v>
      </c>
    </row>
    <row r="97" spans="1:8" x14ac:dyDescent="0.3">
      <c r="A97" t="s">
        <v>18</v>
      </c>
      <c r="B97" t="s">
        <v>28</v>
      </c>
      <c r="C97" t="s">
        <v>1047</v>
      </c>
      <c r="D97" t="s">
        <v>1048</v>
      </c>
      <c r="E97" s="31">
        <v>-4962.1325180000003</v>
      </c>
      <c r="F97" s="31">
        <v>-5030.3240939999996</v>
      </c>
      <c r="G97" s="31">
        <f t="shared" si="0"/>
        <v>-68.191575999999259</v>
      </c>
      <c r="H97" t="s">
        <v>1053</v>
      </c>
    </row>
    <row r="98" spans="1:8" x14ac:dyDescent="0.3">
      <c r="A98" t="s">
        <v>18</v>
      </c>
      <c r="B98" t="s">
        <v>28</v>
      </c>
      <c r="C98" t="s">
        <v>1047</v>
      </c>
      <c r="D98" t="s">
        <v>1049</v>
      </c>
      <c r="E98" s="31">
        <v>6578.9818329999998</v>
      </c>
      <c r="F98" s="31">
        <v>6647.173409</v>
      </c>
      <c r="G98" s="31">
        <f t="shared" si="0"/>
        <v>68.191576000000168</v>
      </c>
      <c r="H98" t="s">
        <v>1053</v>
      </c>
    </row>
    <row r="99" spans="1:8" x14ac:dyDescent="0.3">
      <c r="A99" t="s">
        <v>18</v>
      </c>
      <c r="B99" t="s">
        <v>28</v>
      </c>
      <c r="C99" t="s">
        <v>1047</v>
      </c>
      <c r="D99" t="s">
        <v>1050</v>
      </c>
      <c r="E99" s="31">
        <v>11414.783911</v>
      </c>
      <c r="F99" s="31">
        <v>11482.975487</v>
      </c>
      <c r="G99" s="31">
        <f t="shared" si="0"/>
        <v>68.191575999999259</v>
      </c>
      <c r="H99" t="s">
        <v>1053</v>
      </c>
    </row>
    <row r="100" spans="1:8" x14ac:dyDescent="0.3">
      <c r="A100" t="s">
        <v>68</v>
      </c>
      <c r="B100" t="s">
        <v>20</v>
      </c>
      <c r="C100" t="s">
        <v>1043</v>
      </c>
      <c r="D100" t="s">
        <v>1060</v>
      </c>
      <c r="E100" s="31">
        <v>-1361.0050000000001</v>
      </c>
      <c r="F100" s="31">
        <v>-1507.673</v>
      </c>
      <c r="G100" s="31">
        <f t="shared" si="0"/>
        <v>-146.66799999999989</v>
      </c>
      <c r="H100" t="s">
        <v>1061</v>
      </c>
    </row>
    <row r="101" spans="1:8" x14ac:dyDescent="0.3">
      <c r="A101" t="s">
        <v>68</v>
      </c>
      <c r="B101" t="s">
        <v>20</v>
      </c>
      <c r="C101" t="s">
        <v>1043</v>
      </c>
      <c r="D101" t="s">
        <v>1057</v>
      </c>
      <c r="E101" s="31">
        <v>5846.3609999999999</v>
      </c>
      <c r="F101" s="31">
        <v>5993.0290000000005</v>
      </c>
      <c r="G101" s="31">
        <f t="shared" si="0"/>
        <v>146.66800000000057</v>
      </c>
      <c r="H101" t="s">
        <v>1061</v>
      </c>
    </row>
    <row r="102" spans="1:8" x14ac:dyDescent="0.3">
      <c r="A102" t="s">
        <v>68</v>
      </c>
      <c r="B102" t="s">
        <v>26</v>
      </c>
      <c r="C102" t="s">
        <v>1047</v>
      </c>
      <c r="D102" t="s">
        <v>1059</v>
      </c>
      <c r="E102" s="31">
        <v>-24591.059000000001</v>
      </c>
      <c r="F102" s="31">
        <v>-24537.83</v>
      </c>
      <c r="G102" s="31">
        <f t="shared" si="0"/>
        <v>53.22899999999936</v>
      </c>
      <c r="H102" t="s">
        <v>1062</v>
      </c>
    </row>
    <row r="103" spans="1:8" x14ac:dyDescent="0.3">
      <c r="A103" t="s">
        <v>68</v>
      </c>
      <c r="B103" t="s">
        <v>26</v>
      </c>
      <c r="C103" t="s">
        <v>1047</v>
      </c>
      <c r="D103" t="s">
        <v>1063</v>
      </c>
      <c r="E103" s="31">
        <v>12208.782999999999</v>
      </c>
      <c r="F103" s="31">
        <v>6158.7830000000004</v>
      </c>
      <c r="G103" s="31">
        <f t="shared" si="0"/>
        <v>-6049.9999999999991</v>
      </c>
      <c r="H103" t="s">
        <v>1062</v>
      </c>
    </row>
    <row r="104" spans="1:8" x14ac:dyDescent="0.3">
      <c r="A104" t="s">
        <v>68</v>
      </c>
      <c r="B104" t="s">
        <v>27</v>
      </c>
      <c r="C104" t="s">
        <v>1043</v>
      </c>
      <c r="D104" t="s">
        <v>1045</v>
      </c>
      <c r="E104" s="31">
        <v>21343.274000000001</v>
      </c>
      <c r="F104" s="31">
        <v>20905.440999999999</v>
      </c>
      <c r="G104" s="31">
        <f t="shared" si="0"/>
        <v>-437.83300000000236</v>
      </c>
      <c r="H104" t="s">
        <v>1064</v>
      </c>
    </row>
    <row r="105" spans="1:8" x14ac:dyDescent="0.3">
      <c r="A105" t="s">
        <v>68</v>
      </c>
      <c r="B105" t="s">
        <v>27</v>
      </c>
      <c r="C105" t="s">
        <v>1043</v>
      </c>
      <c r="D105" t="s">
        <v>1046</v>
      </c>
      <c r="E105" s="31">
        <v>-7617.46</v>
      </c>
      <c r="F105" s="31">
        <v>-7179.6270000000004</v>
      </c>
      <c r="G105" s="31">
        <f t="shared" si="0"/>
        <v>437.83299999999963</v>
      </c>
      <c r="H105" t="s">
        <v>1064</v>
      </c>
    </row>
    <row r="106" spans="1:8" x14ac:dyDescent="0.3">
      <c r="A106" t="s">
        <v>68</v>
      </c>
      <c r="B106" t="s">
        <v>28</v>
      </c>
      <c r="C106" t="s">
        <v>1035</v>
      </c>
      <c r="D106" t="s">
        <v>1065</v>
      </c>
      <c r="E106" s="31">
        <v>14015.32</v>
      </c>
      <c r="F106" s="31">
        <v>0</v>
      </c>
      <c r="G106" s="31">
        <f t="shared" ref="G106:G137" si="1">F106-E106</f>
        <v>-14015.32</v>
      </c>
      <c r="H106" t="s">
        <v>1066</v>
      </c>
    </row>
    <row r="107" spans="1:8" x14ac:dyDescent="0.3">
      <c r="A107" t="s">
        <v>68</v>
      </c>
      <c r="B107" t="s">
        <v>28</v>
      </c>
      <c r="C107" t="s">
        <v>1035</v>
      </c>
      <c r="D107" t="s">
        <v>1067</v>
      </c>
      <c r="E107" s="31">
        <v>3526.328</v>
      </c>
      <c r="F107" s="31">
        <v>17541.648000000001</v>
      </c>
      <c r="G107" s="31">
        <f t="shared" si="1"/>
        <v>14015.320000000002</v>
      </c>
      <c r="H107" t="s">
        <v>1066</v>
      </c>
    </row>
    <row r="108" spans="1:8" x14ac:dyDescent="0.3">
      <c r="A108" t="s">
        <v>86</v>
      </c>
      <c r="B108" t="s">
        <v>27</v>
      </c>
      <c r="C108" t="s">
        <v>1043</v>
      </c>
      <c r="D108" t="s">
        <v>1045</v>
      </c>
      <c r="E108" s="31">
        <v>3162.5430000000001</v>
      </c>
      <c r="F108" s="31">
        <v>2798.489</v>
      </c>
      <c r="G108" s="31">
        <f t="shared" si="1"/>
        <v>-364.05400000000009</v>
      </c>
      <c r="H108" t="s">
        <v>1068</v>
      </c>
    </row>
    <row r="109" spans="1:8" x14ac:dyDescent="0.3">
      <c r="A109" t="s">
        <v>86</v>
      </c>
      <c r="B109" t="s">
        <v>27</v>
      </c>
      <c r="C109" t="s">
        <v>1043</v>
      </c>
      <c r="D109" t="s">
        <v>1046</v>
      </c>
      <c r="E109" s="31">
        <v>-6798.5190000000002</v>
      </c>
      <c r="F109" s="31">
        <v>-6434.4650000000001</v>
      </c>
      <c r="G109" s="31">
        <f t="shared" si="1"/>
        <v>364.05400000000009</v>
      </c>
      <c r="H109" t="s">
        <v>1068</v>
      </c>
    </row>
    <row r="110" spans="1:8" x14ac:dyDescent="0.3">
      <c r="A110" t="s">
        <v>86</v>
      </c>
      <c r="B110" t="s">
        <v>27</v>
      </c>
      <c r="C110" t="s">
        <v>1047</v>
      </c>
      <c r="D110" t="s">
        <v>1051</v>
      </c>
      <c r="E110" s="31">
        <v>-925.54399999999998</v>
      </c>
      <c r="F110" s="31">
        <v>-561.49</v>
      </c>
      <c r="G110" s="31">
        <f t="shared" si="1"/>
        <v>364.05399999999997</v>
      </c>
      <c r="H110" t="s">
        <v>1068</v>
      </c>
    </row>
    <row r="111" spans="1:8" x14ac:dyDescent="0.3">
      <c r="A111" t="s">
        <v>106</v>
      </c>
      <c r="B111" t="s">
        <v>20</v>
      </c>
      <c r="C111" t="s">
        <v>1043</v>
      </c>
      <c r="D111" t="s">
        <v>1069</v>
      </c>
      <c r="E111" s="31">
        <v>-972.54700000000003</v>
      </c>
      <c r="F111" s="31">
        <v>-813.48900000000003</v>
      </c>
      <c r="G111" s="31">
        <f t="shared" si="1"/>
        <v>159.05799999999999</v>
      </c>
      <c r="H111" t="s">
        <v>1061</v>
      </c>
    </row>
    <row r="112" spans="1:8" x14ac:dyDescent="0.3">
      <c r="A112" t="s">
        <v>106</v>
      </c>
      <c r="B112" t="s">
        <v>20</v>
      </c>
      <c r="C112" t="s">
        <v>1043</v>
      </c>
      <c r="D112" t="s">
        <v>1070</v>
      </c>
      <c r="E112" s="31">
        <v>7504.7619999999997</v>
      </c>
      <c r="F112" s="31">
        <v>7402.8819999999996</v>
      </c>
      <c r="G112" s="31">
        <f t="shared" si="1"/>
        <v>-101.88000000000011</v>
      </c>
      <c r="H112" t="s">
        <v>1061</v>
      </c>
    </row>
    <row r="113" spans="1:8" x14ac:dyDescent="0.3">
      <c r="A113" t="s">
        <v>106</v>
      </c>
      <c r="B113" t="s">
        <v>20</v>
      </c>
      <c r="C113" t="s">
        <v>1043</v>
      </c>
      <c r="D113" t="s">
        <v>1060</v>
      </c>
      <c r="E113" s="31">
        <v>-365.084</v>
      </c>
      <c r="F113" s="31">
        <v>-524.14200000000005</v>
      </c>
      <c r="G113" s="31">
        <f t="shared" si="1"/>
        <v>-159.05800000000005</v>
      </c>
      <c r="H113" t="s">
        <v>1061</v>
      </c>
    </row>
    <row r="114" spans="1:8" x14ac:dyDescent="0.3">
      <c r="A114" t="s">
        <v>106</v>
      </c>
      <c r="B114" t="s">
        <v>20</v>
      </c>
      <c r="C114" t="s">
        <v>1043</v>
      </c>
      <c r="D114" t="s">
        <v>1071</v>
      </c>
      <c r="E114" s="31">
        <v>35640.180999999997</v>
      </c>
      <c r="F114" s="31">
        <v>35538.300999999999</v>
      </c>
      <c r="G114" s="31">
        <f t="shared" si="1"/>
        <v>-101.87999999999738</v>
      </c>
      <c r="H114" t="s">
        <v>1061</v>
      </c>
    </row>
    <row r="115" spans="1:8" x14ac:dyDescent="0.3">
      <c r="A115" t="s">
        <v>106</v>
      </c>
      <c r="B115" t="s">
        <v>20</v>
      </c>
      <c r="C115" t="s">
        <v>1043</v>
      </c>
      <c r="D115" t="s">
        <v>1072</v>
      </c>
      <c r="E115" s="31">
        <v>-1115.732</v>
      </c>
      <c r="F115" s="31">
        <v>-1013.852</v>
      </c>
      <c r="G115" s="31">
        <f t="shared" si="1"/>
        <v>101.88</v>
      </c>
      <c r="H115" t="s">
        <v>1061</v>
      </c>
    </row>
    <row r="116" spans="1:8" x14ac:dyDescent="0.3">
      <c r="A116" t="s">
        <v>106</v>
      </c>
      <c r="B116" t="s">
        <v>20</v>
      </c>
      <c r="C116" t="s">
        <v>1047</v>
      </c>
      <c r="D116" t="s">
        <v>1050</v>
      </c>
      <c r="E116" s="31">
        <v>9013.17</v>
      </c>
      <c r="F116" s="31">
        <v>9013.1689999999999</v>
      </c>
      <c r="G116" s="31">
        <f t="shared" si="1"/>
        <v>-1.0000000002037268E-3</v>
      </c>
      <c r="H116" t="s">
        <v>1061</v>
      </c>
    </row>
    <row r="117" spans="1:8" x14ac:dyDescent="0.3">
      <c r="A117" t="s">
        <v>106</v>
      </c>
      <c r="B117" t="s">
        <v>26</v>
      </c>
      <c r="C117" t="s">
        <v>1043</v>
      </c>
      <c r="D117" t="s">
        <v>1060</v>
      </c>
      <c r="E117" s="31">
        <v>-952.2</v>
      </c>
      <c r="F117" s="31">
        <v>-742.28</v>
      </c>
      <c r="G117" s="31">
        <f t="shared" si="1"/>
        <v>209.92000000000007</v>
      </c>
      <c r="H117" t="s">
        <v>1062</v>
      </c>
    </row>
    <row r="118" spans="1:8" x14ac:dyDescent="0.3">
      <c r="A118" t="s">
        <v>106</v>
      </c>
      <c r="B118" t="s">
        <v>26</v>
      </c>
      <c r="C118" t="s">
        <v>1047</v>
      </c>
      <c r="D118" t="s">
        <v>1049</v>
      </c>
      <c r="E118" s="31">
        <v>8334.0830000000005</v>
      </c>
      <c r="F118" s="31">
        <v>8330.107</v>
      </c>
      <c r="G118" s="31">
        <f t="shared" si="1"/>
        <v>-3.9760000000005675</v>
      </c>
      <c r="H118" t="s">
        <v>1062</v>
      </c>
    </row>
    <row r="119" spans="1:8" x14ac:dyDescent="0.3">
      <c r="A119" t="s">
        <v>106</v>
      </c>
      <c r="B119" t="s">
        <v>26</v>
      </c>
      <c r="C119" t="s">
        <v>1047</v>
      </c>
      <c r="D119" t="s">
        <v>1050</v>
      </c>
      <c r="E119" s="31">
        <v>12909.174000000001</v>
      </c>
      <c r="F119" s="31">
        <v>12905.198</v>
      </c>
      <c r="G119" s="31">
        <f t="shared" si="1"/>
        <v>-3.9760000000005675</v>
      </c>
      <c r="H119" t="s">
        <v>1062</v>
      </c>
    </row>
    <row r="120" spans="1:8" x14ac:dyDescent="0.3">
      <c r="A120" t="s">
        <v>106</v>
      </c>
      <c r="B120" t="s">
        <v>27</v>
      </c>
      <c r="C120" t="s">
        <v>1035</v>
      </c>
      <c r="D120" t="s">
        <v>1073</v>
      </c>
      <c r="E120" s="31">
        <v>2600.9879999999998</v>
      </c>
      <c r="F120" s="31">
        <v>2600.9850000000001</v>
      </c>
      <c r="G120" s="31">
        <f t="shared" si="1"/>
        <v>-2.9999999997016857E-3</v>
      </c>
      <c r="H120" t="s">
        <v>1064</v>
      </c>
    </row>
    <row r="121" spans="1:8" x14ac:dyDescent="0.3">
      <c r="A121" t="s">
        <v>106</v>
      </c>
      <c r="B121" t="s">
        <v>27</v>
      </c>
      <c r="C121" t="s">
        <v>1035</v>
      </c>
      <c r="D121" t="s">
        <v>1074</v>
      </c>
      <c r="E121" s="31">
        <v>9925.8520000000008</v>
      </c>
      <c r="F121" s="31">
        <v>9925.8549999999996</v>
      </c>
      <c r="G121" s="31">
        <f t="shared" si="1"/>
        <v>2.999999998792191E-3</v>
      </c>
      <c r="H121" t="s">
        <v>1064</v>
      </c>
    </row>
    <row r="122" spans="1:8" x14ac:dyDescent="0.3">
      <c r="A122" t="s">
        <v>106</v>
      </c>
      <c r="B122" t="s">
        <v>27</v>
      </c>
      <c r="C122" t="s">
        <v>1043</v>
      </c>
      <c r="D122" t="s">
        <v>1075</v>
      </c>
      <c r="E122" s="31">
        <v>-45651.502999999997</v>
      </c>
      <c r="F122" s="31">
        <v>-43901.906000000003</v>
      </c>
      <c r="G122" s="31">
        <f t="shared" si="1"/>
        <v>1749.5969999999943</v>
      </c>
      <c r="H122" t="s">
        <v>1064</v>
      </c>
    </row>
    <row r="123" spans="1:8" x14ac:dyDescent="0.3">
      <c r="A123" t="s">
        <v>106</v>
      </c>
      <c r="B123" t="s">
        <v>27</v>
      </c>
      <c r="C123" t="s">
        <v>1043</v>
      </c>
      <c r="D123" t="s">
        <v>1070</v>
      </c>
      <c r="E123" s="31">
        <v>16423.756000000001</v>
      </c>
      <c r="F123" s="31">
        <v>18173.352999999999</v>
      </c>
      <c r="G123" s="31">
        <f t="shared" si="1"/>
        <v>1749.5969999999979</v>
      </c>
      <c r="H123" t="s">
        <v>1064</v>
      </c>
    </row>
    <row r="124" spans="1:8" x14ac:dyDescent="0.3">
      <c r="A124" t="s">
        <v>106</v>
      </c>
      <c r="B124" t="s">
        <v>27</v>
      </c>
      <c r="C124" t="s">
        <v>1043</v>
      </c>
      <c r="D124" t="s">
        <v>1045</v>
      </c>
      <c r="E124" s="31">
        <v>9250.6669999999995</v>
      </c>
      <c r="F124" s="31">
        <v>9238.4750000000004</v>
      </c>
      <c r="G124" s="31">
        <f t="shared" si="1"/>
        <v>-12.191999999999098</v>
      </c>
      <c r="H124" t="s">
        <v>1064</v>
      </c>
    </row>
    <row r="125" spans="1:8" x14ac:dyDescent="0.3">
      <c r="A125" t="s">
        <v>106</v>
      </c>
      <c r="B125" t="s">
        <v>27</v>
      </c>
      <c r="C125" t="s">
        <v>1043</v>
      </c>
      <c r="D125" t="s">
        <v>1072</v>
      </c>
      <c r="E125" s="31">
        <v>-2001.499</v>
      </c>
      <c r="F125" s="31">
        <v>-3751.096</v>
      </c>
      <c r="G125" s="31">
        <f t="shared" si="1"/>
        <v>-1749.597</v>
      </c>
      <c r="H125" t="s">
        <v>1064</v>
      </c>
    </row>
    <row r="126" spans="1:8" x14ac:dyDescent="0.3">
      <c r="A126" t="s">
        <v>106</v>
      </c>
      <c r="B126" t="s">
        <v>27</v>
      </c>
      <c r="C126" t="s">
        <v>1043</v>
      </c>
      <c r="D126" t="s">
        <v>1046</v>
      </c>
      <c r="E126" s="31">
        <v>-4758.9979999999996</v>
      </c>
      <c r="F126" s="31">
        <v>-4746.8059999999996</v>
      </c>
      <c r="G126" s="31">
        <f t="shared" si="1"/>
        <v>12.192000000000007</v>
      </c>
      <c r="H126" t="s">
        <v>1064</v>
      </c>
    </row>
    <row r="127" spans="1:8" x14ac:dyDescent="0.3">
      <c r="A127" t="s">
        <v>106</v>
      </c>
      <c r="B127" t="s">
        <v>27</v>
      </c>
      <c r="C127" t="s">
        <v>1047</v>
      </c>
      <c r="D127" t="s">
        <v>1050</v>
      </c>
      <c r="E127" s="31">
        <v>15897.923000000001</v>
      </c>
      <c r="F127" s="31">
        <v>19906.827000000001</v>
      </c>
      <c r="G127" s="31">
        <f t="shared" si="1"/>
        <v>4008.9040000000005</v>
      </c>
      <c r="H127" t="s">
        <v>1064</v>
      </c>
    </row>
    <row r="128" spans="1:8" x14ac:dyDescent="0.3">
      <c r="A128" t="s">
        <v>106</v>
      </c>
      <c r="B128" t="s">
        <v>28</v>
      </c>
      <c r="C128" t="s">
        <v>1043</v>
      </c>
      <c r="D128" t="s">
        <v>1044</v>
      </c>
      <c r="E128" s="31">
        <v>13069.734</v>
      </c>
      <c r="F128" s="31">
        <v>12952.043</v>
      </c>
      <c r="G128" s="31">
        <f t="shared" si="1"/>
        <v>-117.69100000000071</v>
      </c>
      <c r="H128" t="s">
        <v>1066</v>
      </c>
    </row>
    <row r="129" spans="1:8" x14ac:dyDescent="0.3">
      <c r="A129" t="s">
        <v>106</v>
      </c>
      <c r="B129" t="s">
        <v>28</v>
      </c>
      <c r="C129" t="s">
        <v>1043</v>
      </c>
      <c r="D129" t="s">
        <v>1057</v>
      </c>
      <c r="E129" s="31">
        <v>356.142</v>
      </c>
      <c r="F129" s="31">
        <v>238.45099999999999</v>
      </c>
      <c r="G129" s="31">
        <f t="shared" si="1"/>
        <v>-117.691</v>
      </c>
      <c r="H129" t="s">
        <v>1066</v>
      </c>
    </row>
    <row r="130" spans="1:8" x14ac:dyDescent="0.3">
      <c r="A130" t="s">
        <v>114</v>
      </c>
      <c r="B130" t="s">
        <v>20</v>
      </c>
      <c r="C130" t="s">
        <v>1035</v>
      </c>
      <c r="D130" t="s">
        <v>1076</v>
      </c>
      <c r="E130" s="31">
        <v>0</v>
      </c>
      <c r="F130" s="31">
        <v>15.654</v>
      </c>
      <c r="G130" s="31">
        <f t="shared" si="1"/>
        <v>15.654</v>
      </c>
      <c r="H130" t="s">
        <v>1077</v>
      </c>
    </row>
    <row r="131" spans="1:8" x14ac:dyDescent="0.3">
      <c r="A131" t="s">
        <v>114</v>
      </c>
      <c r="B131" t="s">
        <v>20</v>
      </c>
      <c r="C131" t="s">
        <v>1035</v>
      </c>
      <c r="D131" t="s">
        <v>1078</v>
      </c>
      <c r="E131" s="31">
        <v>22.260999999999999</v>
      </c>
      <c r="F131" s="31">
        <v>6.6070000000000002</v>
      </c>
      <c r="G131" s="31">
        <f t="shared" si="1"/>
        <v>-15.654</v>
      </c>
      <c r="H131" t="s">
        <v>1077</v>
      </c>
    </row>
    <row r="132" spans="1:8" x14ac:dyDescent="0.3">
      <c r="A132" t="s">
        <v>114</v>
      </c>
      <c r="B132" t="s">
        <v>26</v>
      </c>
      <c r="C132" t="s">
        <v>1043</v>
      </c>
      <c r="D132" t="s">
        <v>1075</v>
      </c>
      <c r="E132" s="31">
        <v>-39843.851000000002</v>
      </c>
      <c r="F132" s="31">
        <v>-38779.542000000001</v>
      </c>
      <c r="G132" s="31">
        <f t="shared" si="1"/>
        <v>1064.3090000000011</v>
      </c>
      <c r="H132" t="s">
        <v>1079</v>
      </c>
    </row>
    <row r="133" spans="1:8" x14ac:dyDescent="0.3">
      <c r="A133" t="s">
        <v>114</v>
      </c>
      <c r="B133" t="s">
        <v>26</v>
      </c>
      <c r="C133" t="s">
        <v>1043</v>
      </c>
      <c r="D133" t="s">
        <v>1070</v>
      </c>
      <c r="E133" s="31">
        <v>14399.267</v>
      </c>
      <c r="F133" s="31">
        <v>15463.575999999999</v>
      </c>
      <c r="G133" s="31">
        <f t="shared" si="1"/>
        <v>1064.3089999999993</v>
      </c>
      <c r="H133" t="s">
        <v>1079</v>
      </c>
    </row>
    <row r="134" spans="1:8" x14ac:dyDescent="0.3">
      <c r="A134" t="s">
        <v>114</v>
      </c>
      <c r="B134" t="s">
        <v>26</v>
      </c>
      <c r="C134" t="s">
        <v>1043</v>
      </c>
      <c r="D134" t="s">
        <v>1072</v>
      </c>
      <c r="E134" s="31">
        <v>-539.01400000000001</v>
      </c>
      <c r="F134" s="31">
        <v>-1603.3230000000001</v>
      </c>
      <c r="G134" s="31">
        <f t="shared" si="1"/>
        <v>-1064.3090000000002</v>
      </c>
      <c r="H134" t="s">
        <v>1079</v>
      </c>
    </row>
    <row r="135" spans="1:8" x14ac:dyDescent="0.3">
      <c r="A135" t="s">
        <v>114</v>
      </c>
      <c r="B135" t="s">
        <v>27</v>
      </c>
      <c r="C135" t="s">
        <v>1043</v>
      </c>
      <c r="D135" t="s">
        <v>1045</v>
      </c>
      <c r="E135" s="31">
        <v>12900.109</v>
      </c>
      <c r="F135" s="31">
        <v>12854.449000000001</v>
      </c>
      <c r="G135" s="31">
        <f t="shared" si="1"/>
        <v>-45.659999999999854</v>
      </c>
      <c r="H135" t="s">
        <v>1080</v>
      </c>
    </row>
    <row r="136" spans="1:8" x14ac:dyDescent="0.3">
      <c r="A136" t="s">
        <v>114</v>
      </c>
      <c r="B136" t="s">
        <v>27</v>
      </c>
      <c r="C136" t="s">
        <v>1043</v>
      </c>
      <c r="D136" t="s">
        <v>1046</v>
      </c>
      <c r="E136" s="31">
        <v>-5460.4279999999999</v>
      </c>
      <c r="F136" s="31">
        <v>-5414.768</v>
      </c>
      <c r="G136" s="31">
        <f t="shared" si="1"/>
        <v>45.659999999999854</v>
      </c>
      <c r="H136" t="s">
        <v>1080</v>
      </c>
    </row>
    <row r="137" spans="1:8" x14ac:dyDescent="0.3">
      <c r="A137" t="s">
        <v>114</v>
      </c>
      <c r="B137" t="s">
        <v>27</v>
      </c>
      <c r="C137" t="s">
        <v>1047</v>
      </c>
      <c r="D137" t="s">
        <v>1063</v>
      </c>
      <c r="E137" s="31">
        <v>10817.936</v>
      </c>
      <c r="F137" s="31">
        <v>10897.767</v>
      </c>
      <c r="G137" s="31">
        <f t="shared" si="1"/>
        <v>79.831000000000131</v>
      </c>
      <c r="H137" t="s">
        <v>1080</v>
      </c>
    </row>
    <row r="138" spans="1:8" x14ac:dyDescent="0.3">
      <c r="A138" t="s">
        <v>114</v>
      </c>
      <c r="B138" t="s">
        <v>27</v>
      </c>
      <c r="C138" t="s">
        <v>1047</v>
      </c>
      <c r="D138" t="s">
        <v>1049</v>
      </c>
      <c r="E138" s="31">
        <v>16200.329</v>
      </c>
      <c r="F138" s="31">
        <v>16030.998</v>
      </c>
      <c r="G138" s="31">
        <f t="shared" ref="G138:G144" si="2">F138-E138</f>
        <v>-169.33100000000013</v>
      </c>
      <c r="H138" t="s">
        <v>1080</v>
      </c>
    </row>
    <row r="139" spans="1:8" x14ac:dyDescent="0.3">
      <c r="A139" t="s">
        <v>114</v>
      </c>
      <c r="B139" t="s">
        <v>27</v>
      </c>
      <c r="C139" t="s">
        <v>1047</v>
      </c>
      <c r="D139" t="s">
        <v>1081</v>
      </c>
      <c r="E139" s="31">
        <v>-2562.9319999999998</v>
      </c>
      <c r="F139" s="31">
        <v>-2483.1010000000001</v>
      </c>
      <c r="G139" s="31">
        <f t="shared" si="2"/>
        <v>79.830999999999676</v>
      </c>
      <c r="H139" t="s">
        <v>1080</v>
      </c>
    </row>
    <row r="140" spans="1:8" x14ac:dyDescent="0.3">
      <c r="A140" t="s">
        <v>114</v>
      </c>
      <c r="B140" t="s">
        <v>28</v>
      </c>
      <c r="C140" t="s">
        <v>1035</v>
      </c>
      <c r="D140" t="s">
        <v>1082</v>
      </c>
      <c r="E140" s="31">
        <v>5842.2169999999996</v>
      </c>
      <c r="F140" s="31">
        <v>5699.6180000000004</v>
      </c>
      <c r="G140" s="31">
        <f t="shared" si="2"/>
        <v>-142.59899999999925</v>
      </c>
      <c r="H140" t="s">
        <v>1083</v>
      </c>
    </row>
    <row r="141" spans="1:8" x14ac:dyDescent="0.3">
      <c r="A141" t="s">
        <v>114</v>
      </c>
      <c r="B141" t="s">
        <v>28</v>
      </c>
      <c r="C141" t="s">
        <v>1035</v>
      </c>
      <c r="D141" t="s">
        <v>1040</v>
      </c>
      <c r="E141" s="31">
        <v>5966.1909999999998</v>
      </c>
      <c r="F141" s="31">
        <v>6108.79</v>
      </c>
      <c r="G141" s="31">
        <f t="shared" si="2"/>
        <v>142.59900000000016</v>
      </c>
      <c r="H141" t="s">
        <v>1083</v>
      </c>
    </row>
    <row r="142" spans="1:8" x14ac:dyDescent="0.3">
      <c r="A142" t="s">
        <v>114</v>
      </c>
      <c r="B142" t="s">
        <v>28</v>
      </c>
      <c r="C142" t="s">
        <v>1047</v>
      </c>
      <c r="D142" t="s">
        <v>1048</v>
      </c>
      <c r="E142" s="31">
        <v>-8158.0370000000003</v>
      </c>
      <c r="F142" s="31">
        <v>-8158.0360000000001</v>
      </c>
      <c r="G142" s="31">
        <f t="shared" si="2"/>
        <v>1.0000000002037268E-3</v>
      </c>
      <c r="H142" t="s">
        <v>1083</v>
      </c>
    </row>
    <row r="143" spans="1:8" x14ac:dyDescent="0.3">
      <c r="A143" t="s">
        <v>114</v>
      </c>
      <c r="B143" t="s">
        <v>28</v>
      </c>
      <c r="C143" t="s">
        <v>1047</v>
      </c>
      <c r="D143" t="s">
        <v>1049</v>
      </c>
      <c r="E143" s="31">
        <v>21684.607</v>
      </c>
      <c r="F143" s="31">
        <v>22284.607</v>
      </c>
      <c r="G143" s="31">
        <f t="shared" si="2"/>
        <v>600</v>
      </c>
      <c r="H143" t="s">
        <v>1083</v>
      </c>
    </row>
    <row r="144" spans="1:8" x14ac:dyDescent="0.3">
      <c r="A144" t="s">
        <v>114</v>
      </c>
      <c r="B144" t="s">
        <v>28</v>
      </c>
      <c r="C144" t="s">
        <v>1047</v>
      </c>
      <c r="D144" t="s">
        <v>1081</v>
      </c>
      <c r="E144" s="31">
        <v>-6993.06</v>
      </c>
      <c r="F144" s="31">
        <v>0</v>
      </c>
      <c r="G144" s="31">
        <f t="shared" si="2"/>
        <v>6993.06</v>
      </c>
      <c r="H144" t="s">
        <v>1083</v>
      </c>
    </row>
    <row r="146" spans="1:19" x14ac:dyDescent="0.3">
      <c r="A146" s="5" t="s">
        <v>1084</v>
      </c>
      <c r="B146" s="10"/>
      <c r="C146" s="10"/>
      <c r="D146" s="10"/>
      <c r="E146" s="10"/>
      <c r="F146" s="10"/>
      <c r="G146" s="10"/>
      <c r="H146" s="10"/>
      <c r="I146" s="10"/>
      <c r="J146" s="10"/>
      <c r="K146" s="10"/>
      <c r="L146" s="10"/>
      <c r="M146" s="10"/>
      <c r="N146" s="10"/>
      <c r="O146" s="10"/>
      <c r="P146" s="10"/>
      <c r="Q146" s="10"/>
      <c r="R146" s="10"/>
      <c r="S146" s="10"/>
    </row>
    <row r="147" spans="1:19" ht="30" customHeight="1" x14ac:dyDescent="0.3">
      <c r="A147" s="43" t="s">
        <v>1085</v>
      </c>
      <c r="B147" s="43" t="s">
        <v>1</v>
      </c>
      <c r="C147" s="43" t="s">
        <v>3</v>
      </c>
      <c r="D147" s="43" t="s">
        <v>1086</v>
      </c>
      <c r="E147" s="43" t="s">
        <v>1087</v>
      </c>
      <c r="F147" s="43" t="s">
        <v>1088</v>
      </c>
      <c r="G147" s="43" t="s">
        <v>1089</v>
      </c>
      <c r="H147" s="43" t="s">
        <v>1090</v>
      </c>
      <c r="I147" s="43" t="s">
        <v>1091</v>
      </c>
      <c r="J147" s="43" t="s">
        <v>1092</v>
      </c>
      <c r="K147" s="43" t="s">
        <v>1093</v>
      </c>
      <c r="L147" s="43" t="s">
        <v>1094</v>
      </c>
      <c r="M147" s="43" t="s">
        <v>1095</v>
      </c>
      <c r="N147" s="43" t="s">
        <v>1096</v>
      </c>
      <c r="O147" s="43" t="s">
        <v>1097</v>
      </c>
      <c r="P147" s="43" t="s">
        <v>1098</v>
      </c>
      <c r="Q147" s="43" t="s">
        <v>1099</v>
      </c>
      <c r="R147" s="43" t="s">
        <v>1100</v>
      </c>
      <c r="S147" s="43" t="s">
        <v>1101</v>
      </c>
    </row>
    <row r="148" spans="1:19" x14ac:dyDescent="0.3">
      <c r="A148" s="44" t="s">
        <v>1102</v>
      </c>
      <c r="B148" s="44" t="s">
        <v>18</v>
      </c>
      <c r="C148" s="44" t="s">
        <v>965</v>
      </c>
      <c r="D148" s="44" t="s">
        <v>243</v>
      </c>
      <c r="E148" s="44" t="s">
        <v>1035</v>
      </c>
      <c r="F148" s="44" t="s">
        <v>1103</v>
      </c>
      <c r="G148" s="44" t="s">
        <v>1104</v>
      </c>
      <c r="H148" s="44" t="s">
        <v>1105</v>
      </c>
      <c r="I148" s="44" t="s">
        <v>1106</v>
      </c>
      <c r="J148" s="44">
        <v>45</v>
      </c>
      <c r="K148" s="44" t="s">
        <v>1107</v>
      </c>
      <c r="L148" s="44" t="s">
        <v>1108</v>
      </c>
      <c r="M148" s="44" t="s">
        <v>1109</v>
      </c>
      <c r="N148" s="45">
        <v>22777666271</v>
      </c>
      <c r="O148" s="46">
        <f t="shared" ref="O148:O211" si="3">N148/1000000</f>
        <v>22777.666270999998</v>
      </c>
      <c r="P148" s="47">
        <f>KOHC!C20</f>
        <v>22777.666270999998</v>
      </c>
      <c r="Q148" s="44" t="str">
        <f t="shared" ref="Q148:Q211" si="4">IF(ABS(O148-P148)&lt;0.000001,"PASS","FAIL")</f>
        <v>PASS</v>
      </c>
      <c r="R148" s="44" t="s">
        <v>1110</v>
      </c>
      <c r="S148" s="44"/>
    </row>
    <row r="149" spans="1:19" x14ac:dyDescent="0.3">
      <c r="A149" s="44" t="s">
        <v>1111</v>
      </c>
      <c r="B149" s="44" t="s">
        <v>18</v>
      </c>
      <c r="C149" s="44" t="s">
        <v>20</v>
      </c>
      <c r="D149" s="44" t="s">
        <v>243</v>
      </c>
      <c r="E149" s="44" t="s">
        <v>1035</v>
      </c>
      <c r="F149" s="44" t="s">
        <v>1103</v>
      </c>
      <c r="G149" s="44" t="s">
        <v>1112</v>
      </c>
      <c r="H149" s="44" t="s">
        <v>1113</v>
      </c>
      <c r="I149" s="44" t="s">
        <v>1106</v>
      </c>
      <c r="J149" s="44">
        <v>53</v>
      </c>
      <c r="K149" s="44" t="s">
        <v>1107</v>
      </c>
      <c r="L149" s="44" t="s">
        <v>1108</v>
      </c>
      <c r="M149" s="44" t="s">
        <v>1109</v>
      </c>
      <c r="N149" s="45">
        <v>22027544913</v>
      </c>
      <c r="O149" s="46">
        <f t="shared" si="3"/>
        <v>22027.544913000002</v>
      </c>
      <c r="P149" s="47">
        <f>KOHC!D20</f>
        <v>22027.544913000002</v>
      </c>
      <c r="Q149" s="44" t="str">
        <f t="shared" si="4"/>
        <v>PASS</v>
      </c>
      <c r="R149" s="44" t="s">
        <v>1110</v>
      </c>
      <c r="S149" s="44" t="s">
        <v>1114</v>
      </c>
    </row>
    <row r="150" spans="1:19" x14ac:dyDescent="0.3">
      <c r="A150" s="44" t="s">
        <v>1115</v>
      </c>
      <c r="B150" s="44" t="s">
        <v>18</v>
      </c>
      <c r="C150" s="44" t="s">
        <v>26</v>
      </c>
      <c r="D150" s="44" t="s">
        <v>243</v>
      </c>
      <c r="E150" s="44" t="s">
        <v>1035</v>
      </c>
      <c r="F150" s="44" t="s">
        <v>1103</v>
      </c>
      <c r="G150" s="44" t="s">
        <v>1116</v>
      </c>
      <c r="H150" s="44" t="s">
        <v>1117</v>
      </c>
      <c r="I150" s="44" t="s">
        <v>1106</v>
      </c>
      <c r="J150" s="44">
        <v>53</v>
      </c>
      <c r="K150" s="44" t="s">
        <v>1107</v>
      </c>
      <c r="L150" s="44" t="s">
        <v>1108</v>
      </c>
      <c r="M150" s="44" t="s">
        <v>1109</v>
      </c>
      <c r="N150" s="45">
        <v>21331296362</v>
      </c>
      <c r="O150" s="46">
        <f t="shared" si="3"/>
        <v>21331.296362000001</v>
      </c>
      <c r="P150" s="47">
        <f>KOHC!E20</f>
        <v>21331.296362000001</v>
      </c>
      <c r="Q150" s="44" t="str">
        <f t="shared" si="4"/>
        <v>PASS</v>
      </c>
      <c r="R150" s="44" t="s">
        <v>1110</v>
      </c>
      <c r="S150" s="44"/>
    </row>
    <row r="151" spans="1:19" x14ac:dyDescent="0.3">
      <c r="A151" s="44" t="s">
        <v>1118</v>
      </c>
      <c r="B151" s="44" t="s">
        <v>18</v>
      </c>
      <c r="C151" s="44" t="s">
        <v>27</v>
      </c>
      <c r="D151" s="44" t="s">
        <v>243</v>
      </c>
      <c r="E151" s="44" t="s">
        <v>1035</v>
      </c>
      <c r="F151" s="44" t="s">
        <v>1103</v>
      </c>
      <c r="G151" s="44" t="s">
        <v>1119</v>
      </c>
      <c r="H151" s="44" t="s">
        <v>1120</v>
      </c>
      <c r="I151" s="44" t="s">
        <v>1106</v>
      </c>
      <c r="J151" s="44">
        <v>59</v>
      </c>
      <c r="K151" s="44" t="s">
        <v>1107</v>
      </c>
      <c r="L151" s="44" t="s">
        <v>1121</v>
      </c>
      <c r="M151" s="44" t="s">
        <v>1109</v>
      </c>
      <c r="N151" s="45">
        <v>22229434463</v>
      </c>
      <c r="O151" s="46">
        <f t="shared" si="3"/>
        <v>22229.434463000001</v>
      </c>
      <c r="P151" s="47">
        <f>KOHC!F20</f>
        <v>22229.434463000001</v>
      </c>
      <c r="Q151" s="44" t="str">
        <f t="shared" si="4"/>
        <v>PASS</v>
      </c>
      <c r="R151" s="44" t="s">
        <v>1110</v>
      </c>
      <c r="S151" s="44"/>
    </row>
    <row r="152" spans="1:19" x14ac:dyDescent="0.3">
      <c r="A152" s="44" t="s">
        <v>1122</v>
      </c>
      <c r="B152" s="44" t="s">
        <v>18</v>
      </c>
      <c r="C152" s="44" t="s">
        <v>28</v>
      </c>
      <c r="D152" s="44" t="s">
        <v>243</v>
      </c>
      <c r="E152" s="44" t="s">
        <v>1035</v>
      </c>
      <c r="F152" s="44" t="s">
        <v>1103</v>
      </c>
      <c r="G152" s="44" t="s">
        <v>1123</v>
      </c>
      <c r="H152" s="44" t="s">
        <v>1124</v>
      </c>
      <c r="I152" s="44" t="s">
        <v>1106</v>
      </c>
      <c r="J152" s="44">
        <v>69</v>
      </c>
      <c r="K152" s="44" t="s">
        <v>1107</v>
      </c>
      <c r="L152" s="44" t="s">
        <v>1125</v>
      </c>
      <c r="M152" s="44" t="s">
        <v>1109</v>
      </c>
      <c r="N152" s="45">
        <v>22156640533</v>
      </c>
      <c r="O152" s="46">
        <f t="shared" si="3"/>
        <v>22156.640533000002</v>
      </c>
      <c r="P152" s="47">
        <f>KOHC!G20</f>
        <v>22156.640533000002</v>
      </c>
      <c r="Q152" s="44" t="str">
        <f t="shared" si="4"/>
        <v>PASS</v>
      </c>
      <c r="R152" s="44" t="s">
        <v>1110</v>
      </c>
      <c r="S152" s="44" t="s">
        <v>1114</v>
      </c>
    </row>
    <row r="153" spans="1:19" x14ac:dyDescent="0.3">
      <c r="A153" s="44" t="s">
        <v>1126</v>
      </c>
      <c r="B153" s="44" t="s">
        <v>18</v>
      </c>
      <c r="C153" s="44" t="s">
        <v>29</v>
      </c>
      <c r="D153" s="44" t="s">
        <v>243</v>
      </c>
      <c r="E153" s="44" t="s">
        <v>1035</v>
      </c>
      <c r="F153" s="44" t="s">
        <v>1103</v>
      </c>
      <c r="G153" s="44" t="s">
        <v>1123</v>
      </c>
      <c r="H153" s="44" t="s">
        <v>1124</v>
      </c>
      <c r="I153" s="44" t="s">
        <v>1127</v>
      </c>
      <c r="J153" s="44">
        <v>69</v>
      </c>
      <c r="K153" s="44" t="s">
        <v>1107</v>
      </c>
      <c r="L153" s="44" t="s">
        <v>1125</v>
      </c>
      <c r="M153" s="44" t="s">
        <v>1109</v>
      </c>
      <c r="N153" s="45">
        <v>23359980509</v>
      </c>
      <c r="O153" s="46">
        <f t="shared" si="3"/>
        <v>23359.980509000001</v>
      </c>
      <c r="P153" s="47">
        <f>KOHC!H20</f>
        <v>23359.980509000001</v>
      </c>
      <c r="Q153" s="44" t="str">
        <f t="shared" si="4"/>
        <v>PASS</v>
      </c>
      <c r="R153" s="44" t="s">
        <v>1110</v>
      </c>
      <c r="S153" s="44"/>
    </row>
    <row r="154" spans="1:19" x14ac:dyDescent="0.3">
      <c r="A154" s="44" t="s">
        <v>1128</v>
      </c>
      <c r="B154" s="44" t="s">
        <v>18</v>
      </c>
      <c r="C154" s="44" t="s">
        <v>965</v>
      </c>
      <c r="D154" s="44" t="s">
        <v>1129</v>
      </c>
      <c r="E154" s="44" t="s">
        <v>1130</v>
      </c>
      <c r="F154" s="44" t="s">
        <v>1131</v>
      </c>
      <c r="G154" s="44" t="s">
        <v>1104</v>
      </c>
      <c r="H154" s="44" t="s">
        <v>1105</v>
      </c>
      <c r="I154" s="44" t="s">
        <v>1106</v>
      </c>
      <c r="J154" s="44">
        <v>74</v>
      </c>
      <c r="K154" s="44" t="s">
        <v>1132</v>
      </c>
      <c r="L154" s="44"/>
      <c r="M154" s="44" t="s">
        <v>1109</v>
      </c>
      <c r="N154" s="45">
        <v>164578022</v>
      </c>
      <c r="O154" s="46">
        <f t="shared" si="3"/>
        <v>164.578022</v>
      </c>
      <c r="P154" s="47">
        <f>KOHC!C21</f>
        <v>164.578022</v>
      </c>
      <c r="Q154" s="44" t="str">
        <f t="shared" si="4"/>
        <v>PASS</v>
      </c>
      <c r="R154" s="44" t="s">
        <v>1110</v>
      </c>
      <c r="S154" s="44"/>
    </row>
    <row r="155" spans="1:19" x14ac:dyDescent="0.3">
      <c r="A155" s="44" t="s">
        <v>1133</v>
      </c>
      <c r="B155" s="44" t="s">
        <v>18</v>
      </c>
      <c r="C155" s="44" t="s">
        <v>20</v>
      </c>
      <c r="D155" s="44" t="s">
        <v>1129</v>
      </c>
      <c r="E155" s="44" t="s">
        <v>1130</v>
      </c>
      <c r="F155" s="44" t="s">
        <v>1131</v>
      </c>
      <c r="G155" s="44" t="s">
        <v>1112</v>
      </c>
      <c r="H155" s="44" t="s">
        <v>1113</v>
      </c>
      <c r="I155" s="44" t="s">
        <v>1106</v>
      </c>
      <c r="J155" s="44">
        <v>83</v>
      </c>
      <c r="K155" s="44" t="s">
        <v>1107</v>
      </c>
      <c r="L155" s="44"/>
      <c r="M155" s="44" t="s">
        <v>1109</v>
      </c>
      <c r="N155" s="45">
        <v>273939559</v>
      </c>
      <c r="O155" s="46">
        <f t="shared" si="3"/>
        <v>273.93955899999997</v>
      </c>
      <c r="P155" s="47">
        <f>KOHC!D21</f>
        <v>273.93955899999997</v>
      </c>
      <c r="Q155" s="44" t="str">
        <f t="shared" si="4"/>
        <v>PASS</v>
      </c>
      <c r="R155" s="44" t="s">
        <v>1110</v>
      </c>
      <c r="S155" s="44"/>
    </row>
    <row r="156" spans="1:19" x14ac:dyDescent="0.3">
      <c r="A156" s="44" t="s">
        <v>1134</v>
      </c>
      <c r="B156" s="44" t="s">
        <v>18</v>
      </c>
      <c r="C156" s="44" t="s">
        <v>26</v>
      </c>
      <c r="D156" s="44" t="s">
        <v>1129</v>
      </c>
      <c r="E156" s="44" t="s">
        <v>1130</v>
      </c>
      <c r="F156" s="44" t="s">
        <v>1131</v>
      </c>
      <c r="G156" s="44" t="s">
        <v>1116</v>
      </c>
      <c r="H156" s="44" t="s">
        <v>1117</v>
      </c>
      <c r="I156" s="44" t="s">
        <v>1106</v>
      </c>
      <c r="J156" s="44">
        <v>81</v>
      </c>
      <c r="K156" s="44" t="s">
        <v>1107</v>
      </c>
      <c r="L156" s="44"/>
      <c r="M156" s="44" t="s">
        <v>1109</v>
      </c>
      <c r="N156" s="45">
        <v>130897947</v>
      </c>
      <c r="O156" s="46">
        <f t="shared" si="3"/>
        <v>130.89794699999999</v>
      </c>
      <c r="P156" s="47">
        <f>KOHC!E21</f>
        <v>130.89794699999999</v>
      </c>
      <c r="Q156" s="44" t="str">
        <f t="shared" si="4"/>
        <v>PASS</v>
      </c>
      <c r="R156" s="44" t="s">
        <v>1110</v>
      </c>
      <c r="S156" s="44"/>
    </row>
    <row r="157" spans="1:19" x14ac:dyDescent="0.3">
      <c r="A157" s="44" t="s">
        <v>1135</v>
      </c>
      <c r="B157" s="44" t="s">
        <v>18</v>
      </c>
      <c r="C157" s="44" t="s">
        <v>27</v>
      </c>
      <c r="D157" s="44" t="s">
        <v>1129</v>
      </c>
      <c r="E157" s="44" t="s">
        <v>1130</v>
      </c>
      <c r="F157" s="44" t="s">
        <v>1131</v>
      </c>
      <c r="G157" s="44" t="s">
        <v>1119</v>
      </c>
      <c r="H157" s="44" t="s">
        <v>1120</v>
      </c>
      <c r="I157" s="44" t="s">
        <v>1106</v>
      </c>
      <c r="J157" s="44">
        <v>89</v>
      </c>
      <c r="K157" s="44" t="s">
        <v>1107</v>
      </c>
      <c r="L157" s="44"/>
      <c r="M157" s="44" t="s">
        <v>1109</v>
      </c>
      <c r="N157" s="45">
        <v>1943019581</v>
      </c>
      <c r="O157" s="46">
        <f t="shared" si="3"/>
        <v>1943.019581</v>
      </c>
      <c r="P157" s="47">
        <f>KOHC!F21</f>
        <v>1943.019581</v>
      </c>
      <c r="Q157" s="44" t="str">
        <f t="shared" si="4"/>
        <v>PASS</v>
      </c>
      <c r="R157" s="44" t="s">
        <v>1110</v>
      </c>
      <c r="S157" s="44"/>
    </row>
    <row r="158" spans="1:19" x14ac:dyDescent="0.3">
      <c r="A158" s="44" t="s">
        <v>1136</v>
      </c>
      <c r="B158" s="44" t="s">
        <v>18</v>
      </c>
      <c r="C158" s="44" t="s">
        <v>28</v>
      </c>
      <c r="D158" s="44" t="s">
        <v>1129</v>
      </c>
      <c r="E158" s="44" t="s">
        <v>1130</v>
      </c>
      <c r="F158" s="44" t="s">
        <v>1131</v>
      </c>
      <c r="G158" s="44" t="s">
        <v>1123</v>
      </c>
      <c r="H158" s="44" t="s">
        <v>1124</v>
      </c>
      <c r="I158" s="44" t="s">
        <v>1106</v>
      </c>
      <c r="J158" s="44">
        <v>97</v>
      </c>
      <c r="K158" s="44" t="s">
        <v>1107</v>
      </c>
      <c r="L158" s="44"/>
      <c r="M158" s="44" t="s">
        <v>1109</v>
      </c>
      <c r="N158" s="45">
        <v>999326605</v>
      </c>
      <c r="O158" s="46">
        <f t="shared" si="3"/>
        <v>999.32660499999997</v>
      </c>
      <c r="P158" s="47">
        <f>KOHC!G21</f>
        <v>999.32660499999997</v>
      </c>
      <c r="Q158" s="44" t="str">
        <f t="shared" si="4"/>
        <v>PASS</v>
      </c>
      <c r="R158" s="44" t="s">
        <v>1110</v>
      </c>
      <c r="S158" s="44"/>
    </row>
    <row r="159" spans="1:19" x14ac:dyDescent="0.3">
      <c r="A159" s="44" t="s">
        <v>1137</v>
      </c>
      <c r="B159" s="44" t="s">
        <v>18</v>
      </c>
      <c r="C159" s="44" t="s">
        <v>29</v>
      </c>
      <c r="D159" s="44" t="s">
        <v>1129</v>
      </c>
      <c r="E159" s="44" t="s">
        <v>1130</v>
      </c>
      <c r="F159" s="44" t="s">
        <v>1131</v>
      </c>
      <c r="G159" s="44" t="s">
        <v>1123</v>
      </c>
      <c r="H159" s="44" t="s">
        <v>1124</v>
      </c>
      <c r="I159" s="44" t="s">
        <v>1127</v>
      </c>
      <c r="J159" s="44">
        <v>97</v>
      </c>
      <c r="K159" s="44" t="s">
        <v>1107</v>
      </c>
      <c r="L159" s="44"/>
      <c r="M159" s="44" t="s">
        <v>1109</v>
      </c>
      <c r="N159" s="45">
        <v>2486634755</v>
      </c>
      <c r="O159" s="46">
        <f t="shared" si="3"/>
        <v>2486.634755</v>
      </c>
      <c r="P159" s="47">
        <f>KOHC!H21</f>
        <v>2486.634755</v>
      </c>
      <c r="Q159" s="44" t="str">
        <f t="shared" si="4"/>
        <v>PASS</v>
      </c>
      <c r="R159" s="44" t="s">
        <v>1110</v>
      </c>
      <c r="S159" s="44"/>
    </row>
    <row r="160" spans="1:19" x14ac:dyDescent="0.3">
      <c r="A160" s="44" t="s">
        <v>1138</v>
      </c>
      <c r="B160" s="44" t="s">
        <v>18</v>
      </c>
      <c r="C160" s="44" t="s">
        <v>965</v>
      </c>
      <c r="D160" s="44" t="s">
        <v>250</v>
      </c>
      <c r="E160" s="44" t="s">
        <v>1035</v>
      </c>
      <c r="F160" s="44"/>
      <c r="G160" s="44" t="s">
        <v>1104</v>
      </c>
      <c r="H160" s="44" t="s">
        <v>1105</v>
      </c>
      <c r="I160" s="44" t="s">
        <v>1106</v>
      </c>
      <c r="J160" s="44">
        <v>44</v>
      </c>
      <c r="K160" s="44" t="s">
        <v>1139</v>
      </c>
      <c r="L160" s="44"/>
      <c r="M160" s="44" t="s">
        <v>1109</v>
      </c>
      <c r="N160" s="45">
        <v>0</v>
      </c>
      <c r="O160" s="46">
        <f t="shared" si="3"/>
        <v>0</v>
      </c>
      <c r="P160" s="47">
        <f>KOHC!C23</f>
        <v>0</v>
      </c>
      <c r="Q160" s="44" t="str">
        <f t="shared" si="4"/>
        <v>PASS</v>
      </c>
      <c r="R160" s="44" t="s">
        <v>1110</v>
      </c>
      <c r="S160" s="44"/>
    </row>
    <row r="161" spans="1:19" x14ac:dyDescent="0.3">
      <c r="A161" s="44" t="s">
        <v>1140</v>
      </c>
      <c r="B161" s="44" t="s">
        <v>18</v>
      </c>
      <c r="C161" s="44" t="s">
        <v>20</v>
      </c>
      <c r="D161" s="44" t="s">
        <v>250</v>
      </c>
      <c r="E161" s="44" t="s">
        <v>1035</v>
      </c>
      <c r="F161" s="44"/>
      <c r="G161" s="44" t="s">
        <v>1112</v>
      </c>
      <c r="H161" s="44" t="s">
        <v>1113</v>
      </c>
      <c r="I161" s="44" t="s">
        <v>1106</v>
      </c>
      <c r="J161" s="44">
        <v>52</v>
      </c>
      <c r="K161" s="44" t="s">
        <v>1139</v>
      </c>
      <c r="L161" s="44"/>
      <c r="M161" s="44" t="s">
        <v>1109</v>
      </c>
      <c r="N161" s="45">
        <v>0</v>
      </c>
      <c r="O161" s="46">
        <f t="shared" si="3"/>
        <v>0</v>
      </c>
      <c r="P161" s="47">
        <f>KOHC!D23</f>
        <v>0</v>
      </c>
      <c r="Q161" s="44" t="str">
        <f t="shared" si="4"/>
        <v>PASS</v>
      </c>
      <c r="R161" s="44" t="s">
        <v>1110</v>
      </c>
      <c r="S161" s="44"/>
    </row>
    <row r="162" spans="1:19" x14ac:dyDescent="0.3">
      <c r="A162" s="44" t="s">
        <v>1141</v>
      </c>
      <c r="B162" s="44" t="s">
        <v>18</v>
      </c>
      <c r="C162" s="44" t="s">
        <v>26</v>
      </c>
      <c r="D162" s="44" t="s">
        <v>250</v>
      </c>
      <c r="E162" s="44" t="s">
        <v>1035</v>
      </c>
      <c r="F162" s="44"/>
      <c r="G162" s="44" t="s">
        <v>1116</v>
      </c>
      <c r="H162" s="44" t="s">
        <v>1117</v>
      </c>
      <c r="I162" s="44" t="s">
        <v>1106</v>
      </c>
      <c r="J162" s="44">
        <v>52</v>
      </c>
      <c r="K162" s="44" t="s">
        <v>1139</v>
      </c>
      <c r="L162" s="44"/>
      <c r="M162" s="44" t="s">
        <v>1109</v>
      </c>
      <c r="N162" s="45">
        <v>0</v>
      </c>
      <c r="O162" s="46">
        <f t="shared" si="3"/>
        <v>0</v>
      </c>
      <c r="P162" s="47">
        <f>KOHC!E23</f>
        <v>0</v>
      </c>
      <c r="Q162" s="44" t="str">
        <f t="shared" si="4"/>
        <v>PASS</v>
      </c>
      <c r="R162" s="44" t="s">
        <v>1110</v>
      </c>
      <c r="S162" s="44"/>
    </row>
    <row r="163" spans="1:19" x14ac:dyDescent="0.3">
      <c r="A163" s="44" t="s">
        <v>1142</v>
      </c>
      <c r="B163" s="44" t="s">
        <v>18</v>
      </c>
      <c r="C163" s="44" t="s">
        <v>27</v>
      </c>
      <c r="D163" s="44" t="s">
        <v>250</v>
      </c>
      <c r="E163" s="44" t="s">
        <v>1035</v>
      </c>
      <c r="F163" s="44"/>
      <c r="G163" s="44" t="s">
        <v>1119</v>
      </c>
      <c r="H163" s="44" t="s">
        <v>1120</v>
      </c>
      <c r="I163" s="44" t="s">
        <v>1106</v>
      </c>
      <c r="J163" s="44">
        <v>58</v>
      </c>
      <c r="K163" s="44" t="s">
        <v>1139</v>
      </c>
      <c r="L163" s="44"/>
      <c r="M163" s="44" t="s">
        <v>1109</v>
      </c>
      <c r="N163" s="45">
        <v>0</v>
      </c>
      <c r="O163" s="46">
        <f t="shared" si="3"/>
        <v>0</v>
      </c>
      <c r="P163" s="47">
        <f>KOHC!F23</f>
        <v>0</v>
      </c>
      <c r="Q163" s="44" t="str">
        <f t="shared" si="4"/>
        <v>PASS</v>
      </c>
      <c r="R163" s="44" t="s">
        <v>1110</v>
      </c>
      <c r="S163" s="44"/>
    </row>
    <row r="164" spans="1:19" x14ac:dyDescent="0.3">
      <c r="A164" s="44" t="s">
        <v>1143</v>
      </c>
      <c r="B164" s="44" t="s">
        <v>18</v>
      </c>
      <c r="C164" s="44" t="s">
        <v>28</v>
      </c>
      <c r="D164" s="44" t="s">
        <v>250</v>
      </c>
      <c r="E164" s="44" t="s">
        <v>1035</v>
      </c>
      <c r="F164" s="44"/>
      <c r="G164" s="44" t="s">
        <v>1123</v>
      </c>
      <c r="H164" s="44" t="s">
        <v>1124</v>
      </c>
      <c r="I164" s="44" t="s">
        <v>1106</v>
      </c>
      <c r="J164" s="44">
        <v>68</v>
      </c>
      <c r="K164" s="44" t="s">
        <v>1144</v>
      </c>
      <c r="L164" s="44"/>
      <c r="M164" s="44" t="s">
        <v>1109</v>
      </c>
      <c r="N164" s="45">
        <v>0</v>
      </c>
      <c r="O164" s="46">
        <f t="shared" si="3"/>
        <v>0</v>
      </c>
      <c r="P164" s="47">
        <f>KOHC!G23</f>
        <v>0</v>
      </c>
      <c r="Q164" s="44" t="str">
        <f t="shared" si="4"/>
        <v>PASS</v>
      </c>
      <c r="R164" s="44" t="s">
        <v>1110</v>
      </c>
      <c r="S164" s="44"/>
    </row>
    <row r="165" spans="1:19" x14ac:dyDescent="0.3">
      <c r="A165" s="44" t="s">
        <v>1145</v>
      </c>
      <c r="B165" s="44" t="s">
        <v>18</v>
      </c>
      <c r="C165" s="44" t="s">
        <v>29</v>
      </c>
      <c r="D165" s="44" t="s">
        <v>250</v>
      </c>
      <c r="E165" s="44" t="s">
        <v>1035</v>
      </c>
      <c r="F165" s="44"/>
      <c r="G165" s="44" t="s">
        <v>1123</v>
      </c>
      <c r="H165" s="44" t="s">
        <v>1124</v>
      </c>
      <c r="I165" s="44" t="s">
        <v>1127</v>
      </c>
      <c r="J165" s="44">
        <v>68</v>
      </c>
      <c r="K165" s="44" t="s">
        <v>1144</v>
      </c>
      <c r="L165" s="44"/>
      <c r="M165" s="44" t="s">
        <v>1109</v>
      </c>
      <c r="N165" s="45">
        <v>0</v>
      </c>
      <c r="O165" s="46">
        <f t="shared" si="3"/>
        <v>0</v>
      </c>
      <c r="P165" s="47">
        <f>KOHC!H23</f>
        <v>0</v>
      </c>
      <c r="Q165" s="44" t="str">
        <f t="shared" si="4"/>
        <v>PASS</v>
      </c>
      <c r="R165" s="44" t="s">
        <v>1110</v>
      </c>
      <c r="S165" s="44"/>
    </row>
    <row r="166" spans="1:19" x14ac:dyDescent="0.3">
      <c r="A166" s="44" t="s">
        <v>1146</v>
      </c>
      <c r="B166" s="44" t="s">
        <v>18</v>
      </c>
      <c r="C166" s="44" t="s">
        <v>965</v>
      </c>
      <c r="D166" s="44" t="s">
        <v>252</v>
      </c>
      <c r="E166" s="44" t="s">
        <v>1035</v>
      </c>
      <c r="F166" s="44" t="s">
        <v>1147</v>
      </c>
      <c r="G166" s="44" t="s">
        <v>1104</v>
      </c>
      <c r="H166" s="44" t="s">
        <v>1105</v>
      </c>
      <c r="I166" s="44" t="s">
        <v>1106</v>
      </c>
      <c r="J166" s="44">
        <v>45</v>
      </c>
      <c r="K166" s="44" t="s">
        <v>1107</v>
      </c>
      <c r="L166" s="44" t="s">
        <v>1148</v>
      </c>
      <c r="M166" s="44" t="s">
        <v>1109</v>
      </c>
      <c r="N166" s="45">
        <v>11210982</v>
      </c>
      <c r="O166" s="46">
        <f t="shared" si="3"/>
        <v>11.210982</v>
      </c>
      <c r="P166" s="47">
        <f>KOHC!C24</f>
        <v>11.210982</v>
      </c>
      <c r="Q166" s="44" t="str">
        <f t="shared" si="4"/>
        <v>PASS</v>
      </c>
      <c r="R166" s="44" t="s">
        <v>1110</v>
      </c>
      <c r="S166" s="44"/>
    </row>
    <row r="167" spans="1:19" x14ac:dyDescent="0.3">
      <c r="A167" s="44" t="s">
        <v>1149</v>
      </c>
      <c r="B167" s="44" t="s">
        <v>18</v>
      </c>
      <c r="C167" s="44" t="s">
        <v>20</v>
      </c>
      <c r="D167" s="44" t="s">
        <v>252</v>
      </c>
      <c r="E167" s="44" t="s">
        <v>1035</v>
      </c>
      <c r="F167" s="44" t="s">
        <v>1147</v>
      </c>
      <c r="G167" s="44" t="s">
        <v>1112</v>
      </c>
      <c r="H167" s="44" t="s">
        <v>1113</v>
      </c>
      <c r="I167" s="44" t="s">
        <v>1106</v>
      </c>
      <c r="J167" s="44">
        <v>53</v>
      </c>
      <c r="K167" s="44" t="s">
        <v>1107</v>
      </c>
      <c r="L167" s="44" t="s">
        <v>1148</v>
      </c>
      <c r="M167" s="44" t="s">
        <v>1109</v>
      </c>
      <c r="N167" s="45">
        <v>6725911</v>
      </c>
      <c r="O167" s="46">
        <f t="shared" si="3"/>
        <v>6.725911</v>
      </c>
      <c r="P167" s="47">
        <f>KOHC!D24</f>
        <v>6.725911</v>
      </c>
      <c r="Q167" s="44" t="str">
        <f t="shared" si="4"/>
        <v>PASS</v>
      </c>
      <c r="R167" s="44" t="s">
        <v>1110</v>
      </c>
      <c r="S167" s="44"/>
    </row>
    <row r="168" spans="1:19" x14ac:dyDescent="0.3">
      <c r="A168" s="44" t="s">
        <v>1150</v>
      </c>
      <c r="B168" s="44" t="s">
        <v>18</v>
      </c>
      <c r="C168" s="44" t="s">
        <v>26</v>
      </c>
      <c r="D168" s="44" t="s">
        <v>252</v>
      </c>
      <c r="E168" s="44" t="s">
        <v>1035</v>
      </c>
      <c r="F168" s="44" t="s">
        <v>1147</v>
      </c>
      <c r="G168" s="44" t="s">
        <v>1116</v>
      </c>
      <c r="H168" s="44" t="s">
        <v>1117</v>
      </c>
      <c r="I168" s="44" t="s">
        <v>1106</v>
      </c>
      <c r="J168" s="44">
        <v>53</v>
      </c>
      <c r="K168" s="44" t="s">
        <v>1107</v>
      </c>
      <c r="L168" s="44" t="s">
        <v>1148</v>
      </c>
      <c r="M168" s="44" t="s">
        <v>1109</v>
      </c>
      <c r="N168" s="45">
        <v>2701357</v>
      </c>
      <c r="O168" s="46">
        <f t="shared" si="3"/>
        <v>2.7013569999999998</v>
      </c>
      <c r="P168" s="47">
        <f>KOHC!E24</f>
        <v>2.7013569999999998</v>
      </c>
      <c r="Q168" s="44" t="str">
        <f t="shared" si="4"/>
        <v>PASS</v>
      </c>
      <c r="R168" s="44" t="s">
        <v>1110</v>
      </c>
      <c r="S168" s="44"/>
    </row>
    <row r="169" spans="1:19" x14ac:dyDescent="0.3">
      <c r="A169" s="44" t="s">
        <v>1151</v>
      </c>
      <c r="B169" s="44" t="s">
        <v>18</v>
      </c>
      <c r="C169" s="44" t="s">
        <v>27</v>
      </c>
      <c r="D169" s="44" t="s">
        <v>252</v>
      </c>
      <c r="E169" s="44" t="s">
        <v>1035</v>
      </c>
      <c r="F169" s="44" t="s">
        <v>1147</v>
      </c>
      <c r="G169" s="44" t="s">
        <v>1119</v>
      </c>
      <c r="H169" s="44" t="s">
        <v>1120</v>
      </c>
      <c r="I169" s="44" t="s">
        <v>1106</v>
      </c>
      <c r="J169" s="44">
        <v>59</v>
      </c>
      <c r="K169" s="44" t="s">
        <v>1107</v>
      </c>
      <c r="L169" s="44" t="s">
        <v>1108</v>
      </c>
      <c r="M169" s="44" t="s">
        <v>1109</v>
      </c>
      <c r="N169" s="45">
        <v>1567709</v>
      </c>
      <c r="O169" s="46">
        <f t="shared" si="3"/>
        <v>1.567709</v>
      </c>
      <c r="P169" s="47">
        <f>KOHC!F24</f>
        <v>1.567709</v>
      </c>
      <c r="Q169" s="44" t="str">
        <f t="shared" si="4"/>
        <v>PASS</v>
      </c>
      <c r="R169" s="44" t="s">
        <v>1110</v>
      </c>
      <c r="S169" s="44"/>
    </row>
    <row r="170" spans="1:19" x14ac:dyDescent="0.3">
      <c r="A170" s="44" t="s">
        <v>1152</v>
      </c>
      <c r="B170" s="44" t="s">
        <v>18</v>
      </c>
      <c r="C170" s="44" t="s">
        <v>28</v>
      </c>
      <c r="D170" s="44" t="s">
        <v>252</v>
      </c>
      <c r="E170" s="44" t="s">
        <v>1035</v>
      </c>
      <c r="F170" s="44" t="s">
        <v>1147</v>
      </c>
      <c r="G170" s="44" t="s">
        <v>1123</v>
      </c>
      <c r="H170" s="44" t="s">
        <v>1124</v>
      </c>
      <c r="I170" s="44" t="s">
        <v>1106</v>
      </c>
      <c r="J170" s="44">
        <v>69</v>
      </c>
      <c r="K170" s="44" t="s">
        <v>1107</v>
      </c>
      <c r="L170" s="44" t="s">
        <v>1121</v>
      </c>
      <c r="M170" s="44" t="s">
        <v>1109</v>
      </c>
      <c r="N170" s="45">
        <v>508226</v>
      </c>
      <c r="O170" s="46">
        <f t="shared" si="3"/>
        <v>0.50822599999999996</v>
      </c>
      <c r="P170" s="47">
        <f>KOHC!G24</f>
        <v>0.50822599999999996</v>
      </c>
      <c r="Q170" s="44" t="str">
        <f t="shared" si="4"/>
        <v>PASS</v>
      </c>
      <c r="R170" s="44" t="s">
        <v>1110</v>
      </c>
      <c r="S170" s="44"/>
    </row>
    <row r="171" spans="1:19" x14ac:dyDescent="0.3">
      <c r="A171" s="44" t="s">
        <v>1153</v>
      </c>
      <c r="B171" s="44" t="s">
        <v>18</v>
      </c>
      <c r="C171" s="44" t="s">
        <v>29</v>
      </c>
      <c r="D171" s="44" t="s">
        <v>252</v>
      </c>
      <c r="E171" s="44" t="s">
        <v>1035</v>
      </c>
      <c r="F171" s="44" t="s">
        <v>1147</v>
      </c>
      <c r="G171" s="44" t="s">
        <v>1123</v>
      </c>
      <c r="H171" s="44" t="s">
        <v>1124</v>
      </c>
      <c r="I171" s="44" t="s">
        <v>1127</v>
      </c>
      <c r="J171" s="44">
        <v>69</v>
      </c>
      <c r="K171" s="44" t="s">
        <v>1107</v>
      </c>
      <c r="L171" s="44" t="s">
        <v>1121</v>
      </c>
      <c r="M171" s="44" t="s">
        <v>1109</v>
      </c>
      <c r="N171" s="45">
        <v>259742</v>
      </c>
      <c r="O171" s="46">
        <f t="shared" si="3"/>
        <v>0.25974199999999997</v>
      </c>
      <c r="P171" s="47">
        <f>KOHC!H24</f>
        <v>0.25974199999999997</v>
      </c>
      <c r="Q171" s="44" t="str">
        <f t="shared" si="4"/>
        <v>PASS</v>
      </c>
      <c r="R171" s="44" t="s">
        <v>1110</v>
      </c>
      <c r="S171" s="44"/>
    </row>
    <row r="172" spans="1:19" x14ac:dyDescent="0.3">
      <c r="A172" s="44" t="s">
        <v>1154</v>
      </c>
      <c r="B172" s="44" t="s">
        <v>18</v>
      </c>
      <c r="C172" s="44" t="s">
        <v>965</v>
      </c>
      <c r="D172" s="44" t="s">
        <v>254</v>
      </c>
      <c r="E172" s="44" t="s">
        <v>1035</v>
      </c>
      <c r="F172" s="44" t="s">
        <v>254</v>
      </c>
      <c r="G172" s="44" t="s">
        <v>1104</v>
      </c>
      <c r="H172" s="44" t="s">
        <v>1105</v>
      </c>
      <c r="I172" s="44" t="s">
        <v>1106</v>
      </c>
      <c r="J172" s="44">
        <v>45</v>
      </c>
      <c r="K172" s="44" t="s">
        <v>1107</v>
      </c>
      <c r="L172" s="44" t="s">
        <v>1155</v>
      </c>
      <c r="M172" s="44" t="s">
        <v>1109</v>
      </c>
      <c r="N172" s="45">
        <v>3691839635</v>
      </c>
      <c r="O172" s="46">
        <f t="shared" si="3"/>
        <v>3691.8396349999998</v>
      </c>
      <c r="P172" s="47">
        <f>KOHC!C25</f>
        <v>3691.8396349999998</v>
      </c>
      <c r="Q172" s="44" t="str">
        <f t="shared" si="4"/>
        <v>PASS</v>
      </c>
      <c r="R172" s="44" t="s">
        <v>1110</v>
      </c>
      <c r="S172" s="44"/>
    </row>
    <row r="173" spans="1:19" x14ac:dyDescent="0.3">
      <c r="A173" s="44" t="s">
        <v>1156</v>
      </c>
      <c r="B173" s="44" t="s">
        <v>18</v>
      </c>
      <c r="C173" s="44" t="s">
        <v>20</v>
      </c>
      <c r="D173" s="44" t="s">
        <v>254</v>
      </c>
      <c r="E173" s="44" t="s">
        <v>1035</v>
      </c>
      <c r="F173" s="44" t="s">
        <v>254</v>
      </c>
      <c r="G173" s="44" t="s">
        <v>1112</v>
      </c>
      <c r="H173" s="44" t="s">
        <v>1113</v>
      </c>
      <c r="I173" s="44" t="s">
        <v>1106</v>
      </c>
      <c r="J173" s="44">
        <v>53</v>
      </c>
      <c r="K173" s="44" t="s">
        <v>1107</v>
      </c>
      <c r="L173" s="44" t="s">
        <v>1157</v>
      </c>
      <c r="M173" s="44" t="s">
        <v>1109</v>
      </c>
      <c r="N173" s="45">
        <v>4134086159</v>
      </c>
      <c r="O173" s="46">
        <f t="shared" si="3"/>
        <v>4134.0861590000004</v>
      </c>
      <c r="P173" s="47">
        <f>KOHC!D25</f>
        <v>4134.0861590000004</v>
      </c>
      <c r="Q173" s="44" t="str">
        <f t="shared" si="4"/>
        <v>PASS</v>
      </c>
      <c r="R173" s="44" t="s">
        <v>1110</v>
      </c>
      <c r="S173" s="44" t="s">
        <v>1114</v>
      </c>
    </row>
    <row r="174" spans="1:19" x14ac:dyDescent="0.3">
      <c r="A174" s="44" t="s">
        <v>1158</v>
      </c>
      <c r="B174" s="44" t="s">
        <v>18</v>
      </c>
      <c r="C174" s="44" t="s">
        <v>26</v>
      </c>
      <c r="D174" s="44" t="s">
        <v>254</v>
      </c>
      <c r="E174" s="44" t="s">
        <v>1035</v>
      </c>
      <c r="F174" s="44" t="s">
        <v>254</v>
      </c>
      <c r="G174" s="44" t="s">
        <v>1116</v>
      </c>
      <c r="H174" s="44" t="s">
        <v>1117</v>
      </c>
      <c r="I174" s="44" t="s">
        <v>1106</v>
      </c>
      <c r="J174" s="44">
        <v>53</v>
      </c>
      <c r="K174" s="44" t="s">
        <v>1107</v>
      </c>
      <c r="L174" s="44" t="s">
        <v>1157</v>
      </c>
      <c r="M174" s="44" t="s">
        <v>1109</v>
      </c>
      <c r="N174" s="45">
        <v>4134255209</v>
      </c>
      <c r="O174" s="46">
        <f t="shared" si="3"/>
        <v>4134.2552089999999</v>
      </c>
      <c r="P174" s="47">
        <f>KOHC!E25</f>
        <v>4134.2552089999999</v>
      </c>
      <c r="Q174" s="44" t="str">
        <f t="shared" si="4"/>
        <v>PASS</v>
      </c>
      <c r="R174" s="44" t="s">
        <v>1110</v>
      </c>
      <c r="S174" s="44"/>
    </row>
    <row r="175" spans="1:19" x14ac:dyDescent="0.3">
      <c r="A175" s="44" t="s">
        <v>1159</v>
      </c>
      <c r="B175" s="44" t="s">
        <v>18</v>
      </c>
      <c r="C175" s="44" t="s">
        <v>27</v>
      </c>
      <c r="D175" s="44" t="s">
        <v>254</v>
      </c>
      <c r="E175" s="44" t="s">
        <v>1035</v>
      </c>
      <c r="F175" s="44" t="s">
        <v>254</v>
      </c>
      <c r="G175" s="44" t="s">
        <v>1119</v>
      </c>
      <c r="H175" s="44" t="s">
        <v>1120</v>
      </c>
      <c r="I175" s="44" t="s">
        <v>1106</v>
      </c>
      <c r="J175" s="44">
        <v>59</v>
      </c>
      <c r="K175" s="44" t="s">
        <v>1107</v>
      </c>
      <c r="L175" s="44" t="s">
        <v>1155</v>
      </c>
      <c r="M175" s="44" t="s">
        <v>1109</v>
      </c>
      <c r="N175" s="45">
        <v>4324910743</v>
      </c>
      <c r="O175" s="46">
        <f t="shared" si="3"/>
        <v>4324.9107430000004</v>
      </c>
      <c r="P175" s="47">
        <f>KOHC!F25</f>
        <v>4324.9107430000004</v>
      </c>
      <c r="Q175" s="44" t="str">
        <f t="shared" si="4"/>
        <v>PASS</v>
      </c>
      <c r="R175" s="44" t="s">
        <v>1110</v>
      </c>
      <c r="S175" s="44"/>
    </row>
    <row r="176" spans="1:19" x14ac:dyDescent="0.3">
      <c r="A176" s="44" t="s">
        <v>1160</v>
      </c>
      <c r="B176" s="44" t="s">
        <v>18</v>
      </c>
      <c r="C176" s="44" t="s">
        <v>28</v>
      </c>
      <c r="D176" s="44" t="s">
        <v>254</v>
      </c>
      <c r="E176" s="44" t="s">
        <v>1035</v>
      </c>
      <c r="F176" s="44" t="s">
        <v>254</v>
      </c>
      <c r="G176" s="44" t="s">
        <v>1123</v>
      </c>
      <c r="H176" s="44" t="s">
        <v>1124</v>
      </c>
      <c r="I176" s="44" t="s">
        <v>1106</v>
      </c>
      <c r="J176" s="44">
        <v>69</v>
      </c>
      <c r="K176" s="44" t="s">
        <v>1107</v>
      </c>
      <c r="L176" s="44" t="s">
        <v>1161</v>
      </c>
      <c r="M176" s="44" t="s">
        <v>1109</v>
      </c>
      <c r="N176" s="45">
        <v>4326361559</v>
      </c>
      <c r="O176" s="46">
        <f t="shared" si="3"/>
        <v>4326.3615589999999</v>
      </c>
      <c r="P176" s="47">
        <f>KOHC!G25</f>
        <v>4326.3615589999999</v>
      </c>
      <c r="Q176" s="44" t="str">
        <f t="shared" si="4"/>
        <v>PASS</v>
      </c>
      <c r="R176" s="44" t="s">
        <v>1110</v>
      </c>
      <c r="S176" s="44"/>
    </row>
    <row r="177" spans="1:19" x14ac:dyDescent="0.3">
      <c r="A177" s="44" t="s">
        <v>1162</v>
      </c>
      <c r="B177" s="44" t="s">
        <v>18</v>
      </c>
      <c r="C177" s="44" t="s">
        <v>29</v>
      </c>
      <c r="D177" s="44" t="s">
        <v>254</v>
      </c>
      <c r="E177" s="44" t="s">
        <v>1035</v>
      </c>
      <c r="F177" s="44" t="s">
        <v>254</v>
      </c>
      <c r="G177" s="44" t="s">
        <v>1123</v>
      </c>
      <c r="H177" s="44" t="s">
        <v>1124</v>
      </c>
      <c r="I177" s="44" t="s">
        <v>1127</v>
      </c>
      <c r="J177" s="44">
        <v>69</v>
      </c>
      <c r="K177" s="44" t="s">
        <v>1107</v>
      </c>
      <c r="L177" s="44" t="s">
        <v>1161</v>
      </c>
      <c r="M177" s="44" t="s">
        <v>1109</v>
      </c>
      <c r="N177" s="45">
        <v>4326361559</v>
      </c>
      <c r="O177" s="46">
        <f t="shared" si="3"/>
        <v>4326.3615589999999</v>
      </c>
      <c r="P177" s="47">
        <f>KOHC!H25</f>
        <v>4326.3615589999999</v>
      </c>
      <c r="Q177" s="44" t="str">
        <f t="shared" si="4"/>
        <v>PASS</v>
      </c>
      <c r="R177" s="44" t="s">
        <v>1110</v>
      </c>
      <c r="S177" s="44"/>
    </row>
    <row r="178" spans="1:19" x14ac:dyDescent="0.3">
      <c r="A178" s="44" t="s">
        <v>1163</v>
      </c>
      <c r="B178" s="44" t="s">
        <v>18</v>
      </c>
      <c r="C178" s="44" t="s">
        <v>965</v>
      </c>
      <c r="D178" s="44" t="s">
        <v>256</v>
      </c>
      <c r="E178" s="44" t="s">
        <v>1035</v>
      </c>
      <c r="F178" s="44"/>
      <c r="G178" s="44" t="s">
        <v>1104</v>
      </c>
      <c r="H178" s="44" t="s">
        <v>1105</v>
      </c>
      <c r="I178" s="44" t="s">
        <v>1106</v>
      </c>
      <c r="J178" s="44">
        <v>44</v>
      </c>
      <c r="K178" s="44" t="s">
        <v>1139</v>
      </c>
      <c r="L178" s="44"/>
      <c r="M178" s="44" t="s">
        <v>1109</v>
      </c>
      <c r="N178" s="45">
        <v>0</v>
      </c>
      <c r="O178" s="46">
        <f t="shared" si="3"/>
        <v>0</v>
      </c>
      <c r="P178" s="47">
        <f>KOHC!C26</f>
        <v>0</v>
      </c>
      <c r="Q178" s="44" t="str">
        <f t="shared" si="4"/>
        <v>PASS</v>
      </c>
      <c r="R178" s="44" t="s">
        <v>1110</v>
      </c>
      <c r="S178" s="44"/>
    </row>
    <row r="179" spans="1:19" x14ac:dyDescent="0.3">
      <c r="A179" s="44" t="s">
        <v>1164</v>
      </c>
      <c r="B179" s="44" t="s">
        <v>18</v>
      </c>
      <c r="C179" s="44" t="s">
        <v>20</v>
      </c>
      <c r="D179" s="44" t="s">
        <v>256</v>
      </c>
      <c r="E179" s="44" t="s">
        <v>1035</v>
      </c>
      <c r="F179" s="44"/>
      <c r="G179" s="44" t="s">
        <v>1112</v>
      </c>
      <c r="H179" s="44" t="s">
        <v>1113</v>
      </c>
      <c r="I179" s="44" t="s">
        <v>1106</v>
      </c>
      <c r="J179" s="44">
        <v>52</v>
      </c>
      <c r="K179" s="44" t="s">
        <v>1139</v>
      </c>
      <c r="L179" s="44"/>
      <c r="M179" s="44" t="s">
        <v>1109</v>
      </c>
      <c r="N179" s="45">
        <v>0</v>
      </c>
      <c r="O179" s="46">
        <f t="shared" si="3"/>
        <v>0</v>
      </c>
      <c r="P179" s="47">
        <f>KOHC!D26</f>
        <v>0</v>
      </c>
      <c r="Q179" s="44" t="str">
        <f t="shared" si="4"/>
        <v>PASS</v>
      </c>
      <c r="R179" s="44" t="s">
        <v>1110</v>
      </c>
      <c r="S179" s="44"/>
    </row>
    <row r="180" spans="1:19" x14ac:dyDescent="0.3">
      <c r="A180" s="44" t="s">
        <v>1165</v>
      </c>
      <c r="B180" s="44" t="s">
        <v>18</v>
      </c>
      <c r="C180" s="44" t="s">
        <v>26</v>
      </c>
      <c r="D180" s="44" t="s">
        <v>256</v>
      </c>
      <c r="E180" s="44" t="s">
        <v>1035</v>
      </c>
      <c r="F180" s="44"/>
      <c r="G180" s="44" t="s">
        <v>1116</v>
      </c>
      <c r="H180" s="44" t="s">
        <v>1117</v>
      </c>
      <c r="I180" s="44" t="s">
        <v>1106</v>
      </c>
      <c r="J180" s="44">
        <v>52</v>
      </c>
      <c r="K180" s="44" t="s">
        <v>1139</v>
      </c>
      <c r="L180" s="44"/>
      <c r="M180" s="44" t="s">
        <v>1109</v>
      </c>
      <c r="N180" s="45">
        <v>0</v>
      </c>
      <c r="O180" s="46">
        <f t="shared" si="3"/>
        <v>0</v>
      </c>
      <c r="P180" s="47">
        <f>KOHC!E26</f>
        <v>0</v>
      </c>
      <c r="Q180" s="44" t="str">
        <f t="shared" si="4"/>
        <v>PASS</v>
      </c>
      <c r="R180" s="44" t="s">
        <v>1110</v>
      </c>
      <c r="S180" s="44"/>
    </row>
    <row r="181" spans="1:19" x14ac:dyDescent="0.3">
      <c r="A181" s="44" t="s">
        <v>1166</v>
      </c>
      <c r="B181" s="44" t="s">
        <v>18</v>
      </c>
      <c r="C181" s="44" t="s">
        <v>27</v>
      </c>
      <c r="D181" s="44" t="s">
        <v>256</v>
      </c>
      <c r="E181" s="44" t="s">
        <v>1035</v>
      </c>
      <c r="F181" s="44"/>
      <c r="G181" s="44" t="s">
        <v>1119</v>
      </c>
      <c r="H181" s="44" t="s">
        <v>1120</v>
      </c>
      <c r="I181" s="44" t="s">
        <v>1106</v>
      </c>
      <c r="J181" s="44">
        <v>58</v>
      </c>
      <c r="K181" s="44" t="s">
        <v>1139</v>
      </c>
      <c r="L181" s="44"/>
      <c r="M181" s="44" t="s">
        <v>1109</v>
      </c>
      <c r="N181" s="45">
        <v>0</v>
      </c>
      <c r="O181" s="46">
        <f t="shared" si="3"/>
        <v>0</v>
      </c>
      <c r="P181" s="47">
        <f>KOHC!F26</f>
        <v>0</v>
      </c>
      <c r="Q181" s="44" t="str">
        <f t="shared" si="4"/>
        <v>PASS</v>
      </c>
      <c r="R181" s="44" t="s">
        <v>1110</v>
      </c>
      <c r="S181" s="44"/>
    </row>
    <row r="182" spans="1:19" x14ac:dyDescent="0.3">
      <c r="A182" s="44" t="s">
        <v>1167</v>
      </c>
      <c r="B182" s="44" t="s">
        <v>18</v>
      </c>
      <c r="C182" s="44" t="s">
        <v>28</v>
      </c>
      <c r="D182" s="44" t="s">
        <v>256</v>
      </c>
      <c r="E182" s="44" t="s">
        <v>1035</v>
      </c>
      <c r="F182" s="44"/>
      <c r="G182" s="44" t="s">
        <v>1123</v>
      </c>
      <c r="H182" s="44" t="s">
        <v>1124</v>
      </c>
      <c r="I182" s="44" t="s">
        <v>1106</v>
      </c>
      <c r="J182" s="44">
        <v>68</v>
      </c>
      <c r="K182" s="44" t="s">
        <v>1144</v>
      </c>
      <c r="L182" s="44"/>
      <c r="M182" s="44" t="s">
        <v>1109</v>
      </c>
      <c r="N182" s="45">
        <v>0</v>
      </c>
      <c r="O182" s="46">
        <f t="shared" si="3"/>
        <v>0</v>
      </c>
      <c r="P182" s="47">
        <f>KOHC!G26</f>
        <v>0</v>
      </c>
      <c r="Q182" s="44" t="str">
        <f t="shared" si="4"/>
        <v>PASS</v>
      </c>
      <c r="R182" s="44" t="s">
        <v>1110</v>
      </c>
      <c r="S182" s="44"/>
    </row>
    <row r="183" spans="1:19" x14ac:dyDescent="0.3">
      <c r="A183" s="44" t="s">
        <v>1168</v>
      </c>
      <c r="B183" s="44" t="s">
        <v>18</v>
      </c>
      <c r="C183" s="44" t="s">
        <v>29</v>
      </c>
      <c r="D183" s="44" t="s">
        <v>256</v>
      </c>
      <c r="E183" s="44" t="s">
        <v>1035</v>
      </c>
      <c r="F183" s="44"/>
      <c r="G183" s="44" t="s">
        <v>1123</v>
      </c>
      <c r="H183" s="44" t="s">
        <v>1124</v>
      </c>
      <c r="I183" s="44" t="s">
        <v>1127</v>
      </c>
      <c r="J183" s="44">
        <v>68</v>
      </c>
      <c r="K183" s="44" t="s">
        <v>1144</v>
      </c>
      <c r="L183" s="44"/>
      <c r="M183" s="44" t="s">
        <v>1109</v>
      </c>
      <c r="N183" s="45">
        <v>0</v>
      </c>
      <c r="O183" s="46">
        <f t="shared" si="3"/>
        <v>0</v>
      </c>
      <c r="P183" s="47">
        <f>KOHC!H26</f>
        <v>0</v>
      </c>
      <c r="Q183" s="44" t="str">
        <f t="shared" si="4"/>
        <v>PASS</v>
      </c>
      <c r="R183" s="44" t="s">
        <v>1110</v>
      </c>
      <c r="S183" s="44"/>
    </row>
    <row r="184" spans="1:19" x14ac:dyDescent="0.3">
      <c r="A184" s="44" t="s">
        <v>1169</v>
      </c>
      <c r="B184" s="44" t="s">
        <v>18</v>
      </c>
      <c r="C184" s="44" t="s">
        <v>965</v>
      </c>
      <c r="D184" s="44" t="s">
        <v>258</v>
      </c>
      <c r="E184" s="44" t="s">
        <v>1035</v>
      </c>
      <c r="F184" s="44" t="s">
        <v>1170</v>
      </c>
      <c r="G184" s="44" t="s">
        <v>1104</v>
      </c>
      <c r="H184" s="44" t="s">
        <v>1105</v>
      </c>
      <c r="I184" s="44" t="s">
        <v>1106</v>
      </c>
      <c r="J184" s="44">
        <v>45</v>
      </c>
      <c r="K184" s="44" t="s">
        <v>1107</v>
      </c>
      <c r="L184" s="44" t="s">
        <v>1161</v>
      </c>
      <c r="M184" s="44" t="s">
        <v>1109</v>
      </c>
      <c r="N184" s="45">
        <v>38326640</v>
      </c>
      <c r="O184" s="46">
        <f t="shared" si="3"/>
        <v>38.326639999999998</v>
      </c>
      <c r="P184" s="47">
        <f>KOHC!C27</f>
        <v>38.326639999999998</v>
      </c>
      <c r="Q184" s="44" t="str">
        <f t="shared" si="4"/>
        <v>PASS</v>
      </c>
      <c r="R184" s="44" t="s">
        <v>1110</v>
      </c>
      <c r="S184" s="44"/>
    </row>
    <row r="185" spans="1:19" x14ac:dyDescent="0.3">
      <c r="A185" s="44" t="s">
        <v>1171</v>
      </c>
      <c r="B185" s="44" t="s">
        <v>18</v>
      </c>
      <c r="C185" s="44" t="s">
        <v>20</v>
      </c>
      <c r="D185" s="44" t="s">
        <v>258</v>
      </c>
      <c r="E185" s="44" t="s">
        <v>1035</v>
      </c>
      <c r="F185" s="44" t="s">
        <v>1172</v>
      </c>
      <c r="G185" s="44" t="s">
        <v>1112</v>
      </c>
      <c r="H185" s="44" t="s">
        <v>1113</v>
      </c>
      <c r="I185" s="44" t="s">
        <v>1106</v>
      </c>
      <c r="J185" s="44">
        <v>53</v>
      </c>
      <c r="K185" s="44" t="s">
        <v>1107</v>
      </c>
      <c r="L185" s="44" t="s">
        <v>1155</v>
      </c>
      <c r="M185" s="44" t="s">
        <v>1109</v>
      </c>
      <c r="N185" s="45">
        <v>69765740</v>
      </c>
      <c r="O185" s="46">
        <f t="shared" si="3"/>
        <v>69.765739999999994</v>
      </c>
      <c r="P185" s="47">
        <f>KOHC!D27</f>
        <v>69.765739999999994</v>
      </c>
      <c r="Q185" s="44" t="str">
        <f t="shared" si="4"/>
        <v>PASS</v>
      </c>
      <c r="R185" s="44" t="s">
        <v>1110</v>
      </c>
      <c r="S185" s="44" t="s">
        <v>1114</v>
      </c>
    </row>
    <row r="186" spans="1:19" x14ac:dyDescent="0.3">
      <c r="A186" s="44" t="s">
        <v>1173</v>
      </c>
      <c r="B186" s="44" t="s">
        <v>18</v>
      </c>
      <c r="C186" s="44" t="s">
        <v>26</v>
      </c>
      <c r="D186" s="44" t="s">
        <v>258</v>
      </c>
      <c r="E186" s="44" t="s">
        <v>1035</v>
      </c>
      <c r="F186" s="44" t="s">
        <v>1172</v>
      </c>
      <c r="G186" s="44" t="s">
        <v>1116</v>
      </c>
      <c r="H186" s="44" t="s">
        <v>1117</v>
      </c>
      <c r="I186" s="44" t="s">
        <v>1106</v>
      </c>
      <c r="J186" s="44">
        <v>53</v>
      </c>
      <c r="K186" s="44" t="s">
        <v>1107</v>
      </c>
      <c r="L186" s="44" t="s">
        <v>1155</v>
      </c>
      <c r="M186" s="44" t="s">
        <v>1109</v>
      </c>
      <c r="N186" s="45">
        <v>106583469</v>
      </c>
      <c r="O186" s="46">
        <f t="shared" si="3"/>
        <v>106.58346899999999</v>
      </c>
      <c r="P186" s="47">
        <f>KOHC!E27</f>
        <v>106.58346899999999</v>
      </c>
      <c r="Q186" s="44" t="str">
        <f t="shared" si="4"/>
        <v>PASS</v>
      </c>
      <c r="R186" s="44" t="s">
        <v>1110</v>
      </c>
      <c r="S186" s="44"/>
    </row>
    <row r="187" spans="1:19" x14ac:dyDescent="0.3">
      <c r="A187" s="44" t="s">
        <v>1174</v>
      </c>
      <c r="B187" s="44" t="s">
        <v>18</v>
      </c>
      <c r="C187" s="44" t="s">
        <v>27</v>
      </c>
      <c r="D187" s="44" t="s">
        <v>258</v>
      </c>
      <c r="E187" s="44" t="s">
        <v>1035</v>
      </c>
      <c r="F187" s="44" t="s">
        <v>1172</v>
      </c>
      <c r="G187" s="44" t="s">
        <v>1119</v>
      </c>
      <c r="H187" s="44" t="s">
        <v>1120</v>
      </c>
      <c r="I187" s="44" t="s">
        <v>1106</v>
      </c>
      <c r="J187" s="44">
        <v>59</v>
      </c>
      <c r="K187" s="44" t="s">
        <v>1107</v>
      </c>
      <c r="L187" s="44" t="s">
        <v>1161</v>
      </c>
      <c r="M187" s="44" t="s">
        <v>1109</v>
      </c>
      <c r="N187" s="45">
        <v>60785981</v>
      </c>
      <c r="O187" s="46">
        <f t="shared" si="3"/>
        <v>60.785981</v>
      </c>
      <c r="P187" s="47">
        <f>KOHC!F27</f>
        <v>60.785981</v>
      </c>
      <c r="Q187" s="44" t="str">
        <f t="shared" si="4"/>
        <v>PASS</v>
      </c>
      <c r="R187" s="44" t="s">
        <v>1110</v>
      </c>
      <c r="S187" s="44"/>
    </row>
    <row r="188" spans="1:19" x14ac:dyDescent="0.3">
      <c r="A188" s="44" t="s">
        <v>1175</v>
      </c>
      <c r="B188" s="44" t="s">
        <v>18</v>
      </c>
      <c r="C188" s="44" t="s">
        <v>28</v>
      </c>
      <c r="D188" s="44" t="s">
        <v>258</v>
      </c>
      <c r="E188" s="44" t="s">
        <v>1035</v>
      </c>
      <c r="F188" s="44" t="s">
        <v>1172</v>
      </c>
      <c r="G188" s="44" t="s">
        <v>1123</v>
      </c>
      <c r="H188" s="44" t="s">
        <v>1124</v>
      </c>
      <c r="I188" s="44" t="s">
        <v>1106</v>
      </c>
      <c r="J188" s="44">
        <v>69</v>
      </c>
      <c r="K188" s="44" t="s">
        <v>1107</v>
      </c>
      <c r="L188" s="44" t="s">
        <v>1148</v>
      </c>
      <c r="M188" s="44" t="s">
        <v>1109</v>
      </c>
      <c r="N188" s="45">
        <v>147388106</v>
      </c>
      <c r="O188" s="46">
        <f t="shared" si="3"/>
        <v>147.38810599999999</v>
      </c>
      <c r="P188" s="47">
        <f>KOHC!G27</f>
        <v>147.38810599999999</v>
      </c>
      <c r="Q188" s="44" t="str">
        <f t="shared" si="4"/>
        <v>PASS</v>
      </c>
      <c r="R188" s="44" t="s">
        <v>1110</v>
      </c>
      <c r="S188" s="44" t="s">
        <v>1114</v>
      </c>
    </row>
    <row r="189" spans="1:19" x14ac:dyDescent="0.3">
      <c r="A189" s="44" t="s">
        <v>1176</v>
      </c>
      <c r="B189" s="44" t="s">
        <v>18</v>
      </c>
      <c r="C189" s="44" t="s">
        <v>29</v>
      </c>
      <c r="D189" s="44" t="s">
        <v>258</v>
      </c>
      <c r="E189" s="44" t="s">
        <v>1035</v>
      </c>
      <c r="F189" s="44" t="s">
        <v>1172</v>
      </c>
      <c r="G189" s="44" t="s">
        <v>1123</v>
      </c>
      <c r="H189" s="44" t="s">
        <v>1124</v>
      </c>
      <c r="I189" s="44" t="s">
        <v>1127</v>
      </c>
      <c r="J189" s="44">
        <v>69</v>
      </c>
      <c r="K189" s="44" t="s">
        <v>1107</v>
      </c>
      <c r="L189" s="44" t="s">
        <v>1148</v>
      </c>
      <c r="M189" s="44" t="s">
        <v>1109</v>
      </c>
      <c r="N189" s="45">
        <v>492917464</v>
      </c>
      <c r="O189" s="46">
        <f t="shared" si="3"/>
        <v>492.917464</v>
      </c>
      <c r="P189" s="47">
        <f>KOHC!H27</f>
        <v>492.917464</v>
      </c>
      <c r="Q189" s="44" t="str">
        <f t="shared" si="4"/>
        <v>PASS</v>
      </c>
      <c r="R189" s="44" t="s">
        <v>1110</v>
      </c>
      <c r="S189" s="44"/>
    </row>
    <row r="190" spans="1:19" x14ac:dyDescent="0.3">
      <c r="A190" s="44" t="s">
        <v>1177</v>
      </c>
      <c r="B190" s="44" t="s">
        <v>18</v>
      </c>
      <c r="C190" s="44" t="s">
        <v>965</v>
      </c>
      <c r="D190" s="44" t="s">
        <v>263</v>
      </c>
      <c r="E190" s="44" t="s">
        <v>1035</v>
      </c>
      <c r="F190" s="44" t="s">
        <v>263</v>
      </c>
      <c r="G190" s="44" t="s">
        <v>1104</v>
      </c>
      <c r="H190" s="44" t="s">
        <v>1105</v>
      </c>
      <c r="I190" s="44" t="s">
        <v>1106</v>
      </c>
      <c r="J190" s="44">
        <v>45</v>
      </c>
      <c r="K190" s="44" t="s">
        <v>1107</v>
      </c>
      <c r="L190" s="44" t="s">
        <v>1157</v>
      </c>
      <c r="M190" s="44" t="s">
        <v>1109</v>
      </c>
      <c r="N190" s="45">
        <v>2250156437</v>
      </c>
      <c r="O190" s="46">
        <f t="shared" si="3"/>
        <v>2250.1564370000001</v>
      </c>
      <c r="P190" s="47">
        <f>KOHC!C30</f>
        <v>2250.1564370000001</v>
      </c>
      <c r="Q190" s="44" t="str">
        <f t="shared" si="4"/>
        <v>PASS</v>
      </c>
      <c r="R190" s="44" t="s">
        <v>1110</v>
      </c>
      <c r="S190" s="44"/>
    </row>
    <row r="191" spans="1:19" x14ac:dyDescent="0.3">
      <c r="A191" s="44" t="s">
        <v>1178</v>
      </c>
      <c r="B191" s="44" t="s">
        <v>18</v>
      </c>
      <c r="C191" s="44" t="s">
        <v>20</v>
      </c>
      <c r="D191" s="44" t="s">
        <v>263</v>
      </c>
      <c r="E191" s="44" t="s">
        <v>1035</v>
      </c>
      <c r="F191" s="44" t="s">
        <v>263</v>
      </c>
      <c r="G191" s="44" t="s">
        <v>1112</v>
      </c>
      <c r="H191" s="44" t="s">
        <v>1113</v>
      </c>
      <c r="I191" s="44" t="s">
        <v>1106</v>
      </c>
      <c r="J191" s="44">
        <v>53</v>
      </c>
      <c r="K191" s="44" t="s">
        <v>1107</v>
      </c>
      <c r="L191" s="44" t="s">
        <v>1179</v>
      </c>
      <c r="M191" s="44" t="s">
        <v>1109</v>
      </c>
      <c r="N191" s="45">
        <v>3070769101</v>
      </c>
      <c r="O191" s="46">
        <f t="shared" si="3"/>
        <v>3070.7691009999999</v>
      </c>
      <c r="P191" s="47">
        <f>KOHC!D30</f>
        <v>3070.7691009999999</v>
      </c>
      <c r="Q191" s="44" t="str">
        <f t="shared" si="4"/>
        <v>PASS</v>
      </c>
      <c r="R191" s="44" t="s">
        <v>1110</v>
      </c>
      <c r="S191" s="44"/>
    </row>
    <row r="192" spans="1:19" x14ac:dyDescent="0.3">
      <c r="A192" s="44" t="s">
        <v>1180</v>
      </c>
      <c r="B192" s="44" t="s">
        <v>18</v>
      </c>
      <c r="C192" s="44" t="s">
        <v>26</v>
      </c>
      <c r="D192" s="44" t="s">
        <v>263</v>
      </c>
      <c r="E192" s="44" t="s">
        <v>1035</v>
      </c>
      <c r="F192" s="44" t="s">
        <v>263</v>
      </c>
      <c r="G192" s="44" t="s">
        <v>1116</v>
      </c>
      <c r="H192" s="44" t="s">
        <v>1117</v>
      </c>
      <c r="I192" s="44" t="s">
        <v>1106</v>
      </c>
      <c r="J192" s="44">
        <v>53</v>
      </c>
      <c r="K192" s="44" t="s">
        <v>1107</v>
      </c>
      <c r="L192" s="44" t="s">
        <v>1179</v>
      </c>
      <c r="M192" s="44" t="s">
        <v>1109</v>
      </c>
      <c r="N192" s="45">
        <v>4214829636</v>
      </c>
      <c r="O192" s="46">
        <f t="shared" si="3"/>
        <v>4214.8296360000004</v>
      </c>
      <c r="P192" s="47">
        <f>KOHC!E30</f>
        <v>4214.8296360000004</v>
      </c>
      <c r="Q192" s="44" t="str">
        <f t="shared" si="4"/>
        <v>PASS</v>
      </c>
      <c r="R192" s="44" t="s">
        <v>1110</v>
      </c>
      <c r="S192" s="44"/>
    </row>
    <row r="193" spans="1:19" x14ac:dyDescent="0.3">
      <c r="A193" s="44" t="s">
        <v>1181</v>
      </c>
      <c r="B193" s="44" t="s">
        <v>18</v>
      </c>
      <c r="C193" s="44" t="s">
        <v>27</v>
      </c>
      <c r="D193" s="44" t="s">
        <v>263</v>
      </c>
      <c r="E193" s="44" t="s">
        <v>1035</v>
      </c>
      <c r="F193" s="44" t="s">
        <v>263</v>
      </c>
      <c r="G193" s="44" t="s">
        <v>1119</v>
      </c>
      <c r="H193" s="44" t="s">
        <v>1120</v>
      </c>
      <c r="I193" s="44" t="s">
        <v>1106</v>
      </c>
      <c r="J193" s="44">
        <v>59</v>
      </c>
      <c r="K193" s="44" t="s">
        <v>1107</v>
      </c>
      <c r="L193" s="44" t="s">
        <v>1157</v>
      </c>
      <c r="M193" s="44" t="s">
        <v>1109</v>
      </c>
      <c r="N193" s="45">
        <v>4713129764</v>
      </c>
      <c r="O193" s="46">
        <f t="shared" si="3"/>
        <v>4713.1297640000003</v>
      </c>
      <c r="P193" s="47">
        <f>KOHC!F30</f>
        <v>4713.1297640000003</v>
      </c>
      <c r="Q193" s="44" t="str">
        <f t="shared" si="4"/>
        <v>PASS</v>
      </c>
      <c r="R193" s="44" t="s">
        <v>1110</v>
      </c>
      <c r="S193" s="44"/>
    </row>
    <row r="194" spans="1:19" x14ac:dyDescent="0.3">
      <c r="A194" s="44" t="s">
        <v>1182</v>
      </c>
      <c r="B194" s="44" t="s">
        <v>18</v>
      </c>
      <c r="C194" s="44" t="s">
        <v>28</v>
      </c>
      <c r="D194" s="44" t="s">
        <v>263</v>
      </c>
      <c r="E194" s="44" t="s">
        <v>1035</v>
      </c>
      <c r="F194" s="44" t="s">
        <v>263</v>
      </c>
      <c r="G194" s="44" t="s">
        <v>1123</v>
      </c>
      <c r="H194" s="44" t="s">
        <v>1124</v>
      </c>
      <c r="I194" s="44" t="s">
        <v>1106</v>
      </c>
      <c r="J194" s="44">
        <v>69</v>
      </c>
      <c r="K194" s="44" t="s">
        <v>1107</v>
      </c>
      <c r="L194" s="44" t="s">
        <v>1155</v>
      </c>
      <c r="M194" s="44" t="s">
        <v>1109</v>
      </c>
      <c r="N194" s="45">
        <v>5785683486</v>
      </c>
      <c r="O194" s="46">
        <f t="shared" si="3"/>
        <v>5785.6834859999999</v>
      </c>
      <c r="P194" s="47">
        <f>KOHC!G30</f>
        <v>5785.6834859999999</v>
      </c>
      <c r="Q194" s="44" t="str">
        <f t="shared" si="4"/>
        <v>PASS</v>
      </c>
      <c r="R194" s="44" t="s">
        <v>1110</v>
      </c>
      <c r="S194" s="44"/>
    </row>
    <row r="195" spans="1:19" x14ac:dyDescent="0.3">
      <c r="A195" s="44" t="s">
        <v>1183</v>
      </c>
      <c r="B195" s="44" t="s">
        <v>18</v>
      </c>
      <c r="C195" s="44" t="s">
        <v>29</v>
      </c>
      <c r="D195" s="44" t="s">
        <v>263</v>
      </c>
      <c r="E195" s="44" t="s">
        <v>1035</v>
      </c>
      <c r="F195" s="44" t="s">
        <v>263</v>
      </c>
      <c r="G195" s="44" t="s">
        <v>1123</v>
      </c>
      <c r="H195" s="44" t="s">
        <v>1124</v>
      </c>
      <c r="I195" s="44" t="s">
        <v>1127</v>
      </c>
      <c r="J195" s="44">
        <v>69</v>
      </c>
      <c r="K195" s="44" t="s">
        <v>1107</v>
      </c>
      <c r="L195" s="44" t="s">
        <v>1155</v>
      </c>
      <c r="M195" s="44" t="s">
        <v>1109</v>
      </c>
      <c r="N195" s="45">
        <v>4991311475</v>
      </c>
      <c r="O195" s="46">
        <f t="shared" si="3"/>
        <v>4991.3114750000004</v>
      </c>
      <c r="P195" s="47">
        <f>KOHC!H30</f>
        <v>4991.3114750000004</v>
      </c>
      <c r="Q195" s="44" t="str">
        <f t="shared" si="4"/>
        <v>PASS</v>
      </c>
      <c r="R195" s="44" t="s">
        <v>1110</v>
      </c>
      <c r="S195" s="44"/>
    </row>
    <row r="196" spans="1:19" x14ac:dyDescent="0.3">
      <c r="A196" s="44" t="s">
        <v>1184</v>
      </c>
      <c r="B196" s="44" t="s">
        <v>18</v>
      </c>
      <c r="C196" s="44" t="s">
        <v>965</v>
      </c>
      <c r="D196" s="44" t="s">
        <v>265</v>
      </c>
      <c r="E196" s="44" t="s">
        <v>1035</v>
      </c>
      <c r="F196" s="44" t="s">
        <v>265</v>
      </c>
      <c r="G196" s="44" t="s">
        <v>1104</v>
      </c>
      <c r="H196" s="44" t="s">
        <v>1105</v>
      </c>
      <c r="I196" s="44" t="s">
        <v>1106</v>
      </c>
      <c r="J196" s="44">
        <v>45</v>
      </c>
      <c r="K196" s="44" t="s">
        <v>1107</v>
      </c>
      <c r="L196" s="44" t="s">
        <v>1179</v>
      </c>
      <c r="M196" s="44" t="s">
        <v>1109</v>
      </c>
      <c r="N196" s="45">
        <v>1016024223</v>
      </c>
      <c r="O196" s="46">
        <f t="shared" si="3"/>
        <v>1016.024223</v>
      </c>
      <c r="P196" s="47">
        <f>KOHC!C31</f>
        <v>1016.024223</v>
      </c>
      <c r="Q196" s="44" t="str">
        <f t="shared" si="4"/>
        <v>PASS</v>
      </c>
      <c r="R196" s="44" t="s">
        <v>1110</v>
      </c>
      <c r="S196" s="44"/>
    </row>
    <row r="197" spans="1:19" x14ac:dyDescent="0.3">
      <c r="A197" s="44" t="s">
        <v>1185</v>
      </c>
      <c r="B197" s="44" t="s">
        <v>18</v>
      </c>
      <c r="C197" s="44" t="s">
        <v>20</v>
      </c>
      <c r="D197" s="44" t="s">
        <v>265</v>
      </c>
      <c r="E197" s="44" t="s">
        <v>1035</v>
      </c>
      <c r="F197" s="44" t="s">
        <v>265</v>
      </c>
      <c r="G197" s="44" t="s">
        <v>1112</v>
      </c>
      <c r="H197" s="44" t="s">
        <v>1113</v>
      </c>
      <c r="I197" s="44" t="s">
        <v>1106</v>
      </c>
      <c r="J197" s="44">
        <v>53</v>
      </c>
      <c r="K197" s="44" t="s">
        <v>1107</v>
      </c>
      <c r="L197" s="44" t="s">
        <v>1186</v>
      </c>
      <c r="M197" s="44" t="s">
        <v>1109</v>
      </c>
      <c r="N197" s="45">
        <v>1112776266</v>
      </c>
      <c r="O197" s="46">
        <f t="shared" si="3"/>
        <v>1112.7762660000001</v>
      </c>
      <c r="P197" s="47">
        <f>KOHC!D31</f>
        <v>1112.7762660000001</v>
      </c>
      <c r="Q197" s="44" t="str">
        <f t="shared" si="4"/>
        <v>PASS</v>
      </c>
      <c r="R197" s="44" t="s">
        <v>1110</v>
      </c>
      <c r="S197" s="44"/>
    </row>
    <row r="198" spans="1:19" x14ac:dyDescent="0.3">
      <c r="A198" s="44" t="s">
        <v>1187</v>
      </c>
      <c r="B198" s="44" t="s">
        <v>18</v>
      </c>
      <c r="C198" s="44" t="s">
        <v>26</v>
      </c>
      <c r="D198" s="44" t="s">
        <v>265</v>
      </c>
      <c r="E198" s="44" t="s">
        <v>1035</v>
      </c>
      <c r="F198" s="44" t="s">
        <v>265</v>
      </c>
      <c r="G198" s="44" t="s">
        <v>1116</v>
      </c>
      <c r="H198" s="44" t="s">
        <v>1117</v>
      </c>
      <c r="I198" s="44" t="s">
        <v>1106</v>
      </c>
      <c r="J198" s="44">
        <v>53</v>
      </c>
      <c r="K198" s="44" t="s">
        <v>1107</v>
      </c>
      <c r="L198" s="44" t="s">
        <v>1186</v>
      </c>
      <c r="M198" s="44" t="s">
        <v>1109</v>
      </c>
      <c r="N198" s="45">
        <v>1456156782</v>
      </c>
      <c r="O198" s="46">
        <f t="shared" si="3"/>
        <v>1456.156782</v>
      </c>
      <c r="P198" s="47">
        <f>KOHC!E31</f>
        <v>1456.156782</v>
      </c>
      <c r="Q198" s="44" t="str">
        <f t="shared" si="4"/>
        <v>PASS</v>
      </c>
      <c r="R198" s="44" t="s">
        <v>1110</v>
      </c>
      <c r="S198" s="44"/>
    </row>
    <row r="199" spans="1:19" x14ac:dyDescent="0.3">
      <c r="A199" s="44" t="s">
        <v>1188</v>
      </c>
      <c r="B199" s="44" t="s">
        <v>18</v>
      </c>
      <c r="C199" s="44" t="s">
        <v>27</v>
      </c>
      <c r="D199" s="44" t="s">
        <v>265</v>
      </c>
      <c r="E199" s="44" t="s">
        <v>1035</v>
      </c>
      <c r="F199" s="44" t="s">
        <v>265</v>
      </c>
      <c r="G199" s="44" t="s">
        <v>1119</v>
      </c>
      <c r="H199" s="44" t="s">
        <v>1120</v>
      </c>
      <c r="I199" s="44" t="s">
        <v>1106</v>
      </c>
      <c r="J199" s="44">
        <v>59</v>
      </c>
      <c r="K199" s="44" t="s">
        <v>1107</v>
      </c>
      <c r="L199" s="44" t="s">
        <v>1179</v>
      </c>
      <c r="M199" s="44" t="s">
        <v>1109</v>
      </c>
      <c r="N199" s="45">
        <v>2942861554</v>
      </c>
      <c r="O199" s="46">
        <f t="shared" si="3"/>
        <v>2942.8615540000001</v>
      </c>
      <c r="P199" s="47">
        <f>KOHC!F31</f>
        <v>2942.8615540000001</v>
      </c>
      <c r="Q199" s="44" t="str">
        <f t="shared" si="4"/>
        <v>PASS</v>
      </c>
      <c r="R199" s="44" t="s">
        <v>1110</v>
      </c>
      <c r="S199" s="44"/>
    </row>
    <row r="200" spans="1:19" x14ac:dyDescent="0.3">
      <c r="A200" s="44" t="s">
        <v>1189</v>
      </c>
      <c r="B200" s="44" t="s">
        <v>18</v>
      </c>
      <c r="C200" s="44" t="s">
        <v>28</v>
      </c>
      <c r="D200" s="44" t="s">
        <v>265</v>
      </c>
      <c r="E200" s="44" t="s">
        <v>1035</v>
      </c>
      <c r="F200" s="44" t="s">
        <v>265</v>
      </c>
      <c r="G200" s="44" t="s">
        <v>1123</v>
      </c>
      <c r="H200" s="44" t="s">
        <v>1124</v>
      </c>
      <c r="I200" s="44" t="s">
        <v>1106</v>
      </c>
      <c r="J200" s="44">
        <v>69</v>
      </c>
      <c r="K200" s="44" t="s">
        <v>1107</v>
      </c>
      <c r="L200" s="44" t="s">
        <v>1157</v>
      </c>
      <c r="M200" s="44" t="s">
        <v>1109</v>
      </c>
      <c r="N200" s="45">
        <v>1793742440</v>
      </c>
      <c r="O200" s="46">
        <f t="shared" si="3"/>
        <v>1793.74244</v>
      </c>
      <c r="P200" s="47">
        <f>KOHC!G31</f>
        <v>1793.74244</v>
      </c>
      <c r="Q200" s="44" t="str">
        <f t="shared" si="4"/>
        <v>PASS</v>
      </c>
      <c r="R200" s="44" t="s">
        <v>1110</v>
      </c>
      <c r="S200" s="44"/>
    </row>
    <row r="201" spans="1:19" x14ac:dyDescent="0.3">
      <c r="A201" s="44" t="s">
        <v>1190</v>
      </c>
      <c r="B201" s="44" t="s">
        <v>18</v>
      </c>
      <c r="C201" s="44" t="s">
        <v>29</v>
      </c>
      <c r="D201" s="44" t="s">
        <v>265</v>
      </c>
      <c r="E201" s="44" t="s">
        <v>1035</v>
      </c>
      <c r="F201" s="44" t="s">
        <v>265</v>
      </c>
      <c r="G201" s="44" t="s">
        <v>1123</v>
      </c>
      <c r="H201" s="44" t="s">
        <v>1124</v>
      </c>
      <c r="I201" s="44" t="s">
        <v>1127</v>
      </c>
      <c r="J201" s="44">
        <v>69</v>
      </c>
      <c r="K201" s="44" t="s">
        <v>1107</v>
      </c>
      <c r="L201" s="44" t="s">
        <v>1157</v>
      </c>
      <c r="M201" s="44" t="s">
        <v>1109</v>
      </c>
      <c r="N201" s="45">
        <v>2513556552</v>
      </c>
      <c r="O201" s="46">
        <f t="shared" si="3"/>
        <v>2513.556552</v>
      </c>
      <c r="P201" s="47">
        <f>KOHC!H31</f>
        <v>2513.556552</v>
      </c>
      <c r="Q201" s="44" t="str">
        <f t="shared" si="4"/>
        <v>PASS</v>
      </c>
      <c r="R201" s="44" t="s">
        <v>1110</v>
      </c>
      <c r="S201" s="44"/>
    </row>
    <row r="202" spans="1:19" x14ac:dyDescent="0.3">
      <c r="A202" s="44" t="s">
        <v>1191</v>
      </c>
      <c r="B202" s="44" t="s">
        <v>18</v>
      </c>
      <c r="C202" s="44" t="s">
        <v>965</v>
      </c>
      <c r="D202" s="44" t="s">
        <v>267</v>
      </c>
      <c r="E202" s="44" t="s">
        <v>1035</v>
      </c>
      <c r="F202" s="44" t="s">
        <v>1192</v>
      </c>
      <c r="G202" s="44" t="s">
        <v>1104</v>
      </c>
      <c r="H202" s="44" t="s">
        <v>1105</v>
      </c>
      <c r="I202" s="44" t="s">
        <v>1106</v>
      </c>
      <c r="J202" s="44">
        <v>45</v>
      </c>
      <c r="K202" s="44" t="s">
        <v>1107</v>
      </c>
      <c r="L202" s="44" t="s">
        <v>1186</v>
      </c>
      <c r="M202" s="44" t="s">
        <v>1109</v>
      </c>
      <c r="N202" s="45">
        <v>494315206</v>
      </c>
      <c r="O202" s="46">
        <f t="shared" si="3"/>
        <v>494.31520599999999</v>
      </c>
      <c r="P202" s="47">
        <f>KOHC!C32</f>
        <v>494.31520599999999</v>
      </c>
      <c r="Q202" s="44" t="str">
        <f t="shared" si="4"/>
        <v>PASS</v>
      </c>
      <c r="R202" s="44" t="s">
        <v>1110</v>
      </c>
      <c r="S202" s="44"/>
    </row>
    <row r="203" spans="1:19" x14ac:dyDescent="0.3">
      <c r="A203" s="44" t="s">
        <v>1193</v>
      </c>
      <c r="B203" s="44" t="s">
        <v>18</v>
      </c>
      <c r="C203" s="44" t="s">
        <v>20</v>
      </c>
      <c r="D203" s="44" t="s">
        <v>267</v>
      </c>
      <c r="E203" s="44" t="s">
        <v>1035</v>
      </c>
      <c r="F203" s="44" t="s">
        <v>1192</v>
      </c>
      <c r="G203" s="44" t="s">
        <v>1112</v>
      </c>
      <c r="H203" s="44" t="s">
        <v>1113</v>
      </c>
      <c r="I203" s="44" t="s">
        <v>1106</v>
      </c>
      <c r="J203" s="44">
        <v>53</v>
      </c>
      <c r="K203" s="44" t="s">
        <v>1107</v>
      </c>
      <c r="L203" s="44" t="s">
        <v>1194</v>
      </c>
      <c r="M203" s="44" t="s">
        <v>1109</v>
      </c>
      <c r="N203" s="45">
        <v>983568223</v>
      </c>
      <c r="O203" s="46">
        <f t="shared" si="3"/>
        <v>983.56822299999999</v>
      </c>
      <c r="P203" s="47">
        <f>KOHC!D32</f>
        <v>983.56822299999999</v>
      </c>
      <c r="Q203" s="44" t="str">
        <f t="shared" si="4"/>
        <v>PASS</v>
      </c>
      <c r="R203" s="44" t="s">
        <v>1110</v>
      </c>
      <c r="S203" s="44"/>
    </row>
    <row r="204" spans="1:19" x14ac:dyDescent="0.3">
      <c r="A204" s="44" t="s">
        <v>1195</v>
      </c>
      <c r="B204" s="44" t="s">
        <v>18</v>
      </c>
      <c r="C204" s="44" t="s">
        <v>26</v>
      </c>
      <c r="D204" s="44" t="s">
        <v>267</v>
      </c>
      <c r="E204" s="44" t="s">
        <v>1035</v>
      </c>
      <c r="F204" s="44" t="s">
        <v>1192</v>
      </c>
      <c r="G204" s="44" t="s">
        <v>1116</v>
      </c>
      <c r="H204" s="44" t="s">
        <v>1117</v>
      </c>
      <c r="I204" s="44" t="s">
        <v>1106</v>
      </c>
      <c r="J204" s="44">
        <v>53</v>
      </c>
      <c r="K204" s="44" t="s">
        <v>1107</v>
      </c>
      <c r="L204" s="44" t="s">
        <v>1194</v>
      </c>
      <c r="M204" s="44" t="s">
        <v>1109</v>
      </c>
      <c r="N204" s="45">
        <v>916039469</v>
      </c>
      <c r="O204" s="46">
        <f t="shared" si="3"/>
        <v>916.03946900000005</v>
      </c>
      <c r="P204" s="47">
        <f>KOHC!E32</f>
        <v>916.03946900000005</v>
      </c>
      <c r="Q204" s="44" t="str">
        <f t="shared" si="4"/>
        <v>PASS</v>
      </c>
      <c r="R204" s="44" t="s">
        <v>1110</v>
      </c>
      <c r="S204" s="44"/>
    </row>
    <row r="205" spans="1:19" x14ac:dyDescent="0.3">
      <c r="A205" s="44" t="s">
        <v>1196</v>
      </c>
      <c r="B205" s="44" t="s">
        <v>18</v>
      </c>
      <c r="C205" s="44" t="s">
        <v>27</v>
      </c>
      <c r="D205" s="44" t="s">
        <v>267</v>
      </c>
      <c r="E205" s="44" t="s">
        <v>1035</v>
      </c>
      <c r="F205" s="44" t="s">
        <v>1192</v>
      </c>
      <c r="G205" s="44" t="s">
        <v>1119</v>
      </c>
      <c r="H205" s="44" t="s">
        <v>1120</v>
      </c>
      <c r="I205" s="44" t="s">
        <v>1106</v>
      </c>
      <c r="J205" s="44">
        <v>59</v>
      </c>
      <c r="K205" s="44" t="s">
        <v>1107</v>
      </c>
      <c r="L205" s="44" t="s">
        <v>1186</v>
      </c>
      <c r="M205" s="44" t="s">
        <v>1109</v>
      </c>
      <c r="N205" s="45">
        <v>1205553375</v>
      </c>
      <c r="O205" s="46">
        <f t="shared" si="3"/>
        <v>1205.553375</v>
      </c>
      <c r="P205" s="47">
        <f>KOHC!F32</f>
        <v>1205.553375</v>
      </c>
      <c r="Q205" s="44" t="str">
        <f t="shared" si="4"/>
        <v>PASS</v>
      </c>
      <c r="R205" s="44" t="s">
        <v>1110</v>
      </c>
      <c r="S205" s="44"/>
    </row>
    <row r="206" spans="1:19" x14ac:dyDescent="0.3">
      <c r="A206" s="44" t="s">
        <v>1197</v>
      </c>
      <c r="B206" s="44" t="s">
        <v>18</v>
      </c>
      <c r="C206" s="44" t="s">
        <v>28</v>
      </c>
      <c r="D206" s="44" t="s">
        <v>267</v>
      </c>
      <c r="E206" s="44" t="s">
        <v>1035</v>
      </c>
      <c r="F206" s="44" t="s">
        <v>1192</v>
      </c>
      <c r="G206" s="44" t="s">
        <v>1123</v>
      </c>
      <c r="H206" s="44" t="s">
        <v>1124</v>
      </c>
      <c r="I206" s="44" t="s">
        <v>1106</v>
      </c>
      <c r="J206" s="44">
        <v>69</v>
      </c>
      <c r="K206" s="44" t="s">
        <v>1107</v>
      </c>
      <c r="L206" s="44" t="s">
        <v>1179</v>
      </c>
      <c r="M206" s="44" t="s">
        <v>1109</v>
      </c>
      <c r="N206" s="45">
        <v>2110247902</v>
      </c>
      <c r="O206" s="46">
        <f t="shared" si="3"/>
        <v>2110.2479020000001</v>
      </c>
      <c r="P206" s="47">
        <f>KOHC!G32</f>
        <v>2110.2479020000001</v>
      </c>
      <c r="Q206" s="44" t="str">
        <f t="shared" si="4"/>
        <v>PASS</v>
      </c>
      <c r="R206" s="44" t="s">
        <v>1110</v>
      </c>
      <c r="S206" s="44"/>
    </row>
    <row r="207" spans="1:19" x14ac:dyDescent="0.3">
      <c r="A207" s="44" t="s">
        <v>1198</v>
      </c>
      <c r="B207" s="44" t="s">
        <v>18</v>
      </c>
      <c r="C207" s="44" t="s">
        <v>29</v>
      </c>
      <c r="D207" s="44" t="s">
        <v>267</v>
      </c>
      <c r="E207" s="44" t="s">
        <v>1035</v>
      </c>
      <c r="F207" s="44" t="s">
        <v>1192</v>
      </c>
      <c r="G207" s="44" t="s">
        <v>1123</v>
      </c>
      <c r="H207" s="44" t="s">
        <v>1124</v>
      </c>
      <c r="I207" s="44" t="s">
        <v>1127</v>
      </c>
      <c r="J207" s="44">
        <v>69</v>
      </c>
      <c r="K207" s="44" t="s">
        <v>1107</v>
      </c>
      <c r="L207" s="44" t="s">
        <v>1179</v>
      </c>
      <c r="M207" s="44" t="s">
        <v>1109</v>
      </c>
      <c r="N207" s="45">
        <v>1692217832</v>
      </c>
      <c r="O207" s="46">
        <f t="shared" si="3"/>
        <v>1692.217832</v>
      </c>
      <c r="P207" s="47">
        <f>KOHC!H32</f>
        <v>1692.217832</v>
      </c>
      <c r="Q207" s="44" t="str">
        <f t="shared" si="4"/>
        <v>PASS</v>
      </c>
      <c r="R207" s="44" t="s">
        <v>1110</v>
      </c>
      <c r="S207" s="44"/>
    </row>
    <row r="208" spans="1:19" x14ac:dyDescent="0.3">
      <c r="A208" s="44" t="s">
        <v>1199</v>
      </c>
      <c r="B208" s="44" t="s">
        <v>18</v>
      </c>
      <c r="C208" s="44" t="s">
        <v>965</v>
      </c>
      <c r="D208" s="44" t="s">
        <v>269</v>
      </c>
      <c r="E208" s="44" t="s">
        <v>1035</v>
      </c>
      <c r="F208" s="44" t="s">
        <v>1200</v>
      </c>
      <c r="G208" s="44" t="s">
        <v>1104</v>
      </c>
      <c r="H208" s="44" t="s">
        <v>1105</v>
      </c>
      <c r="I208" s="44" t="s">
        <v>1106</v>
      </c>
      <c r="J208" s="44">
        <v>45</v>
      </c>
      <c r="K208" s="44" t="s">
        <v>1107</v>
      </c>
      <c r="L208" s="44" t="s">
        <v>1194</v>
      </c>
      <c r="M208" s="44" t="s">
        <v>1109</v>
      </c>
      <c r="N208" s="45">
        <v>160130600</v>
      </c>
      <c r="O208" s="46">
        <f t="shared" si="3"/>
        <v>160.13059999999999</v>
      </c>
      <c r="P208" s="47">
        <f>KOHC!C33</f>
        <v>160.13059999999999</v>
      </c>
      <c r="Q208" s="44" t="str">
        <f t="shared" si="4"/>
        <v>PASS</v>
      </c>
      <c r="R208" s="44" t="s">
        <v>1110</v>
      </c>
      <c r="S208" s="44"/>
    </row>
    <row r="209" spans="1:19" x14ac:dyDescent="0.3">
      <c r="A209" s="44" t="s">
        <v>1201</v>
      </c>
      <c r="B209" s="44" t="s">
        <v>18</v>
      </c>
      <c r="C209" s="44" t="s">
        <v>20</v>
      </c>
      <c r="D209" s="44" t="s">
        <v>269</v>
      </c>
      <c r="E209" s="44" t="s">
        <v>1035</v>
      </c>
      <c r="F209" s="44" t="s">
        <v>1200</v>
      </c>
      <c r="G209" s="44" t="s">
        <v>1112</v>
      </c>
      <c r="H209" s="44" t="s">
        <v>1113</v>
      </c>
      <c r="I209" s="44" t="s">
        <v>1106</v>
      </c>
      <c r="J209" s="44">
        <v>53</v>
      </c>
      <c r="K209" s="44" t="s">
        <v>1107</v>
      </c>
      <c r="L209" s="44" t="s">
        <v>1202</v>
      </c>
      <c r="M209" s="44" t="s">
        <v>1109</v>
      </c>
      <c r="N209" s="45">
        <v>2999496423</v>
      </c>
      <c r="O209" s="46">
        <f t="shared" si="3"/>
        <v>2999.496423</v>
      </c>
      <c r="P209" s="47">
        <f>KOHC!D33</f>
        <v>2999.496423</v>
      </c>
      <c r="Q209" s="44" t="str">
        <f t="shared" si="4"/>
        <v>PASS</v>
      </c>
      <c r="R209" s="44" t="s">
        <v>1110</v>
      </c>
      <c r="S209" s="44"/>
    </row>
    <row r="210" spans="1:19" x14ac:dyDescent="0.3">
      <c r="A210" s="44" t="s">
        <v>1203</v>
      </c>
      <c r="B210" s="44" t="s">
        <v>18</v>
      </c>
      <c r="C210" s="44" t="s">
        <v>26</v>
      </c>
      <c r="D210" s="44" t="s">
        <v>269</v>
      </c>
      <c r="E210" s="44" t="s">
        <v>1035</v>
      </c>
      <c r="F210" s="44" t="s">
        <v>1200</v>
      </c>
      <c r="G210" s="44" t="s">
        <v>1116</v>
      </c>
      <c r="H210" s="44" t="s">
        <v>1117</v>
      </c>
      <c r="I210" s="44" t="s">
        <v>1106</v>
      </c>
      <c r="J210" s="44">
        <v>53</v>
      </c>
      <c r="K210" s="44" t="s">
        <v>1107</v>
      </c>
      <c r="L210" s="44" t="s">
        <v>1202</v>
      </c>
      <c r="M210" s="44" t="s">
        <v>1109</v>
      </c>
      <c r="N210" s="45">
        <v>10124095693</v>
      </c>
      <c r="O210" s="46">
        <f t="shared" si="3"/>
        <v>10124.095692999999</v>
      </c>
      <c r="P210" s="47">
        <f>KOHC!E33</f>
        <v>10124.095692999999</v>
      </c>
      <c r="Q210" s="44" t="str">
        <f t="shared" si="4"/>
        <v>PASS</v>
      </c>
      <c r="R210" s="44" t="s">
        <v>1110</v>
      </c>
      <c r="S210" s="44"/>
    </row>
    <row r="211" spans="1:19" x14ac:dyDescent="0.3">
      <c r="A211" s="44" t="s">
        <v>1204</v>
      </c>
      <c r="B211" s="44" t="s">
        <v>18</v>
      </c>
      <c r="C211" s="44" t="s">
        <v>27</v>
      </c>
      <c r="D211" s="44" t="s">
        <v>269</v>
      </c>
      <c r="E211" s="44" t="s">
        <v>1035</v>
      </c>
      <c r="F211" s="44" t="s">
        <v>1200</v>
      </c>
      <c r="G211" s="44" t="s">
        <v>1119</v>
      </c>
      <c r="H211" s="44" t="s">
        <v>1120</v>
      </c>
      <c r="I211" s="44" t="s">
        <v>1106</v>
      </c>
      <c r="J211" s="44">
        <v>59</v>
      </c>
      <c r="K211" s="44" t="s">
        <v>1107</v>
      </c>
      <c r="L211" s="44" t="s">
        <v>1194</v>
      </c>
      <c r="M211" s="44" t="s">
        <v>1109</v>
      </c>
      <c r="N211" s="45">
        <v>12335073816</v>
      </c>
      <c r="O211" s="46">
        <f t="shared" si="3"/>
        <v>12335.073816</v>
      </c>
      <c r="P211" s="47">
        <f>KOHC!F33</f>
        <v>12335.073816</v>
      </c>
      <c r="Q211" s="44" t="str">
        <f t="shared" si="4"/>
        <v>PASS</v>
      </c>
      <c r="R211" s="44" t="s">
        <v>1110</v>
      </c>
      <c r="S211" s="44"/>
    </row>
    <row r="212" spans="1:19" x14ac:dyDescent="0.3">
      <c r="A212" s="44" t="s">
        <v>1205</v>
      </c>
      <c r="B212" s="44" t="s">
        <v>18</v>
      </c>
      <c r="C212" s="44" t="s">
        <v>28</v>
      </c>
      <c r="D212" s="44" t="s">
        <v>269</v>
      </c>
      <c r="E212" s="44" t="s">
        <v>1035</v>
      </c>
      <c r="F212" s="44" t="s">
        <v>1200</v>
      </c>
      <c r="G212" s="44" t="s">
        <v>1123</v>
      </c>
      <c r="H212" s="44" t="s">
        <v>1124</v>
      </c>
      <c r="I212" s="44" t="s">
        <v>1106</v>
      </c>
      <c r="J212" s="44">
        <v>69</v>
      </c>
      <c r="K212" s="44" t="s">
        <v>1107</v>
      </c>
      <c r="L212" s="44" t="s">
        <v>1186</v>
      </c>
      <c r="M212" s="44" t="s">
        <v>1109</v>
      </c>
      <c r="N212" s="45">
        <v>20279745954</v>
      </c>
      <c r="O212" s="46">
        <f t="shared" ref="O212:O275" si="5">N212/1000000</f>
        <v>20279.745954000002</v>
      </c>
      <c r="P212" s="47">
        <f>KOHC!G33</f>
        <v>20279.745954000002</v>
      </c>
      <c r="Q212" s="44" t="str">
        <f t="shared" ref="Q212:Q275" si="6">IF(ABS(O212-P212)&lt;0.000001,"PASS","FAIL")</f>
        <v>PASS</v>
      </c>
      <c r="R212" s="44" t="s">
        <v>1110</v>
      </c>
      <c r="S212" s="44"/>
    </row>
    <row r="213" spans="1:19" x14ac:dyDescent="0.3">
      <c r="A213" s="44" t="s">
        <v>1206</v>
      </c>
      <c r="B213" s="44" t="s">
        <v>18</v>
      </c>
      <c r="C213" s="44" t="s">
        <v>29</v>
      </c>
      <c r="D213" s="44" t="s">
        <v>269</v>
      </c>
      <c r="E213" s="44" t="s">
        <v>1035</v>
      </c>
      <c r="F213" s="44" t="s">
        <v>1200</v>
      </c>
      <c r="G213" s="44" t="s">
        <v>1123</v>
      </c>
      <c r="H213" s="44" t="s">
        <v>1124</v>
      </c>
      <c r="I213" s="44" t="s">
        <v>1127</v>
      </c>
      <c r="J213" s="44">
        <v>69</v>
      </c>
      <c r="K213" s="44" t="s">
        <v>1107</v>
      </c>
      <c r="L213" s="44" t="s">
        <v>1186</v>
      </c>
      <c r="M213" s="44" t="s">
        <v>1109</v>
      </c>
      <c r="N213" s="45">
        <v>26941632205</v>
      </c>
      <c r="O213" s="46">
        <f t="shared" si="5"/>
        <v>26941.632205000002</v>
      </c>
      <c r="P213" s="47">
        <f>KOHC!H33</f>
        <v>26941.632205000002</v>
      </c>
      <c r="Q213" s="44" t="str">
        <f t="shared" si="6"/>
        <v>PASS</v>
      </c>
      <c r="R213" s="44" t="s">
        <v>1110</v>
      </c>
      <c r="S213" s="44"/>
    </row>
    <row r="214" spans="1:19" x14ac:dyDescent="0.3">
      <c r="A214" s="44" t="s">
        <v>1207</v>
      </c>
      <c r="B214" s="44" t="s">
        <v>18</v>
      </c>
      <c r="C214" s="44" t="s">
        <v>965</v>
      </c>
      <c r="D214" s="44" t="s">
        <v>271</v>
      </c>
      <c r="E214" s="44" t="s">
        <v>1035</v>
      </c>
      <c r="F214" s="44" t="s">
        <v>271</v>
      </c>
      <c r="G214" s="44" t="s">
        <v>1104</v>
      </c>
      <c r="H214" s="44" t="s">
        <v>1105</v>
      </c>
      <c r="I214" s="44" t="s">
        <v>1106</v>
      </c>
      <c r="J214" s="44">
        <v>45</v>
      </c>
      <c r="K214" s="44" t="s">
        <v>1107</v>
      </c>
      <c r="L214" s="44" t="s">
        <v>1208</v>
      </c>
      <c r="M214" s="44" t="s">
        <v>1109</v>
      </c>
      <c r="N214" s="45">
        <v>891606087</v>
      </c>
      <c r="O214" s="46">
        <f t="shared" si="5"/>
        <v>891.606087</v>
      </c>
      <c r="P214" s="47">
        <f>KOHC!C34</f>
        <v>891.606087</v>
      </c>
      <c r="Q214" s="44" t="str">
        <f t="shared" si="6"/>
        <v>PASS</v>
      </c>
      <c r="R214" s="44" t="s">
        <v>1110</v>
      </c>
      <c r="S214" s="44"/>
    </row>
    <row r="215" spans="1:19" x14ac:dyDescent="0.3">
      <c r="A215" s="44" t="s">
        <v>1209</v>
      </c>
      <c r="B215" s="44" t="s">
        <v>18</v>
      </c>
      <c r="C215" s="44" t="s">
        <v>20</v>
      </c>
      <c r="D215" s="44" t="s">
        <v>271</v>
      </c>
      <c r="E215" s="44" t="s">
        <v>1035</v>
      </c>
      <c r="F215" s="44" t="s">
        <v>271</v>
      </c>
      <c r="G215" s="44" t="s">
        <v>1112</v>
      </c>
      <c r="H215" s="44" t="s">
        <v>1113</v>
      </c>
      <c r="I215" s="44" t="s">
        <v>1106</v>
      </c>
      <c r="J215" s="44">
        <v>53</v>
      </c>
      <c r="K215" s="44" t="s">
        <v>1107</v>
      </c>
      <c r="L215" s="44" t="s">
        <v>1210</v>
      </c>
      <c r="M215" s="44" t="s">
        <v>1109</v>
      </c>
      <c r="N215" s="45">
        <v>1197729351</v>
      </c>
      <c r="O215" s="46">
        <f t="shared" si="5"/>
        <v>1197.729351</v>
      </c>
      <c r="P215" s="47">
        <f>KOHC!D34</f>
        <v>1197.729351</v>
      </c>
      <c r="Q215" s="44" t="str">
        <f t="shared" si="6"/>
        <v>PASS</v>
      </c>
      <c r="R215" s="44" t="s">
        <v>1110</v>
      </c>
      <c r="S215" s="44"/>
    </row>
    <row r="216" spans="1:19" x14ac:dyDescent="0.3">
      <c r="A216" s="44" t="s">
        <v>1211</v>
      </c>
      <c r="B216" s="44" t="s">
        <v>18</v>
      </c>
      <c r="C216" s="44" t="s">
        <v>26</v>
      </c>
      <c r="D216" s="44" t="s">
        <v>271</v>
      </c>
      <c r="E216" s="44" t="s">
        <v>1035</v>
      </c>
      <c r="F216" s="44" t="s">
        <v>271</v>
      </c>
      <c r="G216" s="44" t="s">
        <v>1116</v>
      </c>
      <c r="H216" s="44" t="s">
        <v>1117</v>
      </c>
      <c r="I216" s="44" t="s">
        <v>1106</v>
      </c>
      <c r="J216" s="44">
        <v>53</v>
      </c>
      <c r="K216" s="44" t="s">
        <v>1107</v>
      </c>
      <c r="L216" s="44" t="s">
        <v>1210</v>
      </c>
      <c r="M216" s="44" t="s">
        <v>1109</v>
      </c>
      <c r="N216" s="45">
        <v>480765632</v>
      </c>
      <c r="O216" s="46">
        <f t="shared" si="5"/>
        <v>480.76563199999998</v>
      </c>
      <c r="P216" s="47">
        <f>KOHC!E34</f>
        <v>480.76563199999998</v>
      </c>
      <c r="Q216" s="44" t="str">
        <f t="shared" si="6"/>
        <v>PASS</v>
      </c>
      <c r="R216" s="44" t="s">
        <v>1110</v>
      </c>
      <c r="S216" s="44"/>
    </row>
    <row r="217" spans="1:19" x14ac:dyDescent="0.3">
      <c r="A217" s="44" t="s">
        <v>1212</v>
      </c>
      <c r="B217" s="44" t="s">
        <v>18</v>
      </c>
      <c r="C217" s="44" t="s">
        <v>27</v>
      </c>
      <c r="D217" s="44" t="s">
        <v>271</v>
      </c>
      <c r="E217" s="44" t="s">
        <v>1035</v>
      </c>
      <c r="F217" s="44" t="s">
        <v>271</v>
      </c>
      <c r="G217" s="44" t="s">
        <v>1119</v>
      </c>
      <c r="H217" s="44" t="s">
        <v>1120</v>
      </c>
      <c r="I217" s="44" t="s">
        <v>1106</v>
      </c>
      <c r="J217" s="44">
        <v>59</v>
      </c>
      <c r="K217" s="44" t="s">
        <v>1107</v>
      </c>
      <c r="L217" s="44" t="s">
        <v>1208</v>
      </c>
      <c r="M217" s="44" t="s">
        <v>1109</v>
      </c>
      <c r="N217" s="45">
        <v>933537193</v>
      </c>
      <c r="O217" s="46">
        <f t="shared" si="5"/>
        <v>933.537193</v>
      </c>
      <c r="P217" s="47">
        <f>KOHC!F34</f>
        <v>933.537193</v>
      </c>
      <c r="Q217" s="44" t="str">
        <f t="shared" si="6"/>
        <v>PASS</v>
      </c>
      <c r="R217" s="44" t="s">
        <v>1110</v>
      </c>
      <c r="S217" s="44"/>
    </row>
    <row r="218" spans="1:19" x14ac:dyDescent="0.3">
      <c r="A218" s="44" t="s">
        <v>1213</v>
      </c>
      <c r="B218" s="44" t="s">
        <v>18</v>
      </c>
      <c r="C218" s="44" t="s">
        <v>28</v>
      </c>
      <c r="D218" s="44" t="s">
        <v>271</v>
      </c>
      <c r="E218" s="44" t="s">
        <v>1035</v>
      </c>
      <c r="F218" s="44" t="s">
        <v>271</v>
      </c>
      <c r="G218" s="44" t="s">
        <v>1123</v>
      </c>
      <c r="H218" s="44" t="s">
        <v>1124</v>
      </c>
      <c r="I218" s="44" t="s">
        <v>1106</v>
      </c>
      <c r="J218" s="44">
        <v>69</v>
      </c>
      <c r="K218" s="44" t="s">
        <v>1107</v>
      </c>
      <c r="L218" s="44" t="s">
        <v>1202</v>
      </c>
      <c r="M218" s="44" t="s">
        <v>1109</v>
      </c>
      <c r="N218" s="45">
        <v>1102649172</v>
      </c>
      <c r="O218" s="46">
        <f t="shared" si="5"/>
        <v>1102.6491719999999</v>
      </c>
      <c r="P218" s="47">
        <f>KOHC!G34</f>
        <v>1102.6491719999999</v>
      </c>
      <c r="Q218" s="44" t="str">
        <f t="shared" si="6"/>
        <v>PASS</v>
      </c>
      <c r="R218" s="44" t="s">
        <v>1110</v>
      </c>
      <c r="S218" s="44"/>
    </row>
    <row r="219" spans="1:19" x14ac:dyDescent="0.3">
      <c r="A219" s="44" t="s">
        <v>1214</v>
      </c>
      <c r="B219" s="44" t="s">
        <v>18</v>
      </c>
      <c r="C219" s="44" t="s">
        <v>29</v>
      </c>
      <c r="D219" s="44" t="s">
        <v>271</v>
      </c>
      <c r="E219" s="44" t="s">
        <v>1035</v>
      </c>
      <c r="F219" s="44" t="s">
        <v>271</v>
      </c>
      <c r="G219" s="44" t="s">
        <v>1123</v>
      </c>
      <c r="H219" s="44" t="s">
        <v>1124</v>
      </c>
      <c r="I219" s="44" t="s">
        <v>1127</v>
      </c>
      <c r="J219" s="44">
        <v>69</v>
      </c>
      <c r="K219" s="44" t="s">
        <v>1107</v>
      </c>
      <c r="L219" s="44" t="s">
        <v>1202</v>
      </c>
      <c r="M219" s="44" t="s">
        <v>1109</v>
      </c>
      <c r="N219" s="45">
        <v>1450702723</v>
      </c>
      <c r="O219" s="46">
        <f t="shared" si="5"/>
        <v>1450.7027230000001</v>
      </c>
      <c r="P219" s="47">
        <f>KOHC!H34</f>
        <v>1450.7027230000001</v>
      </c>
      <c r="Q219" s="44" t="str">
        <f t="shared" si="6"/>
        <v>PASS</v>
      </c>
      <c r="R219" s="44" t="s">
        <v>1110</v>
      </c>
      <c r="S219" s="44"/>
    </row>
    <row r="220" spans="1:19" x14ac:dyDescent="0.3">
      <c r="A220" s="44" t="s">
        <v>1215</v>
      </c>
      <c r="B220" s="44" t="s">
        <v>18</v>
      </c>
      <c r="C220" s="44" t="s">
        <v>965</v>
      </c>
      <c r="D220" s="44" t="s">
        <v>273</v>
      </c>
      <c r="E220" s="44" t="s">
        <v>1035</v>
      </c>
      <c r="F220" s="44" t="s">
        <v>1216</v>
      </c>
      <c r="G220" s="44" t="s">
        <v>1104</v>
      </c>
      <c r="H220" s="44" t="s">
        <v>1105</v>
      </c>
      <c r="I220" s="44" t="s">
        <v>1106</v>
      </c>
      <c r="J220" s="44">
        <v>45</v>
      </c>
      <c r="K220" s="44" t="s">
        <v>1107</v>
      </c>
      <c r="L220" s="44" t="s">
        <v>1202</v>
      </c>
      <c r="M220" s="44" t="s">
        <v>1109</v>
      </c>
      <c r="N220" s="45">
        <v>425391226</v>
      </c>
      <c r="O220" s="46">
        <f t="shared" si="5"/>
        <v>425.39122600000002</v>
      </c>
      <c r="P220" s="47">
        <f>KOHC!C35</f>
        <v>425.39122600000002</v>
      </c>
      <c r="Q220" s="44" t="str">
        <f t="shared" si="6"/>
        <v>PASS</v>
      </c>
      <c r="R220" s="44" t="s">
        <v>1110</v>
      </c>
      <c r="S220" s="44"/>
    </row>
    <row r="221" spans="1:19" x14ac:dyDescent="0.3">
      <c r="A221" s="44" t="s">
        <v>1217</v>
      </c>
      <c r="B221" s="44" t="s">
        <v>18</v>
      </c>
      <c r="C221" s="44" t="s">
        <v>20</v>
      </c>
      <c r="D221" s="44" t="s">
        <v>273</v>
      </c>
      <c r="E221" s="44" t="s">
        <v>1035</v>
      </c>
      <c r="F221" s="44" t="s">
        <v>1216</v>
      </c>
      <c r="G221" s="44" t="s">
        <v>1112</v>
      </c>
      <c r="H221" s="44" t="s">
        <v>1113</v>
      </c>
      <c r="I221" s="44" t="s">
        <v>1106</v>
      </c>
      <c r="J221" s="44">
        <v>53</v>
      </c>
      <c r="K221" s="44" t="s">
        <v>1107</v>
      </c>
      <c r="L221" s="44" t="s">
        <v>1208</v>
      </c>
      <c r="M221" s="44" t="s">
        <v>1109</v>
      </c>
      <c r="N221" s="45">
        <v>484459350</v>
      </c>
      <c r="O221" s="46">
        <f t="shared" si="5"/>
        <v>484.45934999999997</v>
      </c>
      <c r="P221" s="47">
        <f>KOHC!D35</f>
        <v>484.45934999999997</v>
      </c>
      <c r="Q221" s="44" t="str">
        <f t="shared" si="6"/>
        <v>PASS</v>
      </c>
      <c r="R221" s="44" t="s">
        <v>1110</v>
      </c>
      <c r="S221" s="44"/>
    </row>
    <row r="222" spans="1:19" x14ac:dyDescent="0.3">
      <c r="A222" s="44" t="s">
        <v>1218</v>
      </c>
      <c r="B222" s="44" t="s">
        <v>18</v>
      </c>
      <c r="C222" s="44" t="s">
        <v>26</v>
      </c>
      <c r="D222" s="44" t="s">
        <v>273</v>
      </c>
      <c r="E222" s="44" t="s">
        <v>1035</v>
      </c>
      <c r="F222" s="44" t="s">
        <v>1219</v>
      </c>
      <c r="G222" s="44" t="s">
        <v>1116</v>
      </c>
      <c r="H222" s="44" t="s">
        <v>1117</v>
      </c>
      <c r="I222" s="44" t="s">
        <v>1106</v>
      </c>
      <c r="J222" s="44">
        <v>53</v>
      </c>
      <c r="K222" s="44" t="s">
        <v>1107</v>
      </c>
      <c r="L222" s="44" t="s">
        <v>1208</v>
      </c>
      <c r="M222" s="44" t="s">
        <v>1109</v>
      </c>
      <c r="N222" s="45">
        <v>583944235</v>
      </c>
      <c r="O222" s="46">
        <f t="shared" si="5"/>
        <v>583.94423500000005</v>
      </c>
      <c r="P222" s="47">
        <f>KOHC!E35</f>
        <v>583.94423500000005</v>
      </c>
      <c r="Q222" s="44" t="str">
        <f t="shared" si="6"/>
        <v>PASS</v>
      </c>
      <c r="R222" s="44" t="s">
        <v>1110</v>
      </c>
      <c r="S222" s="44"/>
    </row>
    <row r="223" spans="1:19" x14ac:dyDescent="0.3">
      <c r="A223" s="44" t="s">
        <v>1220</v>
      </c>
      <c r="B223" s="44" t="s">
        <v>18</v>
      </c>
      <c r="C223" s="44" t="s">
        <v>27</v>
      </c>
      <c r="D223" s="44" t="s">
        <v>273</v>
      </c>
      <c r="E223" s="44" t="s">
        <v>1035</v>
      </c>
      <c r="F223" s="44" t="s">
        <v>1219</v>
      </c>
      <c r="G223" s="44" t="s">
        <v>1119</v>
      </c>
      <c r="H223" s="44" t="s">
        <v>1120</v>
      </c>
      <c r="I223" s="44" t="s">
        <v>1106</v>
      </c>
      <c r="J223" s="44">
        <v>59</v>
      </c>
      <c r="K223" s="44" t="s">
        <v>1107</v>
      </c>
      <c r="L223" s="44" t="s">
        <v>1202</v>
      </c>
      <c r="M223" s="44" t="s">
        <v>1109</v>
      </c>
      <c r="N223" s="45">
        <v>783220947</v>
      </c>
      <c r="O223" s="46">
        <f t="shared" si="5"/>
        <v>783.22094700000002</v>
      </c>
      <c r="P223" s="47">
        <f>KOHC!F35</f>
        <v>783.22094700000002</v>
      </c>
      <c r="Q223" s="44" t="str">
        <f t="shared" si="6"/>
        <v>PASS</v>
      </c>
      <c r="R223" s="44" t="s">
        <v>1110</v>
      </c>
      <c r="S223" s="44"/>
    </row>
    <row r="224" spans="1:19" x14ac:dyDescent="0.3">
      <c r="A224" s="44" t="s">
        <v>1221</v>
      </c>
      <c r="B224" s="44" t="s">
        <v>18</v>
      </c>
      <c r="C224" s="44" t="s">
        <v>28</v>
      </c>
      <c r="D224" s="44" t="s">
        <v>273</v>
      </c>
      <c r="E224" s="44" t="s">
        <v>1035</v>
      </c>
      <c r="F224" s="44" t="s">
        <v>1222</v>
      </c>
      <c r="G224" s="44" t="s">
        <v>1123</v>
      </c>
      <c r="H224" s="44" t="s">
        <v>1124</v>
      </c>
      <c r="I224" s="44" t="s">
        <v>1106</v>
      </c>
      <c r="J224" s="44">
        <v>69</v>
      </c>
      <c r="K224" s="44" t="s">
        <v>1107</v>
      </c>
      <c r="L224" s="44" t="s">
        <v>1194</v>
      </c>
      <c r="M224" s="44" t="s">
        <v>1109</v>
      </c>
      <c r="N224" s="45">
        <v>1140327819</v>
      </c>
      <c r="O224" s="46">
        <f t="shared" si="5"/>
        <v>1140.3278190000001</v>
      </c>
      <c r="P224" s="47">
        <f>KOHC!G35</f>
        <v>1140.3278190000001</v>
      </c>
      <c r="Q224" s="44" t="str">
        <f t="shared" si="6"/>
        <v>PASS</v>
      </c>
      <c r="R224" s="44" t="s">
        <v>1110</v>
      </c>
      <c r="S224" s="44" t="s">
        <v>1114</v>
      </c>
    </row>
    <row r="225" spans="1:19" x14ac:dyDescent="0.3">
      <c r="A225" s="44" t="s">
        <v>1223</v>
      </c>
      <c r="B225" s="44" t="s">
        <v>18</v>
      </c>
      <c r="C225" s="44" t="s">
        <v>29</v>
      </c>
      <c r="D225" s="44" t="s">
        <v>273</v>
      </c>
      <c r="E225" s="44" t="s">
        <v>1035</v>
      </c>
      <c r="F225" s="44" t="s">
        <v>1222</v>
      </c>
      <c r="G225" s="44" t="s">
        <v>1123</v>
      </c>
      <c r="H225" s="44" t="s">
        <v>1124</v>
      </c>
      <c r="I225" s="44" t="s">
        <v>1127</v>
      </c>
      <c r="J225" s="44">
        <v>69</v>
      </c>
      <c r="K225" s="44" t="s">
        <v>1107</v>
      </c>
      <c r="L225" s="44" t="s">
        <v>1194</v>
      </c>
      <c r="M225" s="44" t="s">
        <v>1109</v>
      </c>
      <c r="N225" s="45">
        <v>1025371707</v>
      </c>
      <c r="O225" s="46">
        <f t="shared" si="5"/>
        <v>1025.371707</v>
      </c>
      <c r="P225" s="47">
        <f>KOHC!H35</f>
        <v>1025.371707</v>
      </c>
      <c r="Q225" s="44" t="str">
        <f t="shared" si="6"/>
        <v>PASS</v>
      </c>
      <c r="R225" s="44" t="s">
        <v>1110</v>
      </c>
      <c r="S225" s="44"/>
    </row>
    <row r="226" spans="1:19" x14ac:dyDescent="0.3">
      <c r="A226" s="44" t="s">
        <v>1224</v>
      </c>
      <c r="B226" s="44" t="s">
        <v>18</v>
      </c>
      <c r="C226" s="44" t="s">
        <v>965</v>
      </c>
      <c r="D226" s="44" t="s">
        <v>280</v>
      </c>
      <c r="E226" s="44" t="s">
        <v>1035</v>
      </c>
      <c r="F226" s="44" t="s">
        <v>1225</v>
      </c>
      <c r="G226" s="44" t="s">
        <v>1104</v>
      </c>
      <c r="H226" s="44" t="s">
        <v>1105</v>
      </c>
      <c r="I226" s="44" t="s">
        <v>1106</v>
      </c>
      <c r="J226" s="44">
        <v>44</v>
      </c>
      <c r="K226" s="44" t="s">
        <v>1139</v>
      </c>
      <c r="L226" s="44" t="s">
        <v>1226</v>
      </c>
      <c r="M226" s="44" t="s">
        <v>1109</v>
      </c>
      <c r="N226" s="45">
        <v>2008612970</v>
      </c>
      <c r="O226" s="46">
        <f t="shared" si="5"/>
        <v>2008.6129699999999</v>
      </c>
      <c r="P226" s="47">
        <f>KOHC!C39</f>
        <v>2008.6129699999999</v>
      </c>
      <c r="Q226" s="44" t="str">
        <f t="shared" si="6"/>
        <v>PASS</v>
      </c>
      <c r="R226" s="44" t="s">
        <v>1110</v>
      </c>
      <c r="S226" s="44"/>
    </row>
    <row r="227" spans="1:19" x14ac:dyDescent="0.3">
      <c r="A227" s="44" t="s">
        <v>1227</v>
      </c>
      <c r="B227" s="44" t="s">
        <v>18</v>
      </c>
      <c r="C227" s="44" t="s">
        <v>20</v>
      </c>
      <c r="D227" s="44" t="s">
        <v>280</v>
      </c>
      <c r="E227" s="44" t="s">
        <v>1035</v>
      </c>
      <c r="F227" s="44" t="s">
        <v>1225</v>
      </c>
      <c r="G227" s="44" t="s">
        <v>1112</v>
      </c>
      <c r="H227" s="44" t="s">
        <v>1113</v>
      </c>
      <c r="I227" s="44" t="s">
        <v>1106</v>
      </c>
      <c r="J227" s="44">
        <v>52</v>
      </c>
      <c r="K227" s="44" t="s">
        <v>1139</v>
      </c>
      <c r="L227" s="44" t="s">
        <v>1226</v>
      </c>
      <c r="M227" s="44" t="s">
        <v>1109</v>
      </c>
      <c r="N227" s="45">
        <v>2008612970</v>
      </c>
      <c r="O227" s="46">
        <f t="shared" si="5"/>
        <v>2008.6129699999999</v>
      </c>
      <c r="P227" s="47">
        <f>KOHC!D39</f>
        <v>2008.6129699999999</v>
      </c>
      <c r="Q227" s="44" t="str">
        <f t="shared" si="6"/>
        <v>PASS</v>
      </c>
      <c r="R227" s="44" t="s">
        <v>1110</v>
      </c>
      <c r="S227" s="44"/>
    </row>
    <row r="228" spans="1:19" x14ac:dyDescent="0.3">
      <c r="A228" s="44" t="s">
        <v>1228</v>
      </c>
      <c r="B228" s="44" t="s">
        <v>18</v>
      </c>
      <c r="C228" s="44" t="s">
        <v>26</v>
      </c>
      <c r="D228" s="44" t="s">
        <v>280</v>
      </c>
      <c r="E228" s="44" t="s">
        <v>1035</v>
      </c>
      <c r="F228" s="44" t="s">
        <v>1225</v>
      </c>
      <c r="G228" s="44" t="s">
        <v>1116</v>
      </c>
      <c r="H228" s="44" t="s">
        <v>1117</v>
      </c>
      <c r="I228" s="44" t="s">
        <v>1106</v>
      </c>
      <c r="J228" s="44">
        <v>52</v>
      </c>
      <c r="K228" s="44" t="s">
        <v>1139</v>
      </c>
      <c r="L228" s="44" t="s">
        <v>1226</v>
      </c>
      <c r="M228" s="44" t="s">
        <v>1109</v>
      </c>
      <c r="N228" s="45">
        <v>2008612970</v>
      </c>
      <c r="O228" s="46">
        <f t="shared" si="5"/>
        <v>2008.6129699999999</v>
      </c>
      <c r="P228" s="47">
        <f>KOHC!E39</f>
        <v>2008.6129699999999</v>
      </c>
      <c r="Q228" s="44" t="str">
        <f t="shared" si="6"/>
        <v>PASS</v>
      </c>
      <c r="R228" s="44" t="s">
        <v>1110</v>
      </c>
      <c r="S228" s="44"/>
    </row>
    <row r="229" spans="1:19" x14ac:dyDescent="0.3">
      <c r="A229" s="44" t="s">
        <v>1229</v>
      </c>
      <c r="B229" s="44" t="s">
        <v>18</v>
      </c>
      <c r="C229" s="44" t="s">
        <v>27</v>
      </c>
      <c r="D229" s="44" t="s">
        <v>280</v>
      </c>
      <c r="E229" s="44" t="s">
        <v>1035</v>
      </c>
      <c r="F229" s="44" t="s">
        <v>1225</v>
      </c>
      <c r="G229" s="44" t="s">
        <v>1119</v>
      </c>
      <c r="H229" s="44" t="s">
        <v>1120</v>
      </c>
      <c r="I229" s="44" t="s">
        <v>1106</v>
      </c>
      <c r="J229" s="44">
        <v>58</v>
      </c>
      <c r="K229" s="44" t="s">
        <v>1139</v>
      </c>
      <c r="L229" s="44" t="s">
        <v>1226</v>
      </c>
      <c r="M229" s="44" t="s">
        <v>1109</v>
      </c>
      <c r="N229" s="45">
        <v>2008612970</v>
      </c>
      <c r="O229" s="46">
        <f t="shared" si="5"/>
        <v>2008.6129699999999</v>
      </c>
      <c r="P229" s="47">
        <f>KOHC!F39</f>
        <v>2008.6129699999999</v>
      </c>
      <c r="Q229" s="44" t="str">
        <f t="shared" si="6"/>
        <v>PASS</v>
      </c>
      <c r="R229" s="44" t="s">
        <v>1110</v>
      </c>
      <c r="S229" s="44"/>
    </row>
    <row r="230" spans="1:19" x14ac:dyDescent="0.3">
      <c r="A230" s="44" t="s">
        <v>1230</v>
      </c>
      <c r="B230" s="44" t="s">
        <v>18</v>
      </c>
      <c r="C230" s="44" t="s">
        <v>28</v>
      </c>
      <c r="D230" s="44" t="s">
        <v>280</v>
      </c>
      <c r="E230" s="44" t="s">
        <v>1035</v>
      </c>
      <c r="F230" s="44" t="s">
        <v>1225</v>
      </c>
      <c r="G230" s="44" t="s">
        <v>1123</v>
      </c>
      <c r="H230" s="44" t="s">
        <v>1124</v>
      </c>
      <c r="I230" s="44" t="s">
        <v>1106</v>
      </c>
      <c r="J230" s="44">
        <v>68</v>
      </c>
      <c r="K230" s="44" t="s">
        <v>1144</v>
      </c>
      <c r="L230" s="44" t="s">
        <v>1226</v>
      </c>
      <c r="M230" s="44" t="s">
        <v>1109</v>
      </c>
      <c r="N230" s="45">
        <v>1958612970</v>
      </c>
      <c r="O230" s="46">
        <f t="shared" si="5"/>
        <v>1958.6129699999999</v>
      </c>
      <c r="P230" s="47">
        <f>KOHC!G39</f>
        <v>1958.6129699999999</v>
      </c>
      <c r="Q230" s="44" t="str">
        <f t="shared" si="6"/>
        <v>PASS</v>
      </c>
      <c r="R230" s="44" t="s">
        <v>1110</v>
      </c>
      <c r="S230" s="44"/>
    </row>
    <row r="231" spans="1:19" x14ac:dyDescent="0.3">
      <c r="A231" s="44" t="s">
        <v>1231</v>
      </c>
      <c r="B231" s="44" t="s">
        <v>18</v>
      </c>
      <c r="C231" s="44" t="s">
        <v>29</v>
      </c>
      <c r="D231" s="44" t="s">
        <v>280</v>
      </c>
      <c r="E231" s="44" t="s">
        <v>1035</v>
      </c>
      <c r="F231" s="44" t="s">
        <v>1225</v>
      </c>
      <c r="G231" s="44" t="s">
        <v>1123</v>
      </c>
      <c r="H231" s="44" t="s">
        <v>1124</v>
      </c>
      <c r="I231" s="44" t="s">
        <v>1127</v>
      </c>
      <c r="J231" s="44">
        <v>68</v>
      </c>
      <c r="K231" s="44" t="s">
        <v>1144</v>
      </c>
      <c r="L231" s="44" t="s">
        <v>1226</v>
      </c>
      <c r="M231" s="44" t="s">
        <v>1109</v>
      </c>
      <c r="N231" s="45">
        <v>1838612970</v>
      </c>
      <c r="O231" s="46">
        <f t="shared" si="5"/>
        <v>1838.6129699999999</v>
      </c>
      <c r="P231" s="47">
        <f>KOHC!H39</f>
        <v>1838.6129699999999</v>
      </c>
      <c r="Q231" s="44" t="str">
        <f t="shared" si="6"/>
        <v>PASS</v>
      </c>
      <c r="R231" s="44" t="s">
        <v>1110</v>
      </c>
      <c r="S231" s="44"/>
    </row>
    <row r="232" spans="1:19" x14ac:dyDescent="0.3">
      <c r="A232" s="44" t="s">
        <v>1232</v>
      </c>
      <c r="B232" s="44" t="s">
        <v>18</v>
      </c>
      <c r="C232" s="44" t="s">
        <v>965</v>
      </c>
      <c r="D232" s="44" t="s">
        <v>282</v>
      </c>
      <c r="E232" s="44" t="s">
        <v>1035</v>
      </c>
      <c r="F232" s="44" t="s">
        <v>1233</v>
      </c>
      <c r="G232" s="44" t="s">
        <v>1104</v>
      </c>
      <c r="H232" s="44" t="s">
        <v>1105</v>
      </c>
      <c r="I232" s="44" t="s">
        <v>1106</v>
      </c>
      <c r="J232" s="44">
        <v>44</v>
      </c>
      <c r="K232" s="44" t="s">
        <v>1139</v>
      </c>
      <c r="L232" s="44"/>
      <c r="M232" s="44" t="s">
        <v>1109</v>
      </c>
      <c r="N232" s="45">
        <v>16718060354</v>
      </c>
      <c r="O232" s="46">
        <f t="shared" si="5"/>
        <v>16718.060354000001</v>
      </c>
      <c r="P232" s="47">
        <f>KOHC!C40</f>
        <v>16718.060354000001</v>
      </c>
      <c r="Q232" s="44" t="str">
        <f t="shared" si="6"/>
        <v>PASS</v>
      </c>
      <c r="R232" s="44" t="s">
        <v>1110</v>
      </c>
      <c r="S232" s="44"/>
    </row>
    <row r="233" spans="1:19" x14ac:dyDescent="0.3">
      <c r="A233" s="44" t="s">
        <v>1234</v>
      </c>
      <c r="B233" s="44" t="s">
        <v>18</v>
      </c>
      <c r="C233" s="44" t="s">
        <v>20</v>
      </c>
      <c r="D233" s="44" t="s">
        <v>282</v>
      </c>
      <c r="E233" s="44" t="s">
        <v>1035</v>
      </c>
      <c r="F233" s="44" t="s">
        <v>1233</v>
      </c>
      <c r="G233" s="44" t="s">
        <v>1112</v>
      </c>
      <c r="H233" s="44" t="s">
        <v>1113</v>
      </c>
      <c r="I233" s="44" t="s">
        <v>1106</v>
      </c>
      <c r="J233" s="44">
        <v>52</v>
      </c>
      <c r="K233" s="44" t="s">
        <v>1139</v>
      </c>
      <c r="L233" s="44"/>
      <c r="M233" s="44" t="s">
        <v>1109</v>
      </c>
      <c r="N233" s="45">
        <v>20214926401</v>
      </c>
      <c r="O233" s="46">
        <f t="shared" si="5"/>
        <v>20214.926401000001</v>
      </c>
      <c r="P233" s="47">
        <f>KOHC!D40</f>
        <v>20214.926401000001</v>
      </c>
      <c r="Q233" s="44" t="str">
        <f t="shared" si="6"/>
        <v>PASS</v>
      </c>
      <c r="R233" s="44" t="s">
        <v>1110</v>
      </c>
      <c r="S233" s="44"/>
    </row>
    <row r="234" spans="1:19" x14ac:dyDescent="0.3">
      <c r="A234" s="44" t="s">
        <v>1235</v>
      </c>
      <c r="B234" s="44" t="s">
        <v>18</v>
      </c>
      <c r="C234" s="44" t="s">
        <v>26</v>
      </c>
      <c r="D234" s="44" t="s">
        <v>282</v>
      </c>
      <c r="E234" s="44" t="s">
        <v>1035</v>
      </c>
      <c r="F234" s="44" t="s">
        <v>1233</v>
      </c>
      <c r="G234" s="44" t="s">
        <v>1116</v>
      </c>
      <c r="H234" s="44" t="s">
        <v>1117</v>
      </c>
      <c r="I234" s="44" t="s">
        <v>1106</v>
      </c>
      <c r="J234" s="44">
        <v>52</v>
      </c>
      <c r="K234" s="44" t="s">
        <v>1139</v>
      </c>
      <c r="L234" s="44"/>
      <c r="M234" s="44" t="s">
        <v>1109</v>
      </c>
      <c r="N234" s="45">
        <v>25237607261</v>
      </c>
      <c r="O234" s="46">
        <f t="shared" si="5"/>
        <v>25237.607261000001</v>
      </c>
      <c r="P234" s="47">
        <f>KOHC!E40</f>
        <v>25237.607261000001</v>
      </c>
      <c r="Q234" s="44" t="str">
        <f t="shared" si="6"/>
        <v>PASS</v>
      </c>
      <c r="R234" s="44" t="s">
        <v>1110</v>
      </c>
      <c r="S234" s="44"/>
    </row>
    <row r="235" spans="1:19" x14ac:dyDescent="0.3">
      <c r="A235" s="44" t="s">
        <v>1236</v>
      </c>
      <c r="B235" s="44" t="s">
        <v>18</v>
      </c>
      <c r="C235" s="44" t="s">
        <v>27</v>
      </c>
      <c r="D235" s="44" t="s">
        <v>282</v>
      </c>
      <c r="E235" s="44" t="s">
        <v>1035</v>
      </c>
      <c r="F235" s="44" t="s">
        <v>1233</v>
      </c>
      <c r="G235" s="44" t="s">
        <v>1119</v>
      </c>
      <c r="H235" s="44" t="s">
        <v>1120</v>
      </c>
      <c r="I235" s="44" t="s">
        <v>1106</v>
      </c>
      <c r="J235" s="44">
        <v>58</v>
      </c>
      <c r="K235" s="44" t="s">
        <v>1139</v>
      </c>
      <c r="L235" s="44"/>
      <c r="M235" s="44" t="s">
        <v>1109</v>
      </c>
      <c r="N235" s="45">
        <v>30601432002</v>
      </c>
      <c r="O235" s="46">
        <f t="shared" si="5"/>
        <v>30601.432002000001</v>
      </c>
      <c r="P235" s="47">
        <f>KOHC!F40</f>
        <v>30601.432002000001</v>
      </c>
      <c r="Q235" s="44" t="str">
        <f t="shared" si="6"/>
        <v>PASS</v>
      </c>
      <c r="R235" s="44" t="s">
        <v>1110</v>
      </c>
      <c r="S235" s="44"/>
    </row>
    <row r="236" spans="1:19" x14ac:dyDescent="0.3">
      <c r="A236" s="44" t="s">
        <v>1237</v>
      </c>
      <c r="B236" s="44" t="s">
        <v>18</v>
      </c>
      <c r="C236" s="44" t="s">
        <v>28</v>
      </c>
      <c r="D236" s="44" t="s">
        <v>282</v>
      </c>
      <c r="E236" s="44" t="s">
        <v>1035</v>
      </c>
      <c r="F236" s="44" t="s">
        <v>1233</v>
      </c>
      <c r="G236" s="44" t="s">
        <v>1123</v>
      </c>
      <c r="H236" s="44" t="s">
        <v>1124</v>
      </c>
      <c r="I236" s="44" t="s">
        <v>1106</v>
      </c>
      <c r="J236" s="44">
        <v>68</v>
      </c>
      <c r="K236" s="44" t="s">
        <v>1144</v>
      </c>
      <c r="L236" s="44"/>
      <c r="M236" s="44" t="s">
        <v>1109</v>
      </c>
      <c r="N236" s="45">
        <v>39131692321</v>
      </c>
      <c r="O236" s="46">
        <f t="shared" si="5"/>
        <v>39131.692321000002</v>
      </c>
      <c r="P236" s="47">
        <f>KOHC!G40</f>
        <v>39131.692321000002</v>
      </c>
      <c r="Q236" s="44" t="str">
        <f t="shared" si="6"/>
        <v>PASS</v>
      </c>
      <c r="R236" s="44" t="s">
        <v>1110</v>
      </c>
      <c r="S236" s="44"/>
    </row>
    <row r="237" spans="1:19" x14ac:dyDescent="0.3">
      <c r="A237" s="44" t="s">
        <v>1238</v>
      </c>
      <c r="B237" s="44" t="s">
        <v>18</v>
      </c>
      <c r="C237" s="44" t="s">
        <v>29</v>
      </c>
      <c r="D237" s="44" t="s">
        <v>282</v>
      </c>
      <c r="E237" s="44" t="s">
        <v>1035</v>
      </c>
      <c r="F237" s="44" t="s">
        <v>1233</v>
      </c>
      <c r="G237" s="44" t="s">
        <v>1123</v>
      </c>
      <c r="H237" s="44" t="s">
        <v>1124</v>
      </c>
      <c r="I237" s="44" t="s">
        <v>1127</v>
      </c>
      <c r="J237" s="44">
        <v>68</v>
      </c>
      <c r="K237" s="44" t="s">
        <v>1144</v>
      </c>
      <c r="L237" s="44"/>
      <c r="M237" s="44" t="s">
        <v>1109</v>
      </c>
      <c r="N237" s="45">
        <v>46116581817</v>
      </c>
      <c r="O237" s="46">
        <f t="shared" si="5"/>
        <v>46116.581816999998</v>
      </c>
      <c r="P237" s="47">
        <f>KOHC!H40</f>
        <v>46116.581816999998</v>
      </c>
      <c r="Q237" s="44" t="str">
        <f t="shared" si="6"/>
        <v>PASS</v>
      </c>
      <c r="R237" s="44" t="s">
        <v>1110</v>
      </c>
      <c r="S237" s="44"/>
    </row>
    <row r="238" spans="1:19" x14ac:dyDescent="0.3">
      <c r="A238" s="44" t="s">
        <v>1239</v>
      </c>
      <c r="B238" s="44" t="s">
        <v>18</v>
      </c>
      <c r="C238" s="44" t="s">
        <v>965</v>
      </c>
      <c r="D238" s="44" t="s">
        <v>287</v>
      </c>
      <c r="E238" s="44" t="s">
        <v>1035</v>
      </c>
      <c r="F238" s="44" t="s">
        <v>1240</v>
      </c>
      <c r="G238" s="44" t="s">
        <v>1104</v>
      </c>
      <c r="H238" s="44" t="s">
        <v>1105</v>
      </c>
      <c r="I238" s="44" t="s">
        <v>1106</v>
      </c>
      <c r="J238" s="44">
        <v>44</v>
      </c>
      <c r="K238" s="44" t="s">
        <v>1139</v>
      </c>
      <c r="L238" s="44" t="s">
        <v>1241</v>
      </c>
      <c r="M238" s="44" t="s">
        <v>1109</v>
      </c>
      <c r="N238" s="45">
        <v>5439226142</v>
      </c>
      <c r="O238" s="46">
        <f t="shared" si="5"/>
        <v>5439.2261420000004</v>
      </c>
      <c r="P238" s="47">
        <f>KOHC!C43</f>
        <v>5439.2261420000004</v>
      </c>
      <c r="Q238" s="44" t="str">
        <f t="shared" si="6"/>
        <v>PASS</v>
      </c>
      <c r="R238" s="44" t="s">
        <v>1110</v>
      </c>
      <c r="S238" s="44"/>
    </row>
    <row r="239" spans="1:19" x14ac:dyDescent="0.3">
      <c r="A239" s="44" t="s">
        <v>1242</v>
      </c>
      <c r="B239" s="44" t="s">
        <v>18</v>
      </c>
      <c r="C239" s="44" t="s">
        <v>20</v>
      </c>
      <c r="D239" s="44" t="s">
        <v>287</v>
      </c>
      <c r="E239" s="44" t="s">
        <v>1035</v>
      </c>
      <c r="F239" s="44" t="s">
        <v>1240</v>
      </c>
      <c r="G239" s="44" t="s">
        <v>1112</v>
      </c>
      <c r="H239" s="44" t="s">
        <v>1113</v>
      </c>
      <c r="I239" s="44" t="s">
        <v>1106</v>
      </c>
      <c r="J239" s="44">
        <v>52</v>
      </c>
      <c r="K239" s="44" t="s">
        <v>1139</v>
      </c>
      <c r="L239" s="44" t="s">
        <v>1241</v>
      </c>
      <c r="M239" s="44" t="s">
        <v>1109</v>
      </c>
      <c r="N239" s="45">
        <v>4405765306</v>
      </c>
      <c r="O239" s="46">
        <f t="shared" si="5"/>
        <v>4405.7653060000002</v>
      </c>
      <c r="P239" s="47">
        <f>KOHC!D43</f>
        <v>4405.7653060000002</v>
      </c>
      <c r="Q239" s="44" t="str">
        <f t="shared" si="6"/>
        <v>PASS</v>
      </c>
      <c r="R239" s="44" t="s">
        <v>1110</v>
      </c>
      <c r="S239" s="44"/>
    </row>
    <row r="240" spans="1:19" x14ac:dyDescent="0.3">
      <c r="A240" s="44" t="s">
        <v>1243</v>
      </c>
      <c r="B240" s="44" t="s">
        <v>18</v>
      </c>
      <c r="C240" s="44" t="s">
        <v>26</v>
      </c>
      <c r="D240" s="44" t="s">
        <v>287</v>
      </c>
      <c r="E240" s="44" t="s">
        <v>1035</v>
      </c>
      <c r="F240" s="44" t="s">
        <v>1240</v>
      </c>
      <c r="G240" s="44" t="s">
        <v>1116</v>
      </c>
      <c r="H240" s="44" t="s">
        <v>1117</v>
      </c>
      <c r="I240" s="44" t="s">
        <v>1106</v>
      </c>
      <c r="J240" s="44">
        <v>52</v>
      </c>
      <c r="K240" s="44" t="s">
        <v>1139</v>
      </c>
      <c r="L240" s="44" t="s">
        <v>1241</v>
      </c>
      <c r="M240" s="44" t="s">
        <v>1109</v>
      </c>
      <c r="N240" s="45">
        <v>3179400118</v>
      </c>
      <c r="O240" s="46">
        <f t="shared" si="5"/>
        <v>3179.400118</v>
      </c>
      <c r="P240" s="47">
        <f>KOHC!E43</f>
        <v>3179.400118</v>
      </c>
      <c r="Q240" s="44" t="str">
        <f t="shared" si="6"/>
        <v>PASS</v>
      </c>
      <c r="R240" s="44" t="s">
        <v>1110</v>
      </c>
      <c r="S240" s="44"/>
    </row>
    <row r="241" spans="1:19" x14ac:dyDescent="0.3">
      <c r="A241" s="44" t="s">
        <v>1244</v>
      </c>
      <c r="B241" s="44" t="s">
        <v>18</v>
      </c>
      <c r="C241" s="44" t="s">
        <v>27</v>
      </c>
      <c r="D241" s="44" t="s">
        <v>287</v>
      </c>
      <c r="E241" s="44" t="s">
        <v>1035</v>
      </c>
      <c r="F241" s="44" t="s">
        <v>1240</v>
      </c>
      <c r="G241" s="44" t="s">
        <v>1119</v>
      </c>
      <c r="H241" s="44" t="s">
        <v>1120</v>
      </c>
      <c r="I241" s="44" t="s">
        <v>1106</v>
      </c>
      <c r="J241" s="44">
        <v>58</v>
      </c>
      <c r="K241" s="44" t="s">
        <v>1139</v>
      </c>
      <c r="L241" s="44" t="s">
        <v>1241</v>
      </c>
      <c r="M241" s="44" t="s">
        <v>1109</v>
      </c>
      <c r="N241" s="45">
        <v>2149017375</v>
      </c>
      <c r="O241" s="46">
        <f t="shared" si="5"/>
        <v>2149.0173749999999</v>
      </c>
      <c r="P241" s="47">
        <f>KOHC!F43</f>
        <v>2149.0173749999999</v>
      </c>
      <c r="Q241" s="44" t="str">
        <f t="shared" si="6"/>
        <v>PASS</v>
      </c>
      <c r="R241" s="44" t="s">
        <v>1110</v>
      </c>
      <c r="S241" s="44"/>
    </row>
    <row r="242" spans="1:19" x14ac:dyDescent="0.3">
      <c r="A242" s="44" t="s">
        <v>1245</v>
      </c>
      <c r="B242" s="44" t="s">
        <v>18</v>
      </c>
      <c r="C242" s="44" t="s">
        <v>28</v>
      </c>
      <c r="D242" s="44" t="s">
        <v>287</v>
      </c>
      <c r="E242" s="44" t="s">
        <v>1035</v>
      </c>
      <c r="F242" s="44" t="s">
        <v>1240</v>
      </c>
      <c r="G242" s="44" t="s">
        <v>1123</v>
      </c>
      <c r="H242" s="44" t="s">
        <v>1124</v>
      </c>
      <c r="I242" s="44" t="s">
        <v>1106</v>
      </c>
      <c r="J242" s="44">
        <v>68</v>
      </c>
      <c r="K242" s="44" t="s">
        <v>1144</v>
      </c>
      <c r="L242" s="44" t="s">
        <v>1241</v>
      </c>
      <c r="M242" s="44" t="s">
        <v>1109</v>
      </c>
      <c r="N242" s="45">
        <v>1118642478</v>
      </c>
      <c r="O242" s="46">
        <f t="shared" si="5"/>
        <v>1118.642478</v>
      </c>
      <c r="P242" s="47">
        <f>KOHC!G43</f>
        <v>1118.642478</v>
      </c>
      <c r="Q242" s="44" t="str">
        <f t="shared" si="6"/>
        <v>PASS</v>
      </c>
      <c r="R242" s="44" t="s">
        <v>1110</v>
      </c>
      <c r="S242" s="44"/>
    </row>
    <row r="243" spans="1:19" x14ac:dyDescent="0.3">
      <c r="A243" s="44" t="s">
        <v>1246</v>
      </c>
      <c r="B243" s="44" t="s">
        <v>18</v>
      </c>
      <c r="C243" s="44" t="s">
        <v>29</v>
      </c>
      <c r="D243" s="44" t="s">
        <v>287</v>
      </c>
      <c r="E243" s="44" t="s">
        <v>1035</v>
      </c>
      <c r="F243" s="44" t="s">
        <v>1240</v>
      </c>
      <c r="G243" s="44" t="s">
        <v>1123</v>
      </c>
      <c r="H243" s="44" t="s">
        <v>1124</v>
      </c>
      <c r="I243" s="44" t="s">
        <v>1127</v>
      </c>
      <c r="J243" s="44">
        <v>68</v>
      </c>
      <c r="K243" s="44" t="s">
        <v>1144</v>
      </c>
      <c r="L243" s="44" t="s">
        <v>1241</v>
      </c>
      <c r="M243" s="44" t="s">
        <v>1109</v>
      </c>
      <c r="N243" s="45">
        <v>1448977799</v>
      </c>
      <c r="O243" s="46">
        <f t="shared" si="5"/>
        <v>1448.977799</v>
      </c>
      <c r="P243" s="47">
        <f>KOHC!H43</f>
        <v>1448.977799</v>
      </c>
      <c r="Q243" s="44" t="str">
        <f t="shared" si="6"/>
        <v>PASS</v>
      </c>
      <c r="R243" s="44" t="s">
        <v>1110</v>
      </c>
      <c r="S243" s="44"/>
    </row>
    <row r="244" spans="1:19" x14ac:dyDescent="0.3">
      <c r="A244" s="44" t="s">
        <v>1247</v>
      </c>
      <c r="B244" s="44" t="s">
        <v>18</v>
      </c>
      <c r="C244" s="44" t="s">
        <v>965</v>
      </c>
      <c r="D244" s="44" t="s">
        <v>289</v>
      </c>
      <c r="E244" s="44" t="s">
        <v>1035</v>
      </c>
      <c r="F244" s="44"/>
      <c r="G244" s="44" t="s">
        <v>1104</v>
      </c>
      <c r="H244" s="44" t="s">
        <v>1105</v>
      </c>
      <c r="I244" s="44" t="s">
        <v>1106</v>
      </c>
      <c r="J244" s="44">
        <v>44</v>
      </c>
      <c r="K244" s="44" t="s">
        <v>1139</v>
      </c>
      <c r="L244" s="44"/>
      <c r="M244" s="44" t="s">
        <v>1109</v>
      </c>
      <c r="N244" s="45">
        <v>0</v>
      </c>
      <c r="O244" s="46">
        <f t="shared" si="5"/>
        <v>0</v>
      </c>
      <c r="P244" s="47">
        <f>KOHC!C44</f>
        <v>0</v>
      </c>
      <c r="Q244" s="44" t="str">
        <f t="shared" si="6"/>
        <v>PASS</v>
      </c>
      <c r="R244" s="44" t="s">
        <v>1110</v>
      </c>
      <c r="S244" s="44"/>
    </row>
    <row r="245" spans="1:19" x14ac:dyDescent="0.3">
      <c r="A245" s="44" t="s">
        <v>1248</v>
      </c>
      <c r="B245" s="44" t="s">
        <v>18</v>
      </c>
      <c r="C245" s="44" t="s">
        <v>20</v>
      </c>
      <c r="D245" s="44" t="s">
        <v>289</v>
      </c>
      <c r="E245" s="44" t="s">
        <v>1035</v>
      </c>
      <c r="F245" s="44"/>
      <c r="G245" s="44" t="s">
        <v>1112</v>
      </c>
      <c r="H245" s="44" t="s">
        <v>1113</v>
      </c>
      <c r="I245" s="44" t="s">
        <v>1106</v>
      </c>
      <c r="J245" s="44">
        <v>52</v>
      </c>
      <c r="K245" s="44" t="s">
        <v>1139</v>
      </c>
      <c r="L245" s="44"/>
      <c r="M245" s="44" t="s">
        <v>1109</v>
      </c>
      <c r="N245" s="45">
        <v>0</v>
      </c>
      <c r="O245" s="46">
        <f t="shared" si="5"/>
        <v>0</v>
      </c>
      <c r="P245" s="47">
        <f>KOHC!D44</f>
        <v>0</v>
      </c>
      <c r="Q245" s="44" t="str">
        <f t="shared" si="6"/>
        <v>PASS</v>
      </c>
      <c r="R245" s="44" t="s">
        <v>1110</v>
      </c>
      <c r="S245" s="44"/>
    </row>
    <row r="246" spans="1:19" x14ac:dyDescent="0.3">
      <c r="A246" s="44" t="s">
        <v>1249</v>
      </c>
      <c r="B246" s="44" t="s">
        <v>18</v>
      </c>
      <c r="C246" s="44" t="s">
        <v>26</v>
      </c>
      <c r="D246" s="44" t="s">
        <v>289</v>
      </c>
      <c r="E246" s="44" t="s">
        <v>1035</v>
      </c>
      <c r="F246" s="44"/>
      <c r="G246" s="44" t="s">
        <v>1116</v>
      </c>
      <c r="H246" s="44" t="s">
        <v>1117</v>
      </c>
      <c r="I246" s="44" t="s">
        <v>1106</v>
      </c>
      <c r="J246" s="44">
        <v>52</v>
      </c>
      <c r="K246" s="44" t="s">
        <v>1139</v>
      </c>
      <c r="L246" s="44"/>
      <c r="M246" s="44" t="s">
        <v>1109</v>
      </c>
      <c r="N246" s="45">
        <v>0</v>
      </c>
      <c r="O246" s="46">
        <f t="shared" si="5"/>
        <v>0</v>
      </c>
      <c r="P246" s="47">
        <f>KOHC!E44</f>
        <v>0</v>
      </c>
      <c r="Q246" s="44" t="str">
        <f t="shared" si="6"/>
        <v>PASS</v>
      </c>
      <c r="R246" s="44" t="s">
        <v>1110</v>
      </c>
      <c r="S246" s="44"/>
    </row>
    <row r="247" spans="1:19" x14ac:dyDescent="0.3">
      <c r="A247" s="44" t="s">
        <v>1250</v>
      </c>
      <c r="B247" s="44" t="s">
        <v>18</v>
      </c>
      <c r="C247" s="44" t="s">
        <v>27</v>
      </c>
      <c r="D247" s="44" t="s">
        <v>289</v>
      </c>
      <c r="E247" s="44" t="s">
        <v>1035</v>
      </c>
      <c r="F247" s="44"/>
      <c r="G247" s="44" t="s">
        <v>1119</v>
      </c>
      <c r="H247" s="44" t="s">
        <v>1120</v>
      </c>
      <c r="I247" s="44" t="s">
        <v>1106</v>
      </c>
      <c r="J247" s="44">
        <v>58</v>
      </c>
      <c r="K247" s="44" t="s">
        <v>1139</v>
      </c>
      <c r="L247" s="44"/>
      <c r="M247" s="44" t="s">
        <v>1109</v>
      </c>
      <c r="N247" s="45">
        <v>0</v>
      </c>
      <c r="O247" s="46">
        <f t="shared" si="5"/>
        <v>0</v>
      </c>
      <c r="P247" s="47">
        <f>KOHC!F44</f>
        <v>0</v>
      </c>
      <c r="Q247" s="44" t="str">
        <f t="shared" si="6"/>
        <v>PASS</v>
      </c>
      <c r="R247" s="44" t="s">
        <v>1110</v>
      </c>
      <c r="S247" s="44"/>
    </row>
    <row r="248" spans="1:19" x14ac:dyDescent="0.3">
      <c r="A248" s="44" t="s">
        <v>1251</v>
      </c>
      <c r="B248" s="44" t="s">
        <v>18</v>
      </c>
      <c r="C248" s="44" t="s">
        <v>28</v>
      </c>
      <c r="D248" s="44" t="s">
        <v>289</v>
      </c>
      <c r="E248" s="44" t="s">
        <v>1035</v>
      </c>
      <c r="F248" s="44"/>
      <c r="G248" s="44" t="s">
        <v>1123</v>
      </c>
      <c r="H248" s="44" t="s">
        <v>1124</v>
      </c>
      <c r="I248" s="44" t="s">
        <v>1106</v>
      </c>
      <c r="J248" s="44">
        <v>68</v>
      </c>
      <c r="K248" s="44" t="s">
        <v>1144</v>
      </c>
      <c r="L248" s="44"/>
      <c r="M248" s="44" t="s">
        <v>1109</v>
      </c>
      <c r="N248" s="45">
        <v>0</v>
      </c>
      <c r="O248" s="46">
        <f t="shared" si="5"/>
        <v>0</v>
      </c>
      <c r="P248" s="47">
        <f>KOHC!G44</f>
        <v>0</v>
      </c>
      <c r="Q248" s="44" t="str">
        <f t="shared" si="6"/>
        <v>PASS</v>
      </c>
      <c r="R248" s="44" t="s">
        <v>1110</v>
      </c>
      <c r="S248" s="44"/>
    </row>
    <row r="249" spans="1:19" x14ac:dyDescent="0.3">
      <c r="A249" s="44" t="s">
        <v>1252</v>
      </c>
      <c r="B249" s="44" t="s">
        <v>18</v>
      </c>
      <c r="C249" s="44" t="s">
        <v>29</v>
      </c>
      <c r="D249" s="44" t="s">
        <v>289</v>
      </c>
      <c r="E249" s="44" t="s">
        <v>1035</v>
      </c>
      <c r="F249" s="44"/>
      <c r="G249" s="44" t="s">
        <v>1123</v>
      </c>
      <c r="H249" s="44" t="s">
        <v>1124</v>
      </c>
      <c r="I249" s="44" t="s">
        <v>1127</v>
      </c>
      <c r="J249" s="44">
        <v>68</v>
      </c>
      <c r="K249" s="44" t="s">
        <v>1144</v>
      </c>
      <c r="L249" s="44"/>
      <c r="M249" s="44" t="s">
        <v>1109</v>
      </c>
      <c r="N249" s="45">
        <v>0</v>
      </c>
      <c r="O249" s="46">
        <f t="shared" si="5"/>
        <v>0</v>
      </c>
      <c r="P249" s="47">
        <f>KOHC!H44</f>
        <v>0</v>
      </c>
      <c r="Q249" s="44" t="str">
        <f t="shared" si="6"/>
        <v>PASS</v>
      </c>
      <c r="R249" s="44" t="s">
        <v>1110</v>
      </c>
      <c r="S249" s="44"/>
    </row>
    <row r="250" spans="1:19" x14ac:dyDescent="0.3">
      <c r="A250" s="44" t="s">
        <v>1253</v>
      </c>
      <c r="B250" s="44" t="s">
        <v>18</v>
      </c>
      <c r="C250" s="44" t="s">
        <v>965</v>
      </c>
      <c r="D250" s="44" t="s">
        <v>291</v>
      </c>
      <c r="E250" s="44" t="s">
        <v>1035</v>
      </c>
      <c r="F250" s="44" t="s">
        <v>1254</v>
      </c>
      <c r="G250" s="44" t="s">
        <v>1104</v>
      </c>
      <c r="H250" s="44" t="s">
        <v>1105</v>
      </c>
      <c r="I250" s="44" t="s">
        <v>1106</v>
      </c>
      <c r="J250" s="44">
        <v>44</v>
      </c>
      <c r="K250" s="44" t="s">
        <v>1139</v>
      </c>
      <c r="L250" s="44" t="s">
        <v>1255</v>
      </c>
      <c r="M250" s="44" t="s">
        <v>1109</v>
      </c>
      <c r="N250" s="45">
        <v>0</v>
      </c>
      <c r="O250" s="46">
        <f t="shared" si="5"/>
        <v>0</v>
      </c>
      <c r="P250" s="47">
        <f>KOHC!C45</f>
        <v>0</v>
      </c>
      <c r="Q250" s="44" t="str">
        <f t="shared" si="6"/>
        <v>PASS</v>
      </c>
      <c r="R250" s="44" t="s">
        <v>1110</v>
      </c>
      <c r="S250" s="44"/>
    </row>
    <row r="251" spans="1:19" x14ac:dyDescent="0.3">
      <c r="A251" s="44" t="s">
        <v>1256</v>
      </c>
      <c r="B251" s="44" t="s">
        <v>18</v>
      </c>
      <c r="C251" s="44" t="s">
        <v>20</v>
      </c>
      <c r="D251" s="44" t="s">
        <v>291</v>
      </c>
      <c r="E251" s="44" t="s">
        <v>1035</v>
      </c>
      <c r="F251" s="44" t="s">
        <v>1254</v>
      </c>
      <c r="G251" s="44" t="s">
        <v>1112</v>
      </c>
      <c r="H251" s="44" t="s">
        <v>1113</v>
      </c>
      <c r="I251" s="44" t="s">
        <v>1106</v>
      </c>
      <c r="J251" s="44">
        <v>52</v>
      </c>
      <c r="K251" s="44" t="s">
        <v>1139</v>
      </c>
      <c r="L251" s="44" t="s">
        <v>1255</v>
      </c>
      <c r="M251" s="44" t="s">
        <v>1109</v>
      </c>
      <c r="N251" s="45">
        <v>1328937</v>
      </c>
      <c r="O251" s="46">
        <f t="shared" si="5"/>
        <v>1.328937</v>
      </c>
      <c r="P251" s="47">
        <f>KOHC!D45</f>
        <v>1.328937</v>
      </c>
      <c r="Q251" s="44" t="str">
        <f t="shared" si="6"/>
        <v>PASS</v>
      </c>
      <c r="R251" s="44" t="s">
        <v>1110</v>
      </c>
      <c r="S251" s="44"/>
    </row>
    <row r="252" spans="1:19" x14ac:dyDescent="0.3">
      <c r="A252" s="44" t="s">
        <v>1257</v>
      </c>
      <c r="B252" s="44" t="s">
        <v>18</v>
      </c>
      <c r="C252" s="44" t="s">
        <v>26</v>
      </c>
      <c r="D252" s="44" t="s">
        <v>291</v>
      </c>
      <c r="E252" s="44" t="s">
        <v>1035</v>
      </c>
      <c r="F252" s="44"/>
      <c r="G252" s="44" t="s">
        <v>1116</v>
      </c>
      <c r="H252" s="44" t="s">
        <v>1117</v>
      </c>
      <c r="I252" s="44" t="s">
        <v>1106</v>
      </c>
      <c r="J252" s="44">
        <v>52</v>
      </c>
      <c r="K252" s="44" t="s">
        <v>1139</v>
      </c>
      <c r="L252" s="44"/>
      <c r="M252" s="44" t="s">
        <v>1109</v>
      </c>
      <c r="N252" s="45">
        <v>0</v>
      </c>
      <c r="O252" s="46">
        <f t="shared" si="5"/>
        <v>0</v>
      </c>
      <c r="P252" s="47">
        <f>KOHC!E45</f>
        <v>0</v>
      </c>
      <c r="Q252" s="44" t="str">
        <f t="shared" si="6"/>
        <v>PASS</v>
      </c>
      <c r="R252" s="44" t="s">
        <v>1110</v>
      </c>
      <c r="S252" s="44"/>
    </row>
    <row r="253" spans="1:19" x14ac:dyDescent="0.3">
      <c r="A253" s="44" t="s">
        <v>1258</v>
      </c>
      <c r="B253" s="44" t="s">
        <v>18</v>
      </c>
      <c r="C253" s="44" t="s">
        <v>27</v>
      </c>
      <c r="D253" s="44" t="s">
        <v>291</v>
      </c>
      <c r="E253" s="44" t="s">
        <v>1035</v>
      </c>
      <c r="F253" s="44"/>
      <c r="G253" s="44" t="s">
        <v>1119</v>
      </c>
      <c r="H253" s="44" t="s">
        <v>1120</v>
      </c>
      <c r="I253" s="44" t="s">
        <v>1106</v>
      </c>
      <c r="J253" s="44">
        <v>58</v>
      </c>
      <c r="K253" s="44" t="s">
        <v>1139</v>
      </c>
      <c r="L253" s="44"/>
      <c r="M253" s="44" t="s">
        <v>1109</v>
      </c>
      <c r="N253" s="45">
        <v>0</v>
      </c>
      <c r="O253" s="46">
        <f t="shared" si="5"/>
        <v>0</v>
      </c>
      <c r="P253" s="47">
        <f>KOHC!F45</f>
        <v>0</v>
      </c>
      <c r="Q253" s="44" t="str">
        <f t="shared" si="6"/>
        <v>PASS</v>
      </c>
      <c r="R253" s="44" t="s">
        <v>1110</v>
      </c>
      <c r="S253" s="44"/>
    </row>
    <row r="254" spans="1:19" x14ac:dyDescent="0.3">
      <c r="A254" s="44" t="s">
        <v>1259</v>
      </c>
      <c r="B254" s="44" t="s">
        <v>18</v>
      </c>
      <c r="C254" s="44" t="s">
        <v>28</v>
      </c>
      <c r="D254" s="44" t="s">
        <v>291</v>
      </c>
      <c r="E254" s="44" t="s">
        <v>1035</v>
      </c>
      <c r="F254" s="44"/>
      <c r="G254" s="44" t="s">
        <v>1123</v>
      </c>
      <c r="H254" s="44" t="s">
        <v>1124</v>
      </c>
      <c r="I254" s="44" t="s">
        <v>1106</v>
      </c>
      <c r="J254" s="44">
        <v>68</v>
      </c>
      <c r="K254" s="44" t="s">
        <v>1144</v>
      </c>
      <c r="L254" s="44"/>
      <c r="M254" s="44" t="s">
        <v>1109</v>
      </c>
      <c r="N254" s="45">
        <v>0</v>
      </c>
      <c r="O254" s="46">
        <f t="shared" si="5"/>
        <v>0</v>
      </c>
      <c r="P254" s="47">
        <f>KOHC!G45</f>
        <v>0</v>
      </c>
      <c r="Q254" s="44" t="str">
        <f t="shared" si="6"/>
        <v>PASS</v>
      </c>
      <c r="R254" s="44" t="s">
        <v>1110</v>
      </c>
      <c r="S254" s="44"/>
    </row>
    <row r="255" spans="1:19" x14ac:dyDescent="0.3">
      <c r="A255" s="44" t="s">
        <v>1260</v>
      </c>
      <c r="B255" s="44" t="s">
        <v>18</v>
      </c>
      <c r="C255" s="44" t="s">
        <v>29</v>
      </c>
      <c r="D255" s="44" t="s">
        <v>291</v>
      </c>
      <c r="E255" s="44" t="s">
        <v>1035</v>
      </c>
      <c r="F255" s="44"/>
      <c r="G255" s="44" t="s">
        <v>1123</v>
      </c>
      <c r="H255" s="44" t="s">
        <v>1124</v>
      </c>
      <c r="I255" s="44" t="s">
        <v>1127</v>
      </c>
      <c r="J255" s="44">
        <v>68</v>
      </c>
      <c r="K255" s="44" t="s">
        <v>1144</v>
      </c>
      <c r="L255" s="44"/>
      <c r="M255" s="44" t="s">
        <v>1109</v>
      </c>
      <c r="N255" s="45">
        <v>0</v>
      </c>
      <c r="O255" s="46">
        <f t="shared" si="5"/>
        <v>0</v>
      </c>
      <c r="P255" s="47">
        <f>KOHC!H45</f>
        <v>0</v>
      </c>
      <c r="Q255" s="44" t="str">
        <f t="shared" si="6"/>
        <v>PASS</v>
      </c>
      <c r="R255" s="44" t="s">
        <v>1110</v>
      </c>
      <c r="S255" s="44"/>
    </row>
    <row r="256" spans="1:19" x14ac:dyDescent="0.3">
      <c r="A256" s="44" t="s">
        <v>1261</v>
      </c>
      <c r="B256" s="44" t="s">
        <v>18</v>
      </c>
      <c r="C256" s="44" t="s">
        <v>965</v>
      </c>
      <c r="D256" s="44" t="s">
        <v>293</v>
      </c>
      <c r="E256" s="44" t="s">
        <v>1035</v>
      </c>
      <c r="F256" s="44" t="s">
        <v>1262</v>
      </c>
      <c r="G256" s="44" t="s">
        <v>1104</v>
      </c>
      <c r="H256" s="44" t="s">
        <v>1105</v>
      </c>
      <c r="I256" s="44" t="s">
        <v>1106</v>
      </c>
      <c r="J256" s="44">
        <v>44</v>
      </c>
      <c r="K256" s="44" t="s">
        <v>1139</v>
      </c>
      <c r="L256" s="44"/>
      <c r="M256" s="44" t="s">
        <v>1109</v>
      </c>
      <c r="N256" s="45">
        <v>1287942113</v>
      </c>
      <c r="O256" s="46">
        <f t="shared" si="5"/>
        <v>1287.9421130000001</v>
      </c>
      <c r="P256" s="47">
        <f>KOHC!C46</f>
        <v>1287.9421130000001</v>
      </c>
      <c r="Q256" s="44" t="str">
        <f t="shared" si="6"/>
        <v>PASS</v>
      </c>
      <c r="R256" s="44" t="s">
        <v>1110</v>
      </c>
      <c r="S256" s="44"/>
    </row>
    <row r="257" spans="1:19" x14ac:dyDescent="0.3">
      <c r="A257" s="44" t="s">
        <v>1263</v>
      </c>
      <c r="B257" s="44" t="s">
        <v>18</v>
      </c>
      <c r="C257" s="44" t="s">
        <v>20</v>
      </c>
      <c r="D257" s="44" t="s">
        <v>293</v>
      </c>
      <c r="E257" s="44" t="s">
        <v>1035</v>
      </c>
      <c r="F257" s="44" t="s">
        <v>1262</v>
      </c>
      <c r="G257" s="44" t="s">
        <v>1112</v>
      </c>
      <c r="H257" s="44" t="s">
        <v>1113</v>
      </c>
      <c r="I257" s="44" t="s">
        <v>1106</v>
      </c>
      <c r="J257" s="44">
        <v>52</v>
      </c>
      <c r="K257" s="44" t="s">
        <v>1139</v>
      </c>
      <c r="L257" s="44"/>
      <c r="M257" s="44" t="s">
        <v>1109</v>
      </c>
      <c r="N257" s="45">
        <v>1857649347</v>
      </c>
      <c r="O257" s="46">
        <f t="shared" si="5"/>
        <v>1857.649347</v>
      </c>
      <c r="P257" s="47">
        <f>KOHC!D46</f>
        <v>1857.649347</v>
      </c>
      <c r="Q257" s="44" t="str">
        <f t="shared" si="6"/>
        <v>PASS</v>
      </c>
      <c r="R257" s="44" t="s">
        <v>1110</v>
      </c>
      <c r="S257" s="44"/>
    </row>
    <row r="258" spans="1:19" x14ac:dyDescent="0.3">
      <c r="A258" s="44" t="s">
        <v>1264</v>
      </c>
      <c r="B258" s="44" t="s">
        <v>18</v>
      </c>
      <c r="C258" s="44" t="s">
        <v>26</v>
      </c>
      <c r="D258" s="44" t="s">
        <v>293</v>
      </c>
      <c r="E258" s="44" t="s">
        <v>1035</v>
      </c>
      <c r="F258" s="44" t="s">
        <v>1262</v>
      </c>
      <c r="G258" s="44" t="s">
        <v>1116</v>
      </c>
      <c r="H258" s="44" t="s">
        <v>1117</v>
      </c>
      <c r="I258" s="44" t="s">
        <v>1106</v>
      </c>
      <c r="J258" s="44">
        <v>52</v>
      </c>
      <c r="K258" s="44" t="s">
        <v>1139</v>
      </c>
      <c r="L258" s="44"/>
      <c r="M258" s="44" t="s">
        <v>1109</v>
      </c>
      <c r="N258" s="45">
        <v>3407373618</v>
      </c>
      <c r="O258" s="46">
        <f t="shared" si="5"/>
        <v>3407.3736180000001</v>
      </c>
      <c r="P258" s="47">
        <f>KOHC!E46</f>
        <v>3407.3736180000001</v>
      </c>
      <c r="Q258" s="44" t="str">
        <f t="shared" si="6"/>
        <v>PASS</v>
      </c>
      <c r="R258" s="44" t="s">
        <v>1110</v>
      </c>
      <c r="S258" s="44"/>
    </row>
    <row r="259" spans="1:19" x14ac:dyDescent="0.3">
      <c r="A259" s="44" t="s">
        <v>1265</v>
      </c>
      <c r="B259" s="44" t="s">
        <v>18</v>
      </c>
      <c r="C259" s="44" t="s">
        <v>27</v>
      </c>
      <c r="D259" s="44" t="s">
        <v>293</v>
      </c>
      <c r="E259" s="44" t="s">
        <v>1035</v>
      </c>
      <c r="F259" s="44" t="s">
        <v>1262</v>
      </c>
      <c r="G259" s="44" t="s">
        <v>1119</v>
      </c>
      <c r="H259" s="44" t="s">
        <v>1120</v>
      </c>
      <c r="I259" s="44" t="s">
        <v>1106</v>
      </c>
      <c r="J259" s="44">
        <v>58</v>
      </c>
      <c r="K259" s="44" t="s">
        <v>1139</v>
      </c>
      <c r="L259" s="44"/>
      <c r="M259" s="44" t="s">
        <v>1109</v>
      </c>
      <c r="N259" s="45">
        <v>4823158446</v>
      </c>
      <c r="O259" s="46">
        <f t="shared" si="5"/>
        <v>4823.1584460000004</v>
      </c>
      <c r="P259" s="47">
        <f>KOHC!F46</f>
        <v>4823.1584460000004</v>
      </c>
      <c r="Q259" s="44" t="str">
        <f t="shared" si="6"/>
        <v>PASS</v>
      </c>
      <c r="R259" s="44" t="s">
        <v>1110</v>
      </c>
      <c r="S259" s="44"/>
    </row>
    <row r="260" spans="1:19" x14ac:dyDescent="0.3">
      <c r="A260" s="44" t="s">
        <v>1266</v>
      </c>
      <c r="B260" s="44" t="s">
        <v>18</v>
      </c>
      <c r="C260" s="44" t="s">
        <v>28</v>
      </c>
      <c r="D260" s="44" t="s">
        <v>293</v>
      </c>
      <c r="E260" s="44" t="s">
        <v>1035</v>
      </c>
      <c r="F260" s="44" t="s">
        <v>1262</v>
      </c>
      <c r="G260" s="44" t="s">
        <v>1123</v>
      </c>
      <c r="H260" s="44" t="s">
        <v>1124</v>
      </c>
      <c r="I260" s="44" t="s">
        <v>1106</v>
      </c>
      <c r="J260" s="44">
        <v>68</v>
      </c>
      <c r="K260" s="44" t="s">
        <v>1144</v>
      </c>
      <c r="L260" s="44"/>
      <c r="M260" s="44" t="s">
        <v>1109</v>
      </c>
      <c r="N260" s="45">
        <v>5505823994</v>
      </c>
      <c r="O260" s="46">
        <f t="shared" si="5"/>
        <v>5505.8239940000003</v>
      </c>
      <c r="P260" s="47">
        <f>KOHC!G46</f>
        <v>5505.8239940000003</v>
      </c>
      <c r="Q260" s="44" t="str">
        <f t="shared" si="6"/>
        <v>PASS</v>
      </c>
      <c r="R260" s="44" t="s">
        <v>1110</v>
      </c>
      <c r="S260" s="44"/>
    </row>
    <row r="261" spans="1:19" x14ac:dyDescent="0.3">
      <c r="A261" s="44" t="s">
        <v>1267</v>
      </c>
      <c r="B261" s="44" t="s">
        <v>18</v>
      </c>
      <c r="C261" s="44" t="s">
        <v>29</v>
      </c>
      <c r="D261" s="44" t="s">
        <v>293</v>
      </c>
      <c r="E261" s="44" t="s">
        <v>1035</v>
      </c>
      <c r="F261" s="44" t="s">
        <v>1262</v>
      </c>
      <c r="G261" s="44" t="s">
        <v>1123</v>
      </c>
      <c r="H261" s="44" t="s">
        <v>1124</v>
      </c>
      <c r="I261" s="44" t="s">
        <v>1127</v>
      </c>
      <c r="J261" s="44">
        <v>68</v>
      </c>
      <c r="K261" s="44" t="s">
        <v>1144</v>
      </c>
      <c r="L261" s="44"/>
      <c r="M261" s="44" t="s">
        <v>1109</v>
      </c>
      <c r="N261" s="45">
        <v>5688116040</v>
      </c>
      <c r="O261" s="46">
        <f t="shared" si="5"/>
        <v>5688.1160399999999</v>
      </c>
      <c r="P261" s="47">
        <f>KOHC!H46</f>
        <v>5688.1160399999999</v>
      </c>
      <c r="Q261" s="44" t="str">
        <f t="shared" si="6"/>
        <v>PASS</v>
      </c>
      <c r="R261" s="44" t="s">
        <v>1110</v>
      </c>
      <c r="S261" s="44"/>
    </row>
    <row r="262" spans="1:19" x14ac:dyDescent="0.3">
      <c r="A262" s="44" t="s">
        <v>1268</v>
      </c>
      <c r="B262" s="44" t="s">
        <v>18</v>
      </c>
      <c r="C262" s="44" t="s">
        <v>965</v>
      </c>
      <c r="D262" s="44" t="s">
        <v>295</v>
      </c>
      <c r="E262" s="44" t="s">
        <v>1035</v>
      </c>
      <c r="F262" s="44" t="s">
        <v>1269</v>
      </c>
      <c r="G262" s="44" t="s">
        <v>1104</v>
      </c>
      <c r="H262" s="44" t="s">
        <v>1105</v>
      </c>
      <c r="I262" s="44" t="s">
        <v>1106</v>
      </c>
      <c r="J262" s="44">
        <v>44</v>
      </c>
      <c r="K262" s="44" t="s">
        <v>1139</v>
      </c>
      <c r="L262" s="44" t="s">
        <v>1270</v>
      </c>
      <c r="M262" s="44" t="s">
        <v>1109</v>
      </c>
      <c r="N262" s="45">
        <v>23277456</v>
      </c>
      <c r="O262" s="46">
        <f t="shared" si="5"/>
        <v>23.277456000000001</v>
      </c>
      <c r="P262" s="47">
        <f>KOHC!C47</f>
        <v>23.277456000000001</v>
      </c>
      <c r="Q262" s="44" t="str">
        <f t="shared" si="6"/>
        <v>PASS</v>
      </c>
      <c r="R262" s="44" t="s">
        <v>1110</v>
      </c>
      <c r="S262" s="44"/>
    </row>
    <row r="263" spans="1:19" x14ac:dyDescent="0.3">
      <c r="A263" s="44" t="s">
        <v>1271</v>
      </c>
      <c r="B263" s="44" t="s">
        <v>18</v>
      </c>
      <c r="C263" s="44" t="s">
        <v>20</v>
      </c>
      <c r="D263" s="44" t="s">
        <v>295</v>
      </c>
      <c r="E263" s="44" t="s">
        <v>1035</v>
      </c>
      <c r="F263" s="44" t="s">
        <v>1269</v>
      </c>
      <c r="G263" s="44" t="s">
        <v>1112</v>
      </c>
      <c r="H263" s="44" t="s">
        <v>1113</v>
      </c>
      <c r="I263" s="44" t="s">
        <v>1106</v>
      </c>
      <c r="J263" s="44">
        <v>52</v>
      </c>
      <c r="K263" s="44" t="s">
        <v>1139</v>
      </c>
      <c r="L263" s="44" t="s">
        <v>1270</v>
      </c>
      <c r="M263" s="44" t="s">
        <v>1109</v>
      </c>
      <c r="N263" s="45">
        <v>26394536</v>
      </c>
      <c r="O263" s="46">
        <f t="shared" si="5"/>
        <v>26.394535999999999</v>
      </c>
      <c r="P263" s="47">
        <f>KOHC!D47</f>
        <v>26.394535999999999</v>
      </c>
      <c r="Q263" s="44" t="str">
        <f t="shared" si="6"/>
        <v>PASS</v>
      </c>
      <c r="R263" s="44" t="s">
        <v>1110</v>
      </c>
      <c r="S263" s="44"/>
    </row>
    <row r="264" spans="1:19" x14ac:dyDescent="0.3">
      <c r="A264" s="44" t="s">
        <v>1272</v>
      </c>
      <c r="B264" s="44" t="s">
        <v>18</v>
      </c>
      <c r="C264" s="44" t="s">
        <v>26</v>
      </c>
      <c r="D264" s="44" t="s">
        <v>295</v>
      </c>
      <c r="E264" s="44" t="s">
        <v>1035</v>
      </c>
      <c r="F264" s="44" t="s">
        <v>1269</v>
      </c>
      <c r="G264" s="44" t="s">
        <v>1116</v>
      </c>
      <c r="H264" s="44" t="s">
        <v>1117</v>
      </c>
      <c r="I264" s="44" t="s">
        <v>1106</v>
      </c>
      <c r="J264" s="44">
        <v>52</v>
      </c>
      <c r="K264" s="44" t="s">
        <v>1139</v>
      </c>
      <c r="L264" s="44" t="s">
        <v>1270</v>
      </c>
      <c r="M264" s="44" t="s">
        <v>1109</v>
      </c>
      <c r="N264" s="45">
        <v>29683198</v>
      </c>
      <c r="O264" s="46">
        <f t="shared" si="5"/>
        <v>29.683198000000001</v>
      </c>
      <c r="P264" s="47">
        <f>KOHC!E47</f>
        <v>29.683198000000001</v>
      </c>
      <c r="Q264" s="44" t="str">
        <f t="shared" si="6"/>
        <v>PASS</v>
      </c>
      <c r="R264" s="44" t="s">
        <v>1110</v>
      </c>
      <c r="S264" s="44"/>
    </row>
    <row r="265" spans="1:19" x14ac:dyDescent="0.3">
      <c r="A265" s="44" t="s">
        <v>1273</v>
      </c>
      <c r="B265" s="44" t="s">
        <v>18</v>
      </c>
      <c r="C265" s="44" t="s">
        <v>27</v>
      </c>
      <c r="D265" s="44" t="s">
        <v>295</v>
      </c>
      <c r="E265" s="44" t="s">
        <v>1035</v>
      </c>
      <c r="F265" s="44" t="s">
        <v>1269</v>
      </c>
      <c r="G265" s="44" t="s">
        <v>1119</v>
      </c>
      <c r="H265" s="44" t="s">
        <v>1120</v>
      </c>
      <c r="I265" s="44" t="s">
        <v>1106</v>
      </c>
      <c r="J265" s="44">
        <v>58</v>
      </c>
      <c r="K265" s="44" t="s">
        <v>1139</v>
      </c>
      <c r="L265" s="44" t="s">
        <v>1270</v>
      </c>
      <c r="M265" s="44" t="s">
        <v>1109</v>
      </c>
      <c r="N265" s="45">
        <v>35383341</v>
      </c>
      <c r="O265" s="46">
        <f t="shared" si="5"/>
        <v>35.383341000000001</v>
      </c>
      <c r="P265" s="47">
        <f>KOHC!F47</f>
        <v>35.383341000000001</v>
      </c>
      <c r="Q265" s="44" t="str">
        <f t="shared" si="6"/>
        <v>PASS</v>
      </c>
      <c r="R265" s="44" t="s">
        <v>1110</v>
      </c>
      <c r="S265" s="44"/>
    </row>
    <row r="266" spans="1:19" x14ac:dyDescent="0.3">
      <c r="A266" s="44" t="s">
        <v>1274</v>
      </c>
      <c r="B266" s="44" t="s">
        <v>18</v>
      </c>
      <c r="C266" s="44" t="s">
        <v>28</v>
      </c>
      <c r="D266" s="44" t="s">
        <v>295</v>
      </c>
      <c r="E266" s="44" t="s">
        <v>1035</v>
      </c>
      <c r="F266" s="44" t="s">
        <v>1269</v>
      </c>
      <c r="G266" s="44" t="s">
        <v>1123</v>
      </c>
      <c r="H266" s="44" t="s">
        <v>1124</v>
      </c>
      <c r="I266" s="44" t="s">
        <v>1106</v>
      </c>
      <c r="J266" s="44">
        <v>68</v>
      </c>
      <c r="K266" s="44" t="s">
        <v>1144</v>
      </c>
      <c r="L266" s="44" t="s">
        <v>1270</v>
      </c>
      <c r="M266" s="44" t="s">
        <v>1109</v>
      </c>
      <c r="N266" s="45">
        <v>32887203</v>
      </c>
      <c r="O266" s="46">
        <f t="shared" si="5"/>
        <v>32.887203</v>
      </c>
      <c r="P266" s="47">
        <f>KOHC!G47</f>
        <v>32.887203</v>
      </c>
      <c r="Q266" s="44" t="str">
        <f t="shared" si="6"/>
        <v>PASS</v>
      </c>
      <c r="R266" s="44" t="s">
        <v>1110</v>
      </c>
      <c r="S266" s="44"/>
    </row>
    <row r="267" spans="1:19" x14ac:dyDescent="0.3">
      <c r="A267" s="44" t="s">
        <v>1275</v>
      </c>
      <c r="B267" s="44" t="s">
        <v>18</v>
      </c>
      <c r="C267" s="44" t="s">
        <v>29</v>
      </c>
      <c r="D267" s="44" t="s">
        <v>295</v>
      </c>
      <c r="E267" s="44" t="s">
        <v>1035</v>
      </c>
      <c r="F267" s="44" t="s">
        <v>1269</v>
      </c>
      <c r="G267" s="44" t="s">
        <v>1123</v>
      </c>
      <c r="H267" s="44" t="s">
        <v>1124</v>
      </c>
      <c r="I267" s="44" t="s">
        <v>1127</v>
      </c>
      <c r="J267" s="44">
        <v>68</v>
      </c>
      <c r="K267" s="44" t="s">
        <v>1144</v>
      </c>
      <c r="L267" s="44" t="s">
        <v>1270</v>
      </c>
      <c r="M267" s="44" t="s">
        <v>1109</v>
      </c>
      <c r="N267" s="45">
        <v>40322031</v>
      </c>
      <c r="O267" s="46">
        <f t="shared" si="5"/>
        <v>40.322031000000003</v>
      </c>
      <c r="P267" s="47">
        <f>KOHC!H47</f>
        <v>40.322031000000003</v>
      </c>
      <c r="Q267" s="44" t="str">
        <f t="shared" si="6"/>
        <v>PASS</v>
      </c>
      <c r="R267" s="44" t="s">
        <v>1110</v>
      </c>
      <c r="S267" s="44"/>
    </row>
    <row r="268" spans="1:19" x14ac:dyDescent="0.3">
      <c r="A268" s="44" t="s">
        <v>1276</v>
      </c>
      <c r="B268" s="44" t="s">
        <v>18</v>
      </c>
      <c r="C268" s="44" t="s">
        <v>965</v>
      </c>
      <c r="D268" s="44" t="s">
        <v>300</v>
      </c>
      <c r="E268" s="44" t="s">
        <v>1035</v>
      </c>
      <c r="F268" s="44" t="s">
        <v>300</v>
      </c>
      <c r="G268" s="44" t="s">
        <v>1104</v>
      </c>
      <c r="H268" s="44" t="s">
        <v>1105</v>
      </c>
      <c r="I268" s="44" t="s">
        <v>1106</v>
      </c>
      <c r="J268" s="44">
        <v>44</v>
      </c>
      <c r="K268" s="44" t="s">
        <v>1139</v>
      </c>
      <c r="L268" s="44" t="s">
        <v>1277</v>
      </c>
      <c r="M268" s="44" t="s">
        <v>1109</v>
      </c>
      <c r="N268" s="45">
        <v>4293205395</v>
      </c>
      <c r="O268" s="46">
        <f t="shared" si="5"/>
        <v>4293.205395</v>
      </c>
      <c r="P268" s="47">
        <f>KOHC!C50</f>
        <v>4293.205395</v>
      </c>
      <c r="Q268" s="44" t="str">
        <f t="shared" si="6"/>
        <v>PASS</v>
      </c>
      <c r="R268" s="44" t="s">
        <v>1110</v>
      </c>
      <c r="S268" s="44"/>
    </row>
    <row r="269" spans="1:19" x14ac:dyDescent="0.3">
      <c r="A269" s="44" t="s">
        <v>1278</v>
      </c>
      <c r="B269" s="44" t="s">
        <v>18</v>
      </c>
      <c r="C269" s="44" t="s">
        <v>20</v>
      </c>
      <c r="D269" s="44" t="s">
        <v>300</v>
      </c>
      <c r="E269" s="44" t="s">
        <v>1035</v>
      </c>
      <c r="F269" s="44" t="s">
        <v>300</v>
      </c>
      <c r="G269" s="44" t="s">
        <v>1112</v>
      </c>
      <c r="H269" s="44" t="s">
        <v>1113</v>
      </c>
      <c r="I269" s="44" t="s">
        <v>1106</v>
      </c>
      <c r="J269" s="44">
        <v>52</v>
      </c>
      <c r="K269" s="44" t="s">
        <v>1139</v>
      </c>
      <c r="L269" s="44" t="s">
        <v>1277</v>
      </c>
      <c r="M269" s="44" t="s">
        <v>1109</v>
      </c>
      <c r="N269" s="45">
        <v>4985385529</v>
      </c>
      <c r="O269" s="46">
        <f t="shared" si="5"/>
        <v>4985.3855290000001</v>
      </c>
      <c r="P269" s="47">
        <f>KOHC!D50</f>
        <v>4985.3855290000001</v>
      </c>
      <c r="Q269" s="44" t="str">
        <f t="shared" si="6"/>
        <v>PASS</v>
      </c>
      <c r="R269" s="44" t="s">
        <v>1110</v>
      </c>
      <c r="S269" s="44"/>
    </row>
    <row r="270" spans="1:19" x14ac:dyDescent="0.3">
      <c r="A270" s="44" t="s">
        <v>1279</v>
      </c>
      <c r="B270" s="44" t="s">
        <v>18</v>
      </c>
      <c r="C270" s="44" t="s">
        <v>26</v>
      </c>
      <c r="D270" s="44" t="s">
        <v>300</v>
      </c>
      <c r="E270" s="44" t="s">
        <v>1035</v>
      </c>
      <c r="F270" s="44" t="s">
        <v>300</v>
      </c>
      <c r="G270" s="44" t="s">
        <v>1116</v>
      </c>
      <c r="H270" s="44" t="s">
        <v>1117</v>
      </c>
      <c r="I270" s="44" t="s">
        <v>1106</v>
      </c>
      <c r="J270" s="44">
        <v>52</v>
      </c>
      <c r="K270" s="44" t="s">
        <v>1139</v>
      </c>
      <c r="L270" s="44" t="s">
        <v>1277</v>
      </c>
      <c r="M270" s="44" t="s">
        <v>1109</v>
      </c>
      <c r="N270" s="45">
        <v>5525221208</v>
      </c>
      <c r="O270" s="46">
        <f t="shared" si="5"/>
        <v>5525.2212079999999</v>
      </c>
      <c r="P270" s="47">
        <f>KOHC!E50</f>
        <v>5525.2212079999999</v>
      </c>
      <c r="Q270" s="44" t="str">
        <f t="shared" si="6"/>
        <v>PASS</v>
      </c>
      <c r="R270" s="44" t="s">
        <v>1110</v>
      </c>
      <c r="S270" s="44"/>
    </row>
    <row r="271" spans="1:19" x14ac:dyDescent="0.3">
      <c r="A271" s="44" t="s">
        <v>1280</v>
      </c>
      <c r="B271" s="44" t="s">
        <v>18</v>
      </c>
      <c r="C271" s="44" t="s">
        <v>27</v>
      </c>
      <c r="D271" s="44" t="s">
        <v>300</v>
      </c>
      <c r="E271" s="44" t="s">
        <v>1035</v>
      </c>
      <c r="F271" s="44" t="s">
        <v>300</v>
      </c>
      <c r="G271" s="44" t="s">
        <v>1119</v>
      </c>
      <c r="H271" s="44" t="s">
        <v>1120</v>
      </c>
      <c r="I271" s="44" t="s">
        <v>1106</v>
      </c>
      <c r="J271" s="44">
        <v>58</v>
      </c>
      <c r="K271" s="44" t="s">
        <v>1139</v>
      </c>
      <c r="L271" s="44" t="s">
        <v>1277</v>
      </c>
      <c r="M271" s="44" t="s">
        <v>1109</v>
      </c>
      <c r="N271" s="45">
        <v>5307075353</v>
      </c>
      <c r="O271" s="46">
        <f t="shared" si="5"/>
        <v>5307.0753530000002</v>
      </c>
      <c r="P271" s="47">
        <f>KOHC!F50</f>
        <v>5307.0753530000002</v>
      </c>
      <c r="Q271" s="44" t="str">
        <f t="shared" si="6"/>
        <v>PASS</v>
      </c>
      <c r="R271" s="44" t="s">
        <v>1110</v>
      </c>
      <c r="S271" s="44" t="s">
        <v>1114</v>
      </c>
    </row>
    <row r="272" spans="1:19" x14ac:dyDescent="0.3">
      <c r="A272" s="44" t="s">
        <v>1281</v>
      </c>
      <c r="B272" s="44" t="s">
        <v>18</v>
      </c>
      <c r="C272" s="44" t="s">
        <v>28</v>
      </c>
      <c r="D272" s="44" t="s">
        <v>300</v>
      </c>
      <c r="E272" s="44" t="s">
        <v>1035</v>
      </c>
      <c r="F272" s="44" t="s">
        <v>300</v>
      </c>
      <c r="G272" s="44" t="s">
        <v>1123</v>
      </c>
      <c r="H272" s="44" t="s">
        <v>1124</v>
      </c>
      <c r="I272" s="44" t="s">
        <v>1106</v>
      </c>
      <c r="J272" s="44">
        <v>68</v>
      </c>
      <c r="K272" s="44" t="s">
        <v>1144</v>
      </c>
      <c r="L272" s="44" t="s">
        <v>1277</v>
      </c>
      <c r="M272" s="44" t="s">
        <v>1109</v>
      </c>
      <c r="N272" s="45">
        <v>6223153321</v>
      </c>
      <c r="O272" s="46">
        <f t="shared" si="5"/>
        <v>6223.1533209999998</v>
      </c>
      <c r="P272" s="47">
        <f>KOHC!G50</f>
        <v>6223.1533209999998</v>
      </c>
      <c r="Q272" s="44" t="str">
        <f t="shared" si="6"/>
        <v>PASS</v>
      </c>
      <c r="R272" s="44" t="s">
        <v>1110</v>
      </c>
      <c r="S272" s="44"/>
    </row>
    <row r="273" spans="1:19" x14ac:dyDescent="0.3">
      <c r="A273" s="44" t="s">
        <v>1282</v>
      </c>
      <c r="B273" s="44" t="s">
        <v>18</v>
      </c>
      <c r="C273" s="44" t="s">
        <v>29</v>
      </c>
      <c r="D273" s="44" t="s">
        <v>300</v>
      </c>
      <c r="E273" s="44" t="s">
        <v>1035</v>
      </c>
      <c r="F273" s="44" t="s">
        <v>300</v>
      </c>
      <c r="G273" s="44" t="s">
        <v>1123</v>
      </c>
      <c r="H273" s="44" t="s">
        <v>1124</v>
      </c>
      <c r="I273" s="44" t="s">
        <v>1127</v>
      </c>
      <c r="J273" s="44">
        <v>68</v>
      </c>
      <c r="K273" s="44" t="s">
        <v>1144</v>
      </c>
      <c r="L273" s="44" t="s">
        <v>1277</v>
      </c>
      <c r="M273" s="44" t="s">
        <v>1109</v>
      </c>
      <c r="N273" s="45">
        <v>7710012398</v>
      </c>
      <c r="O273" s="46">
        <f t="shared" si="5"/>
        <v>7710.0123979999998</v>
      </c>
      <c r="P273" s="47">
        <f>KOHC!H50</f>
        <v>7710.0123979999998</v>
      </c>
      <c r="Q273" s="44" t="str">
        <f t="shared" si="6"/>
        <v>PASS</v>
      </c>
      <c r="R273" s="44" t="s">
        <v>1110</v>
      </c>
      <c r="S273" s="44"/>
    </row>
    <row r="274" spans="1:19" x14ac:dyDescent="0.3">
      <c r="A274" s="44" t="s">
        <v>1283</v>
      </c>
      <c r="B274" s="44" t="s">
        <v>18</v>
      </c>
      <c r="C274" s="44" t="s">
        <v>965</v>
      </c>
      <c r="D274" s="44" t="s">
        <v>1284</v>
      </c>
      <c r="E274" s="44" t="s">
        <v>1130</v>
      </c>
      <c r="F274" s="44" t="s">
        <v>1285</v>
      </c>
      <c r="G274" s="44" t="s">
        <v>1104</v>
      </c>
      <c r="H274" s="44" t="s">
        <v>1105</v>
      </c>
      <c r="I274" s="44" t="s">
        <v>1106</v>
      </c>
      <c r="J274" s="44">
        <v>67</v>
      </c>
      <c r="K274" s="44" t="s">
        <v>1139</v>
      </c>
      <c r="L274" s="44"/>
      <c r="M274" s="44" t="s">
        <v>1109</v>
      </c>
      <c r="N274" s="45">
        <v>1091300971</v>
      </c>
      <c r="O274" s="46">
        <f t="shared" si="5"/>
        <v>1091.3009709999999</v>
      </c>
      <c r="P274" s="47">
        <f>KOHC!C51</f>
        <v>1091.3009709999999</v>
      </c>
      <c r="Q274" s="44" t="str">
        <f t="shared" si="6"/>
        <v>PASS</v>
      </c>
      <c r="R274" s="44" t="s">
        <v>1110</v>
      </c>
      <c r="S274" s="44"/>
    </row>
    <row r="275" spans="1:19" x14ac:dyDescent="0.3">
      <c r="A275" s="44" t="s">
        <v>1286</v>
      </c>
      <c r="B275" s="44" t="s">
        <v>18</v>
      </c>
      <c r="C275" s="44" t="s">
        <v>20</v>
      </c>
      <c r="D275" s="44" t="s">
        <v>1284</v>
      </c>
      <c r="E275" s="44" t="s">
        <v>1130</v>
      </c>
      <c r="F275" s="44" t="s">
        <v>1285</v>
      </c>
      <c r="G275" s="44" t="s">
        <v>1112</v>
      </c>
      <c r="H275" s="44" t="s">
        <v>1113</v>
      </c>
      <c r="I275" s="44" t="s">
        <v>1106</v>
      </c>
      <c r="J275" s="44">
        <v>75</v>
      </c>
      <c r="K275" s="44" t="s">
        <v>1107</v>
      </c>
      <c r="L275" s="44"/>
      <c r="M275" s="44" t="s">
        <v>1109</v>
      </c>
      <c r="N275" s="45">
        <v>1555157545</v>
      </c>
      <c r="O275" s="46">
        <f t="shared" si="5"/>
        <v>1555.157545</v>
      </c>
      <c r="P275" s="47">
        <f>KOHC!D51</f>
        <v>1555.157545</v>
      </c>
      <c r="Q275" s="44" t="str">
        <f t="shared" si="6"/>
        <v>PASS</v>
      </c>
      <c r="R275" s="44" t="s">
        <v>1110</v>
      </c>
      <c r="S275" s="44"/>
    </row>
    <row r="276" spans="1:19" x14ac:dyDescent="0.3">
      <c r="A276" s="44" t="s">
        <v>1287</v>
      </c>
      <c r="B276" s="44" t="s">
        <v>18</v>
      </c>
      <c r="C276" s="44" t="s">
        <v>26</v>
      </c>
      <c r="D276" s="44" t="s">
        <v>1284</v>
      </c>
      <c r="E276" s="44" t="s">
        <v>1130</v>
      </c>
      <c r="F276" s="44" t="s">
        <v>1285</v>
      </c>
      <c r="G276" s="44" t="s">
        <v>1116</v>
      </c>
      <c r="H276" s="44" t="s">
        <v>1117</v>
      </c>
      <c r="I276" s="44" t="s">
        <v>1106</v>
      </c>
      <c r="J276" s="44">
        <v>75</v>
      </c>
      <c r="K276" s="44" t="s">
        <v>1107</v>
      </c>
      <c r="L276" s="44"/>
      <c r="M276" s="44" t="s">
        <v>1109</v>
      </c>
      <c r="N276" s="45">
        <v>1281559797</v>
      </c>
      <c r="O276" s="46">
        <f t="shared" ref="O276:O339" si="7">N276/1000000</f>
        <v>1281.5597969999999</v>
      </c>
      <c r="P276" s="47">
        <f>KOHC!E51</f>
        <v>1281.5597969999999</v>
      </c>
      <c r="Q276" s="44" t="str">
        <f t="shared" ref="Q276:Q339" si="8">IF(ABS(O276-P276)&lt;0.000001,"PASS","FAIL")</f>
        <v>PASS</v>
      </c>
      <c r="R276" s="44" t="s">
        <v>1110</v>
      </c>
      <c r="S276" s="44"/>
    </row>
    <row r="277" spans="1:19" x14ac:dyDescent="0.3">
      <c r="A277" s="44" t="s">
        <v>1288</v>
      </c>
      <c r="B277" s="44" t="s">
        <v>18</v>
      </c>
      <c r="C277" s="44" t="s">
        <v>27</v>
      </c>
      <c r="D277" s="44" t="s">
        <v>1284</v>
      </c>
      <c r="E277" s="44" t="s">
        <v>1130</v>
      </c>
      <c r="F277" s="44" t="s">
        <v>1285</v>
      </c>
      <c r="G277" s="44" t="s">
        <v>1119</v>
      </c>
      <c r="H277" s="44" t="s">
        <v>1120</v>
      </c>
      <c r="I277" s="44" t="s">
        <v>1106</v>
      </c>
      <c r="J277" s="44">
        <v>83</v>
      </c>
      <c r="K277" s="44" t="s">
        <v>1107</v>
      </c>
      <c r="L277" s="44"/>
      <c r="M277" s="44" t="s">
        <v>1109</v>
      </c>
      <c r="N277" s="45">
        <v>674674284</v>
      </c>
      <c r="O277" s="46">
        <f t="shared" si="7"/>
        <v>674.67428399999994</v>
      </c>
      <c r="P277" s="47">
        <f>KOHC!F51</f>
        <v>674.67428399999994</v>
      </c>
      <c r="Q277" s="44" t="str">
        <f t="shared" si="8"/>
        <v>PASS</v>
      </c>
      <c r="R277" s="44" t="s">
        <v>1110</v>
      </c>
      <c r="S277" s="44"/>
    </row>
    <row r="278" spans="1:19" x14ac:dyDescent="0.3">
      <c r="A278" s="44" t="s">
        <v>1289</v>
      </c>
      <c r="B278" s="44" t="s">
        <v>18</v>
      </c>
      <c r="C278" s="44" t="s">
        <v>28</v>
      </c>
      <c r="D278" s="44" t="s">
        <v>1284</v>
      </c>
      <c r="E278" s="44" t="s">
        <v>1130</v>
      </c>
      <c r="F278" s="44" t="s">
        <v>1290</v>
      </c>
      <c r="G278" s="44" t="s">
        <v>1123</v>
      </c>
      <c r="H278" s="44" t="s">
        <v>1124</v>
      </c>
      <c r="I278" s="44" t="s">
        <v>1106</v>
      </c>
      <c r="J278" s="44">
        <v>91</v>
      </c>
      <c r="K278" s="44" t="s">
        <v>1107</v>
      </c>
      <c r="L278" s="44"/>
      <c r="M278" s="44" t="s">
        <v>1109</v>
      </c>
      <c r="N278" s="45">
        <v>1781446871</v>
      </c>
      <c r="O278" s="46">
        <f t="shared" si="7"/>
        <v>1781.4468710000001</v>
      </c>
      <c r="P278" s="47">
        <f>KOHC!G51</f>
        <v>1781.4468710000001</v>
      </c>
      <c r="Q278" s="44" t="str">
        <f t="shared" si="8"/>
        <v>PASS</v>
      </c>
      <c r="R278" s="44" t="s">
        <v>1110</v>
      </c>
      <c r="S278" s="44"/>
    </row>
    <row r="279" spans="1:19" x14ac:dyDescent="0.3">
      <c r="A279" s="44" t="s">
        <v>1291</v>
      </c>
      <c r="B279" s="44" t="s">
        <v>18</v>
      </c>
      <c r="C279" s="44" t="s">
        <v>29</v>
      </c>
      <c r="D279" s="44" t="s">
        <v>1284</v>
      </c>
      <c r="E279" s="44" t="s">
        <v>1130</v>
      </c>
      <c r="F279" s="44" t="s">
        <v>1290</v>
      </c>
      <c r="G279" s="44" t="s">
        <v>1123</v>
      </c>
      <c r="H279" s="44" t="s">
        <v>1124</v>
      </c>
      <c r="I279" s="44" t="s">
        <v>1127</v>
      </c>
      <c r="J279" s="44">
        <v>91</v>
      </c>
      <c r="K279" s="44" t="s">
        <v>1107</v>
      </c>
      <c r="L279" s="44"/>
      <c r="M279" s="44" t="s">
        <v>1109</v>
      </c>
      <c r="N279" s="45">
        <v>2107135975</v>
      </c>
      <c r="O279" s="46">
        <f t="shared" si="7"/>
        <v>2107.1359750000001</v>
      </c>
      <c r="P279" s="47">
        <f>KOHC!H51</f>
        <v>2107.1359750000001</v>
      </c>
      <c r="Q279" s="44" t="str">
        <f t="shared" si="8"/>
        <v>PASS</v>
      </c>
      <c r="R279" s="44" t="s">
        <v>1110</v>
      </c>
      <c r="S279" s="44"/>
    </row>
    <row r="280" spans="1:19" x14ac:dyDescent="0.3">
      <c r="A280" s="44" t="s">
        <v>1292</v>
      </c>
      <c r="B280" s="44" t="s">
        <v>18</v>
      </c>
      <c r="C280" s="44" t="s">
        <v>965</v>
      </c>
      <c r="D280" s="44" t="s">
        <v>304</v>
      </c>
      <c r="E280" s="44" t="s">
        <v>1035</v>
      </c>
      <c r="F280" s="44" t="s">
        <v>1293</v>
      </c>
      <c r="G280" s="44" t="s">
        <v>1104</v>
      </c>
      <c r="H280" s="44" t="s">
        <v>1105</v>
      </c>
      <c r="I280" s="44" t="s">
        <v>1106</v>
      </c>
      <c r="J280" s="44">
        <v>44</v>
      </c>
      <c r="K280" s="44" t="s">
        <v>1139</v>
      </c>
      <c r="L280" s="44" t="s">
        <v>1294</v>
      </c>
      <c r="M280" s="44" t="s">
        <v>1109</v>
      </c>
      <c r="N280" s="45">
        <v>126582689</v>
      </c>
      <c r="O280" s="46">
        <f t="shared" si="7"/>
        <v>126.582689</v>
      </c>
      <c r="P280" s="47">
        <f>KOHC!C52</f>
        <v>126.582689</v>
      </c>
      <c r="Q280" s="44" t="str">
        <f t="shared" si="8"/>
        <v>PASS</v>
      </c>
      <c r="R280" s="44" t="s">
        <v>1110</v>
      </c>
      <c r="S280" s="44"/>
    </row>
    <row r="281" spans="1:19" x14ac:dyDescent="0.3">
      <c r="A281" s="44" t="s">
        <v>1295</v>
      </c>
      <c r="B281" s="44" t="s">
        <v>18</v>
      </c>
      <c r="C281" s="44" t="s">
        <v>20</v>
      </c>
      <c r="D281" s="44" t="s">
        <v>304</v>
      </c>
      <c r="E281" s="44" t="s">
        <v>1035</v>
      </c>
      <c r="F281" s="44" t="s">
        <v>1293</v>
      </c>
      <c r="G281" s="44" t="s">
        <v>1112</v>
      </c>
      <c r="H281" s="44" t="s">
        <v>1113</v>
      </c>
      <c r="I281" s="44" t="s">
        <v>1106</v>
      </c>
      <c r="J281" s="44">
        <v>52</v>
      </c>
      <c r="K281" s="44" t="s">
        <v>1139</v>
      </c>
      <c r="L281" s="44" t="s">
        <v>1294</v>
      </c>
      <c r="M281" s="44" t="s">
        <v>1109</v>
      </c>
      <c r="N281" s="45">
        <v>137091500</v>
      </c>
      <c r="O281" s="46">
        <f t="shared" si="7"/>
        <v>137.0915</v>
      </c>
      <c r="P281" s="47">
        <f>KOHC!D52</f>
        <v>137.0915</v>
      </c>
      <c r="Q281" s="44" t="str">
        <f t="shared" si="8"/>
        <v>PASS</v>
      </c>
      <c r="R281" s="44" t="s">
        <v>1110</v>
      </c>
      <c r="S281" s="44"/>
    </row>
    <row r="282" spans="1:19" x14ac:dyDescent="0.3">
      <c r="A282" s="44" t="s">
        <v>1296</v>
      </c>
      <c r="B282" s="44" t="s">
        <v>18</v>
      </c>
      <c r="C282" s="44" t="s">
        <v>26</v>
      </c>
      <c r="D282" s="44" t="s">
        <v>304</v>
      </c>
      <c r="E282" s="44" t="s">
        <v>1035</v>
      </c>
      <c r="F282" s="44" t="s">
        <v>1293</v>
      </c>
      <c r="G282" s="44" t="s">
        <v>1116</v>
      </c>
      <c r="H282" s="44" t="s">
        <v>1117</v>
      </c>
      <c r="I282" s="44" t="s">
        <v>1106</v>
      </c>
      <c r="J282" s="44">
        <v>52</v>
      </c>
      <c r="K282" s="44" t="s">
        <v>1139</v>
      </c>
      <c r="L282" s="44" t="s">
        <v>1294</v>
      </c>
      <c r="M282" s="44" t="s">
        <v>1109</v>
      </c>
      <c r="N282" s="45">
        <v>264984408</v>
      </c>
      <c r="O282" s="46">
        <f t="shared" si="7"/>
        <v>264.98440799999997</v>
      </c>
      <c r="P282" s="47">
        <f>KOHC!E52</f>
        <v>264.98440799999997</v>
      </c>
      <c r="Q282" s="44" t="str">
        <f t="shared" si="8"/>
        <v>PASS</v>
      </c>
      <c r="R282" s="44" t="s">
        <v>1110</v>
      </c>
      <c r="S282" s="44"/>
    </row>
    <row r="283" spans="1:19" x14ac:dyDescent="0.3">
      <c r="A283" s="44" t="s">
        <v>1297</v>
      </c>
      <c r="B283" s="44" t="s">
        <v>18</v>
      </c>
      <c r="C283" s="44" t="s">
        <v>27</v>
      </c>
      <c r="D283" s="44" t="s">
        <v>304</v>
      </c>
      <c r="E283" s="44" t="s">
        <v>1035</v>
      </c>
      <c r="F283" s="44" t="s">
        <v>1293</v>
      </c>
      <c r="G283" s="44" t="s">
        <v>1119</v>
      </c>
      <c r="H283" s="44" t="s">
        <v>1120</v>
      </c>
      <c r="I283" s="44" t="s">
        <v>1106</v>
      </c>
      <c r="J283" s="44">
        <v>58</v>
      </c>
      <c r="K283" s="44" t="s">
        <v>1139</v>
      </c>
      <c r="L283" s="44"/>
      <c r="M283" s="44" t="s">
        <v>1109</v>
      </c>
      <c r="N283" s="45">
        <v>253135945</v>
      </c>
      <c r="O283" s="46">
        <f t="shared" si="7"/>
        <v>253.13594499999999</v>
      </c>
      <c r="P283" s="47">
        <f>KOHC!F52</f>
        <v>253.13594499999999</v>
      </c>
      <c r="Q283" s="44" t="str">
        <f t="shared" si="8"/>
        <v>PASS</v>
      </c>
      <c r="R283" s="44" t="s">
        <v>1110</v>
      </c>
      <c r="S283" s="44"/>
    </row>
    <row r="284" spans="1:19" x14ac:dyDescent="0.3">
      <c r="A284" s="44" t="s">
        <v>1298</v>
      </c>
      <c r="B284" s="44" t="s">
        <v>18</v>
      </c>
      <c r="C284" s="44" t="s">
        <v>28</v>
      </c>
      <c r="D284" s="44" t="s">
        <v>304</v>
      </c>
      <c r="E284" s="44" t="s">
        <v>1035</v>
      </c>
      <c r="F284" s="44" t="s">
        <v>1293</v>
      </c>
      <c r="G284" s="44" t="s">
        <v>1123</v>
      </c>
      <c r="H284" s="44" t="s">
        <v>1124</v>
      </c>
      <c r="I284" s="44" t="s">
        <v>1106</v>
      </c>
      <c r="J284" s="44">
        <v>68</v>
      </c>
      <c r="K284" s="44" t="s">
        <v>1144</v>
      </c>
      <c r="L284" s="44" t="s">
        <v>1299</v>
      </c>
      <c r="M284" s="44" t="s">
        <v>1109</v>
      </c>
      <c r="N284" s="45">
        <v>113418606</v>
      </c>
      <c r="O284" s="46">
        <f t="shared" si="7"/>
        <v>113.418606</v>
      </c>
      <c r="P284" s="47">
        <f>KOHC!G52</f>
        <v>113.418606</v>
      </c>
      <c r="Q284" s="44" t="str">
        <f t="shared" si="8"/>
        <v>PASS</v>
      </c>
      <c r="R284" s="44" t="s">
        <v>1110</v>
      </c>
      <c r="S284" s="44"/>
    </row>
    <row r="285" spans="1:19" x14ac:dyDescent="0.3">
      <c r="A285" s="44" t="s">
        <v>1300</v>
      </c>
      <c r="B285" s="44" t="s">
        <v>18</v>
      </c>
      <c r="C285" s="44" t="s">
        <v>29</v>
      </c>
      <c r="D285" s="44" t="s">
        <v>304</v>
      </c>
      <c r="E285" s="44" t="s">
        <v>1035</v>
      </c>
      <c r="F285" s="44" t="s">
        <v>1293</v>
      </c>
      <c r="G285" s="44" t="s">
        <v>1123</v>
      </c>
      <c r="H285" s="44" t="s">
        <v>1124</v>
      </c>
      <c r="I285" s="44" t="s">
        <v>1127</v>
      </c>
      <c r="J285" s="44">
        <v>68</v>
      </c>
      <c r="K285" s="44" t="s">
        <v>1144</v>
      </c>
      <c r="L285" s="44" t="s">
        <v>1299</v>
      </c>
      <c r="M285" s="44" t="s">
        <v>1109</v>
      </c>
      <c r="N285" s="45">
        <v>144300907</v>
      </c>
      <c r="O285" s="46">
        <f t="shared" si="7"/>
        <v>144.300907</v>
      </c>
      <c r="P285" s="47">
        <f>KOHC!H52</f>
        <v>144.300907</v>
      </c>
      <c r="Q285" s="44" t="str">
        <f t="shared" si="8"/>
        <v>PASS</v>
      </c>
      <c r="R285" s="44" t="s">
        <v>1110</v>
      </c>
      <c r="S285" s="44"/>
    </row>
    <row r="286" spans="1:19" x14ac:dyDescent="0.3">
      <c r="A286" s="44" t="s">
        <v>1301</v>
      </c>
      <c r="B286" s="44" t="s">
        <v>18</v>
      </c>
      <c r="C286" s="44" t="s">
        <v>965</v>
      </c>
      <c r="D286" s="44" t="s">
        <v>306</v>
      </c>
      <c r="E286" s="44" t="s">
        <v>1035</v>
      </c>
      <c r="F286" s="44" t="s">
        <v>1302</v>
      </c>
      <c r="G286" s="44" t="s">
        <v>1104</v>
      </c>
      <c r="H286" s="44" t="s">
        <v>1105</v>
      </c>
      <c r="I286" s="44" t="s">
        <v>1106</v>
      </c>
      <c r="J286" s="44">
        <v>44</v>
      </c>
      <c r="K286" s="44" t="s">
        <v>1139</v>
      </c>
      <c r="L286" s="44" t="s">
        <v>1125</v>
      </c>
      <c r="M286" s="44" t="s">
        <v>1109</v>
      </c>
      <c r="N286" s="45">
        <v>208766756</v>
      </c>
      <c r="O286" s="46">
        <f t="shared" si="7"/>
        <v>208.76675599999999</v>
      </c>
      <c r="P286" s="47">
        <f>KOHC!C53</f>
        <v>208.76675599999999</v>
      </c>
      <c r="Q286" s="44" t="str">
        <f t="shared" si="8"/>
        <v>PASS</v>
      </c>
      <c r="R286" s="44" t="s">
        <v>1110</v>
      </c>
      <c r="S286" s="44"/>
    </row>
    <row r="287" spans="1:19" x14ac:dyDescent="0.3">
      <c r="A287" s="44" t="s">
        <v>1303</v>
      </c>
      <c r="B287" s="44" t="s">
        <v>18</v>
      </c>
      <c r="C287" s="44" t="s">
        <v>20</v>
      </c>
      <c r="D287" s="44" t="s">
        <v>306</v>
      </c>
      <c r="E287" s="44" t="s">
        <v>1035</v>
      </c>
      <c r="F287" s="44" t="s">
        <v>1302</v>
      </c>
      <c r="G287" s="44" t="s">
        <v>1112</v>
      </c>
      <c r="H287" s="44" t="s">
        <v>1113</v>
      </c>
      <c r="I287" s="44" t="s">
        <v>1106</v>
      </c>
      <c r="J287" s="44">
        <v>52</v>
      </c>
      <c r="K287" s="44" t="s">
        <v>1139</v>
      </c>
      <c r="L287" s="44" t="s">
        <v>1125</v>
      </c>
      <c r="M287" s="44" t="s">
        <v>1109</v>
      </c>
      <c r="N287" s="45">
        <v>122613973</v>
      </c>
      <c r="O287" s="46">
        <f t="shared" si="7"/>
        <v>122.613973</v>
      </c>
      <c r="P287" s="47">
        <f>KOHC!D53</f>
        <v>122.613973</v>
      </c>
      <c r="Q287" s="44" t="str">
        <f t="shared" si="8"/>
        <v>PASS</v>
      </c>
      <c r="R287" s="44" t="s">
        <v>1110</v>
      </c>
      <c r="S287" s="44"/>
    </row>
    <row r="288" spans="1:19" x14ac:dyDescent="0.3">
      <c r="A288" s="44" t="s">
        <v>1304</v>
      </c>
      <c r="B288" s="44" t="s">
        <v>18</v>
      </c>
      <c r="C288" s="44" t="s">
        <v>26</v>
      </c>
      <c r="D288" s="44" t="s">
        <v>306</v>
      </c>
      <c r="E288" s="44" t="s">
        <v>1035</v>
      </c>
      <c r="F288" s="44" t="s">
        <v>1302</v>
      </c>
      <c r="G288" s="44" t="s">
        <v>1116</v>
      </c>
      <c r="H288" s="44" t="s">
        <v>1117</v>
      </c>
      <c r="I288" s="44" t="s">
        <v>1106</v>
      </c>
      <c r="J288" s="44">
        <v>52</v>
      </c>
      <c r="K288" s="44" t="s">
        <v>1139</v>
      </c>
      <c r="L288" s="44" t="s">
        <v>1125</v>
      </c>
      <c r="M288" s="44" t="s">
        <v>1109</v>
      </c>
      <c r="N288" s="45">
        <v>142171993</v>
      </c>
      <c r="O288" s="46">
        <f t="shared" si="7"/>
        <v>142.17199299999999</v>
      </c>
      <c r="P288" s="47">
        <f>KOHC!E53</f>
        <v>142.17199299999999</v>
      </c>
      <c r="Q288" s="44" t="str">
        <f t="shared" si="8"/>
        <v>PASS</v>
      </c>
      <c r="R288" s="44" t="s">
        <v>1110</v>
      </c>
      <c r="S288" s="44"/>
    </row>
    <row r="289" spans="1:19" x14ac:dyDescent="0.3">
      <c r="A289" s="44" t="s">
        <v>1305</v>
      </c>
      <c r="B289" s="44" t="s">
        <v>18</v>
      </c>
      <c r="C289" s="44" t="s">
        <v>27</v>
      </c>
      <c r="D289" s="44" t="s">
        <v>306</v>
      </c>
      <c r="E289" s="44" t="s">
        <v>1035</v>
      </c>
      <c r="F289" s="44" t="s">
        <v>1302</v>
      </c>
      <c r="G289" s="44" t="s">
        <v>1119</v>
      </c>
      <c r="H289" s="44" t="s">
        <v>1120</v>
      </c>
      <c r="I289" s="44" t="s">
        <v>1106</v>
      </c>
      <c r="J289" s="44">
        <v>58</v>
      </c>
      <c r="K289" s="44" t="s">
        <v>1139</v>
      </c>
      <c r="L289" s="44" t="s">
        <v>1306</v>
      </c>
      <c r="M289" s="44" t="s">
        <v>1109</v>
      </c>
      <c r="N289" s="45">
        <v>192674790</v>
      </c>
      <c r="O289" s="46">
        <f t="shared" si="7"/>
        <v>192.67479</v>
      </c>
      <c r="P289" s="47">
        <f>KOHC!F53</f>
        <v>192.67479</v>
      </c>
      <c r="Q289" s="44" t="str">
        <f t="shared" si="8"/>
        <v>PASS</v>
      </c>
      <c r="R289" s="44" t="s">
        <v>1110</v>
      </c>
      <c r="S289" s="44"/>
    </row>
    <row r="290" spans="1:19" x14ac:dyDescent="0.3">
      <c r="A290" s="44" t="s">
        <v>1307</v>
      </c>
      <c r="B290" s="44" t="s">
        <v>18</v>
      </c>
      <c r="C290" s="44" t="s">
        <v>28</v>
      </c>
      <c r="D290" s="44" t="s">
        <v>306</v>
      </c>
      <c r="E290" s="44" t="s">
        <v>1035</v>
      </c>
      <c r="F290" s="44"/>
      <c r="G290" s="44" t="s">
        <v>1123</v>
      </c>
      <c r="H290" s="44" t="s">
        <v>1124</v>
      </c>
      <c r="I290" s="44" t="s">
        <v>1106</v>
      </c>
      <c r="J290" s="44">
        <v>68</v>
      </c>
      <c r="K290" s="44" t="s">
        <v>1144</v>
      </c>
      <c r="L290" s="44"/>
      <c r="M290" s="44" t="s">
        <v>1109</v>
      </c>
      <c r="N290" s="45">
        <v>0</v>
      </c>
      <c r="O290" s="46">
        <f t="shared" si="7"/>
        <v>0</v>
      </c>
      <c r="P290" s="47">
        <f>KOHC!G53</f>
        <v>0</v>
      </c>
      <c r="Q290" s="44" t="str">
        <f t="shared" si="8"/>
        <v>PASS</v>
      </c>
      <c r="R290" s="44" t="s">
        <v>1110</v>
      </c>
      <c r="S290" s="44" t="s">
        <v>1114</v>
      </c>
    </row>
    <row r="291" spans="1:19" x14ac:dyDescent="0.3">
      <c r="A291" s="44" t="s">
        <v>1308</v>
      </c>
      <c r="B291" s="44" t="s">
        <v>18</v>
      </c>
      <c r="C291" s="44" t="s">
        <v>29</v>
      </c>
      <c r="D291" s="44" t="s">
        <v>306</v>
      </c>
      <c r="E291" s="44" t="s">
        <v>1035</v>
      </c>
      <c r="F291" s="44"/>
      <c r="G291" s="44" t="s">
        <v>1123</v>
      </c>
      <c r="H291" s="44" t="s">
        <v>1124</v>
      </c>
      <c r="I291" s="44" t="s">
        <v>1127</v>
      </c>
      <c r="J291" s="44">
        <v>68</v>
      </c>
      <c r="K291" s="44" t="s">
        <v>1144</v>
      </c>
      <c r="L291" s="44"/>
      <c r="M291" s="44" t="s">
        <v>1109</v>
      </c>
      <c r="N291" s="45">
        <v>0</v>
      </c>
      <c r="O291" s="46">
        <f t="shared" si="7"/>
        <v>0</v>
      </c>
      <c r="P291" s="47">
        <f>KOHC!H53</f>
        <v>0</v>
      </c>
      <c r="Q291" s="44" t="str">
        <f t="shared" si="8"/>
        <v>PASS</v>
      </c>
      <c r="R291" s="44" t="s">
        <v>1110</v>
      </c>
      <c r="S291" s="44"/>
    </row>
    <row r="292" spans="1:19" x14ac:dyDescent="0.3">
      <c r="A292" s="44" t="s">
        <v>1309</v>
      </c>
      <c r="B292" s="44" t="s">
        <v>18</v>
      </c>
      <c r="C292" s="44" t="s">
        <v>965</v>
      </c>
      <c r="D292" s="44" t="s">
        <v>308</v>
      </c>
      <c r="E292" s="44" t="s">
        <v>1035</v>
      </c>
      <c r="F292" s="44" t="s">
        <v>1310</v>
      </c>
      <c r="G292" s="44" t="s">
        <v>1104</v>
      </c>
      <c r="H292" s="44" t="s">
        <v>1105</v>
      </c>
      <c r="I292" s="44" t="s">
        <v>1106</v>
      </c>
      <c r="J292" s="44">
        <v>44</v>
      </c>
      <c r="K292" s="44" t="s">
        <v>1139</v>
      </c>
      <c r="L292" s="44" t="s">
        <v>1306</v>
      </c>
      <c r="M292" s="44" t="s">
        <v>1109</v>
      </c>
      <c r="N292" s="45">
        <v>1301609100</v>
      </c>
      <c r="O292" s="46">
        <f t="shared" si="7"/>
        <v>1301.6090999999999</v>
      </c>
      <c r="P292" s="47">
        <f>KOHC!C54</f>
        <v>1301.6090999999999</v>
      </c>
      <c r="Q292" s="44" t="str">
        <f t="shared" si="8"/>
        <v>PASS</v>
      </c>
      <c r="R292" s="44" t="s">
        <v>1110</v>
      </c>
      <c r="S292" s="44"/>
    </row>
    <row r="293" spans="1:19" x14ac:dyDescent="0.3">
      <c r="A293" s="44" t="s">
        <v>1311</v>
      </c>
      <c r="B293" s="44" t="s">
        <v>18</v>
      </c>
      <c r="C293" s="44" t="s">
        <v>20</v>
      </c>
      <c r="D293" s="44" t="s">
        <v>308</v>
      </c>
      <c r="E293" s="44" t="s">
        <v>1035</v>
      </c>
      <c r="F293" s="44" t="s">
        <v>1310</v>
      </c>
      <c r="G293" s="44" t="s">
        <v>1112</v>
      </c>
      <c r="H293" s="44" t="s">
        <v>1113</v>
      </c>
      <c r="I293" s="44" t="s">
        <v>1106</v>
      </c>
      <c r="J293" s="44">
        <v>52</v>
      </c>
      <c r="K293" s="44" t="s">
        <v>1139</v>
      </c>
      <c r="L293" s="44" t="s">
        <v>1306</v>
      </c>
      <c r="M293" s="44" t="s">
        <v>1109</v>
      </c>
      <c r="N293" s="45">
        <v>498000000</v>
      </c>
      <c r="O293" s="46">
        <f t="shared" si="7"/>
        <v>498</v>
      </c>
      <c r="P293" s="47">
        <f>KOHC!D54</f>
        <v>498</v>
      </c>
      <c r="Q293" s="44" t="str">
        <f t="shared" si="8"/>
        <v>PASS</v>
      </c>
      <c r="R293" s="44" t="s">
        <v>1110</v>
      </c>
      <c r="S293" s="44"/>
    </row>
    <row r="294" spans="1:19" x14ac:dyDescent="0.3">
      <c r="A294" s="44" t="s">
        <v>1312</v>
      </c>
      <c r="B294" s="44" t="s">
        <v>18</v>
      </c>
      <c r="C294" s="44" t="s">
        <v>26</v>
      </c>
      <c r="D294" s="44" t="s">
        <v>308</v>
      </c>
      <c r="E294" s="44" t="s">
        <v>1035</v>
      </c>
      <c r="F294" s="44"/>
      <c r="G294" s="44" t="s">
        <v>1116</v>
      </c>
      <c r="H294" s="44" t="s">
        <v>1117</v>
      </c>
      <c r="I294" s="44" t="s">
        <v>1106</v>
      </c>
      <c r="J294" s="44">
        <v>52</v>
      </c>
      <c r="K294" s="44" t="s">
        <v>1139</v>
      </c>
      <c r="L294" s="44"/>
      <c r="M294" s="44" t="s">
        <v>1109</v>
      </c>
      <c r="N294" s="45">
        <v>0</v>
      </c>
      <c r="O294" s="46">
        <f t="shared" si="7"/>
        <v>0</v>
      </c>
      <c r="P294" s="47">
        <f>KOHC!E54</f>
        <v>0</v>
      </c>
      <c r="Q294" s="44" t="str">
        <f t="shared" si="8"/>
        <v>PASS</v>
      </c>
      <c r="R294" s="44" t="s">
        <v>1110</v>
      </c>
      <c r="S294" s="44"/>
    </row>
    <row r="295" spans="1:19" x14ac:dyDescent="0.3">
      <c r="A295" s="44" t="s">
        <v>1313</v>
      </c>
      <c r="B295" s="44" t="s">
        <v>18</v>
      </c>
      <c r="C295" s="44" t="s">
        <v>27</v>
      </c>
      <c r="D295" s="44" t="s">
        <v>308</v>
      </c>
      <c r="E295" s="44" t="s">
        <v>1035</v>
      </c>
      <c r="F295" s="44"/>
      <c r="G295" s="44" t="s">
        <v>1119</v>
      </c>
      <c r="H295" s="44" t="s">
        <v>1120</v>
      </c>
      <c r="I295" s="44" t="s">
        <v>1106</v>
      </c>
      <c r="J295" s="44">
        <v>58</v>
      </c>
      <c r="K295" s="44" t="s">
        <v>1139</v>
      </c>
      <c r="L295" s="44"/>
      <c r="M295" s="44" t="s">
        <v>1109</v>
      </c>
      <c r="N295" s="45">
        <v>0</v>
      </c>
      <c r="O295" s="46">
        <f t="shared" si="7"/>
        <v>0</v>
      </c>
      <c r="P295" s="47">
        <f>KOHC!F54</f>
        <v>0</v>
      </c>
      <c r="Q295" s="44" t="str">
        <f t="shared" si="8"/>
        <v>PASS</v>
      </c>
      <c r="R295" s="44" t="s">
        <v>1110</v>
      </c>
      <c r="S295" s="44"/>
    </row>
    <row r="296" spans="1:19" x14ac:dyDescent="0.3">
      <c r="A296" s="44" t="s">
        <v>1314</v>
      </c>
      <c r="B296" s="44" t="s">
        <v>18</v>
      </c>
      <c r="C296" s="44" t="s">
        <v>28</v>
      </c>
      <c r="D296" s="44" t="s">
        <v>308</v>
      </c>
      <c r="E296" s="44" t="s">
        <v>1035</v>
      </c>
      <c r="F296" s="44" t="s">
        <v>1310</v>
      </c>
      <c r="G296" s="44" t="s">
        <v>1123</v>
      </c>
      <c r="H296" s="44" t="s">
        <v>1124</v>
      </c>
      <c r="I296" s="44" t="s">
        <v>1106</v>
      </c>
      <c r="J296" s="44">
        <v>68</v>
      </c>
      <c r="K296" s="44" t="s">
        <v>1144</v>
      </c>
      <c r="L296" s="44" t="s">
        <v>1315</v>
      </c>
      <c r="M296" s="44" t="s">
        <v>1109</v>
      </c>
      <c r="N296" s="45">
        <v>61253</v>
      </c>
      <c r="O296" s="46">
        <f t="shared" si="7"/>
        <v>6.1253000000000002E-2</v>
      </c>
      <c r="P296" s="47">
        <f>KOHC!G54</f>
        <v>6.1253000000000002E-2</v>
      </c>
      <c r="Q296" s="44" t="str">
        <f t="shared" si="8"/>
        <v>PASS</v>
      </c>
      <c r="R296" s="44" t="s">
        <v>1110</v>
      </c>
      <c r="S296" s="44" t="s">
        <v>1114</v>
      </c>
    </row>
    <row r="297" spans="1:19" x14ac:dyDescent="0.3">
      <c r="A297" s="44" t="s">
        <v>1316</v>
      </c>
      <c r="B297" s="44" t="s">
        <v>18</v>
      </c>
      <c r="C297" s="44" t="s">
        <v>29</v>
      </c>
      <c r="D297" s="44" t="s">
        <v>308</v>
      </c>
      <c r="E297" s="44" t="s">
        <v>1035</v>
      </c>
      <c r="F297" s="44" t="s">
        <v>1310</v>
      </c>
      <c r="G297" s="44" t="s">
        <v>1123</v>
      </c>
      <c r="H297" s="44" t="s">
        <v>1124</v>
      </c>
      <c r="I297" s="44" t="s">
        <v>1127</v>
      </c>
      <c r="J297" s="44">
        <v>68</v>
      </c>
      <c r="K297" s="44" t="s">
        <v>1144</v>
      </c>
      <c r="L297" s="44" t="s">
        <v>1315</v>
      </c>
      <c r="M297" s="44" t="s">
        <v>1109</v>
      </c>
      <c r="N297" s="45">
        <v>3704884</v>
      </c>
      <c r="O297" s="46">
        <f t="shared" si="7"/>
        <v>3.7048839999999998</v>
      </c>
      <c r="P297" s="47">
        <f>KOHC!H54</f>
        <v>3.7048839999999998</v>
      </c>
      <c r="Q297" s="44" t="str">
        <f t="shared" si="8"/>
        <v>PASS</v>
      </c>
      <c r="R297" s="44" t="s">
        <v>1110</v>
      </c>
      <c r="S297" s="44"/>
    </row>
    <row r="298" spans="1:19" x14ac:dyDescent="0.3">
      <c r="A298" s="44" t="s">
        <v>1317</v>
      </c>
      <c r="B298" s="44" t="s">
        <v>18</v>
      </c>
      <c r="C298" s="44" t="s">
        <v>965</v>
      </c>
      <c r="D298" s="44" t="s">
        <v>310</v>
      </c>
      <c r="E298" s="44" t="s">
        <v>1035</v>
      </c>
      <c r="F298" s="44" t="s">
        <v>1318</v>
      </c>
      <c r="G298" s="44" t="s">
        <v>1104</v>
      </c>
      <c r="H298" s="44" t="s">
        <v>1105</v>
      </c>
      <c r="I298" s="44" t="s">
        <v>1106</v>
      </c>
      <c r="J298" s="44">
        <v>44</v>
      </c>
      <c r="K298" s="44" t="s">
        <v>1139</v>
      </c>
      <c r="L298" s="44" t="s">
        <v>1241</v>
      </c>
      <c r="M298" s="44" t="s">
        <v>1109</v>
      </c>
      <c r="N298" s="45">
        <v>248496322</v>
      </c>
      <c r="O298" s="46">
        <f t="shared" si="7"/>
        <v>248.49632199999999</v>
      </c>
      <c r="P298" s="47">
        <f>KOHC!C55</f>
        <v>248.49632199999999</v>
      </c>
      <c r="Q298" s="44" t="str">
        <f t="shared" si="8"/>
        <v>PASS</v>
      </c>
      <c r="R298" s="44" t="s">
        <v>1110</v>
      </c>
      <c r="S298" s="44"/>
    </row>
    <row r="299" spans="1:19" x14ac:dyDescent="0.3">
      <c r="A299" s="44" t="s">
        <v>1319</v>
      </c>
      <c r="B299" s="44" t="s">
        <v>18</v>
      </c>
      <c r="C299" s="44" t="s">
        <v>20</v>
      </c>
      <c r="D299" s="44" t="s">
        <v>310</v>
      </c>
      <c r="E299" s="44" t="s">
        <v>1035</v>
      </c>
      <c r="F299" s="44" t="s">
        <v>1318</v>
      </c>
      <c r="G299" s="44" t="s">
        <v>1112</v>
      </c>
      <c r="H299" s="44" t="s">
        <v>1113</v>
      </c>
      <c r="I299" s="44" t="s">
        <v>1106</v>
      </c>
      <c r="J299" s="44">
        <v>52</v>
      </c>
      <c r="K299" s="44" t="s">
        <v>1139</v>
      </c>
      <c r="L299" s="44" t="s">
        <v>1241</v>
      </c>
      <c r="M299" s="44" t="s">
        <v>1109</v>
      </c>
      <c r="N299" s="45">
        <v>1147020843</v>
      </c>
      <c r="O299" s="46">
        <f t="shared" si="7"/>
        <v>1147.020843</v>
      </c>
      <c r="P299" s="47">
        <f>KOHC!D55</f>
        <v>1147.020843</v>
      </c>
      <c r="Q299" s="44" t="str">
        <f t="shared" si="8"/>
        <v>PASS</v>
      </c>
      <c r="R299" s="44" t="s">
        <v>1110</v>
      </c>
      <c r="S299" s="44"/>
    </row>
    <row r="300" spans="1:19" x14ac:dyDescent="0.3">
      <c r="A300" s="44" t="s">
        <v>1320</v>
      </c>
      <c r="B300" s="44" t="s">
        <v>18</v>
      </c>
      <c r="C300" s="44" t="s">
        <v>26</v>
      </c>
      <c r="D300" s="44" t="s">
        <v>310</v>
      </c>
      <c r="E300" s="44" t="s">
        <v>1035</v>
      </c>
      <c r="F300" s="44" t="s">
        <v>1318</v>
      </c>
      <c r="G300" s="44" t="s">
        <v>1116</v>
      </c>
      <c r="H300" s="44" t="s">
        <v>1117</v>
      </c>
      <c r="I300" s="44" t="s">
        <v>1106</v>
      </c>
      <c r="J300" s="44">
        <v>52</v>
      </c>
      <c r="K300" s="44" t="s">
        <v>1139</v>
      </c>
      <c r="L300" s="44" t="s">
        <v>1241</v>
      </c>
      <c r="M300" s="44" t="s">
        <v>1109</v>
      </c>
      <c r="N300" s="45">
        <v>1071912356</v>
      </c>
      <c r="O300" s="46">
        <f t="shared" si="7"/>
        <v>1071.912356</v>
      </c>
      <c r="P300" s="47">
        <f>KOHC!E55</f>
        <v>1071.912356</v>
      </c>
      <c r="Q300" s="44" t="str">
        <f t="shared" si="8"/>
        <v>PASS</v>
      </c>
      <c r="R300" s="44" t="s">
        <v>1110</v>
      </c>
      <c r="S300" s="44"/>
    </row>
    <row r="301" spans="1:19" x14ac:dyDescent="0.3">
      <c r="A301" s="44" t="s">
        <v>1321</v>
      </c>
      <c r="B301" s="44" t="s">
        <v>18</v>
      </c>
      <c r="C301" s="44" t="s">
        <v>27</v>
      </c>
      <c r="D301" s="44" t="s">
        <v>310</v>
      </c>
      <c r="E301" s="44" t="s">
        <v>1035</v>
      </c>
      <c r="F301" s="44" t="s">
        <v>1318</v>
      </c>
      <c r="G301" s="44" t="s">
        <v>1119</v>
      </c>
      <c r="H301" s="44" t="s">
        <v>1120</v>
      </c>
      <c r="I301" s="44" t="s">
        <v>1106</v>
      </c>
      <c r="J301" s="44">
        <v>58</v>
      </c>
      <c r="K301" s="44" t="s">
        <v>1139</v>
      </c>
      <c r="L301" s="44" t="s">
        <v>1241</v>
      </c>
      <c r="M301" s="44" t="s">
        <v>1109</v>
      </c>
      <c r="N301" s="45">
        <v>1034355873</v>
      </c>
      <c r="O301" s="46">
        <f t="shared" si="7"/>
        <v>1034.355873</v>
      </c>
      <c r="P301" s="47">
        <f>KOHC!F55</f>
        <v>1034.355873</v>
      </c>
      <c r="Q301" s="44" t="str">
        <f t="shared" si="8"/>
        <v>PASS</v>
      </c>
      <c r="R301" s="44" t="s">
        <v>1110</v>
      </c>
      <c r="S301" s="44"/>
    </row>
    <row r="302" spans="1:19" x14ac:dyDescent="0.3">
      <c r="A302" s="44" t="s">
        <v>1322</v>
      </c>
      <c r="B302" s="44" t="s">
        <v>18</v>
      </c>
      <c r="C302" s="44" t="s">
        <v>28</v>
      </c>
      <c r="D302" s="44" t="s">
        <v>310</v>
      </c>
      <c r="E302" s="44" t="s">
        <v>1035</v>
      </c>
      <c r="F302" s="44" t="s">
        <v>1318</v>
      </c>
      <c r="G302" s="44" t="s">
        <v>1123</v>
      </c>
      <c r="H302" s="44" t="s">
        <v>1124</v>
      </c>
      <c r="I302" s="44" t="s">
        <v>1106</v>
      </c>
      <c r="J302" s="44">
        <v>68</v>
      </c>
      <c r="K302" s="44" t="s">
        <v>1144</v>
      </c>
      <c r="L302" s="44" t="s">
        <v>1241</v>
      </c>
      <c r="M302" s="44" t="s">
        <v>1109</v>
      </c>
      <c r="N302" s="45">
        <v>1169295643</v>
      </c>
      <c r="O302" s="46">
        <f t="shared" si="7"/>
        <v>1169.2956429999999</v>
      </c>
      <c r="P302" s="47">
        <f>KOHC!G55</f>
        <v>1169.2956429999999</v>
      </c>
      <c r="Q302" s="44" t="str">
        <f t="shared" si="8"/>
        <v>PASS</v>
      </c>
      <c r="R302" s="44" t="s">
        <v>1110</v>
      </c>
      <c r="S302" s="44" t="s">
        <v>1114</v>
      </c>
    </row>
    <row r="303" spans="1:19" x14ac:dyDescent="0.3">
      <c r="A303" s="44" t="s">
        <v>1323</v>
      </c>
      <c r="B303" s="44" t="s">
        <v>18</v>
      </c>
      <c r="C303" s="44" t="s">
        <v>29</v>
      </c>
      <c r="D303" s="44" t="s">
        <v>310</v>
      </c>
      <c r="E303" s="44" t="s">
        <v>1035</v>
      </c>
      <c r="F303" s="44" t="s">
        <v>1318</v>
      </c>
      <c r="G303" s="44" t="s">
        <v>1123</v>
      </c>
      <c r="H303" s="44" t="s">
        <v>1124</v>
      </c>
      <c r="I303" s="44" t="s">
        <v>1127</v>
      </c>
      <c r="J303" s="44">
        <v>68</v>
      </c>
      <c r="K303" s="44" t="s">
        <v>1144</v>
      </c>
      <c r="L303" s="44" t="s">
        <v>1241</v>
      </c>
      <c r="M303" s="44" t="s">
        <v>1109</v>
      </c>
      <c r="N303" s="45">
        <v>837359258</v>
      </c>
      <c r="O303" s="46">
        <f t="shared" si="7"/>
        <v>837.35925799999995</v>
      </c>
      <c r="P303" s="47">
        <f>KOHC!H55</f>
        <v>837.35925799999995</v>
      </c>
      <c r="Q303" s="44" t="str">
        <f t="shared" si="8"/>
        <v>PASS</v>
      </c>
      <c r="R303" s="44" t="s">
        <v>1110</v>
      </c>
      <c r="S303" s="44"/>
    </row>
    <row r="304" spans="1:19" x14ac:dyDescent="0.3">
      <c r="A304" s="44" t="s">
        <v>1324</v>
      </c>
      <c r="B304" s="44" t="s">
        <v>18</v>
      </c>
      <c r="C304" s="44" t="s">
        <v>965</v>
      </c>
      <c r="D304" s="44" t="s">
        <v>312</v>
      </c>
      <c r="E304" s="44" t="s">
        <v>1035</v>
      </c>
      <c r="F304" s="44"/>
      <c r="G304" s="44" t="s">
        <v>1104</v>
      </c>
      <c r="H304" s="44" t="s">
        <v>1105</v>
      </c>
      <c r="I304" s="44" t="s">
        <v>1106</v>
      </c>
      <c r="J304" s="44">
        <v>44</v>
      </c>
      <c r="K304" s="44" t="s">
        <v>1139</v>
      </c>
      <c r="L304" s="44"/>
      <c r="M304" s="44" t="s">
        <v>1109</v>
      </c>
      <c r="N304" s="45">
        <v>0</v>
      </c>
      <c r="O304" s="46">
        <f t="shared" si="7"/>
        <v>0</v>
      </c>
      <c r="P304" s="47">
        <f>KOHC!C56</f>
        <v>0</v>
      </c>
      <c r="Q304" s="44" t="str">
        <f t="shared" si="8"/>
        <v>PASS</v>
      </c>
      <c r="R304" s="44" t="s">
        <v>1110</v>
      </c>
      <c r="S304" s="44"/>
    </row>
    <row r="305" spans="1:19" x14ac:dyDescent="0.3">
      <c r="A305" s="44" t="s">
        <v>1325</v>
      </c>
      <c r="B305" s="44" t="s">
        <v>18</v>
      </c>
      <c r="C305" s="44" t="s">
        <v>20</v>
      </c>
      <c r="D305" s="44" t="s">
        <v>312</v>
      </c>
      <c r="E305" s="44" t="s">
        <v>1035</v>
      </c>
      <c r="F305" s="44"/>
      <c r="G305" s="44" t="s">
        <v>1112</v>
      </c>
      <c r="H305" s="44" t="s">
        <v>1113</v>
      </c>
      <c r="I305" s="44" t="s">
        <v>1106</v>
      </c>
      <c r="J305" s="44">
        <v>52</v>
      </c>
      <c r="K305" s="44" t="s">
        <v>1139</v>
      </c>
      <c r="L305" s="44"/>
      <c r="M305" s="44" t="s">
        <v>1109</v>
      </c>
      <c r="N305" s="45">
        <v>0</v>
      </c>
      <c r="O305" s="46">
        <f t="shared" si="7"/>
        <v>0</v>
      </c>
      <c r="P305" s="47">
        <f>KOHC!D56</f>
        <v>0</v>
      </c>
      <c r="Q305" s="44" t="str">
        <f t="shared" si="8"/>
        <v>PASS</v>
      </c>
      <c r="R305" s="44" t="s">
        <v>1110</v>
      </c>
      <c r="S305" s="44"/>
    </row>
    <row r="306" spans="1:19" x14ac:dyDescent="0.3">
      <c r="A306" s="44" t="s">
        <v>1326</v>
      </c>
      <c r="B306" s="44" t="s">
        <v>18</v>
      </c>
      <c r="C306" s="44" t="s">
        <v>26</v>
      </c>
      <c r="D306" s="44" t="s">
        <v>312</v>
      </c>
      <c r="E306" s="44" t="s">
        <v>1035</v>
      </c>
      <c r="F306" s="44"/>
      <c r="G306" s="44" t="s">
        <v>1116</v>
      </c>
      <c r="H306" s="44" t="s">
        <v>1117</v>
      </c>
      <c r="I306" s="44" t="s">
        <v>1106</v>
      </c>
      <c r="J306" s="44">
        <v>52</v>
      </c>
      <c r="K306" s="44" t="s">
        <v>1139</v>
      </c>
      <c r="L306" s="44"/>
      <c r="M306" s="44" t="s">
        <v>1109</v>
      </c>
      <c r="N306" s="45">
        <v>0</v>
      </c>
      <c r="O306" s="46">
        <f t="shared" si="7"/>
        <v>0</v>
      </c>
      <c r="P306" s="47">
        <f>KOHC!E56</f>
        <v>0</v>
      </c>
      <c r="Q306" s="44" t="str">
        <f t="shared" si="8"/>
        <v>PASS</v>
      </c>
      <c r="R306" s="44" t="s">
        <v>1110</v>
      </c>
      <c r="S306" s="44"/>
    </row>
    <row r="307" spans="1:19" x14ac:dyDescent="0.3">
      <c r="A307" s="44" t="s">
        <v>1327</v>
      </c>
      <c r="B307" s="44" t="s">
        <v>18</v>
      </c>
      <c r="C307" s="44" t="s">
        <v>27</v>
      </c>
      <c r="D307" s="44" t="s">
        <v>312</v>
      </c>
      <c r="E307" s="44" t="s">
        <v>1035</v>
      </c>
      <c r="F307" s="44"/>
      <c r="G307" s="44" t="s">
        <v>1119</v>
      </c>
      <c r="H307" s="44" t="s">
        <v>1120</v>
      </c>
      <c r="I307" s="44" t="s">
        <v>1106</v>
      </c>
      <c r="J307" s="44">
        <v>58</v>
      </c>
      <c r="K307" s="44" t="s">
        <v>1139</v>
      </c>
      <c r="L307" s="44"/>
      <c r="M307" s="44" t="s">
        <v>1109</v>
      </c>
      <c r="N307" s="45">
        <v>0</v>
      </c>
      <c r="O307" s="46">
        <f t="shared" si="7"/>
        <v>0</v>
      </c>
      <c r="P307" s="47">
        <f>KOHC!F56</f>
        <v>0</v>
      </c>
      <c r="Q307" s="44" t="str">
        <f t="shared" si="8"/>
        <v>PASS</v>
      </c>
      <c r="R307" s="44" t="s">
        <v>1110</v>
      </c>
      <c r="S307" s="44"/>
    </row>
    <row r="308" spans="1:19" x14ac:dyDescent="0.3">
      <c r="A308" s="44" t="s">
        <v>1328</v>
      </c>
      <c r="B308" s="44" t="s">
        <v>18</v>
      </c>
      <c r="C308" s="44" t="s">
        <v>28</v>
      </c>
      <c r="D308" s="44" t="s">
        <v>312</v>
      </c>
      <c r="E308" s="44" t="s">
        <v>1035</v>
      </c>
      <c r="F308" s="44"/>
      <c r="G308" s="44" t="s">
        <v>1123</v>
      </c>
      <c r="H308" s="44" t="s">
        <v>1124</v>
      </c>
      <c r="I308" s="44" t="s">
        <v>1106</v>
      </c>
      <c r="J308" s="44">
        <v>68</v>
      </c>
      <c r="K308" s="44" t="s">
        <v>1144</v>
      </c>
      <c r="L308" s="44"/>
      <c r="M308" s="44" t="s">
        <v>1109</v>
      </c>
      <c r="N308" s="45">
        <v>0</v>
      </c>
      <c r="O308" s="46">
        <f t="shared" si="7"/>
        <v>0</v>
      </c>
      <c r="P308" s="47">
        <f>KOHC!G56</f>
        <v>0</v>
      </c>
      <c r="Q308" s="44" t="str">
        <f t="shared" si="8"/>
        <v>PASS</v>
      </c>
      <c r="R308" s="44" t="s">
        <v>1110</v>
      </c>
      <c r="S308" s="44"/>
    </row>
    <row r="309" spans="1:19" x14ac:dyDescent="0.3">
      <c r="A309" s="44" t="s">
        <v>1329</v>
      </c>
      <c r="B309" s="44" t="s">
        <v>18</v>
      </c>
      <c r="C309" s="44" t="s">
        <v>29</v>
      </c>
      <c r="D309" s="44" t="s">
        <v>312</v>
      </c>
      <c r="E309" s="44" t="s">
        <v>1035</v>
      </c>
      <c r="F309" s="44"/>
      <c r="G309" s="44" t="s">
        <v>1123</v>
      </c>
      <c r="H309" s="44" t="s">
        <v>1124</v>
      </c>
      <c r="I309" s="44" t="s">
        <v>1127</v>
      </c>
      <c r="J309" s="44">
        <v>68</v>
      </c>
      <c r="K309" s="44" t="s">
        <v>1144</v>
      </c>
      <c r="L309" s="44"/>
      <c r="M309" s="44" t="s">
        <v>1109</v>
      </c>
      <c r="N309" s="45">
        <v>0</v>
      </c>
      <c r="O309" s="46">
        <f t="shared" si="7"/>
        <v>0</v>
      </c>
      <c r="P309" s="47">
        <f>KOHC!H56</f>
        <v>0</v>
      </c>
      <c r="Q309" s="44" t="str">
        <f t="shared" si="8"/>
        <v>PASS</v>
      </c>
      <c r="R309" s="44" t="s">
        <v>1110</v>
      </c>
      <c r="S309" s="44"/>
    </row>
    <row r="310" spans="1:19" x14ac:dyDescent="0.3">
      <c r="A310" s="44" t="s">
        <v>1330</v>
      </c>
      <c r="B310" s="44" t="s">
        <v>18</v>
      </c>
      <c r="C310" s="44" t="s">
        <v>965</v>
      </c>
      <c r="D310" s="44" t="s">
        <v>314</v>
      </c>
      <c r="E310" s="44" t="s">
        <v>1035</v>
      </c>
      <c r="F310" s="44"/>
      <c r="G310" s="44" t="s">
        <v>1104</v>
      </c>
      <c r="H310" s="44" t="s">
        <v>1105</v>
      </c>
      <c r="I310" s="44" t="s">
        <v>1106</v>
      </c>
      <c r="J310" s="44">
        <v>44</v>
      </c>
      <c r="K310" s="44" t="s">
        <v>1139</v>
      </c>
      <c r="L310" s="44"/>
      <c r="M310" s="44" t="s">
        <v>1109</v>
      </c>
      <c r="N310" s="45">
        <v>0</v>
      </c>
      <c r="O310" s="46">
        <f t="shared" si="7"/>
        <v>0</v>
      </c>
      <c r="P310" s="47">
        <f>KOHC!C57</f>
        <v>0</v>
      </c>
      <c r="Q310" s="44" t="str">
        <f t="shared" si="8"/>
        <v>PASS</v>
      </c>
      <c r="R310" s="44" t="s">
        <v>1110</v>
      </c>
      <c r="S310" s="44"/>
    </row>
    <row r="311" spans="1:19" x14ac:dyDescent="0.3">
      <c r="A311" s="44" t="s">
        <v>1331</v>
      </c>
      <c r="B311" s="44" t="s">
        <v>18</v>
      </c>
      <c r="C311" s="44" t="s">
        <v>20</v>
      </c>
      <c r="D311" s="44" t="s">
        <v>314</v>
      </c>
      <c r="E311" s="44" t="s">
        <v>1035</v>
      </c>
      <c r="F311" s="44"/>
      <c r="G311" s="44" t="s">
        <v>1112</v>
      </c>
      <c r="H311" s="44" t="s">
        <v>1113</v>
      </c>
      <c r="I311" s="44" t="s">
        <v>1106</v>
      </c>
      <c r="J311" s="44">
        <v>52</v>
      </c>
      <c r="K311" s="44" t="s">
        <v>1139</v>
      </c>
      <c r="L311" s="44"/>
      <c r="M311" s="44" t="s">
        <v>1109</v>
      </c>
      <c r="N311" s="45">
        <v>0</v>
      </c>
      <c r="O311" s="46">
        <f t="shared" si="7"/>
        <v>0</v>
      </c>
      <c r="P311" s="47">
        <f>KOHC!D57</f>
        <v>0</v>
      </c>
      <c r="Q311" s="44" t="str">
        <f t="shared" si="8"/>
        <v>PASS</v>
      </c>
      <c r="R311" s="44" t="s">
        <v>1110</v>
      </c>
      <c r="S311" s="44"/>
    </row>
    <row r="312" spans="1:19" x14ac:dyDescent="0.3">
      <c r="A312" s="44" t="s">
        <v>1332</v>
      </c>
      <c r="B312" s="44" t="s">
        <v>18</v>
      </c>
      <c r="C312" s="44" t="s">
        <v>26</v>
      </c>
      <c r="D312" s="44" t="s">
        <v>314</v>
      </c>
      <c r="E312" s="44" t="s">
        <v>1035</v>
      </c>
      <c r="F312" s="44"/>
      <c r="G312" s="44" t="s">
        <v>1116</v>
      </c>
      <c r="H312" s="44" t="s">
        <v>1117</v>
      </c>
      <c r="I312" s="44" t="s">
        <v>1106</v>
      </c>
      <c r="J312" s="44">
        <v>52</v>
      </c>
      <c r="K312" s="44" t="s">
        <v>1139</v>
      </c>
      <c r="L312" s="44"/>
      <c r="M312" s="44" t="s">
        <v>1109</v>
      </c>
      <c r="N312" s="45">
        <v>0</v>
      </c>
      <c r="O312" s="46">
        <f t="shared" si="7"/>
        <v>0</v>
      </c>
      <c r="P312" s="47">
        <f>KOHC!E57</f>
        <v>0</v>
      </c>
      <c r="Q312" s="44" t="str">
        <f t="shared" si="8"/>
        <v>PASS</v>
      </c>
      <c r="R312" s="44" t="s">
        <v>1110</v>
      </c>
      <c r="S312" s="44"/>
    </row>
    <row r="313" spans="1:19" x14ac:dyDescent="0.3">
      <c r="A313" s="44" t="s">
        <v>1333</v>
      </c>
      <c r="B313" s="44" t="s">
        <v>18</v>
      </c>
      <c r="C313" s="44" t="s">
        <v>27</v>
      </c>
      <c r="D313" s="44" t="s">
        <v>314</v>
      </c>
      <c r="E313" s="44" t="s">
        <v>1035</v>
      </c>
      <c r="F313" s="44"/>
      <c r="G313" s="44" t="s">
        <v>1119</v>
      </c>
      <c r="H313" s="44" t="s">
        <v>1120</v>
      </c>
      <c r="I313" s="44" t="s">
        <v>1106</v>
      </c>
      <c r="J313" s="44">
        <v>58</v>
      </c>
      <c r="K313" s="44" t="s">
        <v>1139</v>
      </c>
      <c r="L313" s="44"/>
      <c r="M313" s="44" t="s">
        <v>1109</v>
      </c>
      <c r="N313" s="45">
        <v>0</v>
      </c>
      <c r="O313" s="46">
        <f t="shared" si="7"/>
        <v>0</v>
      </c>
      <c r="P313" s="47">
        <f>KOHC!F57</f>
        <v>0</v>
      </c>
      <c r="Q313" s="44" t="str">
        <f t="shared" si="8"/>
        <v>PASS</v>
      </c>
      <c r="R313" s="44" t="s">
        <v>1110</v>
      </c>
      <c r="S313" s="44"/>
    </row>
    <row r="314" spans="1:19" x14ac:dyDescent="0.3">
      <c r="A314" s="44" t="s">
        <v>1334</v>
      </c>
      <c r="B314" s="44" t="s">
        <v>18</v>
      </c>
      <c r="C314" s="44" t="s">
        <v>28</v>
      </c>
      <c r="D314" s="44" t="s">
        <v>314</v>
      </c>
      <c r="E314" s="44" t="s">
        <v>1035</v>
      </c>
      <c r="F314" s="44"/>
      <c r="G314" s="44" t="s">
        <v>1123</v>
      </c>
      <c r="H314" s="44" t="s">
        <v>1124</v>
      </c>
      <c r="I314" s="44" t="s">
        <v>1106</v>
      </c>
      <c r="J314" s="44">
        <v>68</v>
      </c>
      <c r="K314" s="44" t="s">
        <v>1144</v>
      </c>
      <c r="L314" s="44"/>
      <c r="M314" s="44" t="s">
        <v>1109</v>
      </c>
      <c r="N314" s="45">
        <v>0</v>
      </c>
      <c r="O314" s="46">
        <f t="shared" si="7"/>
        <v>0</v>
      </c>
      <c r="P314" s="47">
        <f>KOHC!G57</f>
        <v>0</v>
      </c>
      <c r="Q314" s="44" t="str">
        <f t="shared" si="8"/>
        <v>PASS</v>
      </c>
      <c r="R314" s="44" t="s">
        <v>1110</v>
      </c>
      <c r="S314" s="44"/>
    </row>
    <row r="315" spans="1:19" x14ac:dyDescent="0.3">
      <c r="A315" s="44" t="s">
        <v>1335</v>
      </c>
      <c r="B315" s="44" t="s">
        <v>18</v>
      </c>
      <c r="C315" s="44" t="s">
        <v>29</v>
      </c>
      <c r="D315" s="44" t="s">
        <v>314</v>
      </c>
      <c r="E315" s="44" t="s">
        <v>1035</v>
      </c>
      <c r="F315" s="44"/>
      <c r="G315" s="44" t="s">
        <v>1123</v>
      </c>
      <c r="H315" s="44" t="s">
        <v>1124</v>
      </c>
      <c r="I315" s="44" t="s">
        <v>1127</v>
      </c>
      <c r="J315" s="44">
        <v>68</v>
      </c>
      <c r="K315" s="44" t="s">
        <v>1144</v>
      </c>
      <c r="L315" s="44"/>
      <c r="M315" s="44" t="s">
        <v>1109</v>
      </c>
      <c r="N315" s="45">
        <v>0</v>
      </c>
      <c r="O315" s="46">
        <f t="shared" si="7"/>
        <v>0</v>
      </c>
      <c r="P315" s="47">
        <f>KOHC!H57</f>
        <v>0</v>
      </c>
      <c r="Q315" s="44" t="str">
        <f t="shared" si="8"/>
        <v>PASS</v>
      </c>
      <c r="R315" s="44" t="s">
        <v>1110</v>
      </c>
      <c r="S315" s="44"/>
    </row>
    <row r="316" spans="1:19" x14ac:dyDescent="0.3">
      <c r="A316" s="44" t="s">
        <v>1336</v>
      </c>
      <c r="B316" s="44" t="s">
        <v>18</v>
      </c>
      <c r="C316" s="44" t="s">
        <v>965</v>
      </c>
      <c r="D316" s="44" t="s">
        <v>316</v>
      </c>
      <c r="E316" s="44" t="s">
        <v>1035</v>
      </c>
      <c r="F316" s="44" t="s">
        <v>1337</v>
      </c>
      <c r="G316" s="44" t="s">
        <v>1104</v>
      </c>
      <c r="H316" s="44" t="s">
        <v>1105</v>
      </c>
      <c r="I316" s="44" t="s">
        <v>1106</v>
      </c>
      <c r="J316" s="44">
        <v>44</v>
      </c>
      <c r="K316" s="44" t="s">
        <v>1139</v>
      </c>
      <c r="L316" s="44" t="s">
        <v>1315</v>
      </c>
      <c r="M316" s="44" t="s">
        <v>1109</v>
      </c>
      <c r="N316" s="45">
        <v>48014348</v>
      </c>
      <c r="O316" s="46">
        <f t="shared" si="7"/>
        <v>48.014347999999998</v>
      </c>
      <c r="P316" s="47">
        <f>KOHC!C58</f>
        <v>48.014347999999998</v>
      </c>
      <c r="Q316" s="44" t="str">
        <f t="shared" si="8"/>
        <v>PASS</v>
      </c>
      <c r="R316" s="44" t="s">
        <v>1110</v>
      </c>
      <c r="S316" s="44"/>
    </row>
    <row r="317" spans="1:19" x14ac:dyDescent="0.3">
      <c r="A317" s="44" t="s">
        <v>1338</v>
      </c>
      <c r="B317" s="44" t="s">
        <v>18</v>
      </c>
      <c r="C317" s="44" t="s">
        <v>20</v>
      </c>
      <c r="D317" s="44" t="s">
        <v>316</v>
      </c>
      <c r="E317" s="44" t="s">
        <v>1035</v>
      </c>
      <c r="F317" s="44" t="s">
        <v>1337</v>
      </c>
      <c r="G317" s="44" t="s">
        <v>1112</v>
      </c>
      <c r="H317" s="44" t="s">
        <v>1113</v>
      </c>
      <c r="I317" s="44" t="s">
        <v>1106</v>
      </c>
      <c r="J317" s="44">
        <v>52</v>
      </c>
      <c r="K317" s="44" t="s">
        <v>1139</v>
      </c>
      <c r="L317" s="44" t="s">
        <v>1315</v>
      </c>
      <c r="M317" s="44" t="s">
        <v>1109</v>
      </c>
      <c r="N317" s="45">
        <v>46197552</v>
      </c>
      <c r="O317" s="46">
        <f t="shared" si="7"/>
        <v>46.197552000000002</v>
      </c>
      <c r="P317" s="47">
        <f>KOHC!D58</f>
        <v>46.197552000000002</v>
      </c>
      <c r="Q317" s="44" t="str">
        <f t="shared" si="8"/>
        <v>PASS</v>
      </c>
      <c r="R317" s="44" t="s">
        <v>1110</v>
      </c>
      <c r="S317" s="44"/>
    </row>
    <row r="318" spans="1:19" x14ac:dyDescent="0.3">
      <c r="A318" s="44" t="s">
        <v>1339</v>
      </c>
      <c r="B318" s="44" t="s">
        <v>18</v>
      </c>
      <c r="C318" s="44" t="s">
        <v>26</v>
      </c>
      <c r="D318" s="44" t="s">
        <v>316</v>
      </c>
      <c r="E318" s="44" t="s">
        <v>1035</v>
      </c>
      <c r="F318" s="44" t="s">
        <v>1337</v>
      </c>
      <c r="G318" s="44" t="s">
        <v>1116</v>
      </c>
      <c r="H318" s="44" t="s">
        <v>1117</v>
      </c>
      <c r="I318" s="44" t="s">
        <v>1106</v>
      </c>
      <c r="J318" s="44">
        <v>52</v>
      </c>
      <c r="K318" s="44" t="s">
        <v>1139</v>
      </c>
      <c r="L318" s="44" t="s">
        <v>1315</v>
      </c>
      <c r="M318" s="44" t="s">
        <v>1109</v>
      </c>
      <c r="N318" s="45">
        <v>45648049</v>
      </c>
      <c r="O318" s="46">
        <f t="shared" si="7"/>
        <v>45.648049</v>
      </c>
      <c r="P318" s="47">
        <f>KOHC!E58</f>
        <v>45.648049</v>
      </c>
      <c r="Q318" s="44" t="str">
        <f t="shared" si="8"/>
        <v>PASS</v>
      </c>
      <c r="R318" s="44" t="s">
        <v>1110</v>
      </c>
      <c r="S318" s="44"/>
    </row>
    <row r="319" spans="1:19" x14ac:dyDescent="0.3">
      <c r="A319" s="44" t="s">
        <v>1340</v>
      </c>
      <c r="B319" s="44" t="s">
        <v>18</v>
      </c>
      <c r="C319" s="44" t="s">
        <v>27</v>
      </c>
      <c r="D319" s="44" t="s">
        <v>316</v>
      </c>
      <c r="E319" s="44" t="s">
        <v>1035</v>
      </c>
      <c r="F319" s="44" t="s">
        <v>1337</v>
      </c>
      <c r="G319" s="44" t="s">
        <v>1119</v>
      </c>
      <c r="H319" s="44" t="s">
        <v>1120</v>
      </c>
      <c r="I319" s="44" t="s">
        <v>1106</v>
      </c>
      <c r="J319" s="44">
        <v>58</v>
      </c>
      <c r="K319" s="44" t="s">
        <v>1139</v>
      </c>
      <c r="L319" s="44" t="s">
        <v>1294</v>
      </c>
      <c r="M319" s="44" t="s">
        <v>1109</v>
      </c>
      <c r="N319" s="45">
        <v>45475220</v>
      </c>
      <c r="O319" s="46">
        <f t="shared" si="7"/>
        <v>45.47522</v>
      </c>
      <c r="P319" s="47">
        <f>KOHC!F58</f>
        <v>45.47522</v>
      </c>
      <c r="Q319" s="44" t="str">
        <f t="shared" si="8"/>
        <v>PASS</v>
      </c>
      <c r="R319" s="44" t="s">
        <v>1110</v>
      </c>
      <c r="S319" s="44"/>
    </row>
    <row r="320" spans="1:19" x14ac:dyDescent="0.3">
      <c r="A320" s="44" t="s">
        <v>1341</v>
      </c>
      <c r="B320" s="44" t="s">
        <v>18</v>
      </c>
      <c r="C320" s="44" t="s">
        <v>28</v>
      </c>
      <c r="D320" s="44" t="s">
        <v>316</v>
      </c>
      <c r="E320" s="44" t="s">
        <v>1035</v>
      </c>
      <c r="F320" s="44" t="s">
        <v>1337</v>
      </c>
      <c r="G320" s="44" t="s">
        <v>1123</v>
      </c>
      <c r="H320" s="44" t="s">
        <v>1124</v>
      </c>
      <c r="I320" s="44" t="s">
        <v>1106</v>
      </c>
      <c r="J320" s="44">
        <v>68</v>
      </c>
      <c r="K320" s="44" t="s">
        <v>1144</v>
      </c>
      <c r="L320" s="44" t="s">
        <v>1294</v>
      </c>
      <c r="M320" s="44" t="s">
        <v>1109</v>
      </c>
      <c r="N320" s="45">
        <v>45338931</v>
      </c>
      <c r="O320" s="46">
        <f t="shared" si="7"/>
        <v>45.338931000000002</v>
      </c>
      <c r="P320" s="47">
        <f>KOHC!G58</f>
        <v>45.338931000000002</v>
      </c>
      <c r="Q320" s="44" t="str">
        <f t="shared" si="8"/>
        <v>PASS</v>
      </c>
      <c r="R320" s="44" t="s">
        <v>1110</v>
      </c>
      <c r="S320" s="44"/>
    </row>
    <row r="321" spans="1:19" x14ac:dyDescent="0.3">
      <c r="A321" s="44" t="s">
        <v>1342</v>
      </c>
      <c r="B321" s="44" t="s">
        <v>18</v>
      </c>
      <c r="C321" s="44" t="s">
        <v>29</v>
      </c>
      <c r="D321" s="44" t="s">
        <v>316</v>
      </c>
      <c r="E321" s="44" t="s">
        <v>1035</v>
      </c>
      <c r="F321" s="44" t="s">
        <v>1337</v>
      </c>
      <c r="G321" s="44" t="s">
        <v>1123</v>
      </c>
      <c r="H321" s="44" t="s">
        <v>1124</v>
      </c>
      <c r="I321" s="44" t="s">
        <v>1127</v>
      </c>
      <c r="J321" s="44">
        <v>68</v>
      </c>
      <c r="K321" s="44" t="s">
        <v>1144</v>
      </c>
      <c r="L321" s="44" t="s">
        <v>1294</v>
      </c>
      <c r="M321" s="44" t="s">
        <v>1109</v>
      </c>
      <c r="N321" s="45">
        <v>42181257</v>
      </c>
      <c r="O321" s="46">
        <f t="shared" si="7"/>
        <v>42.181257000000002</v>
      </c>
      <c r="P321" s="47">
        <f>KOHC!H58</f>
        <v>42.181257000000002</v>
      </c>
      <c r="Q321" s="44" t="str">
        <f t="shared" si="8"/>
        <v>PASS</v>
      </c>
      <c r="R321" s="44" t="s">
        <v>1110</v>
      </c>
      <c r="S321" s="44"/>
    </row>
    <row r="322" spans="1:19" x14ac:dyDescent="0.3">
      <c r="A322" s="44" t="s">
        <v>1343</v>
      </c>
      <c r="B322" s="44" t="s">
        <v>18</v>
      </c>
      <c r="C322" s="44" t="s">
        <v>965</v>
      </c>
      <c r="D322" s="44" t="s">
        <v>318</v>
      </c>
      <c r="E322" s="44" t="s">
        <v>1035</v>
      </c>
      <c r="F322" s="44" t="s">
        <v>1344</v>
      </c>
      <c r="G322" s="44" t="s">
        <v>1104</v>
      </c>
      <c r="H322" s="44" t="s">
        <v>1105</v>
      </c>
      <c r="I322" s="44" t="s">
        <v>1106</v>
      </c>
      <c r="J322" s="44">
        <v>44</v>
      </c>
      <c r="K322" s="44" t="s">
        <v>1139</v>
      </c>
      <c r="L322" s="44"/>
      <c r="M322" s="44" t="s">
        <v>1109</v>
      </c>
      <c r="N322" s="45">
        <v>52873661</v>
      </c>
      <c r="O322" s="46">
        <f t="shared" si="7"/>
        <v>52.873660999999998</v>
      </c>
      <c r="P322" s="47">
        <f>KOHC!C59</f>
        <v>52.873660999999998</v>
      </c>
      <c r="Q322" s="44" t="str">
        <f t="shared" si="8"/>
        <v>PASS</v>
      </c>
      <c r="R322" s="44" t="s">
        <v>1110</v>
      </c>
      <c r="S322" s="44"/>
    </row>
    <row r="323" spans="1:19" x14ac:dyDescent="0.3">
      <c r="A323" s="44" t="s">
        <v>1345</v>
      </c>
      <c r="B323" s="44" t="s">
        <v>18</v>
      </c>
      <c r="C323" s="44" t="s">
        <v>20</v>
      </c>
      <c r="D323" s="44" t="s">
        <v>318</v>
      </c>
      <c r="E323" s="44" t="s">
        <v>1035</v>
      </c>
      <c r="F323" s="44" t="s">
        <v>1344</v>
      </c>
      <c r="G323" s="44" t="s">
        <v>1112</v>
      </c>
      <c r="H323" s="44" t="s">
        <v>1113</v>
      </c>
      <c r="I323" s="44" t="s">
        <v>1106</v>
      </c>
      <c r="J323" s="44">
        <v>52</v>
      </c>
      <c r="K323" s="44" t="s">
        <v>1139</v>
      </c>
      <c r="L323" s="44"/>
      <c r="M323" s="44" t="s">
        <v>1109</v>
      </c>
      <c r="N323" s="45">
        <v>635934543</v>
      </c>
      <c r="O323" s="46">
        <f t="shared" si="7"/>
        <v>635.93454299999996</v>
      </c>
      <c r="P323" s="47">
        <f>KOHC!D59</f>
        <v>635.93454299999996</v>
      </c>
      <c r="Q323" s="44" t="str">
        <f t="shared" si="8"/>
        <v>PASS</v>
      </c>
      <c r="R323" s="44" t="s">
        <v>1110</v>
      </c>
      <c r="S323" s="44"/>
    </row>
    <row r="324" spans="1:19" x14ac:dyDescent="0.3">
      <c r="A324" s="44" t="s">
        <v>1346</v>
      </c>
      <c r="B324" s="44" t="s">
        <v>18</v>
      </c>
      <c r="C324" s="44" t="s">
        <v>26</v>
      </c>
      <c r="D324" s="44" t="s">
        <v>318</v>
      </c>
      <c r="E324" s="44" t="s">
        <v>1035</v>
      </c>
      <c r="F324" s="44" t="s">
        <v>1344</v>
      </c>
      <c r="G324" s="44" t="s">
        <v>1116</v>
      </c>
      <c r="H324" s="44" t="s">
        <v>1117</v>
      </c>
      <c r="I324" s="44" t="s">
        <v>1106</v>
      </c>
      <c r="J324" s="44">
        <v>52</v>
      </c>
      <c r="K324" s="44" t="s">
        <v>1139</v>
      </c>
      <c r="L324" s="44"/>
      <c r="M324" s="44" t="s">
        <v>1109</v>
      </c>
      <c r="N324" s="45">
        <v>2438052665</v>
      </c>
      <c r="O324" s="46">
        <f t="shared" si="7"/>
        <v>2438.0526650000002</v>
      </c>
      <c r="P324" s="47">
        <f>KOHC!E59</f>
        <v>2438.0526650000002</v>
      </c>
      <c r="Q324" s="44" t="str">
        <f t="shared" si="8"/>
        <v>PASS</v>
      </c>
      <c r="R324" s="44" t="s">
        <v>1110</v>
      </c>
      <c r="S324" s="44"/>
    </row>
    <row r="325" spans="1:19" x14ac:dyDescent="0.3">
      <c r="A325" s="44" t="s">
        <v>1347</v>
      </c>
      <c r="B325" s="44" t="s">
        <v>18</v>
      </c>
      <c r="C325" s="44" t="s">
        <v>27</v>
      </c>
      <c r="D325" s="44" t="s">
        <v>318</v>
      </c>
      <c r="E325" s="44" t="s">
        <v>1035</v>
      </c>
      <c r="F325" s="44" t="s">
        <v>1344</v>
      </c>
      <c r="G325" s="44" t="s">
        <v>1119</v>
      </c>
      <c r="H325" s="44" t="s">
        <v>1120</v>
      </c>
      <c r="I325" s="44" t="s">
        <v>1106</v>
      </c>
      <c r="J325" s="44">
        <v>58</v>
      </c>
      <c r="K325" s="44" t="s">
        <v>1139</v>
      </c>
      <c r="L325" s="44"/>
      <c r="M325" s="44" t="s">
        <v>1109</v>
      </c>
      <c r="N325" s="45">
        <v>3079754230</v>
      </c>
      <c r="O325" s="46">
        <f t="shared" si="7"/>
        <v>3079.75423</v>
      </c>
      <c r="P325" s="47">
        <f>KOHC!F59</f>
        <v>3079.75423</v>
      </c>
      <c r="Q325" s="44" t="str">
        <f t="shared" si="8"/>
        <v>PASS</v>
      </c>
      <c r="R325" s="44" t="s">
        <v>1110</v>
      </c>
      <c r="S325" s="44" t="s">
        <v>1114</v>
      </c>
    </row>
    <row r="326" spans="1:19" x14ac:dyDescent="0.3">
      <c r="A326" s="44" t="s">
        <v>1348</v>
      </c>
      <c r="B326" s="44" t="s">
        <v>18</v>
      </c>
      <c r="C326" s="44" t="s">
        <v>28</v>
      </c>
      <c r="D326" s="44" t="s">
        <v>318</v>
      </c>
      <c r="E326" s="44" t="s">
        <v>1035</v>
      </c>
      <c r="F326" s="44" t="s">
        <v>1344</v>
      </c>
      <c r="G326" s="44" t="s">
        <v>1123</v>
      </c>
      <c r="H326" s="44" t="s">
        <v>1124</v>
      </c>
      <c r="I326" s="44" t="s">
        <v>1106</v>
      </c>
      <c r="J326" s="44">
        <v>68</v>
      </c>
      <c r="K326" s="44" t="s">
        <v>1144</v>
      </c>
      <c r="L326" s="44"/>
      <c r="M326" s="44" t="s">
        <v>1109</v>
      </c>
      <c r="N326" s="45">
        <v>3544368477</v>
      </c>
      <c r="O326" s="46">
        <f t="shared" si="7"/>
        <v>3544.368477</v>
      </c>
      <c r="P326" s="47">
        <f>KOHC!G59</f>
        <v>3544.368477</v>
      </c>
      <c r="Q326" s="44" t="str">
        <f t="shared" si="8"/>
        <v>PASS</v>
      </c>
      <c r="R326" s="44" t="s">
        <v>1110</v>
      </c>
      <c r="S326" s="44"/>
    </row>
    <row r="327" spans="1:19" x14ac:dyDescent="0.3">
      <c r="A327" s="44" t="s">
        <v>1349</v>
      </c>
      <c r="B327" s="44" t="s">
        <v>18</v>
      </c>
      <c r="C327" s="44" t="s">
        <v>29</v>
      </c>
      <c r="D327" s="44" t="s">
        <v>318</v>
      </c>
      <c r="E327" s="44" t="s">
        <v>1035</v>
      </c>
      <c r="F327" s="44" t="s">
        <v>1344</v>
      </c>
      <c r="G327" s="44" t="s">
        <v>1123</v>
      </c>
      <c r="H327" s="44" t="s">
        <v>1124</v>
      </c>
      <c r="I327" s="44" t="s">
        <v>1127</v>
      </c>
      <c r="J327" s="44">
        <v>68</v>
      </c>
      <c r="K327" s="44" t="s">
        <v>1144</v>
      </c>
      <c r="L327" s="44"/>
      <c r="M327" s="44" t="s">
        <v>1109</v>
      </c>
      <c r="N327" s="45">
        <v>2924142407</v>
      </c>
      <c r="O327" s="46">
        <f t="shared" si="7"/>
        <v>2924.1424069999998</v>
      </c>
      <c r="P327" s="47">
        <f>KOHC!H59</f>
        <v>2924.1424069999998</v>
      </c>
      <c r="Q327" s="44" t="str">
        <f t="shared" si="8"/>
        <v>PASS</v>
      </c>
      <c r="R327" s="44" t="s">
        <v>1110</v>
      </c>
      <c r="S327" s="44"/>
    </row>
    <row r="328" spans="1:19" x14ac:dyDescent="0.3">
      <c r="A328" s="44" t="s">
        <v>1350</v>
      </c>
      <c r="B328" s="44" t="s">
        <v>18</v>
      </c>
      <c r="C328" s="44" t="s">
        <v>965</v>
      </c>
      <c r="D328" s="44" t="s">
        <v>320</v>
      </c>
      <c r="E328" s="44" t="s">
        <v>1035</v>
      </c>
      <c r="F328" s="44"/>
      <c r="G328" s="44" t="s">
        <v>1104</v>
      </c>
      <c r="H328" s="44" t="s">
        <v>1105</v>
      </c>
      <c r="I328" s="44" t="s">
        <v>1106</v>
      </c>
      <c r="J328" s="44">
        <v>44</v>
      </c>
      <c r="K328" s="44" t="s">
        <v>1139</v>
      </c>
      <c r="L328" s="44"/>
      <c r="M328" s="44" t="s">
        <v>1109</v>
      </c>
      <c r="N328" s="45">
        <v>0</v>
      </c>
      <c r="O328" s="46">
        <f t="shared" si="7"/>
        <v>0</v>
      </c>
      <c r="P328" s="47">
        <f>KOHC!C60</f>
        <v>0</v>
      </c>
      <c r="Q328" s="44" t="str">
        <f t="shared" si="8"/>
        <v>PASS</v>
      </c>
      <c r="R328" s="44" t="s">
        <v>1110</v>
      </c>
      <c r="S328" s="44"/>
    </row>
    <row r="329" spans="1:19" x14ac:dyDescent="0.3">
      <c r="A329" s="44" t="s">
        <v>1351</v>
      </c>
      <c r="B329" s="44" t="s">
        <v>18</v>
      </c>
      <c r="C329" s="44" t="s">
        <v>20</v>
      </c>
      <c r="D329" s="44" t="s">
        <v>320</v>
      </c>
      <c r="E329" s="44" t="s">
        <v>1035</v>
      </c>
      <c r="F329" s="44"/>
      <c r="G329" s="44" t="s">
        <v>1112</v>
      </c>
      <c r="H329" s="44" t="s">
        <v>1113</v>
      </c>
      <c r="I329" s="44" t="s">
        <v>1106</v>
      </c>
      <c r="J329" s="44">
        <v>52</v>
      </c>
      <c r="K329" s="44" t="s">
        <v>1139</v>
      </c>
      <c r="L329" s="44"/>
      <c r="M329" s="44" t="s">
        <v>1109</v>
      </c>
      <c r="N329" s="45">
        <v>0</v>
      </c>
      <c r="O329" s="46">
        <f t="shared" si="7"/>
        <v>0</v>
      </c>
      <c r="P329" s="47">
        <f>KOHC!D60</f>
        <v>0</v>
      </c>
      <c r="Q329" s="44" t="str">
        <f t="shared" si="8"/>
        <v>PASS</v>
      </c>
      <c r="R329" s="44" t="s">
        <v>1110</v>
      </c>
      <c r="S329" s="44"/>
    </row>
    <row r="330" spans="1:19" x14ac:dyDescent="0.3">
      <c r="A330" s="44" t="s">
        <v>1352</v>
      </c>
      <c r="B330" s="44" t="s">
        <v>18</v>
      </c>
      <c r="C330" s="44" t="s">
        <v>26</v>
      </c>
      <c r="D330" s="44" t="s">
        <v>320</v>
      </c>
      <c r="E330" s="44" t="s">
        <v>1035</v>
      </c>
      <c r="F330" s="44"/>
      <c r="G330" s="44" t="s">
        <v>1116</v>
      </c>
      <c r="H330" s="44" t="s">
        <v>1117</v>
      </c>
      <c r="I330" s="44" t="s">
        <v>1106</v>
      </c>
      <c r="J330" s="44">
        <v>52</v>
      </c>
      <c r="K330" s="44" t="s">
        <v>1139</v>
      </c>
      <c r="L330" s="44"/>
      <c r="M330" s="44" t="s">
        <v>1109</v>
      </c>
      <c r="N330" s="45">
        <v>0</v>
      </c>
      <c r="O330" s="46">
        <f t="shared" si="7"/>
        <v>0</v>
      </c>
      <c r="P330" s="47">
        <f>KOHC!E60</f>
        <v>0</v>
      </c>
      <c r="Q330" s="44" t="str">
        <f t="shared" si="8"/>
        <v>PASS</v>
      </c>
      <c r="R330" s="44" t="s">
        <v>1110</v>
      </c>
      <c r="S330" s="44"/>
    </row>
    <row r="331" spans="1:19" x14ac:dyDescent="0.3">
      <c r="A331" s="44" t="s">
        <v>1353</v>
      </c>
      <c r="B331" s="44" t="s">
        <v>18</v>
      </c>
      <c r="C331" s="44" t="s">
        <v>27</v>
      </c>
      <c r="D331" s="44" t="s">
        <v>320</v>
      </c>
      <c r="E331" s="44" t="s">
        <v>1035</v>
      </c>
      <c r="F331" s="44"/>
      <c r="G331" s="44" t="s">
        <v>1119</v>
      </c>
      <c r="H331" s="44" t="s">
        <v>1120</v>
      </c>
      <c r="I331" s="44" t="s">
        <v>1106</v>
      </c>
      <c r="J331" s="44">
        <v>58</v>
      </c>
      <c r="K331" s="44" t="s">
        <v>1139</v>
      </c>
      <c r="L331" s="44"/>
      <c r="M331" s="44" t="s">
        <v>1109</v>
      </c>
      <c r="N331" s="45">
        <v>0</v>
      </c>
      <c r="O331" s="46">
        <f t="shared" si="7"/>
        <v>0</v>
      </c>
      <c r="P331" s="47">
        <f>KOHC!F60</f>
        <v>0</v>
      </c>
      <c r="Q331" s="44" t="str">
        <f t="shared" si="8"/>
        <v>PASS</v>
      </c>
      <c r="R331" s="44" t="s">
        <v>1110</v>
      </c>
      <c r="S331" s="44"/>
    </row>
    <row r="332" spans="1:19" x14ac:dyDescent="0.3">
      <c r="A332" s="44" t="s">
        <v>1354</v>
      </c>
      <c r="B332" s="44" t="s">
        <v>18</v>
      </c>
      <c r="C332" s="44" t="s">
        <v>28</v>
      </c>
      <c r="D332" s="44" t="s">
        <v>320</v>
      </c>
      <c r="E332" s="44" t="s">
        <v>1035</v>
      </c>
      <c r="F332" s="44"/>
      <c r="G332" s="44" t="s">
        <v>1123</v>
      </c>
      <c r="H332" s="44" t="s">
        <v>1124</v>
      </c>
      <c r="I332" s="44" t="s">
        <v>1106</v>
      </c>
      <c r="J332" s="44">
        <v>68</v>
      </c>
      <c r="K332" s="44" t="s">
        <v>1144</v>
      </c>
      <c r="L332" s="44"/>
      <c r="M332" s="44" t="s">
        <v>1109</v>
      </c>
      <c r="N332" s="45">
        <v>0</v>
      </c>
      <c r="O332" s="46">
        <f t="shared" si="7"/>
        <v>0</v>
      </c>
      <c r="P332" s="47">
        <f>KOHC!G60</f>
        <v>0</v>
      </c>
      <c r="Q332" s="44" t="str">
        <f t="shared" si="8"/>
        <v>PASS</v>
      </c>
      <c r="R332" s="44" t="s">
        <v>1110</v>
      </c>
      <c r="S332" s="44"/>
    </row>
    <row r="333" spans="1:19" x14ac:dyDescent="0.3">
      <c r="A333" s="44" t="s">
        <v>1355</v>
      </c>
      <c r="B333" s="44" t="s">
        <v>18</v>
      </c>
      <c r="C333" s="44" t="s">
        <v>29</v>
      </c>
      <c r="D333" s="44" t="s">
        <v>320</v>
      </c>
      <c r="E333" s="44" t="s">
        <v>1035</v>
      </c>
      <c r="F333" s="44"/>
      <c r="G333" s="44" t="s">
        <v>1123</v>
      </c>
      <c r="H333" s="44" t="s">
        <v>1124</v>
      </c>
      <c r="I333" s="44" t="s">
        <v>1127</v>
      </c>
      <c r="J333" s="44">
        <v>68</v>
      </c>
      <c r="K333" s="44" t="s">
        <v>1144</v>
      </c>
      <c r="L333" s="44"/>
      <c r="M333" s="44" t="s">
        <v>1109</v>
      </c>
      <c r="N333" s="45">
        <v>0</v>
      </c>
      <c r="O333" s="46">
        <f t="shared" si="7"/>
        <v>0</v>
      </c>
      <c r="P333" s="47">
        <f>KOHC!H60</f>
        <v>0</v>
      </c>
      <c r="Q333" s="44" t="str">
        <f t="shared" si="8"/>
        <v>PASS</v>
      </c>
      <c r="R333" s="44" t="s">
        <v>1110</v>
      </c>
      <c r="S333" s="44"/>
    </row>
    <row r="334" spans="1:19" x14ac:dyDescent="0.3">
      <c r="A334" s="44" t="s">
        <v>1356</v>
      </c>
      <c r="B334" s="44" t="s">
        <v>18</v>
      </c>
      <c r="C334" s="44" t="s">
        <v>965</v>
      </c>
      <c r="D334" s="44" t="s">
        <v>345</v>
      </c>
      <c r="E334" s="44" t="s">
        <v>1035</v>
      </c>
      <c r="F334" s="44"/>
      <c r="G334" s="44" t="s">
        <v>1104</v>
      </c>
      <c r="H334" s="44" t="s">
        <v>1105</v>
      </c>
      <c r="I334" s="44" t="s">
        <v>1106</v>
      </c>
      <c r="J334" s="44">
        <v>45</v>
      </c>
      <c r="K334" s="44" t="s">
        <v>1107</v>
      </c>
      <c r="L334" s="44"/>
      <c r="M334" s="44" t="s">
        <v>1109</v>
      </c>
      <c r="N334" s="45">
        <v>31756667306</v>
      </c>
      <c r="O334" s="46">
        <f t="shared" si="7"/>
        <v>31756.667305999999</v>
      </c>
      <c r="P334" s="47">
        <f>KOHC!C75</f>
        <v>31756.667305999999</v>
      </c>
      <c r="Q334" s="44" t="str">
        <f t="shared" si="8"/>
        <v>PASS</v>
      </c>
      <c r="R334" s="44" t="s">
        <v>1110</v>
      </c>
      <c r="S334" s="44"/>
    </row>
    <row r="335" spans="1:19" x14ac:dyDescent="0.3">
      <c r="A335" s="44" t="s">
        <v>1357</v>
      </c>
      <c r="B335" s="44" t="s">
        <v>18</v>
      </c>
      <c r="C335" s="44" t="s">
        <v>20</v>
      </c>
      <c r="D335" s="44" t="s">
        <v>345</v>
      </c>
      <c r="E335" s="44" t="s">
        <v>1035</v>
      </c>
      <c r="F335" s="44"/>
      <c r="G335" s="44" t="s">
        <v>1112</v>
      </c>
      <c r="H335" s="44" t="s">
        <v>1113</v>
      </c>
      <c r="I335" s="44" t="s">
        <v>1106</v>
      </c>
      <c r="J335" s="44">
        <v>53</v>
      </c>
      <c r="K335" s="44" t="s">
        <v>1107</v>
      </c>
      <c r="L335" s="44"/>
      <c r="M335" s="44" t="s">
        <v>1109</v>
      </c>
      <c r="N335" s="45">
        <v>36086921437</v>
      </c>
      <c r="O335" s="46">
        <f t="shared" si="7"/>
        <v>36086.921436999997</v>
      </c>
      <c r="P335" s="47">
        <f>KOHC!D75</f>
        <v>36086.921436999997</v>
      </c>
      <c r="Q335" s="44" t="str">
        <f t="shared" si="8"/>
        <v>PASS</v>
      </c>
      <c r="R335" s="44" t="s">
        <v>1110</v>
      </c>
      <c r="S335" s="44"/>
    </row>
    <row r="336" spans="1:19" x14ac:dyDescent="0.3">
      <c r="A336" s="44" t="s">
        <v>1358</v>
      </c>
      <c r="B336" s="44" t="s">
        <v>18</v>
      </c>
      <c r="C336" s="44" t="s">
        <v>26</v>
      </c>
      <c r="D336" s="44" t="s">
        <v>345</v>
      </c>
      <c r="E336" s="44" t="s">
        <v>1035</v>
      </c>
      <c r="F336" s="44"/>
      <c r="G336" s="44" t="s">
        <v>1116</v>
      </c>
      <c r="H336" s="44" t="s">
        <v>1117</v>
      </c>
      <c r="I336" s="44" t="s">
        <v>1106</v>
      </c>
      <c r="J336" s="44">
        <v>53</v>
      </c>
      <c r="K336" s="44" t="s">
        <v>1107</v>
      </c>
      <c r="L336" s="44"/>
      <c r="M336" s="44" t="s">
        <v>1109</v>
      </c>
      <c r="N336" s="45">
        <v>43350667844</v>
      </c>
      <c r="O336" s="46">
        <f t="shared" si="7"/>
        <v>43350.667844000003</v>
      </c>
      <c r="P336" s="47">
        <f>KOHC!E75</f>
        <v>43350.667844000003</v>
      </c>
      <c r="Q336" s="44" t="str">
        <f t="shared" si="8"/>
        <v>PASS</v>
      </c>
      <c r="R336" s="44" t="s">
        <v>1110</v>
      </c>
      <c r="S336" s="44"/>
    </row>
    <row r="337" spans="1:19" x14ac:dyDescent="0.3">
      <c r="A337" s="44" t="s">
        <v>1359</v>
      </c>
      <c r="B337" s="44" t="s">
        <v>18</v>
      </c>
      <c r="C337" s="44" t="s">
        <v>27</v>
      </c>
      <c r="D337" s="44" t="s">
        <v>345</v>
      </c>
      <c r="E337" s="44" t="s">
        <v>1035</v>
      </c>
      <c r="F337" s="44"/>
      <c r="G337" s="44" t="s">
        <v>1119</v>
      </c>
      <c r="H337" s="44" t="s">
        <v>1120</v>
      </c>
      <c r="I337" s="44" t="s">
        <v>1106</v>
      </c>
      <c r="J337" s="44">
        <v>59</v>
      </c>
      <c r="K337" s="44" t="s">
        <v>1107</v>
      </c>
      <c r="L337" s="44"/>
      <c r="M337" s="44" t="s">
        <v>1109</v>
      </c>
      <c r="N337" s="45">
        <v>49530075545</v>
      </c>
      <c r="O337" s="46">
        <f t="shared" si="7"/>
        <v>49530.075545</v>
      </c>
      <c r="P337" s="47">
        <f>KOHC!F75</f>
        <v>49530.075545</v>
      </c>
      <c r="Q337" s="44" t="str">
        <f t="shared" si="8"/>
        <v>PASS</v>
      </c>
      <c r="R337" s="44" t="s">
        <v>1110</v>
      </c>
      <c r="S337" s="44"/>
    </row>
    <row r="338" spans="1:19" x14ac:dyDescent="0.3">
      <c r="A338" s="44" t="s">
        <v>1360</v>
      </c>
      <c r="B338" s="44" t="s">
        <v>18</v>
      </c>
      <c r="C338" s="44" t="s">
        <v>28</v>
      </c>
      <c r="D338" s="44" t="s">
        <v>345</v>
      </c>
      <c r="E338" s="44" t="s">
        <v>1035</v>
      </c>
      <c r="F338" s="44"/>
      <c r="G338" s="44" t="s">
        <v>1123</v>
      </c>
      <c r="H338" s="44" t="s">
        <v>1124</v>
      </c>
      <c r="I338" s="44" t="s">
        <v>1106</v>
      </c>
      <c r="J338" s="44">
        <v>69</v>
      </c>
      <c r="K338" s="44" t="s">
        <v>1107</v>
      </c>
      <c r="L338" s="44"/>
      <c r="M338" s="44" t="s">
        <v>1109</v>
      </c>
      <c r="N338" s="45">
        <v>58843295197</v>
      </c>
      <c r="O338" s="46">
        <f t="shared" si="7"/>
        <v>58843.295196999999</v>
      </c>
      <c r="P338" s="47">
        <f>KOHC!G75</f>
        <v>58843.295196999999</v>
      </c>
      <c r="Q338" s="44" t="str">
        <f t="shared" si="8"/>
        <v>PASS</v>
      </c>
      <c r="R338" s="44" t="s">
        <v>1110</v>
      </c>
      <c r="S338" s="44"/>
    </row>
    <row r="339" spans="1:19" x14ac:dyDescent="0.3">
      <c r="A339" s="44" t="s">
        <v>1361</v>
      </c>
      <c r="B339" s="44" t="s">
        <v>18</v>
      </c>
      <c r="C339" s="44" t="s">
        <v>29</v>
      </c>
      <c r="D339" s="44" t="s">
        <v>345</v>
      </c>
      <c r="E339" s="44" t="s">
        <v>1035</v>
      </c>
      <c r="F339" s="44"/>
      <c r="G339" s="44" t="s">
        <v>1123</v>
      </c>
      <c r="H339" s="44" t="s">
        <v>1124</v>
      </c>
      <c r="I339" s="44" t="s">
        <v>1127</v>
      </c>
      <c r="J339" s="44">
        <v>69</v>
      </c>
      <c r="K339" s="44" t="s">
        <v>1107</v>
      </c>
      <c r="L339" s="44"/>
      <c r="M339" s="44" t="s">
        <v>1109</v>
      </c>
      <c r="N339" s="45">
        <v>66794311768</v>
      </c>
      <c r="O339" s="46">
        <f t="shared" si="7"/>
        <v>66794.311768</v>
      </c>
      <c r="P339" s="47">
        <f>KOHC!H75</f>
        <v>66794.311768</v>
      </c>
      <c r="Q339" s="44" t="str">
        <f t="shared" si="8"/>
        <v>PASS</v>
      </c>
      <c r="R339" s="44" t="s">
        <v>1110</v>
      </c>
      <c r="S339" s="44"/>
    </row>
    <row r="340" spans="1:19" x14ac:dyDescent="0.3">
      <c r="A340" s="44" t="s">
        <v>1362</v>
      </c>
      <c r="B340" s="44" t="s">
        <v>18</v>
      </c>
      <c r="C340" s="44" t="s">
        <v>965</v>
      </c>
      <c r="D340" s="44" t="s">
        <v>347</v>
      </c>
      <c r="E340" s="44" t="s">
        <v>1035</v>
      </c>
      <c r="F340" s="44"/>
      <c r="G340" s="44" t="s">
        <v>1104</v>
      </c>
      <c r="H340" s="44" t="s">
        <v>1105</v>
      </c>
      <c r="I340" s="44" t="s">
        <v>1106</v>
      </c>
      <c r="J340" s="44">
        <v>44</v>
      </c>
      <c r="K340" s="44" t="s">
        <v>1139</v>
      </c>
      <c r="L340" s="44"/>
      <c r="M340" s="44" t="s">
        <v>1109</v>
      </c>
      <c r="N340" s="45">
        <v>18726673324</v>
      </c>
      <c r="O340" s="46">
        <f t="shared" ref="O340:O403" si="9">N340/1000000</f>
        <v>18726.673323999999</v>
      </c>
      <c r="P340" s="47">
        <f>KOHC!C76</f>
        <v>18726.673323999999</v>
      </c>
      <c r="Q340" s="44" t="str">
        <f t="shared" ref="Q340:Q403" si="10">IF(ABS(O340-P340)&lt;0.000001,"PASS","FAIL")</f>
        <v>PASS</v>
      </c>
      <c r="R340" s="44" t="s">
        <v>1110</v>
      </c>
      <c r="S340" s="44"/>
    </row>
    <row r="341" spans="1:19" x14ac:dyDescent="0.3">
      <c r="A341" s="44" t="s">
        <v>1363</v>
      </c>
      <c r="B341" s="44" t="s">
        <v>18</v>
      </c>
      <c r="C341" s="44" t="s">
        <v>20</v>
      </c>
      <c r="D341" s="44" t="s">
        <v>347</v>
      </c>
      <c r="E341" s="44" t="s">
        <v>1035</v>
      </c>
      <c r="F341" s="44"/>
      <c r="G341" s="44" t="s">
        <v>1112</v>
      </c>
      <c r="H341" s="44" t="s">
        <v>1113</v>
      </c>
      <c r="I341" s="44" t="s">
        <v>1106</v>
      </c>
      <c r="J341" s="44">
        <v>52</v>
      </c>
      <c r="K341" s="44" t="s">
        <v>1139</v>
      </c>
      <c r="L341" s="44"/>
      <c r="M341" s="44" t="s">
        <v>1109</v>
      </c>
      <c r="N341" s="45">
        <v>22223539371</v>
      </c>
      <c r="O341" s="46">
        <f t="shared" si="9"/>
        <v>22223.539370999999</v>
      </c>
      <c r="P341" s="47">
        <f>KOHC!D76</f>
        <v>22223.539370999999</v>
      </c>
      <c r="Q341" s="44" t="str">
        <f t="shared" si="10"/>
        <v>PASS</v>
      </c>
      <c r="R341" s="44" t="s">
        <v>1110</v>
      </c>
      <c r="S341" s="44"/>
    </row>
    <row r="342" spans="1:19" x14ac:dyDescent="0.3">
      <c r="A342" s="44" t="s">
        <v>1364</v>
      </c>
      <c r="B342" s="44" t="s">
        <v>18</v>
      </c>
      <c r="C342" s="44" t="s">
        <v>26</v>
      </c>
      <c r="D342" s="44" t="s">
        <v>347</v>
      </c>
      <c r="E342" s="44" t="s">
        <v>1035</v>
      </c>
      <c r="F342" s="44"/>
      <c r="G342" s="44" t="s">
        <v>1116</v>
      </c>
      <c r="H342" s="44" t="s">
        <v>1117</v>
      </c>
      <c r="I342" s="44" t="s">
        <v>1106</v>
      </c>
      <c r="J342" s="44">
        <v>52</v>
      </c>
      <c r="K342" s="44" t="s">
        <v>1139</v>
      </c>
      <c r="L342" s="44"/>
      <c r="M342" s="44" t="s">
        <v>1109</v>
      </c>
      <c r="N342" s="45">
        <v>27246220231</v>
      </c>
      <c r="O342" s="46">
        <f t="shared" si="9"/>
        <v>27246.220230999999</v>
      </c>
      <c r="P342" s="47">
        <f>KOHC!E76</f>
        <v>27246.220230999999</v>
      </c>
      <c r="Q342" s="44" t="str">
        <f t="shared" si="10"/>
        <v>PASS</v>
      </c>
      <c r="R342" s="44" t="s">
        <v>1110</v>
      </c>
      <c r="S342" s="44"/>
    </row>
    <row r="343" spans="1:19" x14ac:dyDescent="0.3">
      <c r="A343" s="44" t="s">
        <v>1365</v>
      </c>
      <c r="B343" s="44" t="s">
        <v>18</v>
      </c>
      <c r="C343" s="44" t="s">
        <v>27</v>
      </c>
      <c r="D343" s="44" t="s">
        <v>347</v>
      </c>
      <c r="E343" s="44" t="s">
        <v>1035</v>
      </c>
      <c r="F343" s="44"/>
      <c r="G343" s="44" t="s">
        <v>1119</v>
      </c>
      <c r="H343" s="44" t="s">
        <v>1120</v>
      </c>
      <c r="I343" s="44" t="s">
        <v>1106</v>
      </c>
      <c r="J343" s="44">
        <v>58</v>
      </c>
      <c r="K343" s="44" t="s">
        <v>1139</v>
      </c>
      <c r="L343" s="44"/>
      <c r="M343" s="44" t="s">
        <v>1109</v>
      </c>
      <c r="N343" s="45">
        <v>32610044972</v>
      </c>
      <c r="O343" s="46">
        <f t="shared" si="9"/>
        <v>32610.044972</v>
      </c>
      <c r="P343" s="47">
        <f>KOHC!F76</f>
        <v>32610.044972</v>
      </c>
      <c r="Q343" s="44" t="str">
        <f t="shared" si="10"/>
        <v>PASS</v>
      </c>
      <c r="R343" s="44" t="s">
        <v>1110</v>
      </c>
      <c r="S343" s="44"/>
    </row>
    <row r="344" spans="1:19" x14ac:dyDescent="0.3">
      <c r="A344" s="44" t="s">
        <v>1366</v>
      </c>
      <c r="B344" s="44" t="s">
        <v>18</v>
      </c>
      <c r="C344" s="44" t="s">
        <v>28</v>
      </c>
      <c r="D344" s="44" t="s">
        <v>347</v>
      </c>
      <c r="E344" s="44" t="s">
        <v>1035</v>
      </c>
      <c r="F344" s="44"/>
      <c r="G344" s="44" t="s">
        <v>1123</v>
      </c>
      <c r="H344" s="44" t="s">
        <v>1124</v>
      </c>
      <c r="I344" s="44" t="s">
        <v>1106</v>
      </c>
      <c r="J344" s="44">
        <v>68</v>
      </c>
      <c r="K344" s="44" t="s">
        <v>1144</v>
      </c>
      <c r="L344" s="44"/>
      <c r="M344" s="44" t="s">
        <v>1109</v>
      </c>
      <c r="N344" s="45">
        <v>41090305291</v>
      </c>
      <c r="O344" s="46">
        <f t="shared" si="9"/>
        <v>41090.305290999997</v>
      </c>
      <c r="P344" s="47">
        <f>KOHC!G76</f>
        <v>41090.305290999997</v>
      </c>
      <c r="Q344" s="44" t="str">
        <f t="shared" si="10"/>
        <v>PASS</v>
      </c>
      <c r="R344" s="44" t="s">
        <v>1110</v>
      </c>
      <c r="S344" s="44"/>
    </row>
    <row r="345" spans="1:19" x14ac:dyDescent="0.3">
      <c r="A345" s="44" t="s">
        <v>1367</v>
      </c>
      <c r="B345" s="44" t="s">
        <v>18</v>
      </c>
      <c r="C345" s="44" t="s">
        <v>29</v>
      </c>
      <c r="D345" s="44" t="s">
        <v>347</v>
      </c>
      <c r="E345" s="44" t="s">
        <v>1035</v>
      </c>
      <c r="F345" s="44"/>
      <c r="G345" s="44" t="s">
        <v>1123</v>
      </c>
      <c r="H345" s="44" t="s">
        <v>1124</v>
      </c>
      <c r="I345" s="44" t="s">
        <v>1127</v>
      </c>
      <c r="J345" s="44">
        <v>68</v>
      </c>
      <c r="K345" s="44" t="s">
        <v>1144</v>
      </c>
      <c r="L345" s="44"/>
      <c r="M345" s="44" t="s">
        <v>1109</v>
      </c>
      <c r="N345" s="45">
        <v>47955194787</v>
      </c>
      <c r="O345" s="46">
        <f t="shared" si="9"/>
        <v>47955.194787</v>
      </c>
      <c r="P345" s="47">
        <f>KOHC!H76</f>
        <v>47955.194787</v>
      </c>
      <c r="Q345" s="44" t="str">
        <f t="shared" si="10"/>
        <v>PASS</v>
      </c>
      <c r="R345" s="44" t="s">
        <v>1110</v>
      </c>
      <c r="S345" s="44"/>
    </row>
    <row r="346" spans="1:19" x14ac:dyDescent="0.3">
      <c r="A346" s="44" t="s">
        <v>1368</v>
      </c>
      <c r="B346" s="44" t="s">
        <v>18</v>
      </c>
      <c r="C346" s="44" t="s">
        <v>965</v>
      </c>
      <c r="D346" s="44" t="s">
        <v>349</v>
      </c>
      <c r="E346" s="44" t="s">
        <v>1035</v>
      </c>
      <c r="F346" s="44"/>
      <c r="G346" s="44" t="s">
        <v>1104</v>
      </c>
      <c r="H346" s="44" t="s">
        <v>1105</v>
      </c>
      <c r="I346" s="44" t="s">
        <v>1106</v>
      </c>
      <c r="J346" s="44">
        <v>45</v>
      </c>
      <c r="K346" s="44" t="s">
        <v>1139</v>
      </c>
      <c r="L346" s="44"/>
      <c r="M346" s="44" t="s">
        <v>1109</v>
      </c>
      <c r="N346" s="45">
        <v>5237623778</v>
      </c>
      <c r="O346" s="46">
        <f t="shared" si="9"/>
        <v>5237.6237780000001</v>
      </c>
      <c r="P346" s="47">
        <f>KOHC!C77</f>
        <v>5237.6237780000001</v>
      </c>
      <c r="Q346" s="44" t="str">
        <f t="shared" si="10"/>
        <v>PASS</v>
      </c>
      <c r="R346" s="44" t="s">
        <v>1110</v>
      </c>
      <c r="S346" s="44"/>
    </row>
    <row r="347" spans="1:19" x14ac:dyDescent="0.3">
      <c r="A347" s="44" t="s">
        <v>1369</v>
      </c>
      <c r="B347" s="44" t="s">
        <v>18</v>
      </c>
      <c r="C347" s="44" t="s">
        <v>20</v>
      </c>
      <c r="D347" s="44" t="s">
        <v>349</v>
      </c>
      <c r="E347" s="44" t="s">
        <v>1035</v>
      </c>
      <c r="F347" s="44"/>
      <c r="G347" s="44" t="s">
        <v>1112</v>
      </c>
      <c r="H347" s="44" t="s">
        <v>1113</v>
      </c>
      <c r="I347" s="44" t="s">
        <v>1106</v>
      </c>
      <c r="J347" s="44">
        <v>53</v>
      </c>
      <c r="K347" s="44" t="s">
        <v>1139</v>
      </c>
      <c r="L347" s="44"/>
      <c r="M347" s="44" t="s">
        <v>1109</v>
      </c>
      <c r="N347" s="45">
        <v>9848798714</v>
      </c>
      <c r="O347" s="46">
        <f t="shared" si="9"/>
        <v>9848.7987140000005</v>
      </c>
      <c r="P347" s="47">
        <f>KOHC!D77</f>
        <v>9848.7987140000005</v>
      </c>
      <c r="Q347" s="44" t="str">
        <f t="shared" si="10"/>
        <v>PASS</v>
      </c>
      <c r="R347" s="44" t="s">
        <v>1110</v>
      </c>
      <c r="S347" s="44"/>
    </row>
    <row r="348" spans="1:19" x14ac:dyDescent="0.3">
      <c r="A348" s="44" t="s">
        <v>1370</v>
      </c>
      <c r="B348" s="44" t="s">
        <v>18</v>
      </c>
      <c r="C348" s="44" t="s">
        <v>26</v>
      </c>
      <c r="D348" s="44" t="s">
        <v>349</v>
      </c>
      <c r="E348" s="44" t="s">
        <v>1035</v>
      </c>
      <c r="F348" s="44"/>
      <c r="G348" s="44" t="s">
        <v>1116</v>
      </c>
      <c r="H348" s="44" t="s">
        <v>1117</v>
      </c>
      <c r="I348" s="44" t="s">
        <v>1106</v>
      </c>
      <c r="J348" s="44">
        <v>53</v>
      </c>
      <c r="K348" s="44" t="s">
        <v>1139</v>
      </c>
      <c r="L348" s="44"/>
      <c r="M348" s="44" t="s">
        <v>1109</v>
      </c>
      <c r="N348" s="45">
        <v>17775831447</v>
      </c>
      <c r="O348" s="46">
        <f t="shared" si="9"/>
        <v>17775.831447</v>
      </c>
      <c r="P348" s="47">
        <f>KOHC!E77</f>
        <v>17775.831447</v>
      </c>
      <c r="Q348" s="44" t="str">
        <f t="shared" si="10"/>
        <v>PASS</v>
      </c>
      <c r="R348" s="44" t="s">
        <v>1110</v>
      </c>
      <c r="S348" s="44"/>
    </row>
    <row r="349" spans="1:19" x14ac:dyDescent="0.3">
      <c r="A349" s="44" t="s">
        <v>1371</v>
      </c>
      <c r="B349" s="44" t="s">
        <v>18</v>
      </c>
      <c r="C349" s="44" t="s">
        <v>27</v>
      </c>
      <c r="D349" s="44" t="s">
        <v>349</v>
      </c>
      <c r="E349" s="44" t="s">
        <v>1035</v>
      </c>
      <c r="F349" s="44"/>
      <c r="G349" s="44" t="s">
        <v>1119</v>
      </c>
      <c r="H349" s="44" t="s">
        <v>1120</v>
      </c>
      <c r="I349" s="44" t="s">
        <v>1106</v>
      </c>
      <c r="J349" s="44">
        <v>59</v>
      </c>
      <c r="K349" s="44" t="s">
        <v>1139</v>
      </c>
      <c r="L349" s="44"/>
      <c r="M349" s="44" t="s">
        <v>1109</v>
      </c>
      <c r="N349" s="45">
        <v>22913376649</v>
      </c>
      <c r="O349" s="46">
        <f t="shared" si="9"/>
        <v>22913.376649000002</v>
      </c>
      <c r="P349" s="47">
        <f>KOHC!F77</f>
        <v>22913.376649000002</v>
      </c>
      <c r="Q349" s="44" t="str">
        <f t="shared" si="10"/>
        <v>PASS</v>
      </c>
      <c r="R349" s="44" t="s">
        <v>1110</v>
      </c>
      <c r="S349" s="44"/>
    </row>
    <row r="350" spans="1:19" x14ac:dyDescent="0.3">
      <c r="A350" s="44" t="s">
        <v>1372</v>
      </c>
      <c r="B350" s="44" t="s">
        <v>18</v>
      </c>
      <c r="C350" s="44" t="s">
        <v>28</v>
      </c>
      <c r="D350" s="44" t="s">
        <v>349</v>
      </c>
      <c r="E350" s="44" t="s">
        <v>1035</v>
      </c>
      <c r="F350" s="44"/>
      <c r="G350" s="44" t="s">
        <v>1123</v>
      </c>
      <c r="H350" s="44" t="s">
        <v>1124</v>
      </c>
      <c r="I350" s="44" t="s">
        <v>1106</v>
      </c>
      <c r="J350" s="44">
        <v>69</v>
      </c>
      <c r="K350" s="44" t="s">
        <v>1144</v>
      </c>
      <c r="L350" s="44"/>
      <c r="M350" s="44" t="s">
        <v>1109</v>
      </c>
      <c r="N350" s="45">
        <v>32212396773</v>
      </c>
      <c r="O350" s="46">
        <f t="shared" si="9"/>
        <v>32212.396773</v>
      </c>
      <c r="P350" s="47">
        <f>KOHC!G77</f>
        <v>32212.396773</v>
      </c>
      <c r="Q350" s="44" t="str">
        <f t="shared" si="10"/>
        <v>PASS</v>
      </c>
      <c r="R350" s="44" t="s">
        <v>1110</v>
      </c>
      <c r="S350" s="44"/>
    </row>
    <row r="351" spans="1:19" x14ac:dyDescent="0.3">
      <c r="A351" s="44" t="s">
        <v>1373</v>
      </c>
      <c r="B351" s="44" t="s">
        <v>18</v>
      </c>
      <c r="C351" s="44" t="s">
        <v>29</v>
      </c>
      <c r="D351" s="44" t="s">
        <v>349</v>
      </c>
      <c r="E351" s="44" t="s">
        <v>1035</v>
      </c>
      <c r="F351" s="44"/>
      <c r="G351" s="44" t="s">
        <v>1123</v>
      </c>
      <c r="H351" s="44" t="s">
        <v>1124</v>
      </c>
      <c r="I351" s="44" t="s">
        <v>1127</v>
      </c>
      <c r="J351" s="44">
        <v>69</v>
      </c>
      <c r="K351" s="44" t="s">
        <v>1144</v>
      </c>
      <c r="L351" s="44"/>
      <c r="M351" s="44" t="s">
        <v>1109</v>
      </c>
      <c r="N351" s="45">
        <v>38614792494</v>
      </c>
      <c r="O351" s="46">
        <f t="shared" si="9"/>
        <v>38614.792494000001</v>
      </c>
      <c r="P351" s="47">
        <f>KOHC!H77</f>
        <v>38614.792494000001</v>
      </c>
      <c r="Q351" s="44" t="str">
        <f t="shared" si="10"/>
        <v>PASS</v>
      </c>
      <c r="R351" s="44" t="s">
        <v>1110</v>
      </c>
      <c r="S351" s="44"/>
    </row>
    <row r="352" spans="1:19" x14ac:dyDescent="0.3">
      <c r="A352" s="44" t="s">
        <v>1374</v>
      </c>
      <c r="B352" s="44" t="s">
        <v>18</v>
      </c>
      <c r="C352" s="44" t="s">
        <v>965</v>
      </c>
      <c r="D352" s="44" t="s">
        <v>351</v>
      </c>
      <c r="E352" s="44" t="s">
        <v>1035</v>
      </c>
      <c r="F352" s="44"/>
      <c r="G352" s="44" t="s">
        <v>1104</v>
      </c>
      <c r="H352" s="44" t="s">
        <v>1105</v>
      </c>
      <c r="I352" s="44" t="s">
        <v>1106</v>
      </c>
      <c r="J352" s="44">
        <v>44</v>
      </c>
      <c r="K352" s="44" t="s">
        <v>1139</v>
      </c>
      <c r="L352" s="44"/>
      <c r="M352" s="44" t="s">
        <v>1109</v>
      </c>
      <c r="N352" s="45">
        <v>6279548271</v>
      </c>
      <c r="O352" s="46">
        <f t="shared" si="9"/>
        <v>6279.5482709999997</v>
      </c>
      <c r="P352" s="47">
        <f>KOHC!C78</f>
        <v>6279.5482709999997</v>
      </c>
      <c r="Q352" s="44" t="str">
        <f t="shared" si="10"/>
        <v>PASS</v>
      </c>
      <c r="R352" s="44" t="s">
        <v>1110</v>
      </c>
      <c r="S352" s="44"/>
    </row>
    <row r="353" spans="1:19" x14ac:dyDescent="0.3">
      <c r="A353" s="44" t="s">
        <v>1375</v>
      </c>
      <c r="B353" s="44" t="s">
        <v>18</v>
      </c>
      <c r="C353" s="44" t="s">
        <v>20</v>
      </c>
      <c r="D353" s="44" t="s">
        <v>351</v>
      </c>
      <c r="E353" s="44" t="s">
        <v>1035</v>
      </c>
      <c r="F353" s="44"/>
      <c r="G353" s="44" t="s">
        <v>1112</v>
      </c>
      <c r="H353" s="44" t="s">
        <v>1113</v>
      </c>
      <c r="I353" s="44" t="s">
        <v>1106</v>
      </c>
      <c r="J353" s="44">
        <v>52</v>
      </c>
      <c r="K353" s="44" t="s">
        <v>1139</v>
      </c>
      <c r="L353" s="44"/>
      <c r="M353" s="44" t="s">
        <v>1109</v>
      </c>
      <c r="N353" s="45">
        <v>7572243940</v>
      </c>
      <c r="O353" s="46">
        <f t="shared" si="9"/>
        <v>7572.2439400000003</v>
      </c>
      <c r="P353" s="47">
        <f>KOHC!D78</f>
        <v>7572.2439400000003</v>
      </c>
      <c r="Q353" s="44" t="str">
        <f t="shared" si="10"/>
        <v>PASS</v>
      </c>
      <c r="R353" s="44" t="s">
        <v>1110</v>
      </c>
      <c r="S353" s="44"/>
    </row>
    <row r="354" spans="1:19" x14ac:dyDescent="0.3">
      <c r="A354" s="44" t="s">
        <v>1376</v>
      </c>
      <c r="B354" s="44" t="s">
        <v>18</v>
      </c>
      <c r="C354" s="44" t="s">
        <v>26</v>
      </c>
      <c r="D354" s="44" t="s">
        <v>351</v>
      </c>
      <c r="E354" s="44" t="s">
        <v>1035</v>
      </c>
      <c r="F354" s="44"/>
      <c r="G354" s="44" t="s">
        <v>1116</v>
      </c>
      <c r="H354" s="44" t="s">
        <v>1117</v>
      </c>
      <c r="I354" s="44" t="s">
        <v>1106</v>
      </c>
      <c r="J354" s="44">
        <v>52</v>
      </c>
      <c r="K354" s="44" t="s">
        <v>1139</v>
      </c>
      <c r="L354" s="44"/>
      <c r="M354" s="44" t="s">
        <v>1109</v>
      </c>
      <c r="N354" s="45">
        <v>9487990679</v>
      </c>
      <c r="O354" s="46">
        <f t="shared" si="9"/>
        <v>9487.9906790000005</v>
      </c>
      <c r="P354" s="47">
        <f>KOHC!E78</f>
        <v>9487.9906790000005</v>
      </c>
      <c r="Q354" s="44" t="str">
        <f t="shared" si="10"/>
        <v>PASS</v>
      </c>
      <c r="R354" s="44" t="s">
        <v>1110</v>
      </c>
      <c r="S354" s="44"/>
    </row>
    <row r="355" spans="1:19" x14ac:dyDescent="0.3">
      <c r="A355" s="44" t="s">
        <v>1377</v>
      </c>
      <c r="B355" s="44" t="s">
        <v>18</v>
      </c>
      <c r="C355" s="44" t="s">
        <v>27</v>
      </c>
      <c r="D355" s="44" t="s">
        <v>351</v>
      </c>
      <c r="E355" s="44" t="s">
        <v>1035</v>
      </c>
      <c r="F355" s="44"/>
      <c r="G355" s="44" t="s">
        <v>1119</v>
      </c>
      <c r="H355" s="44" t="s">
        <v>1120</v>
      </c>
      <c r="I355" s="44" t="s">
        <v>1106</v>
      </c>
      <c r="J355" s="44">
        <v>58</v>
      </c>
      <c r="K355" s="44" t="s">
        <v>1139</v>
      </c>
      <c r="L355" s="44"/>
      <c r="M355" s="44" t="s">
        <v>1109</v>
      </c>
      <c r="N355" s="45">
        <v>9912471411</v>
      </c>
      <c r="O355" s="46">
        <f t="shared" si="9"/>
        <v>9912.4714110000004</v>
      </c>
      <c r="P355" s="47">
        <f>KOHC!F78</f>
        <v>9912.4714110000004</v>
      </c>
      <c r="Q355" s="44" t="str">
        <f t="shared" si="10"/>
        <v>PASS</v>
      </c>
      <c r="R355" s="44" t="s">
        <v>1110</v>
      </c>
      <c r="S355" s="44"/>
    </row>
    <row r="356" spans="1:19" x14ac:dyDescent="0.3">
      <c r="A356" s="44" t="s">
        <v>1378</v>
      </c>
      <c r="B356" s="44" t="s">
        <v>18</v>
      </c>
      <c r="C356" s="44" t="s">
        <v>28</v>
      </c>
      <c r="D356" s="44" t="s">
        <v>351</v>
      </c>
      <c r="E356" s="44" t="s">
        <v>1035</v>
      </c>
      <c r="F356" s="44"/>
      <c r="G356" s="44" t="s">
        <v>1123</v>
      </c>
      <c r="H356" s="44" t="s">
        <v>1124</v>
      </c>
      <c r="I356" s="44" t="s">
        <v>1106</v>
      </c>
      <c r="J356" s="44">
        <v>68</v>
      </c>
      <c r="K356" s="44" t="s">
        <v>1144</v>
      </c>
      <c r="L356" s="44"/>
      <c r="M356" s="44" t="s">
        <v>1109</v>
      </c>
      <c r="N356" s="45">
        <v>11095636231</v>
      </c>
      <c r="O356" s="46">
        <f t="shared" si="9"/>
        <v>11095.636231</v>
      </c>
      <c r="P356" s="47">
        <f>KOHC!G78</f>
        <v>11095.636231</v>
      </c>
      <c r="Q356" s="44" t="str">
        <f t="shared" si="10"/>
        <v>PASS</v>
      </c>
      <c r="R356" s="44" t="s">
        <v>1110</v>
      </c>
      <c r="S356" s="44"/>
    </row>
    <row r="357" spans="1:19" x14ac:dyDescent="0.3">
      <c r="A357" s="44" t="s">
        <v>1379</v>
      </c>
      <c r="B357" s="44" t="s">
        <v>18</v>
      </c>
      <c r="C357" s="44" t="s">
        <v>29</v>
      </c>
      <c r="D357" s="44" t="s">
        <v>351</v>
      </c>
      <c r="E357" s="44" t="s">
        <v>1035</v>
      </c>
      <c r="F357" s="44"/>
      <c r="G357" s="44" t="s">
        <v>1123</v>
      </c>
      <c r="H357" s="44" t="s">
        <v>1124</v>
      </c>
      <c r="I357" s="44" t="s">
        <v>1127</v>
      </c>
      <c r="J357" s="44">
        <v>68</v>
      </c>
      <c r="K357" s="44" t="s">
        <v>1144</v>
      </c>
      <c r="L357" s="44"/>
      <c r="M357" s="44" t="s">
        <v>1109</v>
      </c>
      <c r="N357" s="45">
        <v>11661701111</v>
      </c>
      <c r="O357" s="46">
        <f t="shared" si="9"/>
        <v>11661.701111</v>
      </c>
      <c r="P357" s="47">
        <f>KOHC!H78</f>
        <v>11661.701111</v>
      </c>
      <c r="Q357" s="44" t="str">
        <f t="shared" si="10"/>
        <v>PASS</v>
      </c>
      <c r="R357" s="44" t="s">
        <v>1110</v>
      </c>
      <c r="S357" s="44"/>
    </row>
    <row r="358" spans="1:19" x14ac:dyDescent="0.3">
      <c r="A358" s="44" t="s">
        <v>1380</v>
      </c>
      <c r="B358" s="44" t="s">
        <v>18</v>
      </c>
      <c r="C358" s="44" t="s">
        <v>20</v>
      </c>
      <c r="D358" s="44" t="s">
        <v>358</v>
      </c>
      <c r="E358" s="44" t="s">
        <v>1381</v>
      </c>
      <c r="F358" s="44" t="s">
        <v>1382</v>
      </c>
      <c r="G358" s="44" t="s">
        <v>1112</v>
      </c>
      <c r="H358" s="44" t="s">
        <v>1113</v>
      </c>
      <c r="I358" s="44" t="s">
        <v>1106</v>
      </c>
      <c r="J358" s="44">
        <v>54</v>
      </c>
      <c r="K358" s="44" t="s">
        <v>1139</v>
      </c>
      <c r="L358" s="44"/>
      <c r="M358" s="44" t="s">
        <v>1109</v>
      </c>
      <c r="N358" s="45">
        <v>24057375992</v>
      </c>
      <c r="O358" s="46">
        <f t="shared" si="9"/>
        <v>24057.375992000001</v>
      </c>
      <c r="P358" s="47">
        <f>KOHC!D84</f>
        <v>24057.375992000001</v>
      </c>
      <c r="Q358" s="44" t="str">
        <f t="shared" si="10"/>
        <v>PASS</v>
      </c>
      <c r="R358" s="44" t="s">
        <v>1110</v>
      </c>
      <c r="S358" s="44"/>
    </row>
    <row r="359" spans="1:19" x14ac:dyDescent="0.3">
      <c r="A359" s="44" t="s">
        <v>1383</v>
      </c>
      <c r="B359" s="44" t="s">
        <v>18</v>
      </c>
      <c r="C359" s="44" t="s">
        <v>26</v>
      </c>
      <c r="D359" s="44" t="s">
        <v>358</v>
      </c>
      <c r="E359" s="44" t="s">
        <v>1381</v>
      </c>
      <c r="F359" s="44" t="s">
        <v>1382</v>
      </c>
      <c r="G359" s="44" t="s">
        <v>1116</v>
      </c>
      <c r="H359" s="44" t="s">
        <v>1117</v>
      </c>
      <c r="I359" s="44" t="s">
        <v>1106</v>
      </c>
      <c r="J359" s="44">
        <v>54</v>
      </c>
      <c r="K359" s="44" t="s">
        <v>1139</v>
      </c>
      <c r="L359" s="44"/>
      <c r="M359" s="44" t="s">
        <v>1109</v>
      </c>
      <c r="N359" s="45">
        <v>32876949179</v>
      </c>
      <c r="O359" s="46">
        <f t="shared" si="9"/>
        <v>32876.949179000003</v>
      </c>
      <c r="P359" s="47">
        <f>KOHC!E84</f>
        <v>32876.949179000003</v>
      </c>
      <c r="Q359" s="44" t="str">
        <f t="shared" si="10"/>
        <v>PASS</v>
      </c>
      <c r="R359" s="44" t="s">
        <v>1110</v>
      </c>
      <c r="S359" s="44"/>
    </row>
    <row r="360" spans="1:19" x14ac:dyDescent="0.3">
      <c r="A360" s="44" t="s">
        <v>1384</v>
      </c>
      <c r="B360" s="44" t="s">
        <v>18</v>
      </c>
      <c r="C360" s="44" t="s">
        <v>27</v>
      </c>
      <c r="D360" s="44" t="s">
        <v>358</v>
      </c>
      <c r="E360" s="44" t="s">
        <v>1381</v>
      </c>
      <c r="F360" s="44" t="s">
        <v>1382</v>
      </c>
      <c r="G360" s="44" t="s">
        <v>1119</v>
      </c>
      <c r="H360" s="44" t="s">
        <v>1120</v>
      </c>
      <c r="I360" s="44" t="s">
        <v>1106</v>
      </c>
      <c r="J360" s="44">
        <v>60</v>
      </c>
      <c r="K360" s="44" t="s">
        <v>1139</v>
      </c>
      <c r="L360" s="44"/>
      <c r="M360" s="44" t="s">
        <v>1109</v>
      </c>
      <c r="N360" s="45">
        <v>38921635350</v>
      </c>
      <c r="O360" s="46">
        <f t="shared" si="9"/>
        <v>38921.635349999997</v>
      </c>
      <c r="P360" s="47">
        <f>KOHC!F84</f>
        <v>38921.635349999997</v>
      </c>
      <c r="Q360" s="44" t="str">
        <f t="shared" si="10"/>
        <v>PASS</v>
      </c>
      <c r="R360" s="44" t="s">
        <v>1110</v>
      </c>
      <c r="S360" s="44"/>
    </row>
    <row r="361" spans="1:19" x14ac:dyDescent="0.3">
      <c r="A361" s="44" t="s">
        <v>1385</v>
      </c>
      <c r="B361" s="44" t="s">
        <v>18</v>
      </c>
      <c r="C361" s="44" t="s">
        <v>28</v>
      </c>
      <c r="D361" s="44" t="s">
        <v>358</v>
      </c>
      <c r="E361" s="44" t="s">
        <v>1381</v>
      </c>
      <c r="F361" s="44" t="s">
        <v>1382</v>
      </c>
      <c r="G361" s="44" t="s">
        <v>1123</v>
      </c>
      <c r="H361" s="44" t="s">
        <v>1124</v>
      </c>
      <c r="I361" s="44" t="s">
        <v>1106</v>
      </c>
      <c r="J361" s="44">
        <v>70</v>
      </c>
      <c r="K361" s="44" t="s">
        <v>1386</v>
      </c>
      <c r="L361" s="44"/>
      <c r="M361" s="44" t="s">
        <v>1109</v>
      </c>
      <c r="N361" s="45">
        <v>38647767972</v>
      </c>
      <c r="O361" s="46">
        <f t="shared" si="9"/>
        <v>38647.767972000001</v>
      </c>
      <c r="P361" s="47">
        <f>KOHC!G84</f>
        <v>38647.767972000001</v>
      </c>
      <c r="Q361" s="44" t="str">
        <f t="shared" si="10"/>
        <v>PASS</v>
      </c>
      <c r="R361" s="44" t="s">
        <v>1110</v>
      </c>
      <c r="S361" s="44"/>
    </row>
    <row r="362" spans="1:19" x14ac:dyDescent="0.3">
      <c r="A362" s="44" t="s">
        <v>1387</v>
      </c>
      <c r="B362" s="44" t="s">
        <v>18</v>
      </c>
      <c r="C362" s="44" t="s">
        <v>29</v>
      </c>
      <c r="D362" s="44" t="s">
        <v>358</v>
      </c>
      <c r="E362" s="44" t="s">
        <v>1381</v>
      </c>
      <c r="F362" s="44" t="s">
        <v>1382</v>
      </c>
      <c r="G362" s="44" t="s">
        <v>1123</v>
      </c>
      <c r="H362" s="44" t="s">
        <v>1124</v>
      </c>
      <c r="I362" s="44" t="s">
        <v>1127</v>
      </c>
      <c r="J362" s="44">
        <v>70</v>
      </c>
      <c r="K362" s="44" t="s">
        <v>1386</v>
      </c>
      <c r="L362" s="44"/>
      <c r="M362" s="44" t="s">
        <v>1109</v>
      </c>
      <c r="N362" s="45">
        <v>37535700372</v>
      </c>
      <c r="O362" s="46">
        <f t="shared" si="9"/>
        <v>37535.700371999999</v>
      </c>
      <c r="P362" s="47">
        <f>KOHC!H84</f>
        <v>37535.700371999999</v>
      </c>
      <c r="Q362" s="44" t="str">
        <f t="shared" si="10"/>
        <v>PASS</v>
      </c>
      <c r="R362" s="44" t="s">
        <v>1110</v>
      </c>
      <c r="S362" s="44"/>
    </row>
    <row r="363" spans="1:19" x14ac:dyDescent="0.3">
      <c r="A363" s="44" t="s">
        <v>1388</v>
      </c>
      <c r="B363" s="44" t="s">
        <v>18</v>
      </c>
      <c r="C363" s="44" t="s">
        <v>20</v>
      </c>
      <c r="D363" s="44" t="s">
        <v>360</v>
      </c>
      <c r="E363" s="44" t="s">
        <v>1381</v>
      </c>
      <c r="F363" s="44" t="s">
        <v>360</v>
      </c>
      <c r="G363" s="44" t="s">
        <v>1112</v>
      </c>
      <c r="H363" s="44" t="s">
        <v>1113</v>
      </c>
      <c r="I363" s="44" t="s">
        <v>1106</v>
      </c>
      <c r="J363" s="44">
        <v>54</v>
      </c>
      <c r="K363" s="44" t="s">
        <v>1139</v>
      </c>
      <c r="L363" s="44"/>
      <c r="M363" s="44" t="s">
        <v>1109</v>
      </c>
      <c r="N363" s="45">
        <v>-18092026933</v>
      </c>
      <c r="O363" s="46">
        <f t="shared" si="9"/>
        <v>-18092.026933000001</v>
      </c>
      <c r="P363" s="47">
        <f>KOHC!D85</f>
        <v>-18092.026933000001</v>
      </c>
      <c r="Q363" s="44" t="str">
        <f t="shared" si="10"/>
        <v>PASS</v>
      </c>
      <c r="R363" s="44" t="s">
        <v>1110</v>
      </c>
      <c r="S363" s="44"/>
    </row>
    <row r="364" spans="1:19" x14ac:dyDescent="0.3">
      <c r="A364" s="44" t="s">
        <v>1389</v>
      </c>
      <c r="B364" s="44" t="s">
        <v>18</v>
      </c>
      <c r="C364" s="44" t="s">
        <v>26</v>
      </c>
      <c r="D364" s="44" t="s">
        <v>360</v>
      </c>
      <c r="E364" s="44" t="s">
        <v>1381</v>
      </c>
      <c r="F364" s="44" t="s">
        <v>360</v>
      </c>
      <c r="G364" s="44" t="s">
        <v>1116</v>
      </c>
      <c r="H364" s="44" t="s">
        <v>1117</v>
      </c>
      <c r="I364" s="44" t="s">
        <v>1106</v>
      </c>
      <c r="J364" s="44">
        <v>54</v>
      </c>
      <c r="K364" s="44" t="s">
        <v>1139</v>
      </c>
      <c r="L364" s="44"/>
      <c r="M364" s="44" t="s">
        <v>1109</v>
      </c>
      <c r="N364" s="45">
        <v>-23065180670</v>
      </c>
      <c r="O364" s="46">
        <f t="shared" si="9"/>
        <v>-23065.180670000002</v>
      </c>
      <c r="P364" s="47">
        <f>KOHC!E85</f>
        <v>-23065.180670000002</v>
      </c>
      <c r="Q364" s="44" t="str">
        <f t="shared" si="10"/>
        <v>PASS</v>
      </c>
      <c r="R364" s="44" t="s">
        <v>1110</v>
      </c>
      <c r="S364" s="44"/>
    </row>
    <row r="365" spans="1:19" x14ac:dyDescent="0.3">
      <c r="A365" s="44" t="s">
        <v>1390</v>
      </c>
      <c r="B365" s="44" t="s">
        <v>18</v>
      </c>
      <c r="C365" s="44" t="s">
        <v>27</v>
      </c>
      <c r="D365" s="44" t="s">
        <v>360</v>
      </c>
      <c r="E365" s="44" t="s">
        <v>1381</v>
      </c>
      <c r="F365" s="44" t="s">
        <v>360</v>
      </c>
      <c r="G365" s="44" t="s">
        <v>1119</v>
      </c>
      <c r="H365" s="44" t="s">
        <v>1120</v>
      </c>
      <c r="I365" s="44" t="s">
        <v>1106</v>
      </c>
      <c r="J365" s="44">
        <v>60</v>
      </c>
      <c r="K365" s="44" t="s">
        <v>1139</v>
      </c>
      <c r="L365" s="44"/>
      <c r="M365" s="44" t="s">
        <v>1109</v>
      </c>
      <c r="N365" s="45">
        <v>-28488941331</v>
      </c>
      <c r="O365" s="46">
        <f t="shared" si="9"/>
        <v>-28488.941331000002</v>
      </c>
      <c r="P365" s="47">
        <f>KOHC!F85</f>
        <v>-28488.941331000002</v>
      </c>
      <c r="Q365" s="44" t="str">
        <f t="shared" si="10"/>
        <v>PASS</v>
      </c>
      <c r="R365" s="44" t="s">
        <v>1110</v>
      </c>
      <c r="S365" s="44"/>
    </row>
    <row r="366" spans="1:19" x14ac:dyDescent="0.3">
      <c r="A366" s="44" t="s">
        <v>1391</v>
      </c>
      <c r="B366" s="44" t="s">
        <v>18</v>
      </c>
      <c r="C366" s="44" t="s">
        <v>28</v>
      </c>
      <c r="D366" s="44" t="s">
        <v>360</v>
      </c>
      <c r="E366" s="44" t="s">
        <v>1381</v>
      </c>
      <c r="F366" s="44" t="s">
        <v>360</v>
      </c>
      <c r="G366" s="44" t="s">
        <v>1123</v>
      </c>
      <c r="H366" s="44" t="s">
        <v>1124</v>
      </c>
      <c r="I366" s="44" t="s">
        <v>1106</v>
      </c>
      <c r="J366" s="44">
        <v>70</v>
      </c>
      <c r="K366" s="44" t="s">
        <v>1386</v>
      </c>
      <c r="L366" s="44"/>
      <c r="M366" s="44" t="s">
        <v>1109</v>
      </c>
      <c r="N366" s="45">
        <v>-27391276477</v>
      </c>
      <c r="O366" s="46">
        <f t="shared" si="9"/>
        <v>-27391.276476999999</v>
      </c>
      <c r="P366" s="47">
        <f>KOHC!G85</f>
        <v>-27391.276476999999</v>
      </c>
      <c r="Q366" s="44" t="str">
        <f t="shared" si="10"/>
        <v>PASS</v>
      </c>
      <c r="R366" s="44" t="s">
        <v>1110</v>
      </c>
      <c r="S366" s="44"/>
    </row>
    <row r="367" spans="1:19" x14ac:dyDescent="0.3">
      <c r="A367" s="44" t="s">
        <v>1392</v>
      </c>
      <c r="B367" s="44" t="s">
        <v>18</v>
      </c>
      <c r="C367" s="44" t="s">
        <v>29</v>
      </c>
      <c r="D367" s="44" t="s">
        <v>360</v>
      </c>
      <c r="E367" s="44" t="s">
        <v>1381</v>
      </c>
      <c r="F367" s="44" t="s">
        <v>360</v>
      </c>
      <c r="G367" s="44" t="s">
        <v>1123</v>
      </c>
      <c r="H367" s="44" t="s">
        <v>1124</v>
      </c>
      <c r="I367" s="44" t="s">
        <v>1127</v>
      </c>
      <c r="J367" s="44">
        <v>70</v>
      </c>
      <c r="K367" s="44" t="s">
        <v>1386</v>
      </c>
      <c r="L367" s="44"/>
      <c r="M367" s="44" t="s">
        <v>1109</v>
      </c>
      <c r="N367" s="45">
        <v>-22814094271</v>
      </c>
      <c r="O367" s="46">
        <f t="shared" si="9"/>
        <v>-22814.094271000002</v>
      </c>
      <c r="P367" s="47">
        <f>KOHC!H85</f>
        <v>-22814.094271000002</v>
      </c>
      <c r="Q367" s="44" t="str">
        <f t="shared" si="10"/>
        <v>PASS</v>
      </c>
      <c r="R367" s="44" t="s">
        <v>1110</v>
      </c>
      <c r="S367" s="44"/>
    </row>
    <row r="368" spans="1:19" x14ac:dyDescent="0.3">
      <c r="A368" s="44" t="s">
        <v>1393</v>
      </c>
      <c r="B368" s="44" t="s">
        <v>18</v>
      </c>
      <c r="C368" s="44" t="s">
        <v>20</v>
      </c>
      <c r="D368" s="44" t="s">
        <v>364</v>
      </c>
      <c r="E368" s="44" t="s">
        <v>1381</v>
      </c>
      <c r="F368" s="44" t="s">
        <v>364</v>
      </c>
      <c r="G368" s="44" t="s">
        <v>1112</v>
      </c>
      <c r="H368" s="44" t="s">
        <v>1113</v>
      </c>
      <c r="I368" s="44" t="s">
        <v>1106</v>
      </c>
      <c r="J368" s="44">
        <v>54</v>
      </c>
      <c r="K368" s="44" t="s">
        <v>1139</v>
      </c>
      <c r="L368" s="44"/>
      <c r="M368" s="44" t="s">
        <v>1109</v>
      </c>
      <c r="N368" s="45">
        <v>-94165965</v>
      </c>
      <c r="O368" s="46">
        <f t="shared" si="9"/>
        <v>-94.165965</v>
      </c>
      <c r="P368" s="47">
        <f>KOHC!D87</f>
        <v>-94.165965</v>
      </c>
      <c r="Q368" s="44" t="str">
        <f t="shared" si="10"/>
        <v>PASS</v>
      </c>
      <c r="R368" s="44" t="s">
        <v>1110</v>
      </c>
      <c r="S368" s="44"/>
    </row>
    <row r="369" spans="1:19" x14ac:dyDescent="0.3">
      <c r="A369" s="44" t="s">
        <v>1394</v>
      </c>
      <c r="B369" s="44" t="s">
        <v>18</v>
      </c>
      <c r="C369" s="44" t="s">
        <v>26</v>
      </c>
      <c r="D369" s="44" t="s">
        <v>364</v>
      </c>
      <c r="E369" s="44" t="s">
        <v>1381</v>
      </c>
      <c r="F369" s="44" t="s">
        <v>364</v>
      </c>
      <c r="G369" s="44" t="s">
        <v>1116</v>
      </c>
      <c r="H369" s="44" t="s">
        <v>1117</v>
      </c>
      <c r="I369" s="44" t="s">
        <v>1106</v>
      </c>
      <c r="J369" s="44">
        <v>54</v>
      </c>
      <c r="K369" s="44" t="s">
        <v>1139</v>
      </c>
      <c r="L369" s="44"/>
      <c r="M369" s="44" t="s">
        <v>1109</v>
      </c>
      <c r="N369" s="45">
        <v>-122136736</v>
      </c>
      <c r="O369" s="46">
        <f t="shared" si="9"/>
        <v>-122.136736</v>
      </c>
      <c r="P369" s="47">
        <f>KOHC!E87</f>
        <v>-122.136736</v>
      </c>
      <c r="Q369" s="44" t="str">
        <f t="shared" si="10"/>
        <v>PASS</v>
      </c>
      <c r="R369" s="44" t="s">
        <v>1110</v>
      </c>
      <c r="S369" s="44"/>
    </row>
    <row r="370" spans="1:19" x14ac:dyDescent="0.3">
      <c r="A370" s="44" t="s">
        <v>1395</v>
      </c>
      <c r="B370" s="44" t="s">
        <v>18</v>
      </c>
      <c r="C370" s="44" t="s">
        <v>27</v>
      </c>
      <c r="D370" s="44" t="s">
        <v>364</v>
      </c>
      <c r="E370" s="44" t="s">
        <v>1381</v>
      </c>
      <c r="F370" s="44" t="s">
        <v>364</v>
      </c>
      <c r="G370" s="44" t="s">
        <v>1119</v>
      </c>
      <c r="H370" s="44" t="s">
        <v>1120</v>
      </c>
      <c r="I370" s="44" t="s">
        <v>1106</v>
      </c>
      <c r="J370" s="44">
        <v>60</v>
      </c>
      <c r="K370" s="44" t="s">
        <v>1139</v>
      </c>
      <c r="L370" s="44"/>
      <c r="M370" s="44" t="s">
        <v>1109</v>
      </c>
      <c r="N370" s="45">
        <v>-176123458</v>
      </c>
      <c r="O370" s="46">
        <f t="shared" si="9"/>
        <v>-176.123458</v>
      </c>
      <c r="P370" s="47">
        <f>KOHC!F87</f>
        <v>-176.123458</v>
      </c>
      <c r="Q370" s="44" t="str">
        <f t="shared" si="10"/>
        <v>PASS</v>
      </c>
      <c r="R370" s="44" t="s">
        <v>1110</v>
      </c>
      <c r="S370" s="44"/>
    </row>
    <row r="371" spans="1:19" x14ac:dyDescent="0.3">
      <c r="A371" s="44" t="s">
        <v>1396</v>
      </c>
      <c r="B371" s="44" t="s">
        <v>18</v>
      </c>
      <c r="C371" s="44" t="s">
        <v>28</v>
      </c>
      <c r="D371" s="44" t="s">
        <v>364</v>
      </c>
      <c r="E371" s="44" t="s">
        <v>1381</v>
      </c>
      <c r="F371" s="44" t="s">
        <v>364</v>
      </c>
      <c r="G371" s="44" t="s">
        <v>1123</v>
      </c>
      <c r="H371" s="44" t="s">
        <v>1124</v>
      </c>
      <c r="I371" s="44" t="s">
        <v>1106</v>
      </c>
      <c r="J371" s="44">
        <v>70</v>
      </c>
      <c r="K371" s="44" t="s">
        <v>1386</v>
      </c>
      <c r="L371" s="44"/>
      <c r="M371" s="44" t="s">
        <v>1109</v>
      </c>
      <c r="N371" s="45">
        <v>-197259359</v>
      </c>
      <c r="O371" s="46">
        <f t="shared" si="9"/>
        <v>-197.25935899999999</v>
      </c>
      <c r="P371" s="47">
        <f>KOHC!G87</f>
        <v>-197.25935899999999</v>
      </c>
      <c r="Q371" s="44" t="str">
        <f t="shared" si="10"/>
        <v>PASS</v>
      </c>
      <c r="R371" s="44" t="s">
        <v>1110</v>
      </c>
      <c r="S371" s="44"/>
    </row>
    <row r="372" spans="1:19" x14ac:dyDescent="0.3">
      <c r="A372" s="44" t="s">
        <v>1397</v>
      </c>
      <c r="B372" s="44" t="s">
        <v>18</v>
      </c>
      <c r="C372" s="44" t="s">
        <v>29</v>
      </c>
      <c r="D372" s="44" t="s">
        <v>364</v>
      </c>
      <c r="E372" s="44" t="s">
        <v>1381</v>
      </c>
      <c r="F372" s="44" t="s">
        <v>364</v>
      </c>
      <c r="G372" s="44" t="s">
        <v>1123</v>
      </c>
      <c r="H372" s="44" t="s">
        <v>1124</v>
      </c>
      <c r="I372" s="44" t="s">
        <v>1127</v>
      </c>
      <c r="J372" s="44">
        <v>70</v>
      </c>
      <c r="K372" s="44" t="s">
        <v>1386</v>
      </c>
      <c r="L372" s="44"/>
      <c r="M372" s="44" t="s">
        <v>1109</v>
      </c>
      <c r="N372" s="45">
        <v>-225600417</v>
      </c>
      <c r="O372" s="46">
        <f t="shared" si="9"/>
        <v>-225.60041699999999</v>
      </c>
      <c r="P372" s="47">
        <f>KOHC!H87</f>
        <v>-225.60041699999999</v>
      </c>
      <c r="Q372" s="44" t="str">
        <f t="shared" si="10"/>
        <v>PASS</v>
      </c>
      <c r="R372" s="44" t="s">
        <v>1110</v>
      </c>
      <c r="S372" s="44"/>
    </row>
    <row r="373" spans="1:19" x14ac:dyDescent="0.3">
      <c r="A373" s="44" t="s">
        <v>1398</v>
      </c>
      <c r="B373" s="44" t="s">
        <v>18</v>
      </c>
      <c r="C373" s="44" t="s">
        <v>20</v>
      </c>
      <c r="D373" s="44" t="s">
        <v>366</v>
      </c>
      <c r="E373" s="44" t="s">
        <v>1381</v>
      </c>
      <c r="F373" s="44" t="s">
        <v>1399</v>
      </c>
      <c r="G373" s="44" t="s">
        <v>1112</v>
      </c>
      <c r="H373" s="44" t="s">
        <v>1113</v>
      </c>
      <c r="I373" s="44" t="s">
        <v>1106</v>
      </c>
      <c r="J373" s="44">
        <v>54</v>
      </c>
      <c r="K373" s="44" t="s">
        <v>1139</v>
      </c>
      <c r="L373" s="44"/>
      <c r="M373" s="44" t="s">
        <v>1109</v>
      </c>
      <c r="N373" s="45">
        <v>-313524670</v>
      </c>
      <c r="O373" s="46">
        <f t="shared" si="9"/>
        <v>-313.52467000000001</v>
      </c>
      <c r="P373" s="47">
        <f>KOHC!D88</f>
        <v>-313.52467000000001</v>
      </c>
      <c r="Q373" s="44" t="str">
        <f t="shared" si="10"/>
        <v>PASS</v>
      </c>
      <c r="R373" s="44" t="s">
        <v>1110</v>
      </c>
      <c r="S373" s="44"/>
    </row>
    <row r="374" spans="1:19" x14ac:dyDescent="0.3">
      <c r="A374" s="44" t="s">
        <v>1400</v>
      </c>
      <c r="B374" s="44" t="s">
        <v>18</v>
      </c>
      <c r="C374" s="44" t="s">
        <v>26</v>
      </c>
      <c r="D374" s="44" t="s">
        <v>366</v>
      </c>
      <c r="E374" s="44" t="s">
        <v>1381</v>
      </c>
      <c r="F374" s="44" t="s">
        <v>1399</v>
      </c>
      <c r="G374" s="44" t="s">
        <v>1116</v>
      </c>
      <c r="H374" s="44" t="s">
        <v>1117</v>
      </c>
      <c r="I374" s="44" t="s">
        <v>1106</v>
      </c>
      <c r="J374" s="44">
        <v>54</v>
      </c>
      <c r="K374" s="44" t="s">
        <v>1139</v>
      </c>
      <c r="L374" s="44"/>
      <c r="M374" s="44" t="s">
        <v>1109</v>
      </c>
      <c r="N374" s="45">
        <v>-353522846</v>
      </c>
      <c r="O374" s="46">
        <f t="shared" si="9"/>
        <v>-353.52284600000002</v>
      </c>
      <c r="P374" s="47">
        <f>KOHC!E88</f>
        <v>-353.52284600000002</v>
      </c>
      <c r="Q374" s="44" t="str">
        <f t="shared" si="10"/>
        <v>PASS</v>
      </c>
      <c r="R374" s="44" t="s">
        <v>1110</v>
      </c>
      <c r="S374" s="44"/>
    </row>
    <row r="375" spans="1:19" x14ac:dyDescent="0.3">
      <c r="A375" s="44" t="s">
        <v>1401</v>
      </c>
      <c r="B375" s="44" t="s">
        <v>18</v>
      </c>
      <c r="C375" s="44" t="s">
        <v>27</v>
      </c>
      <c r="D375" s="44" t="s">
        <v>366</v>
      </c>
      <c r="E375" s="44" t="s">
        <v>1381</v>
      </c>
      <c r="F375" s="44" t="s">
        <v>1399</v>
      </c>
      <c r="G375" s="44" t="s">
        <v>1119</v>
      </c>
      <c r="H375" s="44" t="s">
        <v>1120</v>
      </c>
      <c r="I375" s="44" t="s">
        <v>1106</v>
      </c>
      <c r="J375" s="44">
        <v>60</v>
      </c>
      <c r="K375" s="44" t="s">
        <v>1139</v>
      </c>
      <c r="L375" s="44"/>
      <c r="M375" s="44" t="s">
        <v>1109</v>
      </c>
      <c r="N375" s="45">
        <v>-396230055</v>
      </c>
      <c r="O375" s="46">
        <f t="shared" si="9"/>
        <v>-396.23005499999999</v>
      </c>
      <c r="P375" s="47">
        <f>KOHC!F88</f>
        <v>-396.23005499999999</v>
      </c>
      <c r="Q375" s="44" t="str">
        <f t="shared" si="10"/>
        <v>PASS</v>
      </c>
      <c r="R375" s="44" t="s">
        <v>1110</v>
      </c>
      <c r="S375" s="44"/>
    </row>
    <row r="376" spans="1:19" x14ac:dyDescent="0.3">
      <c r="A376" s="44" t="s">
        <v>1402</v>
      </c>
      <c r="B376" s="44" t="s">
        <v>18</v>
      </c>
      <c r="C376" s="44" t="s">
        <v>28</v>
      </c>
      <c r="D376" s="44" t="s">
        <v>366</v>
      </c>
      <c r="E376" s="44" t="s">
        <v>1381</v>
      </c>
      <c r="F376" s="44" t="s">
        <v>1399</v>
      </c>
      <c r="G376" s="44" t="s">
        <v>1123</v>
      </c>
      <c r="H376" s="44" t="s">
        <v>1124</v>
      </c>
      <c r="I376" s="44" t="s">
        <v>1106</v>
      </c>
      <c r="J376" s="44">
        <v>70</v>
      </c>
      <c r="K376" s="44" t="s">
        <v>1386</v>
      </c>
      <c r="L376" s="44"/>
      <c r="M376" s="44" t="s">
        <v>1109</v>
      </c>
      <c r="N376" s="45">
        <v>-488042831</v>
      </c>
      <c r="O376" s="46">
        <f t="shared" si="9"/>
        <v>-488.04283099999998</v>
      </c>
      <c r="P376" s="47">
        <f>KOHC!G88</f>
        <v>-488.04283099999998</v>
      </c>
      <c r="Q376" s="44" t="str">
        <f t="shared" si="10"/>
        <v>PASS</v>
      </c>
      <c r="R376" s="44" t="s">
        <v>1110</v>
      </c>
      <c r="S376" s="44"/>
    </row>
    <row r="377" spans="1:19" x14ac:dyDescent="0.3">
      <c r="A377" s="44" t="s">
        <v>1403</v>
      </c>
      <c r="B377" s="44" t="s">
        <v>18</v>
      </c>
      <c r="C377" s="44" t="s">
        <v>29</v>
      </c>
      <c r="D377" s="44" t="s">
        <v>366</v>
      </c>
      <c r="E377" s="44" t="s">
        <v>1381</v>
      </c>
      <c r="F377" s="44" t="s">
        <v>1399</v>
      </c>
      <c r="G377" s="44" t="s">
        <v>1123</v>
      </c>
      <c r="H377" s="44" t="s">
        <v>1124</v>
      </c>
      <c r="I377" s="44" t="s">
        <v>1127</v>
      </c>
      <c r="J377" s="44">
        <v>70</v>
      </c>
      <c r="K377" s="44" t="s">
        <v>1386</v>
      </c>
      <c r="L377" s="44"/>
      <c r="M377" s="44" t="s">
        <v>1109</v>
      </c>
      <c r="N377" s="45">
        <v>-695553118</v>
      </c>
      <c r="O377" s="46">
        <f t="shared" si="9"/>
        <v>-695.55311800000004</v>
      </c>
      <c r="P377" s="47">
        <f>KOHC!H88</f>
        <v>-695.55311800000004</v>
      </c>
      <c r="Q377" s="44" t="str">
        <f t="shared" si="10"/>
        <v>PASS</v>
      </c>
      <c r="R377" s="44" t="s">
        <v>1110</v>
      </c>
      <c r="S377" s="44"/>
    </row>
    <row r="378" spans="1:19" x14ac:dyDescent="0.3">
      <c r="A378" s="44" t="s">
        <v>1404</v>
      </c>
      <c r="B378" s="44" t="s">
        <v>18</v>
      </c>
      <c r="C378" s="44" t="s">
        <v>20</v>
      </c>
      <c r="D378" s="44" t="s">
        <v>368</v>
      </c>
      <c r="E378" s="44" t="s">
        <v>1381</v>
      </c>
      <c r="F378" s="44"/>
      <c r="G378" s="44" t="s">
        <v>1112</v>
      </c>
      <c r="H378" s="44" t="s">
        <v>1113</v>
      </c>
      <c r="I378" s="44" t="s">
        <v>1106</v>
      </c>
      <c r="J378" s="44">
        <v>54</v>
      </c>
      <c r="K378" s="44" t="s">
        <v>1139</v>
      </c>
      <c r="L378" s="44"/>
      <c r="M378" s="44" t="s">
        <v>1109</v>
      </c>
      <c r="N378" s="45">
        <v>0</v>
      </c>
      <c r="O378" s="46">
        <f t="shared" si="9"/>
        <v>0</v>
      </c>
      <c r="P378" s="47">
        <f>KOHC!D89</f>
        <v>0</v>
      </c>
      <c r="Q378" s="44" t="str">
        <f t="shared" si="10"/>
        <v>PASS</v>
      </c>
      <c r="R378" s="44" t="s">
        <v>1110</v>
      </c>
      <c r="S378" s="44"/>
    </row>
    <row r="379" spans="1:19" x14ac:dyDescent="0.3">
      <c r="A379" s="44" t="s">
        <v>1405</v>
      </c>
      <c r="B379" s="44" t="s">
        <v>18</v>
      </c>
      <c r="C379" s="44" t="s">
        <v>26</v>
      </c>
      <c r="D379" s="44" t="s">
        <v>368</v>
      </c>
      <c r="E379" s="44" t="s">
        <v>1381</v>
      </c>
      <c r="F379" s="44"/>
      <c r="G379" s="44" t="s">
        <v>1116</v>
      </c>
      <c r="H379" s="44" t="s">
        <v>1117</v>
      </c>
      <c r="I379" s="44" t="s">
        <v>1106</v>
      </c>
      <c r="J379" s="44">
        <v>54</v>
      </c>
      <c r="K379" s="44" t="s">
        <v>1139</v>
      </c>
      <c r="L379" s="44"/>
      <c r="M379" s="44" t="s">
        <v>1109</v>
      </c>
      <c r="N379" s="45">
        <v>0</v>
      </c>
      <c r="O379" s="46">
        <f t="shared" si="9"/>
        <v>0</v>
      </c>
      <c r="P379" s="47">
        <f>KOHC!E89</f>
        <v>0</v>
      </c>
      <c r="Q379" s="44" t="str">
        <f t="shared" si="10"/>
        <v>PASS</v>
      </c>
      <c r="R379" s="44" t="s">
        <v>1110</v>
      </c>
      <c r="S379" s="44"/>
    </row>
    <row r="380" spans="1:19" x14ac:dyDescent="0.3">
      <c r="A380" s="44" t="s">
        <v>1406</v>
      </c>
      <c r="B380" s="44" t="s">
        <v>18</v>
      </c>
      <c r="C380" s="44" t="s">
        <v>27</v>
      </c>
      <c r="D380" s="44" t="s">
        <v>368</v>
      </c>
      <c r="E380" s="44" t="s">
        <v>1381</v>
      </c>
      <c r="F380" s="44"/>
      <c r="G380" s="44" t="s">
        <v>1119</v>
      </c>
      <c r="H380" s="44" t="s">
        <v>1120</v>
      </c>
      <c r="I380" s="44" t="s">
        <v>1106</v>
      </c>
      <c r="J380" s="44">
        <v>60</v>
      </c>
      <c r="K380" s="44" t="s">
        <v>1139</v>
      </c>
      <c r="L380" s="44"/>
      <c r="M380" s="44" t="s">
        <v>1109</v>
      </c>
      <c r="N380" s="45">
        <v>0</v>
      </c>
      <c r="O380" s="46">
        <f t="shared" si="9"/>
        <v>0</v>
      </c>
      <c r="P380" s="47">
        <f>KOHC!F89</f>
        <v>0</v>
      </c>
      <c r="Q380" s="44" t="str">
        <f t="shared" si="10"/>
        <v>PASS</v>
      </c>
      <c r="R380" s="44" t="s">
        <v>1110</v>
      </c>
      <c r="S380" s="44"/>
    </row>
    <row r="381" spans="1:19" x14ac:dyDescent="0.3">
      <c r="A381" s="44" t="s">
        <v>1407</v>
      </c>
      <c r="B381" s="44" t="s">
        <v>18</v>
      </c>
      <c r="C381" s="44" t="s">
        <v>28</v>
      </c>
      <c r="D381" s="44" t="s">
        <v>368</v>
      </c>
      <c r="E381" s="44" t="s">
        <v>1381</v>
      </c>
      <c r="F381" s="44" t="s">
        <v>1408</v>
      </c>
      <c r="G381" s="44" t="s">
        <v>1123</v>
      </c>
      <c r="H381" s="44" t="s">
        <v>1124</v>
      </c>
      <c r="I381" s="44" t="s">
        <v>1106</v>
      </c>
      <c r="J381" s="44">
        <v>70</v>
      </c>
      <c r="K381" s="44" t="s">
        <v>1386</v>
      </c>
      <c r="L381" s="44"/>
      <c r="M381" s="44" t="s">
        <v>1109</v>
      </c>
      <c r="N381" s="45">
        <v>2010516</v>
      </c>
      <c r="O381" s="46">
        <f t="shared" si="9"/>
        <v>2.010516</v>
      </c>
      <c r="P381" s="47">
        <f>KOHC!G89</f>
        <v>2.010516</v>
      </c>
      <c r="Q381" s="44" t="str">
        <f t="shared" si="10"/>
        <v>PASS</v>
      </c>
      <c r="R381" s="44" t="s">
        <v>1110</v>
      </c>
      <c r="S381" s="44"/>
    </row>
    <row r="382" spans="1:19" x14ac:dyDescent="0.3">
      <c r="A382" s="44" t="s">
        <v>1409</v>
      </c>
      <c r="B382" s="44" t="s">
        <v>18</v>
      </c>
      <c r="C382" s="44" t="s">
        <v>29</v>
      </c>
      <c r="D382" s="44" t="s">
        <v>368</v>
      </c>
      <c r="E382" s="44" t="s">
        <v>1381</v>
      </c>
      <c r="F382" s="44" t="s">
        <v>1408</v>
      </c>
      <c r="G382" s="44" t="s">
        <v>1123</v>
      </c>
      <c r="H382" s="44" t="s">
        <v>1124</v>
      </c>
      <c r="I382" s="44" t="s">
        <v>1127</v>
      </c>
      <c r="J382" s="44">
        <v>70</v>
      </c>
      <c r="K382" s="44" t="s">
        <v>1386</v>
      </c>
      <c r="L382" s="44"/>
      <c r="M382" s="44" t="s">
        <v>1109</v>
      </c>
      <c r="N382" s="45">
        <v>-44078565</v>
      </c>
      <c r="O382" s="46">
        <f t="shared" si="9"/>
        <v>-44.078564999999998</v>
      </c>
      <c r="P382" s="47">
        <f>KOHC!H89</f>
        <v>-44.078564999999998</v>
      </c>
      <c r="Q382" s="44" t="str">
        <f t="shared" si="10"/>
        <v>PASS</v>
      </c>
      <c r="R382" s="44" t="s">
        <v>1110</v>
      </c>
      <c r="S382" s="44"/>
    </row>
    <row r="383" spans="1:19" x14ac:dyDescent="0.3">
      <c r="A383" s="44" t="s">
        <v>1410</v>
      </c>
      <c r="B383" s="44" t="s">
        <v>18</v>
      </c>
      <c r="C383" s="44" t="s">
        <v>20</v>
      </c>
      <c r="D383" s="44" t="s">
        <v>370</v>
      </c>
      <c r="E383" s="44" t="s">
        <v>1381</v>
      </c>
      <c r="F383" s="44" t="s">
        <v>1411</v>
      </c>
      <c r="G383" s="44" t="s">
        <v>1112</v>
      </c>
      <c r="H383" s="44" t="s">
        <v>1113</v>
      </c>
      <c r="I383" s="44" t="s">
        <v>1106</v>
      </c>
      <c r="J383" s="44">
        <v>54</v>
      </c>
      <c r="K383" s="44" t="s">
        <v>1139</v>
      </c>
      <c r="L383" s="44"/>
      <c r="M383" s="44" t="s">
        <v>1109</v>
      </c>
      <c r="N383" s="45">
        <v>-325323074</v>
      </c>
      <c r="O383" s="46">
        <f t="shared" si="9"/>
        <v>-325.32307400000002</v>
      </c>
      <c r="P383" s="47">
        <f>KOHC!D90</f>
        <v>-325.32307400000002</v>
      </c>
      <c r="Q383" s="44" t="str">
        <f t="shared" si="10"/>
        <v>PASS</v>
      </c>
      <c r="R383" s="44" t="s">
        <v>1110</v>
      </c>
      <c r="S383" s="44"/>
    </row>
    <row r="384" spans="1:19" x14ac:dyDescent="0.3">
      <c r="A384" s="44" t="s">
        <v>1412</v>
      </c>
      <c r="B384" s="44" t="s">
        <v>18</v>
      </c>
      <c r="C384" s="44" t="s">
        <v>26</v>
      </c>
      <c r="D384" s="44" t="s">
        <v>370</v>
      </c>
      <c r="E384" s="44" t="s">
        <v>1381</v>
      </c>
      <c r="F384" s="44" t="s">
        <v>1411</v>
      </c>
      <c r="G384" s="44" t="s">
        <v>1116</v>
      </c>
      <c r="H384" s="44" t="s">
        <v>1117</v>
      </c>
      <c r="I384" s="44" t="s">
        <v>1106</v>
      </c>
      <c r="J384" s="44">
        <v>54</v>
      </c>
      <c r="K384" s="44" t="s">
        <v>1139</v>
      </c>
      <c r="L384" s="44"/>
      <c r="M384" s="44" t="s">
        <v>1109</v>
      </c>
      <c r="N384" s="45">
        <v>-563052382</v>
      </c>
      <c r="O384" s="46">
        <f t="shared" si="9"/>
        <v>-563.05238199999997</v>
      </c>
      <c r="P384" s="47">
        <f>KOHC!E90</f>
        <v>-563.05238199999997</v>
      </c>
      <c r="Q384" s="44" t="str">
        <f t="shared" si="10"/>
        <v>PASS</v>
      </c>
      <c r="R384" s="44" t="s">
        <v>1110</v>
      </c>
      <c r="S384" s="44"/>
    </row>
    <row r="385" spans="1:19" x14ac:dyDescent="0.3">
      <c r="A385" s="44" t="s">
        <v>1413</v>
      </c>
      <c r="B385" s="44" t="s">
        <v>18</v>
      </c>
      <c r="C385" s="44" t="s">
        <v>27</v>
      </c>
      <c r="D385" s="44" t="s">
        <v>370</v>
      </c>
      <c r="E385" s="44" t="s">
        <v>1381</v>
      </c>
      <c r="F385" s="44" t="s">
        <v>1411</v>
      </c>
      <c r="G385" s="44" t="s">
        <v>1119</v>
      </c>
      <c r="H385" s="44" t="s">
        <v>1120</v>
      </c>
      <c r="I385" s="44" t="s">
        <v>1106</v>
      </c>
      <c r="J385" s="44">
        <v>60</v>
      </c>
      <c r="K385" s="44" t="s">
        <v>1139</v>
      </c>
      <c r="L385" s="44"/>
      <c r="M385" s="44" t="s">
        <v>1109</v>
      </c>
      <c r="N385" s="45">
        <v>-736512959</v>
      </c>
      <c r="O385" s="46">
        <f t="shared" si="9"/>
        <v>-736.51295900000002</v>
      </c>
      <c r="P385" s="47">
        <f>KOHC!F90</f>
        <v>-736.51295900000002</v>
      </c>
      <c r="Q385" s="44" t="str">
        <f t="shared" si="10"/>
        <v>PASS</v>
      </c>
      <c r="R385" s="44" t="s">
        <v>1110</v>
      </c>
      <c r="S385" s="44"/>
    </row>
    <row r="386" spans="1:19" x14ac:dyDescent="0.3">
      <c r="A386" s="44" t="s">
        <v>1414</v>
      </c>
      <c r="B386" s="44" t="s">
        <v>18</v>
      </c>
      <c r="C386" s="44" t="s">
        <v>28</v>
      </c>
      <c r="D386" s="44" t="s">
        <v>370</v>
      </c>
      <c r="E386" s="44" t="s">
        <v>1381</v>
      </c>
      <c r="F386" s="44" t="s">
        <v>1411</v>
      </c>
      <c r="G386" s="44" t="s">
        <v>1123</v>
      </c>
      <c r="H386" s="44" t="s">
        <v>1124</v>
      </c>
      <c r="I386" s="44" t="s">
        <v>1106</v>
      </c>
      <c r="J386" s="44">
        <v>70</v>
      </c>
      <c r="K386" s="44" t="s">
        <v>1386</v>
      </c>
      <c r="L386" s="44"/>
      <c r="M386" s="44" t="s">
        <v>1109</v>
      </c>
      <c r="N386" s="45">
        <v>-571950389</v>
      </c>
      <c r="O386" s="46">
        <f t="shared" si="9"/>
        <v>-571.95038899999997</v>
      </c>
      <c r="P386" s="47">
        <f>KOHC!G90</f>
        <v>-571.95038899999997</v>
      </c>
      <c r="Q386" s="44" t="str">
        <f t="shared" si="10"/>
        <v>PASS</v>
      </c>
      <c r="R386" s="44" t="s">
        <v>1110</v>
      </c>
      <c r="S386" s="44"/>
    </row>
    <row r="387" spans="1:19" x14ac:dyDescent="0.3">
      <c r="A387" s="44" t="s">
        <v>1415</v>
      </c>
      <c r="B387" s="44" t="s">
        <v>18</v>
      </c>
      <c r="C387" s="44" t="s">
        <v>29</v>
      </c>
      <c r="D387" s="44" t="s">
        <v>370</v>
      </c>
      <c r="E387" s="44" t="s">
        <v>1381</v>
      </c>
      <c r="F387" s="44" t="s">
        <v>1411</v>
      </c>
      <c r="G387" s="44" t="s">
        <v>1123</v>
      </c>
      <c r="H387" s="44" t="s">
        <v>1124</v>
      </c>
      <c r="I387" s="44" t="s">
        <v>1127</v>
      </c>
      <c r="J387" s="44">
        <v>70</v>
      </c>
      <c r="K387" s="44" t="s">
        <v>1386</v>
      </c>
      <c r="L387" s="44"/>
      <c r="M387" s="44" t="s">
        <v>1109</v>
      </c>
      <c r="N387" s="45">
        <v>-940359065</v>
      </c>
      <c r="O387" s="46">
        <f t="shared" si="9"/>
        <v>-940.35906499999999</v>
      </c>
      <c r="P387" s="47">
        <f>KOHC!H90</f>
        <v>-940.35906499999999</v>
      </c>
      <c r="Q387" s="44" t="str">
        <f t="shared" si="10"/>
        <v>PASS</v>
      </c>
      <c r="R387" s="44" t="s">
        <v>1110</v>
      </c>
      <c r="S387" s="44"/>
    </row>
    <row r="388" spans="1:19" x14ac:dyDescent="0.3">
      <c r="A388" s="44" t="s">
        <v>1416</v>
      </c>
      <c r="B388" s="44" t="s">
        <v>18</v>
      </c>
      <c r="C388" s="44" t="s">
        <v>20</v>
      </c>
      <c r="D388" s="44" t="s">
        <v>374</v>
      </c>
      <c r="E388" s="44" t="s">
        <v>1381</v>
      </c>
      <c r="F388" s="44" t="s">
        <v>374</v>
      </c>
      <c r="G388" s="44" t="s">
        <v>1112</v>
      </c>
      <c r="H388" s="44" t="s">
        <v>1113</v>
      </c>
      <c r="I388" s="44" t="s">
        <v>1106</v>
      </c>
      <c r="J388" s="44">
        <v>54</v>
      </c>
      <c r="K388" s="44" t="s">
        <v>1139</v>
      </c>
      <c r="L388" s="44"/>
      <c r="M388" s="44" t="s">
        <v>1109</v>
      </c>
      <c r="N388" s="45">
        <v>170674670</v>
      </c>
      <c r="O388" s="46">
        <f t="shared" si="9"/>
        <v>170.67466999999999</v>
      </c>
      <c r="P388" s="47">
        <f>KOHC!D92</f>
        <v>170.67466999999999</v>
      </c>
      <c r="Q388" s="44" t="str">
        <f t="shared" si="10"/>
        <v>PASS</v>
      </c>
      <c r="R388" s="44" t="s">
        <v>1110</v>
      </c>
      <c r="S388" s="44"/>
    </row>
    <row r="389" spans="1:19" x14ac:dyDescent="0.3">
      <c r="A389" s="44" t="s">
        <v>1417</v>
      </c>
      <c r="B389" s="44" t="s">
        <v>18</v>
      </c>
      <c r="C389" s="44" t="s">
        <v>26</v>
      </c>
      <c r="D389" s="44" t="s">
        <v>374</v>
      </c>
      <c r="E389" s="44" t="s">
        <v>1381</v>
      </c>
      <c r="F389" s="44" t="s">
        <v>374</v>
      </c>
      <c r="G389" s="44" t="s">
        <v>1116</v>
      </c>
      <c r="H389" s="44" t="s">
        <v>1117</v>
      </c>
      <c r="I389" s="44" t="s">
        <v>1106</v>
      </c>
      <c r="J389" s="44">
        <v>54</v>
      </c>
      <c r="K389" s="44" t="s">
        <v>1139</v>
      </c>
      <c r="L389" s="44"/>
      <c r="M389" s="44" t="s">
        <v>1109</v>
      </c>
      <c r="N389" s="45">
        <v>690143396</v>
      </c>
      <c r="O389" s="46">
        <f t="shared" si="9"/>
        <v>690.14339600000005</v>
      </c>
      <c r="P389" s="47">
        <f>KOHC!E92</f>
        <v>690.14339600000005</v>
      </c>
      <c r="Q389" s="44" t="str">
        <f t="shared" si="10"/>
        <v>PASS</v>
      </c>
      <c r="R389" s="44" t="s">
        <v>1110</v>
      </c>
      <c r="S389" s="44"/>
    </row>
    <row r="390" spans="1:19" x14ac:dyDescent="0.3">
      <c r="A390" s="44" t="s">
        <v>1418</v>
      </c>
      <c r="B390" s="44" t="s">
        <v>18</v>
      </c>
      <c r="C390" s="44" t="s">
        <v>27</v>
      </c>
      <c r="D390" s="44" t="s">
        <v>374</v>
      </c>
      <c r="E390" s="44" t="s">
        <v>1381</v>
      </c>
      <c r="F390" s="44" t="s">
        <v>374</v>
      </c>
      <c r="G390" s="44" t="s">
        <v>1119</v>
      </c>
      <c r="H390" s="44" t="s">
        <v>1120</v>
      </c>
      <c r="I390" s="44" t="s">
        <v>1106</v>
      </c>
      <c r="J390" s="44">
        <v>60</v>
      </c>
      <c r="K390" s="44" t="s">
        <v>1139</v>
      </c>
      <c r="L390" s="44"/>
      <c r="M390" s="44" t="s">
        <v>1109</v>
      </c>
      <c r="N390" s="45">
        <v>2085808053</v>
      </c>
      <c r="O390" s="46">
        <f t="shared" si="9"/>
        <v>2085.8080530000002</v>
      </c>
      <c r="P390" s="47">
        <f>KOHC!F92</f>
        <v>2085.8080530000002</v>
      </c>
      <c r="Q390" s="44" t="str">
        <f t="shared" si="10"/>
        <v>PASS</v>
      </c>
      <c r="R390" s="44" t="s">
        <v>1110</v>
      </c>
      <c r="S390" s="44"/>
    </row>
    <row r="391" spans="1:19" x14ac:dyDescent="0.3">
      <c r="A391" s="44" t="s">
        <v>1419</v>
      </c>
      <c r="B391" s="44" t="s">
        <v>18</v>
      </c>
      <c r="C391" s="44" t="s">
        <v>28</v>
      </c>
      <c r="D391" s="44" t="s">
        <v>374</v>
      </c>
      <c r="E391" s="44" t="s">
        <v>1381</v>
      </c>
      <c r="F391" s="44" t="s">
        <v>374</v>
      </c>
      <c r="G391" s="44" t="s">
        <v>1123</v>
      </c>
      <c r="H391" s="44" t="s">
        <v>1124</v>
      </c>
      <c r="I391" s="44" t="s">
        <v>1106</v>
      </c>
      <c r="J391" s="44">
        <v>70</v>
      </c>
      <c r="K391" s="44" t="s">
        <v>1386</v>
      </c>
      <c r="L391" s="44"/>
      <c r="M391" s="44" t="s">
        <v>1109</v>
      </c>
      <c r="N391" s="45">
        <v>4452416513</v>
      </c>
      <c r="O391" s="46">
        <f t="shared" si="9"/>
        <v>4452.4165130000001</v>
      </c>
      <c r="P391" s="47">
        <f>KOHC!G92</f>
        <v>4452.4165130000001</v>
      </c>
      <c r="Q391" s="44" t="str">
        <f t="shared" si="10"/>
        <v>PASS</v>
      </c>
      <c r="R391" s="44" t="s">
        <v>1110</v>
      </c>
      <c r="S391" s="44" t="s">
        <v>1114</v>
      </c>
    </row>
    <row r="392" spans="1:19" x14ac:dyDescent="0.3">
      <c r="A392" s="44" t="s">
        <v>1420</v>
      </c>
      <c r="B392" s="44" t="s">
        <v>18</v>
      </c>
      <c r="C392" s="44" t="s">
        <v>29</v>
      </c>
      <c r="D392" s="44" t="s">
        <v>374</v>
      </c>
      <c r="E392" s="44" t="s">
        <v>1381</v>
      </c>
      <c r="F392" s="44" t="s">
        <v>374</v>
      </c>
      <c r="G392" s="44" t="s">
        <v>1123</v>
      </c>
      <c r="H392" s="44" t="s">
        <v>1124</v>
      </c>
      <c r="I392" s="44" t="s">
        <v>1127</v>
      </c>
      <c r="J392" s="44">
        <v>70</v>
      </c>
      <c r="K392" s="44" t="s">
        <v>1386</v>
      </c>
      <c r="L392" s="44"/>
      <c r="M392" s="44" t="s">
        <v>1109</v>
      </c>
      <c r="N392" s="45">
        <v>5280719197</v>
      </c>
      <c r="O392" s="46">
        <f t="shared" si="9"/>
        <v>5280.7191970000003</v>
      </c>
      <c r="P392" s="47">
        <f>KOHC!H92</f>
        <v>5280.7191970000003</v>
      </c>
      <c r="Q392" s="44" t="str">
        <f t="shared" si="10"/>
        <v>PASS</v>
      </c>
      <c r="R392" s="44" t="s">
        <v>1110</v>
      </c>
      <c r="S392" s="44"/>
    </row>
    <row r="393" spans="1:19" x14ac:dyDescent="0.3">
      <c r="A393" s="44" t="s">
        <v>1421</v>
      </c>
      <c r="B393" s="44" t="s">
        <v>18</v>
      </c>
      <c r="C393" s="44" t="s">
        <v>20</v>
      </c>
      <c r="D393" s="44" t="s">
        <v>376</v>
      </c>
      <c r="E393" s="44" t="s">
        <v>1381</v>
      </c>
      <c r="F393" s="44"/>
      <c r="G393" s="44" t="s">
        <v>1112</v>
      </c>
      <c r="H393" s="44" t="s">
        <v>1113</v>
      </c>
      <c r="I393" s="44" t="s">
        <v>1106</v>
      </c>
      <c r="J393" s="44">
        <v>54</v>
      </c>
      <c r="K393" s="44" t="s">
        <v>1139</v>
      </c>
      <c r="L393" s="44"/>
      <c r="M393" s="44" t="s">
        <v>1109</v>
      </c>
      <c r="N393" s="45">
        <v>0</v>
      </c>
      <c r="O393" s="46">
        <f t="shared" si="9"/>
        <v>0</v>
      </c>
      <c r="P393" s="47">
        <f>KOHC!D93</f>
        <v>0</v>
      </c>
      <c r="Q393" s="44" t="str">
        <f t="shared" si="10"/>
        <v>PASS</v>
      </c>
      <c r="R393" s="44" t="s">
        <v>1110</v>
      </c>
      <c r="S393" s="44"/>
    </row>
    <row r="394" spans="1:19" x14ac:dyDescent="0.3">
      <c r="A394" s="44" t="s">
        <v>1422</v>
      </c>
      <c r="B394" s="44" t="s">
        <v>18</v>
      </c>
      <c r="C394" s="44" t="s">
        <v>26</v>
      </c>
      <c r="D394" s="44" t="s">
        <v>376</v>
      </c>
      <c r="E394" s="44" t="s">
        <v>1381</v>
      </c>
      <c r="F394" s="44"/>
      <c r="G394" s="44" t="s">
        <v>1116</v>
      </c>
      <c r="H394" s="44" t="s">
        <v>1117</v>
      </c>
      <c r="I394" s="44" t="s">
        <v>1106</v>
      </c>
      <c r="J394" s="44">
        <v>54</v>
      </c>
      <c r="K394" s="44" t="s">
        <v>1139</v>
      </c>
      <c r="L394" s="44"/>
      <c r="M394" s="44" t="s">
        <v>1109</v>
      </c>
      <c r="N394" s="45">
        <v>0</v>
      </c>
      <c r="O394" s="46">
        <f t="shared" si="9"/>
        <v>0</v>
      </c>
      <c r="P394" s="47">
        <f>KOHC!E93</f>
        <v>0</v>
      </c>
      <c r="Q394" s="44" t="str">
        <f t="shared" si="10"/>
        <v>PASS</v>
      </c>
      <c r="R394" s="44" t="s">
        <v>1110</v>
      </c>
      <c r="S394" s="44"/>
    </row>
    <row r="395" spans="1:19" x14ac:dyDescent="0.3">
      <c r="A395" s="44" t="s">
        <v>1423</v>
      </c>
      <c r="B395" s="44" t="s">
        <v>18</v>
      </c>
      <c r="C395" s="44" t="s">
        <v>27</v>
      </c>
      <c r="D395" s="44" t="s">
        <v>376</v>
      </c>
      <c r="E395" s="44" t="s">
        <v>1381</v>
      </c>
      <c r="F395" s="44"/>
      <c r="G395" s="44" t="s">
        <v>1119</v>
      </c>
      <c r="H395" s="44" t="s">
        <v>1120</v>
      </c>
      <c r="I395" s="44" t="s">
        <v>1106</v>
      </c>
      <c r="J395" s="44">
        <v>60</v>
      </c>
      <c r="K395" s="44" t="s">
        <v>1139</v>
      </c>
      <c r="L395" s="44"/>
      <c r="M395" s="44" t="s">
        <v>1109</v>
      </c>
      <c r="N395" s="45">
        <v>0</v>
      </c>
      <c r="O395" s="46">
        <f t="shared" si="9"/>
        <v>0</v>
      </c>
      <c r="P395" s="47">
        <f>KOHC!F93</f>
        <v>0</v>
      </c>
      <c r="Q395" s="44" t="str">
        <f t="shared" si="10"/>
        <v>PASS</v>
      </c>
      <c r="R395" s="44" t="s">
        <v>1110</v>
      </c>
      <c r="S395" s="44"/>
    </row>
    <row r="396" spans="1:19" x14ac:dyDescent="0.3">
      <c r="A396" s="44" t="s">
        <v>1424</v>
      </c>
      <c r="B396" s="44" t="s">
        <v>18</v>
      </c>
      <c r="C396" s="44" t="s">
        <v>28</v>
      </c>
      <c r="D396" s="44" t="s">
        <v>376</v>
      </c>
      <c r="E396" s="44" t="s">
        <v>1381</v>
      </c>
      <c r="F396" s="44"/>
      <c r="G396" s="44" t="s">
        <v>1123</v>
      </c>
      <c r="H396" s="44" t="s">
        <v>1124</v>
      </c>
      <c r="I396" s="44" t="s">
        <v>1106</v>
      </c>
      <c r="J396" s="44">
        <v>70</v>
      </c>
      <c r="K396" s="44" t="s">
        <v>1386</v>
      </c>
      <c r="L396" s="44"/>
      <c r="M396" s="44" t="s">
        <v>1109</v>
      </c>
      <c r="N396" s="45">
        <v>0</v>
      </c>
      <c r="O396" s="46">
        <f t="shared" si="9"/>
        <v>0</v>
      </c>
      <c r="P396" s="47">
        <f>KOHC!G93</f>
        <v>0</v>
      </c>
      <c r="Q396" s="44" t="str">
        <f t="shared" si="10"/>
        <v>PASS</v>
      </c>
      <c r="R396" s="44" t="s">
        <v>1110</v>
      </c>
      <c r="S396" s="44"/>
    </row>
    <row r="397" spans="1:19" x14ac:dyDescent="0.3">
      <c r="A397" s="44" t="s">
        <v>1425</v>
      </c>
      <c r="B397" s="44" t="s">
        <v>18</v>
      </c>
      <c r="C397" s="44" t="s">
        <v>29</v>
      </c>
      <c r="D397" s="44" t="s">
        <v>376</v>
      </c>
      <c r="E397" s="44" t="s">
        <v>1381</v>
      </c>
      <c r="F397" s="44"/>
      <c r="G397" s="44" t="s">
        <v>1123</v>
      </c>
      <c r="H397" s="44" t="s">
        <v>1124</v>
      </c>
      <c r="I397" s="44" t="s">
        <v>1127</v>
      </c>
      <c r="J397" s="44">
        <v>70</v>
      </c>
      <c r="K397" s="44" t="s">
        <v>1386</v>
      </c>
      <c r="L397" s="44"/>
      <c r="M397" s="44" t="s">
        <v>1109</v>
      </c>
      <c r="N397" s="45">
        <v>0</v>
      </c>
      <c r="O397" s="46">
        <f t="shared" si="9"/>
        <v>0</v>
      </c>
      <c r="P397" s="47">
        <f>KOHC!H93</f>
        <v>0</v>
      </c>
      <c r="Q397" s="44" t="str">
        <f t="shared" si="10"/>
        <v>PASS</v>
      </c>
      <c r="R397" s="44" t="s">
        <v>1110</v>
      </c>
      <c r="S397" s="44"/>
    </row>
    <row r="398" spans="1:19" x14ac:dyDescent="0.3">
      <c r="A398" s="44" t="s">
        <v>1426</v>
      </c>
      <c r="B398" s="44" t="s">
        <v>18</v>
      </c>
      <c r="C398" s="44" t="s">
        <v>20</v>
      </c>
      <c r="D398" s="44" t="s">
        <v>378</v>
      </c>
      <c r="E398" s="44" t="s">
        <v>1381</v>
      </c>
      <c r="F398" s="44"/>
      <c r="G398" s="44" t="s">
        <v>1112</v>
      </c>
      <c r="H398" s="44" t="s">
        <v>1113</v>
      </c>
      <c r="I398" s="44" t="s">
        <v>1106</v>
      </c>
      <c r="J398" s="44">
        <v>54</v>
      </c>
      <c r="K398" s="44" t="s">
        <v>1139</v>
      </c>
      <c r="L398" s="44"/>
      <c r="M398" s="44" t="s">
        <v>1109</v>
      </c>
      <c r="N398" s="45">
        <v>0</v>
      </c>
      <c r="O398" s="46">
        <f t="shared" si="9"/>
        <v>0</v>
      </c>
      <c r="P398" s="47">
        <f>KOHC!D94</f>
        <v>0</v>
      </c>
      <c r="Q398" s="44" t="str">
        <f t="shared" si="10"/>
        <v>PASS</v>
      </c>
      <c r="R398" s="44" t="s">
        <v>1110</v>
      </c>
      <c r="S398" s="44"/>
    </row>
    <row r="399" spans="1:19" x14ac:dyDescent="0.3">
      <c r="A399" s="44" t="s">
        <v>1427</v>
      </c>
      <c r="B399" s="44" t="s">
        <v>18</v>
      </c>
      <c r="C399" s="44" t="s">
        <v>26</v>
      </c>
      <c r="D399" s="44" t="s">
        <v>378</v>
      </c>
      <c r="E399" s="44" t="s">
        <v>1381</v>
      </c>
      <c r="F399" s="44"/>
      <c r="G399" s="44" t="s">
        <v>1116</v>
      </c>
      <c r="H399" s="44" t="s">
        <v>1117</v>
      </c>
      <c r="I399" s="44" t="s">
        <v>1106</v>
      </c>
      <c r="J399" s="44">
        <v>54</v>
      </c>
      <c r="K399" s="44" t="s">
        <v>1139</v>
      </c>
      <c r="L399" s="44"/>
      <c r="M399" s="44" t="s">
        <v>1109</v>
      </c>
      <c r="N399" s="45">
        <v>0</v>
      </c>
      <c r="O399" s="46">
        <f t="shared" si="9"/>
        <v>0</v>
      </c>
      <c r="P399" s="47">
        <f>KOHC!E94</f>
        <v>0</v>
      </c>
      <c r="Q399" s="44" t="str">
        <f t="shared" si="10"/>
        <v>PASS</v>
      </c>
      <c r="R399" s="44" t="s">
        <v>1110</v>
      </c>
      <c r="S399" s="44"/>
    </row>
    <row r="400" spans="1:19" x14ac:dyDescent="0.3">
      <c r="A400" s="44" t="s">
        <v>1428</v>
      </c>
      <c r="B400" s="44" t="s">
        <v>18</v>
      </c>
      <c r="C400" s="44" t="s">
        <v>27</v>
      </c>
      <c r="D400" s="44" t="s">
        <v>378</v>
      </c>
      <c r="E400" s="44" t="s">
        <v>1381</v>
      </c>
      <c r="F400" s="44"/>
      <c r="G400" s="44" t="s">
        <v>1119</v>
      </c>
      <c r="H400" s="44" t="s">
        <v>1120</v>
      </c>
      <c r="I400" s="44" t="s">
        <v>1106</v>
      </c>
      <c r="J400" s="44">
        <v>60</v>
      </c>
      <c r="K400" s="44" t="s">
        <v>1139</v>
      </c>
      <c r="L400" s="44"/>
      <c r="M400" s="44" t="s">
        <v>1109</v>
      </c>
      <c r="N400" s="45">
        <v>0</v>
      </c>
      <c r="O400" s="46">
        <f t="shared" si="9"/>
        <v>0</v>
      </c>
      <c r="P400" s="47">
        <f>KOHC!F94</f>
        <v>0</v>
      </c>
      <c r="Q400" s="44" t="str">
        <f t="shared" si="10"/>
        <v>PASS</v>
      </c>
      <c r="R400" s="44" t="s">
        <v>1110</v>
      </c>
      <c r="S400" s="44"/>
    </row>
    <row r="401" spans="1:19" x14ac:dyDescent="0.3">
      <c r="A401" s="44" t="s">
        <v>1429</v>
      </c>
      <c r="B401" s="44" t="s">
        <v>18</v>
      </c>
      <c r="C401" s="44" t="s">
        <v>28</v>
      </c>
      <c r="D401" s="44" t="s">
        <v>378</v>
      </c>
      <c r="E401" s="44" t="s">
        <v>1381</v>
      </c>
      <c r="F401" s="44"/>
      <c r="G401" s="44" t="s">
        <v>1123</v>
      </c>
      <c r="H401" s="44" t="s">
        <v>1124</v>
      </c>
      <c r="I401" s="44" t="s">
        <v>1106</v>
      </c>
      <c r="J401" s="44">
        <v>70</v>
      </c>
      <c r="K401" s="44" t="s">
        <v>1386</v>
      </c>
      <c r="L401" s="44"/>
      <c r="M401" s="44" t="s">
        <v>1109</v>
      </c>
      <c r="N401" s="45">
        <v>0</v>
      </c>
      <c r="O401" s="46">
        <f t="shared" si="9"/>
        <v>0</v>
      </c>
      <c r="P401" s="47">
        <f>KOHC!G94</f>
        <v>0</v>
      </c>
      <c r="Q401" s="44" t="str">
        <f t="shared" si="10"/>
        <v>PASS</v>
      </c>
      <c r="R401" s="44" t="s">
        <v>1110</v>
      </c>
      <c r="S401" s="44"/>
    </row>
    <row r="402" spans="1:19" x14ac:dyDescent="0.3">
      <c r="A402" s="44" t="s">
        <v>1430</v>
      </c>
      <c r="B402" s="44" t="s">
        <v>18</v>
      </c>
      <c r="C402" s="44" t="s">
        <v>29</v>
      </c>
      <c r="D402" s="44" t="s">
        <v>378</v>
      </c>
      <c r="E402" s="44" t="s">
        <v>1381</v>
      </c>
      <c r="F402" s="44"/>
      <c r="G402" s="44" t="s">
        <v>1123</v>
      </c>
      <c r="H402" s="44" t="s">
        <v>1124</v>
      </c>
      <c r="I402" s="44" t="s">
        <v>1127</v>
      </c>
      <c r="J402" s="44">
        <v>70</v>
      </c>
      <c r="K402" s="44" t="s">
        <v>1386</v>
      </c>
      <c r="L402" s="44"/>
      <c r="M402" s="44" t="s">
        <v>1109</v>
      </c>
      <c r="N402" s="45">
        <v>0</v>
      </c>
      <c r="O402" s="46">
        <f t="shared" si="9"/>
        <v>0</v>
      </c>
      <c r="P402" s="47">
        <f>KOHC!H94</f>
        <v>0</v>
      </c>
      <c r="Q402" s="44" t="str">
        <f t="shared" si="10"/>
        <v>PASS</v>
      </c>
      <c r="R402" s="44" t="s">
        <v>1110</v>
      </c>
      <c r="S402" s="44"/>
    </row>
    <row r="403" spans="1:19" x14ac:dyDescent="0.3">
      <c r="A403" s="44" t="s">
        <v>1431</v>
      </c>
      <c r="B403" s="44" t="s">
        <v>18</v>
      </c>
      <c r="C403" s="44" t="s">
        <v>20</v>
      </c>
      <c r="D403" s="44" t="s">
        <v>380</v>
      </c>
      <c r="E403" s="44" t="s">
        <v>1381</v>
      </c>
      <c r="F403" s="44" t="s">
        <v>380</v>
      </c>
      <c r="G403" s="44" t="s">
        <v>1112</v>
      </c>
      <c r="H403" s="44" t="s">
        <v>1113</v>
      </c>
      <c r="I403" s="44" t="s">
        <v>1106</v>
      </c>
      <c r="J403" s="44">
        <v>54</v>
      </c>
      <c r="K403" s="44" t="s">
        <v>1139</v>
      </c>
      <c r="L403" s="44"/>
      <c r="M403" s="44" t="s">
        <v>1109</v>
      </c>
      <c r="N403" s="45">
        <v>-517055413</v>
      </c>
      <c r="O403" s="46">
        <f t="shared" si="9"/>
        <v>-517.05541300000004</v>
      </c>
      <c r="P403" s="47">
        <f>KOHC!D95</f>
        <v>-517.05541300000004</v>
      </c>
      <c r="Q403" s="44" t="str">
        <f t="shared" si="10"/>
        <v>PASS</v>
      </c>
      <c r="R403" s="44" t="s">
        <v>1110</v>
      </c>
      <c r="S403" s="44"/>
    </row>
    <row r="404" spans="1:19" x14ac:dyDescent="0.3">
      <c r="A404" s="44" t="s">
        <v>1432</v>
      </c>
      <c r="B404" s="44" t="s">
        <v>18</v>
      </c>
      <c r="C404" s="44" t="s">
        <v>26</v>
      </c>
      <c r="D404" s="44" t="s">
        <v>380</v>
      </c>
      <c r="E404" s="44" t="s">
        <v>1381</v>
      </c>
      <c r="F404" s="44" t="s">
        <v>380</v>
      </c>
      <c r="G404" s="44" t="s">
        <v>1116</v>
      </c>
      <c r="H404" s="44" t="s">
        <v>1117</v>
      </c>
      <c r="I404" s="44" t="s">
        <v>1106</v>
      </c>
      <c r="J404" s="44">
        <v>54</v>
      </c>
      <c r="K404" s="44" t="s">
        <v>1139</v>
      </c>
      <c r="L404" s="44"/>
      <c r="M404" s="44" t="s">
        <v>1109</v>
      </c>
      <c r="N404" s="45">
        <v>-537710815</v>
      </c>
      <c r="O404" s="46">
        <f t="shared" ref="O404:O457" si="11">N404/1000000</f>
        <v>-537.71081500000003</v>
      </c>
      <c r="P404" s="47">
        <f>KOHC!E95</f>
        <v>-537.71081500000003</v>
      </c>
      <c r="Q404" s="44" t="str">
        <f t="shared" ref="Q404:Q457" si="12">IF(ABS(O404-P404)&lt;0.000001,"PASS","FAIL")</f>
        <v>PASS</v>
      </c>
      <c r="R404" s="44" t="s">
        <v>1110</v>
      </c>
      <c r="S404" s="44"/>
    </row>
    <row r="405" spans="1:19" x14ac:dyDescent="0.3">
      <c r="A405" s="44" t="s">
        <v>1433</v>
      </c>
      <c r="B405" s="44" t="s">
        <v>18</v>
      </c>
      <c r="C405" s="44" t="s">
        <v>27</v>
      </c>
      <c r="D405" s="44" t="s">
        <v>380</v>
      </c>
      <c r="E405" s="44" t="s">
        <v>1381</v>
      </c>
      <c r="F405" s="44" t="s">
        <v>380</v>
      </c>
      <c r="G405" s="44" t="s">
        <v>1119</v>
      </c>
      <c r="H405" s="44" t="s">
        <v>1120</v>
      </c>
      <c r="I405" s="44" t="s">
        <v>1106</v>
      </c>
      <c r="J405" s="44">
        <v>60</v>
      </c>
      <c r="K405" s="44" t="s">
        <v>1139</v>
      </c>
      <c r="L405" s="44"/>
      <c r="M405" s="44" t="s">
        <v>1109</v>
      </c>
      <c r="N405" s="45">
        <v>-740307772</v>
      </c>
      <c r="O405" s="46">
        <f t="shared" si="11"/>
        <v>-740.307772</v>
      </c>
      <c r="P405" s="47">
        <f>KOHC!F95</f>
        <v>-740.307772</v>
      </c>
      <c r="Q405" s="44" t="str">
        <f t="shared" si="12"/>
        <v>PASS</v>
      </c>
      <c r="R405" s="44" t="s">
        <v>1110</v>
      </c>
      <c r="S405" s="44"/>
    </row>
    <row r="406" spans="1:19" x14ac:dyDescent="0.3">
      <c r="A406" s="44" t="s">
        <v>1434</v>
      </c>
      <c r="B406" s="44" t="s">
        <v>18</v>
      </c>
      <c r="C406" s="44" t="s">
        <v>28</v>
      </c>
      <c r="D406" s="44" t="s">
        <v>380</v>
      </c>
      <c r="E406" s="44" t="s">
        <v>1381</v>
      </c>
      <c r="F406" s="44" t="s">
        <v>380</v>
      </c>
      <c r="G406" s="44" t="s">
        <v>1123</v>
      </c>
      <c r="H406" s="44" t="s">
        <v>1124</v>
      </c>
      <c r="I406" s="44" t="s">
        <v>1106</v>
      </c>
      <c r="J406" s="44">
        <v>70</v>
      </c>
      <c r="K406" s="44" t="s">
        <v>1386</v>
      </c>
      <c r="L406" s="44"/>
      <c r="M406" s="44" t="s">
        <v>1109</v>
      </c>
      <c r="N406" s="45">
        <v>-677380845</v>
      </c>
      <c r="O406" s="46">
        <f t="shared" si="11"/>
        <v>-677.38084500000002</v>
      </c>
      <c r="P406" s="47">
        <f>KOHC!G95</f>
        <v>-677.38084500000002</v>
      </c>
      <c r="Q406" s="44" t="str">
        <f t="shared" si="12"/>
        <v>PASS</v>
      </c>
      <c r="R406" s="44" t="s">
        <v>1110</v>
      </c>
      <c r="S406" s="44"/>
    </row>
    <row r="407" spans="1:19" x14ac:dyDescent="0.3">
      <c r="A407" s="44" t="s">
        <v>1435</v>
      </c>
      <c r="B407" s="44" t="s">
        <v>18</v>
      </c>
      <c r="C407" s="44" t="s">
        <v>29</v>
      </c>
      <c r="D407" s="44" t="s">
        <v>380</v>
      </c>
      <c r="E407" s="44" t="s">
        <v>1381</v>
      </c>
      <c r="F407" s="44" t="s">
        <v>380</v>
      </c>
      <c r="G407" s="44" t="s">
        <v>1123</v>
      </c>
      <c r="H407" s="44" t="s">
        <v>1124</v>
      </c>
      <c r="I407" s="44" t="s">
        <v>1127</v>
      </c>
      <c r="J407" s="44">
        <v>70</v>
      </c>
      <c r="K407" s="44" t="s">
        <v>1386</v>
      </c>
      <c r="L407" s="44"/>
      <c r="M407" s="44" t="s">
        <v>1109</v>
      </c>
      <c r="N407" s="45">
        <v>-349910716</v>
      </c>
      <c r="O407" s="46">
        <f t="shared" si="11"/>
        <v>-349.91071599999998</v>
      </c>
      <c r="P407" s="47">
        <f>KOHC!H95</f>
        <v>-349.91071599999998</v>
      </c>
      <c r="Q407" s="44" t="str">
        <f t="shared" si="12"/>
        <v>PASS</v>
      </c>
      <c r="R407" s="44" t="s">
        <v>1110</v>
      </c>
      <c r="S407" s="44"/>
    </row>
    <row r="408" spans="1:19" x14ac:dyDescent="0.3">
      <c r="A408" s="44" t="s">
        <v>1436</v>
      </c>
      <c r="B408" s="44" t="s">
        <v>18</v>
      </c>
      <c r="C408" s="44" t="s">
        <v>20</v>
      </c>
      <c r="D408" s="44" t="s">
        <v>384</v>
      </c>
      <c r="E408" s="44" t="s">
        <v>1381</v>
      </c>
      <c r="F408" s="44"/>
      <c r="G408" s="44" t="s">
        <v>1112</v>
      </c>
      <c r="H408" s="44" t="s">
        <v>1113</v>
      </c>
      <c r="I408" s="44" t="s">
        <v>1106</v>
      </c>
      <c r="J408" s="44">
        <v>54</v>
      </c>
      <c r="K408" s="44" t="s">
        <v>1139</v>
      </c>
      <c r="L408" s="44"/>
      <c r="M408" s="44" t="s">
        <v>1109</v>
      </c>
      <c r="N408" s="45">
        <v>0</v>
      </c>
      <c r="O408" s="46">
        <f t="shared" si="11"/>
        <v>0</v>
      </c>
      <c r="P408" s="47">
        <f>KOHC!D97</f>
        <v>0</v>
      </c>
      <c r="Q408" s="44" t="str">
        <f t="shared" si="12"/>
        <v>PASS</v>
      </c>
      <c r="R408" s="44" t="s">
        <v>1110</v>
      </c>
      <c r="S408" s="44"/>
    </row>
    <row r="409" spans="1:19" x14ac:dyDescent="0.3">
      <c r="A409" s="44" t="s">
        <v>1437</v>
      </c>
      <c r="B409" s="44" t="s">
        <v>18</v>
      </c>
      <c r="C409" s="44" t="s">
        <v>26</v>
      </c>
      <c r="D409" s="44" t="s">
        <v>384</v>
      </c>
      <c r="E409" s="44" t="s">
        <v>1381</v>
      </c>
      <c r="F409" s="44"/>
      <c r="G409" s="44" t="s">
        <v>1116</v>
      </c>
      <c r="H409" s="44" t="s">
        <v>1117</v>
      </c>
      <c r="I409" s="44" t="s">
        <v>1106</v>
      </c>
      <c r="J409" s="44">
        <v>54</v>
      </c>
      <c r="K409" s="44" t="s">
        <v>1139</v>
      </c>
      <c r="L409" s="44"/>
      <c r="M409" s="44" t="s">
        <v>1109</v>
      </c>
      <c r="N409" s="45">
        <v>0</v>
      </c>
      <c r="O409" s="46">
        <f t="shared" si="11"/>
        <v>0</v>
      </c>
      <c r="P409" s="47">
        <f>KOHC!E97</f>
        <v>0</v>
      </c>
      <c r="Q409" s="44" t="str">
        <f t="shared" si="12"/>
        <v>PASS</v>
      </c>
      <c r="R409" s="44" t="s">
        <v>1110</v>
      </c>
      <c r="S409" s="44"/>
    </row>
    <row r="410" spans="1:19" x14ac:dyDescent="0.3">
      <c r="A410" s="44" t="s">
        <v>1438</v>
      </c>
      <c r="B410" s="44" t="s">
        <v>18</v>
      </c>
      <c r="C410" s="44" t="s">
        <v>27</v>
      </c>
      <c r="D410" s="44" t="s">
        <v>384</v>
      </c>
      <c r="E410" s="44" t="s">
        <v>1381</v>
      </c>
      <c r="F410" s="44" t="s">
        <v>1439</v>
      </c>
      <c r="G410" s="44" t="s">
        <v>1119</v>
      </c>
      <c r="H410" s="44" t="s">
        <v>1120</v>
      </c>
      <c r="I410" s="44" t="s">
        <v>1106</v>
      </c>
      <c r="J410" s="44">
        <v>60</v>
      </c>
      <c r="K410" s="44" t="s">
        <v>1139</v>
      </c>
      <c r="L410" s="44"/>
      <c r="M410" s="44" t="s">
        <v>1109</v>
      </c>
      <c r="N410" s="45">
        <v>-343981005</v>
      </c>
      <c r="O410" s="46">
        <f t="shared" si="11"/>
        <v>-343.98100499999998</v>
      </c>
      <c r="P410" s="47">
        <f>KOHC!F97</f>
        <v>-343.98100499999998</v>
      </c>
      <c r="Q410" s="44" t="str">
        <f t="shared" si="12"/>
        <v>PASS</v>
      </c>
      <c r="R410" s="44" t="s">
        <v>1110</v>
      </c>
      <c r="S410" s="44"/>
    </row>
    <row r="411" spans="1:19" x14ac:dyDescent="0.3">
      <c r="A411" s="44" t="s">
        <v>1440</v>
      </c>
      <c r="B411" s="44" t="s">
        <v>18</v>
      </c>
      <c r="C411" s="44" t="s">
        <v>28</v>
      </c>
      <c r="D411" s="44" t="s">
        <v>384</v>
      </c>
      <c r="E411" s="44" t="s">
        <v>1381</v>
      </c>
      <c r="F411" s="44" t="s">
        <v>1439</v>
      </c>
      <c r="G411" s="44" t="s">
        <v>1123</v>
      </c>
      <c r="H411" s="44" t="s">
        <v>1124</v>
      </c>
      <c r="I411" s="44" t="s">
        <v>1106</v>
      </c>
      <c r="J411" s="44">
        <v>70</v>
      </c>
      <c r="K411" s="44" t="s">
        <v>1386</v>
      </c>
      <c r="L411" s="44"/>
      <c r="M411" s="44" t="s">
        <v>1109</v>
      </c>
      <c r="N411" s="45">
        <v>-844151365</v>
      </c>
      <c r="O411" s="46">
        <f t="shared" si="11"/>
        <v>-844.15136500000006</v>
      </c>
      <c r="P411" s="47">
        <f>KOHC!G97</f>
        <v>-844.15136500000006</v>
      </c>
      <c r="Q411" s="44" t="str">
        <f t="shared" si="12"/>
        <v>PASS</v>
      </c>
      <c r="R411" s="44" t="s">
        <v>1110</v>
      </c>
      <c r="S411" s="44"/>
    </row>
    <row r="412" spans="1:19" x14ac:dyDescent="0.3">
      <c r="A412" s="44" t="s">
        <v>1441</v>
      </c>
      <c r="B412" s="44" t="s">
        <v>18</v>
      </c>
      <c r="C412" s="44" t="s">
        <v>29</v>
      </c>
      <c r="D412" s="44" t="s">
        <v>384</v>
      </c>
      <c r="E412" s="44" t="s">
        <v>1381</v>
      </c>
      <c r="F412" s="44" t="s">
        <v>1439</v>
      </c>
      <c r="G412" s="44" t="s">
        <v>1123</v>
      </c>
      <c r="H412" s="44" t="s">
        <v>1124</v>
      </c>
      <c r="I412" s="44" t="s">
        <v>1127</v>
      </c>
      <c r="J412" s="44">
        <v>70</v>
      </c>
      <c r="K412" s="44" t="s">
        <v>1386</v>
      </c>
      <c r="L412" s="44"/>
      <c r="M412" s="44" t="s">
        <v>1109</v>
      </c>
      <c r="N412" s="45">
        <v>-58631368</v>
      </c>
      <c r="O412" s="46">
        <f t="shared" si="11"/>
        <v>-58.631368000000002</v>
      </c>
      <c r="P412" s="47">
        <f>KOHC!H97</f>
        <v>-58.631368000000002</v>
      </c>
      <c r="Q412" s="44" t="str">
        <f t="shared" si="12"/>
        <v>PASS</v>
      </c>
      <c r="R412" s="44" t="s">
        <v>1110</v>
      </c>
      <c r="S412" s="44"/>
    </row>
    <row r="413" spans="1:19" x14ac:dyDescent="0.3">
      <c r="A413" s="44" t="s">
        <v>1442</v>
      </c>
      <c r="B413" s="44" t="s">
        <v>18</v>
      </c>
      <c r="C413" s="44" t="s">
        <v>20</v>
      </c>
      <c r="D413" s="44" t="s">
        <v>386</v>
      </c>
      <c r="E413" s="44" t="s">
        <v>1381</v>
      </c>
      <c r="F413" s="44" t="s">
        <v>1443</v>
      </c>
      <c r="G413" s="44" t="s">
        <v>1112</v>
      </c>
      <c r="H413" s="44" t="s">
        <v>1113</v>
      </c>
      <c r="I413" s="44" t="s">
        <v>1106</v>
      </c>
      <c r="J413" s="44">
        <v>54</v>
      </c>
      <c r="K413" s="44" t="s">
        <v>1139</v>
      </c>
      <c r="L413" s="44"/>
      <c r="M413" s="44" t="s">
        <v>1109</v>
      </c>
      <c r="N413" s="45">
        <v>-1388447360</v>
      </c>
      <c r="O413" s="46">
        <f t="shared" si="11"/>
        <v>-1388.4473599999999</v>
      </c>
      <c r="P413" s="47">
        <f>KOHC!D98</f>
        <v>-1388.4473599999999</v>
      </c>
      <c r="Q413" s="44" t="str">
        <f t="shared" si="12"/>
        <v>PASS</v>
      </c>
      <c r="R413" s="44" t="s">
        <v>1110</v>
      </c>
      <c r="S413" s="44"/>
    </row>
    <row r="414" spans="1:19" x14ac:dyDescent="0.3">
      <c r="A414" s="44" t="s">
        <v>1444</v>
      </c>
      <c r="B414" s="44" t="s">
        <v>18</v>
      </c>
      <c r="C414" s="44" t="s">
        <v>26</v>
      </c>
      <c r="D414" s="44" t="s">
        <v>386</v>
      </c>
      <c r="E414" s="44" t="s">
        <v>1381</v>
      </c>
      <c r="F414" s="44" t="s">
        <v>1443</v>
      </c>
      <c r="G414" s="44" t="s">
        <v>1116</v>
      </c>
      <c r="H414" s="44" t="s">
        <v>1117</v>
      </c>
      <c r="I414" s="44" t="s">
        <v>1106</v>
      </c>
      <c r="J414" s="44">
        <v>54</v>
      </c>
      <c r="K414" s="44" t="s">
        <v>1139</v>
      </c>
      <c r="L414" s="44"/>
      <c r="M414" s="44" t="s">
        <v>1109</v>
      </c>
      <c r="N414" s="45">
        <v>-3901208866</v>
      </c>
      <c r="O414" s="46">
        <f t="shared" si="11"/>
        <v>-3901.2088659999999</v>
      </c>
      <c r="P414" s="47">
        <f>KOHC!E98</f>
        <v>-3901.2088659999999</v>
      </c>
      <c r="Q414" s="44" t="str">
        <f t="shared" si="12"/>
        <v>PASS</v>
      </c>
      <c r="R414" s="44" t="s">
        <v>1110</v>
      </c>
      <c r="S414" s="44"/>
    </row>
    <row r="415" spans="1:19" x14ac:dyDescent="0.3">
      <c r="A415" s="44" t="s">
        <v>1445</v>
      </c>
      <c r="B415" s="44" t="s">
        <v>18</v>
      </c>
      <c r="C415" s="44" t="s">
        <v>27</v>
      </c>
      <c r="D415" s="44" t="s">
        <v>386</v>
      </c>
      <c r="E415" s="44" t="s">
        <v>1381</v>
      </c>
      <c r="F415" s="44" t="s">
        <v>1443</v>
      </c>
      <c r="G415" s="44" t="s">
        <v>1119</v>
      </c>
      <c r="H415" s="44" t="s">
        <v>1120</v>
      </c>
      <c r="I415" s="44" t="s">
        <v>1106</v>
      </c>
      <c r="J415" s="44">
        <v>60</v>
      </c>
      <c r="K415" s="44" t="s">
        <v>1139</v>
      </c>
      <c r="L415" s="44"/>
      <c r="M415" s="44" t="s">
        <v>1109</v>
      </c>
      <c r="N415" s="45">
        <v>-4304595678</v>
      </c>
      <c r="O415" s="46">
        <f t="shared" si="11"/>
        <v>-4304.5956779999997</v>
      </c>
      <c r="P415" s="47">
        <f>KOHC!F98</f>
        <v>-4304.5956779999997</v>
      </c>
      <c r="Q415" s="44" t="str">
        <f t="shared" si="12"/>
        <v>PASS</v>
      </c>
      <c r="R415" s="44" t="s">
        <v>1110</v>
      </c>
      <c r="S415" s="44" t="s">
        <v>1114</v>
      </c>
    </row>
    <row r="416" spans="1:19" x14ac:dyDescent="0.3">
      <c r="A416" s="44" t="s">
        <v>1446</v>
      </c>
      <c r="B416" s="44" t="s">
        <v>18</v>
      </c>
      <c r="C416" s="44" t="s">
        <v>28</v>
      </c>
      <c r="D416" s="44" t="s">
        <v>386</v>
      </c>
      <c r="E416" s="44" t="s">
        <v>1381</v>
      </c>
      <c r="F416" s="44" t="s">
        <v>1443</v>
      </c>
      <c r="G416" s="44" t="s">
        <v>1123</v>
      </c>
      <c r="H416" s="44" t="s">
        <v>1124</v>
      </c>
      <c r="I416" s="44" t="s">
        <v>1106</v>
      </c>
      <c r="J416" s="44">
        <v>70</v>
      </c>
      <c r="K416" s="44" t="s">
        <v>1386</v>
      </c>
      <c r="L416" s="44"/>
      <c r="M416" s="44" t="s">
        <v>1109</v>
      </c>
      <c r="N416" s="45">
        <v>-4038678948</v>
      </c>
      <c r="O416" s="46">
        <f t="shared" si="11"/>
        <v>-4038.6789480000002</v>
      </c>
      <c r="P416" s="47">
        <f>KOHC!G98</f>
        <v>-4038.6789480000002</v>
      </c>
      <c r="Q416" s="44" t="str">
        <f t="shared" si="12"/>
        <v>PASS</v>
      </c>
      <c r="R416" s="44" t="s">
        <v>1110</v>
      </c>
      <c r="S416" s="44" t="s">
        <v>1114</v>
      </c>
    </row>
    <row r="417" spans="1:19" x14ac:dyDescent="0.3">
      <c r="A417" s="44" t="s">
        <v>1447</v>
      </c>
      <c r="B417" s="44" t="s">
        <v>18</v>
      </c>
      <c r="C417" s="44" t="s">
        <v>29</v>
      </c>
      <c r="D417" s="44" t="s">
        <v>386</v>
      </c>
      <c r="E417" s="44" t="s">
        <v>1381</v>
      </c>
      <c r="F417" s="44" t="s">
        <v>1443</v>
      </c>
      <c r="G417" s="44" t="s">
        <v>1123</v>
      </c>
      <c r="H417" s="44" t="s">
        <v>1124</v>
      </c>
      <c r="I417" s="44" t="s">
        <v>1127</v>
      </c>
      <c r="J417" s="44">
        <v>70</v>
      </c>
      <c r="K417" s="44" t="s">
        <v>1386</v>
      </c>
      <c r="L417" s="44"/>
      <c r="M417" s="44" t="s">
        <v>1109</v>
      </c>
      <c r="N417" s="45">
        <v>-6113037978</v>
      </c>
      <c r="O417" s="46">
        <f t="shared" si="11"/>
        <v>-6113.0379780000003</v>
      </c>
      <c r="P417" s="47">
        <f>KOHC!H98</f>
        <v>-6113.0379780000003</v>
      </c>
      <c r="Q417" s="44" t="str">
        <f t="shared" si="12"/>
        <v>PASS</v>
      </c>
      <c r="R417" s="44" t="s">
        <v>1110</v>
      </c>
      <c r="S417" s="44"/>
    </row>
    <row r="418" spans="1:19" x14ac:dyDescent="0.3">
      <c r="A418" s="44" t="s">
        <v>1448</v>
      </c>
      <c r="B418" s="44" t="s">
        <v>18</v>
      </c>
      <c r="C418" s="44" t="s">
        <v>20</v>
      </c>
      <c r="D418" s="44" t="s">
        <v>390</v>
      </c>
      <c r="E418" s="44" t="s">
        <v>1381</v>
      </c>
      <c r="F418" s="44" t="s">
        <v>1449</v>
      </c>
      <c r="G418" s="44" t="s">
        <v>1112</v>
      </c>
      <c r="H418" s="44" t="s">
        <v>1113</v>
      </c>
      <c r="I418" s="44" t="s">
        <v>1106</v>
      </c>
      <c r="J418" s="44">
        <v>54</v>
      </c>
      <c r="K418" s="44" t="s">
        <v>1139</v>
      </c>
      <c r="L418" s="44"/>
      <c r="M418" s="44" t="s">
        <v>1109</v>
      </c>
      <c r="N418" s="45">
        <v>5965349059</v>
      </c>
      <c r="O418" s="46">
        <f t="shared" si="11"/>
        <v>5965.3490590000001</v>
      </c>
      <c r="P418" s="47">
        <f>KOHC!D100</f>
        <v>5965.3490590000001</v>
      </c>
      <c r="Q418" s="44" t="str">
        <f t="shared" si="12"/>
        <v>PASS</v>
      </c>
      <c r="R418" s="44" t="s">
        <v>1110</v>
      </c>
      <c r="S418" s="44"/>
    </row>
    <row r="419" spans="1:19" x14ac:dyDescent="0.3">
      <c r="A419" s="44" t="s">
        <v>1450</v>
      </c>
      <c r="B419" s="44" t="s">
        <v>18</v>
      </c>
      <c r="C419" s="44" t="s">
        <v>26</v>
      </c>
      <c r="D419" s="44" t="s">
        <v>390</v>
      </c>
      <c r="E419" s="44" t="s">
        <v>1381</v>
      </c>
      <c r="F419" s="44" t="s">
        <v>1449</v>
      </c>
      <c r="G419" s="44" t="s">
        <v>1116</v>
      </c>
      <c r="H419" s="44" t="s">
        <v>1117</v>
      </c>
      <c r="I419" s="44" t="s">
        <v>1106</v>
      </c>
      <c r="J419" s="44">
        <v>54</v>
      </c>
      <c r="K419" s="44" t="s">
        <v>1139</v>
      </c>
      <c r="L419" s="44"/>
      <c r="M419" s="44" t="s">
        <v>1109</v>
      </c>
      <c r="N419" s="45">
        <v>9811768509</v>
      </c>
      <c r="O419" s="46">
        <f t="shared" si="11"/>
        <v>9811.7685089999995</v>
      </c>
      <c r="P419" s="47">
        <f>KOHC!E100</f>
        <v>9811.7685089999995</v>
      </c>
      <c r="Q419" s="44" t="str">
        <f t="shared" si="12"/>
        <v>PASS</v>
      </c>
      <c r="R419" s="44" t="s">
        <v>1110</v>
      </c>
      <c r="S419" s="44"/>
    </row>
    <row r="420" spans="1:19" x14ac:dyDescent="0.3">
      <c r="A420" s="44" t="s">
        <v>1451</v>
      </c>
      <c r="B420" s="44" t="s">
        <v>18</v>
      </c>
      <c r="C420" s="44" t="s">
        <v>27</v>
      </c>
      <c r="D420" s="44" t="s">
        <v>390</v>
      </c>
      <c r="E420" s="44" t="s">
        <v>1381</v>
      </c>
      <c r="F420" s="44" t="s">
        <v>1449</v>
      </c>
      <c r="G420" s="44" t="s">
        <v>1119</v>
      </c>
      <c r="H420" s="44" t="s">
        <v>1120</v>
      </c>
      <c r="I420" s="44" t="s">
        <v>1106</v>
      </c>
      <c r="J420" s="44">
        <v>60</v>
      </c>
      <c r="K420" s="44" t="s">
        <v>1139</v>
      </c>
      <c r="L420" s="44"/>
      <c r="M420" s="44" t="s">
        <v>1109</v>
      </c>
      <c r="N420" s="45">
        <v>10432694019</v>
      </c>
      <c r="O420" s="46">
        <f t="shared" si="11"/>
        <v>10432.694019</v>
      </c>
      <c r="P420" s="47">
        <f>KOHC!F100</f>
        <v>10432.694019</v>
      </c>
      <c r="Q420" s="44" t="str">
        <f t="shared" si="12"/>
        <v>PASS</v>
      </c>
      <c r="R420" s="44" t="s">
        <v>1110</v>
      </c>
      <c r="S420" s="44"/>
    </row>
    <row r="421" spans="1:19" x14ac:dyDescent="0.3">
      <c r="A421" s="44" t="s">
        <v>1452</v>
      </c>
      <c r="B421" s="44" t="s">
        <v>18</v>
      </c>
      <c r="C421" s="44" t="s">
        <v>28</v>
      </c>
      <c r="D421" s="44" t="s">
        <v>390</v>
      </c>
      <c r="E421" s="44" t="s">
        <v>1381</v>
      </c>
      <c r="F421" s="44" t="s">
        <v>1449</v>
      </c>
      <c r="G421" s="44" t="s">
        <v>1123</v>
      </c>
      <c r="H421" s="44" t="s">
        <v>1124</v>
      </c>
      <c r="I421" s="44" t="s">
        <v>1106</v>
      </c>
      <c r="J421" s="44">
        <v>70</v>
      </c>
      <c r="K421" s="44" t="s">
        <v>1386</v>
      </c>
      <c r="L421" s="44"/>
      <c r="M421" s="44" t="s">
        <v>1109</v>
      </c>
      <c r="N421" s="45">
        <v>11256491495</v>
      </c>
      <c r="O421" s="46">
        <f t="shared" si="11"/>
        <v>11256.491495</v>
      </c>
      <c r="P421" s="47">
        <f>KOHC!G100</f>
        <v>11256.491495</v>
      </c>
      <c r="Q421" s="44" t="str">
        <f t="shared" si="12"/>
        <v>PASS</v>
      </c>
      <c r="R421" s="44" t="s">
        <v>1110</v>
      </c>
      <c r="S421" s="44"/>
    </row>
    <row r="422" spans="1:19" x14ac:dyDescent="0.3">
      <c r="A422" s="44" t="s">
        <v>1453</v>
      </c>
      <c r="B422" s="44" t="s">
        <v>18</v>
      </c>
      <c r="C422" s="44" t="s">
        <v>29</v>
      </c>
      <c r="D422" s="44" t="s">
        <v>390</v>
      </c>
      <c r="E422" s="44" t="s">
        <v>1381</v>
      </c>
      <c r="F422" s="44" t="s">
        <v>1449</v>
      </c>
      <c r="G422" s="44" t="s">
        <v>1123</v>
      </c>
      <c r="H422" s="44" t="s">
        <v>1124</v>
      </c>
      <c r="I422" s="44" t="s">
        <v>1127</v>
      </c>
      <c r="J422" s="44">
        <v>70</v>
      </c>
      <c r="K422" s="44" t="s">
        <v>1386</v>
      </c>
      <c r="L422" s="44"/>
      <c r="M422" s="44" t="s">
        <v>1109</v>
      </c>
      <c r="N422" s="45">
        <v>14721606101</v>
      </c>
      <c r="O422" s="46">
        <f t="shared" si="11"/>
        <v>14721.606100999999</v>
      </c>
      <c r="P422" s="47">
        <f>KOHC!H100</f>
        <v>14721.606100999999</v>
      </c>
      <c r="Q422" s="44" t="str">
        <f t="shared" si="12"/>
        <v>PASS</v>
      </c>
      <c r="R422" s="44" t="s">
        <v>1110</v>
      </c>
      <c r="S422" s="44"/>
    </row>
    <row r="423" spans="1:19" x14ac:dyDescent="0.3">
      <c r="A423" s="44" t="s">
        <v>1454</v>
      </c>
      <c r="B423" s="44" t="s">
        <v>18</v>
      </c>
      <c r="C423" s="44" t="s">
        <v>20</v>
      </c>
      <c r="D423" s="44" t="s">
        <v>392</v>
      </c>
      <c r="E423" s="44" t="s">
        <v>1381</v>
      </c>
      <c r="F423" s="44" t="s">
        <v>1455</v>
      </c>
      <c r="G423" s="44" t="s">
        <v>1112</v>
      </c>
      <c r="H423" s="44" t="s">
        <v>1113</v>
      </c>
      <c r="I423" s="44" t="s">
        <v>1106</v>
      </c>
      <c r="J423" s="44">
        <v>54</v>
      </c>
      <c r="K423" s="44" t="s">
        <v>1139</v>
      </c>
      <c r="L423" s="44"/>
      <c r="M423" s="44" t="s">
        <v>1109</v>
      </c>
      <c r="N423" s="45">
        <v>4885954607</v>
      </c>
      <c r="O423" s="46">
        <f t="shared" si="11"/>
        <v>4885.9546069999997</v>
      </c>
      <c r="P423" s="47">
        <f>KOHC!D101</f>
        <v>4885.9546069999997</v>
      </c>
      <c r="Q423" s="44" t="str">
        <f t="shared" si="12"/>
        <v>PASS</v>
      </c>
      <c r="R423" s="44" t="s">
        <v>1110</v>
      </c>
      <c r="S423" s="44"/>
    </row>
    <row r="424" spans="1:19" x14ac:dyDescent="0.3">
      <c r="A424" s="44" t="s">
        <v>1456</v>
      </c>
      <c r="B424" s="44" t="s">
        <v>18</v>
      </c>
      <c r="C424" s="44" t="s">
        <v>26</v>
      </c>
      <c r="D424" s="44" t="s">
        <v>392</v>
      </c>
      <c r="E424" s="44" t="s">
        <v>1381</v>
      </c>
      <c r="F424" s="44" t="s">
        <v>1455</v>
      </c>
      <c r="G424" s="44" t="s">
        <v>1116</v>
      </c>
      <c r="H424" s="44" t="s">
        <v>1117</v>
      </c>
      <c r="I424" s="44" t="s">
        <v>1106</v>
      </c>
      <c r="J424" s="44">
        <v>54</v>
      </c>
      <c r="K424" s="44" t="s">
        <v>1139</v>
      </c>
      <c r="L424" s="44"/>
      <c r="M424" s="44" t="s">
        <v>1109</v>
      </c>
      <c r="N424" s="45">
        <v>8925489126</v>
      </c>
      <c r="O424" s="46">
        <f t="shared" si="11"/>
        <v>8925.4891260000004</v>
      </c>
      <c r="P424" s="47">
        <f>KOHC!E101</f>
        <v>8925.4891260000004</v>
      </c>
      <c r="Q424" s="44" t="str">
        <f t="shared" si="12"/>
        <v>PASS</v>
      </c>
      <c r="R424" s="44" t="s">
        <v>1110</v>
      </c>
      <c r="S424" s="44"/>
    </row>
    <row r="425" spans="1:19" x14ac:dyDescent="0.3">
      <c r="A425" s="44" t="s">
        <v>1457</v>
      </c>
      <c r="B425" s="44" t="s">
        <v>18</v>
      </c>
      <c r="C425" s="44" t="s">
        <v>27</v>
      </c>
      <c r="D425" s="44" t="s">
        <v>392</v>
      </c>
      <c r="E425" s="44" t="s">
        <v>1381</v>
      </c>
      <c r="F425" s="44" t="s">
        <v>1458</v>
      </c>
      <c r="G425" s="44" t="s">
        <v>1119</v>
      </c>
      <c r="H425" s="44" t="s">
        <v>1120</v>
      </c>
      <c r="I425" s="44" t="s">
        <v>1106</v>
      </c>
      <c r="J425" s="44">
        <v>60</v>
      </c>
      <c r="K425" s="44" t="s">
        <v>1139</v>
      </c>
      <c r="L425" s="44"/>
      <c r="M425" s="44" t="s">
        <v>1109</v>
      </c>
      <c r="N425" s="45">
        <v>10469327828</v>
      </c>
      <c r="O425" s="46">
        <f t="shared" si="11"/>
        <v>10469.327827999999</v>
      </c>
      <c r="P425" s="47">
        <f>KOHC!F101</f>
        <v>10469.327827999999</v>
      </c>
      <c r="Q425" s="44" t="str">
        <f t="shared" si="12"/>
        <v>PASS</v>
      </c>
      <c r="R425" s="44" t="s">
        <v>1110</v>
      </c>
      <c r="S425" s="44"/>
    </row>
    <row r="426" spans="1:19" x14ac:dyDescent="0.3">
      <c r="A426" s="44" t="s">
        <v>1459</v>
      </c>
      <c r="B426" s="44" t="s">
        <v>18</v>
      </c>
      <c r="C426" s="44" t="s">
        <v>28</v>
      </c>
      <c r="D426" s="44" t="s">
        <v>392</v>
      </c>
      <c r="E426" s="44" t="s">
        <v>1381</v>
      </c>
      <c r="F426" s="44" t="s">
        <v>1458</v>
      </c>
      <c r="G426" s="44" t="s">
        <v>1123</v>
      </c>
      <c r="H426" s="44" t="s">
        <v>1124</v>
      </c>
      <c r="I426" s="44" t="s">
        <v>1106</v>
      </c>
      <c r="J426" s="44">
        <v>70</v>
      </c>
      <c r="K426" s="44" t="s">
        <v>1386</v>
      </c>
      <c r="L426" s="44"/>
      <c r="M426" s="44" t="s">
        <v>1109</v>
      </c>
      <c r="N426" s="45">
        <v>13776285100</v>
      </c>
      <c r="O426" s="46">
        <f t="shared" si="11"/>
        <v>13776.285099999999</v>
      </c>
      <c r="P426" s="47">
        <f>KOHC!G101</f>
        <v>13776.285099999999</v>
      </c>
      <c r="Q426" s="44" t="str">
        <f t="shared" si="12"/>
        <v>PASS</v>
      </c>
      <c r="R426" s="44" t="s">
        <v>1110</v>
      </c>
      <c r="S426" s="44"/>
    </row>
    <row r="427" spans="1:19" x14ac:dyDescent="0.3">
      <c r="A427" s="44" t="s">
        <v>1460</v>
      </c>
      <c r="B427" s="44" t="s">
        <v>18</v>
      </c>
      <c r="C427" s="44" t="s">
        <v>29</v>
      </c>
      <c r="D427" s="44" t="s">
        <v>392</v>
      </c>
      <c r="E427" s="44" t="s">
        <v>1381</v>
      </c>
      <c r="F427" s="44" t="s">
        <v>1458</v>
      </c>
      <c r="G427" s="44" t="s">
        <v>1123</v>
      </c>
      <c r="H427" s="44" t="s">
        <v>1124</v>
      </c>
      <c r="I427" s="44" t="s">
        <v>1127</v>
      </c>
      <c r="J427" s="44">
        <v>70</v>
      </c>
      <c r="K427" s="44" t="s">
        <v>1386</v>
      </c>
      <c r="L427" s="44"/>
      <c r="M427" s="44" t="s">
        <v>1109</v>
      </c>
      <c r="N427" s="45">
        <v>17746823417</v>
      </c>
      <c r="O427" s="46">
        <f t="shared" si="11"/>
        <v>17746.823417</v>
      </c>
      <c r="P427" s="47">
        <f>KOHC!H101</f>
        <v>17746.823417</v>
      </c>
      <c r="Q427" s="44" t="str">
        <f t="shared" si="12"/>
        <v>PASS</v>
      </c>
      <c r="R427" s="44" t="s">
        <v>1110</v>
      </c>
      <c r="S427" s="44"/>
    </row>
    <row r="428" spans="1:19" x14ac:dyDescent="0.3">
      <c r="A428" s="44" t="s">
        <v>1461</v>
      </c>
      <c r="B428" s="44" t="s">
        <v>18</v>
      </c>
      <c r="C428" s="44" t="s">
        <v>20</v>
      </c>
      <c r="D428" s="44" t="s">
        <v>394</v>
      </c>
      <c r="E428" s="44" t="s">
        <v>1381</v>
      </c>
      <c r="F428" s="44" t="s">
        <v>1462</v>
      </c>
      <c r="G428" s="44" t="s">
        <v>1112</v>
      </c>
      <c r="H428" s="44" t="s">
        <v>1113</v>
      </c>
      <c r="I428" s="44" t="s">
        <v>1106</v>
      </c>
      <c r="J428" s="44">
        <v>54</v>
      </c>
      <c r="K428" s="44" t="s">
        <v>1139</v>
      </c>
      <c r="L428" s="44"/>
      <c r="M428" s="44" t="s">
        <v>1109</v>
      </c>
      <c r="N428" s="45">
        <v>3497507247</v>
      </c>
      <c r="O428" s="46">
        <f t="shared" si="11"/>
        <v>3497.507247</v>
      </c>
      <c r="P428" s="47">
        <f>KOHC!D102</f>
        <v>3497.507247</v>
      </c>
      <c r="Q428" s="44" t="str">
        <f t="shared" si="12"/>
        <v>PASS</v>
      </c>
      <c r="R428" s="44" t="s">
        <v>1110</v>
      </c>
      <c r="S428" s="44"/>
    </row>
    <row r="429" spans="1:19" x14ac:dyDescent="0.3">
      <c r="A429" s="44" t="s">
        <v>1463</v>
      </c>
      <c r="B429" s="44" t="s">
        <v>18</v>
      </c>
      <c r="C429" s="44" t="s">
        <v>26</v>
      </c>
      <c r="D429" s="44" t="s">
        <v>394</v>
      </c>
      <c r="E429" s="44" t="s">
        <v>1381</v>
      </c>
      <c r="F429" s="44" t="s">
        <v>1462</v>
      </c>
      <c r="G429" s="44" t="s">
        <v>1116</v>
      </c>
      <c r="H429" s="44" t="s">
        <v>1117</v>
      </c>
      <c r="I429" s="44" t="s">
        <v>1106</v>
      </c>
      <c r="J429" s="44">
        <v>54</v>
      </c>
      <c r="K429" s="44" t="s">
        <v>1139</v>
      </c>
      <c r="L429" s="44"/>
      <c r="M429" s="44" t="s">
        <v>1109</v>
      </c>
      <c r="N429" s="45">
        <v>5024280260</v>
      </c>
      <c r="O429" s="46">
        <f t="shared" si="11"/>
        <v>5024.2802600000005</v>
      </c>
      <c r="P429" s="47">
        <f>KOHC!E102</f>
        <v>5024.2802600000005</v>
      </c>
      <c r="Q429" s="44" t="str">
        <f t="shared" si="12"/>
        <v>PASS</v>
      </c>
      <c r="R429" s="44" t="s">
        <v>1110</v>
      </c>
      <c r="S429" s="44"/>
    </row>
    <row r="430" spans="1:19" x14ac:dyDescent="0.3">
      <c r="A430" s="44" t="s">
        <v>1464</v>
      </c>
      <c r="B430" s="44" t="s">
        <v>18</v>
      </c>
      <c r="C430" s="44" t="s">
        <v>27</v>
      </c>
      <c r="D430" s="44" t="s">
        <v>394</v>
      </c>
      <c r="E430" s="44" t="s">
        <v>1381</v>
      </c>
      <c r="F430" s="44" t="s">
        <v>1462</v>
      </c>
      <c r="G430" s="44" t="s">
        <v>1119</v>
      </c>
      <c r="H430" s="44" t="s">
        <v>1120</v>
      </c>
      <c r="I430" s="44" t="s">
        <v>1106</v>
      </c>
      <c r="J430" s="44">
        <v>60</v>
      </c>
      <c r="K430" s="44" t="s">
        <v>1139</v>
      </c>
      <c r="L430" s="44"/>
      <c r="M430" s="44" t="s">
        <v>1109</v>
      </c>
      <c r="N430" s="45">
        <v>5820751145</v>
      </c>
      <c r="O430" s="46">
        <f t="shared" si="11"/>
        <v>5820.7511450000002</v>
      </c>
      <c r="P430" s="47">
        <f>KOHC!F102</f>
        <v>5820.7511450000002</v>
      </c>
      <c r="Q430" s="44" t="str">
        <f t="shared" si="12"/>
        <v>PASS</v>
      </c>
      <c r="R430" s="44" t="s">
        <v>1110</v>
      </c>
      <c r="S430" s="44"/>
    </row>
    <row r="431" spans="1:19" x14ac:dyDescent="0.3">
      <c r="A431" s="44" t="s">
        <v>1465</v>
      </c>
      <c r="B431" s="44" t="s">
        <v>18</v>
      </c>
      <c r="C431" s="44" t="s">
        <v>28</v>
      </c>
      <c r="D431" s="44" t="s">
        <v>394</v>
      </c>
      <c r="E431" s="44" t="s">
        <v>1381</v>
      </c>
      <c r="F431" s="44" t="s">
        <v>1462</v>
      </c>
      <c r="G431" s="44" t="s">
        <v>1123</v>
      </c>
      <c r="H431" s="44" t="s">
        <v>1124</v>
      </c>
      <c r="I431" s="44" t="s">
        <v>1106</v>
      </c>
      <c r="J431" s="44">
        <v>70</v>
      </c>
      <c r="K431" s="44" t="s">
        <v>1386</v>
      </c>
      <c r="L431" s="44"/>
      <c r="M431" s="44" t="s">
        <v>1109</v>
      </c>
      <c r="N431" s="45">
        <v>8893454787</v>
      </c>
      <c r="O431" s="46">
        <f t="shared" si="11"/>
        <v>8893.4547870000006</v>
      </c>
      <c r="P431" s="47">
        <f>KOHC!G102</f>
        <v>8893.4547870000006</v>
      </c>
      <c r="Q431" s="44" t="str">
        <f t="shared" si="12"/>
        <v>PASS</v>
      </c>
      <c r="R431" s="44" t="s">
        <v>1110</v>
      </c>
      <c r="S431" s="44"/>
    </row>
    <row r="432" spans="1:19" x14ac:dyDescent="0.3">
      <c r="A432" s="44" t="s">
        <v>1466</v>
      </c>
      <c r="B432" s="44" t="s">
        <v>18</v>
      </c>
      <c r="C432" s="44" t="s">
        <v>29</v>
      </c>
      <c r="D432" s="44" t="s">
        <v>394</v>
      </c>
      <c r="E432" s="44" t="s">
        <v>1381</v>
      </c>
      <c r="F432" s="44" t="s">
        <v>1462</v>
      </c>
      <c r="G432" s="44" t="s">
        <v>1123</v>
      </c>
      <c r="H432" s="44" t="s">
        <v>1124</v>
      </c>
      <c r="I432" s="44" t="s">
        <v>1127</v>
      </c>
      <c r="J432" s="44">
        <v>70</v>
      </c>
      <c r="K432" s="44" t="s">
        <v>1386</v>
      </c>
      <c r="L432" s="44"/>
      <c r="M432" s="44" t="s">
        <v>1109</v>
      </c>
      <c r="N432" s="45">
        <v>11575154071</v>
      </c>
      <c r="O432" s="46">
        <f t="shared" si="11"/>
        <v>11575.154071000001</v>
      </c>
      <c r="P432" s="47">
        <f>KOHC!H102</f>
        <v>11575.154071000001</v>
      </c>
      <c r="Q432" s="44" t="str">
        <f t="shared" si="12"/>
        <v>PASS</v>
      </c>
      <c r="R432" s="44" t="s">
        <v>1110</v>
      </c>
      <c r="S432" s="44"/>
    </row>
    <row r="433" spans="1:19" x14ac:dyDescent="0.3">
      <c r="A433" s="44" t="s">
        <v>1467</v>
      </c>
      <c r="B433" s="44" t="s">
        <v>18</v>
      </c>
      <c r="C433" s="44" t="s">
        <v>20</v>
      </c>
      <c r="D433" s="44" t="s">
        <v>398</v>
      </c>
      <c r="E433" s="44" t="s">
        <v>1130</v>
      </c>
      <c r="F433" s="44" t="s">
        <v>1468</v>
      </c>
      <c r="G433" s="44" t="s">
        <v>1112</v>
      </c>
      <c r="H433" s="44" t="s">
        <v>1113</v>
      </c>
      <c r="I433" s="44" t="s">
        <v>1106</v>
      </c>
      <c r="J433" s="44">
        <v>94</v>
      </c>
      <c r="K433" s="44" t="s">
        <v>1469</v>
      </c>
      <c r="L433" s="44"/>
      <c r="M433" s="44" t="s">
        <v>1109</v>
      </c>
      <c r="N433" s="45">
        <v>26751082</v>
      </c>
      <c r="O433" s="46">
        <f t="shared" si="11"/>
        <v>26.751082</v>
      </c>
      <c r="P433" s="47">
        <f>KOHC!D105</f>
        <v>26.751082</v>
      </c>
      <c r="Q433" s="44" t="str">
        <f t="shared" si="12"/>
        <v>PASS</v>
      </c>
      <c r="R433" s="44" t="s">
        <v>1110</v>
      </c>
      <c r="S433" s="44"/>
    </row>
    <row r="434" spans="1:19" x14ac:dyDescent="0.3">
      <c r="A434" s="44" t="s">
        <v>1470</v>
      </c>
      <c r="B434" s="44" t="s">
        <v>18</v>
      </c>
      <c r="C434" s="44" t="s">
        <v>26</v>
      </c>
      <c r="D434" s="44" t="s">
        <v>398</v>
      </c>
      <c r="E434" s="44" t="s">
        <v>1130</v>
      </c>
      <c r="F434" s="44" t="s">
        <v>1468</v>
      </c>
      <c r="G434" s="44" t="s">
        <v>1116</v>
      </c>
      <c r="H434" s="44" t="s">
        <v>1117</v>
      </c>
      <c r="I434" s="44" t="s">
        <v>1106</v>
      </c>
      <c r="J434" s="44">
        <v>92</v>
      </c>
      <c r="K434" s="44" t="s">
        <v>1471</v>
      </c>
      <c r="L434" s="44"/>
      <c r="M434" s="44" t="s">
        <v>1109</v>
      </c>
      <c r="N434" s="45">
        <v>22374466</v>
      </c>
      <c r="O434" s="46">
        <f t="shared" si="11"/>
        <v>22.374466000000002</v>
      </c>
      <c r="P434" s="47">
        <f>KOHC!E105</f>
        <v>22.374466000000002</v>
      </c>
      <c r="Q434" s="44" t="str">
        <f t="shared" si="12"/>
        <v>PASS</v>
      </c>
      <c r="R434" s="44" t="s">
        <v>1110</v>
      </c>
      <c r="S434" s="44"/>
    </row>
    <row r="435" spans="1:19" x14ac:dyDescent="0.3">
      <c r="A435" s="44" t="s">
        <v>1472</v>
      </c>
      <c r="B435" s="44" t="s">
        <v>18</v>
      </c>
      <c r="C435" s="44" t="s">
        <v>27</v>
      </c>
      <c r="D435" s="44" t="s">
        <v>398</v>
      </c>
      <c r="E435" s="44" t="s">
        <v>1130</v>
      </c>
      <c r="F435" s="44" t="s">
        <v>1468</v>
      </c>
      <c r="G435" s="44" t="s">
        <v>1119</v>
      </c>
      <c r="H435" s="44" t="s">
        <v>1120</v>
      </c>
      <c r="I435" s="44" t="s">
        <v>1106</v>
      </c>
      <c r="J435" s="44">
        <v>100</v>
      </c>
      <c r="K435" s="44" t="s">
        <v>1473</v>
      </c>
      <c r="L435" s="44"/>
      <c r="M435" s="44" t="s">
        <v>1109</v>
      </c>
      <c r="N435" s="45">
        <v>56744443</v>
      </c>
      <c r="O435" s="46">
        <f t="shared" si="11"/>
        <v>56.744442999999997</v>
      </c>
      <c r="P435" s="47">
        <f>KOHC!F105</f>
        <v>56.744442999999997</v>
      </c>
      <c r="Q435" s="44" t="str">
        <f t="shared" si="12"/>
        <v>PASS</v>
      </c>
      <c r="R435" s="44" t="s">
        <v>1110</v>
      </c>
      <c r="S435" s="44"/>
    </row>
    <row r="436" spans="1:19" x14ac:dyDescent="0.3">
      <c r="A436" s="44" t="s">
        <v>1474</v>
      </c>
      <c r="B436" s="44" t="s">
        <v>18</v>
      </c>
      <c r="C436" s="44" t="s">
        <v>28</v>
      </c>
      <c r="D436" s="44" t="s">
        <v>398</v>
      </c>
      <c r="E436" s="44" t="s">
        <v>1130</v>
      </c>
      <c r="F436" s="44" t="s">
        <v>1468</v>
      </c>
      <c r="G436" s="44" t="s">
        <v>1123</v>
      </c>
      <c r="H436" s="44" t="s">
        <v>1124</v>
      </c>
      <c r="I436" s="44" t="s">
        <v>1106</v>
      </c>
      <c r="J436" s="44">
        <v>108</v>
      </c>
      <c r="K436" s="44" t="s">
        <v>1475</v>
      </c>
      <c r="L436" s="44"/>
      <c r="M436" s="44" t="s">
        <v>1109</v>
      </c>
      <c r="N436" s="45">
        <v>31196710</v>
      </c>
      <c r="O436" s="46">
        <f t="shared" si="11"/>
        <v>31.196709999999999</v>
      </c>
      <c r="P436" s="47">
        <f>KOHC!G105</f>
        <v>31.196709999999999</v>
      </c>
      <c r="Q436" s="44" t="str">
        <f t="shared" si="12"/>
        <v>PASS</v>
      </c>
      <c r="R436" s="44" t="s">
        <v>1110</v>
      </c>
      <c r="S436" s="44"/>
    </row>
    <row r="437" spans="1:19" x14ac:dyDescent="0.3">
      <c r="A437" s="44" t="s">
        <v>1476</v>
      </c>
      <c r="B437" s="44" t="s">
        <v>18</v>
      </c>
      <c r="C437" s="44" t="s">
        <v>29</v>
      </c>
      <c r="D437" s="44" t="s">
        <v>398</v>
      </c>
      <c r="E437" s="44" t="s">
        <v>1130</v>
      </c>
      <c r="F437" s="44" t="s">
        <v>1468</v>
      </c>
      <c r="G437" s="44" t="s">
        <v>1123</v>
      </c>
      <c r="H437" s="44" t="s">
        <v>1124</v>
      </c>
      <c r="I437" s="44" t="s">
        <v>1127</v>
      </c>
      <c r="J437" s="44">
        <v>108</v>
      </c>
      <c r="K437" s="44" t="s">
        <v>1475</v>
      </c>
      <c r="L437" s="44"/>
      <c r="M437" s="44" t="s">
        <v>1109</v>
      </c>
      <c r="N437" s="45">
        <v>43699977</v>
      </c>
      <c r="O437" s="46">
        <f t="shared" si="11"/>
        <v>43.699976999999997</v>
      </c>
      <c r="P437" s="47">
        <f>KOHC!H105</f>
        <v>43.699976999999997</v>
      </c>
      <c r="Q437" s="44" t="str">
        <f t="shared" si="12"/>
        <v>PASS</v>
      </c>
      <c r="R437" s="44" t="s">
        <v>1110</v>
      </c>
      <c r="S437" s="44"/>
    </row>
    <row r="438" spans="1:19" x14ac:dyDescent="0.3">
      <c r="A438" s="44" t="s">
        <v>1477</v>
      </c>
      <c r="B438" s="44" t="s">
        <v>18</v>
      </c>
      <c r="C438" s="44" t="s">
        <v>20</v>
      </c>
      <c r="D438" s="44" t="s">
        <v>402</v>
      </c>
      <c r="E438" s="44" t="s">
        <v>1478</v>
      </c>
      <c r="F438" s="44" t="s">
        <v>1479</v>
      </c>
      <c r="G438" s="44" t="s">
        <v>1112</v>
      </c>
      <c r="H438" s="44" t="s">
        <v>1113</v>
      </c>
      <c r="I438" s="44" t="s">
        <v>1106</v>
      </c>
      <c r="J438" s="44">
        <v>95</v>
      </c>
      <c r="K438" s="44" t="s">
        <v>1107</v>
      </c>
      <c r="L438" s="44"/>
      <c r="M438" s="44" t="s">
        <v>1109</v>
      </c>
      <c r="N438" s="45">
        <v>1230692701</v>
      </c>
      <c r="O438" s="46">
        <f t="shared" si="11"/>
        <v>1230.6927009999999</v>
      </c>
      <c r="P438" s="47">
        <f>KOHC!D107</f>
        <v>1230.6927009999999</v>
      </c>
      <c r="Q438" s="44" t="str">
        <f t="shared" si="12"/>
        <v>PASS</v>
      </c>
      <c r="R438" s="44" t="s">
        <v>1110</v>
      </c>
      <c r="S438" s="44"/>
    </row>
    <row r="439" spans="1:19" x14ac:dyDescent="0.3">
      <c r="A439" s="44" t="s">
        <v>1480</v>
      </c>
      <c r="B439" s="44" t="s">
        <v>18</v>
      </c>
      <c r="C439" s="44" t="s">
        <v>26</v>
      </c>
      <c r="D439" s="44" t="s">
        <v>402</v>
      </c>
      <c r="E439" s="44" t="s">
        <v>1478</v>
      </c>
      <c r="F439" s="44" t="s">
        <v>1479</v>
      </c>
      <c r="G439" s="44" t="s">
        <v>1116</v>
      </c>
      <c r="H439" s="44" t="s">
        <v>1117</v>
      </c>
      <c r="I439" s="44" t="s">
        <v>1106</v>
      </c>
      <c r="J439" s="44">
        <v>93</v>
      </c>
      <c r="K439" s="44" t="s">
        <v>1107</v>
      </c>
      <c r="L439" s="44"/>
      <c r="M439" s="44" t="s">
        <v>1109</v>
      </c>
      <c r="N439" s="45">
        <v>1118109816</v>
      </c>
      <c r="O439" s="46">
        <f t="shared" si="11"/>
        <v>1118.1098159999999</v>
      </c>
      <c r="P439" s="47">
        <f>KOHC!E107</f>
        <v>1118.1098159999999</v>
      </c>
      <c r="Q439" s="44" t="str">
        <f t="shared" si="12"/>
        <v>PASS</v>
      </c>
      <c r="R439" s="44" t="s">
        <v>1110</v>
      </c>
      <c r="S439" s="44"/>
    </row>
    <row r="440" spans="1:19" x14ac:dyDescent="0.3">
      <c r="A440" s="44" t="s">
        <v>1481</v>
      </c>
      <c r="B440" s="44" t="s">
        <v>18</v>
      </c>
      <c r="C440" s="44" t="s">
        <v>27</v>
      </c>
      <c r="D440" s="44" t="s">
        <v>402</v>
      </c>
      <c r="E440" s="44" t="s">
        <v>1478</v>
      </c>
      <c r="F440" s="44" t="s">
        <v>1479</v>
      </c>
      <c r="G440" s="44" t="s">
        <v>1119</v>
      </c>
      <c r="H440" s="44" t="s">
        <v>1120</v>
      </c>
      <c r="I440" s="44" t="s">
        <v>1106</v>
      </c>
      <c r="J440" s="44">
        <v>102</v>
      </c>
      <c r="K440" s="44" t="s">
        <v>1482</v>
      </c>
      <c r="L440" s="44"/>
      <c r="M440" s="44" t="s">
        <v>1109</v>
      </c>
      <c r="N440" s="45">
        <v>1116013390</v>
      </c>
      <c r="O440" s="46">
        <f t="shared" si="11"/>
        <v>1116.0133900000001</v>
      </c>
      <c r="P440" s="47">
        <f>KOHC!F107</f>
        <v>1116.0133900000001</v>
      </c>
      <c r="Q440" s="44" t="str">
        <f t="shared" si="12"/>
        <v>PASS</v>
      </c>
      <c r="R440" s="44" t="s">
        <v>1110</v>
      </c>
      <c r="S440" s="44"/>
    </row>
    <row r="441" spans="1:19" x14ac:dyDescent="0.3">
      <c r="A441" s="44" t="s">
        <v>1483</v>
      </c>
      <c r="B441" s="44" t="s">
        <v>18</v>
      </c>
      <c r="C441" s="44" t="s">
        <v>28</v>
      </c>
      <c r="D441" s="44" t="s">
        <v>402</v>
      </c>
      <c r="E441" s="44" t="s">
        <v>1478</v>
      </c>
      <c r="F441" s="44" t="s">
        <v>1479</v>
      </c>
      <c r="G441" s="44" t="s">
        <v>1123</v>
      </c>
      <c r="H441" s="44" t="s">
        <v>1124</v>
      </c>
      <c r="I441" s="44" t="s">
        <v>1106</v>
      </c>
      <c r="J441" s="44">
        <v>110</v>
      </c>
      <c r="K441" s="44" t="s">
        <v>1484</v>
      </c>
      <c r="L441" s="44"/>
      <c r="M441" s="44" t="s">
        <v>1109</v>
      </c>
      <c r="N441" s="45">
        <v>1182787174</v>
      </c>
      <c r="O441" s="46">
        <f t="shared" si="11"/>
        <v>1182.7871740000001</v>
      </c>
      <c r="P441" s="47">
        <f>KOHC!G107</f>
        <v>1182.7871740000001</v>
      </c>
      <c r="Q441" s="44" t="str">
        <f t="shared" si="12"/>
        <v>PASS</v>
      </c>
      <c r="R441" s="44" t="s">
        <v>1110</v>
      </c>
      <c r="S441" s="44"/>
    </row>
    <row r="442" spans="1:19" x14ac:dyDescent="0.3">
      <c r="A442" s="44" t="s">
        <v>1485</v>
      </c>
      <c r="B442" s="44" t="s">
        <v>18</v>
      </c>
      <c r="C442" s="44" t="s">
        <v>29</v>
      </c>
      <c r="D442" s="44" t="s">
        <v>402</v>
      </c>
      <c r="E442" s="44" t="s">
        <v>1478</v>
      </c>
      <c r="F442" s="44" t="s">
        <v>1479</v>
      </c>
      <c r="G442" s="44" t="s">
        <v>1123</v>
      </c>
      <c r="H442" s="44" t="s">
        <v>1124</v>
      </c>
      <c r="I442" s="44" t="s">
        <v>1127</v>
      </c>
      <c r="J442" s="44">
        <v>110</v>
      </c>
      <c r="K442" s="44" t="s">
        <v>1484</v>
      </c>
      <c r="L442" s="44"/>
      <c r="M442" s="44" t="s">
        <v>1109</v>
      </c>
      <c r="N442" s="45">
        <v>1264994747</v>
      </c>
      <c r="O442" s="46">
        <f t="shared" si="11"/>
        <v>1264.994747</v>
      </c>
      <c r="P442" s="47">
        <f>KOHC!H107</f>
        <v>1264.994747</v>
      </c>
      <c r="Q442" s="44" t="str">
        <f t="shared" si="12"/>
        <v>PASS</v>
      </c>
      <c r="R442" s="44" t="s">
        <v>1110</v>
      </c>
      <c r="S442" s="44"/>
    </row>
    <row r="443" spans="1:19" x14ac:dyDescent="0.3">
      <c r="A443" s="44" t="s">
        <v>1486</v>
      </c>
      <c r="B443" s="44" t="s">
        <v>18</v>
      </c>
      <c r="C443" s="44" t="s">
        <v>20</v>
      </c>
      <c r="D443" s="44" t="s">
        <v>418</v>
      </c>
      <c r="E443" s="44" t="s">
        <v>1478</v>
      </c>
      <c r="F443" s="44" t="s">
        <v>1487</v>
      </c>
      <c r="G443" s="44" t="s">
        <v>1112</v>
      </c>
      <c r="H443" s="44" t="s">
        <v>1113</v>
      </c>
      <c r="I443" s="44" t="s">
        <v>1106</v>
      </c>
      <c r="J443" s="44">
        <v>57</v>
      </c>
      <c r="K443" s="44" t="s">
        <v>1139</v>
      </c>
      <c r="L443" s="44"/>
      <c r="M443" s="44" t="s">
        <v>1109</v>
      </c>
      <c r="N443" s="45">
        <v>6012030743</v>
      </c>
      <c r="O443" s="46">
        <f t="shared" si="11"/>
        <v>6012.0307430000003</v>
      </c>
      <c r="P443" s="47">
        <f>KOHC!D116</f>
        <v>6012.0307430000003</v>
      </c>
      <c r="Q443" s="44" t="str">
        <f t="shared" si="12"/>
        <v>PASS</v>
      </c>
      <c r="R443" s="44" t="s">
        <v>1110</v>
      </c>
      <c r="S443" s="44"/>
    </row>
    <row r="444" spans="1:19" x14ac:dyDescent="0.3">
      <c r="A444" s="44" t="s">
        <v>1488</v>
      </c>
      <c r="B444" s="44" t="s">
        <v>18</v>
      </c>
      <c r="C444" s="44" t="s">
        <v>26</v>
      </c>
      <c r="D444" s="44" t="s">
        <v>418</v>
      </c>
      <c r="E444" s="44" t="s">
        <v>1478</v>
      </c>
      <c r="F444" s="44" t="s">
        <v>1487</v>
      </c>
      <c r="G444" s="44" t="s">
        <v>1116</v>
      </c>
      <c r="H444" s="44" t="s">
        <v>1117</v>
      </c>
      <c r="I444" s="44" t="s">
        <v>1106</v>
      </c>
      <c r="J444" s="44">
        <v>57</v>
      </c>
      <c r="K444" s="44" t="s">
        <v>1139</v>
      </c>
      <c r="L444" s="44"/>
      <c r="M444" s="44" t="s">
        <v>1109</v>
      </c>
      <c r="N444" s="45">
        <v>9429252992</v>
      </c>
      <c r="O444" s="46">
        <f t="shared" si="11"/>
        <v>9429.2529919999997</v>
      </c>
      <c r="P444" s="47">
        <f>KOHC!E116</f>
        <v>9429.2529919999997</v>
      </c>
      <c r="Q444" s="44" t="str">
        <f t="shared" si="12"/>
        <v>PASS</v>
      </c>
      <c r="R444" s="44" t="s">
        <v>1110</v>
      </c>
      <c r="S444" s="44"/>
    </row>
    <row r="445" spans="1:19" x14ac:dyDescent="0.3">
      <c r="A445" s="44" t="s">
        <v>1489</v>
      </c>
      <c r="B445" s="44" t="s">
        <v>18</v>
      </c>
      <c r="C445" s="44" t="s">
        <v>27</v>
      </c>
      <c r="D445" s="44" t="s">
        <v>418</v>
      </c>
      <c r="E445" s="44" t="s">
        <v>1478</v>
      </c>
      <c r="F445" s="44" t="s">
        <v>1487</v>
      </c>
      <c r="G445" s="44" t="s">
        <v>1119</v>
      </c>
      <c r="H445" s="44" t="s">
        <v>1120</v>
      </c>
      <c r="I445" s="44" t="s">
        <v>1106</v>
      </c>
      <c r="J445" s="44">
        <v>63</v>
      </c>
      <c r="K445" s="44" t="s">
        <v>1139</v>
      </c>
      <c r="L445" s="44"/>
      <c r="M445" s="44" t="s">
        <v>1109</v>
      </c>
      <c r="N445" s="45">
        <v>7862593209</v>
      </c>
      <c r="O445" s="46">
        <f t="shared" si="11"/>
        <v>7862.5932089999997</v>
      </c>
      <c r="P445" s="47">
        <f>KOHC!F116</f>
        <v>7862.5932089999997</v>
      </c>
      <c r="Q445" s="44" t="str">
        <f t="shared" si="12"/>
        <v>PASS</v>
      </c>
      <c r="R445" s="44" t="s">
        <v>1110</v>
      </c>
      <c r="S445" s="44" t="s">
        <v>1114</v>
      </c>
    </row>
    <row r="446" spans="1:19" x14ac:dyDescent="0.3">
      <c r="A446" s="44" t="s">
        <v>1490</v>
      </c>
      <c r="B446" s="44" t="s">
        <v>18</v>
      </c>
      <c r="C446" s="44" t="s">
        <v>28</v>
      </c>
      <c r="D446" s="44" t="s">
        <v>418</v>
      </c>
      <c r="E446" s="44" t="s">
        <v>1478</v>
      </c>
      <c r="F446" s="44" t="s">
        <v>1487</v>
      </c>
      <c r="G446" s="44" t="s">
        <v>1123</v>
      </c>
      <c r="H446" s="44" t="s">
        <v>1124</v>
      </c>
      <c r="I446" s="44" t="s">
        <v>1106</v>
      </c>
      <c r="J446" s="44">
        <v>73</v>
      </c>
      <c r="K446" s="44" t="s">
        <v>1107</v>
      </c>
      <c r="L446" s="44"/>
      <c r="M446" s="44" t="s">
        <v>1109</v>
      </c>
      <c r="N446" s="45">
        <v>11482975487</v>
      </c>
      <c r="O446" s="46">
        <f t="shared" si="11"/>
        <v>11482.975487</v>
      </c>
      <c r="P446" s="47">
        <f>KOHC!G116</f>
        <v>11482.975487</v>
      </c>
      <c r="Q446" s="44" t="str">
        <f t="shared" si="12"/>
        <v>PASS</v>
      </c>
      <c r="R446" s="44" t="s">
        <v>1110</v>
      </c>
      <c r="S446" s="44" t="s">
        <v>1114</v>
      </c>
    </row>
    <row r="447" spans="1:19" x14ac:dyDescent="0.3">
      <c r="A447" s="44" t="s">
        <v>1491</v>
      </c>
      <c r="B447" s="44" t="s">
        <v>18</v>
      </c>
      <c r="C447" s="44" t="s">
        <v>29</v>
      </c>
      <c r="D447" s="44" t="s">
        <v>418</v>
      </c>
      <c r="E447" s="44" t="s">
        <v>1478</v>
      </c>
      <c r="F447" s="44" t="s">
        <v>1487</v>
      </c>
      <c r="G447" s="44" t="s">
        <v>1123</v>
      </c>
      <c r="H447" s="44" t="s">
        <v>1124</v>
      </c>
      <c r="I447" s="44" t="s">
        <v>1127</v>
      </c>
      <c r="J447" s="44">
        <v>73</v>
      </c>
      <c r="K447" s="44" t="s">
        <v>1107</v>
      </c>
      <c r="L447" s="44"/>
      <c r="M447" s="44" t="s">
        <v>1109</v>
      </c>
      <c r="N447" s="45">
        <v>16574725509</v>
      </c>
      <c r="O447" s="46">
        <f t="shared" si="11"/>
        <v>16574.725509</v>
      </c>
      <c r="P447" s="47">
        <f>KOHC!H116</f>
        <v>16574.725509</v>
      </c>
      <c r="Q447" s="44" t="str">
        <f t="shared" si="12"/>
        <v>PASS</v>
      </c>
      <c r="R447" s="44" t="s">
        <v>1110</v>
      </c>
      <c r="S447" s="44"/>
    </row>
    <row r="448" spans="1:19" x14ac:dyDescent="0.3">
      <c r="A448" s="44" t="s">
        <v>1492</v>
      </c>
      <c r="B448" s="44" t="s">
        <v>18</v>
      </c>
      <c r="C448" s="44" t="s">
        <v>20</v>
      </c>
      <c r="D448" s="44" t="s">
        <v>420</v>
      </c>
      <c r="E448" s="44" t="s">
        <v>1478</v>
      </c>
      <c r="F448" s="44" t="s">
        <v>1493</v>
      </c>
      <c r="G448" s="44" t="s">
        <v>1112</v>
      </c>
      <c r="H448" s="44" t="s">
        <v>1113</v>
      </c>
      <c r="I448" s="44" t="s">
        <v>1106</v>
      </c>
      <c r="J448" s="44">
        <v>57</v>
      </c>
      <c r="K448" s="44" t="s">
        <v>1139</v>
      </c>
      <c r="L448" s="44"/>
      <c r="M448" s="44" t="s">
        <v>1109</v>
      </c>
      <c r="N448" s="45">
        <v>5089315864</v>
      </c>
      <c r="O448" s="46">
        <f t="shared" si="11"/>
        <v>5089.3158640000001</v>
      </c>
      <c r="P448" s="47">
        <f>KOHC!D117</f>
        <v>5089.3158640000001</v>
      </c>
      <c r="Q448" s="44" t="str">
        <f t="shared" si="12"/>
        <v>PASS</v>
      </c>
      <c r="R448" s="44" t="s">
        <v>1110</v>
      </c>
      <c r="S448" s="44"/>
    </row>
    <row r="449" spans="1:19" x14ac:dyDescent="0.3">
      <c r="A449" s="44" t="s">
        <v>1494</v>
      </c>
      <c r="B449" s="44" t="s">
        <v>18</v>
      </c>
      <c r="C449" s="44" t="s">
        <v>26</v>
      </c>
      <c r="D449" s="44" t="s">
        <v>420</v>
      </c>
      <c r="E449" s="44" t="s">
        <v>1478</v>
      </c>
      <c r="F449" s="44" t="s">
        <v>1493</v>
      </c>
      <c r="G449" s="44" t="s">
        <v>1116</v>
      </c>
      <c r="H449" s="44" t="s">
        <v>1117</v>
      </c>
      <c r="I449" s="44" t="s">
        <v>1106</v>
      </c>
      <c r="J449" s="44">
        <v>57</v>
      </c>
      <c r="K449" s="44" t="s">
        <v>1139</v>
      </c>
      <c r="L449" s="44"/>
      <c r="M449" s="44" t="s">
        <v>1109</v>
      </c>
      <c r="N449" s="45">
        <v>8181357890</v>
      </c>
      <c r="O449" s="46">
        <f t="shared" si="11"/>
        <v>8181.3578900000002</v>
      </c>
      <c r="P449" s="47">
        <f>KOHC!E117</f>
        <v>8181.3578900000002</v>
      </c>
      <c r="Q449" s="44" t="str">
        <f t="shared" si="12"/>
        <v>PASS</v>
      </c>
      <c r="R449" s="44" t="s">
        <v>1110</v>
      </c>
      <c r="S449" s="44"/>
    </row>
    <row r="450" spans="1:19" x14ac:dyDescent="0.3">
      <c r="A450" s="44" t="s">
        <v>1495</v>
      </c>
      <c r="B450" s="44" t="s">
        <v>18</v>
      </c>
      <c r="C450" s="44" t="s">
        <v>27</v>
      </c>
      <c r="D450" s="44" t="s">
        <v>420</v>
      </c>
      <c r="E450" s="44" t="s">
        <v>1478</v>
      </c>
      <c r="F450" s="44" t="s">
        <v>1493</v>
      </c>
      <c r="G450" s="44" t="s">
        <v>1119</v>
      </c>
      <c r="H450" s="44" t="s">
        <v>1120</v>
      </c>
      <c r="I450" s="44" t="s">
        <v>1106</v>
      </c>
      <c r="J450" s="44">
        <v>63</v>
      </c>
      <c r="K450" s="44" t="s">
        <v>1139</v>
      </c>
      <c r="L450" s="44"/>
      <c r="M450" s="44" t="s">
        <v>1109</v>
      </c>
      <c r="N450" s="45">
        <v>4452081761</v>
      </c>
      <c r="O450" s="46">
        <f t="shared" si="11"/>
        <v>4452.0817610000004</v>
      </c>
      <c r="P450" s="47">
        <f>KOHC!F117</f>
        <v>4452.0817610000004</v>
      </c>
      <c r="Q450" s="44" t="str">
        <f t="shared" si="12"/>
        <v>PASS</v>
      </c>
      <c r="R450" s="44" t="s">
        <v>1110</v>
      </c>
      <c r="S450" s="44" t="s">
        <v>1114</v>
      </c>
    </row>
    <row r="451" spans="1:19" x14ac:dyDescent="0.3">
      <c r="A451" s="44" t="s">
        <v>1496</v>
      </c>
      <c r="B451" s="44" t="s">
        <v>18</v>
      </c>
      <c r="C451" s="44" t="s">
        <v>28</v>
      </c>
      <c r="D451" s="44" t="s">
        <v>420</v>
      </c>
      <c r="E451" s="44" t="s">
        <v>1478</v>
      </c>
      <c r="F451" s="44" t="s">
        <v>1493</v>
      </c>
      <c r="G451" s="44" t="s">
        <v>1123</v>
      </c>
      <c r="H451" s="44" t="s">
        <v>1124</v>
      </c>
      <c r="I451" s="44" t="s">
        <v>1106</v>
      </c>
      <c r="J451" s="44">
        <v>73</v>
      </c>
      <c r="K451" s="44" t="s">
        <v>1107</v>
      </c>
      <c r="L451" s="44"/>
      <c r="M451" s="44" t="s">
        <v>1109</v>
      </c>
      <c r="N451" s="45">
        <v>6647173409</v>
      </c>
      <c r="O451" s="46">
        <f t="shared" si="11"/>
        <v>6647.173409</v>
      </c>
      <c r="P451" s="47">
        <f>KOHC!G117</f>
        <v>6647.173409</v>
      </c>
      <c r="Q451" s="44" t="str">
        <f t="shared" si="12"/>
        <v>PASS</v>
      </c>
      <c r="R451" s="44" t="s">
        <v>1110</v>
      </c>
      <c r="S451" s="44" t="s">
        <v>1114</v>
      </c>
    </row>
    <row r="452" spans="1:19" x14ac:dyDescent="0.3">
      <c r="A452" s="44" t="s">
        <v>1497</v>
      </c>
      <c r="B452" s="44" t="s">
        <v>18</v>
      </c>
      <c r="C452" s="44" t="s">
        <v>29</v>
      </c>
      <c r="D452" s="44" t="s">
        <v>420</v>
      </c>
      <c r="E452" s="44" t="s">
        <v>1478</v>
      </c>
      <c r="F452" s="44" t="s">
        <v>1493</v>
      </c>
      <c r="G452" s="44" t="s">
        <v>1123</v>
      </c>
      <c r="H452" s="44" t="s">
        <v>1124</v>
      </c>
      <c r="I452" s="44" t="s">
        <v>1127</v>
      </c>
      <c r="J452" s="44">
        <v>73</v>
      </c>
      <c r="K452" s="44" t="s">
        <v>1107</v>
      </c>
      <c r="L452" s="44"/>
      <c r="M452" s="44" t="s">
        <v>1109</v>
      </c>
      <c r="N452" s="45">
        <v>9378288538</v>
      </c>
      <c r="O452" s="46">
        <f t="shared" si="11"/>
        <v>9378.2885380000007</v>
      </c>
      <c r="P452" s="47">
        <f>KOHC!H117</f>
        <v>9378.2885380000007</v>
      </c>
      <c r="Q452" s="44" t="str">
        <f t="shared" si="12"/>
        <v>PASS</v>
      </c>
      <c r="R452" s="44" t="s">
        <v>1110</v>
      </c>
      <c r="S452" s="44"/>
    </row>
    <row r="453" spans="1:19" x14ac:dyDescent="0.3">
      <c r="A453" s="44" t="s">
        <v>1498</v>
      </c>
      <c r="B453" s="44" t="s">
        <v>18</v>
      </c>
      <c r="C453" s="44" t="s">
        <v>20</v>
      </c>
      <c r="D453" s="44" t="s">
        <v>422</v>
      </c>
      <c r="E453" s="44" t="s">
        <v>1478</v>
      </c>
      <c r="F453" s="44" t="s">
        <v>1499</v>
      </c>
      <c r="G453" s="44" t="s">
        <v>1112</v>
      </c>
      <c r="H453" s="44" t="s">
        <v>1113</v>
      </c>
      <c r="I453" s="44" t="s">
        <v>1106</v>
      </c>
      <c r="J453" s="44">
        <v>57</v>
      </c>
      <c r="K453" s="44" t="s">
        <v>1139</v>
      </c>
      <c r="L453" s="44"/>
      <c r="M453" s="44" t="s">
        <v>1109</v>
      </c>
      <c r="N453" s="45">
        <v>-599227218</v>
      </c>
      <c r="O453" s="46">
        <f t="shared" si="11"/>
        <v>-599.22721799999999</v>
      </c>
      <c r="P453" s="47">
        <f>KOHC!D118</f>
        <v>-599.22721799999999</v>
      </c>
      <c r="Q453" s="44" t="str">
        <f t="shared" si="12"/>
        <v>PASS</v>
      </c>
      <c r="R453" s="44" t="s">
        <v>1110</v>
      </c>
      <c r="S453" s="44"/>
    </row>
    <row r="454" spans="1:19" x14ac:dyDescent="0.3">
      <c r="A454" s="44" t="s">
        <v>1500</v>
      </c>
      <c r="B454" s="44" t="s">
        <v>18</v>
      </c>
      <c r="C454" s="44" t="s">
        <v>26</v>
      </c>
      <c r="D454" s="44" t="s">
        <v>422</v>
      </c>
      <c r="E454" s="44" t="s">
        <v>1478</v>
      </c>
      <c r="F454" s="44" t="s">
        <v>1499</v>
      </c>
      <c r="G454" s="44" t="s">
        <v>1116</v>
      </c>
      <c r="H454" s="44" t="s">
        <v>1117</v>
      </c>
      <c r="I454" s="44" t="s">
        <v>1106</v>
      </c>
      <c r="J454" s="44">
        <v>57</v>
      </c>
      <c r="K454" s="44" t="s">
        <v>1139</v>
      </c>
      <c r="L454" s="44"/>
      <c r="M454" s="44" t="s">
        <v>1109</v>
      </c>
      <c r="N454" s="45">
        <v>-514171817</v>
      </c>
      <c r="O454" s="46">
        <f t="shared" si="11"/>
        <v>-514.17181700000003</v>
      </c>
      <c r="P454" s="47">
        <f>KOHC!E118</f>
        <v>-514.17181700000003</v>
      </c>
      <c r="Q454" s="44" t="str">
        <f t="shared" si="12"/>
        <v>PASS</v>
      </c>
      <c r="R454" s="44" t="s">
        <v>1110</v>
      </c>
      <c r="S454" s="44"/>
    </row>
    <row r="455" spans="1:19" x14ac:dyDescent="0.3">
      <c r="A455" s="44" t="s">
        <v>1501</v>
      </c>
      <c r="B455" s="44" t="s">
        <v>18</v>
      </c>
      <c r="C455" s="44" t="s">
        <v>27</v>
      </c>
      <c r="D455" s="44" t="s">
        <v>422</v>
      </c>
      <c r="E455" s="44" t="s">
        <v>1478</v>
      </c>
      <c r="F455" s="44" t="s">
        <v>1499</v>
      </c>
      <c r="G455" s="44" t="s">
        <v>1119</v>
      </c>
      <c r="H455" s="44" t="s">
        <v>1120</v>
      </c>
      <c r="I455" s="44" t="s">
        <v>1106</v>
      </c>
      <c r="J455" s="44">
        <v>63</v>
      </c>
      <c r="K455" s="44" t="s">
        <v>1139</v>
      </c>
      <c r="L455" s="44"/>
      <c r="M455" s="44" t="s">
        <v>1109</v>
      </c>
      <c r="N455" s="45">
        <v>-685823997</v>
      </c>
      <c r="O455" s="46">
        <f t="shared" si="11"/>
        <v>-685.82399699999996</v>
      </c>
      <c r="P455" s="47">
        <f>KOHC!F118</f>
        <v>-685.82399699999996</v>
      </c>
      <c r="Q455" s="44" t="str">
        <f t="shared" si="12"/>
        <v>PASS</v>
      </c>
      <c r="R455" s="44" t="s">
        <v>1110</v>
      </c>
      <c r="S455" s="44"/>
    </row>
    <row r="456" spans="1:19" x14ac:dyDescent="0.3">
      <c r="A456" s="44" t="s">
        <v>1502</v>
      </c>
      <c r="B456" s="44" t="s">
        <v>18</v>
      </c>
      <c r="C456" s="44" t="s">
        <v>28</v>
      </c>
      <c r="D456" s="44" t="s">
        <v>422</v>
      </c>
      <c r="E456" s="44" t="s">
        <v>1478</v>
      </c>
      <c r="F456" s="44" t="s">
        <v>1499</v>
      </c>
      <c r="G456" s="44" t="s">
        <v>1123</v>
      </c>
      <c r="H456" s="44" t="s">
        <v>1124</v>
      </c>
      <c r="I456" s="44" t="s">
        <v>1106</v>
      </c>
      <c r="J456" s="44">
        <v>73</v>
      </c>
      <c r="K456" s="44" t="s">
        <v>1107</v>
      </c>
      <c r="L456" s="44"/>
      <c r="M456" s="44" t="s">
        <v>1109</v>
      </c>
      <c r="N456" s="45">
        <v>-731073634</v>
      </c>
      <c r="O456" s="46">
        <f t="shared" si="11"/>
        <v>-731.07363399999997</v>
      </c>
      <c r="P456" s="47">
        <f>KOHC!G118</f>
        <v>-731.07363399999997</v>
      </c>
      <c r="Q456" s="44" t="str">
        <f t="shared" si="12"/>
        <v>PASS</v>
      </c>
      <c r="R456" s="44" t="s">
        <v>1110</v>
      </c>
      <c r="S456" s="44"/>
    </row>
    <row r="457" spans="1:19" x14ac:dyDescent="0.3">
      <c r="A457" s="44" t="s">
        <v>1503</v>
      </c>
      <c r="B457" s="44" t="s">
        <v>18</v>
      </c>
      <c r="C457" s="44" t="s">
        <v>29</v>
      </c>
      <c r="D457" s="44" t="s">
        <v>422</v>
      </c>
      <c r="E457" s="44" t="s">
        <v>1478</v>
      </c>
      <c r="F457" s="44" t="s">
        <v>1499</v>
      </c>
      <c r="G457" s="44" t="s">
        <v>1123</v>
      </c>
      <c r="H457" s="44" t="s">
        <v>1124</v>
      </c>
      <c r="I457" s="44" t="s">
        <v>1127</v>
      </c>
      <c r="J457" s="44">
        <v>73</v>
      </c>
      <c r="K457" s="44" t="s">
        <v>1107</v>
      </c>
      <c r="L457" s="44"/>
      <c r="M457" s="44" t="s">
        <v>1109</v>
      </c>
      <c r="N457" s="45">
        <v>-391061821</v>
      </c>
      <c r="O457" s="46">
        <f t="shared" si="11"/>
        <v>-391.06182100000001</v>
      </c>
      <c r="P457" s="47">
        <f>KOHC!H118</f>
        <v>-391.06182100000001</v>
      </c>
      <c r="Q457" s="44" t="str">
        <f t="shared" si="12"/>
        <v>PASS</v>
      </c>
      <c r="R457" s="44" t="s">
        <v>1110</v>
      </c>
      <c r="S457" s="44"/>
    </row>
    <row r="458" spans="1:19" x14ac:dyDescent="0.3">
      <c r="A458" s="44" t="s">
        <v>1504</v>
      </c>
      <c r="B458" s="44" t="s">
        <v>18</v>
      </c>
      <c r="C458" s="44" t="s">
        <v>20</v>
      </c>
      <c r="D458" s="44" t="s">
        <v>424</v>
      </c>
      <c r="E458" s="44" t="s">
        <v>1478</v>
      </c>
      <c r="F458" s="44" t="s">
        <v>1505</v>
      </c>
      <c r="G458" s="44" t="s">
        <v>1112</v>
      </c>
      <c r="H458" s="44" t="s">
        <v>1113</v>
      </c>
      <c r="I458" s="44" t="s">
        <v>1106</v>
      </c>
      <c r="J458" s="44">
        <v>57</v>
      </c>
      <c r="K458" s="44" t="s">
        <v>1139</v>
      </c>
      <c r="L458" s="44"/>
      <c r="M458" s="44" t="s">
        <v>427</v>
      </c>
      <c r="N458" s="44" t="s">
        <v>426</v>
      </c>
      <c r="O458" s="44" t="str">
        <f>N458</f>
        <v>Operating</v>
      </c>
      <c r="P458" s="44" t="str">
        <f>KOHC!D119</f>
        <v>Operating</v>
      </c>
      <c r="Q458" s="44" t="str">
        <f>IF(O458=P458,"PASS","FAIL")</f>
        <v>PASS</v>
      </c>
      <c r="R458" s="44" t="s">
        <v>1110</v>
      </c>
      <c r="S458" s="44"/>
    </row>
    <row r="459" spans="1:19" x14ac:dyDescent="0.3">
      <c r="A459" s="44" t="s">
        <v>1506</v>
      </c>
      <c r="B459" s="44" t="s">
        <v>18</v>
      </c>
      <c r="C459" s="44" t="s">
        <v>26</v>
      </c>
      <c r="D459" s="44" t="s">
        <v>424</v>
      </c>
      <c r="E459" s="44" t="s">
        <v>1478</v>
      </c>
      <c r="F459" s="44" t="s">
        <v>1505</v>
      </c>
      <c r="G459" s="44" t="s">
        <v>1116</v>
      </c>
      <c r="H459" s="44" t="s">
        <v>1117</v>
      </c>
      <c r="I459" s="44" t="s">
        <v>1106</v>
      </c>
      <c r="J459" s="44">
        <v>57</v>
      </c>
      <c r="K459" s="44" t="s">
        <v>1139</v>
      </c>
      <c r="L459" s="44"/>
      <c r="M459" s="44" t="s">
        <v>427</v>
      </c>
      <c r="N459" s="44" t="s">
        <v>426</v>
      </c>
      <c r="O459" s="44" t="str">
        <f>N459</f>
        <v>Operating</v>
      </c>
      <c r="P459" s="44" t="str">
        <f>KOHC!E119</f>
        <v>Operating</v>
      </c>
      <c r="Q459" s="44" t="str">
        <f>IF(O459=P459,"PASS","FAIL")</f>
        <v>PASS</v>
      </c>
      <c r="R459" s="44" t="s">
        <v>1110</v>
      </c>
      <c r="S459" s="44"/>
    </row>
    <row r="460" spans="1:19" x14ac:dyDescent="0.3">
      <c r="A460" s="44" t="s">
        <v>1507</v>
      </c>
      <c r="B460" s="44" t="s">
        <v>18</v>
      </c>
      <c r="C460" s="44" t="s">
        <v>27</v>
      </c>
      <c r="D460" s="44" t="s">
        <v>424</v>
      </c>
      <c r="E460" s="44" t="s">
        <v>1478</v>
      </c>
      <c r="F460" s="44" t="s">
        <v>1505</v>
      </c>
      <c r="G460" s="44" t="s">
        <v>1119</v>
      </c>
      <c r="H460" s="44" t="s">
        <v>1120</v>
      </c>
      <c r="I460" s="44" t="s">
        <v>1106</v>
      </c>
      <c r="J460" s="44">
        <v>63</v>
      </c>
      <c r="K460" s="44" t="s">
        <v>1139</v>
      </c>
      <c r="L460" s="44"/>
      <c r="M460" s="44" t="s">
        <v>427</v>
      </c>
      <c r="N460" s="44" t="s">
        <v>426</v>
      </c>
      <c r="O460" s="44" t="str">
        <f>N460</f>
        <v>Operating</v>
      </c>
      <c r="P460" s="44" t="str">
        <f>KOHC!F119</f>
        <v>Operating</v>
      </c>
      <c r="Q460" s="44" t="str">
        <f>IF(O460=P460,"PASS","FAIL")</f>
        <v>PASS</v>
      </c>
      <c r="R460" s="44" t="s">
        <v>1110</v>
      </c>
      <c r="S460" s="44"/>
    </row>
    <row r="461" spans="1:19" x14ac:dyDescent="0.3">
      <c r="A461" s="44" t="s">
        <v>1508</v>
      </c>
      <c r="B461" s="44" t="s">
        <v>18</v>
      </c>
      <c r="C461" s="44" t="s">
        <v>28</v>
      </c>
      <c r="D461" s="44" t="s">
        <v>424</v>
      </c>
      <c r="E461" s="44" t="s">
        <v>1478</v>
      </c>
      <c r="F461" s="44" t="s">
        <v>1505</v>
      </c>
      <c r="G461" s="44" t="s">
        <v>1123</v>
      </c>
      <c r="H461" s="44" t="s">
        <v>1124</v>
      </c>
      <c r="I461" s="44" t="s">
        <v>1106</v>
      </c>
      <c r="J461" s="44">
        <v>73</v>
      </c>
      <c r="K461" s="44" t="s">
        <v>1107</v>
      </c>
      <c r="L461" s="44"/>
      <c r="M461" s="44" t="s">
        <v>427</v>
      </c>
      <c r="N461" s="44" t="s">
        <v>426</v>
      </c>
      <c r="O461" s="44" t="str">
        <f>N461</f>
        <v>Operating</v>
      </c>
      <c r="P461" s="44" t="str">
        <f>KOHC!G119</f>
        <v>Operating</v>
      </c>
      <c r="Q461" s="44" t="str">
        <f>IF(O461=P461,"PASS","FAIL")</f>
        <v>PASS</v>
      </c>
      <c r="R461" s="44" t="s">
        <v>1110</v>
      </c>
      <c r="S461" s="44"/>
    </row>
    <row r="462" spans="1:19" x14ac:dyDescent="0.3">
      <c r="A462" s="44" t="s">
        <v>1509</v>
      </c>
      <c r="B462" s="44" t="s">
        <v>18</v>
      </c>
      <c r="C462" s="44" t="s">
        <v>29</v>
      </c>
      <c r="D462" s="44" t="s">
        <v>424</v>
      </c>
      <c r="E462" s="44" t="s">
        <v>1478</v>
      </c>
      <c r="F462" s="44" t="s">
        <v>1505</v>
      </c>
      <c r="G462" s="44" t="s">
        <v>1123</v>
      </c>
      <c r="H462" s="44" t="s">
        <v>1124</v>
      </c>
      <c r="I462" s="44" t="s">
        <v>1127</v>
      </c>
      <c r="J462" s="44">
        <v>73</v>
      </c>
      <c r="K462" s="44" t="s">
        <v>1107</v>
      </c>
      <c r="L462" s="44"/>
      <c r="M462" s="44" t="s">
        <v>427</v>
      </c>
      <c r="N462" s="44" t="s">
        <v>426</v>
      </c>
      <c r="O462" s="44" t="str">
        <f>N462</f>
        <v>Operating</v>
      </c>
      <c r="P462" s="44" t="str">
        <f>KOHC!H119</f>
        <v>Operating</v>
      </c>
      <c r="Q462" s="44" t="str">
        <f>IF(O462=P462,"PASS","FAIL")</f>
        <v>PASS</v>
      </c>
      <c r="R462" s="44" t="s">
        <v>1110</v>
      </c>
      <c r="S462" s="44"/>
    </row>
    <row r="463" spans="1:19" x14ac:dyDescent="0.3">
      <c r="A463" s="44" t="s">
        <v>1510</v>
      </c>
      <c r="B463" s="44" t="s">
        <v>18</v>
      </c>
      <c r="C463" s="44" t="s">
        <v>20</v>
      </c>
      <c r="D463" s="44" t="s">
        <v>430</v>
      </c>
      <c r="E463" s="44" t="s">
        <v>1478</v>
      </c>
      <c r="F463" s="44" t="s">
        <v>1511</v>
      </c>
      <c r="G463" s="44" t="s">
        <v>1112</v>
      </c>
      <c r="H463" s="44" t="s">
        <v>1113</v>
      </c>
      <c r="I463" s="44" t="s">
        <v>1106</v>
      </c>
      <c r="J463" s="44">
        <v>57</v>
      </c>
      <c r="K463" s="44" t="s">
        <v>1139</v>
      </c>
      <c r="L463" s="44"/>
      <c r="M463" s="44" t="s">
        <v>1109</v>
      </c>
      <c r="N463" s="45">
        <v>-610597045</v>
      </c>
      <c r="O463" s="46">
        <f t="shared" ref="O463:O482" si="13">N463/1000000</f>
        <v>-610.59704499999998</v>
      </c>
      <c r="P463" s="47">
        <f>KOHC!D121</f>
        <v>-610.59704499999998</v>
      </c>
      <c r="Q463" s="44" t="str">
        <f t="shared" ref="Q463:Q526" si="14">IF(ABS(O463-P463)&lt;0.000001,"PASS","FAIL")</f>
        <v>PASS</v>
      </c>
      <c r="R463" s="44" t="s">
        <v>1110</v>
      </c>
      <c r="S463" s="44"/>
    </row>
    <row r="464" spans="1:19" x14ac:dyDescent="0.3">
      <c r="A464" s="44" t="s">
        <v>1512</v>
      </c>
      <c r="B464" s="44" t="s">
        <v>18</v>
      </c>
      <c r="C464" s="44" t="s">
        <v>26</v>
      </c>
      <c r="D464" s="44" t="s">
        <v>430</v>
      </c>
      <c r="E464" s="44" t="s">
        <v>1478</v>
      </c>
      <c r="F464" s="44" t="s">
        <v>1511</v>
      </c>
      <c r="G464" s="44" t="s">
        <v>1116</v>
      </c>
      <c r="H464" s="44" t="s">
        <v>1117</v>
      </c>
      <c r="I464" s="44" t="s">
        <v>1106</v>
      </c>
      <c r="J464" s="44">
        <v>57</v>
      </c>
      <c r="K464" s="44" t="s">
        <v>1139</v>
      </c>
      <c r="L464" s="44"/>
      <c r="M464" s="44" t="s">
        <v>1109</v>
      </c>
      <c r="N464" s="45">
        <v>-461847370</v>
      </c>
      <c r="O464" s="46">
        <f t="shared" si="13"/>
        <v>-461.84737000000001</v>
      </c>
      <c r="P464" s="47">
        <f>KOHC!E121</f>
        <v>-461.84737000000001</v>
      </c>
      <c r="Q464" s="44" t="str">
        <f t="shared" si="14"/>
        <v>PASS</v>
      </c>
      <c r="R464" s="44" t="s">
        <v>1110</v>
      </c>
      <c r="S464" s="44"/>
    </row>
    <row r="465" spans="1:19" x14ac:dyDescent="0.3">
      <c r="A465" s="44" t="s">
        <v>1513</v>
      </c>
      <c r="B465" s="44" t="s">
        <v>18</v>
      </c>
      <c r="C465" s="44" t="s">
        <v>27</v>
      </c>
      <c r="D465" s="44" t="s">
        <v>430</v>
      </c>
      <c r="E465" s="44" t="s">
        <v>1478</v>
      </c>
      <c r="F465" s="44" t="s">
        <v>1511</v>
      </c>
      <c r="G465" s="44" t="s">
        <v>1119</v>
      </c>
      <c r="H465" s="44" t="s">
        <v>1120</v>
      </c>
      <c r="I465" s="44" t="s">
        <v>1106</v>
      </c>
      <c r="J465" s="44">
        <v>63</v>
      </c>
      <c r="K465" s="44" t="s">
        <v>1139</v>
      </c>
      <c r="L465" s="44"/>
      <c r="M465" s="44" t="s">
        <v>1109</v>
      </c>
      <c r="N465" s="45">
        <v>-2015897038</v>
      </c>
      <c r="O465" s="46">
        <f t="shared" si="13"/>
        <v>-2015.8970380000001</v>
      </c>
      <c r="P465" s="47">
        <f>KOHC!F121</f>
        <v>-2015.8970380000001</v>
      </c>
      <c r="Q465" s="44" t="str">
        <f t="shared" si="14"/>
        <v>PASS</v>
      </c>
      <c r="R465" s="44" t="s">
        <v>1110</v>
      </c>
      <c r="S465" s="44"/>
    </row>
    <row r="466" spans="1:19" x14ac:dyDescent="0.3">
      <c r="A466" s="44" t="s">
        <v>1514</v>
      </c>
      <c r="B466" s="44" t="s">
        <v>18</v>
      </c>
      <c r="C466" s="44" t="s">
        <v>28</v>
      </c>
      <c r="D466" s="44" t="s">
        <v>430</v>
      </c>
      <c r="E466" s="44" t="s">
        <v>1478</v>
      </c>
      <c r="F466" s="44" t="s">
        <v>1511</v>
      </c>
      <c r="G466" s="44" t="s">
        <v>1123</v>
      </c>
      <c r="H466" s="44" t="s">
        <v>1124</v>
      </c>
      <c r="I466" s="44" t="s">
        <v>1106</v>
      </c>
      <c r="J466" s="44">
        <v>73</v>
      </c>
      <c r="K466" s="44" t="s">
        <v>1107</v>
      </c>
      <c r="L466" s="44"/>
      <c r="M466" s="44" t="s">
        <v>1109</v>
      </c>
      <c r="N466" s="45">
        <v>-1107284933</v>
      </c>
      <c r="O466" s="46">
        <f t="shared" si="13"/>
        <v>-1107.2849329999999</v>
      </c>
      <c r="P466" s="47">
        <f>KOHC!G121</f>
        <v>-1107.2849329999999</v>
      </c>
      <c r="Q466" s="44" t="str">
        <f t="shared" si="14"/>
        <v>PASS</v>
      </c>
      <c r="R466" s="44" t="s">
        <v>1110</v>
      </c>
      <c r="S466" s="44" t="s">
        <v>1114</v>
      </c>
    </row>
    <row r="467" spans="1:19" x14ac:dyDescent="0.3">
      <c r="A467" s="44" t="s">
        <v>1515</v>
      </c>
      <c r="B467" s="44" t="s">
        <v>18</v>
      </c>
      <c r="C467" s="44" t="s">
        <v>29</v>
      </c>
      <c r="D467" s="44" t="s">
        <v>430</v>
      </c>
      <c r="E467" s="44" t="s">
        <v>1478</v>
      </c>
      <c r="F467" s="44" t="s">
        <v>1511</v>
      </c>
      <c r="G467" s="44" t="s">
        <v>1123</v>
      </c>
      <c r="H467" s="44" t="s">
        <v>1124</v>
      </c>
      <c r="I467" s="44" t="s">
        <v>1127</v>
      </c>
      <c r="J467" s="44">
        <v>73</v>
      </c>
      <c r="K467" s="44" t="s">
        <v>1107</v>
      </c>
      <c r="L467" s="44"/>
      <c r="M467" s="44" t="s">
        <v>1109</v>
      </c>
      <c r="N467" s="45">
        <v>-2398919336</v>
      </c>
      <c r="O467" s="46">
        <f t="shared" si="13"/>
        <v>-2398.9193359999999</v>
      </c>
      <c r="P467" s="47">
        <f>KOHC!H121</f>
        <v>-2398.9193359999999</v>
      </c>
      <c r="Q467" s="44" t="str">
        <f t="shared" si="14"/>
        <v>PASS</v>
      </c>
      <c r="R467" s="44" t="s">
        <v>1110</v>
      </c>
      <c r="S467" s="44"/>
    </row>
    <row r="468" spans="1:19" x14ac:dyDescent="0.3">
      <c r="A468" s="44" t="s">
        <v>1516</v>
      </c>
      <c r="B468" s="44" t="s">
        <v>18</v>
      </c>
      <c r="C468" s="44" t="s">
        <v>20</v>
      </c>
      <c r="D468" s="44" t="s">
        <v>432</v>
      </c>
      <c r="E468" s="44" t="s">
        <v>1478</v>
      </c>
      <c r="F468" s="44" t="s">
        <v>1517</v>
      </c>
      <c r="G468" s="44" t="s">
        <v>1112</v>
      </c>
      <c r="H468" s="44" t="s">
        <v>1113</v>
      </c>
      <c r="I468" s="44" t="s">
        <v>1106</v>
      </c>
      <c r="J468" s="44">
        <v>57</v>
      </c>
      <c r="K468" s="44" t="s">
        <v>1139</v>
      </c>
      <c r="L468" s="44"/>
      <c r="M468" s="44" t="s">
        <v>1109</v>
      </c>
      <c r="N468" s="45">
        <v>-3950178348</v>
      </c>
      <c r="O468" s="46">
        <f t="shared" si="13"/>
        <v>-3950.1783479999999</v>
      </c>
      <c r="P468" s="47">
        <f>KOHC!D122</f>
        <v>-3950.1783479999999</v>
      </c>
      <c r="Q468" s="44" t="str">
        <f t="shared" si="14"/>
        <v>PASS</v>
      </c>
      <c r="R468" s="44" t="s">
        <v>1110</v>
      </c>
      <c r="S468" s="44"/>
    </row>
    <row r="469" spans="1:19" x14ac:dyDescent="0.3">
      <c r="A469" s="44" t="s">
        <v>1518</v>
      </c>
      <c r="B469" s="44" t="s">
        <v>18</v>
      </c>
      <c r="C469" s="44" t="s">
        <v>26</v>
      </c>
      <c r="D469" s="44" t="s">
        <v>432</v>
      </c>
      <c r="E469" s="44" t="s">
        <v>1478</v>
      </c>
      <c r="F469" s="44" t="s">
        <v>1517</v>
      </c>
      <c r="G469" s="44" t="s">
        <v>1116</v>
      </c>
      <c r="H469" s="44" t="s">
        <v>1117</v>
      </c>
      <c r="I469" s="44" t="s">
        <v>1106</v>
      </c>
      <c r="J469" s="44">
        <v>57</v>
      </c>
      <c r="K469" s="44" t="s">
        <v>1139</v>
      </c>
      <c r="L469" s="44"/>
      <c r="M469" s="44" t="s">
        <v>1109</v>
      </c>
      <c r="N469" s="45">
        <v>-7092988516</v>
      </c>
      <c r="O469" s="46">
        <f t="shared" si="13"/>
        <v>-7092.9885160000003</v>
      </c>
      <c r="P469" s="47">
        <f>KOHC!E122</f>
        <v>-7092.9885160000003</v>
      </c>
      <c r="Q469" s="44" t="str">
        <f t="shared" si="14"/>
        <v>PASS</v>
      </c>
      <c r="R469" s="44" t="s">
        <v>1110</v>
      </c>
      <c r="S469" s="44"/>
    </row>
    <row r="470" spans="1:19" x14ac:dyDescent="0.3">
      <c r="A470" s="44" t="s">
        <v>1519</v>
      </c>
      <c r="B470" s="44" t="s">
        <v>18</v>
      </c>
      <c r="C470" s="44" t="s">
        <v>27</v>
      </c>
      <c r="D470" s="44" t="s">
        <v>432</v>
      </c>
      <c r="E470" s="44" t="s">
        <v>1478</v>
      </c>
      <c r="F470" s="44" t="s">
        <v>1517</v>
      </c>
      <c r="G470" s="44" t="s">
        <v>1119</v>
      </c>
      <c r="H470" s="44" t="s">
        <v>1120</v>
      </c>
      <c r="I470" s="44" t="s">
        <v>1106</v>
      </c>
      <c r="J470" s="44">
        <v>63</v>
      </c>
      <c r="K470" s="44" t="s">
        <v>1139</v>
      </c>
      <c r="L470" s="44"/>
      <c r="M470" s="44" t="s">
        <v>1109</v>
      </c>
      <c r="N470" s="45">
        <v>-2470515763</v>
      </c>
      <c r="O470" s="46">
        <f t="shared" si="13"/>
        <v>-2470.5157629999999</v>
      </c>
      <c r="P470" s="47">
        <f>KOHC!F122</f>
        <v>-2470.5157629999999</v>
      </c>
      <c r="Q470" s="44" t="str">
        <f t="shared" si="14"/>
        <v>PASS</v>
      </c>
      <c r="R470" s="44" t="s">
        <v>1110</v>
      </c>
      <c r="S470" s="44" t="s">
        <v>1114</v>
      </c>
    </row>
    <row r="471" spans="1:19" x14ac:dyDescent="0.3">
      <c r="A471" s="44" t="s">
        <v>1520</v>
      </c>
      <c r="B471" s="44" t="s">
        <v>18</v>
      </c>
      <c r="C471" s="44" t="s">
        <v>28</v>
      </c>
      <c r="D471" s="44" t="s">
        <v>432</v>
      </c>
      <c r="E471" s="44" t="s">
        <v>1478</v>
      </c>
      <c r="F471" s="44" t="s">
        <v>1517</v>
      </c>
      <c r="G471" s="44" t="s">
        <v>1123</v>
      </c>
      <c r="H471" s="44" t="s">
        <v>1124</v>
      </c>
      <c r="I471" s="44" t="s">
        <v>1106</v>
      </c>
      <c r="J471" s="44">
        <v>73</v>
      </c>
      <c r="K471" s="44" t="s">
        <v>1107</v>
      </c>
      <c r="L471" s="44"/>
      <c r="M471" s="44" t="s">
        <v>1109</v>
      </c>
      <c r="N471" s="45">
        <v>-5030324094</v>
      </c>
      <c r="O471" s="46">
        <f t="shared" si="13"/>
        <v>-5030.3240939999996</v>
      </c>
      <c r="P471" s="47">
        <f>KOHC!G122</f>
        <v>-5030.3240939999996</v>
      </c>
      <c r="Q471" s="44" t="str">
        <f t="shared" si="14"/>
        <v>PASS</v>
      </c>
      <c r="R471" s="44" t="s">
        <v>1110</v>
      </c>
      <c r="S471" s="44" t="s">
        <v>1114</v>
      </c>
    </row>
    <row r="472" spans="1:19" x14ac:dyDescent="0.3">
      <c r="A472" s="44" t="s">
        <v>1521</v>
      </c>
      <c r="B472" s="44" t="s">
        <v>18</v>
      </c>
      <c r="C472" s="44" t="s">
        <v>29</v>
      </c>
      <c r="D472" s="44" t="s">
        <v>432</v>
      </c>
      <c r="E472" s="44" t="s">
        <v>1478</v>
      </c>
      <c r="F472" s="44" t="s">
        <v>1517</v>
      </c>
      <c r="G472" s="44" t="s">
        <v>1123</v>
      </c>
      <c r="H472" s="44" t="s">
        <v>1124</v>
      </c>
      <c r="I472" s="44" t="s">
        <v>1127</v>
      </c>
      <c r="J472" s="44">
        <v>73</v>
      </c>
      <c r="K472" s="44" t="s">
        <v>1107</v>
      </c>
      <c r="L472" s="44"/>
      <c r="M472" s="44" t="s">
        <v>1109</v>
      </c>
      <c r="N472" s="45">
        <v>-4398595770</v>
      </c>
      <c r="O472" s="46">
        <f t="shared" si="13"/>
        <v>-4398.5957699999999</v>
      </c>
      <c r="P472" s="47">
        <f>KOHC!H122</f>
        <v>-4398.5957699999999</v>
      </c>
      <c r="Q472" s="44" t="str">
        <f t="shared" si="14"/>
        <v>PASS</v>
      </c>
      <c r="R472" s="44" t="s">
        <v>1110</v>
      </c>
      <c r="S472" s="44"/>
    </row>
    <row r="473" spans="1:19" x14ac:dyDescent="0.3">
      <c r="A473" s="44" t="s">
        <v>1522</v>
      </c>
      <c r="B473" s="44" t="s">
        <v>18</v>
      </c>
      <c r="C473" s="44" t="s">
        <v>20</v>
      </c>
      <c r="D473" s="44" t="s">
        <v>434</v>
      </c>
      <c r="E473" s="44" t="s">
        <v>1478</v>
      </c>
      <c r="F473" s="44" t="s">
        <v>1523</v>
      </c>
      <c r="G473" s="44" t="s">
        <v>1112</v>
      </c>
      <c r="H473" s="44" t="s">
        <v>1113</v>
      </c>
      <c r="I473" s="44" t="s">
        <v>1106</v>
      </c>
      <c r="J473" s="44">
        <v>57</v>
      </c>
      <c r="K473" s="44" t="s">
        <v>1139</v>
      </c>
      <c r="L473" s="44"/>
      <c r="M473" s="44" t="s">
        <v>1109</v>
      </c>
      <c r="N473" s="45">
        <v>-943014252</v>
      </c>
      <c r="O473" s="46">
        <f t="shared" si="13"/>
        <v>-943.01425200000006</v>
      </c>
      <c r="P473" s="47">
        <f>KOHC!D123</f>
        <v>-943.01425200000006</v>
      </c>
      <c r="Q473" s="44" t="str">
        <f t="shared" si="14"/>
        <v>PASS</v>
      </c>
      <c r="R473" s="44" t="s">
        <v>1110</v>
      </c>
      <c r="S473" s="44"/>
    </row>
    <row r="474" spans="1:19" x14ac:dyDescent="0.3">
      <c r="A474" s="44" t="s">
        <v>1524</v>
      </c>
      <c r="B474" s="44" t="s">
        <v>18</v>
      </c>
      <c r="C474" s="44" t="s">
        <v>26</v>
      </c>
      <c r="D474" s="44" t="s">
        <v>434</v>
      </c>
      <c r="E474" s="44" t="s">
        <v>1478</v>
      </c>
      <c r="F474" s="44" t="s">
        <v>1523</v>
      </c>
      <c r="G474" s="44" t="s">
        <v>1116</v>
      </c>
      <c r="H474" s="44" t="s">
        <v>1117</v>
      </c>
      <c r="I474" s="44" t="s">
        <v>1106</v>
      </c>
      <c r="J474" s="44">
        <v>57</v>
      </c>
      <c r="K474" s="44" t="s">
        <v>1139</v>
      </c>
      <c r="L474" s="44"/>
      <c r="M474" s="44" t="s">
        <v>1109</v>
      </c>
      <c r="N474" s="45">
        <v>-1805333093</v>
      </c>
      <c r="O474" s="46">
        <f t="shared" si="13"/>
        <v>-1805.333093</v>
      </c>
      <c r="P474" s="47">
        <f>KOHC!E123</f>
        <v>-1805.333093</v>
      </c>
      <c r="Q474" s="44" t="str">
        <f t="shared" si="14"/>
        <v>PASS</v>
      </c>
      <c r="R474" s="44" t="s">
        <v>1110</v>
      </c>
      <c r="S474" s="44"/>
    </row>
    <row r="475" spans="1:19" x14ac:dyDescent="0.3">
      <c r="A475" s="44" t="s">
        <v>1525</v>
      </c>
      <c r="B475" s="44" t="s">
        <v>18</v>
      </c>
      <c r="C475" s="44" t="s">
        <v>27</v>
      </c>
      <c r="D475" s="44" t="s">
        <v>434</v>
      </c>
      <c r="E475" s="44" t="s">
        <v>1478</v>
      </c>
      <c r="F475" s="44" t="s">
        <v>1523</v>
      </c>
      <c r="G475" s="44" t="s">
        <v>1119</v>
      </c>
      <c r="H475" s="44" t="s">
        <v>1120</v>
      </c>
      <c r="I475" s="44" t="s">
        <v>1106</v>
      </c>
      <c r="J475" s="44">
        <v>63</v>
      </c>
      <c r="K475" s="44" t="s">
        <v>1139</v>
      </c>
      <c r="L475" s="44"/>
      <c r="M475" s="44" t="s">
        <v>1109</v>
      </c>
      <c r="N475" s="45">
        <v>-1528794437</v>
      </c>
      <c r="O475" s="46">
        <f t="shared" si="13"/>
        <v>-1528.794437</v>
      </c>
      <c r="P475" s="47">
        <f>KOHC!F123</f>
        <v>-1528.794437</v>
      </c>
      <c r="Q475" s="44" t="str">
        <f t="shared" si="14"/>
        <v>PASS</v>
      </c>
      <c r="R475" s="44" t="s">
        <v>1110</v>
      </c>
      <c r="S475" s="44"/>
    </row>
    <row r="476" spans="1:19" x14ac:dyDescent="0.3">
      <c r="A476" s="44" t="s">
        <v>1526</v>
      </c>
      <c r="B476" s="44" t="s">
        <v>18</v>
      </c>
      <c r="C476" s="44" t="s">
        <v>28</v>
      </c>
      <c r="D476" s="44" t="s">
        <v>434</v>
      </c>
      <c r="E476" s="44" t="s">
        <v>1478</v>
      </c>
      <c r="F476" s="44" t="s">
        <v>1523</v>
      </c>
      <c r="G476" s="44" t="s">
        <v>1123</v>
      </c>
      <c r="H476" s="44" t="s">
        <v>1124</v>
      </c>
      <c r="I476" s="44" t="s">
        <v>1106</v>
      </c>
      <c r="J476" s="44">
        <v>73</v>
      </c>
      <c r="K476" s="44" t="s">
        <v>1107</v>
      </c>
      <c r="L476" s="44"/>
      <c r="M476" s="44" t="s">
        <v>1109</v>
      </c>
      <c r="N476" s="45">
        <v>-1447737336</v>
      </c>
      <c r="O476" s="46">
        <f t="shared" si="13"/>
        <v>-1447.7373359999999</v>
      </c>
      <c r="P476" s="47">
        <f>KOHC!G123</f>
        <v>-1447.7373359999999</v>
      </c>
      <c r="Q476" s="44" t="str">
        <f t="shared" si="14"/>
        <v>PASS</v>
      </c>
      <c r="R476" s="44" t="s">
        <v>1110</v>
      </c>
      <c r="S476" s="44"/>
    </row>
    <row r="477" spans="1:19" x14ac:dyDescent="0.3">
      <c r="A477" s="44" t="s">
        <v>1527</v>
      </c>
      <c r="B477" s="44" t="s">
        <v>18</v>
      </c>
      <c r="C477" s="44" t="s">
        <v>29</v>
      </c>
      <c r="D477" s="44" t="s">
        <v>434</v>
      </c>
      <c r="E477" s="44" t="s">
        <v>1478</v>
      </c>
      <c r="F477" s="44" t="s">
        <v>1523</v>
      </c>
      <c r="G477" s="44" t="s">
        <v>1123</v>
      </c>
      <c r="H477" s="44" t="s">
        <v>1124</v>
      </c>
      <c r="I477" s="44" t="s">
        <v>1127</v>
      </c>
      <c r="J477" s="44">
        <v>73</v>
      </c>
      <c r="K477" s="44" t="s">
        <v>1107</v>
      </c>
      <c r="L477" s="44"/>
      <c r="M477" s="44" t="s">
        <v>1109</v>
      </c>
      <c r="N477" s="45">
        <v>-4631639217</v>
      </c>
      <c r="O477" s="46">
        <f t="shared" si="13"/>
        <v>-4631.6392169999999</v>
      </c>
      <c r="P477" s="47">
        <f>KOHC!H123</f>
        <v>-4631.6392169999999</v>
      </c>
      <c r="Q477" s="44" t="str">
        <f t="shared" si="14"/>
        <v>PASS</v>
      </c>
      <c r="R477" s="44" t="s">
        <v>1110</v>
      </c>
      <c r="S477" s="44"/>
    </row>
    <row r="478" spans="1:19" x14ac:dyDescent="0.3">
      <c r="A478" s="44" t="s">
        <v>1528</v>
      </c>
      <c r="B478" s="44" t="s">
        <v>18</v>
      </c>
      <c r="C478" s="44" t="s">
        <v>20</v>
      </c>
      <c r="D478" s="44" t="s">
        <v>436</v>
      </c>
      <c r="E478" s="44" t="s">
        <v>1478</v>
      </c>
      <c r="F478" s="44" t="s">
        <v>1529</v>
      </c>
      <c r="G478" s="44" t="s">
        <v>1112</v>
      </c>
      <c r="H478" s="44" t="s">
        <v>1113</v>
      </c>
      <c r="I478" s="44" t="s">
        <v>1106</v>
      </c>
      <c r="J478" s="44">
        <v>57</v>
      </c>
      <c r="K478" s="44" t="s">
        <v>1139</v>
      </c>
      <c r="L478" s="44"/>
      <c r="M478" s="44" t="s">
        <v>1109</v>
      </c>
      <c r="N478" s="45">
        <v>-1816796</v>
      </c>
      <c r="O478" s="46">
        <f t="shared" si="13"/>
        <v>-1.8167960000000001</v>
      </c>
      <c r="P478" s="47">
        <f>KOHC!D124</f>
        <v>-1.8167960000000001</v>
      </c>
      <c r="Q478" s="44" t="str">
        <f t="shared" si="14"/>
        <v>PASS</v>
      </c>
      <c r="R478" s="44" t="s">
        <v>1110</v>
      </c>
      <c r="S478" s="44"/>
    </row>
    <row r="479" spans="1:19" x14ac:dyDescent="0.3">
      <c r="A479" s="44" t="s">
        <v>1530</v>
      </c>
      <c r="B479" s="44" t="s">
        <v>18</v>
      </c>
      <c r="C479" s="44" t="s">
        <v>26</v>
      </c>
      <c r="D479" s="44" t="s">
        <v>436</v>
      </c>
      <c r="E479" s="44" t="s">
        <v>1478</v>
      </c>
      <c r="F479" s="44" t="s">
        <v>1529</v>
      </c>
      <c r="G479" s="44" t="s">
        <v>1116</v>
      </c>
      <c r="H479" s="44" t="s">
        <v>1117</v>
      </c>
      <c r="I479" s="44" t="s">
        <v>1106</v>
      </c>
      <c r="J479" s="44">
        <v>57</v>
      </c>
      <c r="K479" s="44" t="s">
        <v>1139</v>
      </c>
      <c r="L479" s="44"/>
      <c r="M479" s="44" t="s">
        <v>1109</v>
      </c>
      <c r="N479" s="45">
        <v>-549503</v>
      </c>
      <c r="O479" s="46">
        <f t="shared" si="13"/>
        <v>-0.54950299999999996</v>
      </c>
      <c r="P479" s="47">
        <f>KOHC!E124</f>
        <v>-0.54950299999999996</v>
      </c>
      <c r="Q479" s="44" t="str">
        <f t="shared" si="14"/>
        <v>PASS</v>
      </c>
      <c r="R479" s="44" t="s">
        <v>1110</v>
      </c>
      <c r="S479" s="44"/>
    </row>
    <row r="480" spans="1:19" x14ac:dyDescent="0.3">
      <c r="A480" s="44" t="s">
        <v>1531</v>
      </c>
      <c r="B480" s="44" t="s">
        <v>18</v>
      </c>
      <c r="C480" s="44" t="s">
        <v>27</v>
      </c>
      <c r="D480" s="44" t="s">
        <v>436</v>
      </c>
      <c r="E480" s="44" t="s">
        <v>1478</v>
      </c>
      <c r="F480" s="44" t="s">
        <v>1529</v>
      </c>
      <c r="G480" s="44" t="s">
        <v>1119</v>
      </c>
      <c r="H480" s="44" t="s">
        <v>1120</v>
      </c>
      <c r="I480" s="44" t="s">
        <v>1106</v>
      </c>
      <c r="J480" s="44">
        <v>63</v>
      </c>
      <c r="K480" s="44" t="s">
        <v>1139</v>
      </c>
      <c r="L480" s="44"/>
      <c r="M480" s="44" t="s">
        <v>1109</v>
      </c>
      <c r="N480" s="45">
        <v>-172829</v>
      </c>
      <c r="O480" s="46">
        <f t="shared" si="13"/>
        <v>-0.17282900000000001</v>
      </c>
      <c r="P480" s="47">
        <f>KOHC!F124</f>
        <v>-0.17282900000000001</v>
      </c>
      <c r="Q480" s="44" t="str">
        <f t="shared" si="14"/>
        <v>PASS</v>
      </c>
      <c r="R480" s="44" t="s">
        <v>1110</v>
      </c>
      <c r="S480" s="44"/>
    </row>
    <row r="481" spans="1:19" x14ac:dyDescent="0.3">
      <c r="A481" s="44" t="s">
        <v>1532</v>
      </c>
      <c r="B481" s="44" t="s">
        <v>18</v>
      </c>
      <c r="C481" s="44" t="s">
        <v>28</v>
      </c>
      <c r="D481" s="44" t="s">
        <v>436</v>
      </c>
      <c r="E481" s="44" t="s">
        <v>1478</v>
      </c>
      <c r="F481" s="44" t="s">
        <v>1529</v>
      </c>
      <c r="G481" s="44" t="s">
        <v>1123</v>
      </c>
      <c r="H481" s="44" t="s">
        <v>1124</v>
      </c>
      <c r="I481" s="44" t="s">
        <v>1106</v>
      </c>
      <c r="J481" s="44">
        <v>73</v>
      </c>
      <c r="K481" s="44" t="s">
        <v>1107</v>
      </c>
      <c r="L481" s="44"/>
      <c r="M481" s="44" t="s">
        <v>1109</v>
      </c>
      <c r="N481" s="45">
        <v>-136289</v>
      </c>
      <c r="O481" s="46">
        <f t="shared" si="13"/>
        <v>-0.13628899999999999</v>
      </c>
      <c r="P481" s="47">
        <f>KOHC!G124</f>
        <v>-0.13628899999999999</v>
      </c>
      <c r="Q481" s="44" t="str">
        <f t="shared" si="14"/>
        <v>PASS</v>
      </c>
      <c r="R481" s="44" t="s">
        <v>1110</v>
      </c>
      <c r="S481" s="44"/>
    </row>
    <row r="482" spans="1:19" x14ac:dyDescent="0.3">
      <c r="A482" s="44" t="s">
        <v>1533</v>
      </c>
      <c r="B482" s="44" t="s">
        <v>18</v>
      </c>
      <c r="C482" s="44" t="s">
        <v>29</v>
      </c>
      <c r="D482" s="44" t="s">
        <v>436</v>
      </c>
      <c r="E482" s="44" t="s">
        <v>1478</v>
      </c>
      <c r="F482" s="44" t="s">
        <v>1529</v>
      </c>
      <c r="G482" s="44" t="s">
        <v>1123</v>
      </c>
      <c r="H482" s="44" t="s">
        <v>1124</v>
      </c>
      <c r="I482" s="44" t="s">
        <v>1127</v>
      </c>
      <c r="J482" s="44">
        <v>73</v>
      </c>
      <c r="K482" s="44" t="s">
        <v>1107</v>
      </c>
      <c r="L482" s="44"/>
      <c r="M482" s="44" t="s">
        <v>1109</v>
      </c>
      <c r="N482" s="45">
        <v>-3157674</v>
      </c>
      <c r="O482" s="46">
        <f t="shared" si="13"/>
        <v>-3.1576740000000001</v>
      </c>
      <c r="P482" s="47">
        <f>KOHC!H124</f>
        <v>-3.1576740000000001</v>
      </c>
      <c r="Q482" s="44" t="str">
        <f t="shared" si="14"/>
        <v>PASS</v>
      </c>
      <c r="R482" s="44" t="s">
        <v>1110</v>
      </c>
      <c r="S482" s="44"/>
    </row>
    <row r="483" spans="1:19" x14ac:dyDescent="0.3">
      <c r="A483" s="44" t="s">
        <v>1534</v>
      </c>
      <c r="B483" s="44" t="s">
        <v>18</v>
      </c>
      <c r="C483" s="44" t="s">
        <v>20</v>
      </c>
      <c r="D483" s="44" t="s">
        <v>439</v>
      </c>
      <c r="E483" s="44" t="s">
        <v>1130</v>
      </c>
      <c r="F483" s="44" t="s">
        <v>1535</v>
      </c>
      <c r="G483" s="44" t="s">
        <v>1104</v>
      </c>
      <c r="H483" s="44" t="s">
        <v>1105</v>
      </c>
      <c r="I483" s="44" t="s">
        <v>1127</v>
      </c>
      <c r="J483" s="44">
        <v>86</v>
      </c>
      <c r="K483" s="44" t="s">
        <v>1536</v>
      </c>
      <c r="L483" s="44"/>
      <c r="M483" s="44" t="s">
        <v>441</v>
      </c>
      <c r="N483" s="44">
        <v>10</v>
      </c>
      <c r="O483" s="44">
        <f t="shared" ref="O483:O512" si="15">N483</f>
        <v>10</v>
      </c>
      <c r="P483" s="48">
        <f>KOHC!D127</f>
        <v>10</v>
      </c>
      <c r="Q483" s="44" t="str">
        <f t="shared" si="14"/>
        <v>PASS</v>
      </c>
      <c r="R483" s="44" t="s">
        <v>1110</v>
      </c>
      <c r="S483" s="44" t="s">
        <v>1537</v>
      </c>
    </row>
    <row r="484" spans="1:19" x14ac:dyDescent="0.3">
      <c r="A484" s="44" t="s">
        <v>1538</v>
      </c>
      <c r="B484" s="44" t="s">
        <v>18</v>
      </c>
      <c r="C484" s="44" t="s">
        <v>26</v>
      </c>
      <c r="D484" s="44" t="s">
        <v>439</v>
      </c>
      <c r="E484" s="44" t="s">
        <v>1130</v>
      </c>
      <c r="F484" s="44" t="s">
        <v>1535</v>
      </c>
      <c r="G484" s="44" t="s">
        <v>1112</v>
      </c>
      <c r="H484" s="44" t="s">
        <v>1113</v>
      </c>
      <c r="I484" s="44" t="s">
        <v>1127</v>
      </c>
      <c r="J484" s="44">
        <v>94</v>
      </c>
      <c r="K484" s="44" t="s">
        <v>1469</v>
      </c>
      <c r="L484" s="44"/>
      <c r="M484" s="44" t="s">
        <v>441</v>
      </c>
      <c r="N484" s="44">
        <v>10</v>
      </c>
      <c r="O484" s="44">
        <f t="shared" si="15"/>
        <v>10</v>
      </c>
      <c r="P484" s="48">
        <f>KOHC!E127</f>
        <v>10</v>
      </c>
      <c r="Q484" s="44" t="str">
        <f t="shared" si="14"/>
        <v>PASS</v>
      </c>
      <c r="R484" s="44" t="s">
        <v>1110</v>
      </c>
      <c r="S484" s="44" t="s">
        <v>1537</v>
      </c>
    </row>
    <row r="485" spans="1:19" x14ac:dyDescent="0.3">
      <c r="A485" s="44" t="s">
        <v>1539</v>
      </c>
      <c r="B485" s="44" t="s">
        <v>18</v>
      </c>
      <c r="C485" s="44" t="s">
        <v>27</v>
      </c>
      <c r="D485" s="44" t="s">
        <v>439</v>
      </c>
      <c r="E485" s="44" t="s">
        <v>1130</v>
      </c>
      <c r="F485" s="44" t="s">
        <v>1535</v>
      </c>
      <c r="G485" s="44" t="s">
        <v>1116</v>
      </c>
      <c r="H485" s="44" t="s">
        <v>1117</v>
      </c>
      <c r="I485" s="44" t="s">
        <v>1127</v>
      </c>
      <c r="J485" s="44">
        <v>92</v>
      </c>
      <c r="K485" s="44" t="s">
        <v>1471</v>
      </c>
      <c r="L485" s="44"/>
      <c r="M485" s="44" t="s">
        <v>441</v>
      </c>
      <c r="N485" s="44">
        <v>10</v>
      </c>
      <c r="O485" s="44">
        <f t="shared" si="15"/>
        <v>10</v>
      </c>
      <c r="P485" s="48">
        <f>KOHC!F127</f>
        <v>10</v>
      </c>
      <c r="Q485" s="44" t="str">
        <f t="shared" si="14"/>
        <v>PASS</v>
      </c>
      <c r="R485" s="44" t="s">
        <v>1110</v>
      </c>
      <c r="S485" s="44" t="s">
        <v>1537</v>
      </c>
    </row>
    <row r="486" spans="1:19" x14ac:dyDescent="0.3">
      <c r="A486" s="44" t="s">
        <v>1540</v>
      </c>
      <c r="B486" s="44" t="s">
        <v>18</v>
      </c>
      <c r="C486" s="44" t="s">
        <v>28</v>
      </c>
      <c r="D486" s="44" t="s">
        <v>439</v>
      </c>
      <c r="E486" s="44" t="s">
        <v>1130</v>
      </c>
      <c r="F486" s="44" t="s">
        <v>1535</v>
      </c>
      <c r="G486" s="44" t="s">
        <v>1119</v>
      </c>
      <c r="H486" s="44" t="s">
        <v>1120</v>
      </c>
      <c r="I486" s="44" t="s">
        <v>1127</v>
      </c>
      <c r="J486" s="44">
        <v>101</v>
      </c>
      <c r="K486" s="44" t="s">
        <v>1107</v>
      </c>
      <c r="L486" s="44"/>
      <c r="M486" s="44" t="s">
        <v>441</v>
      </c>
      <c r="N486" s="44">
        <v>10</v>
      </c>
      <c r="O486" s="44">
        <f t="shared" si="15"/>
        <v>10</v>
      </c>
      <c r="P486" s="48">
        <f>KOHC!G127</f>
        <v>10</v>
      </c>
      <c r="Q486" s="44" t="str">
        <f t="shared" si="14"/>
        <v>PASS</v>
      </c>
      <c r="R486" s="44" t="s">
        <v>1110</v>
      </c>
      <c r="S486" s="44" t="s">
        <v>1537</v>
      </c>
    </row>
    <row r="487" spans="1:19" x14ac:dyDescent="0.3">
      <c r="A487" s="44" t="s">
        <v>1541</v>
      </c>
      <c r="B487" s="44" t="s">
        <v>18</v>
      </c>
      <c r="C487" s="44" t="s">
        <v>29</v>
      </c>
      <c r="D487" s="44" t="s">
        <v>439</v>
      </c>
      <c r="E487" s="44" t="s">
        <v>1130</v>
      </c>
      <c r="F487" s="44" t="s">
        <v>1535</v>
      </c>
      <c r="G487" s="44" t="s">
        <v>1123</v>
      </c>
      <c r="H487" s="44" t="s">
        <v>1124</v>
      </c>
      <c r="I487" s="44" t="s">
        <v>1127</v>
      </c>
      <c r="J487" s="44">
        <v>109</v>
      </c>
      <c r="K487" s="44" t="s">
        <v>1107</v>
      </c>
      <c r="L487" s="44"/>
      <c r="M487" s="44" t="s">
        <v>441</v>
      </c>
      <c r="N487" s="44">
        <v>10</v>
      </c>
      <c r="O487" s="44">
        <f t="shared" si="15"/>
        <v>10</v>
      </c>
      <c r="P487" s="48">
        <f>KOHC!H127</f>
        <v>10</v>
      </c>
      <c r="Q487" s="44" t="str">
        <f t="shared" si="14"/>
        <v>PASS</v>
      </c>
      <c r="R487" s="44" t="s">
        <v>1110</v>
      </c>
      <c r="S487" s="44" t="s">
        <v>1537</v>
      </c>
    </row>
    <row r="488" spans="1:19" x14ac:dyDescent="0.3">
      <c r="A488" s="44" t="s">
        <v>1542</v>
      </c>
      <c r="B488" s="44" t="s">
        <v>18</v>
      </c>
      <c r="C488" s="44" t="s">
        <v>20</v>
      </c>
      <c r="D488" s="44" t="s">
        <v>445</v>
      </c>
      <c r="E488" s="44" t="s">
        <v>1130</v>
      </c>
      <c r="F488" s="44" t="s">
        <v>1543</v>
      </c>
      <c r="G488" s="44" t="s">
        <v>1104</v>
      </c>
      <c r="H488" s="44" t="s">
        <v>1105</v>
      </c>
      <c r="I488" s="44" t="s">
        <v>1127</v>
      </c>
      <c r="J488" s="44">
        <v>86</v>
      </c>
      <c r="K488" s="44" t="s">
        <v>1536</v>
      </c>
      <c r="L488" s="44"/>
      <c r="M488" s="44" t="s">
        <v>444</v>
      </c>
      <c r="N488" s="44">
        <v>200.86129700000001</v>
      </c>
      <c r="O488" s="44">
        <f t="shared" si="15"/>
        <v>200.86129700000001</v>
      </c>
      <c r="P488" s="46">
        <f>KOHC!D129</f>
        <v>200.86129700000001</v>
      </c>
      <c r="Q488" s="44" t="str">
        <f t="shared" si="14"/>
        <v>PASS</v>
      </c>
      <c r="R488" s="44" t="s">
        <v>1110</v>
      </c>
      <c r="S488" s="44" t="s">
        <v>1537</v>
      </c>
    </row>
    <row r="489" spans="1:19" x14ac:dyDescent="0.3">
      <c r="A489" s="44" t="s">
        <v>1544</v>
      </c>
      <c r="B489" s="44" t="s">
        <v>18</v>
      </c>
      <c r="C489" s="44" t="s">
        <v>26</v>
      </c>
      <c r="D489" s="44" t="s">
        <v>445</v>
      </c>
      <c r="E489" s="44" t="s">
        <v>1130</v>
      </c>
      <c r="F489" s="44" t="s">
        <v>1543</v>
      </c>
      <c r="G489" s="44" t="s">
        <v>1112</v>
      </c>
      <c r="H489" s="44" t="s">
        <v>1113</v>
      </c>
      <c r="I489" s="44" t="s">
        <v>1127</v>
      </c>
      <c r="J489" s="44">
        <v>94</v>
      </c>
      <c r="K489" s="44" t="s">
        <v>1469</v>
      </c>
      <c r="L489" s="44"/>
      <c r="M489" s="44" t="s">
        <v>444</v>
      </c>
      <c r="N489" s="44">
        <v>200.86129700000001</v>
      </c>
      <c r="O489" s="44">
        <f t="shared" si="15"/>
        <v>200.86129700000001</v>
      </c>
      <c r="P489" s="46">
        <f>KOHC!E129</f>
        <v>200.86129700000001</v>
      </c>
      <c r="Q489" s="44" t="str">
        <f t="shared" si="14"/>
        <v>PASS</v>
      </c>
      <c r="R489" s="44" t="s">
        <v>1110</v>
      </c>
      <c r="S489" s="44" t="s">
        <v>1537</v>
      </c>
    </row>
    <row r="490" spans="1:19" x14ac:dyDescent="0.3">
      <c r="A490" s="44" t="s">
        <v>1545</v>
      </c>
      <c r="B490" s="44" t="s">
        <v>18</v>
      </c>
      <c r="C490" s="44" t="s">
        <v>27</v>
      </c>
      <c r="D490" s="44" t="s">
        <v>445</v>
      </c>
      <c r="E490" s="44" t="s">
        <v>1130</v>
      </c>
      <c r="F490" s="44" t="s">
        <v>1543</v>
      </c>
      <c r="G490" s="44" t="s">
        <v>1116</v>
      </c>
      <c r="H490" s="44" t="s">
        <v>1117</v>
      </c>
      <c r="I490" s="44" t="s">
        <v>1127</v>
      </c>
      <c r="J490" s="44">
        <v>92</v>
      </c>
      <c r="K490" s="44" t="s">
        <v>1471</v>
      </c>
      <c r="L490" s="44"/>
      <c r="M490" s="44" t="s">
        <v>444</v>
      </c>
      <c r="N490" s="44">
        <v>200.86129700000001</v>
      </c>
      <c r="O490" s="44">
        <f t="shared" si="15"/>
        <v>200.86129700000001</v>
      </c>
      <c r="P490" s="46">
        <f>KOHC!F129</f>
        <v>200.86129700000001</v>
      </c>
      <c r="Q490" s="44" t="str">
        <f t="shared" si="14"/>
        <v>PASS</v>
      </c>
      <c r="R490" s="44" t="s">
        <v>1110</v>
      </c>
      <c r="S490" s="44" t="s">
        <v>1537</v>
      </c>
    </row>
    <row r="491" spans="1:19" x14ac:dyDescent="0.3">
      <c r="A491" s="44" t="s">
        <v>1546</v>
      </c>
      <c r="B491" s="44" t="s">
        <v>18</v>
      </c>
      <c r="C491" s="44" t="s">
        <v>28</v>
      </c>
      <c r="D491" s="44" t="s">
        <v>445</v>
      </c>
      <c r="E491" s="44" t="s">
        <v>1130</v>
      </c>
      <c r="F491" s="44" t="s">
        <v>1543</v>
      </c>
      <c r="G491" s="44" t="s">
        <v>1119</v>
      </c>
      <c r="H491" s="44" t="s">
        <v>1120</v>
      </c>
      <c r="I491" s="44" t="s">
        <v>1127</v>
      </c>
      <c r="J491" s="44">
        <v>101</v>
      </c>
      <c r="K491" s="44" t="s">
        <v>1107</v>
      </c>
      <c r="L491" s="44"/>
      <c r="M491" s="44" t="s">
        <v>444</v>
      </c>
      <c r="N491" s="44">
        <v>196.435067</v>
      </c>
      <c r="O491" s="44">
        <f t="shared" si="15"/>
        <v>196.435067</v>
      </c>
      <c r="P491" s="46">
        <f>KOHC!G129</f>
        <v>196.435067</v>
      </c>
      <c r="Q491" s="44" t="str">
        <f t="shared" si="14"/>
        <v>PASS</v>
      </c>
      <c r="R491" s="44" t="s">
        <v>1110</v>
      </c>
      <c r="S491" s="44" t="s">
        <v>1537</v>
      </c>
    </row>
    <row r="492" spans="1:19" x14ac:dyDescent="0.3">
      <c r="A492" s="44" t="s">
        <v>1547</v>
      </c>
      <c r="B492" s="44" t="s">
        <v>18</v>
      </c>
      <c r="C492" s="44" t="s">
        <v>29</v>
      </c>
      <c r="D492" s="44" t="s">
        <v>445</v>
      </c>
      <c r="E492" s="44" t="s">
        <v>1130</v>
      </c>
      <c r="F492" s="44" t="s">
        <v>1543</v>
      </c>
      <c r="G492" s="44" t="s">
        <v>1123</v>
      </c>
      <c r="H492" s="44" t="s">
        <v>1124</v>
      </c>
      <c r="I492" s="44" t="s">
        <v>1127</v>
      </c>
      <c r="J492" s="44">
        <v>109</v>
      </c>
      <c r="K492" s="44" t="s">
        <v>1107</v>
      </c>
      <c r="L492" s="44"/>
      <c r="M492" s="44" t="s">
        <v>444</v>
      </c>
      <c r="N492" s="44">
        <v>193.42841999999999</v>
      </c>
      <c r="O492" s="44">
        <f t="shared" si="15"/>
        <v>193.42841999999999</v>
      </c>
      <c r="P492" s="46">
        <f>KOHC!H129</f>
        <v>193.42841999999999</v>
      </c>
      <c r="Q492" s="44" t="str">
        <f t="shared" si="14"/>
        <v>PASS</v>
      </c>
      <c r="R492" s="44" t="s">
        <v>1110</v>
      </c>
      <c r="S492" s="44" t="s">
        <v>1537</v>
      </c>
    </row>
    <row r="493" spans="1:19" x14ac:dyDescent="0.3">
      <c r="A493" s="44" t="s">
        <v>1548</v>
      </c>
      <c r="B493" s="44" t="s">
        <v>18</v>
      </c>
      <c r="C493" s="44" t="s">
        <v>20</v>
      </c>
      <c r="D493" s="44" t="s">
        <v>1549</v>
      </c>
      <c r="E493" s="44" t="s">
        <v>1130</v>
      </c>
      <c r="F493" s="44" t="s">
        <v>1550</v>
      </c>
      <c r="G493" s="44" t="s">
        <v>1551</v>
      </c>
      <c r="H493" s="44" t="s">
        <v>1552</v>
      </c>
      <c r="I493" s="44" t="s">
        <v>1553</v>
      </c>
      <c r="J493" s="44"/>
      <c r="K493" s="44"/>
      <c r="L493" s="44"/>
      <c r="M493" s="44" t="s">
        <v>441</v>
      </c>
      <c r="N493" s="44">
        <v>206.49</v>
      </c>
      <c r="O493" s="44">
        <f t="shared" si="15"/>
        <v>206.49</v>
      </c>
      <c r="P493" s="48">
        <f>KOHC!D130</f>
        <v>206.49</v>
      </c>
      <c r="Q493" s="44" t="str">
        <f t="shared" si="14"/>
        <v>PASS</v>
      </c>
      <c r="R493" s="44" t="s">
        <v>1110</v>
      </c>
      <c r="S493" s="44" t="s">
        <v>1554</v>
      </c>
    </row>
    <row r="494" spans="1:19" x14ac:dyDescent="0.3">
      <c r="A494" s="44" t="s">
        <v>1555</v>
      </c>
      <c r="B494" s="44" t="s">
        <v>18</v>
      </c>
      <c r="C494" s="44" t="s">
        <v>26</v>
      </c>
      <c r="D494" s="44" t="s">
        <v>1549</v>
      </c>
      <c r="E494" s="44" t="s">
        <v>1130</v>
      </c>
      <c r="F494" s="44" t="s">
        <v>1550</v>
      </c>
      <c r="G494" s="44" t="s">
        <v>1551</v>
      </c>
      <c r="H494" s="44" t="s">
        <v>1552</v>
      </c>
      <c r="I494" s="44" t="s">
        <v>1556</v>
      </c>
      <c r="J494" s="44"/>
      <c r="K494" s="44"/>
      <c r="L494" s="44"/>
      <c r="M494" s="44" t="s">
        <v>441</v>
      </c>
      <c r="N494" s="44">
        <v>130.13</v>
      </c>
      <c r="O494" s="44">
        <f t="shared" si="15"/>
        <v>130.13</v>
      </c>
      <c r="P494" s="48">
        <f>KOHC!E130</f>
        <v>130.13</v>
      </c>
      <c r="Q494" s="44" t="str">
        <f t="shared" si="14"/>
        <v>PASS</v>
      </c>
      <c r="R494" s="44" t="s">
        <v>1110</v>
      </c>
      <c r="S494" s="44" t="s">
        <v>1554</v>
      </c>
    </row>
    <row r="495" spans="1:19" x14ac:dyDescent="0.3">
      <c r="A495" s="44" t="s">
        <v>1557</v>
      </c>
      <c r="B495" s="44" t="s">
        <v>18</v>
      </c>
      <c r="C495" s="44" t="s">
        <v>27</v>
      </c>
      <c r="D495" s="44" t="s">
        <v>1549</v>
      </c>
      <c r="E495" s="44" t="s">
        <v>1130</v>
      </c>
      <c r="F495" s="44" t="s">
        <v>1550</v>
      </c>
      <c r="G495" s="44" t="s">
        <v>1551</v>
      </c>
      <c r="H495" s="44" t="s">
        <v>1552</v>
      </c>
      <c r="I495" s="44" t="s">
        <v>1558</v>
      </c>
      <c r="J495" s="44"/>
      <c r="K495" s="44"/>
      <c r="L495" s="44"/>
      <c r="M495" s="44" t="s">
        <v>441</v>
      </c>
      <c r="N495" s="44">
        <v>173.47</v>
      </c>
      <c r="O495" s="44">
        <f t="shared" si="15"/>
        <v>173.47</v>
      </c>
      <c r="P495" s="48">
        <f>KOHC!F130</f>
        <v>173.47</v>
      </c>
      <c r="Q495" s="44" t="str">
        <f t="shared" si="14"/>
        <v>PASS</v>
      </c>
      <c r="R495" s="44" t="s">
        <v>1110</v>
      </c>
      <c r="S495" s="44" t="s">
        <v>1554</v>
      </c>
    </row>
    <row r="496" spans="1:19" x14ac:dyDescent="0.3">
      <c r="A496" s="44" t="s">
        <v>1559</v>
      </c>
      <c r="B496" s="44" t="s">
        <v>18</v>
      </c>
      <c r="C496" s="44" t="s">
        <v>28</v>
      </c>
      <c r="D496" s="44" t="s">
        <v>1549</v>
      </c>
      <c r="E496" s="44" t="s">
        <v>1130</v>
      </c>
      <c r="F496" s="44" t="s">
        <v>1550</v>
      </c>
      <c r="G496" s="44" t="s">
        <v>1551</v>
      </c>
      <c r="H496" s="44" t="s">
        <v>1552</v>
      </c>
      <c r="I496" s="44" t="s">
        <v>1560</v>
      </c>
      <c r="J496" s="44"/>
      <c r="K496" s="44"/>
      <c r="L496" s="44"/>
      <c r="M496" s="44" t="s">
        <v>441</v>
      </c>
      <c r="N496" s="44">
        <v>250.43</v>
      </c>
      <c r="O496" s="44">
        <f t="shared" si="15"/>
        <v>250.43</v>
      </c>
      <c r="P496" s="48">
        <f>KOHC!G130</f>
        <v>250.43</v>
      </c>
      <c r="Q496" s="44" t="str">
        <f t="shared" si="14"/>
        <v>PASS</v>
      </c>
      <c r="R496" s="44" t="s">
        <v>1110</v>
      </c>
      <c r="S496" s="44" t="s">
        <v>1554</v>
      </c>
    </row>
    <row r="497" spans="1:19" x14ac:dyDescent="0.3">
      <c r="A497" s="44" t="s">
        <v>1561</v>
      </c>
      <c r="B497" s="44" t="s">
        <v>18</v>
      </c>
      <c r="C497" s="44" t="s">
        <v>29</v>
      </c>
      <c r="D497" s="44" t="s">
        <v>1549</v>
      </c>
      <c r="E497" s="44" t="s">
        <v>1130</v>
      </c>
      <c r="F497" s="44" t="s">
        <v>1550</v>
      </c>
      <c r="G497" s="44" t="s">
        <v>1551</v>
      </c>
      <c r="H497" s="44" t="s">
        <v>1552</v>
      </c>
      <c r="I497" s="44" t="s">
        <v>1562</v>
      </c>
      <c r="J497" s="44"/>
      <c r="K497" s="44"/>
      <c r="L497" s="44"/>
      <c r="M497" s="44" t="s">
        <v>441</v>
      </c>
      <c r="N497" s="44">
        <v>379.36</v>
      </c>
      <c r="O497" s="44">
        <f t="shared" si="15"/>
        <v>379.36</v>
      </c>
      <c r="P497" s="48">
        <f>KOHC!H130</f>
        <v>379.36</v>
      </c>
      <c r="Q497" s="44" t="str">
        <f t="shared" si="14"/>
        <v>PASS</v>
      </c>
      <c r="R497" s="44" t="s">
        <v>1110</v>
      </c>
      <c r="S497" s="44" t="s">
        <v>1554</v>
      </c>
    </row>
    <row r="498" spans="1:19" x14ac:dyDescent="0.3">
      <c r="A498" s="44" t="s">
        <v>1563</v>
      </c>
      <c r="B498" s="44" t="s">
        <v>18</v>
      </c>
      <c r="C498" s="44" t="s">
        <v>20</v>
      </c>
      <c r="D498" s="44" t="s">
        <v>449</v>
      </c>
      <c r="E498" s="44" t="s">
        <v>1130</v>
      </c>
      <c r="F498" s="44" t="s">
        <v>1564</v>
      </c>
      <c r="G498" s="44" t="s">
        <v>1123</v>
      </c>
      <c r="H498" s="44" t="s">
        <v>1124</v>
      </c>
      <c r="I498" s="44" t="s">
        <v>1106</v>
      </c>
      <c r="J498" s="44">
        <v>53</v>
      </c>
      <c r="K498" s="44" t="s">
        <v>1107</v>
      </c>
      <c r="L498" s="44"/>
      <c r="M498" s="44" t="s">
        <v>441</v>
      </c>
      <c r="N498" s="44">
        <v>0</v>
      </c>
      <c r="O498" s="44">
        <f t="shared" si="15"/>
        <v>0</v>
      </c>
      <c r="P498" s="48">
        <f>KOHC!D131</f>
        <v>0</v>
      </c>
      <c r="Q498" s="44" t="str">
        <f t="shared" si="14"/>
        <v>PASS</v>
      </c>
      <c r="R498" s="44" t="s">
        <v>1110</v>
      </c>
      <c r="S498" s="44" t="s">
        <v>1537</v>
      </c>
    </row>
    <row r="499" spans="1:19" x14ac:dyDescent="0.3">
      <c r="A499" s="44" t="s">
        <v>1565</v>
      </c>
      <c r="B499" s="44" t="s">
        <v>18</v>
      </c>
      <c r="C499" s="44" t="s">
        <v>26</v>
      </c>
      <c r="D499" s="44" t="s">
        <v>449</v>
      </c>
      <c r="E499" s="44" t="s">
        <v>1130</v>
      </c>
      <c r="F499" s="44" t="s">
        <v>1564</v>
      </c>
      <c r="G499" s="44" t="s">
        <v>1123</v>
      </c>
      <c r="H499" s="44" t="s">
        <v>1124</v>
      </c>
      <c r="I499" s="44" t="s">
        <v>1106</v>
      </c>
      <c r="J499" s="44">
        <v>53</v>
      </c>
      <c r="K499" s="44" t="s">
        <v>1107</v>
      </c>
      <c r="L499" s="44"/>
      <c r="M499" s="44" t="s">
        <v>441</v>
      </c>
      <c r="N499" s="44">
        <v>0</v>
      </c>
      <c r="O499" s="44">
        <f t="shared" si="15"/>
        <v>0</v>
      </c>
      <c r="P499" s="48">
        <f>KOHC!E131</f>
        <v>0</v>
      </c>
      <c r="Q499" s="44" t="str">
        <f t="shared" si="14"/>
        <v>PASS</v>
      </c>
      <c r="R499" s="44" t="s">
        <v>1110</v>
      </c>
      <c r="S499" s="44" t="s">
        <v>1537</v>
      </c>
    </row>
    <row r="500" spans="1:19" x14ac:dyDescent="0.3">
      <c r="A500" s="44" t="s">
        <v>1566</v>
      </c>
      <c r="B500" s="44" t="s">
        <v>18</v>
      </c>
      <c r="C500" s="44" t="s">
        <v>27</v>
      </c>
      <c r="D500" s="44" t="s">
        <v>449</v>
      </c>
      <c r="E500" s="44" t="s">
        <v>1130</v>
      </c>
      <c r="F500" s="44" t="s">
        <v>1564</v>
      </c>
      <c r="G500" s="44" t="s">
        <v>1123</v>
      </c>
      <c r="H500" s="44" t="s">
        <v>1124</v>
      </c>
      <c r="I500" s="44" t="s">
        <v>1106</v>
      </c>
      <c r="J500" s="44">
        <v>53</v>
      </c>
      <c r="K500" s="44" t="s">
        <v>1107</v>
      </c>
      <c r="L500" s="44"/>
      <c r="M500" s="44" t="s">
        <v>441</v>
      </c>
      <c r="N500" s="44">
        <v>0</v>
      </c>
      <c r="O500" s="44">
        <f t="shared" si="15"/>
        <v>0</v>
      </c>
      <c r="P500" s="48">
        <f>KOHC!F131</f>
        <v>0</v>
      </c>
      <c r="Q500" s="44" t="str">
        <f t="shared" si="14"/>
        <v>PASS</v>
      </c>
      <c r="R500" s="44" t="s">
        <v>1110</v>
      </c>
      <c r="S500" s="44" t="s">
        <v>1537</v>
      </c>
    </row>
    <row r="501" spans="1:19" x14ac:dyDescent="0.3">
      <c r="A501" s="44" t="s">
        <v>1567</v>
      </c>
      <c r="B501" s="44" t="s">
        <v>18</v>
      </c>
      <c r="C501" s="44" t="s">
        <v>28</v>
      </c>
      <c r="D501" s="44" t="s">
        <v>449</v>
      </c>
      <c r="E501" s="44" t="s">
        <v>1130</v>
      </c>
      <c r="F501" s="44" t="s">
        <v>1564</v>
      </c>
      <c r="G501" s="44" t="s">
        <v>1123</v>
      </c>
      <c r="H501" s="44" t="s">
        <v>1124</v>
      </c>
      <c r="I501" s="44" t="s">
        <v>1106</v>
      </c>
      <c r="J501" s="44">
        <v>53</v>
      </c>
      <c r="K501" s="44" t="s">
        <v>1107</v>
      </c>
      <c r="L501" s="44"/>
      <c r="M501" s="44" t="s">
        <v>441</v>
      </c>
      <c r="N501" s="44">
        <v>0</v>
      </c>
      <c r="O501" s="44">
        <f t="shared" si="15"/>
        <v>0</v>
      </c>
      <c r="P501" s="48">
        <f>KOHC!G131</f>
        <v>0</v>
      </c>
      <c r="Q501" s="44" t="str">
        <f t="shared" si="14"/>
        <v>PASS</v>
      </c>
      <c r="R501" s="44" t="s">
        <v>1110</v>
      </c>
      <c r="S501" s="44" t="s">
        <v>1537</v>
      </c>
    </row>
    <row r="502" spans="1:19" x14ac:dyDescent="0.3">
      <c r="A502" s="44" t="s">
        <v>1568</v>
      </c>
      <c r="B502" s="44" t="s">
        <v>18</v>
      </c>
      <c r="C502" s="44" t="s">
        <v>29</v>
      </c>
      <c r="D502" s="44" t="s">
        <v>449</v>
      </c>
      <c r="E502" s="44" t="s">
        <v>1130</v>
      </c>
      <c r="F502" s="44" t="s">
        <v>1564</v>
      </c>
      <c r="G502" s="44" t="s">
        <v>1123</v>
      </c>
      <c r="H502" s="44" t="s">
        <v>1124</v>
      </c>
      <c r="I502" s="44" t="s">
        <v>1127</v>
      </c>
      <c r="J502" s="44">
        <v>53</v>
      </c>
      <c r="K502" s="44" t="s">
        <v>1107</v>
      </c>
      <c r="L502" s="44"/>
      <c r="M502" s="44" t="s">
        <v>441</v>
      </c>
      <c r="N502" s="44">
        <v>0</v>
      </c>
      <c r="O502" s="44">
        <f t="shared" si="15"/>
        <v>0</v>
      </c>
      <c r="P502" s="48">
        <f>KOHC!H131</f>
        <v>0</v>
      </c>
      <c r="Q502" s="44" t="str">
        <f t="shared" si="14"/>
        <v>PASS</v>
      </c>
      <c r="R502" s="44" t="s">
        <v>1110</v>
      </c>
      <c r="S502" s="44" t="s">
        <v>1537</v>
      </c>
    </row>
    <row r="503" spans="1:19" x14ac:dyDescent="0.3">
      <c r="A503" s="44" t="s">
        <v>1569</v>
      </c>
      <c r="B503" s="44" t="s">
        <v>18</v>
      </c>
      <c r="C503" s="44" t="s">
        <v>20</v>
      </c>
      <c r="D503" s="44" t="s">
        <v>1570</v>
      </c>
      <c r="E503" s="44" t="s">
        <v>1381</v>
      </c>
      <c r="F503" s="44" t="s">
        <v>1571</v>
      </c>
      <c r="G503" s="44" t="s">
        <v>1104</v>
      </c>
      <c r="H503" s="44" t="s">
        <v>1105</v>
      </c>
      <c r="I503" s="44" t="s">
        <v>1127</v>
      </c>
      <c r="J503" s="44">
        <v>86</v>
      </c>
      <c r="K503" s="44" t="s">
        <v>1139</v>
      </c>
      <c r="L503" s="44"/>
      <c r="M503" s="44" t="s">
        <v>441</v>
      </c>
      <c r="N503" s="44">
        <v>17.41</v>
      </c>
      <c r="O503" s="44">
        <f t="shared" si="15"/>
        <v>17.41</v>
      </c>
      <c r="P503" s="48">
        <f>KOHC!D132</f>
        <v>17.41</v>
      </c>
      <c r="Q503" s="44" t="str">
        <f t="shared" si="14"/>
        <v>PASS</v>
      </c>
      <c r="R503" s="44" t="s">
        <v>1110</v>
      </c>
      <c r="S503" s="44" t="s">
        <v>1537</v>
      </c>
    </row>
    <row r="504" spans="1:19" x14ac:dyDescent="0.3">
      <c r="A504" s="44" t="s">
        <v>1572</v>
      </c>
      <c r="B504" s="44" t="s">
        <v>18</v>
      </c>
      <c r="C504" s="44" t="s">
        <v>26</v>
      </c>
      <c r="D504" s="44" t="s">
        <v>1570</v>
      </c>
      <c r="E504" s="44" t="s">
        <v>1381</v>
      </c>
      <c r="F504" s="44" t="s">
        <v>1571</v>
      </c>
      <c r="G504" s="44" t="s">
        <v>1112</v>
      </c>
      <c r="H504" s="44" t="s">
        <v>1113</v>
      </c>
      <c r="I504" s="44" t="s">
        <v>1127</v>
      </c>
      <c r="J504" s="44">
        <v>94</v>
      </c>
      <c r="K504" s="44" t="s">
        <v>1139</v>
      </c>
      <c r="L504" s="44"/>
      <c r="M504" s="44" t="s">
        <v>441</v>
      </c>
      <c r="N504" s="44">
        <v>25.01</v>
      </c>
      <c r="O504" s="44">
        <f t="shared" si="15"/>
        <v>25.01</v>
      </c>
      <c r="P504" s="48">
        <f>KOHC!E132</f>
        <v>25.01</v>
      </c>
      <c r="Q504" s="44" t="str">
        <f t="shared" si="14"/>
        <v>PASS</v>
      </c>
      <c r="R504" s="44" t="s">
        <v>1110</v>
      </c>
      <c r="S504" s="44" t="s">
        <v>1537</v>
      </c>
    </row>
    <row r="505" spans="1:19" x14ac:dyDescent="0.3">
      <c r="A505" s="44" t="s">
        <v>1573</v>
      </c>
      <c r="B505" s="44" t="s">
        <v>18</v>
      </c>
      <c r="C505" s="44" t="s">
        <v>27</v>
      </c>
      <c r="D505" s="44" t="s">
        <v>1570</v>
      </c>
      <c r="E505" s="44" t="s">
        <v>1381</v>
      </c>
      <c r="F505" s="44" t="s">
        <v>1571</v>
      </c>
      <c r="G505" s="44" t="s">
        <v>1116</v>
      </c>
      <c r="H505" s="44" t="s">
        <v>1117</v>
      </c>
      <c r="I505" s="44" t="s">
        <v>1127</v>
      </c>
      <c r="J505" s="44">
        <v>92</v>
      </c>
      <c r="K505" s="44" t="s">
        <v>1139</v>
      </c>
      <c r="L505" s="44"/>
      <c r="M505" s="44" t="s">
        <v>441</v>
      </c>
      <c r="N505" s="44">
        <v>28.98</v>
      </c>
      <c r="O505" s="44">
        <f t="shared" si="15"/>
        <v>28.98</v>
      </c>
      <c r="P505" s="48">
        <f>KOHC!F132</f>
        <v>28.98</v>
      </c>
      <c r="Q505" s="44" t="str">
        <f t="shared" si="14"/>
        <v>PASS</v>
      </c>
      <c r="R505" s="44" t="s">
        <v>1110</v>
      </c>
      <c r="S505" s="44" t="s">
        <v>1537</v>
      </c>
    </row>
    <row r="506" spans="1:19" x14ac:dyDescent="0.3">
      <c r="A506" s="44" t="s">
        <v>1574</v>
      </c>
      <c r="B506" s="44" t="s">
        <v>18</v>
      </c>
      <c r="C506" s="44" t="s">
        <v>28</v>
      </c>
      <c r="D506" s="44" t="s">
        <v>1570</v>
      </c>
      <c r="E506" s="44" t="s">
        <v>1381</v>
      </c>
      <c r="F506" s="44" t="s">
        <v>1571</v>
      </c>
      <c r="G506" s="44" t="s">
        <v>1119</v>
      </c>
      <c r="H506" s="44" t="s">
        <v>1120</v>
      </c>
      <c r="I506" s="44" t="s">
        <v>1127</v>
      </c>
      <c r="J506" s="44">
        <v>101</v>
      </c>
      <c r="K506" s="44" t="s">
        <v>1139</v>
      </c>
      <c r="L506" s="44"/>
      <c r="M506" s="44" t="s">
        <v>441</v>
      </c>
      <c r="N506" s="44">
        <v>45.27</v>
      </c>
      <c r="O506" s="44">
        <f t="shared" si="15"/>
        <v>45.27</v>
      </c>
      <c r="P506" s="48">
        <f>KOHC!G132</f>
        <v>45.27</v>
      </c>
      <c r="Q506" s="44" t="str">
        <f t="shared" si="14"/>
        <v>PASS</v>
      </c>
      <c r="R506" s="44" t="s">
        <v>1110</v>
      </c>
      <c r="S506" s="44" t="s">
        <v>1537</v>
      </c>
    </row>
    <row r="507" spans="1:19" x14ac:dyDescent="0.3">
      <c r="A507" s="44" t="s">
        <v>1575</v>
      </c>
      <c r="B507" s="44" t="s">
        <v>18</v>
      </c>
      <c r="C507" s="44" t="s">
        <v>29</v>
      </c>
      <c r="D507" s="44" t="s">
        <v>1570</v>
      </c>
      <c r="E507" s="44" t="s">
        <v>1381</v>
      </c>
      <c r="F507" s="44" t="s">
        <v>1571</v>
      </c>
      <c r="G507" s="44" t="s">
        <v>1123</v>
      </c>
      <c r="H507" s="44" t="s">
        <v>1124</v>
      </c>
      <c r="I507" s="44" t="s">
        <v>1127</v>
      </c>
      <c r="J507" s="44">
        <v>109</v>
      </c>
      <c r="K507" s="44" t="s">
        <v>1386</v>
      </c>
      <c r="L507" s="44"/>
      <c r="M507" s="44" t="s">
        <v>441</v>
      </c>
      <c r="N507" s="44">
        <v>11.97</v>
      </c>
      <c r="O507" s="44">
        <f t="shared" si="15"/>
        <v>11.97</v>
      </c>
      <c r="P507" s="48">
        <f>KOHC!H132</f>
        <v>11.97</v>
      </c>
      <c r="Q507" s="44" t="str">
        <f t="shared" si="14"/>
        <v>PASS</v>
      </c>
      <c r="R507" s="44" t="s">
        <v>1110</v>
      </c>
      <c r="S507" s="44" t="s">
        <v>1537</v>
      </c>
    </row>
    <row r="508" spans="1:19" x14ac:dyDescent="0.3">
      <c r="A508" s="44" t="s">
        <v>1576</v>
      </c>
      <c r="B508" s="44" t="s">
        <v>18</v>
      </c>
      <c r="C508" s="44" t="s">
        <v>20</v>
      </c>
      <c r="D508" s="44" t="s">
        <v>1577</v>
      </c>
      <c r="E508" s="44" t="s">
        <v>1130</v>
      </c>
      <c r="F508" s="44" t="s">
        <v>1578</v>
      </c>
      <c r="G508" s="44" t="s">
        <v>1123</v>
      </c>
      <c r="H508" s="44" t="s">
        <v>1124</v>
      </c>
      <c r="I508" s="44" t="s">
        <v>1106</v>
      </c>
      <c r="J508" s="44">
        <v>53</v>
      </c>
      <c r="K508" s="44" t="s">
        <v>1107</v>
      </c>
      <c r="L508" s="44"/>
      <c r="M508" s="44" t="s">
        <v>457</v>
      </c>
      <c r="N508" s="44">
        <v>5</v>
      </c>
      <c r="O508" s="44">
        <f t="shared" si="15"/>
        <v>5</v>
      </c>
      <c r="P508" s="48">
        <f>KOHC!D134</f>
        <v>5</v>
      </c>
      <c r="Q508" s="44" t="str">
        <f t="shared" si="14"/>
        <v>PASS</v>
      </c>
      <c r="R508" s="44" t="s">
        <v>1110</v>
      </c>
      <c r="S508" s="44" t="s">
        <v>1537</v>
      </c>
    </row>
    <row r="509" spans="1:19" x14ac:dyDescent="0.3">
      <c r="A509" s="44" t="s">
        <v>1579</v>
      </c>
      <c r="B509" s="44" t="s">
        <v>18</v>
      </c>
      <c r="C509" s="44" t="s">
        <v>26</v>
      </c>
      <c r="D509" s="44" t="s">
        <v>1577</v>
      </c>
      <c r="E509" s="44" t="s">
        <v>1130</v>
      </c>
      <c r="F509" s="44" t="s">
        <v>1578</v>
      </c>
      <c r="G509" s="44" t="s">
        <v>1123</v>
      </c>
      <c r="H509" s="44" t="s">
        <v>1124</v>
      </c>
      <c r="I509" s="44" t="s">
        <v>1106</v>
      </c>
      <c r="J509" s="44">
        <v>53</v>
      </c>
      <c r="K509" s="44" t="s">
        <v>1107</v>
      </c>
      <c r="L509" s="44"/>
      <c r="M509" s="44" t="s">
        <v>457</v>
      </c>
      <c r="N509" s="44">
        <v>5</v>
      </c>
      <c r="O509" s="44">
        <f t="shared" si="15"/>
        <v>5</v>
      </c>
      <c r="P509" s="48">
        <f>KOHC!E134</f>
        <v>5</v>
      </c>
      <c r="Q509" s="44" t="str">
        <f t="shared" si="14"/>
        <v>PASS</v>
      </c>
      <c r="R509" s="44" t="s">
        <v>1110</v>
      </c>
      <c r="S509" s="44" t="s">
        <v>1537</v>
      </c>
    </row>
    <row r="510" spans="1:19" x14ac:dyDescent="0.3">
      <c r="A510" s="44" t="s">
        <v>1580</v>
      </c>
      <c r="B510" s="44" t="s">
        <v>18</v>
      </c>
      <c r="C510" s="44" t="s">
        <v>27</v>
      </c>
      <c r="D510" s="44" t="s">
        <v>1577</v>
      </c>
      <c r="E510" s="44" t="s">
        <v>1130</v>
      </c>
      <c r="F510" s="44" t="s">
        <v>1578</v>
      </c>
      <c r="G510" s="44" t="s">
        <v>1123</v>
      </c>
      <c r="H510" s="44" t="s">
        <v>1124</v>
      </c>
      <c r="I510" s="44" t="s">
        <v>1106</v>
      </c>
      <c r="J510" s="44">
        <v>53</v>
      </c>
      <c r="K510" s="44" t="s">
        <v>1107</v>
      </c>
      <c r="L510" s="44"/>
      <c r="M510" s="44" t="s">
        <v>457</v>
      </c>
      <c r="N510" s="44">
        <v>5</v>
      </c>
      <c r="O510" s="44">
        <f t="shared" si="15"/>
        <v>5</v>
      </c>
      <c r="P510" s="48">
        <f>KOHC!F134</f>
        <v>5</v>
      </c>
      <c r="Q510" s="44" t="str">
        <f t="shared" si="14"/>
        <v>PASS</v>
      </c>
      <c r="R510" s="44" t="s">
        <v>1110</v>
      </c>
      <c r="S510" s="44" t="s">
        <v>1537</v>
      </c>
    </row>
    <row r="511" spans="1:19" x14ac:dyDescent="0.3">
      <c r="A511" s="44" t="s">
        <v>1581</v>
      </c>
      <c r="B511" s="44" t="s">
        <v>18</v>
      </c>
      <c r="C511" s="44" t="s">
        <v>28</v>
      </c>
      <c r="D511" s="44" t="s">
        <v>1577</v>
      </c>
      <c r="E511" s="44" t="s">
        <v>1130</v>
      </c>
      <c r="F511" s="44" t="s">
        <v>1578</v>
      </c>
      <c r="G511" s="44" t="s">
        <v>1123</v>
      </c>
      <c r="H511" s="44" t="s">
        <v>1124</v>
      </c>
      <c r="I511" s="44" t="s">
        <v>1106</v>
      </c>
      <c r="J511" s="44">
        <v>53</v>
      </c>
      <c r="K511" s="44" t="s">
        <v>1107</v>
      </c>
      <c r="L511" s="44"/>
      <c r="M511" s="44" t="s">
        <v>457</v>
      </c>
      <c r="N511" s="44">
        <v>5</v>
      </c>
      <c r="O511" s="44">
        <f t="shared" si="15"/>
        <v>5</v>
      </c>
      <c r="P511" s="48">
        <f>KOHC!G134</f>
        <v>5</v>
      </c>
      <c r="Q511" s="44" t="str">
        <f t="shared" si="14"/>
        <v>PASS</v>
      </c>
      <c r="R511" s="44" t="s">
        <v>1110</v>
      </c>
      <c r="S511" s="44" t="s">
        <v>1537</v>
      </c>
    </row>
    <row r="512" spans="1:19" x14ac:dyDescent="0.3">
      <c r="A512" s="44" t="s">
        <v>1582</v>
      </c>
      <c r="B512" s="44" t="s">
        <v>18</v>
      </c>
      <c r="C512" s="44" t="s">
        <v>29</v>
      </c>
      <c r="D512" s="44" t="s">
        <v>1577</v>
      </c>
      <c r="E512" s="44" t="s">
        <v>1130</v>
      </c>
      <c r="F512" s="44" t="s">
        <v>1578</v>
      </c>
      <c r="G512" s="44" t="s">
        <v>1123</v>
      </c>
      <c r="H512" s="44" t="s">
        <v>1124</v>
      </c>
      <c r="I512" s="44" t="s">
        <v>1127</v>
      </c>
      <c r="J512" s="44">
        <v>53</v>
      </c>
      <c r="K512" s="44" t="s">
        <v>1107</v>
      </c>
      <c r="L512" s="44"/>
      <c r="M512" s="44" t="s">
        <v>457</v>
      </c>
      <c r="N512" s="44">
        <v>5</v>
      </c>
      <c r="O512" s="44">
        <f t="shared" si="15"/>
        <v>5</v>
      </c>
      <c r="P512" s="48">
        <f>KOHC!H134</f>
        <v>5</v>
      </c>
      <c r="Q512" s="44" t="str">
        <f t="shared" si="14"/>
        <v>PASS</v>
      </c>
      <c r="R512" s="44" t="s">
        <v>1110</v>
      </c>
      <c r="S512" s="44" t="s">
        <v>1537</v>
      </c>
    </row>
    <row r="513" spans="1:19" x14ac:dyDescent="0.3">
      <c r="A513" s="44" t="s">
        <v>1583</v>
      </c>
      <c r="B513" s="44" t="s">
        <v>68</v>
      </c>
      <c r="C513" s="44" t="s">
        <v>965</v>
      </c>
      <c r="D513" s="44" t="s">
        <v>243</v>
      </c>
      <c r="E513" s="44" t="s">
        <v>1035</v>
      </c>
      <c r="F513" s="44" t="s">
        <v>1103</v>
      </c>
      <c r="G513" s="44" t="s">
        <v>1584</v>
      </c>
      <c r="H513" s="44" t="s">
        <v>1105</v>
      </c>
      <c r="I513" s="44" t="s">
        <v>1106</v>
      </c>
      <c r="J513" s="44">
        <v>191</v>
      </c>
      <c r="K513" s="44" t="s">
        <v>1107</v>
      </c>
      <c r="L513" s="44" t="s">
        <v>1585</v>
      </c>
      <c r="M513" s="44" t="s">
        <v>1586</v>
      </c>
      <c r="N513" s="45">
        <v>60247570</v>
      </c>
      <c r="O513" s="46">
        <f t="shared" ref="O513:O576" si="16">N513/1000</f>
        <v>60247.57</v>
      </c>
      <c r="P513" s="47">
        <f>LUCK!C20</f>
        <v>60247.57</v>
      </c>
      <c r="Q513" s="44" t="str">
        <f t="shared" si="14"/>
        <v>PASS</v>
      </c>
      <c r="R513" s="44" t="s">
        <v>1587</v>
      </c>
      <c r="S513" s="44"/>
    </row>
    <row r="514" spans="1:19" x14ac:dyDescent="0.3">
      <c r="A514" s="44" t="s">
        <v>1588</v>
      </c>
      <c r="B514" s="44" t="s">
        <v>68</v>
      </c>
      <c r="C514" s="44" t="s">
        <v>20</v>
      </c>
      <c r="D514" s="44" t="s">
        <v>243</v>
      </c>
      <c r="E514" s="44" t="s">
        <v>1035</v>
      </c>
      <c r="F514" s="44" t="s">
        <v>1103</v>
      </c>
      <c r="G514" s="44" t="s">
        <v>1589</v>
      </c>
      <c r="H514" s="44" t="s">
        <v>1113</v>
      </c>
      <c r="I514" s="44" t="s">
        <v>1106</v>
      </c>
      <c r="J514" s="44">
        <v>226</v>
      </c>
      <c r="K514" s="44" t="s">
        <v>1590</v>
      </c>
      <c r="L514" s="44" t="s">
        <v>1585</v>
      </c>
      <c r="M514" s="44" t="s">
        <v>1586</v>
      </c>
      <c r="N514" s="45">
        <v>62389947</v>
      </c>
      <c r="O514" s="46">
        <f t="shared" si="16"/>
        <v>62389.947</v>
      </c>
      <c r="P514" s="47">
        <f>LUCK!D20</f>
        <v>62389.947</v>
      </c>
      <c r="Q514" s="44" t="str">
        <f t="shared" si="14"/>
        <v>PASS</v>
      </c>
      <c r="R514" s="44" t="s">
        <v>1587</v>
      </c>
      <c r="S514" s="44"/>
    </row>
    <row r="515" spans="1:19" x14ac:dyDescent="0.3">
      <c r="A515" s="44" t="s">
        <v>1591</v>
      </c>
      <c r="B515" s="44" t="s">
        <v>68</v>
      </c>
      <c r="C515" s="44" t="s">
        <v>26</v>
      </c>
      <c r="D515" s="44" t="s">
        <v>243</v>
      </c>
      <c r="E515" s="44" t="s">
        <v>1035</v>
      </c>
      <c r="F515" s="44" t="s">
        <v>1103</v>
      </c>
      <c r="G515" s="44" t="s">
        <v>1592</v>
      </c>
      <c r="H515" s="44" t="s">
        <v>1117</v>
      </c>
      <c r="I515" s="44" t="s">
        <v>1106</v>
      </c>
      <c r="J515" s="44">
        <v>234</v>
      </c>
      <c r="K515" s="44" t="s">
        <v>1593</v>
      </c>
      <c r="L515" s="44" t="s">
        <v>1585</v>
      </c>
      <c r="M515" s="44" t="s">
        <v>1586</v>
      </c>
      <c r="N515" s="45">
        <v>82301050</v>
      </c>
      <c r="O515" s="46">
        <f t="shared" si="16"/>
        <v>82301.05</v>
      </c>
      <c r="P515" s="47">
        <f>LUCK!E20</f>
        <v>82301.05</v>
      </c>
      <c r="Q515" s="44" t="str">
        <f t="shared" si="14"/>
        <v>PASS</v>
      </c>
      <c r="R515" s="44" t="s">
        <v>1587</v>
      </c>
      <c r="S515" s="44"/>
    </row>
    <row r="516" spans="1:19" x14ac:dyDescent="0.3">
      <c r="A516" s="44" t="s">
        <v>1594</v>
      </c>
      <c r="B516" s="44" t="s">
        <v>68</v>
      </c>
      <c r="C516" s="44" t="s">
        <v>27</v>
      </c>
      <c r="D516" s="44" t="s">
        <v>243</v>
      </c>
      <c r="E516" s="44" t="s">
        <v>1035</v>
      </c>
      <c r="F516" s="44" t="s">
        <v>1103</v>
      </c>
      <c r="G516" s="44" t="s">
        <v>1595</v>
      </c>
      <c r="H516" s="44" t="s">
        <v>1120</v>
      </c>
      <c r="I516" s="44" t="s">
        <v>1106</v>
      </c>
      <c r="J516" s="44">
        <v>238</v>
      </c>
      <c r="K516" s="44" t="s">
        <v>1596</v>
      </c>
      <c r="L516" s="44" t="s">
        <v>1585</v>
      </c>
      <c r="M516" s="44" t="s">
        <v>1586</v>
      </c>
      <c r="N516" s="45">
        <v>95620306</v>
      </c>
      <c r="O516" s="46">
        <f t="shared" si="16"/>
        <v>95620.305999999997</v>
      </c>
      <c r="P516" s="47">
        <f>LUCK!F20</f>
        <v>95620.305999999997</v>
      </c>
      <c r="Q516" s="44" t="str">
        <f t="shared" si="14"/>
        <v>PASS</v>
      </c>
      <c r="R516" s="44" t="s">
        <v>1587</v>
      </c>
      <c r="S516" s="44"/>
    </row>
    <row r="517" spans="1:19" x14ac:dyDescent="0.3">
      <c r="A517" s="44" t="s">
        <v>1597</v>
      </c>
      <c r="B517" s="44" t="s">
        <v>68</v>
      </c>
      <c r="C517" s="44" t="s">
        <v>28</v>
      </c>
      <c r="D517" s="44" t="s">
        <v>243</v>
      </c>
      <c r="E517" s="44" t="s">
        <v>1035</v>
      </c>
      <c r="F517" s="44" t="s">
        <v>1103</v>
      </c>
      <c r="G517" s="44" t="s">
        <v>1598</v>
      </c>
      <c r="H517" s="44" t="s">
        <v>1124</v>
      </c>
      <c r="I517" s="44" t="s">
        <v>1106</v>
      </c>
      <c r="J517" s="44">
        <v>240</v>
      </c>
      <c r="K517" s="44" t="s">
        <v>1599</v>
      </c>
      <c r="L517" s="44" t="s">
        <v>1585</v>
      </c>
      <c r="M517" s="44" t="s">
        <v>1586</v>
      </c>
      <c r="N517" s="45">
        <v>107258973</v>
      </c>
      <c r="O517" s="46">
        <f t="shared" si="16"/>
        <v>107258.973</v>
      </c>
      <c r="P517" s="47">
        <f>LUCK!G20</f>
        <v>107258.973</v>
      </c>
      <c r="Q517" s="44" t="str">
        <f t="shared" si="14"/>
        <v>PASS</v>
      </c>
      <c r="R517" s="44" t="s">
        <v>1587</v>
      </c>
      <c r="S517" s="44"/>
    </row>
    <row r="518" spans="1:19" x14ac:dyDescent="0.3">
      <c r="A518" s="44" t="s">
        <v>1600</v>
      </c>
      <c r="B518" s="44" t="s">
        <v>68</v>
      </c>
      <c r="C518" s="44" t="s">
        <v>29</v>
      </c>
      <c r="D518" s="44" t="s">
        <v>243</v>
      </c>
      <c r="E518" s="44" t="s">
        <v>1035</v>
      </c>
      <c r="F518" s="44" t="s">
        <v>1103</v>
      </c>
      <c r="G518" s="44" t="s">
        <v>1598</v>
      </c>
      <c r="H518" s="44" t="s">
        <v>1124</v>
      </c>
      <c r="I518" s="44" t="s">
        <v>1127</v>
      </c>
      <c r="J518" s="44">
        <v>240</v>
      </c>
      <c r="K518" s="44" t="s">
        <v>1599</v>
      </c>
      <c r="L518" s="44" t="s">
        <v>1585</v>
      </c>
      <c r="M518" s="44" t="s">
        <v>1586</v>
      </c>
      <c r="N518" s="45">
        <v>107409588</v>
      </c>
      <c r="O518" s="46">
        <f t="shared" si="16"/>
        <v>107409.588</v>
      </c>
      <c r="P518" s="47">
        <f>LUCK!H20</f>
        <v>107409.588</v>
      </c>
      <c r="Q518" s="44" t="str">
        <f t="shared" si="14"/>
        <v>PASS</v>
      </c>
      <c r="R518" s="44" t="s">
        <v>1587</v>
      </c>
      <c r="S518" s="44"/>
    </row>
    <row r="519" spans="1:19" x14ac:dyDescent="0.3">
      <c r="A519" s="44" t="s">
        <v>1601</v>
      </c>
      <c r="B519" s="44" t="s">
        <v>68</v>
      </c>
      <c r="C519" s="44" t="s">
        <v>965</v>
      </c>
      <c r="D519" s="44" t="s">
        <v>1129</v>
      </c>
      <c r="E519" s="44" t="s">
        <v>1130</v>
      </c>
      <c r="F519" s="44" t="s">
        <v>538</v>
      </c>
      <c r="G519" s="44" t="s">
        <v>1584</v>
      </c>
      <c r="H519" s="44" t="s">
        <v>1105</v>
      </c>
      <c r="I519" s="44" t="s">
        <v>1106</v>
      </c>
      <c r="J519" s="44">
        <v>202</v>
      </c>
      <c r="K519" s="44" t="s">
        <v>1107</v>
      </c>
      <c r="L519" s="44"/>
      <c r="M519" s="44" t="s">
        <v>1586</v>
      </c>
      <c r="N519" s="45">
        <v>334191</v>
      </c>
      <c r="O519" s="46">
        <f t="shared" si="16"/>
        <v>334.19099999999997</v>
      </c>
      <c r="P519" s="47">
        <f>LUCK!C21</f>
        <v>334.19099999999997</v>
      </c>
      <c r="Q519" s="44" t="str">
        <f t="shared" si="14"/>
        <v>PASS</v>
      </c>
      <c r="R519" s="44" t="s">
        <v>1587</v>
      </c>
      <c r="S519" s="44"/>
    </row>
    <row r="520" spans="1:19" x14ac:dyDescent="0.3">
      <c r="A520" s="44" t="s">
        <v>1602</v>
      </c>
      <c r="B520" s="44" t="s">
        <v>68</v>
      </c>
      <c r="C520" s="44" t="s">
        <v>20</v>
      </c>
      <c r="D520" s="44" t="s">
        <v>1129</v>
      </c>
      <c r="E520" s="44" t="s">
        <v>1130</v>
      </c>
      <c r="F520" s="44" t="s">
        <v>538</v>
      </c>
      <c r="G520" s="44" t="s">
        <v>1589</v>
      </c>
      <c r="H520" s="44" t="s">
        <v>1113</v>
      </c>
      <c r="I520" s="44" t="s">
        <v>1106</v>
      </c>
      <c r="J520" s="44">
        <v>237</v>
      </c>
      <c r="K520" s="44" t="s">
        <v>1603</v>
      </c>
      <c r="L520" s="44"/>
      <c r="M520" s="44" t="s">
        <v>1586</v>
      </c>
      <c r="N520" s="45">
        <v>4015044</v>
      </c>
      <c r="O520" s="46">
        <f t="shared" si="16"/>
        <v>4015.0439999999999</v>
      </c>
      <c r="P520" s="47">
        <f>LUCK!D21</f>
        <v>4015.0439999999999</v>
      </c>
      <c r="Q520" s="44" t="str">
        <f t="shared" si="14"/>
        <v>PASS</v>
      </c>
      <c r="R520" s="44" t="s">
        <v>1587</v>
      </c>
      <c r="S520" s="44"/>
    </row>
    <row r="521" spans="1:19" x14ac:dyDescent="0.3">
      <c r="A521" s="44" t="s">
        <v>1604</v>
      </c>
      <c r="B521" s="44" t="s">
        <v>68</v>
      </c>
      <c r="C521" s="44" t="s">
        <v>26</v>
      </c>
      <c r="D521" s="44" t="s">
        <v>1129</v>
      </c>
      <c r="E521" s="44" t="s">
        <v>1130</v>
      </c>
      <c r="F521" s="44" t="s">
        <v>538</v>
      </c>
      <c r="G521" s="44" t="s">
        <v>1592</v>
      </c>
      <c r="H521" s="44" t="s">
        <v>1117</v>
      </c>
      <c r="I521" s="44" t="s">
        <v>1106</v>
      </c>
      <c r="J521" s="44">
        <v>245</v>
      </c>
      <c r="K521" s="44" t="s">
        <v>1605</v>
      </c>
      <c r="L521" s="44"/>
      <c r="M521" s="44" t="s">
        <v>1586</v>
      </c>
      <c r="N521" s="45">
        <v>21911214</v>
      </c>
      <c r="O521" s="46">
        <f t="shared" si="16"/>
        <v>21911.214</v>
      </c>
      <c r="P521" s="47">
        <f>LUCK!E21</f>
        <v>21911.214</v>
      </c>
      <c r="Q521" s="44" t="str">
        <f t="shared" si="14"/>
        <v>PASS</v>
      </c>
      <c r="R521" s="44" t="s">
        <v>1587</v>
      </c>
      <c r="S521" s="44"/>
    </row>
    <row r="522" spans="1:19" x14ac:dyDescent="0.3">
      <c r="A522" s="44" t="s">
        <v>1606</v>
      </c>
      <c r="B522" s="44" t="s">
        <v>68</v>
      </c>
      <c r="C522" s="44" t="s">
        <v>27</v>
      </c>
      <c r="D522" s="44" t="s">
        <v>1129</v>
      </c>
      <c r="E522" s="44" t="s">
        <v>1130</v>
      </c>
      <c r="F522" s="44" t="s">
        <v>538</v>
      </c>
      <c r="G522" s="44" t="s">
        <v>1595</v>
      </c>
      <c r="H522" s="44" t="s">
        <v>1120</v>
      </c>
      <c r="I522" s="44" t="s">
        <v>1106</v>
      </c>
      <c r="J522" s="44">
        <v>250</v>
      </c>
      <c r="K522" s="44" t="s">
        <v>1607</v>
      </c>
      <c r="L522" s="44"/>
      <c r="M522" s="44" t="s">
        <v>1586</v>
      </c>
      <c r="N522" s="45">
        <v>5562145</v>
      </c>
      <c r="O522" s="46">
        <f t="shared" si="16"/>
        <v>5562.1450000000004</v>
      </c>
      <c r="P522" s="47">
        <f>LUCK!F21</f>
        <v>5562.1450000000004</v>
      </c>
      <c r="Q522" s="44" t="str">
        <f t="shared" si="14"/>
        <v>PASS</v>
      </c>
      <c r="R522" s="44" t="s">
        <v>1587</v>
      </c>
      <c r="S522" s="44"/>
    </row>
    <row r="523" spans="1:19" x14ac:dyDescent="0.3">
      <c r="A523" s="44" t="s">
        <v>1608</v>
      </c>
      <c r="B523" s="44" t="s">
        <v>68</v>
      </c>
      <c r="C523" s="44" t="s">
        <v>28</v>
      </c>
      <c r="D523" s="44" t="s">
        <v>1129</v>
      </c>
      <c r="E523" s="44" t="s">
        <v>1130</v>
      </c>
      <c r="F523" s="44" t="s">
        <v>538</v>
      </c>
      <c r="G523" s="44" t="s">
        <v>1598</v>
      </c>
      <c r="H523" s="44" t="s">
        <v>1124</v>
      </c>
      <c r="I523" s="44" t="s">
        <v>1106</v>
      </c>
      <c r="J523" s="44">
        <v>252</v>
      </c>
      <c r="K523" s="44" t="s">
        <v>1609</v>
      </c>
      <c r="L523" s="44"/>
      <c r="M523" s="44" t="s">
        <v>1586</v>
      </c>
      <c r="N523" s="45">
        <v>11633303</v>
      </c>
      <c r="O523" s="46">
        <f t="shared" si="16"/>
        <v>11633.303</v>
      </c>
      <c r="P523" s="47">
        <f>LUCK!G21</f>
        <v>11633.303</v>
      </c>
      <c r="Q523" s="44" t="str">
        <f t="shared" si="14"/>
        <v>PASS</v>
      </c>
      <c r="R523" s="44" t="s">
        <v>1587</v>
      </c>
      <c r="S523" s="44"/>
    </row>
    <row r="524" spans="1:19" x14ac:dyDescent="0.3">
      <c r="A524" s="44" t="s">
        <v>1610</v>
      </c>
      <c r="B524" s="44" t="s">
        <v>68</v>
      </c>
      <c r="C524" s="44" t="s">
        <v>29</v>
      </c>
      <c r="D524" s="44" t="s">
        <v>1129</v>
      </c>
      <c r="E524" s="44" t="s">
        <v>1130</v>
      </c>
      <c r="F524" s="44" t="s">
        <v>538</v>
      </c>
      <c r="G524" s="44" t="s">
        <v>1598</v>
      </c>
      <c r="H524" s="44" t="s">
        <v>1124</v>
      </c>
      <c r="I524" s="44" t="s">
        <v>1127</v>
      </c>
      <c r="J524" s="44">
        <v>252</v>
      </c>
      <c r="K524" s="44" t="s">
        <v>1609</v>
      </c>
      <c r="L524" s="44"/>
      <c r="M524" s="44" t="s">
        <v>1586</v>
      </c>
      <c r="N524" s="45">
        <v>5420742</v>
      </c>
      <c r="O524" s="46">
        <f t="shared" si="16"/>
        <v>5420.7420000000002</v>
      </c>
      <c r="P524" s="47">
        <f>LUCK!H21</f>
        <v>5420.7420000000002</v>
      </c>
      <c r="Q524" s="44" t="str">
        <f t="shared" si="14"/>
        <v>PASS</v>
      </c>
      <c r="R524" s="44" t="s">
        <v>1587</v>
      </c>
      <c r="S524" s="44"/>
    </row>
    <row r="525" spans="1:19" x14ac:dyDescent="0.3">
      <c r="A525" s="44" t="s">
        <v>1611</v>
      </c>
      <c r="B525" s="44" t="s">
        <v>68</v>
      </c>
      <c r="C525" s="44" t="s">
        <v>965</v>
      </c>
      <c r="D525" s="44" t="s">
        <v>250</v>
      </c>
      <c r="E525" s="44" t="s">
        <v>1035</v>
      </c>
      <c r="F525" s="44"/>
      <c r="G525" s="44" t="s">
        <v>1584</v>
      </c>
      <c r="H525" s="44" t="s">
        <v>1105</v>
      </c>
      <c r="I525" s="44" t="s">
        <v>1106</v>
      </c>
      <c r="J525" s="44">
        <v>191</v>
      </c>
      <c r="K525" s="44" t="s">
        <v>1107</v>
      </c>
      <c r="L525" s="44"/>
      <c r="M525" s="44" t="s">
        <v>1586</v>
      </c>
      <c r="N525" s="45">
        <v>0</v>
      </c>
      <c r="O525" s="46">
        <f t="shared" si="16"/>
        <v>0</v>
      </c>
      <c r="P525" s="47">
        <f>LUCK!C23</f>
        <v>0</v>
      </c>
      <c r="Q525" s="44" t="str">
        <f t="shared" si="14"/>
        <v>PASS</v>
      </c>
      <c r="R525" s="44" t="s">
        <v>1587</v>
      </c>
      <c r="S525" s="44"/>
    </row>
    <row r="526" spans="1:19" x14ac:dyDescent="0.3">
      <c r="A526" s="44" t="s">
        <v>1612</v>
      </c>
      <c r="B526" s="44" t="s">
        <v>68</v>
      </c>
      <c r="C526" s="44" t="s">
        <v>20</v>
      </c>
      <c r="D526" s="44" t="s">
        <v>250</v>
      </c>
      <c r="E526" s="44" t="s">
        <v>1035</v>
      </c>
      <c r="F526" s="44"/>
      <c r="G526" s="44" t="s">
        <v>1589</v>
      </c>
      <c r="H526" s="44" t="s">
        <v>1113</v>
      </c>
      <c r="I526" s="44" t="s">
        <v>1106</v>
      </c>
      <c r="J526" s="44">
        <v>226</v>
      </c>
      <c r="K526" s="44" t="s">
        <v>1590</v>
      </c>
      <c r="L526" s="44"/>
      <c r="M526" s="44" t="s">
        <v>1586</v>
      </c>
      <c r="N526" s="45">
        <v>0</v>
      </c>
      <c r="O526" s="46">
        <f t="shared" si="16"/>
        <v>0</v>
      </c>
      <c r="P526" s="47">
        <f>LUCK!D23</f>
        <v>0</v>
      </c>
      <c r="Q526" s="44" t="str">
        <f t="shared" si="14"/>
        <v>PASS</v>
      </c>
      <c r="R526" s="44" t="s">
        <v>1587</v>
      </c>
      <c r="S526" s="44"/>
    </row>
    <row r="527" spans="1:19" x14ac:dyDescent="0.3">
      <c r="A527" s="44" t="s">
        <v>1613</v>
      </c>
      <c r="B527" s="44" t="s">
        <v>68</v>
      </c>
      <c r="C527" s="44" t="s">
        <v>26</v>
      </c>
      <c r="D527" s="44" t="s">
        <v>250</v>
      </c>
      <c r="E527" s="44" t="s">
        <v>1035</v>
      </c>
      <c r="F527" s="44"/>
      <c r="G527" s="44" t="s">
        <v>1592</v>
      </c>
      <c r="H527" s="44" t="s">
        <v>1117</v>
      </c>
      <c r="I527" s="44" t="s">
        <v>1106</v>
      </c>
      <c r="J527" s="44">
        <v>234</v>
      </c>
      <c r="K527" s="44" t="s">
        <v>1593</v>
      </c>
      <c r="L527" s="44"/>
      <c r="M527" s="44" t="s">
        <v>1586</v>
      </c>
      <c r="N527" s="45">
        <v>0</v>
      </c>
      <c r="O527" s="46">
        <f t="shared" si="16"/>
        <v>0</v>
      </c>
      <c r="P527" s="47">
        <f>LUCK!E23</f>
        <v>0</v>
      </c>
      <c r="Q527" s="44" t="str">
        <f t="shared" ref="Q527:Q590" si="17">IF(ABS(O527-P527)&lt;0.000001,"PASS","FAIL")</f>
        <v>PASS</v>
      </c>
      <c r="R527" s="44" t="s">
        <v>1587</v>
      </c>
      <c r="S527" s="44"/>
    </row>
    <row r="528" spans="1:19" x14ac:dyDescent="0.3">
      <c r="A528" s="44" t="s">
        <v>1614</v>
      </c>
      <c r="B528" s="44" t="s">
        <v>68</v>
      </c>
      <c r="C528" s="44" t="s">
        <v>27</v>
      </c>
      <c r="D528" s="44" t="s">
        <v>250</v>
      </c>
      <c r="E528" s="44" t="s">
        <v>1035</v>
      </c>
      <c r="F528" s="44"/>
      <c r="G528" s="44" t="s">
        <v>1595</v>
      </c>
      <c r="H528" s="44" t="s">
        <v>1120</v>
      </c>
      <c r="I528" s="44" t="s">
        <v>1106</v>
      </c>
      <c r="J528" s="44">
        <v>238</v>
      </c>
      <c r="K528" s="44" t="s">
        <v>1596</v>
      </c>
      <c r="L528" s="44"/>
      <c r="M528" s="44" t="s">
        <v>1586</v>
      </c>
      <c r="N528" s="45">
        <v>0</v>
      </c>
      <c r="O528" s="46">
        <f t="shared" si="16"/>
        <v>0</v>
      </c>
      <c r="P528" s="47">
        <f>LUCK!F23</f>
        <v>0</v>
      </c>
      <c r="Q528" s="44" t="str">
        <f t="shared" si="17"/>
        <v>PASS</v>
      </c>
      <c r="R528" s="44" t="s">
        <v>1587</v>
      </c>
      <c r="S528" s="44"/>
    </row>
    <row r="529" spans="1:19" x14ac:dyDescent="0.3">
      <c r="A529" s="44" t="s">
        <v>1615</v>
      </c>
      <c r="B529" s="44" t="s">
        <v>68</v>
      </c>
      <c r="C529" s="44" t="s">
        <v>28</v>
      </c>
      <c r="D529" s="44" t="s">
        <v>250</v>
      </c>
      <c r="E529" s="44" t="s">
        <v>1035</v>
      </c>
      <c r="F529" s="44"/>
      <c r="G529" s="44" t="s">
        <v>1598</v>
      </c>
      <c r="H529" s="44" t="s">
        <v>1124</v>
      </c>
      <c r="I529" s="44" t="s">
        <v>1106</v>
      </c>
      <c r="J529" s="44">
        <v>240</v>
      </c>
      <c r="K529" s="44" t="s">
        <v>1599</v>
      </c>
      <c r="L529" s="44"/>
      <c r="M529" s="44" t="s">
        <v>1586</v>
      </c>
      <c r="N529" s="45">
        <v>0</v>
      </c>
      <c r="O529" s="46">
        <f t="shared" si="16"/>
        <v>0</v>
      </c>
      <c r="P529" s="47">
        <f>LUCK!G23</f>
        <v>0</v>
      </c>
      <c r="Q529" s="44" t="str">
        <f t="shared" si="17"/>
        <v>PASS</v>
      </c>
      <c r="R529" s="44" t="s">
        <v>1587</v>
      </c>
      <c r="S529" s="44"/>
    </row>
    <row r="530" spans="1:19" x14ac:dyDescent="0.3">
      <c r="A530" s="44" t="s">
        <v>1616</v>
      </c>
      <c r="B530" s="44" t="s">
        <v>68</v>
      </c>
      <c r="C530" s="44" t="s">
        <v>29</v>
      </c>
      <c r="D530" s="44" t="s">
        <v>250</v>
      </c>
      <c r="E530" s="44" t="s">
        <v>1035</v>
      </c>
      <c r="F530" s="44"/>
      <c r="G530" s="44" t="s">
        <v>1598</v>
      </c>
      <c r="H530" s="44" t="s">
        <v>1124</v>
      </c>
      <c r="I530" s="44" t="s">
        <v>1127</v>
      </c>
      <c r="J530" s="44">
        <v>240</v>
      </c>
      <c r="K530" s="44" t="s">
        <v>1599</v>
      </c>
      <c r="L530" s="44"/>
      <c r="M530" s="44" t="s">
        <v>1586</v>
      </c>
      <c r="N530" s="45">
        <v>0</v>
      </c>
      <c r="O530" s="46">
        <f t="shared" si="16"/>
        <v>0</v>
      </c>
      <c r="P530" s="47">
        <f>LUCK!H23</f>
        <v>0</v>
      </c>
      <c r="Q530" s="44" t="str">
        <f t="shared" si="17"/>
        <v>PASS</v>
      </c>
      <c r="R530" s="44" t="s">
        <v>1587</v>
      </c>
      <c r="S530" s="44"/>
    </row>
    <row r="531" spans="1:19" x14ac:dyDescent="0.3">
      <c r="A531" s="44" t="s">
        <v>1617</v>
      </c>
      <c r="B531" s="44" t="s">
        <v>68</v>
      </c>
      <c r="C531" s="44" t="s">
        <v>965</v>
      </c>
      <c r="D531" s="44" t="s">
        <v>252</v>
      </c>
      <c r="E531" s="44" t="s">
        <v>1035</v>
      </c>
      <c r="F531" s="44" t="s">
        <v>252</v>
      </c>
      <c r="G531" s="44" t="s">
        <v>1584</v>
      </c>
      <c r="H531" s="44" t="s">
        <v>1105</v>
      </c>
      <c r="I531" s="44" t="s">
        <v>1106</v>
      </c>
      <c r="J531" s="44">
        <v>191</v>
      </c>
      <c r="K531" s="44" t="s">
        <v>1107</v>
      </c>
      <c r="L531" s="44" t="s">
        <v>1241</v>
      </c>
      <c r="M531" s="44" t="s">
        <v>1586</v>
      </c>
      <c r="N531" s="45">
        <v>11323</v>
      </c>
      <c r="O531" s="46">
        <f t="shared" si="16"/>
        <v>11.323</v>
      </c>
      <c r="P531" s="47">
        <f>LUCK!C24</f>
        <v>11.323</v>
      </c>
      <c r="Q531" s="44" t="str">
        <f t="shared" si="17"/>
        <v>PASS</v>
      </c>
      <c r="R531" s="44" t="s">
        <v>1587</v>
      </c>
      <c r="S531" s="44"/>
    </row>
    <row r="532" spans="1:19" x14ac:dyDescent="0.3">
      <c r="A532" s="44" t="s">
        <v>1618</v>
      </c>
      <c r="B532" s="44" t="s">
        <v>68</v>
      </c>
      <c r="C532" s="44" t="s">
        <v>20</v>
      </c>
      <c r="D532" s="44" t="s">
        <v>252</v>
      </c>
      <c r="E532" s="44" t="s">
        <v>1035</v>
      </c>
      <c r="F532" s="44" t="s">
        <v>252</v>
      </c>
      <c r="G532" s="44" t="s">
        <v>1589</v>
      </c>
      <c r="H532" s="44" t="s">
        <v>1113</v>
      </c>
      <c r="I532" s="44" t="s">
        <v>1106</v>
      </c>
      <c r="J532" s="44">
        <v>226</v>
      </c>
      <c r="K532" s="44" t="s">
        <v>1590</v>
      </c>
      <c r="L532" s="44" t="s">
        <v>1241</v>
      </c>
      <c r="M532" s="44" t="s">
        <v>1586</v>
      </c>
      <c r="N532" s="45">
        <v>670</v>
      </c>
      <c r="O532" s="46">
        <f t="shared" si="16"/>
        <v>0.67</v>
      </c>
      <c r="P532" s="47">
        <f>LUCK!D24</f>
        <v>0.67</v>
      </c>
      <c r="Q532" s="44" t="str">
        <f t="shared" si="17"/>
        <v>PASS</v>
      </c>
      <c r="R532" s="44" t="s">
        <v>1587</v>
      </c>
      <c r="S532" s="44"/>
    </row>
    <row r="533" spans="1:19" x14ac:dyDescent="0.3">
      <c r="A533" s="44" t="s">
        <v>1619</v>
      </c>
      <c r="B533" s="44" t="s">
        <v>68</v>
      </c>
      <c r="C533" s="44" t="s">
        <v>26</v>
      </c>
      <c r="D533" s="44" t="s">
        <v>252</v>
      </c>
      <c r="E533" s="44" t="s">
        <v>1035</v>
      </c>
      <c r="F533" s="44" t="s">
        <v>252</v>
      </c>
      <c r="G533" s="44" t="s">
        <v>1592</v>
      </c>
      <c r="H533" s="44" t="s">
        <v>1117</v>
      </c>
      <c r="I533" s="44" t="s">
        <v>1106</v>
      </c>
      <c r="J533" s="44">
        <v>234</v>
      </c>
      <c r="K533" s="44" t="s">
        <v>1593</v>
      </c>
      <c r="L533" s="44" t="s">
        <v>1241</v>
      </c>
      <c r="M533" s="44" t="s">
        <v>1586</v>
      </c>
      <c r="N533" s="45">
        <v>51352</v>
      </c>
      <c r="O533" s="46">
        <f t="shared" si="16"/>
        <v>51.351999999999997</v>
      </c>
      <c r="P533" s="47">
        <f>LUCK!E24</f>
        <v>51.351999999999997</v>
      </c>
      <c r="Q533" s="44" t="str">
        <f t="shared" si="17"/>
        <v>PASS</v>
      </c>
      <c r="R533" s="44" t="s">
        <v>1587</v>
      </c>
      <c r="S533" s="44"/>
    </row>
    <row r="534" spans="1:19" x14ac:dyDescent="0.3">
      <c r="A534" s="44" t="s">
        <v>1620</v>
      </c>
      <c r="B534" s="44" t="s">
        <v>68</v>
      </c>
      <c r="C534" s="44" t="s">
        <v>27</v>
      </c>
      <c r="D534" s="44" t="s">
        <v>252</v>
      </c>
      <c r="E534" s="44" t="s">
        <v>1035</v>
      </c>
      <c r="F534" s="44" t="s">
        <v>252</v>
      </c>
      <c r="G534" s="44" t="s">
        <v>1595</v>
      </c>
      <c r="H534" s="44" t="s">
        <v>1120</v>
      </c>
      <c r="I534" s="44" t="s">
        <v>1106</v>
      </c>
      <c r="J534" s="44">
        <v>238</v>
      </c>
      <c r="K534" s="44" t="s">
        <v>1596</v>
      </c>
      <c r="L534" s="44" t="s">
        <v>1241</v>
      </c>
      <c r="M534" s="44" t="s">
        <v>1586</v>
      </c>
      <c r="N534" s="45">
        <v>85588</v>
      </c>
      <c r="O534" s="46">
        <f t="shared" si="16"/>
        <v>85.587999999999994</v>
      </c>
      <c r="P534" s="47">
        <f>LUCK!F24</f>
        <v>85.587999999999994</v>
      </c>
      <c r="Q534" s="44" t="str">
        <f t="shared" si="17"/>
        <v>PASS</v>
      </c>
      <c r="R534" s="44" t="s">
        <v>1587</v>
      </c>
      <c r="S534" s="44"/>
    </row>
    <row r="535" spans="1:19" x14ac:dyDescent="0.3">
      <c r="A535" s="44" t="s">
        <v>1621</v>
      </c>
      <c r="B535" s="44" t="s">
        <v>68</v>
      </c>
      <c r="C535" s="44" t="s">
        <v>28</v>
      </c>
      <c r="D535" s="44" t="s">
        <v>252</v>
      </c>
      <c r="E535" s="44" t="s">
        <v>1035</v>
      </c>
      <c r="F535" s="44" t="s">
        <v>252</v>
      </c>
      <c r="G535" s="44" t="s">
        <v>1598</v>
      </c>
      <c r="H535" s="44" t="s">
        <v>1124</v>
      </c>
      <c r="I535" s="44" t="s">
        <v>1106</v>
      </c>
      <c r="J535" s="44">
        <v>240</v>
      </c>
      <c r="K535" s="44" t="s">
        <v>1599</v>
      </c>
      <c r="L535" s="44" t="s">
        <v>1241</v>
      </c>
      <c r="M535" s="44" t="s">
        <v>1586</v>
      </c>
      <c r="N535" s="45">
        <v>69394</v>
      </c>
      <c r="O535" s="46">
        <f t="shared" si="16"/>
        <v>69.394000000000005</v>
      </c>
      <c r="P535" s="47">
        <f>LUCK!G24</f>
        <v>69.394000000000005</v>
      </c>
      <c r="Q535" s="44" t="str">
        <f t="shared" si="17"/>
        <v>PASS</v>
      </c>
      <c r="R535" s="44" t="s">
        <v>1587</v>
      </c>
      <c r="S535" s="44"/>
    </row>
    <row r="536" spans="1:19" x14ac:dyDescent="0.3">
      <c r="A536" s="44" t="s">
        <v>1622</v>
      </c>
      <c r="B536" s="44" t="s">
        <v>68</v>
      </c>
      <c r="C536" s="44" t="s">
        <v>29</v>
      </c>
      <c r="D536" s="44" t="s">
        <v>252</v>
      </c>
      <c r="E536" s="44" t="s">
        <v>1035</v>
      </c>
      <c r="F536" s="44" t="s">
        <v>252</v>
      </c>
      <c r="G536" s="44" t="s">
        <v>1598</v>
      </c>
      <c r="H536" s="44" t="s">
        <v>1124</v>
      </c>
      <c r="I536" s="44" t="s">
        <v>1127</v>
      </c>
      <c r="J536" s="44">
        <v>240</v>
      </c>
      <c r="K536" s="44" t="s">
        <v>1599</v>
      </c>
      <c r="L536" s="44" t="s">
        <v>1241</v>
      </c>
      <c r="M536" s="44" t="s">
        <v>1586</v>
      </c>
      <c r="N536" s="45">
        <v>46229</v>
      </c>
      <c r="O536" s="46">
        <f t="shared" si="16"/>
        <v>46.228999999999999</v>
      </c>
      <c r="P536" s="47">
        <f>LUCK!H24</f>
        <v>46.228999999999999</v>
      </c>
      <c r="Q536" s="44" t="str">
        <f t="shared" si="17"/>
        <v>PASS</v>
      </c>
      <c r="R536" s="44" t="s">
        <v>1587</v>
      </c>
      <c r="S536" s="44"/>
    </row>
    <row r="537" spans="1:19" x14ac:dyDescent="0.3">
      <c r="A537" s="44" t="s">
        <v>1623</v>
      </c>
      <c r="B537" s="44" t="s">
        <v>68</v>
      </c>
      <c r="C537" s="44" t="s">
        <v>965</v>
      </c>
      <c r="D537" s="44" t="s">
        <v>254</v>
      </c>
      <c r="E537" s="44" t="s">
        <v>1035</v>
      </c>
      <c r="F537" s="44"/>
      <c r="G537" s="44" t="s">
        <v>1584</v>
      </c>
      <c r="H537" s="44" t="s">
        <v>1105</v>
      </c>
      <c r="I537" s="44" t="s">
        <v>1106</v>
      </c>
      <c r="J537" s="44">
        <v>191</v>
      </c>
      <c r="K537" s="44" t="s">
        <v>1107</v>
      </c>
      <c r="L537" s="44"/>
      <c r="M537" s="44" t="s">
        <v>1586</v>
      </c>
      <c r="N537" s="45">
        <v>0</v>
      </c>
      <c r="O537" s="46">
        <f t="shared" si="16"/>
        <v>0</v>
      </c>
      <c r="P537" s="47">
        <f>LUCK!C25</f>
        <v>0</v>
      </c>
      <c r="Q537" s="44" t="str">
        <f t="shared" si="17"/>
        <v>PASS</v>
      </c>
      <c r="R537" s="44" t="s">
        <v>1587</v>
      </c>
      <c r="S537" s="44"/>
    </row>
    <row r="538" spans="1:19" x14ac:dyDescent="0.3">
      <c r="A538" s="44" t="s">
        <v>1624</v>
      </c>
      <c r="B538" s="44" t="s">
        <v>68</v>
      </c>
      <c r="C538" s="44" t="s">
        <v>20</v>
      </c>
      <c r="D538" s="44" t="s">
        <v>254</v>
      </c>
      <c r="E538" s="44" t="s">
        <v>1035</v>
      </c>
      <c r="F538" s="44"/>
      <c r="G538" s="44" t="s">
        <v>1589</v>
      </c>
      <c r="H538" s="44" t="s">
        <v>1113</v>
      </c>
      <c r="I538" s="44" t="s">
        <v>1106</v>
      </c>
      <c r="J538" s="44">
        <v>226</v>
      </c>
      <c r="K538" s="44" t="s">
        <v>1590</v>
      </c>
      <c r="L538" s="44"/>
      <c r="M538" s="44" t="s">
        <v>1586</v>
      </c>
      <c r="N538" s="45">
        <v>0</v>
      </c>
      <c r="O538" s="46">
        <f t="shared" si="16"/>
        <v>0</v>
      </c>
      <c r="P538" s="47">
        <f>LUCK!D25</f>
        <v>0</v>
      </c>
      <c r="Q538" s="44" t="str">
        <f t="shared" si="17"/>
        <v>PASS</v>
      </c>
      <c r="R538" s="44" t="s">
        <v>1587</v>
      </c>
      <c r="S538" s="44"/>
    </row>
    <row r="539" spans="1:19" x14ac:dyDescent="0.3">
      <c r="A539" s="44" t="s">
        <v>1625</v>
      </c>
      <c r="B539" s="44" t="s">
        <v>68</v>
      </c>
      <c r="C539" s="44" t="s">
        <v>26</v>
      </c>
      <c r="D539" s="44" t="s">
        <v>254</v>
      </c>
      <c r="E539" s="44" t="s">
        <v>1035</v>
      </c>
      <c r="F539" s="44"/>
      <c r="G539" s="44" t="s">
        <v>1592</v>
      </c>
      <c r="H539" s="44" t="s">
        <v>1117</v>
      </c>
      <c r="I539" s="44" t="s">
        <v>1106</v>
      </c>
      <c r="J539" s="44">
        <v>234</v>
      </c>
      <c r="K539" s="44" t="s">
        <v>1593</v>
      </c>
      <c r="L539" s="44"/>
      <c r="M539" s="44" t="s">
        <v>1586</v>
      </c>
      <c r="N539" s="45">
        <v>0</v>
      </c>
      <c r="O539" s="46">
        <f t="shared" si="16"/>
        <v>0</v>
      </c>
      <c r="P539" s="47">
        <f>LUCK!E25</f>
        <v>0</v>
      </c>
      <c r="Q539" s="44" t="str">
        <f t="shared" si="17"/>
        <v>PASS</v>
      </c>
      <c r="R539" s="44" t="s">
        <v>1587</v>
      </c>
      <c r="S539" s="44"/>
    </row>
    <row r="540" spans="1:19" x14ac:dyDescent="0.3">
      <c r="A540" s="44" t="s">
        <v>1626</v>
      </c>
      <c r="B540" s="44" t="s">
        <v>68</v>
      </c>
      <c r="C540" s="44" t="s">
        <v>27</v>
      </c>
      <c r="D540" s="44" t="s">
        <v>254</v>
      </c>
      <c r="E540" s="44" t="s">
        <v>1035</v>
      </c>
      <c r="F540" s="44"/>
      <c r="G540" s="44" t="s">
        <v>1595</v>
      </c>
      <c r="H540" s="44" t="s">
        <v>1120</v>
      </c>
      <c r="I540" s="44" t="s">
        <v>1106</v>
      </c>
      <c r="J540" s="44">
        <v>238</v>
      </c>
      <c r="K540" s="44" t="s">
        <v>1596</v>
      </c>
      <c r="L540" s="44"/>
      <c r="M540" s="44" t="s">
        <v>1586</v>
      </c>
      <c r="N540" s="45">
        <v>0</v>
      </c>
      <c r="O540" s="46">
        <f t="shared" si="16"/>
        <v>0</v>
      </c>
      <c r="P540" s="47">
        <f>LUCK!F25</f>
        <v>0</v>
      </c>
      <c r="Q540" s="44" t="str">
        <f t="shared" si="17"/>
        <v>PASS</v>
      </c>
      <c r="R540" s="44" t="s">
        <v>1587</v>
      </c>
      <c r="S540" s="44"/>
    </row>
    <row r="541" spans="1:19" x14ac:dyDescent="0.3">
      <c r="A541" s="44" t="s">
        <v>1627</v>
      </c>
      <c r="B541" s="44" t="s">
        <v>68</v>
      </c>
      <c r="C541" s="44" t="s">
        <v>28</v>
      </c>
      <c r="D541" s="44" t="s">
        <v>254</v>
      </c>
      <c r="E541" s="44" t="s">
        <v>1035</v>
      </c>
      <c r="F541" s="44"/>
      <c r="G541" s="44" t="s">
        <v>1598</v>
      </c>
      <c r="H541" s="44" t="s">
        <v>1124</v>
      </c>
      <c r="I541" s="44" t="s">
        <v>1106</v>
      </c>
      <c r="J541" s="44">
        <v>240</v>
      </c>
      <c r="K541" s="44" t="s">
        <v>1599</v>
      </c>
      <c r="L541" s="44"/>
      <c r="M541" s="44" t="s">
        <v>1586</v>
      </c>
      <c r="N541" s="45">
        <v>0</v>
      </c>
      <c r="O541" s="46">
        <f t="shared" si="16"/>
        <v>0</v>
      </c>
      <c r="P541" s="47">
        <f>LUCK!G25</f>
        <v>0</v>
      </c>
      <c r="Q541" s="44" t="str">
        <f t="shared" si="17"/>
        <v>PASS</v>
      </c>
      <c r="R541" s="44" t="s">
        <v>1587</v>
      </c>
      <c r="S541" s="44"/>
    </row>
    <row r="542" spans="1:19" x14ac:dyDescent="0.3">
      <c r="A542" s="44" t="s">
        <v>1628</v>
      </c>
      <c r="B542" s="44" t="s">
        <v>68</v>
      </c>
      <c r="C542" s="44" t="s">
        <v>29</v>
      </c>
      <c r="D542" s="44" t="s">
        <v>254</v>
      </c>
      <c r="E542" s="44" t="s">
        <v>1035</v>
      </c>
      <c r="F542" s="44"/>
      <c r="G542" s="44" t="s">
        <v>1598</v>
      </c>
      <c r="H542" s="44" t="s">
        <v>1124</v>
      </c>
      <c r="I542" s="44" t="s">
        <v>1127</v>
      </c>
      <c r="J542" s="44">
        <v>240</v>
      </c>
      <c r="K542" s="44" t="s">
        <v>1599</v>
      </c>
      <c r="L542" s="44"/>
      <c r="M542" s="44" t="s">
        <v>1586</v>
      </c>
      <c r="N542" s="45">
        <v>0</v>
      </c>
      <c r="O542" s="46">
        <f t="shared" si="16"/>
        <v>0</v>
      </c>
      <c r="P542" s="47">
        <f>LUCK!H25</f>
        <v>0</v>
      </c>
      <c r="Q542" s="44" t="str">
        <f t="shared" si="17"/>
        <v>PASS</v>
      </c>
      <c r="R542" s="44" t="s">
        <v>1587</v>
      </c>
      <c r="S542" s="44"/>
    </row>
    <row r="543" spans="1:19" x14ac:dyDescent="0.3">
      <c r="A543" s="44" t="s">
        <v>1629</v>
      </c>
      <c r="B543" s="44" t="s">
        <v>68</v>
      </c>
      <c r="C543" s="44" t="s">
        <v>965</v>
      </c>
      <c r="D543" s="44" t="s">
        <v>256</v>
      </c>
      <c r="E543" s="44" t="s">
        <v>1035</v>
      </c>
      <c r="F543" s="44" t="s">
        <v>256</v>
      </c>
      <c r="G543" s="44" t="s">
        <v>1584</v>
      </c>
      <c r="H543" s="44" t="s">
        <v>1105</v>
      </c>
      <c r="I543" s="44" t="s">
        <v>1106</v>
      </c>
      <c r="J543" s="44">
        <v>191</v>
      </c>
      <c r="K543" s="44" t="s">
        <v>1107</v>
      </c>
      <c r="L543" s="44" t="s">
        <v>1630</v>
      </c>
      <c r="M543" s="44" t="s">
        <v>1586</v>
      </c>
      <c r="N543" s="45">
        <v>47144485</v>
      </c>
      <c r="O543" s="46">
        <f t="shared" si="16"/>
        <v>47144.485000000001</v>
      </c>
      <c r="P543" s="47">
        <f>LUCK!C26</f>
        <v>47144.485000000001</v>
      </c>
      <c r="Q543" s="44" t="str">
        <f t="shared" si="17"/>
        <v>PASS</v>
      </c>
      <c r="R543" s="44" t="s">
        <v>1587</v>
      </c>
      <c r="S543" s="44"/>
    </row>
    <row r="544" spans="1:19" x14ac:dyDescent="0.3">
      <c r="A544" s="44" t="s">
        <v>1631</v>
      </c>
      <c r="B544" s="44" t="s">
        <v>68</v>
      </c>
      <c r="C544" s="44" t="s">
        <v>20</v>
      </c>
      <c r="D544" s="44" t="s">
        <v>256</v>
      </c>
      <c r="E544" s="44" t="s">
        <v>1035</v>
      </c>
      <c r="F544" s="44" t="s">
        <v>256</v>
      </c>
      <c r="G544" s="44" t="s">
        <v>1589</v>
      </c>
      <c r="H544" s="44" t="s">
        <v>1113</v>
      </c>
      <c r="I544" s="44" t="s">
        <v>1106</v>
      </c>
      <c r="J544" s="44">
        <v>226</v>
      </c>
      <c r="K544" s="44" t="s">
        <v>1590</v>
      </c>
      <c r="L544" s="44" t="s">
        <v>1630</v>
      </c>
      <c r="M544" s="44" t="s">
        <v>1586</v>
      </c>
      <c r="N544" s="45">
        <v>53194485</v>
      </c>
      <c r="O544" s="46">
        <f t="shared" si="16"/>
        <v>53194.485000000001</v>
      </c>
      <c r="P544" s="47">
        <f>LUCK!D26</f>
        <v>53194.485000000001</v>
      </c>
      <c r="Q544" s="44" t="str">
        <f t="shared" si="17"/>
        <v>PASS</v>
      </c>
      <c r="R544" s="44" t="s">
        <v>1587</v>
      </c>
      <c r="S544" s="44"/>
    </row>
    <row r="545" spans="1:19" x14ac:dyDescent="0.3">
      <c r="A545" s="44" t="s">
        <v>1632</v>
      </c>
      <c r="B545" s="44" t="s">
        <v>68</v>
      </c>
      <c r="C545" s="44" t="s">
        <v>26</v>
      </c>
      <c r="D545" s="44" t="s">
        <v>256</v>
      </c>
      <c r="E545" s="44" t="s">
        <v>1035</v>
      </c>
      <c r="F545" s="44" t="s">
        <v>256</v>
      </c>
      <c r="G545" s="44" t="s">
        <v>1592</v>
      </c>
      <c r="H545" s="44" t="s">
        <v>1117</v>
      </c>
      <c r="I545" s="44" t="s">
        <v>1106</v>
      </c>
      <c r="J545" s="44">
        <v>234</v>
      </c>
      <c r="K545" s="44" t="s">
        <v>1593</v>
      </c>
      <c r="L545" s="44" t="s">
        <v>1630</v>
      </c>
      <c r="M545" s="44" t="s">
        <v>1586</v>
      </c>
      <c r="N545" s="45">
        <v>57594485</v>
      </c>
      <c r="O545" s="46">
        <f t="shared" si="16"/>
        <v>57594.485000000001</v>
      </c>
      <c r="P545" s="47">
        <f>LUCK!E26</f>
        <v>57594.485000000001</v>
      </c>
      <c r="Q545" s="44" t="str">
        <f t="shared" si="17"/>
        <v>PASS</v>
      </c>
      <c r="R545" s="44" t="s">
        <v>1587</v>
      </c>
      <c r="S545" s="44"/>
    </row>
    <row r="546" spans="1:19" x14ac:dyDescent="0.3">
      <c r="A546" s="44" t="s">
        <v>1633</v>
      </c>
      <c r="B546" s="44" t="s">
        <v>68</v>
      </c>
      <c r="C546" s="44" t="s">
        <v>27</v>
      </c>
      <c r="D546" s="44" t="s">
        <v>256</v>
      </c>
      <c r="E546" s="44" t="s">
        <v>1035</v>
      </c>
      <c r="F546" s="44" t="s">
        <v>256</v>
      </c>
      <c r="G546" s="44" t="s">
        <v>1595</v>
      </c>
      <c r="H546" s="44" t="s">
        <v>1120</v>
      </c>
      <c r="I546" s="44" t="s">
        <v>1106</v>
      </c>
      <c r="J546" s="44">
        <v>238</v>
      </c>
      <c r="K546" s="44" t="s">
        <v>1596</v>
      </c>
      <c r="L546" s="44" t="s">
        <v>1630</v>
      </c>
      <c r="M546" s="44" t="s">
        <v>1586</v>
      </c>
      <c r="N546" s="45">
        <v>57594485</v>
      </c>
      <c r="O546" s="46">
        <f t="shared" si="16"/>
        <v>57594.485000000001</v>
      </c>
      <c r="P546" s="47">
        <f>LUCK!F26</f>
        <v>57594.485000000001</v>
      </c>
      <c r="Q546" s="44" t="str">
        <f t="shared" si="17"/>
        <v>PASS</v>
      </c>
      <c r="R546" s="44" t="s">
        <v>1587</v>
      </c>
      <c r="S546" s="44"/>
    </row>
    <row r="547" spans="1:19" x14ac:dyDescent="0.3">
      <c r="A547" s="44" t="s">
        <v>1634</v>
      </c>
      <c r="B547" s="44" t="s">
        <v>68</v>
      </c>
      <c r="C547" s="44" t="s">
        <v>28</v>
      </c>
      <c r="D547" s="44" t="s">
        <v>256</v>
      </c>
      <c r="E547" s="44" t="s">
        <v>1035</v>
      </c>
      <c r="F547" s="44" t="s">
        <v>256</v>
      </c>
      <c r="G547" s="44" t="s">
        <v>1598</v>
      </c>
      <c r="H547" s="44" t="s">
        <v>1124</v>
      </c>
      <c r="I547" s="44" t="s">
        <v>1106</v>
      </c>
      <c r="J547" s="44">
        <v>240</v>
      </c>
      <c r="K547" s="44" t="s">
        <v>1599</v>
      </c>
      <c r="L547" s="44" t="s">
        <v>1630</v>
      </c>
      <c r="M547" s="44" t="s">
        <v>1586</v>
      </c>
      <c r="N547" s="45">
        <v>58072373</v>
      </c>
      <c r="O547" s="46">
        <f t="shared" si="16"/>
        <v>58072.373</v>
      </c>
      <c r="P547" s="47">
        <f>LUCK!G26</f>
        <v>58072.373</v>
      </c>
      <c r="Q547" s="44" t="str">
        <f t="shared" si="17"/>
        <v>PASS</v>
      </c>
      <c r="R547" s="44" t="s">
        <v>1587</v>
      </c>
      <c r="S547" s="44"/>
    </row>
    <row r="548" spans="1:19" x14ac:dyDescent="0.3">
      <c r="A548" s="44" t="s">
        <v>1635</v>
      </c>
      <c r="B548" s="44" t="s">
        <v>68</v>
      </c>
      <c r="C548" s="44" t="s">
        <v>29</v>
      </c>
      <c r="D548" s="44" t="s">
        <v>256</v>
      </c>
      <c r="E548" s="44" t="s">
        <v>1035</v>
      </c>
      <c r="F548" s="44" t="s">
        <v>256</v>
      </c>
      <c r="G548" s="44" t="s">
        <v>1598</v>
      </c>
      <c r="H548" s="44" t="s">
        <v>1124</v>
      </c>
      <c r="I548" s="44" t="s">
        <v>1127</v>
      </c>
      <c r="J548" s="44">
        <v>240</v>
      </c>
      <c r="K548" s="44" t="s">
        <v>1599</v>
      </c>
      <c r="L548" s="44" t="s">
        <v>1630</v>
      </c>
      <c r="M548" s="44" t="s">
        <v>1586</v>
      </c>
      <c r="N548" s="45">
        <v>58555707</v>
      </c>
      <c r="O548" s="46">
        <f t="shared" si="16"/>
        <v>58555.707000000002</v>
      </c>
      <c r="P548" s="47">
        <f>LUCK!H26</f>
        <v>58555.707000000002</v>
      </c>
      <c r="Q548" s="44" t="str">
        <f t="shared" si="17"/>
        <v>PASS</v>
      </c>
      <c r="R548" s="44" t="s">
        <v>1587</v>
      </c>
      <c r="S548" s="44"/>
    </row>
    <row r="549" spans="1:19" x14ac:dyDescent="0.3">
      <c r="A549" s="44" t="s">
        <v>1636</v>
      </c>
      <c r="B549" s="44" t="s">
        <v>68</v>
      </c>
      <c r="C549" s="44" t="s">
        <v>965</v>
      </c>
      <c r="D549" s="44" t="s">
        <v>258</v>
      </c>
      <c r="E549" s="44" t="s">
        <v>1035</v>
      </c>
      <c r="F549" s="44" t="s">
        <v>1637</v>
      </c>
      <c r="G549" s="44" t="s">
        <v>1584</v>
      </c>
      <c r="H549" s="44" t="s">
        <v>1105</v>
      </c>
      <c r="I549" s="44" t="s">
        <v>1106</v>
      </c>
      <c r="J549" s="44">
        <v>191</v>
      </c>
      <c r="K549" s="44" t="s">
        <v>1107</v>
      </c>
      <c r="L549" s="44" t="s">
        <v>1277</v>
      </c>
      <c r="M549" s="44" t="s">
        <v>1586</v>
      </c>
      <c r="N549" s="45">
        <v>90183</v>
      </c>
      <c r="O549" s="46">
        <f t="shared" si="16"/>
        <v>90.183000000000007</v>
      </c>
      <c r="P549" s="47">
        <f>LUCK!C27</f>
        <v>90.183000000000007</v>
      </c>
      <c r="Q549" s="44" t="str">
        <f t="shared" si="17"/>
        <v>PASS</v>
      </c>
      <c r="R549" s="44" t="s">
        <v>1587</v>
      </c>
      <c r="S549" s="44"/>
    </row>
    <row r="550" spans="1:19" x14ac:dyDescent="0.3">
      <c r="A550" s="44" t="s">
        <v>1638</v>
      </c>
      <c r="B550" s="44" t="s">
        <v>68</v>
      </c>
      <c r="C550" s="44" t="s">
        <v>20</v>
      </c>
      <c r="D550" s="44" t="s">
        <v>258</v>
      </c>
      <c r="E550" s="44" t="s">
        <v>1035</v>
      </c>
      <c r="F550" s="44" t="s">
        <v>1637</v>
      </c>
      <c r="G550" s="44" t="s">
        <v>1589</v>
      </c>
      <c r="H550" s="44" t="s">
        <v>1113</v>
      </c>
      <c r="I550" s="44" t="s">
        <v>1106</v>
      </c>
      <c r="J550" s="44">
        <v>226</v>
      </c>
      <c r="K550" s="44" t="s">
        <v>1590</v>
      </c>
      <c r="L550" s="44" t="s">
        <v>1277</v>
      </c>
      <c r="M550" s="44" t="s">
        <v>1586</v>
      </c>
      <c r="N550" s="45">
        <v>106592</v>
      </c>
      <c r="O550" s="46">
        <f t="shared" si="16"/>
        <v>106.592</v>
      </c>
      <c r="P550" s="47">
        <f>LUCK!D27</f>
        <v>106.592</v>
      </c>
      <c r="Q550" s="44" t="str">
        <f t="shared" si="17"/>
        <v>PASS</v>
      </c>
      <c r="R550" s="44" t="s">
        <v>1587</v>
      </c>
      <c r="S550" s="44"/>
    </row>
    <row r="551" spans="1:19" x14ac:dyDescent="0.3">
      <c r="A551" s="44" t="s">
        <v>1639</v>
      </c>
      <c r="B551" s="44" t="s">
        <v>68</v>
      </c>
      <c r="C551" s="44" t="s">
        <v>26</v>
      </c>
      <c r="D551" s="44" t="s">
        <v>258</v>
      </c>
      <c r="E551" s="44" t="s">
        <v>1035</v>
      </c>
      <c r="F551" s="44" t="s">
        <v>1637</v>
      </c>
      <c r="G551" s="44" t="s">
        <v>1592</v>
      </c>
      <c r="H551" s="44" t="s">
        <v>1117</v>
      </c>
      <c r="I551" s="44" t="s">
        <v>1106</v>
      </c>
      <c r="J551" s="44">
        <v>234</v>
      </c>
      <c r="K551" s="44" t="s">
        <v>1593</v>
      </c>
      <c r="L551" s="44" t="s">
        <v>1277</v>
      </c>
      <c r="M551" s="44" t="s">
        <v>1586</v>
      </c>
      <c r="N551" s="45">
        <v>199790</v>
      </c>
      <c r="O551" s="46">
        <f t="shared" si="16"/>
        <v>199.79</v>
      </c>
      <c r="P551" s="47">
        <f>LUCK!E27</f>
        <v>199.79</v>
      </c>
      <c r="Q551" s="44" t="str">
        <f t="shared" si="17"/>
        <v>PASS</v>
      </c>
      <c r="R551" s="44" t="s">
        <v>1587</v>
      </c>
      <c r="S551" s="44"/>
    </row>
    <row r="552" spans="1:19" x14ac:dyDescent="0.3">
      <c r="A552" s="44" t="s">
        <v>1640</v>
      </c>
      <c r="B552" s="44" t="s">
        <v>68</v>
      </c>
      <c r="C552" s="44" t="s">
        <v>27</v>
      </c>
      <c r="D552" s="44" t="s">
        <v>258</v>
      </c>
      <c r="E552" s="44" t="s">
        <v>1035</v>
      </c>
      <c r="F552" s="44" t="s">
        <v>1637</v>
      </c>
      <c r="G552" s="44" t="s">
        <v>1595</v>
      </c>
      <c r="H552" s="44" t="s">
        <v>1120</v>
      </c>
      <c r="I552" s="44" t="s">
        <v>1106</v>
      </c>
      <c r="J552" s="44">
        <v>238</v>
      </c>
      <c r="K552" s="44" t="s">
        <v>1596</v>
      </c>
      <c r="L552" s="44" t="s">
        <v>1277</v>
      </c>
      <c r="M552" s="44" t="s">
        <v>1586</v>
      </c>
      <c r="N552" s="45">
        <v>202046</v>
      </c>
      <c r="O552" s="46">
        <f t="shared" si="16"/>
        <v>202.04599999999999</v>
      </c>
      <c r="P552" s="47">
        <f>LUCK!F27</f>
        <v>202.04599999999999</v>
      </c>
      <c r="Q552" s="44" t="str">
        <f t="shared" si="17"/>
        <v>PASS</v>
      </c>
      <c r="R552" s="44" t="s">
        <v>1587</v>
      </c>
      <c r="S552" s="44"/>
    </row>
    <row r="553" spans="1:19" x14ac:dyDescent="0.3">
      <c r="A553" s="44" t="s">
        <v>1641</v>
      </c>
      <c r="B553" s="44" t="s">
        <v>68</v>
      </c>
      <c r="C553" s="44" t="s">
        <v>28</v>
      </c>
      <c r="D553" s="44" t="s">
        <v>258</v>
      </c>
      <c r="E553" s="44" t="s">
        <v>1035</v>
      </c>
      <c r="F553" s="44" t="s">
        <v>1642</v>
      </c>
      <c r="G553" s="44" t="s">
        <v>1598</v>
      </c>
      <c r="H553" s="44" t="s">
        <v>1124</v>
      </c>
      <c r="I553" s="44" t="s">
        <v>1106</v>
      </c>
      <c r="J553" s="44">
        <v>240</v>
      </c>
      <c r="K553" s="44" t="s">
        <v>1599</v>
      </c>
      <c r="L553" s="44" t="s">
        <v>1643</v>
      </c>
      <c r="M553" s="44" t="s">
        <v>1586</v>
      </c>
      <c r="N553" s="45">
        <v>165266</v>
      </c>
      <c r="O553" s="46">
        <f t="shared" si="16"/>
        <v>165.26599999999999</v>
      </c>
      <c r="P553" s="47">
        <f>LUCK!G27</f>
        <v>165.26599999999999</v>
      </c>
      <c r="Q553" s="44" t="str">
        <f t="shared" si="17"/>
        <v>PASS</v>
      </c>
      <c r="R553" s="44" t="s">
        <v>1587</v>
      </c>
      <c r="S553" s="44"/>
    </row>
    <row r="554" spans="1:19" x14ac:dyDescent="0.3">
      <c r="A554" s="44" t="s">
        <v>1644</v>
      </c>
      <c r="B554" s="44" t="s">
        <v>68</v>
      </c>
      <c r="C554" s="44" t="s">
        <v>29</v>
      </c>
      <c r="D554" s="44" t="s">
        <v>258</v>
      </c>
      <c r="E554" s="44" t="s">
        <v>1035</v>
      </c>
      <c r="F554" s="44" t="s">
        <v>1642</v>
      </c>
      <c r="G554" s="44" t="s">
        <v>1598</v>
      </c>
      <c r="H554" s="44" t="s">
        <v>1124</v>
      </c>
      <c r="I554" s="44" t="s">
        <v>1127</v>
      </c>
      <c r="J554" s="44">
        <v>240</v>
      </c>
      <c r="K554" s="44" t="s">
        <v>1599</v>
      </c>
      <c r="L554" s="44" t="s">
        <v>1643</v>
      </c>
      <c r="M554" s="44" t="s">
        <v>1586</v>
      </c>
      <c r="N554" s="45">
        <v>189147</v>
      </c>
      <c r="O554" s="46">
        <f t="shared" si="16"/>
        <v>189.14699999999999</v>
      </c>
      <c r="P554" s="47">
        <f>LUCK!H27</f>
        <v>189.14699999999999</v>
      </c>
      <c r="Q554" s="44" t="str">
        <f t="shared" si="17"/>
        <v>PASS</v>
      </c>
      <c r="R554" s="44" t="s">
        <v>1587</v>
      </c>
      <c r="S554" s="44"/>
    </row>
    <row r="555" spans="1:19" x14ac:dyDescent="0.3">
      <c r="A555" s="44" t="s">
        <v>1645</v>
      </c>
      <c r="B555" s="44" t="s">
        <v>68</v>
      </c>
      <c r="C555" s="44" t="s">
        <v>965</v>
      </c>
      <c r="D555" s="44" t="s">
        <v>263</v>
      </c>
      <c r="E555" s="44" t="s">
        <v>1035</v>
      </c>
      <c r="F555" s="44" t="s">
        <v>1646</v>
      </c>
      <c r="G555" s="44" t="s">
        <v>1584</v>
      </c>
      <c r="H555" s="44" t="s">
        <v>1105</v>
      </c>
      <c r="I555" s="44" t="s">
        <v>1106</v>
      </c>
      <c r="J555" s="44">
        <v>191</v>
      </c>
      <c r="K555" s="44" t="s">
        <v>1107</v>
      </c>
      <c r="L555" s="44" t="s">
        <v>1294</v>
      </c>
      <c r="M555" s="44" t="s">
        <v>1586</v>
      </c>
      <c r="N555" s="45">
        <v>6520170</v>
      </c>
      <c r="O555" s="46">
        <f t="shared" si="16"/>
        <v>6520.17</v>
      </c>
      <c r="P555" s="47">
        <f>LUCK!C30</f>
        <v>6520.17</v>
      </c>
      <c r="Q555" s="44" t="str">
        <f t="shared" si="17"/>
        <v>PASS</v>
      </c>
      <c r="R555" s="44" t="s">
        <v>1587</v>
      </c>
      <c r="S555" s="44"/>
    </row>
    <row r="556" spans="1:19" x14ac:dyDescent="0.3">
      <c r="A556" s="44" t="s">
        <v>1647</v>
      </c>
      <c r="B556" s="44" t="s">
        <v>68</v>
      </c>
      <c r="C556" s="44" t="s">
        <v>20</v>
      </c>
      <c r="D556" s="44" t="s">
        <v>263</v>
      </c>
      <c r="E556" s="44" t="s">
        <v>1035</v>
      </c>
      <c r="F556" s="44" t="s">
        <v>1646</v>
      </c>
      <c r="G556" s="44" t="s">
        <v>1589</v>
      </c>
      <c r="H556" s="44" t="s">
        <v>1113</v>
      </c>
      <c r="I556" s="44" t="s">
        <v>1106</v>
      </c>
      <c r="J556" s="44">
        <v>226</v>
      </c>
      <c r="K556" s="44" t="s">
        <v>1590</v>
      </c>
      <c r="L556" s="44" t="s">
        <v>1294</v>
      </c>
      <c r="M556" s="44" t="s">
        <v>1586</v>
      </c>
      <c r="N556" s="45">
        <v>10526573</v>
      </c>
      <c r="O556" s="46">
        <f t="shared" si="16"/>
        <v>10526.573</v>
      </c>
      <c r="P556" s="47">
        <f>LUCK!D30</f>
        <v>10526.573</v>
      </c>
      <c r="Q556" s="44" t="str">
        <f t="shared" si="17"/>
        <v>PASS</v>
      </c>
      <c r="R556" s="44" t="s">
        <v>1587</v>
      </c>
      <c r="S556" s="44"/>
    </row>
    <row r="557" spans="1:19" x14ac:dyDescent="0.3">
      <c r="A557" s="44" t="s">
        <v>1648</v>
      </c>
      <c r="B557" s="44" t="s">
        <v>68</v>
      </c>
      <c r="C557" s="44" t="s">
        <v>26</v>
      </c>
      <c r="D557" s="44" t="s">
        <v>263</v>
      </c>
      <c r="E557" s="44" t="s">
        <v>1035</v>
      </c>
      <c r="F557" s="44" t="s">
        <v>1646</v>
      </c>
      <c r="G557" s="44" t="s">
        <v>1592</v>
      </c>
      <c r="H557" s="44" t="s">
        <v>1117</v>
      </c>
      <c r="I557" s="44" t="s">
        <v>1106</v>
      </c>
      <c r="J557" s="44">
        <v>234</v>
      </c>
      <c r="K557" s="44" t="s">
        <v>1593</v>
      </c>
      <c r="L557" s="44" t="s">
        <v>1294</v>
      </c>
      <c r="M557" s="44" t="s">
        <v>1586</v>
      </c>
      <c r="N557" s="45">
        <v>11206843</v>
      </c>
      <c r="O557" s="46">
        <f t="shared" si="16"/>
        <v>11206.843000000001</v>
      </c>
      <c r="P557" s="47">
        <f>LUCK!E30</f>
        <v>11206.843000000001</v>
      </c>
      <c r="Q557" s="44" t="str">
        <f t="shared" si="17"/>
        <v>PASS</v>
      </c>
      <c r="R557" s="44" t="s">
        <v>1587</v>
      </c>
      <c r="S557" s="44"/>
    </row>
    <row r="558" spans="1:19" x14ac:dyDescent="0.3">
      <c r="A558" s="44" t="s">
        <v>1649</v>
      </c>
      <c r="B558" s="44" t="s">
        <v>68</v>
      </c>
      <c r="C558" s="44" t="s">
        <v>27</v>
      </c>
      <c r="D558" s="44" t="s">
        <v>263</v>
      </c>
      <c r="E558" s="44" t="s">
        <v>1035</v>
      </c>
      <c r="F558" s="44" t="s">
        <v>1646</v>
      </c>
      <c r="G558" s="44" t="s">
        <v>1595</v>
      </c>
      <c r="H558" s="44" t="s">
        <v>1120</v>
      </c>
      <c r="I558" s="44" t="s">
        <v>1106</v>
      </c>
      <c r="J558" s="44">
        <v>238</v>
      </c>
      <c r="K558" s="44" t="s">
        <v>1596</v>
      </c>
      <c r="L558" s="44" t="s">
        <v>1294</v>
      </c>
      <c r="M558" s="44" t="s">
        <v>1586</v>
      </c>
      <c r="N558" s="45">
        <v>14084018</v>
      </c>
      <c r="O558" s="46">
        <f t="shared" si="16"/>
        <v>14084.018</v>
      </c>
      <c r="P558" s="47">
        <f>LUCK!F30</f>
        <v>14084.018</v>
      </c>
      <c r="Q558" s="44" t="str">
        <f t="shared" si="17"/>
        <v>PASS</v>
      </c>
      <c r="R558" s="44" t="s">
        <v>1587</v>
      </c>
      <c r="S558" s="44"/>
    </row>
    <row r="559" spans="1:19" x14ac:dyDescent="0.3">
      <c r="A559" s="44" t="s">
        <v>1650</v>
      </c>
      <c r="B559" s="44" t="s">
        <v>68</v>
      </c>
      <c r="C559" s="44" t="s">
        <v>28</v>
      </c>
      <c r="D559" s="44" t="s">
        <v>263</v>
      </c>
      <c r="E559" s="44" t="s">
        <v>1035</v>
      </c>
      <c r="F559" s="44" t="s">
        <v>1646</v>
      </c>
      <c r="G559" s="44" t="s">
        <v>1598</v>
      </c>
      <c r="H559" s="44" t="s">
        <v>1124</v>
      </c>
      <c r="I559" s="44" t="s">
        <v>1106</v>
      </c>
      <c r="J559" s="44">
        <v>240</v>
      </c>
      <c r="K559" s="44" t="s">
        <v>1599</v>
      </c>
      <c r="L559" s="44" t="s">
        <v>1277</v>
      </c>
      <c r="M559" s="44" t="s">
        <v>1586</v>
      </c>
      <c r="N559" s="45">
        <v>14591821</v>
      </c>
      <c r="O559" s="46">
        <f t="shared" si="16"/>
        <v>14591.821</v>
      </c>
      <c r="P559" s="47">
        <f>LUCK!G30</f>
        <v>14591.821</v>
      </c>
      <c r="Q559" s="44" t="str">
        <f t="shared" si="17"/>
        <v>PASS</v>
      </c>
      <c r="R559" s="44" t="s">
        <v>1587</v>
      </c>
      <c r="S559" s="44"/>
    </row>
    <row r="560" spans="1:19" x14ac:dyDescent="0.3">
      <c r="A560" s="44" t="s">
        <v>1651</v>
      </c>
      <c r="B560" s="44" t="s">
        <v>68</v>
      </c>
      <c r="C560" s="44" t="s">
        <v>29</v>
      </c>
      <c r="D560" s="44" t="s">
        <v>263</v>
      </c>
      <c r="E560" s="44" t="s">
        <v>1035</v>
      </c>
      <c r="F560" s="44" t="s">
        <v>1646</v>
      </c>
      <c r="G560" s="44" t="s">
        <v>1598</v>
      </c>
      <c r="H560" s="44" t="s">
        <v>1124</v>
      </c>
      <c r="I560" s="44" t="s">
        <v>1127</v>
      </c>
      <c r="J560" s="44">
        <v>240</v>
      </c>
      <c r="K560" s="44" t="s">
        <v>1599</v>
      </c>
      <c r="L560" s="44" t="s">
        <v>1277</v>
      </c>
      <c r="M560" s="44" t="s">
        <v>1586</v>
      </c>
      <c r="N560" s="45">
        <v>19895130</v>
      </c>
      <c r="O560" s="46">
        <f t="shared" si="16"/>
        <v>19895.13</v>
      </c>
      <c r="P560" s="47">
        <f>LUCK!H30</f>
        <v>19895.13</v>
      </c>
      <c r="Q560" s="44" t="str">
        <f t="shared" si="17"/>
        <v>PASS</v>
      </c>
      <c r="R560" s="44" t="s">
        <v>1587</v>
      </c>
      <c r="S560" s="44"/>
    </row>
    <row r="561" spans="1:19" x14ac:dyDescent="0.3">
      <c r="A561" s="44" t="s">
        <v>1652</v>
      </c>
      <c r="B561" s="44" t="s">
        <v>68</v>
      </c>
      <c r="C561" s="44" t="s">
        <v>965</v>
      </c>
      <c r="D561" s="44" t="s">
        <v>265</v>
      </c>
      <c r="E561" s="44" t="s">
        <v>1035</v>
      </c>
      <c r="F561" s="44" t="s">
        <v>265</v>
      </c>
      <c r="G561" s="44" t="s">
        <v>1584</v>
      </c>
      <c r="H561" s="44" t="s">
        <v>1105</v>
      </c>
      <c r="I561" s="44" t="s">
        <v>1106</v>
      </c>
      <c r="J561" s="44">
        <v>191</v>
      </c>
      <c r="K561" s="44" t="s">
        <v>1107</v>
      </c>
      <c r="L561" s="44" t="s">
        <v>1315</v>
      </c>
      <c r="M561" s="44" t="s">
        <v>1586</v>
      </c>
      <c r="N561" s="45">
        <v>2915552</v>
      </c>
      <c r="O561" s="46">
        <f t="shared" si="16"/>
        <v>2915.5520000000001</v>
      </c>
      <c r="P561" s="47">
        <f>LUCK!C31</f>
        <v>2915.5520000000001</v>
      </c>
      <c r="Q561" s="44" t="str">
        <f t="shared" si="17"/>
        <v>PASS</v>
      </c>
      <c r="R561" s="44" t="s">
        <v>1587</v>
      </c>
      <c r="S561" s="44"/>
    </row>
    <row r="562" spans="1:19" x14ac:dyDescent="0.3">
      <c r="A562" s="44" t="s">
        <v>1653</v>
      </c>
      <c r="B562" s="44" t="s">
        <v>68</v>
      </c>
      <c r="C562" s="44" t="s">
        <v>20</v>
      </c>
      <c r="D562" s="44" t="s">
        <v>265</v>
      </c>
      <c r="E562" s="44" t="s">
        <v>1035</v>
      </c>
      <c r="F562" s="44" t="s">
        <v>265</v>
      </c>
      <c r="G562" s="44" t="s">
        <v>1589</v>
      </c>
      <c r="H562" s="44" t="s">
        <v>1113</v>
      </c>
      <c r="I562" s="44" t="s">
        <v>1106</v>
      </c>
      <c r="J562" s="44">
        <v>226</v>
      </c>
      <c r="K562" s="44" t="s">
        <v>1590</v>
      </c>
      <c r="L562" s="44" t="s">
        <v>1315</v>
      </c>
      <c r="M562" s="44" t="s">
        <v>1586</v>
      </c>
      <c r="N562" s="45">
        <v>3105037</v>
      </c>
      <c r="O562" s="46">
        <f t="shared" si="16"/>
        <v>3105.0369999999998</v>
      </c>
      <c r="P562" s="47">
        <f>LUCK!D31</f>
        <v>3105.0369999999998</v>
      </c>
      <c r="Q562" s="44" t="str">
        <f t="shared" si="17"/>
        <v>PASS</v>
      </c>
      <c r="R562" s="44" t="s">
        <v>1587</v>
      </c>
      <c r="S562" s="44"/>
    </row>
    <row r="563" spans="1:19" x14ac:dyDescent="0.3">
      <c r="A563" s="44" t="s">
        <v>1654</v>
      </c>
      <c r="B563" s="44" t="s">
        <v>68</v>
      </c>
      <c r="C563" s="44" t="s">
        <v>26</v>
      </c>
      <c r="D563" s="44" t="s">
        <v>265</v>
      </c>
      <c r="E563" s="44" t="s">
        <v>1035</v>
      </c>
      <c r="F563" s="44" t="s">
        <v>265</v>
      </c>
      <c r="G563" s="44" t="s">
        <v>1592</v>
      </c>
      <c r="H563" s="44" t="s">
        <v>1117</v>
      </c>
      <c r="I563" s="44" t="s">
        <v>1106</v>
      </c>
      <c r="J563" s="44">
        <v>234</v>
      </c>
      <c r="K563" s="44" t="s">
        <v>1593</v>
      </c>
      <c r="L563" s="44" t="s">
        <v>1315</v>
      </c>
      <c r="M563" s="44" t="s">
        <v>1586</v>
      </c>
      <c r="N563" s="45">
        <v>7171364</v>
      </c>
      <c r="O563" s="46">
        <f t="shared" si="16"/>
        <v>7171.3639999999996</v>
      </c>
      <c r="P563" s="47">
        <f>LUCK!E31</f>
        <v>7171.3639999999996</v>
      </c>
      <c r="Q563" s="44" t="str">
        <f t="shared" si="17"/>
        <v>PASS</v>
      </c>
      <c r="R563" s="44" t="s">
        <v>1587</v>
      </c>
      <c r="S563" s="44"/>
    </row>
    <row r="564" spans="1:19" x14ac:dyDescent="0.3">
      <c r="A564" s="44" t="s">
        <v>1655</v>
      </c>
      <c r="B564" s="44" t="s">
        <v>68</v>
      </c>
      <c r="C564" s="44" t="s">
        <v>27</v>
      </c>
      <c r="D564" s="44" t="s">
        <v>265</v>
      </c>
      <c r="E564" s="44" t="s">
        <v>1035</v>
      </c>
      <c r="F564" s="44" t="s">
        <v>265</v>
      </c>
      <c r="G564" s="44" t="s">
        <v>1595</v>
      </c>
      <c r="H564" s="44" t="s">
        <v>1120</v>
      </c>
      <c r="I564" s="44" t="s">
        <v>1106</v>
      </c>
      <c r="J564" s="44">
        <v>238</v>
      </c>
      <c r="K564" s="44" t="s">
        <v>1596</v>
      </c>
      <c r="L564" s="44" t="s">
        <v>1315</v>
      </c>
      <c r="M564" s="44" t="s">
        <v>1586</v>
      </c>
      <c r="N564" s="45">
        <v>6048507</v>
      </c>
      <c r="O564" s="46">
        <f t="shared" si="16"/>
        <v>6048.5069999999996</v>
      </c>
      <c r="P564" s="47">
        <f>LUCK!F31</f>
        <v>6048.5069999999996</v>
      </c>
      <c r="Q564" s="44" t="str">
        <f t="shared" si="17"/>
        <v>PASS</v>
      </c>
      <c r="R564" s="44" t="s">
        <v>1587</v>
      </c>
      <c r="S564" s="44"/>
    </row>
    <row r="565" spans="1:19" x14ac:dyDescent="0.3">
      <c r="A565" s="44" t="s">
        <v>1656</v>
      </c>
      <c r="B565" s="44" t="s">
        <v>68</v>
      </c>
      <c r="C565" s="44" t="s">
        <v>28</v>
      </c>
      <c r="D565" s="44" t="s">
        <v>265</v>
      </c>
      <c r="E565" s="44" t="s">
        <v>1035</v>
      </c>
      <c r="F565" s="44" t="s">
        <v>265</v>
      </c>
      <c r="G565" s="44" t="s">
        <v>1598</v>
      </c>
      <c r="H565" s="44" t="s">
        <v>1124</v>
      </c>
      <c r="I565" s="44" t="s">
        <v>1106</v>
      </c>
      <c r="J565" s="44">
        <v>240</v>
      </c>
      <c r="K565" s="44" t="s">
        <v>1599</v>
      </c>
      <c r="L565" s="44" t="s">
        <v>1294</v>
      </c>
      <c r="M565" s="44" t="s">
        <v>1586</v>
      </c>
      <c r="N565" s="45">
        <v>8505426</v>
      </c>
      <c r="O565" s="46">
        <f t="shared" si="16"/>
        <v>8505.4259999999995</v>
      </c>
      <c r="P565" s="47">
        <f>LUCK!G31</f>
        <v>8505.4259999999995</v>
      </c>
      <c r="Q565" s="44" t="str">
        <f t="shared" si="17"/>
        <v>PASS</v>
      </c>
      <c r="R565" s="44" t="s">
        <v>1587</v>
      </c>
      <c r="S565" s="44"/>
    </row>
    <row r="566" spans="1:19" x14ac:dyDescent="0.3">
      <c r="A566" s="44" t="s">
        <v>1657</v>
      </c>
      <c r="B566" s="44" t="s">
        <v>68</v>
      </c>
      <c r="C566" s="44" t="s">
        <v>29</v>
      </c>
      <c r="D566" s="44" t="s">
        <v>265</v>
      </c>
      <c r="E566" s="44" t="s">
        <v>1035</v>
      </c>
      <c r="F566" s="44" t="s">
        <v>265</v>
      </c>
      <c r="G566" s="44" t="s">
        <v>1598</v>
      </c>
      <c r="H566" s="44" t="s">
        <v>1124</v>
      </c>
      <c r="I566" s="44" t="s">
        <v>1127</v>
      </c>
      <c r="J566" s="44">
        <v>240</v>
      </c>
      <c r="K566" s="44" t="s">
        <v>1599</v>
      </c>
      <c r="L566" s="44" t="s">
        <v>1294</v>
      </c>
      <c r="M566" s="44" t="s">
        <v>1586</v>
      </c>
      <c r="N566" s="45">
        <v>4774577</v>
      </c>
      <c r="O566" s="46">
        <f t="shared" si="16"/>
        <v>4774.5770000000002</v>
      </c>
      <c r="P566" s="47">
        <f>LUCK!H31</f>
        <v>4774.5770000000002</v>
      </c>
      <c r="Q566" s="44" t="str">
        <f t="shared" si="17"/>
        <v>PASS</v>
      </c>
      <c r="R566" s="44" t="s">
        <v>1587</v>
      </c>
      <c r="S566" s="44"/>
    </row>
    <row r="567" spans="1:19" x14ac:dyDescent="0.3">
      <c r="A567" s="44" t="s">
        <v>1658</v>
      </c>
      <c r="B567" s="44" t="s">
        <v>68</v>
      </c>
      <c r="C567" s="44" t="s">
        <v>965</v>
      </c>
      <c r="D567" s="44" t="s">
        <v>267</v>
      </c>
      <c r="E567" s="44" t="s">
        <v>1035</v>
      </c>
      <c r="F567" s="44" t="s">
        <v>267</v>
      </c>
      <c r="G567" s="44" t="s">
        <v>1584</v>
      </c>
      <c r="H567" s="44" t="s">
        <v>1105</v>
      </c>
      <c r="I567" s="44" t="s">
        <v>1106</v>
      </c>
      <c r="J567" s="44">
        <v>191</v>
      </c>
      <c r="K567" s="44" t="s">
        <v>1107</v>
      </c>
      <c r="L567" s="44" t="s">
        <v>1306</v>
      </c>
      <c r="M567" s="44" t="s">
        <v>1586</v>
      </c>
      <c r="N567" s="45">
        <v>3422767</v>
      </c>
      <c r="O567" s="46">
        <f t="shared" si="16"/>
        <v>3422.7669999999998</v>
      </c>
      <c r="P567" s="47">
        <f>LUCK!C32</f>
        <v>3422.7669999999998</v>
      </c>
      <c r="Q567" s="44" t="str">
        <f t="shared" si="17"/>
        <v>PASS</v>
      </c>
      <c r="R567" s="44" t="s">
        <v>1587</v>
      </c>
      <c r="S567" s="44"/>
    </row>
    <row r="568" spans="1:19" x14ac:dyDescent="0.3">
      <c r="A568" s="44" t="s">
        <v>1659</v>
      </c>
      <c r="B568" s="44" t="s">
        <v>68</v>
      </c>
      <c r="C568" s="44" t="s">
        <v>20</v>
      </c>
      <c r="D568" s="44" t="s">
        <v>267</v>
      </c>
      <c r="E568" s="44" t="s">
        <v>1035</v>
      </c>
      <c r="F568" s="44" t="s">
        <v>267</v>
      </c>
      <c r="G568" s="44" t="s">
        <v>1589</v>
      </c>
      <c r="H568" s="44" t="s">
        <v>1113</v>
      </c>
      <c r="I568" s="44" t="s">
        <v>1106</v>
      </c>
      <c r="J568" s="44">
        <v>226</v>
      </c>
      <c r="K568" s="44" t="s">
        <v>1590</v>
      </c>
      <c r="L568" s="44" t="s">
        <v>1306</v>
      </c>
      <c r="M568" s="44" t="s">
        <v>1586</v>
      </c>
      <c r="N568" s="45">
        <v>2710081</v>
      </c>
      <c r="O568" s="46">
        <f t="shared" si="16"/>
        <v>2710.0810000000001</v>
      </c>
      <c r="P568" s="47">
        <f>LUCK!D32</f>
        <v>2710.0810000000001</v>
      </c>
      <c r="Q568" s="44" t="str">
        <f t="shared" si="17"/>
        <v>PASS</v>
      </c>
      <c r="R568" s="44" t="s">
        <v>1587</v>
      </c>
      <c r="S568" s="44"/>
    </row>
    <row r="569" spans="1:19" x14ac:dyDescent="0.3">
      <c r="A569" s="44" t="s">
        <v>1660</v>
      </c>
      <c r="B569" s="44" t="s">
        <v>68</v>
      </c>
      <c r="C569" s="44" t="s">
        <v>26</v>
      </c>
      <c r="D569" s="44" t="s">
        <v>267</v>
      </c>
      <c r="E569" s="44" t="s">
        <v>1035</v>
      </c>
      <c r="F569" s="44" t="s">
        <v>267</v>
      </c>
      <c r="G569" s="44" t="s">
        <v>1592</v>
      </c>
      <c r="H569" s="44" t="s">
        <v>1117</v>
      </c>
      <c r="I569" s="44" t="s">
        <v>1106</v>
      </c>
      <c r="J569" s="44">
        <v>234</v>
      </c>
      <c r="K569" s="44" t="s">
        <v>1593</v>
      </c>
      <c r="L569" s="44" t="s">
        <v>1306</v>
      </c>
      <c r="M569" s="44" t="s">
        <v>1586</v>
      </c>
      <c r="N569" s="45">
        <v>3522931</v>
      </c>
      <c r="O569" s="46">
        <f t="shared" si="16"/>
        <v>3522.931</v>
      </c>
      <c r="P569" s="47">
        <f>LUCK!E32</f>
        <v>3522.931</v>
      </c>
      <c r="Q569" s="44" t="str">
        <f t="shared" si="17"/>
        <v>PASS</v>
      </c>
      <c r="R569" s="44" t="s">
        <v>1587</v>
      </c>
      <c r="S569" s="44"/>
    </row>
    <row r="570" spans="1:19" x14ac:dyDescent="0.3">
      <c r="A570" s="44" t="s">
        <v>1661</v>
      </c>
      <c r="B570" s="44" t="s">
        <v>68</v>
      </c>
      <c r="C570" s="44" t="s">
        <v>27</v>
      </c>
      <c r="D570" s="44" t="s">
        <v>267</v>
      </c>
      <c r="E570" s="44" t="s">
        <v>1035</v>
      </c>
      <c r="F570" s="44" t="s">
        <v>267</v>
      </c>
      <c r="G570" s="44" t="s">
        <v>1595</v>
      </c>
      <c r="H570" s="44" t="s">
        <v>1120</v>
      </c>
      <c r="I570" s="44" t="s">
        <v>1106</v>
      </c>
      <c r="J570" s="44">
        <v>238</v>
      </c>
      <c r="K570" s="44" t="s">
        <v>1596</v>
      </c>
      <c r="L570" s="44" t="s">
        <v>1306</v>
      </c>
      <c r="M570" s="44" t="s">
        <v>1586</v>
      </c>
      <c r="N570" s="45">
        <v>5089667</v>
      </c>
      <c r="O570" s="46">
        <f t="shared" si="16"/>
        <v>5089.6670000000004</v>
      </c>
      <c r="P570" s="47">
        <f>LUCK!F32</f>
        <v>5089.6670000000004</v>
      </c>
      <c r="Q570" s="44" t="str">
        <f t="shared" si="17"/>
        <v>PASS</v>
      </c>
      <c r="R570" s="44" t="s">
        <v>1587</v>
      </c>
      <c r="S570" s="44"/>
    </row>
    <row r="571" spans="1:19" x14ac:dyDescent="0.3">
      <c r="A571" s="44" t="s">
        <v>1662</v>
      </c>
      <c r="B571" s="44" t="s">
        <v>68</v>
      </c>
      <c r="C571" s="44" t="s">
        <v>28</v>
      </c>
      <c r="D571" s="44" t="s">
        <v>267</v>
      </c>
      <c r="E571" s="44" t="s">
        <v>1035</v>
      </c>
      <c r="F571" s="44" t="s">
        <v>267</v>
      </c>
      <c r="G571" s="44" t="s">
        <v>1598</v>
      </c>
      <c r="H571" s="44" t="s">
        <v>1124</v>
      </c>
      <c r="I571" s="44" t="s">
        <v>1106</v>
      </c>
      <c r="J571" s="44">
        <v>240</v>
      </c>
      <c r="K571" s="44" t="s">
        <v>1599</v>
      </c>
      <c r="L571" s="44" t="s">
        <v>1315</v>
      </c>
      <c r="M571" s="44" t="s">
        <v>1586</v>
      </c>
      <c r="N571" s="45">
        <v>6932479</v>
      </c>
      <c r="O571" s="46">
        <f t="shared" si="16"/>
        <v>6932.4790000000003</v>
      </c>
      <c r="P571" s="47">
        <f>LUCK!G32</f>
        <v>6932.4790000000003</v>
      </c>
      <c r="Q571" s="44" t="str">
        <f t="shared" si="17"/>
        <v>PASS</v>
      </c>
      <c r="R571" s="44" t="s">
        <v>1587</v>
      </c>
      <c r="S571" s="44"/>
    </row>
    <row r="572" spans="1:19" x14ac:dyDescent="0.3">
      <c r="A572" s="44" t="s">
        <v>1663</v>
      </c>
      <c r="B572" s="44" t="s">
        <v>68</v>
      </c>
      <c r="C572" s="44" t="s">
        <v>29</v>
      </c>
      <c r="D572" s="44" t="s">
        <v>267</v>
      </c>
      <c r="E572" s="44" t="s">
        <v>1035</v>
      </c>
      <c r="F572" s="44" t="s">
        <v>267</v>
      </c>
      <c r="G572" s="44" t="s">
        <v>1598</v>
      </c>
      <c r="H572" s="44" t="s">
        <v>1124</v>
      </c>
      <c r="I572" s="44" t="s">
        <v>1127</v>
      </c>
      <c r="J572" s="44">
        <v>240</v>
      </c>
      <c r="K572" s="44" t="s">
        <v>1599</v>
      </c>
      <c r="L572" s="44" t="s">
        <v>1315</v>
      </c>
      <c r="M572" s="44" t="s">
        <v>1586</v>
      </c>
      <c r="N572" s="45">
        <v>6353194</v>
      </c>
      <c r="O572" s="46">
        <f t="shared" si="16"/>
        <v>6353.1940000000004</v>
      </c>
      <c r="P572" s="47">
        <f>LUCK!H32</f>
        <v>6353.1940000000004</v>
      </c>
      <c r="Q572" s="44" t="str">
        <f t="shared" si="17"/>
        <v>PASS</v>
      </c>
      <c r="R572" s="44" t="s">
        <v>1587</v>
      </c>
      <c r="S572" s="44"/>
    </row>
    <row r="573" spans="1:19" x14ac:dyDescent="0.3">
      <c r="A573" s="44" t="s">
        <v>1664</v>
      </c>
      <c r="B573" s="44" t="s">
        <v>68</v>
      </c>
      <c r="C573" s="44" t="s">
        <v>965</v>
      </c>
      <c r="D573" s="44" t="s">
        <v>269</v>
      </c>
      <c r="E573" s="44" t="s">
        <v>1035</v>
      </c>
      <c r="F573" s="44" t="s">
        <v>1200</v>
      </c>
      <c r="G573" s="44" t="s">
        <v>1584</v>
      </c>
      <c r="H573" s="44" t="s">
        <v>1105</v>
      </c>
      <c r="I573" s="44" t="s">
        <v>1106</v>
      </c>
      <c r="J573" s="44">
        <v>191</v>
      </c>
      <c r="K573" s="44" t="s">
        <v>1107</v>
      </c>
      <c r="L573" s="44" t="s">
        <v>1161</v>
      </c>
      <c r="M573" s="44" t="s">
        <v>1586</v>
      </c>
      <c r="N573" s="45">
        <v>2970999</v>
      </c>
      <c r="O573" s="46">
        <f t="shared" si="16"/>
        <v>2970.9989999999998</v>
      </c>
      <c r="P573" s="47">
        <f>LUCK!C33</f>
        <v>2970.9989999999998</v>
      </c>
      <c r="Q573" s="44" t="str">
        <f t="shared" si="17"/>
        <v>PASS</v>
      </c>
      <c r="R573" s="44" t="s">
        <v>1587</v>
      </c>
      <c r="S573" s="44"/>
    </row>
    <row r="574" spans="1:19" x14ac:dyDescent="0.3">
      <c r="A574" s="44" t="s">
        <v>1665</v>
      </c>
      <c r="B574" s="44" t="s">
        <v>68</v>
      </c>
      <c r="C574" s="44" t="s">
        <v>20</v>
      </c>
      <c r="D574" s="44" t="s">
        <v>269</v>
      </c>
      <c r="E574" s="44" t="s">
        <v>1035</v>
      </c>
      <c r="F574" s="44" t="s">
        <v>269</v>
      </c>
      <c r="G574" s="44" t="s">
        <v>1589</v>
      </c>
      <c r="H574" s="44" t="s">
        <v>1113</v>
      </c>
      <c r="I574" s="44" t="s">
        <v>1106</v>
      </c>
      <c r="J574" s="44">
        <v>226</v>
      </c>
      <c r="K574" s="44" t="s">
        <v>1590</v>
      </c>
      <c r="L574" s="44" t="s">
        <v>1161</v>
      </c>
      <c r="M574" s="44" t="s">
        <v>1586</v>
      </c>
      <c r="N574" s="45">
        <v>16227103</v>
      </c>
      <c r="O574" s="46">
        <f t="shared" si="16"/>
        <v>16227.102999999999</v>
      </c>
      <c r="P574" s="47">
        <f>LUCK!D33</f>
        <v>16227.102999999999</v>
      </c>
      <c r="Q574" s="44" t="str">
        <f t="shared" si="17"/>
        <v>PASS</v>
      </c>
      <c r="R574" s="44" t="s">
        <v>1587</v>
      </c>
      <c r="S574" s="44"/>
    </row>
    <row r="575" spans="1:19" x14ac:dyDescent="0.3">
      <c r="A575" s="44" t="s">
        <v>1666</v>
      </c>
      <c r="B575" s="44" t="s">
        <v>68</v>
      </c>
      <c r="C575" s="44" t="s">
        <v>26</v>
      </c>
      <c r="D575" s="44" t="s">
        <v>269</v>
      </c>
      <c r="E575" s="44" t="s">
        <v>1035</v>
      </c>
      <c r="F575" s="44" t="s">
        <v>269</v>
      </c>
      <c r="G575" s="44" t="s">
        <v>1592</v>
      </c>
      <c r="H575" s="44" t="s">
        <v>1117</v>
      </c>
      <c r="I575" s="44" t="s">
        <v>1106</v>
      </c>
      <c r="J575" s="44">
        <v>234</v>
      </c>
      <c r="K575" s="44" t="s">
        <v>1593</v>
      </c>
      <c r="L575" s="44" t="s">
        <v>1161</v>
      </c>
      <c r="M575" s="44" t="s">
        <v>1586</v>
      </c>
      <c r="N575" s="45">
        <v>12751155</v>
      </c>
      <c r="O575" s="46">
        <f t="shared" si="16"/>
        <v>12751.155000000001</v>
      </c>
      <c r="P575" s="47">
        <f>LUCK!E33</f>
        <v>12751.155000000001</v>
      </c>
      <c r="Q575" s="44" t="str">
        <f t="shared" si="17"/>
        <v>PASS</v>
      </c>
      <c r="R575" s="44" t="s">
        <v>1587</v>
      </c>
      <c r="S575" s="44"/>
    </row>
    <row r="576" spans="1:19" x14ac:dyDescent="0.3">
      <c r="A576" s="44" t="s">
        <v>1667</v>
      </c>
      <c r="B576" s="44" t="s">
        <v>68</v>
      </c>
      <c r="C576" s="44" t="s">
        <v>27</v>
      </c>
      <c r="D576" s="44" t="s">
        <v>269</v>
      </c>
      <c r="E576" s="44" t="s">
        <v>1035</v>
      </c>
      <c r="F576" s="44" t="s">
        <v>269</v>
      </c>
      <c r="G576" s="44" t="s">
        <v>1595</v>
      </c>
      <c r="H576" s="44" t="s">
        <v>1120</v>
      </c>
      <c r="I576" s="44" t="s">
        <v>1106</v>
      </c>
      <c r="J576" s="44">
        <v>238</v>
      </c>
      <c r="K576" s="44" t="s">
        <v>1596</v>
      </c>
      <c r="L576" s="44" t="s">
        <v>1161</v>
      </c>
      <c r="M576" s="44" t="s">
        <v>1586</v>
      </c>
      <c r="N576" s="45">
        <v>21898496</v>
      </c>
      <c r="O576" s="46">
        <f t="shared" si="16"/>
        <v>21898.495999999999</v>
      </c>
      <c r="P576" s="47">
        <f>LUCK!F33</f>
        <v>21898.495999999999</v>
      </c>
      <c r="Q576" s="44" t="str">
        <f t="shared" si="17"/>
        <v>PASS</v>
      </c>
      <c r="R576" s="44" t="s">
        <v>1587</v>
      </c>
      <c r="S576" s="44"/>
    </row>
    <row r="577" spans="1:19" x14ac:dyDescent="0.3">
      <c r="A577" s="44" t="s">
        <v>1668</v>
      </c>
      <c r="B577" s="44" t="s">
        <v>68</v>
      </c>
      <c r="C577" s="44" t="s">
        <v>28</v>
      </c>
      <c r="D577" s="44" t="s">
        <v>269</v>
      </c>
      <c r="E577" s="44" t="s">
        <v>1035</v>
      </c>
      <c r="F577" s="44" t="s">
        <v>269</v>
      </c>
      <c r="G577" s="44" t="s">
        <v>1598</v>
      </c>
      <c r="H577" s="44" t="s">
        <v>1124</v>
      </c>
      <c r="I577" s="44" t="s">
        <v>1106</v>
      </c>
      <c r="J577" s="44">
        <v>240</v>
      </c>
      <c r="K577" s="44" t="s">
        <v>1599</v>
      </c>
      <c r="L577" s="44" t="s">
        <v>1148</v>
      </c>
      <c r="M577" s="44" t="s">
        <v>1586</v>
      </c>
      <c r="N577" s="45">
        <v>29837628</v>
      </c>
      <c r="O577" s="46">
        <f t="shared" ref="O577:O640" si="18">N577/1000</f>
        <v>29837.628000000001</v>
      </c>
      <c r="P577" s="47">
        <f>LUCK!G33</f>
        <v>29837.628000000001</v>
      </c>
      <c r="Q577" s="44" t="str">
        <f t="shared" si="17"/>
        <v>PASS</v>
      </c>
      <c r="R577" s="44" t="s">
        <v>1587</v>
      </c>
      <c r="S577" s="44"/>
    </row>
    <row r="578" spans="1:19" x14ac:dyDescent="0.3">
      <c r="A578" s="44" t="s">
        <v>1669</v>
      </c>
      <c r="B578" s="44" t="s">
        <v>68</v>
      </c>
      <c r="C578" s="44" t="s">
        <v>29</v>
      </c>
      <c r="D578" s="44" t="s">
        <v>269</v>
      </c>
      <c r="E578" s="44" t="s">
        <v>1035</v>
      </c>
      <c r="F578" s="44" t="s">
        <v>269</v>
      </c>
      <c r="G578" s="44" t="s">
        <v>1598</v>
      </c>
      <c r="H578" s="44" t="s">
        <v>1124</v>
      </c>
      <c r="I578" s="44" t="s">
        <v>1127</v>
      </c>
      <c r="J578" s="44">
        <v>240</v>
      </c>
      <c r="K578" s="44" t="s">
        <v>1599</v>
      </c>
      <c r="L578" s="44" t="s">
        <v>1148</v>
      </c>
      <c r="M578" s="44" t="s">
        <v>1586</v>
      </c>
      <c r="N578" s="45">
        <v>61298052</v>
      </c>
      <c r="O578" s="46">
        <f t="shared" si="18"/>
        <v>61298.052000000003</v>
      </c>
      <c r="P578" s="47">
        <f>LUCK!H33</f>
        <v>61298.052000000003</v>
      </c>
      <c r="Q578" s="44" t="str">
        <f t="shared" si="17"/>
        <v>PASS</v>
      </c>
      <c r="R578" s="44" t="s">
        <v>1587</v>
      </c>
      <c r="S578" s="44"/>
    </row>
    <row r="579" spans="1:19" x14ac:dyDescent="0.3">
      <c r="A579" s="44" t="s">
        <v>1670</v>
      </c>
      <c r="B579" s="44" t="s">
        <v>68</v>
      </c>
      <c r="C579" s="44" t="s">
        <v>965</v>
      </c>
      <c r="D579" s="44" t="s">
        <v>271</v>
      </c>
      <c r="E579" s="44" t="s">
        <v>1035</v>
      </c>
      <c r="F579" s="44" t="s">
        <v>271</v>
      </c>
      <c r="G579" s="44" t="s">
        <v>1584</v>
      </c>
      <c r="H579" s="44" t="s">
        <v>1105</v>
      </c>
      <c r="I579" s="44" t="s">
        <v>1106</v>
      </c>
      <c r="J579" s="44">
        <v>191</v>
      </c>
      <c r="K579" s="44" t="s">
        <v>1107</v>
      </c>
      <c r="L579" s="44" t="s">
        <v>1155</v>
      </c>
      <c r="M579" s="44" t="s">
        <v>1586</v>
      </c>
      <c r="N579" s="45">
        <v>7816606</v>
      </c>
      <c r="O579" s="46">
        <f t="shared" si="18"/>
        <v>7816.6059999999998</v>
      </c>
      <c r="P579" s="47">
        <f>LUCK!C34</f>
        <v>7816.6059999999998</v>
      </c>
      <c r="Q579" s="44" t="str">
        <f t="shared" si="17"/>
        <v>PASS</v>
      </c>
      <c r="R579" s="44" t="s">
        <v>1587</v>
      </c>
      <c r="S579" s="44"/>
    </row>
    <row r="580" spans="1:19" x14ac:dyDescent="0.3">
      <c r="A580" s="44" t="s">
        <v>1671</v>
      </c>
      <c r="B580" s="44" t="s">
        <v>68</v>
      </c>
      <c r="C580" s="44" t="s">
        <v>20</v>
      </c>
      <c r="D580" s="44" t="s">
        <v>271</v>
      </c>
      <c r="E580" s="44" t="s">
        <v>1035</v>
      </c>
      <c r="F580" s="44" t="s">
        <v>271</v>
      </c>
      <c r="G580" s="44" t="s">
        <v>1589</v>
      </c>
      <c r="H580" s="44" t="s">
        <v>1113</v>
      </c>
      <c r="I580" s="44" t="s">
        <v>1106</v>
      </c>
      <c r="J580" s="44">
        <v>226</v>
      </c>
      <c r="K580" s="44" t="s">
        <v>1590</v>
      </c>
      <c r="L580" s="44" t="s">
        <v>1155</v>
      </c>
      <c r="M580" s="44" t="s">
        <v>1586</v>
      </c>
      <c r="N580" s="45">
        <v>2825424</v>
      </c>
      <c r="O580" s="46">
        <f t="shared" si="18"/>
        <v>2825.424</v>
      </c>
      <c r="P580" s="47">
        <f>LUCK!D34</f>
        <v>2825.424</v>
      </c>
      <c r="Q580" s="44" t="str">
        <f t="shared" si="17"/>
        <v>PASS</v>
      </c>
      <c r="R580" s="44" t="s">
        <v>1587</v>
      </c>
      <c r="S580" s="44"/>
    </row>
    <row r="581" spans="1:19" x14ac:dyDescent="0.3">
      <c r="A581" s="44" t="s">
        <v>1672</v>
      </c>
      <c r="B581" s="44" t="s">
        <v>68</v>
      </c>
      <c r="C581" s="44" t="s">
        <v>26</v>
      </c>
      <c r="D581" s="44" t="s">
        <v>271</v>
      </c>
      <c r="E581" s="44" t="s">
        <v>1035</v>
      </c>
      <c r="F581" s="44" t="s">
        <v>271</v>
      </c>
      <c r="G581" s="44" t="s">
        <v>1592</v>
      </c>
      <c r="H581" s="44" t="s">
        <v>1117</v>
      </c>
      <c r="I581" s="44" t="s">
        <v>1106</v>
      </c>
      <c r="J581" s="44">
        <v>234</v>
      </c>
      <c r="K581" s="44" t="s">
        <v>1593</v>
      </c>
      <c r="L581" s="44" t="s">
        <v>1155</v>
      </c>
      <c r="M581" s="44" t="s">
        <v>1586</v>
      </c>
      <c r="N581" s="45">
        <v>3871078</v>
      </c>
      <c r="O581" s="46">
        <f t="shared" si="18"/>
        <v>3871.078</v>
      </c>
      <c r="P581" s="47">
        <f>LUCK!E34</f>
        <v>3871.078</v>
      </c>
      <c r="Q581" s="44" t="str">
        <f t="shared" si="17"/>
        <v>PASS</v>
      </c>
      <c r="R581" s="44" t="s">
        <v>1587</v>
      </c>
      <c r="S581" s="44"/>
    </row>
    <row r="582" spans="1:19" x14ac:dyDescent="0.3">
      <c r="A582" s="44" t="s">
        <v>1673</v>
      </c>
      <c r="B582" s="44" t="s">
        <v>68</v>
      </c>
      <c r="C582" s="44" t="s">
        <v>27</v>
      </c>
      <c r="D582" s="44" t="s">
        <v>271</v>
      </c>
      <c r="E582" s="44" t="s">
        <v>1035</v>
      </c>
      <c r="F582" s="44" t="s">
        <v>271</v>
      </c>
      <c r="G582" s="44" t="s">
        <v>1595</v>
      </c>
      <c r="H582" s="44" t="s">
        <v>1120</v>
      </c>
      <c r="I582" s="44" t="s">
        <v>1106</v>
      </c>
      <c r="J582" s="44">
        <v>238</v>
      </c>
      <c r="K582" s="44" t="s">
        <v>1596</v>
      </c>
      <c r="L582" s="44" t="s">
        <v>1155</v>
      </c>
      <c r="M582" s="44" t="s">
        <v>1586</v>
      </c>
      <c r="N582" s="45">
        <v>4116181</v>
      </c>
      <c r="O582" s="46">
        <f t="shared" si="18"/>
        <v>4116.1809999999996</v>
      </c>
      <c r="P582" s="47">
        <f>LUCK!F34</f>
        <v>4116.1809999999996</v>
      </c>
      <c r="Q582" s="44" t="str">
        <f t="shared" si="17"/>
        <v>PASS</v>
      </c>
      <c r="R582" s="44" t="s">
        <v>1587</v>
      </c>
      <c r="S582" s="44"/>
    </row>
    <row r="583" spans="1:19" x14ac:dyDescent="0.3">
      <c r="A583" s="44" t="s">
        <v>1674</v>
      </c>
      <c r="B583" s="44" t="s">
        <v>68</v>
      </c>
      <c r="C583" s="44" t="s">
        <v>28</v>
      </c>
      <c r="D583" s="44" t="s">
        <v>271</v>
      </c>
      <c r="E583" s="44" t="s">
        <v>1035</v>
      </c>
      <c r="F583" s="44" t="s">
        <v>271</v>
      </c>
      <c r="G583" s="44" t="s">
        <v>1598</v>
      </c>
      <c r="H583" s="44" t="s">
        <v>1124</v>
      </c>
      <c r="I583" s="44" t="s">
        <v>1106</v>
      </c>
      <c r="J583" s="44">
        <v>240</v>
      </c>
      <c r="K583" s="44" t="s">
        <v>1599</v>
      </c>
      <c r="L583" s="44" t="s">
        <v>1161</v>
      </c>
      <c r="M583" s="44" t="s">
        <v>1586</v>
      </c>
      <c r="N583" s="45">
        <v>2567176</v>
      </c>
      <c r="O583" s="46">
        <f t="shared" si="18"/>
        <v>2567.1759999999999</v>
      </c>
      <c r="P583" s="47">
        <f>LUCK!G34</f>
        <v>2567.1759999999999</v>
      </c>
      <c r="Q583" s="44" t="str">
        <f t="shared" si="17"/>
        <v>PASS</v>
      </c>
      <c r="R583" s="44" t="s">
        <v>1587</v>
      </c>
      <c r="S583" s="44"/>
    </row>
    <row r="584" spans="1:19" x14ac:dyDescent="0.3">
      <c r="A584" s="44" t="s">
        <v>1675</v>
      </c>
      <c r="B584" s="44" t="s">
        <v>68</v>
      </c>
      <c r="C584" s="44" t="s">
        <v>29</v>
      </c>
      <c r="D584" s="44" t="s">
        <v>271</v>
      </c>
      <c r="E584" s="44" t="s">
        <v>1035</v>
      </c>
      <c r="F584" s="44" t="s">
        <v>271</v>
      </c>
      <c r="G584" s="44" t="s">
        <v>1598</v>
      </c>
      <c r="H584" s="44" t="s">
        <v>1124</v>
      </c>
      <c r="I584" s="44" t="s">
        <v>1127</v>
      </c>
      <c r="J584" s="44">
        <v>240</v>
      </c>
      <c r="K584" s="44" t="s">
        <v>1599</v>
      </c>
      <c r="L584" s="44" t="s">
        <v>1161</v>
      </c>
      <c r="M584" s="44" t="s">
        <v>1586</v>
      </c>
      <c r="N584" s="45">
        <v>2790323</v>
      </c>
      <c r="O584" s="46">
        <f t="shared" si="18"/>
        <v>2790.3229999999999</v>
      </c>
      <c r="P584" s="47">
        <f>LUCK!H34</f>
        <v>2790.3229999999999</v>
      </c>
      <c r="Q584" s="44" t="str">
        <f t="shared" si="17"/>
        <v>PASS</v>
      </c>
      <c r="R584" s="44" t="s">
        <v>1587</v>
      </c>
      <c r="S584" s="44"/>
    </row>
    <row r="585" spans="1:19" x14ac:dyDescent="0.3">
      <c r="A585" s="44" t="s">
        <v>1676</v>
      </c>
      <c r="B585" s="44" t="s">
        <v>68</v>
      </c>
      <c r="C585" s="44" t="s">
        <v>965</v>
      </c>
      <c r="D585" s="44" t="s">
        <v>273</v>
      </c>
      <c r="E585" s="44" t="s">
        <v>1035</v>
      </c>
      <c r="F585" s="44" t="s">
        <v>1677</v>
      </c>
      <c r="G585" s="44" t="s">
        <v>1584</v>
      </c>
      <c r="H585" s="44" t="s">
        <v>1105</v>
      </c>
      <c r="I585" s="44" t="s">
        <v>1106</v>
      </c>
      <c r="J585" s="44">
        <v>191</v>
      </c>
      <c r="K585" s="44" t="s">
        <v>1107</v>
      </c>
      <c r="L585" s="44"/>
      <c r="M585" s="44" t="s">
        <v>1586</v>
      </c>
      <c r="N585" s="45">
        <v>4728819</v>
      </c>
      <c r="O585" s="46">
        <f t="shared" si="18"/>
        <v>4728.8190000000004</v>
      </c>
      <c r="P585" s="47">
        <f>LUCK!C35</f>
        <v>4728.8190000000004</v>
      </c>
      <c r="Q585" s="44" t="str">
        <f t="shared" si="17"/>
        <v>PASS</v>
      </c>
      <c r="R585" s="44" t="s">
        <v>1587</v>
      </c>
      <c r="S585" s="44"/>
    </row>
    <row r="586" spans="1:19" x14ac:dyDescent="0.3">
      <c r="A586" s="44" t="s">
        <v>1678</v>
      </c>
      <c r="B586" s="44" t="s">
        <v>68</v>
      </c>
      <c r="C586" s="44" t="s">
        <v>20</v>
      </c>
      <c r="D586" s="44" t="s">
        <v>273</v>
      </c>
      <c r="E586" s="44" t="s">
        <v>1035</v>
      </c>
      <c r="F586" s="44" t="s">
        <v>1677</v>
      </c>
      <c r="G586" s="44" t="s">
        <v>1589</v>
      </c>
      <c r="H586" s="44" t="s">
        <v>1113</v>
      </c>
      <c r="I586" s="44" t="s">
        <v>1106</v>
      </c>
      <c r="J586" s="44">
        <v>226</v>
      </c>
      <c r="K586" s="44" t="s">
        <v>1590</v>
      </c>
      <c r="L586" s="44"/>
      <c r="M586" s="44" t="s">
        <v>1586</v>
      </c>
      <c r="N586" s="45">
        <v>5282150</v>
      </c>
      <c r="O586" s="46">
        <f t="shared" si="18"/>
        <v>5282.15</v>
      </c>
      <c r="P586" s="47">
        <f>LUCK!D35</f>
        <v>5282.15</v>
      </c>
      <c r="Q586" s="44" t="str">
        <f t="shared" si="17"/>
        <v>PASS</v>
      </c>
      <c r="R586" s="44" t="s">
        <v>1587</v>
      </c>
      <c r="S586" s="44"/>
    </row>
    <row r="587" spans="1:19" x14ac:dyDescent="0.3">
      <c r="A587" s="44" t="s">
        <v>1679</v>
      </c>
      <c r="B587" s="44" t="s">
        <v>68</v>
      </c>
      <c r="C587" s="44" t="s">
        <v>26</v>
      </c>
      <c r="D587" s="44" t="s">
        <v>273</v>
      </c>
      <c r="E587" s="44" t="s">
        <v>1035</v>
      </c>
      <c r="F587" s="44" t="s">
        <v>1677</v>
      </c>
      <c r="G587" s="44" t="s">
        <v>1592</v>
      </c>
      <c r="H587" s="44" t="s">
        <v>1117</v>
      </c>
      <c r="I587" s="44" t="s">
        <v>1106</v>
      </c>
      <c r="J587" s="44">
        <v>234</v>
      </c>
      <c r="K587" s="44" t="s">
        <v>1593</v>
      </c>
      <c r="L587" s="44"/>
      <c r="M587" s="44" t="s">
        <v>1586</v>
      </c>
      <c r="N587" s="45">
        <v>6292320</v>
      </c>
      <c r="O587" s="46">
        <f t="shared" si="18"/>
        <v>6292.32</v>
      </c>
      <c r="P587" s="47">
        <f>LUCK!E35</f>
        <v>6292.32</v>
      </c>
      <c r="Q587" s="44" t="str">
        <f t="shared" si="17"/>
        <v>PASS</v>
      </c>
      <c r="R587" s="44" t="s">
        <v>1587</v>
      </c>
      <c r="S587" s="44"/>
    </row>
    <row r="588" spans="1:19" x14ac:dyDescent="0.3">
      <c r="A588" s="44" t="s">
        <v>1680</v>
      </c>
      <c r="B588" s="44" t="s">
        <v>68</v>
      </c>
      <c r="C588" s="44" t="s">
        <v>27</v>
      </c>
      <c r="D588" s="44" t="s">
        <v>273</v>
      </c>
      <c r="E588" s="44" t="s">
        <v>1035</v>
      </c>
      <c r="F588" s="44" t="s">
        <v>1677</v>
      </c>
      <c r="G588" s="44" t="s">
        <v>1595</v>
      </c>
      <c r="H588" s="44" t="s">
        <v>1120</v>
      </c>
      <c r="I588" s="44" t="s">
        <v>1106</v>
      </c>
      <c r="J588" s="44">
        <v>238</v>
      </c>
      <c r="K588" s="44" t="s">
        <v>1596</v>
      </c>
      <c r="L588" s="44"/>
      <c r="M588" s="44" t="s">
        <v>1586</v>
      </c>
      <c r="N588" s="45">
        <v>8339773</v>
      </c>
      <c r="O588" s="46">
        <f t="shared" si="18"/>
        <v>8339.7729999999992</v>
      </c>
      <c r="P588" s="47">
        <f>LUCK!F35</f>
        <v>8339.7729999999992</v>
      </c>
      <c r="Q588" s="44" t="str">
        <f t="shared" si="17"/>
        <v>PASS</v>
      </c>
      <c r="R588" s="44" t="s">
        <v>1587</v>
      </c>
      <c r="S588" s="44"/>
    </row>
    <row r="589" spans="1:19" x14ac:dyDescent="0.3">
      <c r="A589" s="44" t="s">
        <v>1681</v>
      </c>
      <c r="B589" s="44" t="s">
        <v>68</v>
      </c>
      <c r="C589" s="44" t="s">
        <v>28</v>
      </c>
      <c r="D589" s="44" t="s">
        <v>273</v>
      </c>
      <c r="E589" s="44" t="s">
        <v>1035</v>
      </c>
      <c r="F589" s="44" t="s">
        <v>1682</v>
      </c>
      <c r="G589" s="44" t="s">
        <v>1598</v>
      </c>
      <c r="H589" s="44" t="s">
        <v>1124</v>
      </c>
      <c r="I589" s="44" t="s">
        <v>1106</v>
      </c>
      <c r="J589" s="44">
        <v>240</v>
      </c>
      <c r="K589" s="44" t="s">
        <v>1599</v>
      </c>
      <c r="L589" s="44" t="s">
        <v>1125</v>
      </c>
      <c r="M589" s="44" t="s">
        <v>1586</v>
      </c>
      <c r="N589" s="45">
        <v>6017554</v>
      </c>
      <c r="O589" s="46">
        <f t="shared" si="18"/>
        <v>6017.5540000000001</v>
      </c>
      <c r="P589" s="47">
        <f>LUCK!G35</f>
        <v>6017.5540000000001</v>
      </c>
      <c r="Q589" s="44" t="str">
        <f t="shared" si="17"/>
        <v>PASS</v>
      </c>
      <c r="R589" s="44" t="s">
        <v>1587</v>
      </c>
      <c r="S589" s="44"/>
    </row>
    <row r="590" spans="1:19" x14ac:dyDescent="0.3">
      <c r="A590" s="44" t="s">
        <v>1683</v>
      </c>
      <c r="B590" s="44" t="s">
        <v>68</v>
      </c>
      <c r="C590" s="44" t="s">
        <v>29</v>
      </c>
      <c r="D590" s="44" t="s">
        <v>273</v>
      </c>
      <c r="E590" s="44" t="s">
        <v>1035</v>
      </c>
      <c r="F590" s="44" t="s">
        <v>1682</v>
      </c>
      <c r="G590" s="44" t="s">
        <v>1598</v>
      </c>
      <c r="H590" s="44" t="s">
        <v>1124</v>
      </c>
      <c r="I590" s="44" t="s">
        <v>1127</v>
      </c>
      <c r="J590" s="44">
        <v>240</v>
      </c>
      <c r="K590" s="44" t="s">
        <v>1599</v>
      </c>
      <c r="L590" s="44" t="s">
        <v>1125</v>
      </c>
      <c r="M590" s="44" t="s">
        <v>1586</v>
      </c>
      <c r="N590" s="45">
        <v>5436083</v>
      </c>
      <c r="O590" s="46">
        <f t="shared" si="18"/>
        <v>5436.0829999999996</v>
      </c>
      <c r="P590" s="47">
        <f>LUCK!H35</f>
        <v>5436.0829999999996</v>
      </c>
      <c r="Q590" s="44" t="str">
        <f t="shared" si="17"/>
        <v>PASS</v>
      </c>
      <c r="R590" s="44" t="s">
        <v>1587</v>
      </c>
      <c r="S590" s="44"/>
    </row>
    <row r="591" spans="1:19" x14ac:dyDescent="0.3">
      <c r="A591" s="44" t="s">
        <v>1684</v>
      </c>
      <c r="B591" s="44" t="s">
        <v>68</v>
      </c>
      <c r="C591" s="44" t="s">
        <v>965</v>
      </c>
      <c r="D591" s="44" t="s">
        <v>280</v>
      </c>
      <c r="E591" s="44" t="s">
        <v>1035</v>
      </c>
      <c r="F591" s="44" t="s">
        <v>1685</v>
      </c>
      <c r="G591" s="44" t="s">
        <v>1584</v>
      </c>
      <c r="H591" s="44" t="s">
        <v>1105</v>
      </c>
      <c r="I591" s="44" t="s">
        <v>1106</v>
      </c>
      <c r="J591" s="44">
        <v>191</v>
      </c>
      <c r="K591" s="44" t="s">
        <v>1107</v>
      </c>
      <c r="L591" s="44" t="s">
        <v>1157</v>
      </c>
      <c r="M591" s="44" t="s">
        <v>1586</v>
      </c>
      <c r="N591" s="45">
        <v>3233750</v>
      </c>
      <c r="O591" s="46">
        <f t="shared" si="18"/>
        <v>3233.75</v>
      </c>
      <c r="P591" s="47">
        <f>LUCK!C39</f>
        <v>3233.75</v>
      </c>
      <c r="Q591" s="44" t="str">
        <f t="shared" ref="Q591:Q654" si="19">IF(ABS(O591-P591)&lt;0.000001,"PASS","FAIL")</f>
        <v>PASS</v>
      </c>
      <c r="R591" s="44" t="s">
        <v>1587</v>
      </c>
      <c r="S591" s="44"/>
    </row>
    <row r="592" spans="1:19" x14ac:dyDescent="0.3">
      <c r="A592" s="44" t="s">
        <v>1686</v>
      </c>
      <c r="B592" s="44" t="s">
        <v>68</v>
      </c>
      <c r="C592" s="44" t="s">
        <v>20</v>
      </c>
      <c r="D592" s="44" t="s">
        <v>280</v>
      </c>
      <c r="E592" s="44" t="s">
        <v>1035</v>
      </c>
      <c r="F592" s="44" t="s">
        <v>1685</v>
      </c>
      <c r="G592" s="44" t="s">
        <v>1589</v>
      </c>
      <c r="H592" s="44" t="s">
        <v>1113</v>
      </c>
      <c r="I592" s="44" t="s">
        <v>1106</v>
      </c>
      <c r="J592" s="44">
        <v>226</v>
      </c>
      <c r="K592" s="44" t="s">
        <v>1590</v>
      </c>
      <c r="L592" s="44" t="s">
        <v>1157</v>
      </c>
      <c r="M592" s="44" t="s">
        <v>1586</v>
      </c>
      <c r="N592" s="45">
        <v>3233750</v>
      </c>
      <c r="O592" s="46">
        <f t="shared" si="18"/>
        <v>3233.75</v>
      </c>
      <c r="P592" s="47">
        <f>LUCK!D39</f>
        <v>3233.75</v>
      </c>
      <c r="Q592" s="44" t="str">
        <f t="shared" si="19"/>
        <v>PASS</v>
      </c>
      <c r="R592" s="44" t="s">
        <v>1587</v>
      </c>
      <c r="S592" s="44"/>
    </row>
    <row r="593" spans="1:19" x14ac:dyDescent="0.3">
      <c r="A593" s="44" t="s">
        <v>1687</v>
      </c>
      <c r="B593" s="44" t="s">
        <v>68</v>
      </c>
      <c r="C593" s="44" t="s">
        <v>26</v>
      </c>
      <c r="D593" s="44" t="s">
        <v>280</v>
      </c>
      <c r="E593" s="44" t="s">
        <v>1035</v>
      </c>
      <c r="F593" s="44" t="s">
        <v>1685</v>
      </c>
      <c r="G593" s="44" t="s">
        <v>1592</v>
      </c>
      <c r="H593" s="44" t="s">
        <v>1117</v>
      </c>
      <c r="I593" s="44" t="s">
        <v>1106</v>
      </c>
      <c r="J593" s="44">
        <v>234</v>
      </c>
      <c r="K593" s="44" t="s">
        <v>1593</v>
      </c>
      <c r="L593" s="44" t="s">
        <v>1157</v>
      </c>
      <c r="M593" s="44" t="s">
        <v>1586</v>
      </c>
      <c r="N593" s="45">
        <v>3233750</v>
      </c>
      <c r="O593" s="46">
        <f t="shared" si="18"/>
        <v>3233.75</v>
      </c>
      <c r="P593" s="47">
        <f>LUCK!E39</f>
        <v>3233.75</v>
      </c>
      <c r="Q593" s="44" t="str">
        <f t="shared" si="19"/>
        <v>PASS</v>
      </c>
      <c r="R593" s="44" t="s">
        <v>1587</v>
      </c>
      <c r="S593" s="44"/>
    </row>
    <row r="594" spans="1:19" x14ac:dyDescent="0.3">
      <c r="A594" s="44" t="s">
        <v>1688</v>
      </c>
      <c r="B594" s="44" t="s">
        <v>68</v>
      </c>
      <c r="C594" s="44" t="s">
        <v>27</v>
      </c>
      <c r="D594" s="44" t="s">
        <v>280</v>
      </c>
      <c r="E594" s="44" t="s">
        <v>1035</v>
      </c>
      <c r="F594" s="44" t="s">
        <v>1689</v>
      </c>
      <c r="G594" s="44" t="s">
        <v>1595</v>
      </c>
      <c r="H594" s="44" t="s">
        <v>1120</v>
      </c>
      <c r="I594" s="44" t="s">
        <v>1106</v>
      </c>
      <c r="J594" s="44">
        <v>238</v>
      </c>
      <c r="K594" s="44" t="s">
        <v>1596</v>
      </c>
      <c r="L594" s="44" t="s">
        <v>1157</v>
      </c>
      <c r="M594" s="44" t="s">
        <v>1586</v>
      </c>
      <c r="N594" s="45">
        <v>3118386</v>
      </c>
      <c r="O594" s="46">
        <f t="shared" si="18"/>
        <v>3118.386</v>
      </c>
      <c r="P594" s="47">
        <f>LUCK!F39</f>
        <v>3118.386</v>
      </c>
      <c r="Q594" s="44" t="str">
        <f t="shared" si="19"/>
        <v>PASS</v>
      </c>
      <c r="R594" s="44" t="s">
        <v>1587</v>
      </c>
      <c r="S594" s="44"/>
    </row>
    <row r="595" spans="1:19" x14ac:dyDescent="0.3">
      <c r="A595" s="44" t="s">
        <v>1690</v>
      </c>
      <c r="B595" s="44" t="s">
        <v>68</v>
      </c>
      <c r="C595" s="44" t="s">
        <v>28</v>
      </c>
      <c r="D595" s="44" t="s">
        <v>280</v>
      </c>
      <c r="E595" s="44" t="s">
        <v>1035</v>
      </c>
      <c r="F595" s="44" t="s">
        <v>1689</v>
      </c>
      <c r="G595" s="44" t="s">
        <v>1598</v>
      </c>
      <c r="H595" s="44" t="s">
        <v>1124</v>
      </c>
      <c r="I595" s="44" t="s">
        <v>1106</v>
      </c>
      <c r="J595" s="44">
        <v>240</v>
      </c>
      <c r="K595" s="44" t="s">
        <v>1599</v>
      </c>
      <c r="L595" s="44" t="s">
        <v>1155</v>
      </c>
      <c r="M595" s="44" t="s">
        <v>1586</v>
      </c>
      <c r="N595" s="45">
        <v>2930000</v>
      </c>
      <c r="O595" s="46">
        <f t="shared" si="18"/>
        <v>2930</v>
      </c>
      <c r="P595" s="47">
        <f>LUCK!G39</f>
        <v>2930</v>
      </c>
      <c r="Q595" s="44" t="str">
        <f t="shared" si="19"/>
        <v>PASS</v>
      </c>
      <c r="R595" s="44" t="s">
        <v>1587</v>
      </c>
      <c r="S595" s="44"/>
    </row>
    <row r="596" spans="1:19" x14ac:dyDescent="0.3">
      <c r="A596" s="44" t="s">
        <v>1691</v>
      </c>
      <c r="B596" s="44" t="s">
        <v>68</v>
      </c>
      <c r="C596" s="44" t="s">
        <v>29</v>
      </c>
      <c r="D596" s="44" t="s">
        <v>280</v>
      </c>
      <c r="E596" s="44" t="s">
        <v>1035</v>
      </c>
      <c r="F596" s="44" t="s">
        <v>1689</v>
      </c>
      <c r="G596" s="44" t="s">
        <v>1598</v>
      </c>
      <c r="H596" s="44" t="s">
        <v>1124</v>
      </c>
      <c r="I596" s="44" t="s">
        <v>1127</v>
      </c>
      <c r="J596" s="44">
        <v>240</v>
      </c>
      <c r="K596" s="44" t="s">
        <v>1599</v>
      </c>
      <c r="L596" s="44" t="s">
        <v>1155</v>
      </c>
      <c r="M596" s="44" t="s">
        <v>1586</v>
      </c>
      <c r="N596" s="45">
        <v>2930000</v>
      </c>
      <c r="O596" s="46">
        <f t="shared" si="18"/>
        <v>2930</v>
      </c>
      <c r="P596" s="47">
        <f>LUCK!H39</f>
        <v>2930</v>
      </c>
      <c r="Q596" s="44" t="str">
        <f t="shared" si="19"/>
        <v>PASS</v>
      </c>
      <c r="R596" s="44" t="s">
        <v>1587</v>
      </c>
      <c r="S596" s="44"/>
    </row>
    <row r="597" spans="1:19" x14ac:dyDescent="0.3">
      <c r="A597" s="44" t="s">
        <v>1692</v>
      </c>
      <c r="B597" s="44" t="s">
        <v>68</v>
      </c>
      <c r="C597" s="44" t="s">
        <v>965</v>
      </c>
      <c r="D597" s="44" t="s">
        <v>282</v>
      </c>
      <c r="E597" s="44" t="s">
        <v>1035</v>
      </c>
      <c r="F597" s="44" t="s">
        <v>1693</v>
      </c>
      <c r="G597" s="44" t="s">
        <v>1584</v>
      </c>
      <c r="H597" s="44" t="s">
        <v>1105</v>
      </c>
      <c r="I597" s="44" t="s">
        <v>1106</v>
      </c>
      <c r="J597" s="44">
        <v>191</v>
      </c>
      <c r="K597" s="44" t="s">
        <v>1107</v>
      </c>
      <c r="L597" s="44" t="s">
        <v>1179</v>
      </c>
      <c r="M597" s="44" t="s">
        <v>1586</v>
      </c>
      <c r="N597" s="45">
        <v>95950111</v>
      </c>
      <c r="O597" s="46">
        <f t="shared" si="18"/>
        <v>95950.111000000004</v>
      </c>
      <c r="P597" s="47">
        <f>LUCK!C40</f>
        <v>95950.111000000004</v>
      </c>
      <c r="Q597" s="44" t="str">
        <f t="shared" si="19"/>
        <v>PASS</v>
      </c>
      <c r="R597" s="44" t="s">
        <v>1587</v>
      </c>
      <c r="S597" s="44"/>
    </row>
    <row r="598" spans="1:19" x14ac:dyDescent="0.3">
      <c r="A598" s="44" t="s">
        <v>1694</v>
      </c>
      <c r="B598" s="44" t="s">
        <v>68</v>
      </c>
      <c r="C598" s="44" t="s">
        <v>20</v>
      </c>
      <c r="D598" s="44" t="s">
        <v>282</v>
      </c>
      <c r="E598" s="44" t="s">
        <v>1035</v>
      </c>
      <c r="F598" s="44" t="s">
        <v>1693</v>
      </c>
      <c r="G598" s="44" t="s">
        <v>1589</v>
      </c>
      <c r="H598" s="44" t="s">
        <v>1113</v>
      </c>
      <c r="I598" s="44" t="s">
        <v>1106</v>
      </c>
      <c r="J598" s="44">
        <v>226</v>
      </c>
      <c r="K598" s="44" t="s">
        <v>1590</v>
      </c>
      <c r="L598" s="44" t="s">
        <v>1179</v>
      </c>
      <c r="M598" s="44" t="s">
        <v>1586</v>
      </c>
      <c r="N598" s="45">
        <v>109966508</v>
      </c>
      <c r="O598" s="46">
        <f t="shared" si="18"/>
        <v>109966.508</v>
      </c>
      <c r="P598" s="47">
        <f>LUCK!D40</f>
        <v>109966.508</v>
      </c>
      <c r="Q598" s="44" t="str">
        <f t="shared" si="19"/>
        <v>PASS</v>
      </c>
      <c r="R598" s="44" t="s">
        <v>1587</v>
      </c>
      <c r="S598" s="44"/>
    </row>
    <row r="599" spans="1:19" x14ac:dyDescent="0.3">
      <c r="A599" s="44" t="s">
        <v>1695</v>
      </c>
      <c r="B599" s="44" t="s">
        <v>68</v>
      </c>
      <c r="C599" s="44" t="s">
        <v>26</v>
      </c>
      <c r="D599" s="44" t="s">
        <v>282</v>
      </c>
      <c r="E599" s="44" t="s">
        <v>1035</v>
      </c>
      <c r="F599" s="44" t="s">
        <v>1693</v>
      </c>
      <c r="G599" s="44" t="s">
        <v>1592</v>
      </c>
      <c r="H599" s="44" t="s">
        <v>1117</v>
      </c>
      <c r="I599" s="44" t="s">
        <v>1106</v>
      </c>
      <c r="J599" s="44">
        <v>234</v>
      </c>
      <c r="K599" s="44" t="s">
        <v>1593</v>
      </c>
      <c r="L599" s="44" t="s">
        <v>1179</v>
      </c>
      <c r="M599" s="44" t="s">
        <v>1586</v>
      </c>
      <c r="N599" s="45">
        <v>125306574</v>
      </c>
      <c r="O599" s="46">
        <f t="shared" si="18"/>
        <v>125306.57399999999</v>
      </c>
      <c r="P599" s="47">
        <f>LUCK!E40</f>
        <v>125306.57399999999</v>
      </c>
      <c r="Q599" s="44" t="str">
        <f t="shared" si="19"/>
        <v>PASS</v>
      </c>
      <c r="R599" s="44" t="s">
        <v>1587</v>
      </c>
      <c r="S599" s="44"/>
    </row>
    <row r="600" spans="1:19" x14ac:dyDescent="0.3">
      <c r="A600" s="44" t="s">
        <v>1696</v>
      </c>
      <c r="B600" s="44" t="s">
        <v>68</v>
      </c>
      <c r="C600" s="44" t="s">
        <v>27</v>
      </c>
      <c r="D600" s="44" t="s">
        <v>282</v>
      </c>
      <c r="E600" s="44" t="s">
        <v>1035</v>
      </c>
      <c r="F600" s="44" t="s">
        <v>1693</v>
      </c>
      <c r="G600" s="44" t="s">
        <v>1595</v>
      </c>
      <c r="H600" s="44" t="s">
        <v>1120</v>
      </c>
      <c r="I600" s="44" t="s">
        <v>1106</v>
      </c>
      <c r="J600" s="44">
        <v>238</v>
      </c>
      <c r="K600" s="44" t="s">
        <v>1596</v>
      </c>
      <c r="L600" s="44" t="s">
        <v>1179</v>
      </c>
      <c r="M600" s="44" t="s">
        <v>1586</v>
      </c>
      <c r="N600" s="45">
        <v>134247940</v>
      </c>
      <c r="O600" s="46">
        <f t="shared" si="18"/>
        <v>134247.94</v>
      </c>
      <c r="P600" s="47">
        <f>LUCK!F40</f>
        <v>134247.94</v>
      </c>
      <c r="Q600" s="44" t="str">
        <f t="shared" si="19"/>
        <v>PASS</v>
      </c>
      <c r="R600" s="44" t="s">
        <v>1587</v>
      </c>
      <c r="S600" s="44"/>
    </row>
    <row r="601" spans="1:19" x14ac:dyDescent="0.3">
      <c r="A601" s="44" t="s">
        <v>1697</v>
      </c>
      <c r="B601" s="44" t="s">
        <v>68</v>
      </c>
      <c r="C601" s="44" t="s">
        <v>28</v>
      </c>
      <c r="D601" s="44" t="s">
        <v>282</v>
      </c>
      <c r="E601" s="44" t="s">
        <v>1035</v>
      </c>
      <c r="F601" s="44" t="s">
        <v>1693</v>
      </c>
      <c r="G601" s="44" t="s">
        <v>1598</v>
      </c>
      <c r="H601" s="44" t="s">
        <v>1124</v>
      </c>
      <c r="I601" s="44" t="s">
        <v>1106</v>
      </c>
      <c r="J601" s="44">
        <v>240</v>
      </c>
      <c r="K601" s="44" t="s">
        <v>1599</v>
      </c>
      <c r="L601" s="44" t="s">
        <v>1157</v>
      </c>
      <c r="M601" s="44" t="s">
        <v>1586</v>
      </c>
      <c r="N601" s="45">
        <v>144831277</v>
      </c>
      <c r="O601" s="46">
        <f t="shared" si="18"/>
        <v>144831.277</v>
      </c>
      <c r="P601" s="47">
        <f>LUCK!G40</f>
        <v>144831.277</v>
      </c>
      <c r="Q601" s="44" t="str">
        <f t="shared" si="19"/>
        <v>PASS</v>
      </c>
      <c r="R601" s="44" t="s">
        <v>1587</v>
      </c>
      <c r="S601" s="44"/>
    </row>
    <row r="602" spans="1:19" x14ac:dyDescent="0.3">
      <c r="A602" s="44" t="s">
        <v>1698</v>
      </c>
      <c r="B602" s="44" t="s">
        <v>68</v>
      </c>
      <c r="C602" s="44" t="s">
        <v>29</v>
      </c>
      <c r="D602" s="44" t="s">
        <v>282</v>
      </c>
      <c r="E602" s="44" t="s">
        <v>1035</v>
      </c>
      <c r="F602" s="44" t="s">
        <v>1693</v>
      </c>
      <c r="G602" s="44" t="s">
        <v>1598</v>
      </c>
      <c r="H602" s="44" t="s">
        <v>1124</v>
      </c>
      <c r="I602" s="44" t="s">
        <v>1127</v>
      </c>
      <c r="J602" s="44">
        <v>240</v>
      </c>
      <c r="K602" s="44" t="s">
        <v>1599</v>
      </c>
      <c r="L602" s="44" t="s">
        <v>1157</v>
      </c>
      <c r="M602" s="44" t="s">
        <v>1586</v>
      </c>
      <c r="N602" s="45">
        <v>172980400</v>
      </c>
      <c r="O602" s="46">
        <f t="shared" si="18"/>
        <v>172980.4</v>
      </c>
      <c r="P602" s="47">
        <f>LUCK!H40</f>
        <v>172980.4</v>
      </c>
      <c r="Q602" s="44" t="str">
        <f t="shared" si="19"/>
        <v>PASS</v>
      </c>
      <c r="R602" s="44" t="s">
        <v>1587</v>
      </c>
      <c r="S602" s="44"/>
    </row>
    <row r="603" spans="1:19" x14ac:dyDescent="0.3">
      <c r="A603" s="44" t="s">
        <v>1699</v>
      </c>
      <c r="B603" s="44" t="s">
        <v>68</v>
      </c>
      <c r="C603" s="44" t="s">
        <v>965</v>
      </c>
      <c r="D603" s="44" t="s">
        <v>287</v>
      </c>
      <c r="E603" s="44" t="s">
        <v>1035</v>
      </c>
      <c r="F603" s="44" t="s">
        <v>1700</v>
      </c>
      <c r="G603" s="44" t="s">
        <v>1584</v>
      </c>
      <c r="H603" s="44" t="s">
        <v>1105</v>
      </c>
      <c r="I603" s="44" t="s">
        <v>1106</v>
      </c>
      <c r="J603" s="44">
        <v>191</v>
      </c>
      <c r="K603" s="44" t="s">
        <v>1107</v>
      </c>
      <c r="L603" s="44" t="s">
        <v>1643</v>
      </c>
      <c r="M603" s="44" t="s">
        <v>1586</v>
      </c>
      <c r="N603" s="45">
        <v>320461</v>
      </c>
      <c r="O603" s="46">
        <f t="shared" si="18"/>
        <v>320.46100000000001</v>
      </c>
      <c r="P603" s="47">
        <f>LUCK!C43</f>
        <v>320.46100000000001</v>
      </c>
      <c r="Q603" s="44" t="str">
        <f t="shared" si="19"/>
        <v>PASS</v>
      </c>
      <c r="R603" s="44" t="s">
        <v>1587</v>
      </c>
      <c r="S603" s="44"/>
    </row>
    <row r="604" spans="1:19" x14ac:dyDescent="0.3">
      <c r="A604" s="44" t="s">
        <v>1701</v>
      </c>
      <c r="B604" s="44" t="s">
        <v>68</v>
      </c>
      <c r="C604" s="44" t="s">
        <v>20</v>
      </c>
      <c r="D604" s="44" t="s">
        <v>287</v>
      </c>
      <c r="E604" s="44" t="s">
        <v>1035</v>
      </c>
      <c r="F604" s="44" t="s">
        <v>1700</v>
      </c>
      <c r="G604" s="44" t="s">
        <v>1589</v>
      </c>
      <c r="H604" s="44" t="s">
        <v>1113</v>
      </c>
      <c r="I604" s="44" t="s">
        <v>1106</v>
      </c>
      <c r="J604" s="44">
        <v>226</v>
      </c>
      <c r="K604" s="44" t="s">
        <v>1590</v>
      </c>
      <c r="L604" s="44" t="s">
        <v>1643</v>
      </c>
      <c r="M604" s="44" t="s">
        <v>1586</v>
      </c>
      <c r="N604" s="45">
        <v>2934044</v>
      </c>
      <c r="O604" s="46">
        <f t="shared" si="18"/>
        <v>2934.0439999999999</v>
      </c>
      <c r="P604" s="47">
        <f>LUCK!D43</f>
        <v>2934.0439999999999</v>
      </c>
      <c r="Q604" s="44" t="str">
        <f t="shared" si="19"/>
        <v>PASS</v>
      </c>
      <c r="R604" s="44" t="s">
        <v>1587</v>
      </c>
      <c r="S604" s="44"/>
    </row>
    <row r="605" spans="1:19" x14ac:dyDescent="0.3">
      <c r="A605" s="44" t="s">
        <v>1702</v>
      </c>
      <c r="B605" s="44" t="s">
        <v>68</v>
      </c>
      <c r="C605" s="44" t="s">
        <v>26</v>
      </c>
      <c r="D605" s="44" t="s">
        <v>287</v>
      </c>
      <c r="E605" s="44" t="s">
        <v>1035</v>
      </c>
      <c r="F605" s="44" t="s">
        <v>1700</v>
      </c>
      <c r="G605" s="44" t="s">
        <v>1592</v>
      </c>
      <c r="H605" s="44" t="s">
        <v>1117</v>
      </c>
      <c r="I605" s="44" t="s">
        <v>1106</v>
      </c>
      <c r="J605" s="44">
        <v>234</v>
      </c>
      <c r="K605" s="44" t="s">
        <v>1593</v>
      </c>
      <c r="L605" s="44" t="s">
        <v>1643</v>
      </c>
      <c r="M605" s="44" t="s">
        <v>1586</v>
      </c>
      <c r="N605" s="45">
        <v>14108446</v>
      </c>
      <c r="O605" s="46">
        <f t="shared" si="18"/>
        <v>14108.446</v>
      </c>
      <c r="P605" s="47">
        <f>LUCK!E43</f>
        <v>14108.446</v>
      </c>
      <c r="Q605" s="44" t="str">
        <f t="shared" si="19"/>
        <v>PASS</v>
      </c>
      <c r="R605" s="44" t="s">
        <v>1587</v>
      </c>
      <c r="S605" s="44"/>
    </row>
    <row r="606" spans="1:19" x14ac:dyDescent="0.3">
      <c r="A606" s="44" t="s">
        <v>1703</v>
      </c>
      <c r="B606" s="44" t="s">
        <v>68</v>
      </c>
      <c r="C606" s="44" t="s">
        <v>27</v>
      </c>
      <c r="D606" s="44" t="s">
        <v>287</v>
      </c>
      <c r="E606" s="44" t="s">
        <v>1035</v>
      </c>
      <c r="F606" s="44" t="s">
        <v>1700</v>
      </c>
      <c r="G606" s="44" t="s">
        <v>1595</v>
      </c>
      <c r="H606" s="44" t="s">
        <v>1120</v>
      </c>
      <c r="I606" s="44" t="s">
        <v>1106</v>
      </c>
      <c r="J606" s="44">
        <v>238</v>
      </c>
      <c r="K606" s="44" t="s">
        <v>1596</v>
      </c>
      <c r="L606" s="44" t="s">
        <v>1643</v>
      </c>
      <c r="M606" s="44" t="s">
        <v>1586</v>
      </c>
      <c r="N606" s="45">
        <v>14557294</v>
      </c>
      <c r="O606" s="46">
        <f t="shared" si="18"/>
        <v>14557.294</v>
      </c>
      <c r="P606" s="47">
        <f>LUCK!F43</f>
        <v>14557.294</v>
      </c>
      <c r="Q606" s="44" t="str">
        <f t="shared" si="19"/>
        <v>PASS</v>
      </c>
      <c r="R606" s="44" t="s">
        <v>1587</v>
      </c>
      <c r="S606" s="44"/>
    </row>
    <row r="607" spans="1:19" x14ac:dyDescent="0.3">
      <c r="A607" s="44" t="s">
        <v>1704</v>
      </c>
      <c r="B607" s="44" t="s">
        <v>68</v>
      </c>
      <c r="C607" s="44" t="s">
        <v>28</v>
      </c>
      <c r="D607" s="44" t="s">
        <v>287</v>
      </c>
      <c r="E607" s="44" t="s">
        <v>1035</v>
      </c>
      <c r="F607" s="44" t="s">
        <v>1705</v>
      </c>
      <c r="G607" s="44" t="s">
        <v>1598</v>
      </c>
      <c r="H607" s="44" t="s">
        <v>1124</v>
      </c>
      <c r="I607" s="44" t="s">
        <v>1106</v>
      </c>
      <c r="J607" s="44">
        <v>240</v>
      </c>
      <c r="K607" s="44" t="s">
        <v>1599</v>
      </c>
      <c r="L607" s="44" t="s">
        <v>1186</v>
      </c>
      <c r="M607" s="44" t="s">
        <v>1586</v>
      </c>
      <c r="N607" s="45">
        <v>12760637</v>
      </c>
      <c r="O607" s="46">
        <f t="shared" si="18"/>
        <v>12760.637000000001</v>
      </c>
      <c r="P607" s="47">
        <f>LUCK!G43</f>
        <v>12760.637000000001</v>
      </c>
      <c r="Q607" s="44" t="str">
        <f t="shared" si="19"/>
        <v>PASS</v>
      </c>
      <c r="R607" s="44" t="s">
        <v>1587</v>
      </c>
      <c r="S607" s="44"/>
    </row>
    <row r="608" spans="1:19" x14ac:dyDescent="0.3">
      <c r="A608" s="44" t="s">
        <v>1706</v>
      </c>
      <c r="B608" s="44" t="s">
        <v>68</v>
      </c>
      <c r="C608" s="44" t="s">
        <v>29</v>
      </c>
      <c r="D608" s="44" t="s">
        <v>287</v>
      </c>
      <c r="E608" s="44" t="s">
        <v>1035</v>
      </c>
      <c r="F608" s="44" t="s">
        <v>1705</v>
      </c>
      <c r="G608" s="44" t="s">
        <v>1598</v>
      </c>
      <c r="H608" s="44" t="s">
        <v>1124</v>
      </c>
      <c r="I608" s="44" t="s">
        <v>1127</v>
      </c>
      <c r="J608" s="44">
        <v>240</v>
      </c>
      <c r="K608" s="44" t="s">
        <v>1599</v>
      </c>
      <c r="L608" s="44" t="s">
        <v>1186</v>
      </c>
      <c r="M608" s="44" t="s">
        <v>1586</v>
      </c>
      <c r="N608" s="45">
        <v>9184522</v>
      </c>
      <c r="O608" s="46">
        <f t="shared" si="18"/>
        <v>9184.5220000000008</v>
      </c>
      <c r="P608" s="47">
        <f>LUCK!H43</f>
        <v>9184.5220000000008</v>
      </c>
      <c r="Q608" s="44" t="str">
        <f t="shared" si="19"/>
        <v>PASS</v>
      </c>
      <c r="R608" s="44" t="s">
        <v>1587</v>
      </c>
      <c r="S608" s="44"/>
    </row>
    <row r="609" spans="1:19" x14ac:dyDescent="0.3">
      <c r="A609" s="44" t="s">
        <v>1707</v>
      </c>
      <c r="B609" s="44" t="s">
        <v>68</v>
      </c>
      <c r="C609" s="44" t="s">
        <v>965</v>
      </c>
      <c r="D609" s="44" t="s">
        <v>289</v>
      </c>
      <c r="E609" s="44" t="s">
        <v>1035</v>
      </c>
      <c r="F609" s="44"/>
      <c r="G609" s="44" t="s">
        <v>1584</v>
      </c>
      <c r="H609" s="44" t="s">
        <v>1105</v>
      </c>
      <c r="I609" s="44" t="s">
        <v>1106</v>
      </c>
      <c r="J609" s="44">
        <v>191</v>
      </c>
      <c r="K609" s="44" t="s">
        <v>1107</v>
      </c>
      <c r="L609" s="44"/>
      <c r="M609" s="44" t="s">
        <v>1586</v>
      </c>
      <c r="N609" s="45">
        <v>0</v>
      </c>
      <c r="O609" s="46">
        <f t="shared" si="18"/>
        <v>0</v>
      </c>
      <c r="P609" s="47">
        <f>LUCK!C44</f>
        <v>0</v>
      </c>
      <c r="Q609" s="44" t="str">
        <f t="shared" si="19"/>
        <v>PASS</v>
      </c>
      <c r="R609" s="44" t="s">
        <v>1587</v>
      </c>
      <c r="S609" s="44"/>
    </row>
    <row r="610" spans="1:19" x14ac:dyDescent="0.3">
      <c r="A610" s="44" t="s">
        <v>1708</v>
      </c>
      <c r="B610" s="44" t="s">
        <v>68</v>
      </c>
      <c r="C610" s="44" t="s">
        <v>20</v>
      </c>
      <c r="D610" s="44" t="s">
        <v>289</v>
      </c>
      <c r="E610" s="44" t="s">
        <v>1035</v>
      </c>
      <c r="F610" s="44"/>
      <c r="G610" s="44" t="s">
        <v>1589</v>
      </c>
      <c r="H610" s="44" t="s">
        <v>1113</v>
      </c>
      <c r="I610" s="44" t="s">
        <v>1106</v>
      </c>
      <c r="J610" s="44">
        <v>226</v>
      </c>
      <c r="K610" s="44" t="s">
        <v>1590</v>
      </c>
      <c r="L610" s="44"/>
      <c r="M610" s="44" t="s">
        <v>1586</v>
      </c>
      <c r="N610" s="45">
        <v>0</v>
      </c>
      <c r="O610" s="46">
        <f t="shared" si="18"/>
        <v>0</v>
      </c>
      <c r="P610" s="47">
        <f>LUCK!D44</f>
        <v>0</v>
      </c>
      <c r="Q610" s="44" t="str">
        <f t="shared" si="19"/>
        <v>PASS</v>
      </c>
      <c r="R610" s="44" t="s">
        <v>1587</v>
      </c>
      <c r="S610" s="44"/>
    </row>
    <row r="611" spans="1:19" x14ac:dyDescent="0.3">
      <c r="A611" s="44" t="s">
        <v>1709</v>
      </c>
      <c r="B611" s="44" t="s">
        <v>68</v>
      </c>
      <c r="C611" s="44" t="s">
        <v>26</v>
      </c>
      <c r="D611" s="44" t="s">
        <v>289</v>
      </c>
      <c r="E611" s="44" t="s">
        <v>1035</v>
      </c>
      <c r="F611" s="44"/>
      <c r="G611" s="44" t="s">
        <v>1592</v>
      </c>
      <c r="H611" s="44" t="s">
        <v>1117</v>
      </c>
      <c r="I611" s="44" t="s">
        <v>1106</v>
      </c>
      <c r="J611" s="44">
        <v>234</v>
      </c>
      <c r="K611" s="44" t="s">
        <v>1593</v>
      </c>
      <c r="L611" s="44"/>
      <c r="M611" s="44" t="s">
        <v>1586</v>
      </c>
      <c r="N611" s="45">
        <v>0</v>
      </c>
      <c r="O611" s="46">
        <f t="shared" si="18"/>
        <v>0</v>
      </c>
      <c r="P611" s="47">
        <f>LUCK!E44</f>
        <v>0</v>
      </c>
      <c r="Q611" s="44" t="str">
        <f t="shared" si="19"/>
        <v>PASS</v>
      </c>
      <c r="R611" s="44" t="s">
        <v>1587</v>
      </c>
      <c r="S611" s="44"/>
    </row>
    <row r="612" spans="1:19" x14ac:dyDescent="0.3">
      <c r="A612" s="44" t="s">
        <v>1710</v>
      </c>
      <c r="B612" s="44" t="s">
        <v>68</v>
      </c>
      <c r="C612" s="44" t="s">
        <v>27</v>
      </c>
      <c r="D612" s="44" t="s">
        <v>289</v>
      </c>
      <c r="E612" s="44" t="s">
        <v>1035</v>
      </c>
      <c r="F612" s="44"/>
      <c r="G612" s="44" t="s">
        <v>1595</v>
      </c>
      <c r="H612" s="44" t="s">
        <v>1120</v>
      </c>
      <c r="I612" s="44" t="s">
        <v>1106</v>
      </c>
      <c r="J612" s="44">
        <v>238</v>
      </c>
      <c r="K612" s="44" t="s">
        <v>1596</v>
      </c>
      <c r="L612" s="44"/>
      <c r="M612" s="44" t="s">
        <v>1586</v>
      </c>
      <c r="N612" s="45">
        <v>0</v>
      </c>
      <c r="O612" s="46">
        <f t="shared" si="18"/>
        <v>0</v>
      </c>
      <c r="P612" s="47">
        <f>LUCK!F44</f>
        <v>0</v>
      </c>
      <c r="Q612" s="44" t="str">
        <f t="shared" si="19"/>
        <v>PASS</v>
      </c>
      <c r="R612" s="44" t="s">
        <v>1587</v>
      </c>
      <c r="S612" s="44"/>
    </row>
    <row r="613" spans="1:19" x14ac:dyDescent="0.3">
      <c r="A613" s="44" t="s">
        <v>1711</v>
      </c>
      <c r="B613" s="44" t="s">
        <v>68</v>
      </c>
      <c r="C613" s="44" t="s">
        <v>28</v>
      </c>
      <c r="D613" s="44" t="s">
        <v>289</v>
      </c>
      <c r="E613" s="44" t="s">
        <v>1035</v>
      </c>
      <c r="F613" s="44"/>
      <c r="G613" s="44" t="s">
        <v>1598</v>
      </c>
      <c r="H613" s="44" t="s">
        <v>1124</v>
      </c>
      <c r="I613" s="44" t="s">
        <v>1106</v>
      </c>
      <c r="J613" s="44">
        <v>240</v>
      </c>
      <c r="K613" s="44" t="s">
        <v>1599</v>
      </c>
      <c r="L613" s="44"/>
      <c r="M613" s="44" t="s">
        <v>1586</v>
      </c>
      <c r="N613" s="45">
        <v>0</v>
      </c>
      <c r="O613" s="46">
        <f t="shared" si="18"/>
        <v>0</v>
      </c>
      <c r="P613" s="47">
        <f>LUCK!G44</f>
        <v>0</v>
      </c>
      <c r="Q613" s="44" t="str">
        <f t="shared" si="19"/>
        <v>PASS</v>
      </c>
      <c r="R613" s="44" t="s">
        <v>1587</v>
      </c>
      <c r="S613" s="44"/>
    </row>
    <row r="614" spans="1:19" x14ac:dyDescent="0.3">
      <c r="A614" s="44" t="s">
        <v>1712</v>
      </c>
      <c r="B614" s="44" t="s">
        <v>68</v>
      </c>
      <c r="C614" s="44" t="s">
        <v>29</v>
      </c>
      <c r="D614" s="44" t="s">
        <v>289</v>
      </c>
      <c r="E614" s="44" t="s">
        <v>1035</v>
      </c>
      <c r="F614" s="44"/>
      <c r="G614" s="44" t="s">
        <v>1598</v>
      </c>
      <c r="H614" s="44" t="s">
        <v>1124</v>
      </c>
      <c r="I614" s="44" t="s">
        <v>1127</v>
      </c>
      <c r="J614" s="44">
        <v>240</v>
      </c>
      <c r="K614" s="44" t="s">
        <v>1599</v>
      </c>
      <c r="L614" s="44"/>
      <c r="M614" s="44" t="s">
        <v>1586</v>
      </c>
      <c r="N614" s="45">
        <v>0</v>
      </c>
      <c r="O614" s="46">
        <f t="shared" si="18"/>
        <v>0</v>
      </c>
      <c r="P614" s="47">
        <f>LUCK!H44</f>
        <v>0</v>
      </c>
      <c r="Q614" s="44" t="str">
        <f t="shared" si="19"/>
        <v>PASS</v>
      </c>
      <c r="R614" s="44" t="s">
        <v>1587</v>
      </c>
      <c r="S614" s="44"/>
    </row>
    <row r="615" spans="1:19" x14ac:dyDescent="0.3">
      <c r="A615" s="44" t="s">
        <v>1713</v>
      </c>
      <c r="B615" s="44" t="s">
        <v>68</v>
      </c>
      <c r="C615" s="44" t="s">
        <v>965</v>
      </c>
      <c r="D615" s="44" t="s">
        <v>291</v>
      </c>
      <c r="E615" s="44" t="s">
        <v>1035</v>
      </c>
      <c r="F615" s="44" t="s">
        <v>1714</v>
      </c>
      <c r="G615" s="44" t="s">
        <v>1584</v>
      </c>
      <c r="H615" s="44" t="s">
        <v>1105</v>
      </c>
      <c r="I615" s="44" t="s">
        <v>1106</v>
      </c>
      <c r="J615" s="44">
        <v>191</v>
      </c>
      <c r="K615" s="44" t="s">
        <v>1107</v>
      </c>
      <c r="L615" s="44" t="s">
        <v>1202</v>
      </c>
      <c r="M615" s="44" t="s">
        <v>1586</v>
      </c>
      <c r="N615" s="45">
        <v>59720</v>
      </c>
      <c r="O615" s="46">
        <f t="shared" si="18"/>
        <v>59.72</v>
      </c>
      <c r="P615" s="47">
        <f>LUCK!C45</f>
        <v>59.72</v>
      </c>
      <c r="Q615" s="44" t="str">
        <f t="shared" si="19"/>
        <v>PASS</v>
      </c>
      <c r="R615" s="44" t="s">
        <v>1587</v>
      </c>
      <c r="S615" s="44"/>
    </row>
    <row r="616" spans="1:19" x14ac:dyDescent="0.3">
      <c r="A616" s="44" t="s">
        <v>1715</v>
      </c>
      <c r="B616" s="44" t="s">
        <v>68</v>
      </c>
      <c r="C616" s="44" t="s">
        <v>20</v>
      </c>
      <c r="D616" s="44" t="s">
        <v>291</v>
      </c>
      <c r="E616" s="44" t="s">
        <v>1035</v>
      </c>
      <c r="F616" s="44" t="s">
        <v>1714</v>
      </c>
      <c r="G616" s="44" t="s">
        <v>1589</v>
      </c>
      <c r="H616" s="44" t="s">
        <v>1113</v>
      </c>
      <c r="I616" s="44" t="s">
        <v>1106</v>
      </c>
      <c r="J616" s="44">
        <v>226</v>
      </c>
      <c r="K616" s="44" t="s">
        <v>1590</v>
      </c>
      <c r="L616" s="44" t="s">
        <v>1202</v>
      </c>
      <c r="M616" s="44" t="s">
        <v>1586</v>
      </c>
      <c r="N616" s="45">
        <v>1107940</v>
      </c>
      <c r="O616" s="46">
        <f t="shared" si="18"/>
        <v>1107.94</v>
      </c>
      <c r="P616" s="47">
        <f>LUCK!D45</f>
        <v>1107.94</v>
      </c>
      <c r="Q616" s="44" t="str">
        <f t="shared" si="19"/>
        <v>PASS</v>
      </c>
      <c r="R616" s="44" t="s">
        <v>1587</v>
      </c>
      <c r="S616" s="44"/>
    </row>
    <row r="617" spans="1:19" x14ac:dyDescent="0.3">
      <c r="A617" s="44" t="s">
        <v>1716</v>
      </c>
      <c r="B617" s="44" t="s">
        <v>68</v>
      </c>
      <c r="C617" s="44" t="s">
        <v>26</v>
      </c>
      <c r="D617" s="44" t="s">
        <v>291</v>
      </c>
      <c r="E617" s="44" t="s">
        <v>1035</v>
      </c>
      <c r="F617" s="44" t="s">
        <v>1714</v>
      </c>
      <c r="G617" s="44" t="s">
        <v>1592</v>
      </c>
      <c r="H617" s="44" t="s">
        <v>1117</v>
      </c>
      <c r="I617" s="44" t="s">
        <v>1106</v>
      </c>
      <c r="J617" s="44">
        <v>234</v>
      </c>
      <c r="K617" s="44" t="s">
        <v>1593</v>
      </c>
      <c r="L617" s="44" t="s">
        <v>1202</v>
      </c>
      <c r="M617" s="44" t="s">
        <v>1586</v>
      </c>
      <c r="N617" s="45">
        <v>2164455</v>
      </c>
      <c r="O617" s="46">
        <f t="shared" si="18"/>
        <v>2164.4549999999999</v>
      </c>
      <c r="P617" s="47">
        <f>LUCK!E45</f>
        <v>2164.4549999999999</v>
      </c>
      <c r="Q617" s="44" t="str">
        <f t="shared" si="19"/>
        <v>PASS</v>
      </c>
      <c r="R617" s="44" t="s">
        <v>1587</v>
      </c>
      <c r="S617" s="44"/>
    </row>
    <row r="618" spans="1:19" x14ac:dyDescent="0.3">
      <c r="A618" s="44" t="s">
        <v>1717</v>
      </c>
      <c r="B618" s="44" t="s">
        <v>68</v>
      </c>
      <c r="C618" s="44" t="s">
        <v>27</v>
      </c>
      <c r="D618" s="44" t="s">
        <v>291</v>
      </c>
      <c r="E618" s="44" t="s">
        <v>1035</v>
      </c>
      <c r="F618" s="44" t="s">
        <v>1714</v>
      </c>
      <c r="G618" s="44" t="s">
        <v>1595</v>
      </c>
      <c r="H618" s="44" t="s">
        <v>1120</v>
      </c>
      <c r="I618" s="44" t="s">
        <v>1106</v>
      </c>
      <c r="J618" s="44">
        <v>238</v>
      </c>
      <c r="K618" s="44" t="s">
        <v>1596</v>
      </c>
      <c r="L618" s="44" t="s">
        <v>1202</v>
      </c>
      <c r="M618" s="44" t="s">
        <v>1586</v>
      </c>
      <c r="N618" s="45">
        <v>2121307</v>
      </c>
      <c r="O618" s="46">
        <f t="shared" si="18"/>
        <v>2121.3069999999998</v>
      </c>
      <c r="P618" s="47">
        <f>LUCK!F45</f>
        <v>2121.3069999999998</v>
      </c>
      <c r="Q618" s="44" t="str">
        <f t="shared" si="19"/>
        <v>PASS</v>
      </c>
      <c r="R618" s="44" t="s">
        <v>1587</v>
      </c>
      <c r="S618" s="44"/>
    </row>
    <row r="619" spans="1:19" x14ac:dyDescent="0.3">
      <c r="A619" s="44" t="s">
        <v>1718</v>
      </c>
      <c r="B619" s="44" t="s">
        <v>68</v>
      </c>
      <c r="C619" s="44" t="s">
        <v>28</v>
      </c>
      <c r="D619" s="44" t="s">
        <v>291</v>
      </c>
      <c r="E619" s="44" t="s">
        <v>1035</v>
      </c>
      <c r="F619" s="44" t="s">
        <v>1714</v>
      </c>
      <c r="G619" s="44" t="s">
        <v>1598</v>
      </c>
      <c r="H619" s="44" t="s">
        <v>1124</v>
      </c>
      <c r="I619" s="44" t="s">
        <v>1106</v>
      </c>
      <c r="J619" s="44">
        <v>240</v>
      </c>
      <c r="K619" s="44" t="s">
        <v>1599</v>
      </c>
      <c r="L619" s="44" t="s">
        <v>1194</v>
      </c>
      <c r="M619" s="44" t="s">
        <v>1586</v>
      </c>
      <c r="N619" s="45">
        <v>1766055</v>
      </c>
      <c r="O619" s="46">
        <f t="shared" si="18"/>
        <v>1766.0550000000001</v>
      </c>
      <c r="P619" s="47">
        <f>LUCK!G45</f>
        <v>1766.0550000000001</v>
      </c>
      <c r="Q619" s="44" t="str">
        <f t="shared" si="19"/>
        <v>PASS</v>
      </c>
      <c r="R619" s="44" t="s">
        <v>1587</v>
      </c>
      <c r="S619" s="44"/>
    </row>
    <row r="620" spans="1:19" x14ac:dyDescent="0.3">
      <c r="A620" s="44" t="s">
        <v>1719</v>
      </c>
      <c r="B620" s="44" t="s">
        <v>68</v>
      </c>
      <c r="C620" s="44" t="s">
        <v>29</v>
      </c>
      <c r="D620" s="44" t="s">
        <v>291</v>
      </c>
      <c r="E620" s="44" t="s">
        <v>1035</v>
      </c>
      <c r="F620" s="44" t="s">
        <v>1714</v>
      </c>
      <c r="G620" s="44" t="s">
        <v>1598</v>
      </c>
      <c r="H620" s="44" t="s">
        <v>1124</v>
      </c>
      <c r="I620" s="44" t="s">
        <v>1127</v>
      </c>
      <c r="J620" s="44">
        <v>240</v>
      </c>
      <c r="K620" s="44" t="s">
        <v>1599</v>
      </c>
      <c r="L620" s="44" t="s">
        <v>1194</v>
      </c>
      <c r="M620" s="44" t="s">
        <v>1586</v>
      </c>
      <c r="N620" s="45">
        <v>1382651</v>
      </c>
      <c r="O620" s="46">
        <f t="shared" si="18"/>
        <v>1382.6510000000001</v>
      </c>
      <c r="P620" s="47">
        <f>LUCK!H45</f>
        <v>1382.6510000000001</v>
      </c>
      <c r="Q620" s="44" t="str">
        <f t="shared" si="19"/>
        <v>PASS</v>
      </c>
      <c r="R620" s="44" t="s">
        <v>1587</v>
      </c>
      <c r="S620" s="44"/>
    </row>
    <row r="621" spans="1:19" x14ac:dyDescent="0.3">
      <c r="A621" s="44" t="s">
        <v>1720</v>
      </c>
      <c r="B621" s="44" t="s">
        <v>68</v>
      </c>
      <c r="C621" s="44" t="s">
        <v>965</v>
      </c>
      <c r="D621" s="44" t="s">
        <v>293</v>
      </c>
      <c r="E621" s="44" t="s">
        <v>1035</v>
      </c>
      <c r="F621" s="44" t="s">
        <v>1721</v>
      </c>
      <c r="G621" s="44" t="s">
        <v>1584</v>
      </c>
      <c r="H621" s="44" t="s">
        <v>1105</v>
      </c>
      <c r="I621" s="44" t="s">
        <v>1106</v>
      </c>
      <c r="J621" s="44">
        <v>191</v>
      </c>
      <c r="K621" s="44" t="s">
        <v>1107</v>
      </c>
      <c r="L621" s="44"/>
      <c r="M621" s="44" t="s">
        <v>1586</v>
      </c>
      <c r="N621" s="45">
        <v>5167161</v>
      </c>
      <c r="O621" s="46">
        <f t="shared" si="18"/>
        <v>5167.1610000000001</v>
      </c>
      <c r="P621" s="47">
        <f>LUCK!C46</f>
        <v>5167.1610000000001</v>
      </c>
      <c r="Q621" s="44" t="str">
        <f t="shared" si="19"/>
        <v>PASS</v>
      </c>
      <c r="R621" s="44" t="s">
        <v>1587</v>
      </c>
      <c r="S621" s="44"/>
    </row>
    <row r="622" spans="1:19" x14ac:dyDescent="0.3">
      <c r="A622" s="44" t="s">
        <v>1722</v>
      </c>
      <c r="B622" s="44" t="s">
        <v>68</v>
      </c>
      <c r="C622" s="44" t="s">
        <v>20</v>
      </c>
      <c r="D622" s="44" t="s">
        <v>293</v>
      </c>
      <c r="E622" s="44" t="s">
        <v>1035</v>
      </c>
      <c r="F622" s="44" t="s">
        <v>1721</v>
      </c>
      <c r="G622" s="44" t="s">
        <v>1589</v>
      </c>
      <c r="H622" s="44" t="s">
        <v>1113</v>
      </c>
      <c r="I622" s="44" t="s">
        <v>1106</v>
      </c>
      <c r="J622" s="44">
        <v>226</v>
      </c>
      <c r="K622" s="44" t="s">
        <v>1590</v>
      </c>
      <c r="L622" s="44"/>
      <c r="M622" s="44" t="s">
        <v>1586</v>
      </c>
      <c r="N622" s="45">
        <v>6157224</v>
      </c>
      <c r="O622" s="46">
        <f t="shared" si="18"/>
        <v>6157.2240000000002</v>
      </c>
      <c r="P622" s="47">
        <f>LUCK!D46</f>
        <v>6157.2240000000002</v>
      </c>
      <c r="Q622" s="44" t="str">
        <f t="shared" si="19"/>
        <v>PASS</v>
      </c>
      <c r="R622" s="44" t="s">
        <v>1587</v>
      </c>
      <c r="S622" s="44"/>
    </row>
    <row r="623" spans="1:19" x14ac:dyDescent="0.3">
      <c r="A623" s="44" t="s">
        <v>1723</v>
      </c>
      <c r="B623" s="44" t="s">
        <v>68</v>
      </c>
      <c r="C623" s="44" t="s">
        <v>26</v>
      </c>
      <c r="D623" s="44" t="s">
        <v>293</v>
      </c>
      <c r="E623" s="44" t="s">
        <v>1035</v>
      </c>
      <c r="F623" s="44" t="s">
        <v>1721</v>
      </c>
      <c r="G623" s="44" t="s">
        <v>1592</v>
      </c>
      <c r="H623" s="44" t="s">
        <v>1117</v>
      </c>
      <c r="I623" s="44" t="s">
        <v>1106</v>
      </c>
      <c r="J623" s="44">
        <v>234</v>
      </c>
      <c r="K623" s="44" t="s">
        <v>1593</v>
      </c>
      <c r="L623" s="44"/>
      <c r="M623" s="44" t="s">
        <v>1586</v>
      </c>
      <c r="N623" s="45">
        <v>6941172</v>
      </c>
      <c r="O623" s="46">
        <f t="shared" si="18"/>
        <v>6941.1719999999996</v>
      </c>
      <c r="P623" s="47">
        <f>LUCK!E46</f>
        <v>6941.1719999999996</v>
      </c>
      <c r="Q623" s="44" t="str">
        <f t="shared" si="19"/>
        <v>PASS</v>
      </c>
      <c r="R623" s="44" t="s">
        <v>1587</v>
      </c>
      <c r="S623" s="44"/>
    </row>
    <row r="624" spans="1:19" x14ac:dyDescent="0.3">
      <c r="A624" s="44" t="s">
        <v>1724</v>
      </c>
      <c r="B624" s="44" t="s">
        <v>68</v>
      </c>
      <c r="C624" s="44" t="s">
        <v>27</v>
      </c>
      <c r="D624" s="44" t="s">
        <v>293</v>
      </c>
      <c r="E624" s="44" t="s">
        <v>1035</v>
      </c>
      <c r="F624" s="44" t="s">
        <v>1721</v>
      </c>
      <c r="G624" s="44" t="s">
        <v>1595</v>
      </c>
      <c r="H624" s="44" t="s">
        <v>1120</v>
      </c>
      <c r="I624" s="44" t="s">
        <v>1106</v>
      </c>
      <c r="J624" s="44">
        <v>238</v>
      </c>
      <c r="K624" s="44" t="s">
        <v>1596</v>
      </c>
      <c r="L624" s="44"/>
      <c r="M624" s="44" t="s">
        <v>1586</v>
      </c>
      <c r="N624" s="45">
        <v>10025499</v>
      </c>
      <c r="O624" s="46">
        <f t="shared" si="18"/>
        <v>10025.499</v>
      </c>
      <c r="P624" s="47">
        <f>LUCK!F46</f>
        <v>10025.499</v>
      </c>
      <c r="Q624" s="44" t="str">
        <f t="shared" si="19"/>
        <v>PASS</v>
      </c>
      <c r="R624" s="44" t="s">
        <v>1587</v>
      </c>
      <c r="S624" s="44"/>
    </row>
    <row r="625" spans="1:19" x14ac:dyDescent="0.3">
      <c r="A625" s="44" t="s">
        <v>1725</v>
      </c>
      <c r="B625" s="44" t="s">
        <v>68</v>
      </c>
      <c r="C625" s="44" t="s">
        <v>28</v>
      </c>
      <c r="D625" s="44" t="s">
        <v>293</v>
      </c>
      <c r="E625" s="44" t="s">
        <v>1035</v>
      </c>
      <c r="F625" s="44"/>
      <c r="G625" s="44" t="s">
        <v>1598</v>
      </c>
      <c r="H625" s="44" t="s">
        <v>1124</v>
      </c>
      <c r="I625" s="44" t="s">
        <v>1106</v>
      </c>
      <c r="J625" s="44">
        <v>240</v>
      </c>
      <c r="K625" s="44" t="s">
        <v>1599</v>
      </c>
      <c r="L625" s="44"/>
      <c r="M625" s="44" t="s">
        <v>1586</v>
      </c>
      <c r="N625" s="45">
        <v>0</v>
      </c>
      <c r="O625" s="46">
        <f t="shared" si="18"/>
        <v>0</v>
      </c>
      <c r="P625" s="47">
        <f>LUCK!G46</f>
        <v>0</v>
      </c>
      <c r="Q625" s="44" t="str">
        <f t="shared" si="19"/>
        <v>PASS</v>
      </c>
      <c r="R625" s="44" t="s">
        <v>1587</v>
      </c>
      <c r="S625" s="44" t="s">
        <v>1114</v>
      </c>
    </row>
    <row r="626" spans="1:19" x14ac:dyDescent="0.3">
      <c r="A626" s="44" t="s">
        <v>1726</v>
      </c>
      <c r="B626" s="44" t="s">
        <v>68</v>
      </c>
      <c r="C626" s="44" t="s">
        <v>29</v>
      </c>
      <c r="D626" s="44" t="s">
        <v>293</v>
      </c>
      <c r="E626" s="44" t="s">
        <v>1035</v>
      </c>
      <c r="F626" s="44"/>
      <c r="G626" s="44" t="s">
        <v>1598</v>
      </c>
      <c r="H626" s="44" t="s">
        <v>1124</v>
      </c>
      <c r="I626" s="44" t="s">
        <v>1127</v>
      </c>
      <c r="J626" s="44">
        <v>240</v>
      </c>
      <c r="K626" s="44" t="s">
        <v>1599</v>
      </c>
      <c r="L626" s="44"/>
      <c r="M626" s="44" t="s">
        <v>1586</v>
      </c>
      <c r="N626" s="45">
        <v>0</v>
      </c>
      <c r="O626" s="46">
        <f t="shared" si="18"/>
        <v>0</v>
      </c>
      <c r="P626" s="47">
        <f>LUCK!H46</f>
        <v>0</v>
      </c>
      <c r="Q626" s="44" t="str">
        <f t="shared" si="19"/>
        <v>PASS</v>
      </c>
      <c r="R626" s="44" t="s">
        <v>1587</v>
      </c>
      <c r="S626" s="44"/>
    </row>
    <row r="627" spans="1:19" x14ac:dyDescent="0.3">
      <c r="A627" s="44" t="s">
        <v>1727</v>
      </c>
      <c r="B627" s="44" t="s">
        <v>68</v>
      </c>
      <c r="C627" s="44" t="s">
        <v>965</v>
      </c>
      <c r="D627" s="44" t="s">
        <v>295</v>
      </c>
      <c r="E627" s="44" t="s">
        <v>1035</v>
      </c>
      <c r="F627" s="44" t="s">
        <v>1728</v>
      </c>
      <c r="G627" s="44" t="s">
        <v>1584</v>
      </c>
      <c r="H627" s="44" t="s">
        <v>1105</v>
      </c>
      <c r="I627" s="44" t="s">
        <v>1106</v>
      </c>
      <c r="J627" s="44">
        <v>191</v>
      </c>
      <c r="K627" s="44" t="s">
        <v>1107</v>
      </c>
      <c r="L627" s="44"/>
      <c r="M627" s="44" t="s">
        <v>1586</v>
      </c>
      <c r="N627" s="45">
        <v>2181519</v>
      </c>
      <c r="O627" s="46">
        <f t="shared" si="18"/>
        <v>2181.5189999999998</v>
      </c>
      <c r="P627" s="47">
        <f>LUCK!C47</f>
        <v>2181.5189999999998</v>
      </c>
      <c r="Q627" s="44" t="str">
        <f t="shared" si="19"/>
        <v>PASS</v>
      </c>
      <c r="R627" s="44" t="s">
        <v>1587</v>
      </c>
      <c r="S627" s="44" t="s">
        <v>1729</v>
      </c>
    </row>
    <row r="628" spans="1:19" x14ac:dyDescent="0.3">
      <c r="A628" s="44" t="s">
        <v>1730</v>
      </c>
      <c r="B628" s="44" t="s">
        <v>68</v>
      </c>
      <c r="C628" s="44" t="s">
        <v>20</v>
      </c>
      <c r="D628" s="44" t="s">
        <v>295</v>
      </c>
      <c r="E628" s="44" t="s">
        <v>1035</v>
      </c>
      <c r="F628" s="44" t="s">
        <v>1731</v>
      </c>
      <c r="G628" s="44" t="s">
        <v>1589</v>
      </c>
      <c r="H628" s="44" t="s">
        <v>1113</v>
      </c>
      <c r="I628" s="44" t="s">
        <v>1106</v>
      </c>
      <c r="J628" s="44">
        <v>226</v>
      </c>
      <c r="K628" s="44" t="s">
        <v>1590</v>
      </c>
      <c r="L628" s="44"/>
      <c r="M628" s="44" t="s">
        <v>1586</v>
      </c>
      <c r="N628" s="45">
        <v>2581530</v>
      </c>
      <c r="O628" s="46">
        <f t="shared" si="18"/>
        <v>2581.5300000000002</v>
      </c>
      <c r="P628" s="47">
        <f>LUCK!D47</f>
        <v>2581.5300000000002</v>
      </c>
      <c r="Q628" s="44" t="str">
        <f t="shared" si="19"/>
        <v>PASS</v>
      </c>
      <c r="R628" s="44" t="s">
        <v>1587</v>
      </c>
      <c r="S628" s="44"/>
    </row>
    <row r="629" spans="1:19" x14ac:dyDescent="0.3">
      <c r="A629" s="44" t="s">
        <v>1732</v>
      </c>
      <c r="B629" s="44" t="s">
        <v>68</v>
      </c>
      <c r="C629" s="44" t="s">
        <v>26</v>
      </c>
      <c r="D629" s="44" t="s">
        <v>295</v>
      </c>
      <c r="E629" s="44" t="s">
        <v>1035</v>
      </c>
      <c r="F629" s="44" t="s">
        <v>1731</v>
      </c>
      <c r="G629" s="44" t="s">
        <v>1592</v>
      </c>
      <c r="H629" s="44" t="s">
        <v>1117</v>
      </c>
      <c r="I629" s="44" t="s">
        <v>1106</v>
      </c>
      <c r="J629" s="44">
        <v>234</v>
      </c>
      <c r="K629" s="44" t="s">
        <v>1593</v>
      </c>
      <c r="L629" s="44"/>
      <c r="M629" s="44" t="s">
        <v>1586</v>
      </c>
      <c r="N629" s="45">
        <v>2846613</v>
      </c>
      <c r="O629" s="46">
        <f t="shared" si="18"/>
        <v>2846.6129999999998</v>
      </c>
      <c r="P629" s="47">
        <f>LUCK!E47</f>
        <v>2846.6129999999998</v>
      </c>
      <c r="Q629" s="44" t="str">
        <f t="shared" si="19"/>
        <v>PASS</v>
      </c>
      <c r="R629" s="44" t="s">
        <v>1587</v>
      </c>
      <c r="S629" s="44"/>
    </row>
    <row r="630" spans="1:19" x14ac:dyDescent="0.3">
      <c r="A630" s="44" t="s">
        <v>1733</v>
      </c>
      <c r="B630" s="44" t="s">
        <v>68</v>
      </c>
      <c r="C630" s="44" t="s">
        <v>27</v>
      </c>
      <c r="D630" s="44" t="s">
        <v>295</v>
      </c>
      <c r="E630" s="44" t="s">
        <v>1035</v>
      </c>
      <c r="F630" s="44" t="s">
        <v>1734</v>
      </c>
      <c r="G630" s="44" t="s">
        <v>1595</v>
      </c>
      <c r="H630" s="44" t="s">
        <v>1120</v>
      </c>
      <c r="I630" s="44" t="s">
        <v>1106</v>
      </c>
      <c r="J630" s="44">
        <v>238</v>
      </c>
      <c r="K630" s="44" t="s">
        <v>1596</v>
      </c>
      <c r="L630" s="44"/>
      <c r="M630" s="44" t="s">
        <v>1586</v>
      </c>
      <c r="N630" s="45">
        <v>2827762</v>
      </c>
      <c r="O630" s="46">
        <f t="shared" si="18"/>
        <v>2827.7620000000002</v>
      </c>
      <c r="P630" s="47">
        <f>LUCK!F47</f>
        <v>2827.7620000000002</v>
      </c>
      <c r="Q630" s="44" t="str">
        <f t="shared" si="19"/>
        <v>PASS</v>
      </c>
      <c r="R630" s="44" t="s">
        <v>1587</v>
      </c>
      <c r="S630" s="44"/>
    </row>
    <row r="631" spans="1:19" x14ac:dyDescent="0.3">
      <c r="A631" s="44" t="s">
        <v>1735</v>
      </c>
      <c r="B631" s="44" t="s">
        <v>68</v>
      </c>
      <c r="C631" s="44" t="s">
        <v>28</v>
      </c>
      <c r="D631" s="44" t="s">
        <v>295</v>
      </c>
      <c r="E631" s="44" t="s">
        <v>1035</v>
      </c>
      <c r="F631" s="44" t="s">
        <v>1736</v>
      </c>
      <c r="G631" s="44" t="s">
        <v>1598</v>
      </c>
      <c r="H631" s="44" t="s">
        <v>1124</v>
      </c>
      <c r="I631" s="44" t="s">
        <v>1106</v>
      </c>
      <c r="J631" s="44">
        <v>240</v>
      </c>
      <c r="K631" s="44" t="s">
        <v>1599</v>
      </c>
      <c r="L631" s="44" t="s">
        <v>1202</v>
      </c>
      <c r="M631" s="44" t="s">
        <v>1586</v>
      </c>
      <c r="N631" s="45">
        <v>17541648</v>
      </c>
      <c r="O631" s="46">
        <f t="shared" si="18"/>
        <v>17541.648000000001</v>
      </c>
      <c r="P631" s="47">
        <f>LUCK!G47</f>
        <v>17541.648000000001</v>
      </c>
      <c r="Q631" s="44" t="str">
        <f t="shared" si="19"/>
        <v>PASS</v>
      </c>
      <c r="R631" s="44" t="s">
        <v>1587</v>
      </c>
      <c r="S631" s="44" t="s">
        <v>1114</v>
      </c>
    </row>
    <row r="632" spans="1:19" x14ac:dyDescent="0.3">
      <c r="A632" s="44" t="s">
        <v>1737</v>
      </c>
      <c r="B632" s="44" t="s">
        <v>68</v>
      </c>
      <c r="C632" s="44" t="s">
        <v>29</v>
      </c>
      <c r="D632" s="44" t="s">
        <v>295</v>
      </c>
      <c r="E632" s="44" t="s">
        <v>1035</v>
      </c>
      <c r="F632" s="44" t="s">
        <v>1736</v>
      </c>
      <c r="G632" s="44" t="s">
        <v>1598</v>
      </c>
      <c r="H632" s="44" t="s">
        <v>1124</v>
      </c>
      <c r="I632" s="44" t="s">
        <v>1127</v>
      </c>
      <c r="J632" s="44">
        <v>240</v>
      </c>
      <c r="K632" s="44" t="s">
        <v>1599</v>
      </c>
      <c r="L632" s="44" t="s">
        <v>1202</v>
      </c>
      <c r="M632" s="44" t="s">
        <v>1586</v>
      </c>
      <c r="N632" s="45">
        <v>21629074</v>
      </c>
      <c r="O632" s="46">
        <f t="shared" si="18"/>
        <v>21629.074000000001</v>
      </c>
      <c r="P632" s="47">
        <f>LUCK!H47</f>
        <v>21629.074000000001</v>
      </c>
      <c r="Q632" s="44" t="str">
        <f t="shared" si="19"/>
        <v>PASS</v>
      </c>
      <c r="R632" s="44" t="s">
        <v>1587</v>
      </c>
      <c r="S632" s="44"/>
    </row>
    <row r="633" spans="1:19" x14ac:dyDescent="0.3">
      <c r="A633" s="44" t="s">
        <v>1738</v>
      </c>
      <c r="B633" s="44" t="s">
        <v>68</v>
      </c>
      <c r="C633" s="44" t="s">
        <v>965</v>
      </c>
      <c r="D633" s="44" t="s">
        <v>300</v>
      </c>
      <c r="E633" s="44" t="s">
        <v>1035</v>
      </c>
      <c r="F633" s="44" t="s">
        <v>300</v>
      </c>
      <c r="G633" s="44" t="s">
        <v>1584</v>
      </c>
      <c r="H633" s="44" t="s">
        <v>1105</v>
      </c>
      <c r="I633" s="44" t="s">
        <v>1106</v>
      </c>
      <c r="J633" s="44">
        <v>191</v>
      </c>
      <c r="K633" s="44" t="s">
        <v>1107</v>
      </c>
      <c r="L633" s="44" t="s">
        <v>1210</v>
      </c>
      <c r="M633" s="44" t="s">
        <v>1586</v>
      </c>
      <c r="N633" s="45">
        <v>19354794</v>
      </c>
      <c r="O633" s="46">
        <f t="shared" si="18"/>
        <v>19354.794000000002</v>
      </c>
      <c r="P633" s="47">
        <f>LUCK!C50</f>
        <v>19354.794000000002</v>
      </c>
      <c r="Q633" s="44" t="str">
        <f t="shared" si="19"/>
        <v>PASS</v>
      </c>
      <c r="R633" s="44" t="s">
        <v>1587</v>
      </c>
      <c r="S633" s="44"/>
    </row>
    <row r="634" spans="1:19" x14ac:dyDescent="0.3">
      <c r="A634" s="44" t="s">
        <v>1739</v>
      </c>
      <c r="B634" s="44" t="s">
        <v>68</v>
      </c>
      <c r="C634" s="44" t="s">
        <v>20</v>
      </c>
      <c r="D634" s="44" t="s">
        <v>300</v>
      </c>
      <c r="E634" s="44" t="s">
        <v>1035</v>
      </c>
      <c r="F634" s="44" t="s">
        <v>300</v>
      </c>
      <c r="G634" s="44" t="s">
        <v>1589</v>
      </c>
      <c r="H634" s="44" t="s">
        <v>1113</v>
      </c>
      <c r="I634" s="44" t="s">
        <v>1106</v>
      </c>
      <c r="J634" s="44">
        <v>226</v>
      </c>
      <c r="K634" s="44" t="s">
        <v>1590</v>
      </c>
      <c r="L634" s="44" t="s">
        <v>1210</v>
      </c>
      <c r="M634" s="44" t="s">
        <v>1586</v>
      </c>
      <c r="N634" s="45">
        <v>20789760</v>
      </c>
      <c r="O634" s="46">
        <f t="shared" si="18"/>
        <v>20789.759999999998</v>
      </c>
      <c r="P634" s="47">
        <f>LUCK!D50</f>
        <v>20789.759999999998</v>
      </c>
      <c r="Q634" s="44" t="str">
        <f t="shared" si="19"/>
        <v>PASS</v>
      </c>
      <c r="R634" s="44" t="s">
        <v>1587</v>
      </c>
      <c r="S634" s="44"/>
    </row>
    <row r="635" spans="1:19" x14ac:dyDescent="0.3">
      <c r="A635" s="44" t="s">
        <v>1740</v>
      </c>
      <c r="B635" s="44" t="s">
        <v>68</v>
      </c>
      <c r="C635" s="44" t="s">
        <v>26</v>
      </c>
      <c r="D635" s="44" t="s">
        <v>300</v>
      </c>
      <c r="E635" s="44" t="s">
        <v>1035</v>
      </c>
      <c r="F635" s="44" t="s">
        <v>300</v>
      </c>
      <c r="G635" s="44" t="s">
        <v>1592</v>
      </c>
      <c r="H635" s="44" t="s">
        <v>1117</v>
      </c>
      <c r="I635" s="44" t="s">
        <v>1106</v>
      </c>
      <c r="J635" s="44">
        <v>234</v>
      </c>
      <c r="K635" s="44" t="s">
        <v>1593</v>
      </c>
      <c r="L635" s="44" t="s">
        <v>1210</v>
      </c>
      <c r="M635" s="44" t="s">
        <v>1586</v>
      </c>
      <c r="N635" s="45">
        <v>23191483</v>
      </c>
      <c r="O635" s="46">
        <f t="shared" si="18"/>
        <v>23191.483</v>
      </c>
      <c r="P635" s="47">
        <f>LUCK!E50</f>
        <v>23191.483</v>
      </c>
      <c r="Q635" s="44" t="str">
        <f t="shared" si="19"/>
        <v>PASS</v>
      </c>
      <c r="R635" s="44" t="s">
        <v>1587</v>
      </c>
      <c r="S635" s="44"/>
    </row>
    <row r="636" spans="1:19" x14ac:dyDescent="0.3">
      <c r="A636" s="44" t="s">
        <v>1741</v>
      </c>
      <c r="B636" s="44" t="s">
        <v>68</v>
      </c>
      <c r="C636" s="44" t="s">
        <v>27</v>
      </c>
      <c r="D636" s="44" t="s">
        <v>300</v>
      </c>
      <c r="E636" s="44" t="s">
        <v>1035</v>
      </c>
      <c r="F636" s="44" t="s">
        <v>300</v>
      </c>
      <c r="G636" s="44" t="s">
        <v>1595</v>
      </c>
      <c r="H636" s="44" t="s">
        <v>1120</v>
      </c>
      <c r="I636" s="44" t="s">
        <v>1106</v>
      </c>
      <c r="J636" s="44">
        <v>238</v>
      </c>
      <c r="K636" s="44" t="s">
        <v>1596</v>
      </c>
      <c r="L636" s="44" t="s">
        <v>1210</v>
      </c>
      <c r="M636" s="44" t="s">
        <v>1586</v>
      </c>
      <c r="N636" s="45">
        <v>29918702</v>
      </c>
      <c r="O636" s="46">
        <f t="shared" si="18"/>
        <v>29918.702000000001</v>
      </c>
      <c r="P636" s="47">
        <f>LUCK!F50</f>
        <v>29918.702000000001</v>
      </c>
      <c r="Q636" s="44" t="str">
        <f t="shared" si="19"/>
        <v>PASS</v>
      </c>
      <c r="R636" s="44" t="s">
        <v>1587</v>
      </c>
      <c r="S636" s="44"/>
    </row>
    <row r="637" spans="1:19" x14ac:dyDescent="0.3">
      <c r="A637" s="44" t="s">
        <v>1742</v>
      </c>
      <c r="B637" s="44" t="s">
        <v>68</v>
      </c>
      <c r="C637" s="44" t="s">
        <v>28</v>
      </c>
      <c r="D637" s="44" t="s">
        <v>300</v>
      </c>
      <c r="E637" s="44" t="s">
        <v>1035</v>
      </c>
      <c r="F637" s="44" t="s">
        <v>300</v>
      </c>
      <c r="G637" s="44" t="s">
        <v>1598</v>
      </c>
      <c r="H637" s="44" t="s">
        <v>1124</v>
      </c>
      <c r="I637" s="44" t="s">
        <v>1106</v>
      </c>
      <c r="J637" s="44">
        <v>240</v>
      </c>
      <c r="K637" s="44" t="s">
        <v>1599</v>
      </c>
      <c r="L637" s="44" t="s">
        <v>1208</v>
      </c>
      <c r="M637" s="44" t="s">
        <v>1586</v>
      </c>
      <c r="N637" s="45">
        <v>30006625</v>
      </c>
      <c r="O637" s="46">
        <f t="shared" si="18"/>
        <v>30006.625</v>
      </c>
      <c r="P637" s="47">
        <f>LUCK!G50</f>
        <v>30006.625</v>
      </c>
      <c r="Q637" s="44" t="str">
        <f t="shared" si="19"/>
        <v>PASS</v>
      </c>
      <c r="R637" s="44" t="s">
        <v>1587</v>
      </c>
      <c r="S637" s="44"/>
    </row>
    <row r="638" spans="1:19" x14ac:dyDescent="0.3">
      <c r="A638" s="44" t="s">
        <v>1743</v>
      </c>
      <c r="B638" s="44" t="s">
        <v>68</v>
      </c>
      <c r="C638" s="44" t="s">
        <v>29</v>
      </c>
      <c r="D638" s="44" t="s">
        <v>300</v>
      </c>
      <c r="E638" s="44" t="s">
        <v>1035</v>
      </c>
      <c r="F638" s="44" t="s">
        <v>300</v>
      </c>
      <c r="G638" s="44" t="s">
        <v>1598</v>
      </c>
      <c r="H638" s="44" t="s">
        <v>1124</v>
      </c>
      <c r="I638" s="44" t="s">
        <v>1127</v>
      </c>
      <c r="J638" s="44">
        <v>240</v>
      </c>
      <c r="K638" s="44" t="s">
        <v>1599</v>
      </c>
      <c r="L638" s="44" t="s">
        <v>1208</v>
      </c>
      <c r="M638" s="44" t="s">
        <v>1586</v>
      </c>
      <c r="N638" s="45">
        <v>27300919</v>
      </c>
      <c r="O638" s="46">
        <f t="shared" si="18"/>
        <v>27300.919000000002</v>
      </c>
      <c r="P638" s="47">
        <f>LUCK!H50</f>
        <v>27300.919000000002</v>
      </c>
      <c r="Q638" s="44" t="str">
        <f t="shared" si="19"/>
        <v>PASS</v>
      </c>
      <c r="R638" s="44" t="s">
        <v>1587</v>
      </c>
      <c r="S638" s="44"/>
    </row>
    <row r="639" spans="1:19" x14ac:dyDescent="0.3">
      <c r="A639" s="44" t="s">
        <v>1744</v>
      </c>
      <c r="B639" s="44" t="s">
        <v>68</v>
      </c>
      <c r="C639" s="44" t="s">
        <v>965</v>
      </c>
      <c r="D639" s="44" t="s">
        <v>1284</v>
      </c>
      <c r="E639" s="44" t="s">
        <v>1130</v>
      </c>
      <c r="F639" s="44" t="s">
        <v>1745</v>
      </c>
      <c r="G639" s="44" t="s">
        <v>1584</v>
      </c>
      <c r="H639" s="44" t="s">
        <v>1105</v>
      </c>
      <c r="I639" s="44" t="s">
        <v>1106</v>
      </c>
      <c r="J639" s="44">
        <v>216</v>
      </c>
      <c r="K639" s="44" t="s">
        <v>1107</v>
      </c>
      <c r="L639" s="44"/>
      <c r="M639" s="44" t="s">
        <v>1586</v>
      </c>
      <c r="N639" s="45">
        <v>2599290</v>
      </c>
      <c r="O639" s="46">
        <f t="shared" si="18"/>
        <v>2599.29</v>
      </c>
      <c r="P639" s="47">
        <f>LUCK!C51</f>
        <v>2599.29</v>
      </c>
      <c r="Q639" s="44" t="str">
        <f t="shared" si="19"/>
        <v>PASS</v>
      </c>
      <c r="R639" s="44" t="s">
        <v>1587</v>
      </c>
      <c r="S639" s="44"/>
    </row>
    <row r="640" spans="1:19" x14ac:dyDescent="0.3">
      <c r="A640" s="44" t="s">
        <v>1746</v>
      </c>
      <c r="B640" s="44" t="s">
        <v>68</v>
      </c>
      <c r="C640" s="44" t="s">
        <v>20</v>
      </c>
      <c r="D640" s="44" t="s">
        <v>1284</v>
      </c>
      <c r="E640" s="44" t="s">
        <v>1130</v>
      </c>
      <c r="F640" s="44" t="s">
        <v>1745</v>
      </c>
      <c r="G640" s="44" t="s">
        <v>1589</v>
      </c>
      <c r="H640" s="44" t="s">
        <v>1113</v>
      </c>
      <c r="I640" s="44" t="s">
        <v>1106</v>
      </c>
      <c r="J640" s="44">
        <v>252</v>
      </c>
      <c r="K640" s="44" t="s">
        <v>1609</v>
      </c>
      <c r="L640" s="44"/>
      <c r="M640" s="44" t="s">
        <v>1586</v>
      </c>
      <c r="N640" s="45">
        <v>2882434</v>
      </c>
      <c r="O640" s="46">
        <f t="shared" si="18"/>
        <v>2882.4340000000002</v>
      </c>
      <c r="P640" s="47">
        <f>LUCK!D51</f>
        <v>2882.4340000000002</v>
      </c>
      <c r="Q640" s="44" t="str">
        <f t="shared" si="19"/>
        <v>PASS</v>
      </c>
      <c r="R640" s="44" t="s">
        <v>1587</v>
      </c>
      <c r="S640" s="44"/>
    </row>
    <row r="641" spans="1:19" x14ac:dyDescent="0.3">
      <c r="A641" s="44" t="s">
        <v>1747</v>
      </c>
      <c r="B641" s="44" t="s">
        <v>68</v>
      </c>
      <c r="C641" s="44" t="s">
        <v>26</v>
      </c>
      <c r="D641" s="44" t="s">
        <v>1284</v>
      </c>
      <c r="E641" s="44" t="s">
        <v>1130</v>
      </c>
      <c r="F641" s="44" t="s">
        <v>1745</v>
      </c>
      <c r="G641" s="44" t="s">
        <v>1592</v>
      </c>
      <c r="H641" s="44" t="s">
        <v>1117</v>
      </c>
      <c r="I641" s="44" t="s">
        <v>1106</v>
      </c>
      <c r="J641" s="44">
        <v>260</v>
      </c>
      <c r="K641" s="44" t="s">
        <v>1748</v>
      </c>
      <c r="L641" s="44"/>
      <c r="M641" s="44" t="s">
        <v>1586</v>
      </c>
      <c r="N641" s="45">
        <v>3352998</v>
      </c>
      <c r="O641" s="46">
        <f t="shared" ref="O641:O704" si="20">N641/1000</f>
        <v>3352.998</v>
      </c>
      <c r="P641" s="47">
        <f>LUCK!E51</f>
        <v>3352.998</v>
      </c>
      <c r="Q641" s="44" t="str">
        <f t="shared" si="19"/>
        <v>PASS</v>
      </c>
      <c r="R641" s="44" t="s">
        <v>1587</v>
      </c>
      <c r="S641" s="44"/>
    </row>
    <row r="642" spans="1:19" x14ac:dyDescent="0.3">
      <c r="A642" s="44" t="s">
        <v>1749</v>
      </c>
      <c r="B642" s="44" t="s">
        <v>68</v>
      </c>
      <c r="C642" s="44" t="s">
        <v>27</v>
      </c>
      <c r="D642" s="44" t="s">
        <v>1284</v>
      </c>
      <c r="E642" s="44" t="s">
        <v>1130</v>
      </c>
      <c r="F642" s="44" t="s">
        <v>1745</v>
      </c>
      <c r="G642" s="44" t="s">
        <v>1595</v>
      </c>
      <c r="H642" s="44" t="s">
        <v>1120</v>
      </c>
      <c r="I642" s="44" t="s">
        <v>1106</v>
      </c>
      <c r="J642" s="44">
        <v>265</v>
      </c>
      <c r="K642" s="44" t="s">
        <v>1750</v>
      </c>
      <c r="L642" s="44"/>
      <c r="M642" s="44" t="s">
        <v>1586</v>
      </c>
      <c r="N642" s="45">
        <v>5030546</v>
      </c>
      <c r="O642" s="46">
        <f t="shared" si="20"/>
        <v>5030.5460000000003</v>
      </c>
      <c r="P642" s="47">
        <f>LUCK!F51</f>
        <v>5030.5460000000003</v>
      </c>
      <c r="Q642" s="44" t="str">
        <f t="shared" si="19"/>
        <v>PASS</v>
      </c>
      <c r="R642" s="44" t="s">
        <v>1587</v>
      </c>
      <c r="S642" s="44"/>
    </row>
    <row r="643" spans="1:19" x14ac:dyDescent="0.3">
      <c r="A643" s="44" t="s">
        <v>1751</v>
      </c>
      <c r="B643" s="44" t="s">
        <v>68</v>
      </c>
      <c r="C643" s="44" t="s">
        <v>28</v>
      </c>
      <c r="D643" s="44" t="s">
        <v>1284</v>
      </c>
      <c r="E643" s="44" t="s">
        <v>1130</v>
      </c>
      <c r="F643" s="44" t="s">
        <v>1745</v>
      </c>
      <c r="G643" s="44" t="s">
        <v>1598</v>
      </c>
      <c r="H643" s="44" t="s">
        <v>1124</v>
      </c>
      <c r="I643" s="44" t="s">
        <v>1106</v>
      </c>
      <c r="J643" s="44">
        <v>267</v>
      </c>
      <c r="K643" s="44" t="s">
        <v>1107</v>
      </c>
      <c r="L643" s="44"/>
      <c r="M643" s="44" t="s">
        <v>1586</v>
      </c>
      <c r="N643" s="45">
        <v>7172144</v>
      </c>
      <c r="O643" s="46">
        <f t="shared" si="20"/>
        <v>7172.1440000000002</v>
      </c>
      <c r="P643" s="47">
        <f>LUCK!G51</f>
        <v>7172.1440000000002</v>
      </c>
      <c r="Q643" s="44" t="str">
        <f t="shared" si="19"/>
        <v>PASS</v>
      </c>
      <c r="R643" s="44" t="s">
        <v>1587</v>
      </c>
      <c r="S643" s="44"/>
    </row>
    <row r="644" spans="1:19" x14ac:dyDescent="0.3">
      <c r="A644" s="44" t="s">
        <v>1752</v>
      </c>
      <c r="B644" s="44" t="s">
        <v>68</v>
      </c>
      <c r="C644" s="44" t="s">
        <v>29</v>
      </c>
      <c r="D644" s="44" t="s">
        <v>1284</v>
      </c>
      <c r="E644" s="44" t="s">
        <v>1130</v>
      </c>
      <c r="F644" s="44" t="s">
        <v>1745</v>
      </c>
      <c r="G644" s="44" t="s">
        <v>1598</v>
      </c>
      <c r="H644" s="44" t="s">
        <v>1124</v>
      </c>
      <c r="I644" s="44" t="s">
        <v>1127</v>
      </c>
      <c r="J644" s="44">
        <v>267</v>
      </c>
      <c r="K644" s="44" t="s">
        <v>1107</v>
      </c>
      <c r="L644" s="44"/>
      <c r="M644" s="44" t="s">
        <v>1586</v>
      </c>
      <c r="N644" s="45">
        <v>6426975</v>
      </c>
      <c r="O644" s="46">
        <f t="shared" si="20"/>
        <v>6426.9750000000004</v>
      </c>
      <c r="P644" s="47">
        <f>LUCK!H51</f>
        <v>6426.9750000000004</v>
      </c>
      <c r="Q644" s="44" t="str">
        <f t="shared" si="19"/>
        <v>PASS</v>
      </c>
      <c r="R644" s="44" t="s">
        <v>1587</v>
      </c>
      <c r="S644" s="44"/>
    </row>
    <row r="645" spans="1:19" x14ac:dyDescent="0.3">
      <c r="A645" s="44" t="s">
        <v>1753</v>
      </c>
      <c r="B645" s="44" t="s">
        <v>68</v>
      </c>
      <c r="C645" s="44" t="s">
        <v>965</v>
      </c>
      <c r="D645" s="44" t="s">
        <v>304</v>
      </c>
      <c r="E645" s="44" t="s">
        <v>1035</v>
      </c>
      <c r="F645" s="44"/>
      <c r="G645" s="44" t="s">
        <v>1584</v>
      </c>
      <c r="H645" s="44" t="s">
        <v>1105</v>
      </c>
      <c r="I645" s="44" t="s">
        <v>1106</v>
      </c>
      <c r="J645" s="44">
        <v>191</v>
      </c>
      <c r="K645" s="44" t="s">
        <v>1107</v>
      </c>
      <c r="L645" s="44"/>
      <c r="M645" s="44" t="s">
        <v>1586</v>
      </c>
      <c r="N645" s="45">
        <v>0</v>
      </c>
      <c r="O645" s="46">
        <f t="shared" si="20"/>
        <v>0</v>
      </c>
      <c r="P645" s="47">
        <f>LUCK!C52</f>
        <v>0</v>
      </c>
      <c r="Q645" s="44" t="str">
        <f t="shared" si="19"/>
        <v>PASS</v>
      </c>
      <c r="R645" s="44" t="s">
        <v>1587</v>
      </c>
      <c r="S645" s="44"/>
    </row>
    <row r="646" spans="1:19" x14ac:dyDescent="0.3">
      <c r="A646" s="44" t="s">
        <v>1754</v>
      </c>
      <c r="B646" s="44" t="s">
        <v>68</v>
      </c>
      <c r="C646" s="44" t="s">
        <v>20</v>
      </c>
      <c r="D646" s="44" t="s">
        <v>304</v>
      </c>
      <c r="E646" s="44" t="s">
        <v>1035</v>
      </c>
      <c r="F646" s="44"/>
      <c r="G646" s="44" t="s">
        <v>1589</v>
      </c>
      <c r="H646" s="44" t="s">
        <v>1113</v>
      </c>
      <c r="I646" s="44" t="s">
        <v>1106</v>
      </c>
      <c r="J646" s="44">
        <v>226</v>
      </c>
      <c r="K646" s="44" t="s">
        <v>1590</v>
      </c>
      <c r="L646" s="44"/>
      <c r="M646" s="44" t="s">
        <v>1586</v>
      </c>
      <c r="N646" s="45">
        <v>0</v>
      </c>
      <c r="O646" s="46">
        <f t="shared" si="20"/>
        <v>0</v>
      </c>
      <c r="P646" s="47">
        <f>LUCK!D52</f>
        <v>0</v>
      </c>
      <c r="Q646" s="44" t="str">
        <f t="shared" si="19"/>
        <v>PASS</v>
      </c>
      <c r="R646" s="44" t="s">
        <v>1587</v>
      </c>
      <c r="S646" s="44"/>
    </row>
    <row r="647" spans="1:19" x14ac:dyDescent="0.3">
      <c r="A647" s="44" t="s">
        <v>1755</v>
      </c>
      <c r="B647" s="44" t="s">
        <v>68</v>
      </c>
      <c r="C647" s="44" t="s">
        <v>26</v>
      </c>
      <c r="D647" s="44" t="s">
        <v>304</v>
      </c>
      <c r="E647" s="44" t="s">
        <v>1035</v>
      </c>
      <c r="F647" s="44"/>
      <c r="G647" s="44" t="s">
        <v>1592</v>
      </c>
      <c r="H647" s="44" t="s">
        <v>1117</v>
      </c>
      <c r="I647" s="44" t="s">
        <v>1106</v>
      </c>
      <c r="J647" s="44">
        <v>234</v>
      </c>
      <c r="K647" s="44" t="s">
        <v>1593</v>
      </c>
      <c r="L647" s="44"/>
      <c r="M647" s="44" t="s">
        <v>1586</v>
      </c>
      <c r="N647" s="45">
        <v>0</v>
      </c>
      <c r="O647" s="46">
        <f t="shared" si="20"/>
        <v>0</v>
      </c>
      <c r="P647" s="47">
        <f>LUCK!E52</f>
        <v>0</v>
      </c>
      <c r="Q647" s="44" t="str">
        <f t="shared" si="19"/>
        <v>PASS</v>
      </c>
      <c r="R647" s="44" t="s">
        <v>1587</v>
      </c>
      <c r="S647" s="44"/>
    </row>
    <row r="648" spans="1:19" x14ac:dyDescent="0.3">
      <c r="A648" s="44" t="s">
        <v>1756</v>
      </c>
      <c r="B648" s="44" t="s">
        <v>68</v>
      </c>
      <c r="C648" s="44" t="s">
        <v>27</v>
      </c>
      <c r="D648" s="44" t="s">
        <v>304</v>
      </c>
      <c r="E648" s="44" t="s">
        <v>1035</v>
      </c>
      <c r="F648" s="44"/>
      <c r="G648" s="44" t="s">
        <v>1595</v>
      </c>
      <c r="H648" s="44" t="s">
        <v>1120</v>
      </c>
      <c r="I648" s="44" t="s">
        <v>1106</v>
      </c>
      <c r="J648" s="44">
        <v>238</v>
      </c>
      <c r="K648" s="44" t="s">
        <v>1596</v>
      </c>
      <c r="L648" s="44"/>
      <c r="M648" s="44" t="s">
        <v>1586</v>
      </c>
      <c r="N648" s="45">
        <v>0</v>
      </c>
      <c r="O648" s="46">
        <f t="shared" si="20"/>
        <v>0</v>
      </c>
      <c r="P648" s="47">
        <f>LUCK!F52</f>
        <v>0</v>
      </c>
      <c r="Q648" s="44" t="str">
        <f t="shared" si="19"/>
        <v>PASS</v>
      </c>
      <c r="R648" s="44" t="s">
        <v>1587</v>
      </c>
      <c r="S648" s="44"/>
    </row>
    <row r="649" spans="1:19" x14ac:dyDescent="0.3">
      <c r="A649" s="44" t="s">
        <v>1757</v>
      </c>
      <c r="B649" s="44" t="s">
        <v>68</v>
      </c>
      <c r="C649" s="44" t="s">
        <v>28</v>
      </c>
      <c r="D649" s="44" t="s">
        <v>304</v>
      </c>
      <c r="E649" s="44" t="s">
        <v>1035</v>
      </c>
      <c r="F649" s="44"/>
      <c r="G649" s="44" t="s">
        <v>1598</v>
      </c>
      <c r="H649" s="44" t="s">
        <v>1124</v>
      </c>
      <c r="I649" s="44" t="s">
        <v>1106</v>
      </c>
      <c r="J649" s="44">
        <v>240</v>
      </c>
      <c r="K649" s="44" t="s">
        <v>1599</v>
      </c>
      <c r="L649" s="44"/>
      <c r="M649" s="44" t="s">
        <v>1586</v>
      </c>
      <c r="N649" s="45">
        <v>0</v>
      </c>
      <c r="O649" s="46">
        <f t="shared" si="20"/>
        <v>0</v>
      </c>
      <c r="P649" s="47">
        <f>LUCK!G52</f>
        <v>0</v>
      </c>
      <c r="Q649" s="44" t="str">
        <f t="shared" si="19"/>
        <v>PASS</v>
      </c>
      <c r="R649" s="44" t="s">
        <v>1587</v>
      </c>
      <c r="S649" s="44"/>
    </row>
    <row r="650" spans="1:19" x14ac:dyDescent="0.3">
      <c r="A650" s="44" t="s">
        <v>1758</v>
      </c>
      <c r="B650" s="44" t="s">
        <v>68</v>
      </c>
      <c r="C650" s="44" t="s">
        <v>29</v>
      </c>
      <c r="D650" s="44" t="s">
        <v>304</v>
      </c>
      <c r="E650" s="44" t="s">
        <v>1035</v>
      </c>
      <c r="F650" s="44"/>
      <c r="G650" s="44" t="s">
        <v>1598</v>
      </c>
      <c r="H650" s="44" t="s">
        <v>1124</v>
      </c>
      <c r="I650" s="44" t="s">
        <v>1127</v>
      </c>
      <c r="J650" s="44">
        <v>240</v>
      </c>
      <c r="K650" s="44" t="s">
        <v>1599</v>
      </c>
      <c r="L650" s="44"/>
      <c r="M650" s="44" t="s">
        <v>1586</v>
      </c>
      <c r="N650" s="45">
        <v>0</v>
      </c>
      <c r="O650" s="46">
        <f t="shared" si="20"/>
        <v>0</v>
      </c>
      <c r="P650" s="47">
        <f>LUCK!H52</f>
        <v>0</v>
      </c>
      <c r="Q650" s="44" t="str">
        <f t="shared" si="19"/>
        <v>PASS</v>
      </c>
      <c r="R650" s="44" t="s">
        <v>1587</v>
      </c>
      <c r="S650" s="44"/>
    </row>
    <row r="651" spans="1:19" x14ac:dyDescent="0.3">
      <c r="A651" s="44" t="s">
        <v>1759</v>
      </c>
      <c r="B651" s="44" t="s">
        <v>68</v>
      </c>
      <c r="C651" s="44" t="s">
        <v>965</v>
      </c>
      <c r="D651" s="44" t="s">
        <v>306</v>
      </c>
      <c r="E651" s="44" t="s">
        <v>1035</v>
      </c>
      <c r="F651" s="44" t="s">
        <v>1760</v>
      </c>
      <c r="G651" s="44" t="s">
        <v>1584</v>
      </c>
      <c r="H651" s="44" t="s">
        <v>1105</v>
      </c>
      <c r="I651" s="44" t="s">
        <v>1106</v>
      </c>
      <c r="J651" s="44">
        <v>191</v>
      </c>
      <c r="K651" s="44" t="s">
        <v>1107</v>
      </c>
      <c r="L651" s="44"/>
      <c r="M651" s="44" t="s">
        <v>1586</v>
      </c>
      <c r="N651" s="45">
        <v>46173</v>
      </c>
      <c r="O651" s="46">
        <f t="shared" si="20"/>
        <v>46.173000000000002</v>
      </c>
      <c r="P651" s="47">
        <f>LUCK!C53</f>
        <v>46.173000000000002</v>
      </c>
      <c r="Q651" s="44" t="str">
        <f t="shared" si="19"/>
        <v>PASS</v>
      </c>
      <c r="R651" s="44" t="s">
        <v>1587</v>
      </c>
      <c r="S651" s="44"/>
    </row>
    <row r="652" spans="1:19" x14ac:dyDescent="0.3">
      <c r="A652" s="44" t="s">
        <v>1761</v>
      </c>
      <c r="B652" s="44" t="s">
        <v>68</v>
      </c>
      <c r="C652" s="44" t="s">
        <v>20</v>
      </c>
      <c r="D652" s="44" t="s">
        <v>306</v>
      </c>
      <c r="E652" s="44" t="s">
        <v>1035</v>
      </c>
      <c r="F652" s="44" t="s">
        <v>1760</v>
      </c>
      <c r="G652" s="44" t="s">
        <v>1589</v>
      </c>
      <c r="H652" s="44" t="s">
        <v>1113</v>
      </c>
      <c r="I652" s="44" t="s">
        <v>1106</v>
      </c>
      <c r="J652" s="44">
        <v>226</v>
      </c>
      <c r="K652" s="44" t="s">
        <v>1590</v>
      </c>
      <c r="L652" s="44"/>
      <c r="M652" s="44" t="s">
        <v>1586</v>
      </c>
      <c r="N652" s="45">
        <v>70868</v>
      </c>
      <c r="O652" s="46">
        <f t="shared" si="20"/>
        <v>70.867999999999995</v>
      </c>
      <c r="P652" s="47">
        <f>LUCK!D53</f>
        <v>70.867999999999995</v>
      </c>
      <c r="Q652" s="44" t="str">
        <f t="shared" si="19"/>
        <v>PASS</v>
      </c>
      <c r="R652" s="44" t="s">
        <v>1587</v>
      </c>
      <c r="S652" s="44"/>
    </row>
    <row r="653" spans="1:19" x14ac:dyDescent="0.3">
      <c r="A653" s="44" t="s">
        <v>1762</v>
      </c>
      <c r="B653" s="44" t="s">
        <v>68</v>
      </c>
      <c r="C653" s="44" t="s">
        <v>26</v>
      </c>
      <c r="D653" s="44" t="s">
        <v>306</v>
      </c>
      <c r="E653" s="44" t="s">
        <v>1035</v>
      </c>
      <c r="F653" s="44" t="s">
        <v>1760</v>
      </c>
      <c r="G653" s="44" t="s">
        <v>1592</v>
      </c>
      <c r="H653" s="44" t="s">
        <v>1117</v>
      </c>
      <c r="I653" s="44" t="s">
        <v>1106</v>
      </c>
      <c r="J653" s="44">
        <v>234</v>
      </c>
      <c r="K653" s="44" t="s">
        <v>1593</v>
      </c>
      <c r="L653" s="44"/>
      <c r="M653" s="44" t="s">
        <v>1586</v>
      </c>
      <c r="N653" s="45">
        <v>135452</v>
      </c>
      <c r="O653" s="46">
        <f t="shared" si="20"/>
        <v>135.452</v>
      </c>
      <c r="P653" s="47">
        <f>LUCK!E53</f>
        <v>135.452</v>
      </c>
      <c r="Q653" s="44" t="str">
        <f t="shared" si="19"/>
        <v>PASS</v>
      </c>
      <c r="R653" s="44" t="s">
        <v>1587</v>
      </c>
      <c r="S653" s="44"/>
    </row>
    <row r="654" spans="1:19" x14ac:dyDescent="0.3">
      <c r="A654" s="44" t="s">
        <v>1763</v>
      </c>
      <c r="B654" s="44" t="s">
        <v>68</v>
      </c>
      <c r="C654" s="44" t="s">
        <v>27</v>
      </c>
      <c r="D654" s="44" t="s">
        <v>306</v>
      </c>
      <c r="E654" s="44" t="s">
        <v>1035</v>
      </c>
      <c r="F654" s="44" t="s">
        <v>1760</v>
      </c>
      <c r="G654" s="44" t="s">
        <v>1595</v>
      </c>
      <c r="H654" s="44" t="s">
        <v>1120</v>
      </c>
      <c r="I654" s="44" t="s">
        <v>1106</v>
      </c>
      <c r="J654" s="44">
        <v>238</v>
      </c>
      <c r="K654" s="44" t="s">
        <v>1596</v>
      </c>
      <c r="L654" s="44"/>
      <c r="M654" s="44" t="s">
        <v>1586</v>
      </c>
      <c r="N654" s="45">
        <v>497745</v>
      </c>
      <c r="O654" s="46">
        <f t="shared" si="20"/>
        <v>497.745</v>
      </c>
      <c r="P654" s="47">
        <f>LUCK!F53</f>
        <v>497.745</v>
      </c>
      <c r="Q654" s="44" t="str">
        <f t="shared" si="19"/>
        <v>PASS</v>
      </c>
      <c r="R654" s="44" t="s">
        <v>1587</v>
      </c>
      <c r="S654" s="44"/>
    </row>
    <row r="655" spans="1:19" x14ac:dyDescent="0.3">
      <c r="A655" s="44" t="s">
        <v>1764</v>
      </c>
      <c r="B655" s="44" t="s">
        <v>68</v>
      </c>
      <c r="C655" s="44" t="s">
        <v>28</v>
      </c>
      <c r="D655" s="44" t="s">
        <v>306</v>
      </c>
      <c r="E655" s="44" t="s">
        <v>1035</v>
      </c>
      <c r="F655" s="44" t="s">
        <v>1760</v>
      </c>
      <c r="G655" s="44" t="s">
        <v>1598</v>
      </c>
      <c r="H655" s="44" t="s">
        <v>1124</v>
      </c>
      <c r="I655" s="44" t="s">
        <v>1106</v>
      </c>
      <c r="J655" s="44">
        <v>240</v>
      </c>
      <c r="K655" s="44" t="s">
        <v>1599</v>
      </c>
      <c r="L655" s="44"/>
      <c r="M655" s="44" t="s">
        <v>1586</v>
      </c>
      <c r="N655" s="45">
        <v>342935</v>
      </c>
      <c r="O655" s="46">
        <f t="shared" si="20"/>
        <v>342.935</v>
      </c>
      <c r="P655" s="47">
        <f>LUCK!G53</f>
        <v>342.935</v>
      </c>
      <c r="Q655" s="44" t="str">
        <f t="shared" ref="Q655:Q718" si="21">IF(ABS(O655-P655)&lt;0.000001,"PASS","FAIL")</f>
        <v>PASS</v>
      </c>
      <c r="R655" s="44" t="s">
        <v>1587</v>
      </c>
      <c r="S655" s="44"/>
    </row>
    <row r="656" spans="1:19" x14ac:dyDescent="0.3">
      <c r="A656" s="44" t="s">
        <v>1765</v>
      </c>
      <c r="B656" s="44" t="s">
        <v>68</v>
      </c>
      <c r="C656" s="44" t="s">
        <v>29</v>
      </c>
      <c r="D656" s="44" t="s">
        <v>306</v>
      </c>
      <c r="E656" s="44" t="s">
        <v>1035</v>
      </c>
      <c r="F656" s="44" t="s">
        <v>1760</v>
      </c>
      <c r="G656" s="44" t="s">
        <v>1598</v>
      </c>
      <c r="H656" s="44" t="s">
        <v>1124</v>
      </c>
      <c r="I656" s="44" t="s">
        <v>1127</v>
      </c>
      <c r="J656" s="44">
        <v>240</v>
      </c>
      <c r="K656" s="44" t="s">
        <v>1599</v>
      </c>
      <c r="L656" s="44"/>
      <c r="M656" s="44" t="s">
        <v>1586</v>
      </c>
      <c r="N656" s="45">
        <v>185616</v>
      </c>
      <c r="O656" s="46">
        <f t="shared" si="20"/>
        <v>185.61600000000001</v>
      </c>
      <c r="P656" s="47">
        <f>LUCK!H53</f>
        <v>185.61600000000001</v>
      </c>
      <c r="Q656" s="44" t="str">
        <f t="shared" si="21"/>
        <v>PASS</v>
      </c>
      <c r="R656" s="44" t="s">
        <v>1587</v>
      </c>
      <c r="S656" s="44"/>
    </row>
    <row r="657" spans="1:19" x14ac:dyDescent="0.3">
      <c r="A657" s="44" t="s">
        <v>1766</v>
      </c>
      <c r="B657" s="44" t="s">
        <v>68</v>
      </c>
      <c r="C657" s="44" t="s">
        <v>965</v>
      </c>
      <c r="D657" s="44" t="s">
        <v>308</v>
      </c>
      <c r="E657" s="44" t="s">
        <v>1035</v>
      </c>
      <c r="F657" s="44" t="s">
        <v>1767</v>
      </c>
      <c r="G657" s="44" t="s">
        <v>1584</v>
      </c>
      <c r="H657" s="44" t="s">
        <v>1105</v>
      </c>
      <c r="I657" s="44" t="s">
        <v>1106</v>
      </c>
      <c r="J657" s="44">
        <v>191</v>
      </c>
      <c r="K657" s="44" t="s">
        <v>1107</v>
      </c>
      <c r="L657" s="44" t="s">
        <v>1768</v>
      </c>
      <c r="M657" s="44" t="s">
        <v>1586</v>
      </c>
      <c r="N657" s="45">
        <v>7931444</v>
      </c>
      <c r="O657" s="46">
        <f t="shared" si="20"/>
        <v>7931.4440000000004</v>
      </c>
      <c r="P657" s="47">
        <f>LUCK!C54</f>
        <v>7931.4440000000004</v>
      </c>
      <c r="Q657" s="44" t="str">
        <f t="shared" si="21"/>
        <v>PASS</v>
      </c>
      <c r="R657" s="44" t="s">
        <v>1587</v>
      </c>
      <c r="S657" s="44"/>
    </row>
    <row r="658" spans="1:19" x14ac:dyDescent="0.3">
      <c r="A658" s="44" t="s">
        <v>1769</v>
      </c>
      <c r="B658" s="44" t="s">
        <v>68</v>
      </c>
      <c r="C658" s="44" t="s">
        <v>20</v>
      </c>
      <c r="D658" s="44" t="s">
        <v>308</v>
      </c>
      <c r="E658" s="44" t="s">
        <v>1035</v>
      </c>
      <c r="F658" s="44" t="s">
        <v>1770</v>
      </c>
      <c r="G658" s="44" t="s">
        <v>1589</v>
      </c>
      <c r="H658" s="44" t="s">
        <v>1113</v>
      </c>
      <c r="I658" s="44" t="s">
        <v>1106</v>
      </c>
      <c r="J658" s="44">
        <v>226</v>
      </c>
      <c r="K658" s="44" t="s">
        <v>1590</v>
      </c>
      <c r="L658" s="44" t="s">
        <v>1768</v>
      </c>
      <c r="M658" s="44" t="s">
        <v>1586</v>
      </c>
      <c r="N658" s="45">
        <v>7050000</v>
      </c>
      <c r="O658" s="46">
        <f t="shared" si="20"/>
        <v>7050</v>
      </c>
      <c r="P658" s="47">
        <f>LUCK!D54</f>
        <v>7050</v>
      </c>
      <c r="Q658" s="44" t="str">
        <f t="shared" si="21"/>
        <v>PASS</v>
      </c>
      <c r="R658" s="44" t="s">
        <v>1587</v>
      </c>
      <c r="S658" s="44"/>
    </row>
    <row r="659" spans="1:19" x14ac:dyDescent="0.3">
      <c r="A659" s="44" t="s">
        <v>1771</v>
      </c>
      <c r="B659" s="44" t="s">
        <v>68</v>
      </c>
      <c r="C659" s="44" t="s">
        <v>26</v>
      </c>
      <c r="D659" s="44" t="s">
        <v>308</v>
      </c>
      <c r="E659" s="44" t="s">
        <v>1035</v>
      </c>
      <c r="F659" s="44" t="s">
        <v>1770</v>
      </c>
      <c r="G659" s="44" t="s">
        <v>1592</v>
      </c>
      <c r="H659" s="44" t="s">
        <v>1117</v>
      </c>
      <c r="I659" s="44" t="s">
        <v>1106</v>
      </c>
      <c r="J659" s="44">
        <v>234</v>
      </c>
      <c r="K659" s="44" t="s">
        <v>1593</v>
      </c>
      <c r="L659" s="44" t="s">
        <v>1768</v>
      </c>
      <c r="M659" s="44" t="s">
        <v>1586</v>
      </c>
      <c r="N659" s="45">
        <v>1000000</v>
      </c>
      <c r="O659" s="46">
        <f t="shared" si="20"/>
        <v>1000</v>
      </c>
      <c r="P659" s="47">
        <f>LUCK!E54</f>
        <v>1000</v>
      </c>
      <c r="Q659" s="44" t="str">
        <f t="shared" si="21"/>
        <v>PASS</v>
      </c>
      <c r="R659" s="44" t="s">
        <v>1587</v>
      </c>
      <c r="S659" s="44"/>
    </row>
    <row r="660" spans="1:19" x14ac:dyDescent="0.3">
      <c r="A660" s="44" t="s">
        <v>1772</v>
      </c>
      <c r="B660" s="44" t="s">
        <v>68</v>
      </c>
      <c r="C660" s="44" t="s">
        <v>27</v>
      </c>
      <c r="D660" s="44" t="s">
        <v>308</v>
      </c>
      <c r="E660" s="44" t="s">
        <v>1035</v>
      </c>
      <c r="F660" s="44" t="s">
        <v>1770</v>
      </c>
      <c r="G660" s="44" t="s">
        <v>1595</v>
      </c>
      <c r="H660" s="44" t="s">
        <v>1120</v>
      </c>
      <c r="I660" s="44" t="s">
        <v>1106</v>
      </c>
      <c r="J660" s="44">
        <v>238</v>
      </c>
      <c r="K660" s="44" t="s">
        <v>1596</v>
      </c>
      <c r="L660" s="44" t="s">
        <v>1768</v>
      </c>
      <c r="M660" s="44" t="s">
        <v>1586</v>
      </c>
      <c r="N660" s="45">
        <v>5885000</v>
      </c>
      <c r="O660" s="46">
        <f t="shared" si="20"/>
        <v>5885</v>
      </c>
      <c r="P660" s="47">
        <f>LUCK!F54</f>
        <v>5885</v>
      </c>
      <c r="Q660" s="44" t="str">
        <f t="shared" si="21"/>
        <v>PASS</v>
      </c>
      <c r="R660" s="44" t="s">
        <v>1587</v>
      </c>
      <c r="S660" s="44"/>
    </row>
    <row r="661" spans="1:19" x14ac:dyDescent="0.3">
      <c r="A661" s="44" t="s">
        <v>1773</v>
      </c>
      <c r="B661" s="44" t="s">
        <v>68</v>
      </c>
      <c r="C661" s="44" t="s">
        <v>28</v>
      </c>
      <c r="D661" s="44" t="s">
        <v>308</v>
      </c>
      <c r="E661" s="44" t="s">
        <v>1035</v>
      </c>
      <c r="F661" s="44" t="s">
        <v>1767</v>
      </c>
      <c r="G661" s="44" t="s">
        <v>1598</v>
      </c>
      <c r="H661" s="44" t="s">
        <v>1124</v>
      </c>
      <c r="I661" s="44" t="s">
        <v>1106</v>
      </c>
      <c r="J661" s="44">
        <v>240</v>
      </c>
      <c r="K661" s="44" t="s">
        <v>1599</v>
      </c>
      <c r="L661" s="44" t="s">
        <v>1210</v>
      </c>
      <c r="M661" s="44" t="s">
        <v>1586</v>
      </c>
      <c r="N661" s="45">
        <v>5485000</v>
      </c>
      <c r="O661" s="46">
        <f t="shared" si="20"/>
        <v>5485</v>
      </c>
      <c r="P661" s="47">
        <f>LUCK!G54</f>
        <v>5485</v>
      </c>
      <c r="Q661" s="44" t="str">
        <f t="shared" si="21"/>
        <v>PASS</v>
      </c>
      <c r="R661" s="44" t="s">
        <v>1587</v>
      </c>
      <c r="S661" s="44"/>
    </row>
    <row r="662" spans="1:19" x14ac:dyDescent="0.3">
      <c r="A662" s="44" t="s">
        <v>1774</v>
      </c>
      <c r="B662" s="44" t="s">
        <v>68</v>
      </c>
      <c r="C662" s="44" t="s">
        <v>29</v>
      </c>
      <c r="D662" s="44" t="s">
        <v>308</v>
      </c>
      <c r="E662" s="44" t="s">
        <v>1035</v>
      </c>
      <c r="F662" s="44" t="s">
        <v>1767</v>
      </c>
      <c r="G662" s="44" t="s">
        <v>1598</v>
      </c>
      <c r="H662" s="44" t="s">
        <v>1124</v>
      </c>
      <c r="I662" s="44" t="s">
        <v>1127</v>
      </c>
      <c r="J662" s="44">
        <v>240</v>
      </c>
      <c r="K662" s="44" t="s">
        <v>1599</v>
      </c>
      <c r="L662" s="44" t="s">
        <v>1210</v>
      </c>
      <c r="M662" s="44" t="s">
        <v>1586</v>
      </c>
      <c r="N662" s="45">
        <v>6485000</v>
      </c>
      <c r="O662" s="46">
        <f t="shared" si="20"/>
        <v>6485</v>
      </c>
      <c r="P662" s="47">
        <f>LUCK!H54</f>
        <v>6485</v>
      </c>
      <c r="Q662" s="44" t="str">
        <f t="shared" si="21"/>
        <v>PASS</v>
      </c>
      <c r="R662" s="44" t="s">
        <v>1587</v>
      </c>
      <c r="S662" s="44"/>
    </row>
    <row r="663" spans="1:19" x14ac:dyDescent="0.3">
      <c r="A663" s="44" t="s">
        <v>1775</v>
      </c>
      <c r="B663" s="44" t="s">
        <v>68</v>
      </c>
      <c r="C663" s="44" t="s">
        <v>965</v>
      </c>
      <c r="D663" s="44" t="s">
        <v>310</v>
      </c>
      <c r="E663" s="44" t="s">
        <v>1035</v>
      </c>
      <c r="F663" s="44" t="s">
        <v>1776</v>
      </c>
      <c r="G663" s="44" t="s">
        <v>1584</v>
      </c>
      <c r="H663" s="44" t="s">
        <v>1105</v>
      </c>
      <c r="I663" s="44" t="s">
        <v>1106</v>
      </c>
      <c r="J663" s="44">
        <v>191</v>
      </c>
      <c r="K663" s="44" t="s">
        <v>1107</v>
      </c>
      <c r="L663" s="44" t="s">
        <v>1194</v>
      </c>
      <c r="M663" s="44" t="s">
        <v>1586</v>
      </c>
      <c r="N663" s="45">
        <v>126727</v>
      </c>
      <c r="O663" s="46">
        <f t="shared" si="20"/>
        <v>126.727</v>
      </c>
      <c r="P663" s="47">
        <f>LUCK!C55</f>
        <v>126.727</v>
      </c>
      <c r="Q663" s="44" t="str">
        <f t="shared" si="21"/>
        <v>PASS</v>
      </c>
      <c r="R663" s="44" t="s">
        <v>1587</v>
      </c>
      <c r="S663" s="44"/>
    </row>
    <row r="664" spans="1:19" x14ac:dyDescent="0.3">
      <c r="A664" s="44" t="s">
        <v>1777</v>
      </c>
      <c r="B664" s="44" t="s">
        <v>68</v>
      </c>
      <c r="C664" s="44" t="s">
        <v>20</v>
      </c>
      <c r="D664" s="44" t="s">
        <v>310</v>
      </c>
      <c r="E664" s="44" t="s">
        <v>1035</v>
      </c>
      <c r="F664" s="44" t="s">
        <v>1776</v>
      </c>
      <c r="G664" s="44" t="s">
        <v>1589</v>
      </c>
      <c r="H664" s="44" t="s">
        <v>1113</v>
      </c>
      <c r="I664" s="44" t="s">
        <v>1106</v>
      </c>
      <c r="J664" s="44">
        <v>226</v>
      </c>
      <c r="K664" s="44" t="s">
        <v>1590</v>
      </c>
      <c r="L664" s="44" t="s">
        <v>1194</v>
      </c>
      <c r="M664" s="44" t="s">
        <v>1586</v>
      </c>
      <c r="N664" s="45">
        <v>506908</v>
      </c>
      <c r="O664" s="46">
        <f t="shared" si="20"/>
        <v>506.90800000000002</v>
      </c>
      <c r="P664" s="47">
        <f>LUCK!D55</f>
        <v>506.90800000000002</v>
      </c>
      <c r="Q664" s="44" t="str">
        <f t="shared" si="21"/>
        <v>PASS</v>
      </c>
      <c r="R664" s="44" t="s">
        <v>1587</v>
      </c>
      <c r="S664" s="44"/>
    </row>
    <row r="665" spans="1:19" x14ac:dyDescent="0.3">
      <c r="A665" s="44" t="s">
        <v>1778</v>
      </c>
      <c r="B665" s="44" t="s">
        <v>68</v>
      </c>
      <c r="C665" s="44" t="s">
        <v>26</v>
      </c>
      <c r="D665" s="44" t="s">
        <v>310</v>
      </c>
      <c r="E665" s="44" t="s">
        <v>1035</v>
      </c>
      <c r="F665" s="44" t="s">
        <v>1776</v>
      </c>
      <c r="G665" s="44" t="s">
        <v>1592</v>
      </c>
      <c r="H665" s="44" t="s">
        <v>1117</v>
      </c>
      <c r="I665" s="44" t="s">
        <v>1106</v>
      </c>
      <c r="J665" s="44">
        <v>234</v>
      </c>
      <c r="K665" s="44" t="s">
        <v>1593</v>
      </c>
      <c r="L665" s="44" t="s">
        <v>1194</v>
      </c>
      <c r="M665" s="44" t="s">
        <v>1586</v>
      </c>
      <c r="N665" s="45">
        <v>487202</v>
      </c>
      <c r="O665" s="46">
        <f t="shared" si="20"/>
        <v>487.202</v>
      </c>
      <c r="P665" s="47">
        <f>LUCK!E55</f>
        <v>487.202</v>
      </c>
      <c r="Q665" s="44" t="str">
        <f t="shared" si="21"/>
        <v>PASS</v>
      </c>
      <c r="R665" s="44" t="s">
        <v>1587</v>
      </c>
      <c r="S665" s="44"/>
    </row>
    <row r="666" spans="1:19" x14ac:dyDescent="0.3">
      <c r="A666" s="44" t="s">
        <v>1779</v>
      </c>
      <c r="B666" s="44" t="s">
        <v>68</v>
      </c>
      <c r="C666" s="44" t="s">
        <v>27</v>
      </c>
      <c r="D666" s="44" t="s">
        <v>310</v>
      </c>
      <c r="E666" s="44" t="s">
        <v>1035</v>
      </c>
      <c r="F666" s="44" t="s">
        <v>1776</v>
      </c>
      <c r="G666" s="44" t="s">
        <v>1595</v>
      </c>
      <c r="H666" s="44" t="s">
        <v>1120</v>
      </c>
      <c r="I666" s="44" t="s">
        <v>1106</v>
      </c>
      <c r="J666" s="44">
        <v>238</v>
      </c>
      <c r="K666" s="44" t="s">
        <v>1596</v>
      </c>
      <c r="L666" s="44" t="s">
        <v>1194</v>
      </c>
      <c r="M666" s="44" t="s">
        <v>1586</v>
      </c>
      <c r="N666" s="45">
        <v>599653</v>
      </c>
      <c r="O666" s="46">
        <f t="shared" si="20"/>
        <v>599.65300000000002</v>
      </c>
      <c r="P666" s="47">
        <f>LUCK!F55</f>
        <v>599.65300000000002</v>
      </c>
      <c r="Q666" s="44" t="str">
        <f t="shared" si="21"/>
        <v>PASS</v>
      </c>
      <c r="R666" s="44" t="s">
        <v>1587</v>
      </c>
      <c r="S666" s="44"/>
    </row>
    <row r="667" spans="1:19" x14ac:dyDescent="0.3">
      <c r="A667" s="44" t="s">
        <v>1780</v>
      </c>
      <c r="B667" s="44" t="s">
        <v>68</v>
      </c>
      <c r="C667" s="44" t="s">
        <v>28</v>
      </c>
      <c r="D667" s="44" t="s">
        <v>310</v>
      </c>
      <c r="E667" s="44" t="s">
        <v>1035</v>
      </c>
      <c r="F667" s="44" t="s">
        <v>1781</v>
      </c>
      <c r="G667" s="44" t="s">
        <v>1598</v>
      </c>
      <c r="H667" s="44" t="s">
        <v>1124</v>
      </c>
      <c r="I667" s="44" t="s">
        <v>1106</v>
      </c>
      <c r="J667" s="44">
        <v>240</v>
      </c>
      <c r="K667" s="44" t="s">
        <v>1599</v>
      </c>
      <c r="L667" s="44" t="s">
        <v>1186</v>
      </c>
      <c r="M667" s="44" t="s">
        <v>1586</v>
      </c>
      <c r="N667" s="45">
        <v>2099147</v>
      </c>
      <c r="O667" s="46">
        <f t="shared" si="20"/>
        <v>2099.1469999999999</v>
      </c>
      <c r="P667" s="47">
        <f>LUCK!G55</f>
        <v>2099.1469999999999</v>
      </c>
      <c r="Q667" s="44" t="str">
        <f t="shared" si="21"/>
        <v>PASS</v>
      </c>
      <c r="R667" s="44" t="s">
        <v>1587</v>
      </c>
      <c r="S667" s="44"/>
    </row>
    <row r="668" spans="1:19" x14ac:dyDescent="0.3">
      <c r="A668" s="44" t="s">
        <v>1782</v>
      </c>
      <c r="B668" s="44" t="s">
        <v>68</v>
      </c>
      <c r="C668" s="44" t="s">
        <v>29</v>
      </c>
      <c r="D668" s="44" t="s">
        <v>310</v>
      </c>
      <c r="E668" s="44" t="s">
        <v>1035</v>
      </c>
      <c r="F668" s="44" t="s">
        <v>1781</v>
      </c>
      <c r="G668" s="44" t="s">
        <v>1598</v>
      </c>
      <c r="H668" s="44" t="s">
        <v>1124</v>
      </c>
      <c r="I668" s="44" t="s">
        <v>1127</v>
      </c>
      <c r="J668" s="44">
        <v>240</v>
      </c>
      <c r="K668" s="44" t="s">
        <v>1599</v>
      </c>
      <c r="L668" s="44" t="s">
        <v>1186</v>
      </c>
      <c r="M668" s="44" t="s">
        <v>1586</v>
      </c>
      <c r="N668" s="45">
        <v>1866085</v>
      </c>
      <c r="O668" s="46">
        <f t="shared" si="20"/>
        <v>1866.085</v>
      </c>
      <c r="P668" s="47">
        <f>LUCK!H55</f>
        <v>1866.085</v>
      </c>
      <c r="Q668" s="44" t="str">
        <f t="shared" si="21"/>
        <v>PASS</v>
      </c>
      <c r="R668" s="44" t="s">
        <v>1587</v>
      </c>
      <c r="S668" s="44"/>
    </row>
    <row r="669" spans="1:19" x14ac:dyDescent="0.3">
      <c r="A669" s="44" t="s">
        <v>1783</v>
      </c>
      <c r="B669" s="44" t="s">
        <v>68</v>
      </c>
      <c r="C669" s="44" t="s">
        <v>965</v>
      </c>
      <c r="D669" s="44" t="s">
        <v>312</v>
      </c>
      <c r="E669" s="44" t="s">
        <v>1035</v>
      </c>
      <c r="F669" s="44"/>
      <c r="G669" s="44" t="s">
        <v>1584</v>
      </c>
      <c r="H669" s="44" t="s">
        <v>1105</v>
      </c>
      <c r="I669" s="44" t="s">
        <v>1106</v>
      </c>
      <c r="J669" s="44">
        <v>191</v>
      </c>
      <c r="K669" s="44" t="s">
        <v>1107</v>
      </c>
      <c r="L669" s="44"/>
      <c r="M669" s="44" t="s">
        <v>1586</v>
      </c>
      <c r="N669" s="45">
        <v>0</v>
      </c>
      <c r="O669" s="46">
        <f t="shared" si="20"/>
        <v>0</v>
      </c>
      <c r="P669" s="47">
        <f>LUCK!C56</f>
        <v>0</v>
      </c>
      <c r="Q669" s="44" t="str">
        <f t="shared" si="21"/>
        <v>PASS</v>
      </c>
      <c r="R669" s="44" t="s">
        <v>1587</v>
      </c>
      <c r="S669" s="44"/>
    </row>
    <row r="670" spans="1:19" x14ac:dyDescent="0.3">
      <c r="A670" s="44" t="s">
        <v>1784</v>
      </c>
      <c r="B670" s="44" t="s">
        <v>68</v>
      </c>
      <c r="C670" s="44" t="s">
        <v>20</v>
      </c>
      <c r="D670" s="44" t="s">
        <v>312</v>
      </c>
      <c r="E670" s="44" t="s">
        <v>1035</v>
      </c>
      <c r="F670" s="44"/>
      <c r="G670" s="44" t="s">
        <v>1589</v>
      </c>
      <c r="H670" s="44" t="s">
        <v>1113</v>
      </c>
      <c r="I670" s="44" t="s">
        <v>1106</v>
      </c>
      <c r="J670" s="44">
        <v>226</v>
      </c>
      <c r="K670" s="44" t="s">
        <v>1590</v>
      </c>
      <c r="L670" s="44"/>
      <c r="M670" s="44" t="s">
        <v>1586</v>
      </c>
      <c r="N670" s="45">
        <v>0</v>
      </c>
      <c r="O670" s="46">
        <f t="shared" si="20"/>
        <v>0</v>
      </c>
      <c r="P670" s="47">
        <f>LUCK!D56</f>
        <v>0</v>
      </c>
      <c r="Q670" s="44" t="str">
        <f t="shared" si="21"/>
        <v>PASS</v>
      </c>
      <c r="R670" s="44" t="s">
        <v>1587</v>
      </c>
      <c r="S670" s="44"/>
    </row>
    <row r="671" spans="1:19" x14ac:dyDescent="0.3">
      <c r="A671" s="44" t="s">
        <v>1785</v>
      </c>
      <c r="B671" s="44" t="s">
        <v>68</v>
      </c>
      <c r="C671" s="44" t="s">
        <v>26</v>
      </c>
      <c r="D671" s="44" t="s">
        <v>312</v>
      </c>
      <c r="E671" s="44" t="s">
        <v>1035</v>
      </c>
      <c r="F671" s="44"/>
      <c r="G671" s="44" t="s">
        <v>1592</v>
      </c>
      <c r="H671" s="44" t="s">
        <v>1117</v>
      </c>
      <c r="I671" s="44" t="s">
        <v>1106</v>
      </c>
      <c r="J671" s="44">
        <v>234</v>
      </c>
      <c r="K671" s="44" t="s">
        <v>1593</v>
      </c>
      <c r="L671" s="44"/>
      <c r="M671" s="44" t="s">
        <v>1586</v>
      </c>
      <c r="N671" s="45">
        <v>0</v>
      </c>
      <c r="O671" s="46">
        <f t="shared" si="20"/>
        <v>0</v>
      </c>
      <c r="P671" s="47">
        <f>LUCK!E56</f>
        <v>0</v>
      </c>
      <c r="Q671" s="44" t="str">
        <f t="shared" si="21"/>
        <v>PASS</v>
      </c>
      <c r="R671" s="44" t="s">
        <v>1587</v>
      </c>
      <c r="S671" s="44"/>
    </row>
    <row r="672" spans="1:19" x14ac:dyDescent="0.3">
      <c r="A672" s="44" t="s">
        <v>1786</v>
      </c>
      <c r="B672" s="44" t="s">
        <v>68</v>
      </c>
      <c r="C672" s="44" t="s">
        <v>27</v>
      </c>
      <c r="D672" s="44" t="s">
        <v>312</v>
      </c>
      <c r="E672" s="44" t="s">
        <v>1035</v>
      </c>
      <c r="F672" s="44"/>
      <c r="G672" s="44" t="s">
        <v>1595</v>
      </c>
      <c r="H672" s="44" t="s">
        <v>1120</v>
      </c>
      <c r="I672" s="44" t="s">
        <v>1106</v>
      </c>
      <c r="J672" s="44">
        <v>238</v>
      </c>
      <c r="K672" s="44" t="s">
        <v>1596</v>
      </c>
      <c r="L672" s="44"/>
      <c r="M672" s="44" t="s">
        <v>1586</v>
      </c>
      <c r="N672" s="45">
        <v>0</v>
      </c>
      <c r="O672" s="46">
        <f t="shared" si="20"/>
        <v>0</v>
      </c>
      <c r="P672" s="47">
        <f>LUCK!F56</f>
        <v>0</v>
      </c>
      <c r="Q672" s="44" t="str">
        <f t="shared" si="21"/>
        <v>PASS</v>
      </c>
      <c r="R672" s="44" t="s">
        <v>1587</v>
      </c>
      <c r="S672" s="44"/>
    </row>
    <row r="673" spans="1:19" x14ac:dyDescent="0.3">
      <c r="A673" s="44" t="s">
        <v>1787</v>
      </c>
      <c r="B673" s="44" t="s">
        <v>68</v>
      </c>
      <c r="C673" s="44" t="s">
        <v>28</v>
      </c>
      <c r="D673" s="44" t="s">
        <v>312</v>
      </c>
      <c r="E673" s="44" t="s">
        <v>1035</v>
      </c>
      <c r="F673" s="44"/>
      <c r="G673" s="44" t="s">
        <v>1598</v>
      </c>
      <c r="H673" s="44" t="s">
        <v>1124</v>
      </c>
      <c r="I673" s="44" t="s">
        <v>1106</v>
      </c>
      <c r="J673" s="44">
        <v>240</v>
      </c>
      <c r="K673" s="44" t="s">
        <v>1599</v>
      </c>
      <c r="L673" s="44"/>
      <c r="M673" s="44" t="s">
        <v>1586</v>
      </c>
      <c r="N673" s="45">
        <v>0</v>
      </c>
      <c r="O673" s="46">
        <f t="shared" si="20"/>
        <v>0</v>
      </c>
      <c r="P673" s="47">
        <f>LUCK!G56</f>
        <v>0</v>
      </c>
      <c r="Q673" s="44" t="str">
        <f t="shared" si="21"/>
        <v>PASS</v>
      </c>
      <c r="R673" s="44" t="s">
        <v>1587</v>
      </c>
      <c r="S673" s="44"/>
    </row>
    <row r="674" spans="1:19" x14ac:dyDescent="0.3">
      <c r="A674" s="44" t="s">
        <v>1788</v>
      </c>
      <c r="B674" s="44" t="s">
        <v>68</v>
      </c>
      <c r="C674" s="44" t="s">
        <v>29</v>
      </c>
      <c r="D674" s="44" t="s">
        <v>312</v>
      </c>
      <c r="E674" s="44" t="s">
        <v>1035</v>
      </c>
      <c r="F674" s="44"/>
      <c r="G674" s="44" t="s">
        <v>1598</v>
      </c>
      <c r="H674" s="44" t="s">
        <v>1124</v>
      </c>
      <c r="I674" s="44" t="s">
        <v>1127</v>
      </c>
      <c r="J674" s="44">
        <v>240</v>
      </c>
      <c r="K674" s="44" t="s">
        <v>1599</v>
      </c>
      <c r="L674" s="44"/>
      <c r="M674" s="44" t="s">
        <v>1586</v>
      </c>
      <c r="N674" s="45">
        <v>0</v>
      </c>
      <c r="O674" s="46">
        <f t="shared" si="20"/>
        <v>0</v>
      </c>
      <c r="P674" s="47">
        <f>LUCK!H56</f>
        <v>0</v>
      </c>
      <c r="Q674" s="44" t="str">
        <f t="shared" si="21"/>
        <v>PASS</v>
      </c>
      <c r="R674" s="44" t="s">
        <v>1587</v>
      </c>
      <c r="S674" s="44"/>
    </row>
    <row r="675" spans="1:19" x14ac:dyDescent="0.3">
      <c r="A675" s="44" t="s">
        <v>1789</v>
      </c>
      <c r="B675" s="44" t="s">
        <v>68</v>
      </c>
      <c r="C675" s="44" t="s">
        <v>965</v>
      </c>
      <c r="D675" s="44" t="s">
        <v>314</v>
      </c>
      <c r="E675" s="44" t="s">
        <v>1035</v>
      </c>
      <c r="F675" s="44"/>
      <c r="G675" s="44" t="s">
        <v>1584</v>
      </c>
      <c r="H675" s="44" t="s">
        <v>1105</v>
      </c>
      <c r="I675" s="44" t="s">
        <v>1106</v>
      </c>
      <c r="J675" s="44">
        <v>191</v>
      </c>
      <c r="K675" s="44" t="s">
        <v>1107</v>
      </c>
      <c r="L675" s="44"/>
      <c r="M675" s="44" t="s">
        <v>1586</v>
      </c>
      <c r="N675" s="45">
        <v>0</v>
      </c>
      <c r="O675" s="46">
        <f t="shared" si="20"/>
        <v>0</v>
      </c>
      <c r="P675" s="47">
        <f>LUCK!C57</f>
        <v>0</v>
      </c>
      <c r="Q675" s="44" t="str">
        <f t="shared" si="21"/>
        <v>PASS</v>
      </c>
      <c r="R675" s="44" t="s">
        <v>1587</v>
      </c>
      <c r="S675" s="44"/>
    </row>
    <row r="676" spans="1:19" x14ac:dyDescent="0.3">
      <c r="A676" s="44" t="s">
        <v>1790</v>
      </c>
      <c r="B676" s="44" t="s">
        <v>68</v>
      </c>
      <c r="C676" s="44" t="s">
        <v>20</v>
      </c>
      <c r="D676" s="44" t="s">
        <v>314</v>
      </c>
      <c r="E676" s="44" t="s">
        <v>1035</v>
      </c>
      <c r="F676" s="44"/>
      <c r="G676" s="44" t="s">
        <v>1589</v>
      </c>
      <c r="H676" s="44" t="s">
        <v>1113</v>
      </c>
      <c r="I676" s="44" t="s">
        <v>1106</v>
      </c>
      <c r="J676" s="44">
        <v>226</v>
      </c>
      <c r="K676" s="44" t="s">
        <v>1590</v>
      </c>
      <c r="L676" s="44"/>
      <c r="M676" s="44" t="s">
        <v>1586</v>
      </c>
      <c r="N676" s="45">
        <v>0</v>
      </c>
      <c r="O676" s="46">
        <f t="shared" si="20"/>
        <v>0</v>
      </c>
      <c r="P676" s="47">
        <f>LUCK!D57</f>
        <v>0</v>
      </c>
      <c r="Q676" s="44" t="str">
        <f t="shared" si="21"/>
        <v>PASS</v>
      </c>
      <c r="R676" s="44" t="s">
        <v>1587</v>
      </c>
      <c r="S676" s="44"/>
    </row>
    <row r="677" spans="1:19" x14ac:dyDescent="0.3">
      <c r="A677" s="44" t="s">
        <v>1791</v>
      </c>
      <c r="B677" s="44" t="s">
        <v>68</v>
      </c>
      <c r="C677" s="44" t="s">
        <v>26</v>
      </c>
      <c r="D677" s="44" t="s">
        <v>314</v>
      </c>
      <c r="E677" s="44" t="s">
        <v>1035</v>
      </c>
      <c r="F677" s="44"/>
      <c r="G677" s="44" t="s">
        <v>1592</v>
      </c>
      <c r="H677" s="44" t="s">
        <v>1117</v>
      </c>
      <c r="I677" s="44" t="s">
        <v>1106</v>
      </c>
      <c r="J677" s="44">
        <v>234</v>
      </c>
      <c r="K677" s="44" t="s">
        <v>1593</v>
      </c>
      <c r="L677" s="44"/>
      <c r="M677" s="44" t="s">
        <v>1586</v>
      </c>
      <c r="N677" s="45">
        <v>0</v>
      </c>
      <c r="O677" s="46">
        <f t="shared" si="20"/>
        <v>0</v>
      </c>
      <c r="P677" s="47">
        <f>LUCK!E57</f>
        <v>0</v>
      </c>
      <c r="Q677" s="44" t="str">
        <f t="shared" si="21"/>
        <v>PASS</v>
      </c>
      <c r="R677" s="44" t="s">
        <v>1587</v>
      </c>
      <c r="S677" s="44"/>
    </row>
    <row r="678" spans="1:19" x14ac:dyDescent="0.3">
      <c r="A678" s="44" t="s">
        <v>1792</v>
      </c>
      <c r="B678" s="44" t="s">
        <v>68</v>
      </c>
      <c r="C678" s="44" t="s">
        <v>27</v>
      </c>
      <c r="D678" s="44" t="s">
        <v>314</v>
      </c>
      <c r="E678" s="44" t="s">
        <v>1035</v>
      </c>
      <c r="F678" s="44"/>
      <c r="G678" s="44" t="s">
        <v>1595</v>
      </c>
      <c r="H678" s="44" t="s">
        <v>1120</v>
      </c>
      <c r="I678" s="44" t="s">
        <v>1106</v>
      </c>
      <c r="J678" s="44">
        <v>238</v>
      </c>
      <c r="K678" s="44" t="s">
        <v>1596</v>
      </c>
      <c r="L678" s="44"/>
      <c r="M678" s="44" t="s">
        <v>1586</v>
      </c>
      <c r="N678" s="45">
        <v>0</v>
      </c>
      <c r="O678" s="46">
        <f t="shared" si="20"/>
        <v>0</v>
      </c>
      <c r="P678" s="47">
        <f>LUCK!F57</f>
        <v>0</v>
      </c>
      <c r="Q678" s="44" t="str">
        <f t="shared" si="21"/>
        <v>PASS</v>
      </c>
      <c r="R678" s="44" t="s">
        <v>1587</v>
      </c>
      <c r="S678" s="44"/>
    </row>
    <row r="679" spans="1:19" x14ac:dyDescent="0.3">
      <c r="A679" s="44" t="s">
        <v>1793</v>
      </c>
      <c r="B679" s="44" t="s">
        <v>68</v>
      </c>
      <c r="C679" s="44" t="s">
        <v>28</v>
      </c>
      <c r="D679" s="44" t="s">
        <v>314</v>
      </c>
      <c r="E679" s="44" t="s">
        <v>1035</v>
      </c>
      <c r="F679" s="44"/>
      <c r="G679" s="44" t="s">
        <v>1598</v>
      </c>
      <c r="H679" s="44" t="s">
        <v>1124</v>
      </c>
      <c r="I679" s="44" t="s">
        <v>1106</v>
      </c>
      <c r="J679" s="44">
        <v>240</v>
      </c>
      <c r="K679" s="44" t="s">
        <v>1599</v>
      </c>
      <c r="L679" s="44"/>
      <c r="M679" s="44" t="s">
        <v>1586</v>
      </c>
      <c r="N679" s="45">
        <v>0</v>
      </c>
      <c r="O679" s="46">
        <f t="shared" si="20"/>
        <v>0</v>
      </c>
      <c r="P679" s="47">
        <f>LUCK!G57</f>
        <v>0</v>
      </c>
      <c r="Q679" s="44" t="str">
        <f t="shared" si="21"/>
        <v>PASS</v>
      </c>
      <c r="R679" s="44" t="s">
        <v>1587</v>
      </c>
      <c r="S679" s="44"/>
    </row>
    <row r="680" spans="1:19" x14ac:dyDescent="0.3">
      <c r="A680" s="44" t="s">
        <v>1794</v>
      </c>
      <c r="B680" s="44" t="s">
        <v>68</v>
      </c>
      <c r="C680" s="44" t="s">
        <v>29</v>
      </c>
      <c r="D680" s="44" t="s">
        <v>314</v>
      </c>
      <c r="E680" s="44" t="s">
        <v>1035</v>
      </c>
      <c r="F680" s="44"/>
      <c r="G680" s="44" t="s">
        <v>1598</v>
      </c>
      <c r="H680" s="44" t="s">
        <v>1124</v>
      </c>
      <c r="I680" s="44" t="s">
        <v>1127</v>
      </c>
      <c r="J680" s="44">
        <v>240</v>
      </c>
      <c r="K680" s="44" t="s">
        <v>1599</v>
      </c>
      <c r="L680" s="44"/>
      <c r="M680" s="44" t="s">
        <v>1586</v>
      </c>
      <c r="N680" s="45">
        <v>0</v>
      </c>
      <c r="O680" s="46">
        <f t="shared" si="20"/>
        <v>0</v>
      </c>
      <c r="P680" s="47">
        <f>LUCK!H57</f>
        <v>0</v>
      </c>
      <c r="Q680" s="44" t="str">
        <f t="shared" si="21"/>
        <v>PASS</v>
      </c>
      <c r="R680" s="44" t="s">
        <v>1587</v>
      </c>
      <c r="S680" s="44"/>
    </row>
    <row r="681" spans="1:19" x14ac:dyDescent="0.3">
      <c r="A681" s="44" t="s">
        <v>1795</v>
      </c>
      <c r="B681" s="44" t="s">
        <v>68</v>
      </c>
      <c r="C681" s="44" t="s">
        <v>965</v>
      </c>
      <c r="D681" s="44" t="s">
        <v>316</v>
      </c>
      <c r="E681" s="44" t="s">
        <v>1035</v>
      </c>
      <c r="F681" s="44" t="s">
        <v>1796</v>
      </c>
      <c r="G681" s="44" t="s">
        <v>1584</v>
      </c>
      <c r="H681" s="44" t="s">
        <v>1105</v>
      </c>
      <c r="I681" s="44" t="s">
        <v>1106</v>
      </c>
      <c r="J681" s="44">
        <v>191</v>
      </c>
      <c r="K681" s="44" t="s">
        <v>1107</v>
      </c>
      <c r="L681" s="44"/>
      <c r="M681" s="44" t="s">
        <v>1586</v>
      </c>
      <c r="N681" s="45">
        <v>73347</v>
      </c>
      <c r="O681" s="46">
        <f t="shared" si="20"/>
        <v>73.346999999999994</v>
      </c>
      <c r="P681" s="47">
        <f>LUCK!C58</f>
        <v>73.346999999999994</v>
      </c>
      <c r="Q681" s="44" t="str">
        <f t="shared" si="21"/>
        <v>PASS</v>
      </c>
      <c r="R681" s="44" t="s">
        <v>1587</v>
      </c>
      <c r="S681" s="44"/>
    </row>
    <row r="682" spans="1:19" x14ac:dyDescent="0.3">
      <c r="A682" s="44" t="s">
        <v>1797</v>
      </c>
      <c r="B682" s="44" t="s">
        <v>68</v>
      </c>
      <c r="C682" s="44" t="s">
        <v>20</v>
      </c>
      <c r="D682" s="44" t="s">
        <v>316</v>
      </c>
      <c r="E682" s="44" t="s">
        <v>1035</v>
      </c>
      <c r="F682" s="44" t="s">
        <v>1798</v>
      </c>
      <c r="G682" s="44" t="s">
        <v>1589</v>
      </c>
      <c r="H682" s="44" t="s">
        <v>1113</v>
      </c>
      <c r="I682" s="44" t="s">
        <v>1106</v>
      </c>
      <c r="J682" s="44">
        <v>226</v>
      </c>
      <c r="K682" s="44" t="s">
        <v>1590</v>
      </c>
      <c r="L682" s="44"/>
      <c r="M682" s="44" t="s">
        <v>1586</v>
      </c>
      <c r="N682" s="45">
        <v>53458</v>
      </c>
      <c r="O682" s="46">
        <f t="shared" si="20"/>
        <v>53.457999999999998</v>
      </c>
      <c r="P682" s="47">
        <f>LUCK!D58</f>
        <v>53.457999999999998</v>
      </c>
      <c r="Q682" s="44" t="str">
        <f t="shared" si="21"/>
        <v>PASS</v>
      </c>
      <c r="R682" s="44" t="s">
        <v>1587</v>
      </c>
      <c r="S682" s="44"/>
    </row>
    <row r="683" spans="1:19" x14ac:dyDescent="0.3">
      <c r="A683" s="44" t="s">
        <v>1799</v>
      </c>
      <c r="B683" s="44" t="s">
        <v>68</v>
      </c>
      <c r="C683" s="44" t="s">
        <v>26</v>
      </c>
      <c r="D683" s="44" t="s">
        <v>316</v>
      </c>
      <c r="E683" s="44" t="s">
        <v>1035</v>
      </c>
      <c r="F683" s="44" t="s">
        <v>1798</v>
      </c>
      <c r="G683" s="44" t="s">
        <v>1592</v>
      </c>
      <c r="H683" s="44" t="s">
        <v>1117</v>
      </c>
      <c r="I683" s="44" t="s">
        <v>1106</v>
      </c>
      <c r="J683" s="44">
        <v>234</v>
      </c>
      <c r="K683" s="44" t="s">
        <v>1593</v>
      </c>
      <c r="L683" s="44"/>
      <c r="M683" s="44" t="s">
        <v>1586</v>
      </c>
      <c r="N683" s="45">
        <v>51030</v>
      </c>
      <c r="O683" s="46">
        <f t="shared" si="20"/>
        <v>51.03</v>
      </c>
      <c r="P683" s="47">
        <f>LUCK!E58</f>
        <v>51.03</v>
      </c>
      <c r="Q683" s="44" t="str">
        <f t="shared" si="21"/>
        <v>PASS</v>
      </c>
      <c r="R683" s="44" t="s">
        <v>1587</v>
      </c>
      <c r="S683" s="44"/>
    </row>
    <row r="684" spans="1:19" x14ac:dyDescent="0.3">
      <c r="A684" s="44" t="s">
        <v>1800</v>
      </c>
      <c r="B684" s="44" t="s">
        <v>68</v>
      </c>
      <c r="C684" s="44" t="s">
        <v>27</v>
      </c>
      <c r="D684" s="44" t="s">
        <v>316</v>
      </c>
      <c r="E684" s="44" t="s">
        <v>1035</v>
      </c>
      <c r="F684" s="44" t="s">
        <v>1798</v>
      </c>
      <c r="G684" s="44" t="s">
        <v>1595</v>
      </c>
      <c r="H684" s="44" t="s">
        <v>1120</v>
      </c>
      <c r="I684" s="44" t="s">
        <v>1106</v>
      </c>
      <c r="J684" s="44">
        <v>238</v>
      </c>
      <c r="K684" s="44" t="s">
        <v>1596</v>
      </c>
      <c r="L684" s="44"/>
      <c r="M684" s="44" t="s">
        <v>1586</v>
      </c>
      <c r="N684" s="45">
        <v>50115</v>
      </c>
      <c r="O684" s="46">
        <f t="shared" si="20"/>
        <v>50.115000000000002</v>
      </c>
      <c r="P684" s="47">
        <f>LUCK!F58</f>
        <v>50.115000000000002</v>
      </c>
      <c r="Q684" s="44" t="str">
        <f t="shared" si="21"/>
        <v>PASS</v>
      </c>
      <c r="R684" s="44" t="s">
        <v>1587</v>
      </c>
      <c r="S684" s="44"/>
    </row>
    <row r="685" spans="1:19" x14ac:dyDescent="0.3">
      <c r="A685" s="44" t="s">
        <v>1801</v>
      </c>
      <c r="B685" s="44" t="s">
        <v>68</v>
      </c>
      <c r="C685" s="44" t="s">
        <v>28</v>
      </c>
      <c r="D685" s="44" t="s">
        <v>316</v>
      </c>
      <c r="E685" s="44" t="s">
        <v>1035</v>
      </c>
      <c r="F685" s="44" t="s">
        <v>1798</v>
      </c>
      <c r="G685" s="44" t="s">
        <v>1598</v>
      </c>
      <c r="H685" s="44" t="s">
        <v>1124</v>
      </c>
      <c r="I685" s="44" t="s">
        <v>1106</v>
      </c>
      <c r="J685" s="44">
        <v>240</v>
      </c>
      <c r="K685" s="44" t="s">
        <v>1599</v>
      </c>
      <c r="L685" s="44"/>
      <c r="M685" s="44" t="s">
        <v>1586</v>
      </c>
      <c r="N685" s="45">
        <v>59148</v>
      </c>
      <c r="O685" s="46">
        <f t="shared" si="20"/>
        <v>59.148000000000003</v>
      </c>
      <c r="P685" s="47">
        <f>LUCK!G58</f>
        <v>59.148000000000003</v>
      </c>
      <c r="Q685" s="44" t="str">
        <f t="shared" si="21"/>
        <v>PASS</v>
      </c>
      <c r="R685" s="44" t="s">
        <v>1587</v>
      </c>
      <c r="S685" s="44"/>
    </row>
    <row r="686" spans="1:19" x14ac:dyDescent="0.3">
      <c r="A686" s="44" t="s">
        <v>1802</v>
      </c>
      <c r="B686" s="44" t="s">
        <v>68</v>
      </c>
      <c r="C686" s="44" t="s">
        <v>29</v>
      </c>
      <c r="D686" s="44" t="s">
        <v>316</v>
      </c>
      <c r="E686" s="44" t="s">
        <v>1035</v>
      </c>
      <c r="F686" s="44" t="s">
        <v>1798</v>
      </c>
      <c r="G686" s="44" t="s">
        <v>1598</v>
      </c>
      <c r="H686" s="44" t="s">
        <v>1124</v>
      </c>
      <c r="I686" s="44" t="s">
        <v>1127</v>
      </c>
      <c r="J686" s="44">
        <v>240</v>
      </c>
      <c r="K686" s="44" t="s">
        <v>1599</v>
      </c>
      <c r="L686" s="44"/>
      <c r="M686" s="44" t="s">
        <v>1586</v>
      </c>
      <c r="N686" s="45">
        <v>65745</v>
      </c>
      <c r="O686" s="46">
        <f t="shared" si="20"/>
        <v>65.745000000000005</v>
      </c>
      <c r="P686" s="47">
        <f>LUCK!H58</f>
        <v>65.745000000000005</v>
      </c>
      <c r="Q686" s="44" t="str">
        <f t="shared" si="21"/>
        <v>PASS</v>
      </c>
      <c r="R686" s="44" t="s">
        <v>1587</v>
      </c>
      <c r="S686" s="44"/>
    </row>
    <row r="687" spans="1:19" x14ac:dyDescent="0.3">
      <c r="A687" s="44" t="s">
        <v>1803</v>
      </c>
      <c r="B687" s="44" t="s">
        <v>68</v>
      </c>
      <c r="C687" s="44" t="s">
        <v>965</v>
      </c>
      <c r="D687" s="44" t="s">
        <v>318</v>
      </c>
      <c r="E687" s="44" t="s">
        <v>1035</v>
      </c>
      <c r="F687" s="44" t="s">
        <v>1804</v>
      </c>
      <c r="G687" s="44" t="s">
        <v>1584</v>
      </c>
      <c r="H687" s="44" t="s">
        <v>1105</v>
      </c>
      <c r="I687" s="44" t="s">
        <v>1106</v>
      </c>
      <c r="J687" s="44">
        <v>191</v>
      </c>
      <c r="K687" s="44" t="s">
        <v>1107</v>
      </c>
      <c r="L687" s="44"/>
      <c r="M687" s="44" t="s">
        <v>1586</v>
      </c>
      <c r="N687" s="45">
        <v>1422867</v>
      </c>
      <c r="O687" s="46">
        <f t="shared" si="20"/>
        <v>1422.867</v>
      </c>
      <c r="P687" s="47">
        <f>LUCK!C59</f>
        <v>1422.867</v>
      </c>
      <c r="Q687" s="44" t="str">
        <f t="shared" si="21"/>
        <v>PASS</v>
      </c>
      <c r="R687" s="44" t="s">
        <v>1587</v>
      </c>
      <c r="S687" s="44"/>
    </row>
    <row r="688" spans="1:19" x14ac:dyDescent="0.3">
      <c r="A688" s="44" t="s">
        <v>1805</v>
      </c>
      <c r="B688" s="44" t="s">
        <v>68</v>
      </c>
      <c r="C688" s="44" t="s">
        <v>20</v>
      </c>
      <c r="D688" s="44" t="s">
        <v>318</v>
      </c>
      <c r="E688" s="44" t="s">
        <v>1035</v>
      </c>
      <c r="F688" s="44" t="s">
        <v>1804</v>
      </c>
      <c r="G688" s="44" t="s">
        <v>1589</v>
      </c>
      <c r="H688" s="44" t="s">
        <v>1113</v>
      </c>
      <c r="I688" s="44" t="s">
        <v>1106</v>
      </c>
      <c r="J688" s="44">
        <v>226</v>
      </c>
      <c r="K688" s="44" t="s">
        <v>1590</v>
      </c>
      <c r="L688" s="44"/>
      <c r="M688" s="44" t="s">
        <v>1586</v>
      </c>
      <c r="N688" s="45">
        <v>1916072</v>
      </c>
      <c r="O688" s="46">
        <f t="shared" si="20"/>
        <v>1916.0719999999999</v>
      </c>
      <c r="P688" s="47">
        <f>LUCK!D59</f>
        <v>1916.0719999999999</v>
      </c>
      <c r="Q688" s="44" t="str">
        <f t="shared" si="21"/>
        <v>PASS</v>
      </c>
      <c r="R688" s="44" t="s">
        <v>1587</v>
      </c>
      <c r="S688" s="44"/>
    </row>
    <row r="689" spans="1:19" x14ac:dyDescent="0.3">
      <c r="A689" s="44" t="s">
        <v>1806</v>
      </c>
      <c r="B689" s="44" t="s">
        <v>68</v>
      </c>
      <c r="C689" s="44" t="s">
        <v>26</v>
      </c>
      <c r="D689" s="44" t="s">
        <v>318</v>
      </c>
      <c r="E689" s="44" t="s">
        <v>1035</v>
      </c>
      <c r="F689" s="44" t="s">
        <v>1804</v>
      </c>
      <c r="G689" s="44" t="s">
        <v>1592</v>
      </c>
      <c r="H689" s="44" t="s">
        <v>1117</v>
      </c>
      <c r="I689" s="44" t="s">
        <v>1106</v>
      </c>
      <c r="J689" s="44">
        <v>234</v>
      </c>
      <c r="K689" s="44" t="s">
        <v>1593</v>
      </c>
      <c r="L689" s="44"/>
      <c r="M689" s="44" t="s">
        <v>1586</v>
      </c>
      <c r="N689" s="45">
        <v>5496191</v>
      </c>
      <c r="O689" s="46">
        <f t="shared" si="20"/>
        <v>5496.1909999999998</v>
      </c>
      <c r="P689" s="47">
        <f>LUCK!E59</f>
        <v>5496.1909999999998</v>
      </c>
      <c r="Q689" s="44" t="str">
        <f t="shared" si="21"/>
        <v>PASS</v>
      </c>
      <c r="R689" s="44" t="s">
        <v>1587</v>
      </c>
      <c r="S689" s="44"/>
    </row>
    <row r="690" spans="1:19" x14ac:dyDescent="0.3">
      <c r="A690" s="44" t="s">
        <v>1807</v>
      </c>
      <c r="B690" s="44" t="s">
        <v>68</v>
      </c>
      <c r="C690" s="44" t="s">
        <v>27</v>
      </c>
      <c r="D690" s="44" t="s">
        <v>318</v>
      </c>
      <c r="E690" s="44" t="s">
        <v>1035</v>
      </c>
      <c r="F690" s="44" t="s">
        <v>1804</v>
      </c>
      <c r="G690" s="44" t="s">
        <v>1595</v>
      </c>
      <c r="H690" s="44" t="s">
        <v>1120</v>
      </c>
      <c r="I690" s="44" t="s">
        <v>1106</v>
      </c>
      <c r="J690" s="44">
        <v>238</v>
      </c>
      <c r="K690" s="44" t="s">
        <v>1596</v>
      </c>
      <c r="L690" s="44"/>
      <c r="M690" s="44" t="s">
        <v>1586</v>
      </c>
      <c r="N690" s="45">
        <v>9229664</v>
      </c>
      <c r="O690" s="46">
        <f t="shared" si="20"/>
        <v>9229.6640000000007</v>
      </c>
      <c r="P690" s="47">
        <f>LUCK!F59</f>
        <v>9229.6640000000007</v>
      </c>
      <c r="Q690" s="44" t="str">
        <f t="shared" si="21"/>
        <v>PASS</v>
      </c>
      <c r="R690" s="44" t="s">
        <v>1587</v>
      </c>
      <c r="S690" s="44"/>
    </row>
    <row r="691" spans="1:19" x14ac:dyDescent="0.3">
      <c r="A691" s="44" t="s">
        <v>1808</v>
      </c>
      <c r="B691" s="44" t="s">
        <v>68</v>
      </c>
      <c r="C691" s="44" t="s">
        <v>28</v>
      </c>
      <c r="D691" s="44" t="s">
        <v>318</v>
      </c>
      <c r="E691" s="44" t="s">
        <v>1035</v>
      </c>
      <c r="F691" s="44" t="s">
        <v>1804</v>
      </c>
      <c r="G691" s="44" t="s">
        <v>1598</v>
      </c>
      <c r="H691" s="44" t="s">
        <v>1124</v>
      </c>
      <c r="I691" s="44" t="s">
        <v>1106</v>
      </c>
      <c r="J691" s="44">
        <v>240</v>
      </c>
      <c r="K691" s="44" t="s">
        <v>1599</v>
      </c>
      <c r="L691" s="44"/>
      <c r="M691" s="44" t="s">
        <v>1586</v>
      </c>
      <c r="N691" s="45">
        <v>16195618</v>
      </c>
      <c r="O691" s="46">
        <f t="shared" si="20"/>
        <v>16195.618</v>
      </c>
      <c r="P691" s="47">
        <f>LUCK!G59</f>
        <v>16195.618</v>
      </c>
      <c r="Q691" s="44" t="str">
        <f t="shared" si="21"/>
        <v>PASS</v>
      </c>
      <c r="R691" s="44" t="s">
        <v>1587</v>
      </c>
      <c r="S691" s="44"/>
    </row>
    <row r="692" spans="1:19" x14ac:dyDescent="0.3">
      <c r="A692" s="44" t="s">
        <v>1809</v>
      </c>
      <c r="B692" s="44" t="s">
        <v>68</v>
      </c>
      <c r="C692" s="44" t="s">
        <v>29</v>
      </c>
      <c r="D692" s="44" t="s">
        <v>318</v>
      </c>
      <c r="E692" s="44" t="s">
        <v>1035</v>
      </c>
      <c r="F692" s="44" t="s">
        <v>1804</v>
      </c>
      <c r="G692" s="44" t="s">
        <v>1598</v>
      </c>
      <c r="H692" s="44" t="s">
        <v>1124</v>
      </c>
      <c r="I692" s="44" t="s">
        <v>1127</v>
      </c>
      <c r="J692" s="44">
        <v>240</v>
      </c>
      <c r="K692" s="44" t="s">
        <v>1599</v>
      </c>
      <c r="L692" s="44"/>
      <c r="M692" s="44" t="s">
        <v>1586</v>
      </c>
      <c r="N692" s="45">
        <v>22738018</v>
      </c>
      <c r="O692" s="46">
        <f t="shared" si="20"/>
        <v>22738.018</v>
      </c>
      <c r="P692" s="47">
        <f>LUCK!H59</f>
        <v>22738.018</v>
      </c>
      <c r="Q692" s="44" t="str">
        <f t="shared" si="21"/>
        <v>PASS</v>
      </c>
      <c r="R692" s="44" t="s">
        <v>1587</v>
      </c>
      <c r="S692" s="44"/>
    </row>
    <row r="693" spans="1:19" x14ac:dyDescent="0.3">
      <c r="A693" s="44" t="s">
        <v>1810</v>
      </c>
      <c r="B693" s="44" t="s">
        <v>68</v>
      </c>
      <c r="C693" s="44" t="s">
        <v>965</v>
      </c>
      <c r="D693" s="44" t="s">
        <v>320</v>
      </c>
      <c r="E693" s="44" t="s">
        <v>1035</v>
      </c>
      <c r="F693" s="44"/>
      <c r="G693" s="44" t="s">
        <v>1584</v>
      </c>
      <c r="H693" s="44" t="s">
        <v>1105</v>
      </c>
      <c r="I693" s="44" t="s">
        <v>1106</v>
      </c>
      <c r="J693" s="44">
        <v>191</v>
      </c>
      <c r="K693" s="44" t="s">
        <v>1107</v>
      </c>
      <c r="L693" s="44"/>
      <c r="M693" s="44" t="s">
        <v>1586</v>
      </c>
      <c r="N693" s="45">
        <v>0</v>
      </c>
      <c r="O693" s="46">
        <f t="shared" si="20"/>
        <v>0</v>
      </c>
      <c r="P693" s="47">
        <f>LUCK!C60</f>
        <v>0</v>
      </c>
      <c r="Q693" s="44" t="str">
        <f t="shared" si="21"/>
        <v>PASS</v>
      </c>
      <c r="R693" s="44" t="s">
        <v>1587</v>
      </c>
      <c r="S693" s="44"/>
    </row>
    <row r="694" spans="1:19" x14ac:dyDescent="0.3">
      <c r="A694" s="44" t="s">
        <v>1811</v>
      </c>
      <c r="B694" s="44" t="s">
        <v>68</v>
      </c>
      <c r="C694" s="44" t="s">
        <v>20</v>
      </c>
      <c r="D694" s="44" t="s">
        <v>320</v>
      </c>
      <c r="E694" s="44" t="s">
        <v>1035</v>
      </c>
      <c r="F694" s="44"/>
      <c r="G694" s="44" t="s">
        <v>1589</v>
      </c>
      <c r="H694" s="44" t="s">
        <v>1113</v>
      </c>
      <c r="I694" s="44" t="s">
        <v>1106</v>
      </c>
      <c r="J694" s="44">
        <v>226</v>
      </c>
      <c r="K694" s="44" t="s">
        <v>1590</v>
      </c>
      <c r="L694" s="44"/>
      <c r="M694" s="44" t="s">
        <v>1586</v>
      </c>
      <c r="N694" s="45">
        <v>0</v>
      </c>
      <c r="O694" s="46">
        <f t="shared" si="20"/>
        <v>0</v>
      </c>
      <c r="P694" s="47">
        <f>LUCK!D60</f>
        <v>0</v>
      </c>
      <c r="Q694" s="44" t="str">
        <f t="shared" si="21"/>
        <v>PASS</v>
      </c>
      <c r="R694" s="44" t="s">
        <v>1587</v>
      </c>
      <c r="S694" s="44"/>
    </row>
    <row r="695" spans="1:19" x14ac:dyDescent="0.3">
      <c r="A695" s="44" t="s">
        <v>1812</v>
      </c>
      <c r="B695" s="44" t="s">
        <v>68</v>
      </c>
      <c r="C695" s="44" t="s">
        <v>26</v>
      </c>
      <c r="D695" s="44" t="s">
        <v>320</v>
      </c>
      <c r="E695" s="44" t="s">
        <v>1035</v>
      </c>
      <c r="F695" s="44"/>
      <c r="G695" s="44" t="s">
        <v>1592</v>
      </c>
      <c r="H695" s="44" t="s">
        <v>1117</v>
      </c>
      <c r="I695" s="44" t="s">
        <v>1106</v>
      </c>
      <c r="J695" s="44">
        <v>234</v>
      </c>
      <c r="K695" s="44" t="s">
        <v>1593</v>
      </c>
      <c r="L695" s="44"/>
      <c r="M695" s="44" t="s">
        <v>1586</v>
      </c>
      <c r="N695" s="45">
        <v>0</v>
      </c>
      <c r="O695" s="46">
        <f t="shared" si="20"/>
        <v>0</v>
      </c>
      <c r="P695" s="47">
        <f>LUCK!E60</f>
        <v>0</v>
      </c>
      <c r="Q695" s="44" t="str">
        <f t="shared" si="21"/>
        <v>PASS</v>
      </c>
      <c r="R695" s="44" t="s">
        <v>1587</v>
      </c>
      <c r="S695" s="44"/>
    </row>
    <row r="696" spans="1:19" x14ac:dyDescent="0.3">
      <c r="A696" s="44" t="s">
        <v>1813</v>
      </c>
      <c r="B696" s="44" t="s">
        <v>68</v>
      </c>
      <c r="C696" s="44" t="s">
        <v>27</v>
      </c>
      <c r="D696" s="44" t="s">
        <v>320</v>
      </c>
      <c r="E696" s="44" t="s">
        <v>1035</v>
      </c>
      <c r="F696" s="44"/>
      <c r="G696" s="44" t="s">
        <v>1595</v>
      </c>
      <c r="H696" s="44" t="s">
        <v>1120</v>
      </c>
      <c r="I696" s="44" t="s">
        <v>1106</v>
      </c>
      <c r="J696" s="44">
        <v>238</v>
      </c>
      <c r="K696" s="44" t="s">
        <v>1596</v>
      </c>
      <c r="L696" s="44"/>
      <c r="M696" s="44" t="s">
        <v>1586</v>
      </c>
      <c r="N696" s="45">
        <v>0</v>
      </c>
      <c r="O696" s="46">
        <f t="shared" si="20"/>
        <v>0</v>
      </c>
      <c r="P696" s="47">
        <f>LUCK!F60</f>
        <v>0</v>
      </c>
      <c r="Q696" s="44" t="str">
        <f t="shared" si="21"/>
        <v>PASS</v>
      </c>
      <c r="R696" s="44" t="s">
        <v>1587</v>
      </c>
      <c r="S696" s="44"/>
    </row>
    <row r="697" spans="1:19" x14ac:dyDescent="0.3">
      <c r="A697" s="44" t="s">
        <v>1814</v>
      </c>
      <c r="B697" s="44" t="s">
        <v>68</v>
      </c>
      <c r="C697" s="44" t="s">
        <v>28</v>
      </c>
      <c r="D697" s="44" t="s">
        <v>320</v>
      </c>
      <c r="E697" s="44" t="s">
        <v>1035</v>
      </c>
      <c r="F697" s="44"/>
      <c r="G697" s="44" t="s">
        <v>1598</v>
      </c>
      <c r="H697" s="44" t="s">
        <v>1124</v>
      </c>
      <c r="I697" s="44" t="s">
        <v>1106</v>
      </c>
      <c r="J697" s="44">
        <v>240</v>
      </c>
      <c r="K697" s="44" t="s">
        <v>1599</v>
      </c>
      <c r="L697" s="44"/>
      <c r="M697" s="44" t="s">
        <v>1586</v>
      </c>
      <c r="N697" s="45">
        <v>0</v>
      </c>
      <c r="O697" s="46">
        <f t="shared" si="20"/>
        <v>0</v>
      </c>
      <c r="P697" s="47">
        <f>LUCK!G60</f>
        <v>0</v>
      </c>
      <c r="Q697" s="44" t="str">
        <f t="shared" si="21"/>
        <v>PASS</v>
      </c>
      <c r="R697" s="44" t="s">
        <v>1587</v>
      </c>
      <c r="S697" s="44"/>
    </row>
    <row r="698" spans="1:19" x14ac:dyDescent="0.3">
      <c r="A698" s="44" t="s">
        <v>1815</v>
      </c>
      <c r="B698" s="44" t="s">
        <v>68</v>
      </c>
      <c r="C698" s="44" t="s">
        <v>29</v>
      </c>
      <c r="D698" s="44" t="s">
        <v>320</v>
      </c>
      <c r="E698" s="44" t="s">
        <v>1035</v>
      </c>
      <c r="F698" s="44"/>
      <c r="G698" s="44" t="s">
        <v>1598</v>
      </c>
      <c r="H698" s="44" t="s">
        <v>1124</v>
      </c>
      <c r="I698" s="44" t="s">
        <v>1127</v>
      </c>
      <c r="J698" s="44">
        <v>240</v>
      </c>
      <c r="K698" s="44" t="s">
        <v>1599</v>
      </c>
      <c r="L698" s="44"/>
      <c r="M698" s="44" t="s">
        <v>1586</v>
      </c>
      <c r="N698" s="45">
        <v>0</v>
      </c>
      <c r="O698" s="46">
        <f t="shared" si="20"/>
        <v>0</v>
      </c>
      <c r="P698" s="47">
        <f>LUCK!H60</f>
        <v>0</v>
      </c>
      <c r="Q698" s="44" t="str">
        <f t="shared" si="21"/>
        <v>PASS</v>
      </c>
      <c r="R698" s="44" t="s">
        <v>1587</v>
      </c>
      <c r="S698" s="44"/>
    </row>
    <row r="699" spans="1:19" x14ac:dyDescent="0.3">
      <c r="A699" s="44" t="s">
        <v>1816</v>
      </c>
      <c r="B699" s="44" t="s">
        <v>68</v>
      </c>
      <c r="C699" s="44" t="s">
        <v>965</v>
      </c>
      <c r="D699" s="44" t="s">
        <v>345</v>
      </c>
      <c r="E699" s="44" t="s">
        <v>1035</v>
      </c>
      <c r="F699" s="44"/>
      <c r="G699" s="44" t="s">
        <v>1584</v>
      </c>
      <c r="H699" s="44" t="s">
        <v>1105</v>
      </c>
      <c r="I699" s="44" t="s">
        <v>1106</v>
      </c>
      <c r="J699" s="44">
        <v>191</v>
      </c>
      <c r="K699" s="44" t="s">
        <v>1107</v>
      </c>
      <c r="L699" s="44"/>
      <c r="M699" s="44" t="s">
        <v>1586</v>
      </c>
      <c r="N699" s="45">
        <v>135868474</v>
      </c>
      <c r="O699" s="46">
        <f t="shared" si="20"/>
        <v>135868.47399999999</v>
      </c>
      <c r="P699" s="47">
        <f>LUCK!C75</f>
        <v>135868.47399999999</v>
      </c>
      <c r="Q699" s="44" t="str">
        <f t="shared" si="21"/>
        <v>PASS</v>
      </c>
      <c r="R699" s="44" t="s">
        <v>1587</v>
      </c>
      <c r="S699" s="44"/>
    </row>
    <row r="700" spans="1:19" x14ac:dyDescent="0.3">
      <c r="A700" s="44" t="s">
        <v>1817</v>
      </c>
      <c r="B700" s="44" t="s">
        <v>68</v>
      </c>
      <c r="C700" s="44" t="s">
        <v>20</v>
      </c>
      <c r="D700" s="44" t="s">
        <v>345</v>
      </c>
      <c r="E700" s="44" t="s">
        <v>1035</v>
      </c>
      <c r="F700" s="44"/>
      <c r="G700" s="44" t="s">
        <v>1589</v>
      </c>
      <c r="H700" s="44" t="s">
        <v>1113</v>
      </c>
      <c r="I700" s="44" t="s">
        <v>1106</v>
      </c>
      <c r="J700" s="44">
        <v>226</v>
      </c>
      <c r="K700" s="44" t="s">
        <v>1590</v>
      </c>
      <c r="L700" s="44"/>
      <c r="M700" s="44" t="s">
        <v>1586</v>
      </c>
      <c r="N700" s="45">
        <v>156368062</v>
      </c>
      <c r="O700" s="46">
        <f t="shared" si="20"/>
        <v>156368.06200000001</v>
      </c>
      <c r="P700" s="47">
        <f>LUCK!D75</f>
        <v>156368.06200000001</v>
      </c>
      <c r="Q700" s="44" t="str">
        <f t="shared" si="21"/>
        <v>PASS</v>
      </c>
      <c r="R700" s="44" t="s">
        <v>1587</v>
      </c>
      <c r="S700" s="44"/>
    </row>
    <row r="701" spans="1:19" x14ac:dyDescent="0.3">
      <c r="A701" s="44" t="s">
        <v>1818</v>
      </c>
      <c r="B701" s="44" t="s">
        <v>68</v>
      </c>
      <c r="C701" s="44" t="s">
        <v>26</v>
      </c>
      <c r="D701" s="44" t="s">
        <v>345</v>
      </c>
      <c r="E701" s="44" t="s">
        <v>1035</v>
      </c>
      <c r="F701" s="44"/>
      <c r="G701" s="44" t="s">
        <v>1592</v>
      </c>
      <c r="H701" s="44" t="s">
        <v>1117</v>
      </c>
      <c r="I701" s="44" t="s">
        <v>1106</v>
      </c>
      <c r="J701" s="44">
        <v>234</v>
      </c>
      <c r="K701" s="44" t="s">
        <v>1593</v>
      </c>
      <c r="L701" s="44"/>
      <c r="M701" s="44" t="s">
        <v>1586</v>
      </c>
      <c r="N701" s="45">
        <v>184962368</v>
      </c>
      <c r="O701" s="46">
        <f t="shared" si="20"/>
        <v>184962.36799999999</v>
      </c>
      <c r="P701" s="47">
        <f>LUCK!E75</f>
        <v>184962.36799999999</v>
      </c>
      <c r="Q701" s="44" t="str">
        <f t="shared" si="21"/>
        <v>PASS</v>
      </c>
      <c r="R701" s="44" t="s">
        <v>1587</v>
      </c>
      <c r="S701" s="44"/>
    </row>
    <row r="702" spans="1:19" x14ac:dyDescent="0.3">
      <c r="A702" s="44" t="s">
        <v>1819</v>
      </c>
      <c r="B702" s="44" t="s">
        <v>68</v>
      </c>
      <c r="C702" s="44" t="s">
        <v>27</v>
      </c>
      <c r="D702" s="44" t="s">
        <v>345</v>
      </c>
      <c r="E702" s="44" t="s">
        <v>1035</v>
      </c>
      <c r="F702" s="44"/>
      <c r="G702" s="44" t="s">
        <v>1595</v>
      </c>
      <c r="H702" s="44" t="s">
        <v>1120</v>
      </c>
      <c r="I702" s="44" t="s">
        <v>1106</v>
      </c>
      <c r="J702" s="44">
        <v>238</v>
      </c>
      <c r="K702" s="44" t="s">
        <v>1596</v>
      </c>
      <c r="L702" s="44"/>
      <c r="M702" s="44" t="s">
        <v>1586</v>
      </c>
      <c r="N702" s="45">
        <v>213079067</v>
      </c>
      <c r="O702" s="46">
        <f t="shared" si="20"/>
        <v>213079.06700000001</v>
      </c>
      <c r="P702" s="47">
        <f>LUCK!F75</f>
        <v>213079.06700000001</v>
      </c>
      <c r="Q702" s="44" t="str">
        <f t="shared" si="21"/>
        <v>PASS</v>
      </c>
      <c r="R702" s="44" t="s">
        <v>1587</v>
      </c>
      <c r="S702" s="44"/>
    </row>
    <row r="703" spans="1:19" x14ac:dyDescent="0.3">
      <c r="A703" s="44" t="s">
        <v>1820</v>
      </c>
      <c r="B703" s="44" t="s">
        <v>68</v>
      </c>
      <c r="C703" s="44" t="s">
        <v>28</v>
      </c>
      <c r="D703" s="44" t="s">
        <v>345</v>
      </c>
      <c r="E703" s="44" t="s">
        <v>1035</v>
      </c>
      <c r="F703" s="44"/>
      <c r="G703" s="44" t="s">
        <v>1598</v>
      </c>
      <c r="H703" s="44" t="s">
        <v>1124</v>
      </c>
      <c r="I703" s="44" t="s">
        <v>1106</v>
      </c>
      <c r="J703" s="44">
        <v>240</v>
      </c>
      <c r="K703" s="44" t="s">
        <v>1599</v>
      </c>
      <c r="L703" s="44"/>
      <c r="M703" s="44" t="s">
        <v>1586</v>
      </c>
      <c r="N703" s="45">
        <v>234018090</v>
      </c>
      <c r="O703" s="46">
        <f t="shared" si="20"/>
        <v>234018.09</v>
      </c>
      <c r="P703" s="47">
        <f>LUCK!G75</f>
        <v>234018.09</v>
      </c>
      <c r="Q703" s="44" t="str">
        <f t="shared" si="21"/>
        <v>PASS</v>
      </c>
      <c r="R703" s="44" t="s">
        <v>1587</v>
      </c>
      <c r="S703" s="44"/>
    </row>
    <row r="704" spans="1:19" x14ac:dyDescent="0.3">
      <c r="A704" s="44" t="s">
        <v>1821</v>
      </c>
      <c r="B704" s="44" t="s">
        <v>68</v>
      </c>
      <c r="C704" s="44" t="s">
        <v>29</v>
      </c>
      <c r="D704" s="44" t="s">
        <v>345</v>
      </c>
      <c r="E704" s="44" t="s">
        <v>1035</v>
      </c>
      <c r="F704" s="44"/>
      <c r="G704" s="44" t="s">
        <v>1598</v>
      </c>
      <c r="H704" s="44" t="s">
        <v>1124</v>
      </c>
      <c r="I704" s="44" t="s">
        <v>1127</v>
      </c>
      <c r="J704" s="44">
        <v>240</v>
      </c>
      <c r="K704" s="44" t="s">
        <v>1599</v>
      </c>
      <c r="L704" s="44"/>
      <c r="M704" s="44" t="s">
        <v>1586</v>
      </c>
      <c r="N704" s="45">
        <v>266748030</v>
      </c>
      <c r="O704" s="46">
        <f t="shared" si="20"/>
        <v>266748.03000000003</v>
      </c>
      <c r="P704" s="47">
        <f>LUCK!H75</f>
        <v>266748.03000000003</v>
      </c>
      <c r="Q704" s="44" t="str">
        <f t="shared" si="21"/>
        <v>PASS</v>
      </c>
      <c r="R704" s="44" t="s">
        <v>1587</v>
      </c>
      <c r="S704" s="44"/>
    </row>
    <row r="705" spans="1:19" x14ac:dyDescent="0.3">
      <c r="A705" s="44" t="s">
        <v>1822</v>
      </c>
      <c r="B705" s="44" t="s">
        <v>68</v>
      </c>
      <c r="C705" s="44" t="s">
        <v>965</v>
      </c>
      <c r="D705" s="44" t="s">
        <v>347</v>
      </c>
      <c r="E705" s="44" t="s">
        <v>1035</v>
      </c>
      <c r="F705" s="44"/>
      <c r="G705" s="44" t="s">
        <v>1584</v>
      </c>
      <c r="H705" s="44" t="s">
        <v>1105</v>
      </c>
      <c r="I705" s="44" t="s">
        <v>1106</v>
      </c>
      <c r="J705" s="44">
        <v>191</v>
      </c>
      <c r="K705" s="44" t="s">
        <v>1107</v>
      </c>
      <c r="L705" s="44"/>
      <c r="M705" s="44" t="s">
        <v>1586</v>
      </c>
      <c r="N705" s="45">
        <v>99183861</v>
      </c>
      <c r="O705" s="46">
        <f t="shared" ref="O705:O768" si="22">N705/1000</f>
        <v>99183.861000000004</v>
      </c>
      <c r="P705" s="47">
        <f>LUCK!C76</f>
        <v>99183.861000000004</v>
      </c>
      <c r="Q705" s="44" t="str">
        <f t="shared" si="21"/>
        <v>PASS</v>
      </c>
      <c r="R705" s="44" t="s">
        <v>1587</v>
      </c>
      <c r="S705" s="44"/>
    </row>
    <row r="706" spans="1:19" x14ac:dyDescent="0.3">
      <c r="A706" s="44" t="s">
        <v>1823</v>
      </c>
      <c r="B706" s="44" t="s">
        <v>68</v>
      </c>
      <c r="C706" s="44" t="s">
        <v>20</v>
      </c>
      <c r="D706" s="44" t="s">
        <v>347</v>
      </c>
      <c r="E706" s="44" t="s">
        <v>1035</v>
      </c>
      <c r="F706" s="44"/>
      <c r="G706" s="44" t="s">
        <v>1589</v>
      </c>
      <c r="H706" s="44" t="s">
        <v>1113</v>
      </c>
      <c r="I706" s="44" t="s">
        <v>1106</v>
      </c>
      <c r="J706" s="44">
        <v>226</v>
      </c>
      <c r="K706" s="44" t="s">
        <v>1590</v>
      </c>
      <c r="L706" s="44"/>
      <c r="M706" s="44" t="s">
        <v>1586</v>
      </c>
      <c r="N706" s="45">
        <v>113200258</v>
      </c>
      <c r="O706" s="46">
        <f t="shared" si="22"/>
        <v>113200.258</v>
      </c>
      <c r="P706" s="47">
        <f>LUCK!D76</f>
        <v>113200.258</v>
      </c>
      <c r="Q706" s="44" t="str">
        <f t="shared" si="21"/>
        <v>PASS</v>
      </c>
      <c r="R706" s="44" t="s">
        <v>1587</v>
      </c>
      <c r="S706" s="44"/>
    </row>
    <row r="707" spans="1:19" x14ac:dyDescent="0.3">
      <c r="A707" s="44" t="s">
        <v>1824</v>
      </c>
      <c r="B707" s="44" t="s">
        <v>68</v>
      </c>
      <c r="C707" s="44" t="s">
        <v>26</v>
      </c>
      <c r="D707" s="44" t="s">
        <v>347</v>
      </c>
      <c r="E707" s="44" t="s">
        <v>1035</v>
      </c>
      <c r="F707" s="44"/>
      <c r="G707" s="44" t="s">
        <v>1592</v>
      </c>
      <c r="H707" s="44" t="s">
        <v>1117</v>
      </c>
      <c r="I707" s="44" t="s">
        <v>1106</v>
      </c>
      <c r="J707" s="44">
        <v>234</v>
      </c>
      <c r="K707" s="44" t="s">
        <v>1593</v>
      </c>
      <c r="L707" s="44"/>
      <c r="M707" s="44" t="s">
        <v>1586</v>
      </c>
      <c r="N707" s="45">
        <v>128540324</v>
      </c>
      <c r="O707" s="46">
        <f t="shared" si="22"/>
        <v>128540.32399999999</v>
      </c>
      <c r="P707" s="47">
        <f>LUCK!E76</f>
        <v>128540.32399999999</v>
      </c>
      <c r="Q707" s="44" t="str">
        <f t="shared" si="21"/>
        <v>PASS</v>
      </c>
      <c r="R707" s="44" t="s">
        <v>1587</v>
      </c>
      <c r="S707" s="44"/>
    </row>
    <row r="708" spans="1:19" x14ac:dyDescent="0.3">
      <c r="A708" s="44" t="s">
        <v>1825</v>
      </c>
      <c r="B708" s="44" t="s">
        <v>68</v>
      </c>
      <c r="C708" s="44" t="s">
        <v>27</v>
      </c>
      <c r="D708" s="44" t="s">
        <v>347</v>
      </c>
      <c r="E708" s="44" t="s">
        <v>1035</v>
      </c>
      <c r="F708" s="44"/>
      <c r="G708" s="44" t="s">
        <v>1595</v>
      </c>
      <c r="H708" s="44" t="s">
        <v>1120</v>
      </c>
      <c r="I708" s="44" t="s">
        <v>1106</v>
      </c>
      <c r="J708" s="44">
        <v>238</v>
      </c>
      <c r="K708" s="44" t="s">
        <v>1596</v>
      </c>
      <c r="L708" s="44"/>
      <c r="M708" s="44" t="s">
        <v>1586</v>
      </c>
      <c r="N708" s="45">
        <v>137366326</v>
      </c>
      <c r="O708" s="46">
        <f t="shared" si="22"/>
        <v>137366.326</v>
      </c>
      <c r="P708" s="47">
        <f>LUCK!F76</f>
        <v>137366.326</v>
      </c>
      <c r="Q708" s="44" t="str">
        <f t="shared" si="21"/>
        <v>PASS</v>
      </c>
      <c r="R708" s="44" t="s">
        <v>1587</v>
      </c>
      <c r="S708" s="44"/>
    </row>
    <row r="709" spans="1:19" x14ac:dyDescent="0.3">
      <c r="A709" s="44" t="s">
        <v>1826</v>
      </c>
      <c r="B709" s="44" t="s">
        <v>68</v>
      </c>
      <c r="C709" s="44" t="s">
        <v>28</v>
      </c>
      <c r="D709" s="44" t="s">
        <v>347</v>
      </c>
      <c r="E709" s="44" t="s">
        <v>1035</v>
      </c>
      <c r="F709" s="44"/>
      <c r="G709" s="44" t="s">
        <v>1598</v>
      </c>
      <c r="H709" s="44" t="s">
        <v>1124</v>
      </c>
      <c r="I709" s="44" t="s">
        <v>1106</v>
      </c>
      <c r="J709" s="44">
        <v>240</v>
      </c>
      <c r="K709" s="44" t="s">
        <v>1599</v>
      </c>
      <c r="L709" s="44"/>
      <c r="M709" s="44" t="s">
        <v>1586</v>
      </c>
      <c r="N709" s="45">
        <v>147761277</v>
      </c>
      <c r="O709" s="46">
        <f t="shared" si="22"/>
        <v>147761.277</v>
      </c>
      <c r="P709" s="47">
        <f>LUCK!G76</f>
        <v>147761.277</v>
      </c>
      <c r="Q709" s="44" t="str">
        <f t="shared" si="21"/>
        <v>PASS</v>
      </c>
      <c r="R709" s="44" t="s">
        <v>1587</v>
      </c>
      <c r="S709" s="44"/>
    </row>
    <row r="710" spans="1:19" x14ac:dyDescent="0.3">
      <c r="A710" s="44" t="s">
        <v>1827</v>
      </c>
      <c r="B710" s="44" t="s">
        <v>68</v>
      </c>
      <c r="C710" s="44" t="s">
        <v>29</v>
      </c>
      <c r="D710" s="44" t="s">
        <v>347</v>
      </c>
      <c r="E710" s="44" t="s">
        <v>1035</v>
      </c>
      <c r="F710" s="44"/>
      <c r="G710" s="44" t="s">
        <v>1598</v>
      </c>
      <c r="H710" s="44" t="s">
        <v>1124</v>
      </c>
      <c r="I710" s="44" t="s">
        <v>1127</v>
      </c>
      <c r="J710" s="44">
        <v>240</v>
      </c>
      <c r="K710" s="44" t="s">
        <v>1599</v>
      </c>
      <c r="L710" s="44"/>
      <c r="M710" s="44" t="s">
        <v>1586</v>
      </c>
      <c r="N710" s="45">
        <v>175910400</v>
      </c>
      <c r="O710" s="46">
        <f t="shared" si="22"/>
        <v>175910.39999999999</v>
      </c>
      <c r="P710" s="47">
        <f>LUCK!H76</f>
        <v>175910.39999999999</v>
      </c>
      <c r="Q710" s="44" t="str">
        <f t="shared" si="21"/>
        <v>PASS</v>
      </c>
      <c r="R710" s="44" t="s">
        <v>1587</v>
      </c>
      <c r="S710" s="44"/>
    </row>
    <row r="711" spans="1:19" x14ac:dyDescent="0.3">
      <c r="A711" s="44" t="s">
        <v>1828</v>
      </c>
      <c r="B711" s="44" t="s">
        <v>68</v>
      </c>
      <c r="C711" s="44" t="s">
        <v>965</v>
      </c>
      <c r="D711" s="44" t="s">
        <v>349</v>
      </c>
      <c r="E711" s="44" t="s">
        <v>1035</v>
      </c>
      <c r="F711" s="44"/>
      <c r="G711" s="44" t="s">
        <v>1584</v>
      </c>
      <c r="H711" s="44" t="s">
        <v>1105</v>
      </c>
      <c r="I711" s="44" t="s">
        <v>1106</v>
      </c>
      <c r="J711" s="44">
        <v>191</v>
      </c>
      <c r="K711" s="44" t="s">
        <v>1107</v>
      </c>
      <c r="L711" s="44"/>
      <c r="M711" s="44" t="s">
        <v>1586</v>
      </c>
      <c r="N711" s="45">
        <v>28374913</v>
      </c>
      <c r="O711" s="46">
        <f t="shared" si="22"/>
        <v>28374.913</v>
      </c>
      <c r="P711" s="47">
        <f>LUCK!C77</f>
        <v>28374.913</v>
      </c>
      <c r="Q711" s="44" t="str">
        <f t="shared" si="21"/>
        <v>PASS</v>
      </c>
      <c r="R711" s="44" t="s">
        <v>1587</v>
      </c>
      <c r="S711" s="44"/>
    </row>
    <row r="712" spans="1:19" x14ac:dyDescent="0.3">
      <c r="A712" s="44" t="s">
        <v>1829</v>
      </c>
      <c r="B712" s="44" t="s">
        <v>68</v>
      </c>
      <c r="C712" s="44" t="s">
        <v>20</v>
      </c>
      <c r="D712" s="44" t="s">
        <v>349</v>
      </c>
      <c r="E712" s="44" t="s">
        <v>1035</v>
      </c>
      <c r="F712" s="44"/>
      <c r="G712" s="44" t="s">
        <v>1589</v>
      </c>
      <c r="H712" s="44" t="s">
        <v>1113</v>
      </c>
      <c r="I712" s="44" t="s">
        <v>1106</v>
      </c>
      <c r="J712" s="44">
        <v>226</v>
      </c>
      <c r="K712" s="44" t="s">
        <v>1590</v>
      </c>
      <c r="L712" s="44"/>
      <c r="M712" s="44" t="s">
        <v>1586</v>
      </c>
      <c r="N712" s="45">
        <v>40676368</v>
      </c>
      <c r="O712" s="46">
        <f t="shared" si="22"/>
        <v>40676.368000000002</v>
      </c>
      <c r="P712" s="47">
        <f>LUCK!D77</f>
        <v>40676.368000000002</v>
      </c>
      <c r="Q712" s="44" t="str">
        <f t="shared" si="21"/>
        <v>PASS</v>
      </c>
      <c r="R712" s="44" t="s">
        <v>1587</v>
      </c>
      <c r="S712" s="44"/>
    </row>
    <row r="713" spans="1:19" x14ac:dyDescent="0.3">
      <c r="A713" s="44" t="s">
        <v>1830</v>
      </c>
      <c r="B713" s="44" t="s">
        <v>68</v>
      </c>
      <c r="C713" s="44" t="s">
        <v>26</v>
      </c>
      <c r="D713" s="44" t="s">
        <v>349</v>
      </c>
      <c r="E713" s="44" t="s">
        <v>1035</v>
      </c>
      <c r="F713" s="44"/>
      <c r="G713" s="44" t="s">
        <v>1592</v>
      </c>
      <c r="H713" s="44" t="s">
        <v>1117</v>
      </c>
      <c r="I713" s="44" t="s">
        <v>1106</v>
      </c>
      <c r="J713" s="44">
        <v>234</v>
      </c>
      <c r="K713" s="44" t="s">
        <v>1593</v>
      </c>
      <c r="L713" s="44"/>
      <c r="M713" s="44" t="s">
        <v>1586</v>
      </c>
      <c r="N713" s="45">
        <v>44815691</v>
      </c>
      <c r="O713" s="46">
        <f t="shared" si="22"/>
        <v>44815.690999999999</v>
      </c>
      <c r="P713" s="47">
        <f>LUCK!E77</f>
        <v>44815.690999999999</v>
      </c>
      <c r="Q713" s="44" t="str">
        <f t="shared" si="21"/>
        <v>PASS</v>
      </c>
      <c r="R713" s="44" t="s">
        <v>1587</v>
      </c>
      <c r="S713" s="44"/>
    </row>
    <row r="714" spans="1:19" x14ac:dyDescent="0.3">
      <c r="A714" s="44" t="s">
        <v>1831</v>
      </c>
      <c r="B714" s="44" t="s">
        <v>68</v>
      </c>
      <c r="C714" s="44" t="s">
        <v>27</v>
      </c>
      <c r="D714" s="44" t="s">
        <v>349</v>
      </c>
      <c r="E714" s="44" t="s">
        <v>1035</v>
      </c>
      <c r="F714" s="44"/>
      <c r="G714" s="44" t="s">
        <v>1595</v>
      </c>
      <c r="H714" s="44" t="s">
        <v>1120</v>
      </c>
      <c r="I714" s="44" t="s">
        <v>1106</v>
      </c>
      <c r="J714" s="44">
        <v>238</v>
      </c>
      <c r="K714" s="44" t="s">
        <v>1596</v>
      </c>
      <c r="L714" s="44"/>
      <c r="M714" s="44" t="s">
        <v>1586</v>
      </c>
      <c r="N714" s="45">
        <v>59576642</v>
      </c>
      <c r="O714" s="46">
        <f t="shared" si="22"/>
        <v>59576.642</v>
      </c>
      <c r="P714" s="47">
        <f>LUCK!F77</f>
        <v>59576.642</v>
      </c>
      <c r="Q714" s="44" t="str">
        <f t="shared" si="21"/>
        <v>PASS</v>
      </c>
      <c r="R714" s="44" t="s">
        <v>1587</v>
      </c>
      <c r="S714" s="44"/>
    </row>
    <row r="715" spans="1:19" x14ac:dyDescent="0.3">
      <c r="A715" s="44" t="s">
        <v>1832</v>
      </c>
      <c r="B715" s="44" t="s">
        <v>68</v>
      </c>
      <c r="C715" s="44" t="s">
        <v>28</v>
      </c>
      <c r="D715" s="44" t="s">
        <v>349</v>
      </c>
      <c r="E715" s="44" t="s">
        <v>1035</v>
      </c>
      <c r="F715" s="44"/>
      <c r="G715" s="44" t="s">
        <v>1598</v>
      </c>
      <c r="H715" s="44" t="s">
        <v>1124</v>
      </c>
      <c r="I715" s="44" t="s">
        <v>1106</v>
      </c>
      <c r="J715" s="44">
        <v>240</v>
      </c>
      <c r="K715" s="44" t="s">
        <v>1599</v>
      </c>
      <c r="L715" s="44"/>
      <c r="M715" s="44" t="s">
        <v>1586</v>
      </c>
      <c r="N715" s="45">
        <v>68452084</v>
      </c>
      <c r="O715" s="46">
        <f t="shared" si="22"/>
        <v>68452.084000000003</v>
      </c>
      <c r="P715" s="47">
        <f>LUCK!G77</f>
        <v>68452.084000000003</v>
      </c>
      <c r="Q715" s="44" t="str">
        <f t="shared" si="21"/>
        <v>PASS</v>
      </c>
      <c r="R715" s="44" t="s">
        <v>1587</v>
      </c>
      <c r="S715" s="44"/>
    </row>
    <row r="716" spans="1:19" x14ac:dyDescent="0.3">
      <c r="A716" s="44" t="s">
        <v>1833</v>
      </c>
      <c r="B716" s="44" t="s">
        <v>68</v>
      </c>
      <c r="C716" s="44" t="s">
        <v>29</v>
      </c>
      <c r="D716" s="44" t="s">
        <v>349</v>
      </c>
      <c r="E716" s="44" t="s">
        <v>1035</v>
      </c>
      <c r="F716" s="44"/>
      <c r="G716" s="44" t="s">
        <v>1598</v>
      </c>
      <c r="H716" s="44" t="s">
        <v>1124</v>
      </c>
      <c r="I716" s="44" t="s">
        <v>1127</v>
      </c>
      <c r="J716" s="44">
        <v>240</v>
      </c>
      <c r="K716" s="44" t="s">
        <v>1599</v>
      </c>
      <c r="L716" s="44"/>
      <c r="M716" s="44" t="s">
        <v>1586</v>
      </c>
      <c r="N716" s="45">
        <v>100547359</v>
      </c>
      <c r="O716" s="46">
        <f t="shared" si="22"/>
        <v>100547.359</v>
      </c>
      <c r="P716" s="47">
        <f>LUCK!H77</f>
        <v>100547.359</v>
      </c>
      <c r="Q716" s="44" t="str">
        <f t="shared" si="21"/>
        <v>PASS</v>
      </c>
      <c r="R716" s="44" t="s">
        <v>1587</v>
      </c>
      <c r="S716" s="44"/>
    </row>
    <row r="717" spans="1:19" x14ac:dyDescent="0.3">
      <c r="A717" s="44" t="s">
        <v>1834</v>
      </c>
      <c r="B717" s="44" t="s">
        <v>68</v>
      </c>
      <c r="C717" s="44" t="s">
        <v>965</v>
      </c>
      <c r="D717" s="44" t="s">
        <v>351</v>
      </c>
      <c r="E717" s="44" t="s">
        <v>1035</v>
      </c>
      <c r="F717" s="44"/>
      <c r="G717" s="44" t="s">
        <v>1584</v>
      </c>
      <c r="H717" s="44" t="s">
        <v>1105</v>
      </c>
      <c r="I717" s="44" t="s">
        <v>1106</v>
      </c>
      <c r="J717" s="44">
        <v>191</v>
      </c>
      <c r="K717" s="44" t="s">
        <v>1107</v>
      </c>
      <c r="L717" s="44"/>
      <c r="M717" s="44" t="s">
        <v>1586</v>
      </c>
      <c r="N717" s="45">
        <v>28955352</v>
      </c>
      <c r="O717" s="46">
        <f t="shared" si="22"/>
        <v>28955.351999999999</v>
      </c>
      <c r="P717" s="47">
        <f>LUCK!C78</f>
        <v>28955.351999999999</v>
      </c>
      <c r="Q717" s="44" t="str">
        <f t="shared" si="21"/>
        <v>PASS</v>
      </c>
      <c r="R717" s="44" t="s">
        <v>1587</v>
      </c>
      <c r="S717" s="44"/>
    </row>
    <row r="718" spans="1:19" x14ac:dyDescent="0.3">
      <c r="A718" s="44" t="s">
        <v>1835</v>
      </c>
      <c r="B718" s="44" t="s">
        <v>68</v>
      </c>
      <c r="C718" s="44" t="s">
        <v>20</v>
      </c>
      <c r="D718" s="44" t="s">
        <v>351</v>
      </c>
      <c r="E718" s="44" t="s">
        <v>1035</v>
      </c>
      <c r="F718" s="44"/>
      <c r="G718" s="44" t="s">
        <v>1589</v>
      </c>
      <c r="H718" s="44" t="s">
        <v>1113</v>
      </c>
      <c r="I718" s="44" t="s">
        <v>1106</v>
      </c>
      <c r="J718" s="44">
        <v>226</v>
      </c>
      <c r="K718" s="44" t="s">
        <v>1590</v>
      </c>
      <c r="L718" s="44"/>
      <c r="M718" s="44" t="s">
        <v>1586</v>
      </c>
      <c r="N718" s="45">
        <v>30387066</v>
      </c>
      <c r="O718" s="46">
        <f t="shared" si="22"/>
        <v>30387.065999999999</v>
      </c>
      <c r="P718" s="47">
        <f>LUCK!D78</f>
        <v>30387.065999999999</v>
      </c>
      <c r="Q718" s="44" t="str">
        <f t="shared" si="21"/>
        <v>PASS</v>
      </c>
      <c r="R718" s="44" t="s">
        <v>1587</v>
      </c>
      <c r="S718" s="44"/>
    </row>
    <row r="719" spans="1:19" x14ac:dyDescent="0.3">
      <c r="A719" s="44" t="s">
        <v>1836</v>
      </c>
      <c r="B719" s="44" t="s">
        <v>68</v>
      </c>
      <c r="C719" s="44" t="s">
        <v>26</v>
      </c>
      <c r="D719" s="44" t="s">
        <v>351</v>
      </c>
      <c r="E719" s="44" t="s">
        <v>1035</v>
      </c>
      <c r="F719" s="44"/>
      <c r="G719" s="44" t="s">
        <v>1592</v>
      </c>
      <c r="H719" s="44" t="s">
        <v>1117</v>
      </c>
      <c r="I719" s="44" t="s">
        <v>1106</v>
      </c>
      <c r="J719" s="44">
        <v>234</v>
      </c>
      <c r="K719" s="44" t="s">
        <v>1593</v>
      </c>
      <c r="L719" s="44"/>
      <c r="M719" s="44" t="s">
        <v>1586</v>
      </c>
      <c r="N719" s="45">
        <v>30361358</v>
      </c>
      <c r="O719" s="46">
        <f t="shared" si="22"/>
        <v>30361.358</v>
      </c>
      <c r="P719" s="47">
        <f>LUCK!E78</f>
        <v>30361.358</v>
      </c>
      <c r="Q719" s="44" t="str">
        <f t="shared" ref="Q719:Q782" si="23">IF(ABS(O719-P719)&lt;0.000001,"PASS","FAIL")</f>
        <v>PASS</v>
      </c>
      <c r="R719" s="44" t="s">
        <v>1587</v>
      </c>
      <c r="S719" s="44"/>
    </row>
    <row r="720" spans="1:19" x14ac:dyDescent="0.3">
      <c r="A720" s="44" t="s">
        <v>1837</v>
      </c>
      <c r="B720" s="44" t="s">
        <v>68</v>
      </c>
      <c r="C720" s="44" t="s">
        <v>27</v>
      </c>
      <c r="D720" s="44" t="s">
        <v>351</v>
      </c>
      <c r="E720" s="44" t="s">
        <v>1035</v>
      </c>
      <c r="F720" s="44"/>
      <c r="G720" s="44" t="s">
        <v>1595</v>
      </c>
      <c r="H720" s="44" t="s">
        <v>1120</v>
      </c>
      <c r="I720" s="44" t="s">
        <v>1106</v>
      </c>
      <c r="J720" s="44">
        <v>238</v>
      </c>
      <c r="K720" s="44" t="s">
        <v>1596</v>
      </c>
      <c r="L720" s="44"/>
      <c r="M720" s="44" t="s">
        <v>1586</v>
      </c>
      <c r="N720" s="45">
        <v>46180879</v>
      </c>
      <c r="O720" s="46">
        <f t="shared" si="22"/>
        <v>46180.879000000001</v>
      </c>
      <c r="P720" s="47">
        <f>LUCK!F78</f>
        <v>46180.879000000001</v>
      </c>
      <c r="Q720" s="44" t="str">
        <f t="shared" si="23"/>
        <v>PASS</v>
      </c>
      <c r="R720" s="44" t="s">
        <v>1587</v>
      </c>
      <c r="S720" s="44"/>
    </row>
    <row r="721" spans="1:19" x14ac:dyDescent="0.3">
      <c r="A721" s="44" t="s">
        <v>1838</v>
      </c>
      <c r="B721" s="44" t="s">
        <v>68</v>
      </c>
      <c r="C721" s="44" t="s">
        <v>28</v>
      </c>
      <c r="D721" s="44" t="s">
        <v>351</v>
      </c>
      <c r="E721" s="44" t="s">
        <v>1035</v>
      </c>
      <c r="F721" s="44"/>
      <c r="G721" s="44" t="s">
        <v>1598</v>
      </c>
      <c r="H721" s="44" t="s">
        <v>1124</v>
      </c>
      <c r="I721" s="44" t="s">
        <v>1106</v>
      </c>
      <c r="J721" s="44">
        <v>240</v>
      </c>
      <c r="K721" s="44" t="s">
        <v>1599</v>
      </c>
      <c r="L721" s="44"/>
      <c r="M721" s="44" t="s">
        <v>1586</v>
      </c>
      <c r="N721" s="45">
        <v>54188473</v>
      </c>
      <c r="O721" s="46">
        <f t="shared" si="22"/>
        <v>54188.472999999998</v>
      </c>
      <c r="P721" s="47">
        <f>LUCK!G78</f>
        <v>54188.472999999998</v>
      </c>
      <c r="Q721" s="44" t="str">
        <f t="shared" si="23"/>
        <v>PASS</v>
      </c>
      <c r="R721" s="44" t="s">
        <v>1587</v>
      </c>
      <c r="S721" s="44"/>
    </row>
    <row r="722" spans="1:19" x14ac:dyDescent="0.3">
      <c r="A722" s="44" t="s">
        <v>1839</v>
      </c>
      <c r="B722" s="44" t="s">
        <v>68</v>
      </c>
      <c r="C722" s="44" t="s">
        <v>29</v>
      </c>
      <c r="D722" s="44" t="s">
        <v>351</v>
      </c>
      <c r="E722" s="44" t="s">
        <v>1035</v>
      </c>
      <c r="F722" s="44"/>
      <c r="G722" s="44" t="s">
        <v>1598</v>
      </c>
      <c r="H722" s="44" t="s">
        <v>1124</v>
      </c>
      <c r="I722" s="44" t="s">
        <v>1127</v>
      </c>
      <c r="J722" s="44">
        <v>240</v>
      </c>
      <c r="K722" s="44" t="s">
        <v>1599</v>
      </c>
      <c r="L722" s="44"/>
      <c r="M722" s="44" t="s">
        <v>1586</v>
      </c>
      <c r="N722" s="45">
        <v>58641383</v>
      </c>
      <c r="O722" s="46">
        <f t="shared" si="22"/>
        <v>58641.383000000002</v>
      </c>
      <c r="P722" s="47">
        <f>LUCK!H78</f>
        <v>58641.383000000002</v>
      </c>
      <c r="Q722" s="44" t="str">
        <f t="shared" si="23"/>
        <v>PASS</v>
      </c>
      <c r="R722" s="44" t="s">
        <v>1587</v>
      </c>
      <c r="S722" s="44"/>
    </row>
    <row r="723" spans="1:19" x14ac:dyDescent="0.3">
      <c r="A723" s="44" t="s">
        <v>1840</v>
      </c>
      <c r="B723" s="44" t="s">
        <v>68</v>
      </c>
      <c r="C723" s="44" t="s">
        <v>20</v>
      </c>
      <c r="D723" s="44" t="s">
        <v>358</v>
      </c>
      <c r="E723" s="44" t="s">
        <v>1381</v>
      </c>
      <c r="F723" s="44" t="s">
        <v>1841</v>
      </c>
      <c r="G723" s="44" t="s">
        <v>1589</v>
      </c>
      <c r="H723" s="44" t="s">
        <v>1113</v>
      </c>
      <c r="I723" s="44" t="s">
        <v>1106</v>
      </c>
      <c r="J723" s="44">
        <v>227</v>
      </c>
      <c r="K723" s="44" t="s">
        <v>1842</v>
      </c>
      <c r="L723" s="44"/>
      <c r="M723" s="44" t="s">
        <v>1586</v>
      </c>
      <c r="N723" s="45">
        <v>62940805</v>
      </c>
      <c r="O723" s="46">
        <f t="shared" si="22"/>
        <v>62940.805</v>
      </c>
      <c r="P723" s="47">
        <f>LUCK!D84</f>
        <v>62940.805</v>
      </c>
      <c r="Q723" s="44" t="str">
        <f t="shared" si="23"/>
        <v>PASS</v>
      </c>
      <c r="R723" s="44" t="s">
        <v>1587</v>
      </c>
      <c r="S723" s="44"/>
    </row>
    <row r="724" spans="1:19" x14ac:dyDescent="0.3">
      <c r="A724" s="44" t="s">
        <v>1843</v>
      </c>
      <c r="B724" s="44" t="s">
        <v>68</v>
      </c>
      <c r="C724" s="44" t="s">
        <v>26</v>
      </c>
      <c r="D724" s="44" t="s">
        <v>358</v>
      </c>
      <c r="E724" s="44" t="s">
        <v>1381</v>
      </c>
      <c r="F724" s="44" t="s">
        <v>1841</v>
      </c>
      <c r="G724" s="44" t="s">
        <v>1592</v>
      </c>
      <c r="H724" s="44" t="s">
        <v>1117</v>
      </c>
      <c r="I724" s="44" t="s">
        <v>1106</v>
      </c>
      <c r="J724" s="44">
        <v>235</v>
      </c>
      <c r="K724" s="44" t="s">
        <v>1844</v>
      </c>
      <c r="L724" s="44"/>
      <c r="M724" s="44" t="s">
        <v>1586</v>
      </c>
      <c r="N724" s="45">
        <v>81093525</v>
      </c>
      <c r="O724" s="46">
        <f t="shared" si="22"/>
        <v>81093.524999999994</v>
      </c>
      <c r="P724" s="47">
        <f>LUCK!E84</f>
        <v>81093.524999999994</v>
      </c>
      <c r="Q724" s="44" t="str">
        <f t="shared" si="23"/>
        <v>PASS</v>
      </c>
      <c r="R724" s="44" t="s">
        <v>1587</v>
      </c>
      <c r="S724" s="44"/>
    </row>
    <row r="725" spans="1:19" x14ac:dyDescent="0.3">
      <c r="A725" s="44" t="s">
        <v>1845</v>
      </c>
      <c r="B725" s="44" t="s">
        <v>68</v>
      </c>
      <c r="C725" s="44" t="s">
        <v>27</v>
      </c>
      <c r="D725" s="44" t="s">
        <v>358</v>
      </c>
      <c r="E725" s="44" t="s">
        <v>1381</v>
      </c>
      <c r="F725" s="44" t="s">
        <v>1841</v>
      </c>
      <c r="G725" s="44" t="s">
        <v>1595</v>
      </c>
      <c r="H725" s="44" t="s">
        <v>1120</v>
      </c>
      <c r="I725" s="44" t="s">
        <v>1106</v>
      </c>
      <c r="J725" s="44">
        <v>239</v>
      </c>
      <c r="K725" s="44" t="s">
        <v>1846</v>
      </c>
      <c r="L725" s="44"/>
      <c r="M725" s="44" t="s">
        <v>1586</v>
      </c>
      <c r="N725" s="45">
        <v>95832147</v>
      </c>
      <c r="O725" s="46">
        <f t="shared" si="22"/>
        <v>95832.146999999997</v>
      </c>
      <c r="P725" s="47">
        <f>LUCK!F84</f>
        <v>95832.146999999997</v>
      </c>
      <c r="Q725" s="44" t="str">
        <f t="shared" si="23"/>
        <v>PASS</v>
      </c>
      <c r="R725" s="44" t="s">
        <v>1587</v>
      </c>
      <c r="S725" s="44"/>
    </row>
    <row r="726" spans="1:19" x14ac:dyDescent="0.3">
      <c r="A726" s="44" t="s">
        <v>1847</v>
      </c>
      <c r="B726" s="44" t="s">
        <v>68</v>
      </c>
      <c r="C726" s="44" t="s">
        <v>28</v>
      </c>
      <c r="D726" s="44" t="s">
        <v>358</v>
      </c>
      <c r="E726" s="44" t="s">
        <v>1381</v>
      </c>
      <c r="F726" s="44" t="s">
        <v>1848</v>
      </c>
      <c r="G726" s="44" t="s">
        <v>1598</v>
      </c>
      <c r="H726" s="44" t="s">
        <v>1124</v>
      </c>
      <c r="I726" s="44" t="s">
        <v>1106</v>
      </c>
      <c r="J726" s="44">
        <v>241</v>
      </c>
      <c r="K726" s="44" t="s">
        <v>1107</v>
      </c>
      <c r="L726" s="44"/>
      <c r="M726" s="44" t="s">
        <v>1586</v>
      </c>
      <c r="N726" s="45">
        <v>115324942</v>
      </c>
      <c r="O726" s="46">
        <f t="shared" si="22"/>
        <v>115324.942</v>
      </c>
      <c r="P726" s="47">
        <f>LUCK!G84</f>
        <v>115324.942</v>
      </c>
      <c r="Q726" s="44" t="str">
        <f t="shared" si="23"/>
        <v>PASS</v>
      </c>
      <c r="R726" s="44" t="s">
        <v>1587</v>
      </c>
      <c r="S726" s="44"/>
    </row>
    <row r="727" spans="1:19" x14ac:dyDescent="0.3">
      <c r="A727" s="44" t="s">
        <v>1849</v>
      </c>
      <c r="B727" s="44" t="s">
        <v>68</v>
      </c>
      <c r="C727" s="44" t="s">
        <v>29</v>
      </c>
      <c r="D727" s="44" t="s">
        <v>358</v>
      </c>
      <c r="E727" s="44" t="s">
        <v>1381</v>
      </c>
      <c r="F727" s="44" t="s">
        <v>1848</v>
      </c>
      <c r="G727" s="44" t="s">
        <v>1598</v>
      </c>
      <c r="H727" s="44" t="s">
        <v>1124</v>
      </c>
      <c r="I727" s="44" t="s">
        <v>1127</v>
      </c>
      <c r="J727" s="44">
        <v>241</v>
      </c>
      <c r="K727" s="44" t="s">
        <v>1107</v>
      </c>
      <c r="L727" s="44"/>
      <c r="M727" s="44" t="s">
        <v>1586</v>
      </c>
      <c r="N727" s="45">
        <v>124511744</v>
      </c>
      <c r="O727" s="46">
        <f t="shared" si="22"/>
        <v>124511.74400000001</v>
      </c>
      <c r="P727" s="47">
        <f>LUCK!H84</f>
        <v>124511.74400000001</v>
      </c>
      <c r="Q727" s="44" t="str">
        <f t="shared" si="23"/>
        <v>PASS</v>
      </c>
      <c r="R727" s="44" t="s">
        <v>1587</v>
      </c>
      <c r="S727" s="44"/>
    </row>
    <row r="728" spans="1:19" x14ac:dyDescent="0.3">
      <c r="A728" s="44" t="s">
        <v>1850</v>
      </c>
      <c r="B728" s="44" t="s">
        <v>68</v>
      </c>
      <c r="C728" s="44" t="s">
        <v>20</v>
      </c>
      <c r="D728" s="44" t="s">
        <v>360</v>
      </c>
      <c r="E728" s="44" t="s">
        <v>1381</v>
      </c>
      <c r="F728" s="44" t="s">
        <v>360</v>
      </c>
      <c r="G728" s="44" t="s">
        <v>1589</v>
      </c>
      <c r="H728" s="44" t="s">
        <v>1113</v>
      </c>
      <c r="I728" s="44" t="s">
        <v>1106</v>
      </c>
      <c r="J728" s="44">
        <v>227</v>
      </c>
      <c r="K728" s="44" t="s">
        <v>1842</v>
      </c>
      <c r="L728" s="44"/>
      <c r="M728" s="44" t="s">
        <v>1586</v>
      </c>
      <c r="N728" s="45">
        <v>-43984873</v>
      </c>
      <c r="O728" s="46">
        <f t="shared" si="22"/>
        <v>-43984.873</v>
      </c>
      <c r="P728" s="47">
        <f>LUCK!D85</f>
        <v>-43984.873</v>
      </c>
      <c r="Q728" s="44" t="str">
        <f t="shared" si="23"/>
        <v>PASS</v>
      </c>
      <c r="R728" s="44" t="s">
        <v>1587</v>
      </c>
      <c r="S728" s="44"/>
    </row>
    <row r="729" spans="1:19" x14ac:dyDescent="0.3">
      <c r="A729" s="44" t="s">
        <v>1851</v>
      </c>
      <c r="B729" s="44" t="s">
        <v>68</v>
      </c>
      <c r="C729" s="44" t="s">
        <v>26</v>
      </c>
      <c r="D729" s="44" t="s">
        <v>360</v>
      </c>
      <c r="E729" s="44" t="s">
        <v>1381</v>
      </c>
      <c r="F729" s="44" t="s">
        <v>360</v>
      </c>
      <c r="G729" s="44" t="s">
        <v>1592</v>
      </c>
      <c r="H729" s="44" t="s">
        <v>1117</v>
      </c>
      <c r="I729" s="44" t="s">
        <v>1106</v>
      </c>
      <c r="J729" s="44">
        <v>235</v>
      </c>
      <c r="K729" s="44" t="s">
        <v>1844</v>
      </c>
      <c r="L729" s="44"/>
      <c r="M729" s="44" t="s">
        <v>1586</v>
      </c>
      <c r="N729" s="45">
        <v>-58541684</v>
      </c>
      <c r="O729" s="46">
        <f t="shared" si="22"/>
        <v>-58541.684000000001</v>
      </c>
      <c r="P729" s="47">
        <f>LUCK!E85</f>
        <v>-58541.684000000001</v>
      </c>
      <c r="Q729" s="44" t="str">
        <f t="shared" si="23"/>
        <v>PASS</v>
      </c>
      <c r="R729" s="44" t="s">
        <v>1587</v>
      </c>
      <c r="S729" s="44"/>
    </row>
    <row r="730" spans="1:19" x14ac:dyDescent="0.3">
      <c r="A730" s="44" t="s">
        <v>1852</v>
      </c>
      <c r="B730" s="44" t="s">
        <v>68</v>
      </c>
      <c r="C730" s="44" t="s">
        <v>27</v>
      </c>
      <c r="D730" s="44" t="s">
        <v>360</v>
      </c>
      <c r="E730" s="44" t="s">
        <v>1381</v>
      </c>
      <c r="F730" s="44" t="s">
        <v>360</v>
      </c>
      <c r="G730" s="44" t="s">
        <v>1595</v>
      </c>
      <c r="H730" s="44" t="s">
        <v>1120</v>
      </c>
      <c r="I730" s="44" t="s">
        <v>1106</v>
      </c>
      <c r="J730" s="44">
        <v>239</v>
      </c>
      <c r="K730" s="44" t="s">
        <v>1846</v>
      </c>
      <c r="L730" s="44"/>
      <c r="M730" s="44" t="s">
        <v>1586</v>
      </c>
      <c r="N730" s="45">
        <v>-69771469</v>
      </c>
      <c r="O730" s="46">
        <f t="shared" si="22"/>
        <v>-69771.468999999997</v>
      </c>
      <c r="P730" s="47">
        <f>LUCK!F85</f>
        <v>-69771.468999999997</v>
      </c>
      <c r="Q730" s="44" t="str">
        <f t="shared" si="23"/>
        <v>PASS</v>
      </c>
      <c r="R730" s="44" t="s">
        <v>1587</v>
      </c>
      <c r="S730" s="44"/>
    </row>
    <row r="731" spans="1:19" x14ac:dyDescent="0.3">
      <c r="A731" s="44" t="s">
        <v>1853</v>
      </c>
      <c r="B731" s="44" t="s">
        <v>68</v>
      </c>
      <c r="C731" s="44" t="s">
        <v>28</v>
      </c>
      <c r="D731" s="44" t="s">
        <v>360</v>
      </c>
      <c r="E731" s="44" t="s">
        <v>1381</v>
      </c>
      <c r="F731" s="44" t="s">
        <v>360</v>
      </c>
      <c r="G731" s="44" t="s">
        <v>1598</v>
      </c>
      <c r="H731" s="44" t="s">
        <v>1124</v>
      </c>
      <c r="I731" s="44" t="s">
        <v>1106</v>
      </c>
      <c r="J731" s="44">
        <v>241</v>
      </c>
      <c r="K731" s="44" t="s">
        <v>1107</v>
      </c>
      <c r="L731" s="44"/>
      <c r="M731" s="44" t="s">
        <v>1586</v>
      </c>
      <c r="N731" s="45">
        <v>-76520370</v>
      </c>
      <c r="O731" s="46">
        <f t="shared" si="22"/>
        <v>-76520.37</v>
      </c>
      <c r="P731" s="47">
        <f>LUCK!G85</f>
        <v>-76520.37</v>
      </c>
      <c r="Q731" s="44" t="str">
        <f t="shared" si="23"/>
        <v>PASS</v>
      </c>
      <c r="R731" s="44" t="s">
        <v>1587</v>
      </c>
      <c r="S731" s="44"/>
    </row>
    <row r="732" spans="1:19" x14ac:dyDescent="0.3">
      <c r="A732" s="44" t="s">
        <v>1854</v>
      </c>
      <c r="B732" s="44" t="s">
        <v>68</v>
      </c>
      <c r="C732" s="44" t="s">
        <v>29</v>
      </c>
      <c r="D732" s="44" t="s">
        <v>360</v>
      </c>
      <c r="E732" s="44" t="s">
        <v>1381</v>
      </c>
      <c r="F732" s="44" t="s">
        <v>360</v>
      </c>
      <c r="G732" s="44" t="s">
        <v>1598</v>
      </c>
      <c r="H732" s="44" t="s">
        <v>1124</v>
      </c>
      <c r="I732" s="44" t="s">
        <v>1127</v>
      </c>
      <c r="J732" s="44">
        <v>241</v>
      </c>
      <c r="K732" s="44" t="s">
        <v>1107</v>
      </c>
      <c r="L732" s="44"/>
      <c r="M732" s="44" t="s">
        <v>1586</v>
      </c>
      <c r="N732" s="45">
        <v>-81827060</v>
      </c>
      <c r="O732" s="46">
        <f t="shared" si="22"/>
        <v>-81827.06</v>
      </c>
      <c r="P732" s="47">
        <f>LUCK!H85</f>
        <v>-81827.06</v>
      </c>
      <c r="Q732" s="44" t="str">
        <f t="shared" si="23"/>
        <v>PASS</v>
      </c>
      <c r="R732" s="44" t="s">
        <v>1587</v>
      </c>
      <c r="S732" s="44"/>
    </row>
    <row r="733" spans="1:19" x14ac:dyDescent="0.3">
      <c r="A733" s="44" t="s">
        <v>1855</v>
      </c>
      <c r="B733" s="44" t="s">
        <v>68</v>
      </c>
      <c r="C733" s="44" t="s">
        <v>20</v>
      </c>
      <c r="D733" s="44" t="s">
        <v>364</v>
      </c>
      <c r="E733" s="44" t="s">
        <v>1381</v>
      </c>
      <c r="F733" s="44" t="s">
        <v>1856</v>
      </c>
      <c r="G733" s="44" t="s">
        <v>1589</v>
      </c>
      <c r="H733" s="44" t="s">
        <v>1113</v>
      </c>
      <c r="I733" s="44" t="s">
        <v>1106</v>
      </c>
      <c r="J733" s="44">
        <v>227</v>
      </c>
      <c r="K733" s="44" t="s">
        <v>1842</v>
      </c>
      <c r="L733" s="44"/>
      <c r="M733" s="44" t="s">
        <v>1586</v>
      </c>
      <c r="N733" s="45">
        <v>-4859096</v>
      </c>
      <c r="O733" s="46">
        <f t="shared" si="22"/>
        <v>-4859.0959999999995</v>
      </c>
      <c r="P733" s="47">
        <f>LUCK!D87</f>
        <v>-4859.0959999999995</v>
      </c>
      <c r="Q733" s="44" t="str">
        <f t="shared" si="23"/>
        <v>PASS</v>
      </c>
      <c r="R733" s="44" t="s">
        <v>1587</v>
      </c>
      <c r="S733" s="44"/>
    </row>
    <row r="734" spans="1:19" x14ac:dyDescent="0.3">
      <c r="A734" s="44" t="s">
        <v>1857</v>
      </c>
      <c r="B734" s="44" t="s">
        <v>68</v>
      </c>
      <c r="C734" s="44" t="s">
        <v>26</v>
      </c>
      <c r="D734" s="44" t="s">
        <v>364</v>
      </c>
      <c r="E734" s="44" t="s">
        <v>1381</v>
      </c>
      <c r="F734" s="44" t="s">
        <v>1856</v>
      </c>
      <c r="G734" s="44" t="s">
        <v>1592</v>
      </c>
      <c r="H734" s="44" t="s">
        <v>1117</v>
      </c>
      <c r="I734" s="44" t="s">
        <v>1106</v>
      </c>
      <c r="J734" s="44">
        <v>235</v>
      </c>
      <c r="K734" s="44" t="s">
        <v>1844</v>
      </c>
      <c r="L734" s="44"/>
      <c r="M734" s="44" t="s">
        <v>1586</v>
      </c>
      <c r="N734" s="45">
        <v>-4764574</v>
      </c>
      <c r="O734" s="46">
        <f t="shared" si="22"/>
        <v>-4764.5739999999996</v>
      </c>
      <c r="P734" s="47">
        <f>LUCK!E87</f>
        <v>-4764.5739999999996</v>
      </c>
      <c r="Q734" s="44" t="str">
        <f t="shared" si="23"/>
        <v>PASS</v>
      </c>
      <c r="R734" s="44" t="s">
        <v>1587</v>
      </c>
      <c r="S734" s="44"/>
    </row>
    <row r="735" spans="1:19" x14ac:dyDescent="0.3">
      <c r="A735" s="44" t="s">
        <v>1858</v>
      </c>
      <c r="B735" s="44" t="s">
        <v>68</v>
      </c>
      <c r="C735" s="44" t="s">
        <v>27</v>
      </c>
      <c r="D735" s="44" t="s">
        <v>364</v>
      </c>
      <c r="E735" s="44" t="s">
        <v>1381</v>
      </c>
      <c r="F735" s="44" t="s">
        <v>1856</v>
      </c>
      <c r="G735" s="44" t="s">
        <v>1595</v>
      </c>
      <c r="H735" s="44" t="s">
        <v>1120</v>
      </c>
      <c r="I735" s="44" t="s">
        <v>1106</v>
      </c>
      <c r="J735" s="44">
        <v>239</v>
      </c>
      <c r="K735" s="44" t="s">
        <v>1846</v>
      </c>
      <c r="L735" s="44"/>
      <c r="M735" s="44" t="s">
        <v>1586</v>
      </c>
      <c r="N735" s="45">
        <v>-5326894</v>
      </c>
      <c r="O735" s="46">
        <f t="shared" si="22"/>
        <v>-5326.8940000000002</v>
      </c>
      <c r="P735" s="47">
        <f>LUCK!F87</f>
        <v>-5326.8940000000002</v>
      </c>
      <c r="Q735" s="44" t="str">
        <f t="shared" si="23"/>
        <v>PASS</v>
      </c>
      <c r="R735" s="44" t="s">
        <v>1587</v>
      </c>
      <c r="S735" s="44"/>
    </row>
    <row r="736" spans="1:19" x14ac:dyDescent="0.3">
      <c r="A736" s="44" t="s">
        <v>1859</v>
      </c>
      <c r="B736" s="44" t="s">
        <v>68</v>
      </c>
      <c r="C736" s="44" t="s">
        <v>28</v>
      </c>
      <c r="D736" s="44" t="s">
        <v>364</v>
      </c>
      <c r="E736" s="44" t="s">
        <v>1381</v>
      </c>
      <c r="F736" s="44" t="s">
        <v>1860</v>
      </c>
      <c r="G736" s="44" t="s">
        <v>1598</v>
      </c>
      <c r="H736" s="44" t="s">
        <v>1124</v>
      </c>
      <c r="I736" s="44" t="s">
        <v>1106</v>
      </c>
      <c r="J736" s="44">
        <v>241</v>
      </c>
      <c r="K736" s="44" t="s">
        <v>1107</v>
      </c>
      <c r="L736" s="44"/>
      <c r="M736" s="44" t="s">
        <v>1586</v>
      </c>
      <c r="N736" s="45">
        <v>-7773885</v>
      </c>
      <c r="O736" s="46">
        <f t="shared" si="22"/>
        <v>-7773.8850000000002</v>
      </c>
      <c r="P736" s="47">
        <f>LUCK!G87</f>
        <v>-7773.8850000000002</v>
      </c>
      <c r="Q736" s="44" t="str">
        <f t="shared" si="23"/>
        <v>PASS</v>
      </c>
      <c r="R736" s="44" t="s">
        <v>1587</v>
      </c>
      <c r="S736" s="44"/>
    </row>
    <row r="737" spans="1:19" x14ac:dyDescent="0.3">
      <c r="A737" s="44" t="s">
        <v>1861</v>
      </c>
      <c r="B737" s="44" t="s">
        <v>68</v>
      </c>
      <c r="C737" s="44" t="s">
        <v>29</v>
      </c>
      <c r="D737" s="44" t="s">
        <v>364</v>
      </c>
      <c r="E737" s="44" t="s">
        <v>1381</v>
      </c>
      <c r="F737" s="44" t="s">
        <v>1860</v>
      </c>
      <c r="G737" s="44" t="s">
        <v>1598</v>
      </c>
      <c r="H737" s="44" t="s">
        <v>1124</v>
      </c>
      <c r="I737" s="44" t="s">
        <v>1127</v>
      </c>
      <c r="J737" s="44">
        <v>241</v>
      </c>
      <c r="K737" s="44" t="s">
        <v>1107</v>
      </c>
      <c r="L737" s="44"/>
      <c r="M737" s="44" t="s">
        <v>1586</v>
      </c>
      <c r="N737" s="45">
        <v>-8972815</v>
      </c>
      <c r="O737" s="46">
        <f t="shared" si="22"/>
        <v>-8972.8150000000005</v>
      </c>
      <c r="P737" s="47">
        <f>LUCK!H87</f>
        <v>-8972.8150000000005</v>
      </c>
      <c r="Q737" s="44" t="str">
        <f t="shared" si="23"/>
        <v>PASS</v>
      </c>
      <c r="R737" s="44" t="s">
        <v>1587</v>
      </c>
      <c r="S737" s="44"/>
    </row>
    <row r="738" spans="1:19" x14ac:dyDescent="0.3">
      <c r="A738" s="44" t="s">
        <v>1862</v>
      </c>
      <c r="B738" s="44" t="s">
        <v>68</v>
      </c>
      <c r="C738" s="44" t="s">
        <v>20</v>
      </c>
      <c r="D738" s="44" t="s">
        <v>366</v>
      </c>
      <c r="E738" s="44" t="s">
        <v>1381</v>
      </c>
      <c r="F738" s="44" t="s">
        <v>366</v>
      </c>
      <c r="G738" s="44" t="s">
        <v>1589</v>
      </c>
      <c r="H738" s="44" t="s">
        <v>1113</v>
      </c>
      <c r="I738" s="44" t="s">
        <v>1106</v>
      </c>
      <c r="J738" s="44">
        <v>227</v>
      </c>
      <c r="K738" s="44" t="s">
        <v>1842</v>
      </c>
      <c r="L738" s="44"/>
      <c r="M738" s="44" t="s">
        <v>1586</v>
      </c>
      <c r="N738" s="45">
        <v>-1257074</v>
      </c>
      <c r="O738" s="46">
        <f t="shared" si="22"/>
        <v>-1257.0740000000001</v>
      </c>
      <c r="P738" s="47">
        <f>LUCK!D88</f>
        <v>-1257.0740000000001</v>
      </c>
      <c r="Q738" s="44" t="str">
        <f t="shared" si="23"/>
        <v>PASS</v>
      </c>
      <c r="R738" s="44" t="s">
        <v>1587</v>
      </c>
      <c r="S738" s="44"/>
    </row>
    <row r="739" spans="1:19" x14ac:dyDescent="0.3">
      <c r="A739" s="44" t="s">
        <v>1863</v>
      </c>
      <c r="B739" s="44" t="s">
        <v>68</v>
      </c>
      <c r="C739" s="44" t="s">
        <v>26</v>
      </c>
      <c r="D739" s="44" t="s">
        <v>366</v>
      </c>
      <c r="E739" s="44" t="s">
        <v>1381</v>
      </c>
      <c r="F739" s="44" t="s">
        <v>366</v>
      </c>
      <c r="G739" s="44" t="s">
        <v>1592</v>
      </c>
      <c r="H739" s="44" t="s">
        <v>1117</v>
      </c>
      <c r="I739" s="44" t="s">
        <v>1106</v>
      </c>
      <c r="J739" s="44">
        <v>235</v>
      </c>
      <c r="K739" s="44" t="s">
        <v>1844</v>
      </c>
      <c r="L739" s="44"/>
      <c r="M739" s="44" t="s">
        <v>1586</v>
      </c>
      <c r="N739" s="45">
        <v>-1512279</v>
      </c>
      <c r="O739" s="46">
        <f t="shared" si="22"/>
        <v>-1512.279</v>
      </c>
      <c r="P739" s="47">
        <f>LUCK!E88</f>
        <v>-1512.279</v>
      </c>
      <c r="Q739" s="44" t="str">
        <f t="shared" si="23"/>
        <v>PASS</v>
      </c>
      <c r="R739" s="44" t="s">
        <v>1587</v>
      </c>
      <c r="S739" s="44"/>
    </row>
    <row r="740" spans="1:19" x14ac:dyDescent="0.3">
      <c r="A740" s="44" t="s">
        <v>1864</v>
      </c>
      <c r="B740" s="44" t="s">
        <v>68</v>
      </c>
      <c r="C740" s="44" t="s">
        <v>27</v>
      </c>
      <c r="D740" s="44" t="s">
        <v>366</v>
      </c>
      <c r="E740" s="44" t="s">
        <v>1381</v>
      </c>
      <c r="F740" s="44" t="s">
        <v>366</v>
      </c>
      <c r="G740" s="44" t="s">
        <v>1595</v>
      </c>
      <c r="H740" s="44" t="s">
        <v>1120</v>
      </c>
      <c r="I740" s="44" t="s">
        <v>1106</v>
      </c>
      <c r="J740" s="44">
        <v>239</v>
      </c>
      <c r="K740" s="44" t="s">
        <v>1846</v>
      </c>
      <c r="L740" s="44"/>
      <c r="M740" s="44" t="s">
        <v>1586</v>
      </c>
      <c r="N740" s="45">
        <v>-1825578</v>
      </c>
      <c r="O740" s="46">
        <f t="shared" si="22"/>
        <v>-1825.578</v>
      </c>
      <c r="P740" s="47">
        <f>LUCK!F88</f>
        <v>-1825.578</v>
      </c>
      <c r="Q740" s="44" t="str">
        <f t="shared" si="23"/>
        <v>PASS</v>
      </c>
      <c r="R740" s="44" t="s">
        <v>1587</v>
      </c>
      <c r="S740" s="44"/>
    </row>
    <row r="741" spans="1:19" x14ac:dyDescent="0.3">
      <c r="A741" s="44" t="s">
        <v>1865</v>
      </c>
      <c r="B741" s="44" t="s">
        <v>68</v>
      </c>
      <c r="C741" s="44" t="s">
        <v>28</v>
      </c>
      <c r="D741" s="44" t="s">
        <v>366</v>
      </c>
      <c r="E741" s="44" t="s">
        <v>1381</v>
      </c>
      <c r="F741" s="44" t="s">
        <v>366</v>
      </c>
      <c r="G741" s="44" t="s">
        <v>1598</v>
      </c>
      <c r="H741" s="44" t="s">
        <v>1124</v>
      </c>
      <c r="I741" s="44" t="s">
        <v>1106</v>
      </c>
      <c r="J741" s="44">
        <v>241</v>
      </c>
      <c r="K741" s="44" t="s">
        <v>1107</v>
      </c>
      <c r="L741" s="44"/>
      <c r="M741" s="44" t="s">
        <v>1586</v>
      </c>
      <c r="N741" s="45">
        <v>-2160682</v>
      </c>
      <c r="O741" s="46">
        <f t="shared" si="22"/>
        <v>-2160.6819999999998</v>
      </c>
      <c r="P741" s="47">
        <f>LUCK!G88</f>
        <v>-2160.6819999999998</v>
      </c>
      <c r="Q741" s="44" t="str">
        <f t="shared" si="23"/>
        <v>PASS</v>
      </c>
      <c r="R741" s="44" t="s">
        <v>1587</v>
      </c>
      <c r="S741" s="44"/>
    </row>
    <row r="742" spans="1:19" x14ac:dyDescent="0.3">
      <c r="A742" s="44" t="s">
        <v>1866</v>
      </c>
      <c r="B742" s="44" t="s">
        <v>68</v>
      </c>
      <c r="C742" s="44" t="s">
        <v>29</v>
      </c>
      <c r="D742" s="44" t="s">
        <v>366</v>
      </c>
      <c r="E742" s="44" t="s">
        <v>1381</v>
      </c>
      <c r="F742" s="44" t="s">
        <v>366</v>
      </c>
      <c r="G742" s="44" t="s">
        <v>1598</v>
      </c>
      <c r="H742" s="44" t="s">
        <v>1124</v>
      </c>
      <c r="I742" s="44" t="s">
        <v>1127</v>
      </c>
      <c r="J742" s="44">
        <v>241</v>
      </c>
      <c r="K742" s="44" t="s">
        <v>1107</v>
      </c>
      <c r="L742" s="44"/>
      <c r="M742" s="44" t="s">
        <v>1586</v>
      </c>
      <c r="N742" s="45">
        <v>-2427249</v>
      </c>
      <c r="O742" s="46">
        <f t="shared" si="22"/>
        <v>-2427.2489999999998</v>
      </c>
      <c r="P742" s="47">
        <f>LUCK!H88</f>
        <v>-2427.2489999999998</v>
      </c>
      <c r="Q742" s="44" t="str">
        <f t="shared" si="23"/>
        <v>PASS</v>
      </c>
      <c r="R742" s="44" t="s">
        <v>1587</v>
      </c>
      <c r="S742" s="44"/>
    </row>
    <row r="743" spans="1:19" x14ac:dyDescent="0.3">
      <c r="A743" s="44" t="s">
        <v>1867</v>
      </c>
      <c r="B743" s="44" t="s">
        <v>68</v>
      </c>
      <c r="C743" s="44" t="s">
        <v>20</v>
      </c>
      <c r="D743" s="44" t="s">
        <v>368</v>
      </c>
      <c r="E743" s="44" t="s">
        <v>1381</v>
      </c>
      <c r="F743" s="44"/>
      <c r="G743" s="44" t="s">
        <v>1589</v>
      </c>
      <c r="H743" s="44" t="s">
        <v>1113</v>
      </c>
      <c r="I743" s="44" t="s">
        <v>1106</v>
      </c>
      <c r="J743" s="44">
        <v>227</v>
      </c>
      <c r="K743" s="44" t="s">
        <v>1842</v>
      </c>
      <c r="L743" s="44"/>
      <c r="M743" s="44" t="s">
        <v>1586</v>
      </c>
      <c r="N743" s="45">
        <v>0</v>
      </c>
      <c r="O743" s="46">
        <f t="shared" si="22"/>
        <v>0</v>
      </c>
      <c r="P743" s="47">
        <f>LUCK!D89</f>
        <v>0</v>
      </c>
      <c r="Q743" s="44" t="str">
        <f t="shared" si="23"/>
        <v>PASS</v>
      </c>
      <c r="R743" s="44" t="s">
        <v>1587</v>
      </c>
      <c r="S743" s="44"/>
    </row>
    <row r="744" spans="1:19" x14ac:dyDescent="0.3">
      <c r="A744" s="44" t="s">
        <v>1868</v>
      </c>
      <c r="B744" s="44" t="s">
        <v>68</v>
      </c>
      <c r="C744" s="44" t="s">
        <v>26</v>
      </c>
      <c r="D744" s="44" t="s">
        <v>368</v>
      </c>
      <c r="E744" s="44" t="s">
        <v>1381</v>
      </c>
      <c r="F744" s="44"/>
      <c r="G744" s="44" t="s">
        <v>1592</v>
      </c>
      <c r="H744" s="44" t="s">
        <v>1117</v>
      </c>
      <c r="I744" s="44" t="s">
        <v>1106</v>
      </c>
      <c r="J744" s="44">
        <v>235</v>
      </c>
      <c r="K744" s="44" t="s">
        <v>1844</v>
      </c>
      <c r="L744" s="44"/>
      <c r="M744" s="44" t="s">
        <v>1586</v>
      </c>
      <c r="N744" s="45">
        <v>0</v>
      </c>
      <c r="O744" s="46">
        <f t="shared" si="22"/>
        <v>0</v>
      </c>
      <c r="P744" s="47">
        <f>LUCK!E89</f>
        <v>0</v>
      </c>
      <c r="Q744" s="44" t="str">
        <f t="shared" si="23"/>
        <v>PASS</v>
      </c>
      <c r="R744" s="44" t="s">
        <v>1587</v>
      </c>
      <c r="S744" s="44"/>
    </row>
    <row r="745" spans="1:19" x14ac:dyDescent="0.3">
      <c r="A745" s="44" t="s">
        <v>1869</v>
      </c>
      <c r="B745" s="44" t="s">
        <v>68</v>
      </c>
      <c r="C745" s="44" t="s">
        <v>27</v>
      </c>
      <c r="D745" s="44" t="s">
        <v>368</v>
      </c>
      <c r="E745" s="44" t="s">
        <v>1381</v>
      </c>
      <c r="F745" s="44"/>
      <c r="G745" s="44" t="s">
        <v>1595</v>
      </c>
      <c r="H745" s="44" t="s">
        <v>1120</v>
      </c>
      <c r="I745" s="44" t="s">
        <v>1106</v>
      </c>
      <c r="J745" s="44">
        <v>239</v>
      </c>
      <c r="K745" s="44" t="s">
        <v>1846</v>
      </c>
      <c r="L745" s="44"/>
      <c r="M745" s="44" t="s">
        <v>1586</v>
      </c>
      <c r="N745" s="45">
        <v>0</v>
      </c>
      <c r="O745" s="46">
        <f t="shared" si="22"/>
        <v>0</v>
      </c>
      <c r="P745" s="47">
        <f>LUCK!F89</f>
        <v>0</v>
      </c>
      <c r="Q745" s="44" t="str">
        <f t="shared" si="23"/>
        <v>PASS</v>
      </c>
      <c r="R745" s="44" t="s">
        <v>1587</v>
      </c>
      <c r="S745" s="44"/>
    </row>
    <row r="746" spans="1:19" x14ac:dyDescent="0.3">
      <c r="A746" s="44" t="s">
        <v>1870</v>
      </c>
      <c r="B746" s="44" t="s">
        <v>68</v>
      </c>
      <c r="C746" s="44" t="s">
        <v>28</v>
      </c>
      <c r="D746" s="44" t="s">
        <v>368</v>
      </c>
      <c r="E746" s="44" t="s">
        <v>1381</v>
      </c>
      <c r="F746" s="44"/>
      <c r="G746" s="44" t="s">
        <v>1598</v>
      </c>
      <c r="H746" s="44" t="s">
        <v>1124</v>
      </c>
      <c r="I746" s="44" t="s">
        <v>1106</v>
      </c>
      <c r="J746" s="44">
        <v>241</v>
      </c>
      <c r="K746" s="44" t="s">
        <v>1107</v>
      </c>
      <c r="L746" s="44"/>
      <c r="M746" s="44" t="s">
        <v>1586</v>
      </c>
      <c r="N746" s="45">
        <v>0</v>
      </c>
      <c r="O746" s="46">
        <f t="shared" si="22"/>
        <v>0</v>
      </c>
      <c r="P746" s="47">
        <f>LUCK!G89</f>
        <v>0</v>
      </c>
      <c r="Q746" s="44" t="str">
        <f t="shared" si="23"/>
        <v>PASS</v>
      </c>
      <c r="R746" s="44" t="s">
        <v>1587</v>
      </c>
      <c r="S746" s="44"/>
    </row>
    <row r="747" spans="1:19" x14ac:dyDescent="0.3">
      <c r="A747" s="44" t="s">
        <v>1871</v>
      </c>
      <c r="B747" s="44" t="s">
        <v>68</v>
      </c>
      <c r="C747" s="44" t="s">
        <v>29</v>
      </c>
      <c r="D747" s="44" t="s">
        <v>368</v>
      </c>
      <c r="E747" s="44" t="s">
        <v>1381</v>
      </c>
      <c r="F747" s="44"/>
      <c r="G747" s="44" t="s">
        <v>1598</v>
      </c>
      <c r="H747" s="44" t="s">
        <v>1124</v>
      </c>
      <c r="I747" s="44" t="s">
        <v>1127</v>
      </c>
      <c r="J747" s="44">
        <v>241</v>
      </c>
      <c r="K747" s="44" t="s">
        <v>1107</v>
      </c>
      <c r="L747" s="44"/>
      <c r="M747" s="44" t="s">
        <v>1586</v>
      </c>
      <c r="N747" s="45">
        <v>0</v>
      </c>
      <c r="O747" s="46">
        <f t="shared" si="22"/>
        <v>0</v>
      </c>
      <c r="P747" s="47">
        <f>LUCK!H89</f>
        <v>0</v>
      </c>
      <c r="Q747" s="44" t="str">
        <f t="shared" si="23"/>
        <v>PASS</v>
      </c>
      <c r="R747" s="44" t="s">
        <v>1587</v>
      </c>
      <c r="S747" s="44"/>
    </row>
    <row r="748" spans="1:19" x14ac:dyDescent="0.3">
      <c r="A748" s="44" t="s">
        <v>1872</v>
      </c>
      <c r="B748" s="44" t="s">
        <v>68</v>
      </c>
      <c r="C748" s="44" t="s">
        <v>20</v>
      </c>
      <c r="D748" s="44" t="s">
        <v>370</v>
      </c>
      <c r="E748" s="44" t="s">
        <v>1381</v>
      </c>
      <c r="F748" s="44" t="s">
        <v>1411</v>
      </c>
      <c r="G748" s="44" t="s">
        <v>1589</v>
      </c>
      <c r="H748" s="44" t="s">
        <v>1113</v>
      </c>
      <c r="I748" s="44" t="s">
        <v>1106</v>
      </c>
      <c r="J748" s="44">
        <v>227</v>
      </c>
      <c r="K748" s="44" t="s">
        <v>1842</v>
      </c>
      <c r="L748" s="44"/>
      <c r="M748" s="44" t="s">
        <v>1586</v>
      </c>
      <c r="N748" s="45">
        <v>-1507673</v>
      </c>
      <c r="O748" s="46">
        <f t="shared" si="22"/>
        <v>-1507.673</v>
      </c>
      <c r="P748" s="47">
        <f>LUCK!D90</f>
        <v>-1507.673</v>
      </c>
      <c r="Q748" s="44" t="str">
        <f t="shared" si="23"/>
        <v>PASS</v>
      </c>
      <c r="R748" s="44" t="s">
        <v>1587</v>
      </c>
      <c r="S748" s="44" t="s">
        <v>1114</v>
      </c>
    </row>
    <row r="749" spans="1:19" x14ac:dyDescent="0.3">
      <c r="A749" s="44" t="s">
        <v>1873</v>
      </c>
      <c r="B749" s="44" t="s">
        <v>68</v>
      </c>
      <c r="C749" s="44" t="s">
        <v>26</v>
      </c>
      <c r="D749" s="44" t="s">
        <v>370</v>
      </c>
      <c r="E749" s="44" t="s">
        <v>1381</v>
      </c>
      <c r="F749" s="44" t="s">
        <v>1411</v>
      </c>
      <c r="G749" s="44" t="s">
        <v>1592</v>
      </c>
      <c r="H749" s="44" t="s">
        <v>1117</v>
      </c>
      <c r="I749" s="44" t="s">
        <v>1106</v>
      </c>
      <c r="J749" s="44">
        <v>235</v>
      </c>
      <c r="K749" s="44" t="s">
        <v>1844</v>
      </c>
      <c r="L749" s="44"/>
      <c r="M749" s="44" t="s">
        <v>1586</v>
      </c>
      <c r="N749" s="45">
        <v>-1847039</v>
      </c>
      <c r="O749" s="46">
        <f t="shared" si="22"/>
        <v>-1847.039</v>
      </c>
      <c r="P749" s="47">
        <f>LUCK!E90</f>
        <v>-1847.039</v>
      </c>
      <c r="Q749" s="44" t="str">
        <f t="shared" si="23"/>
        <v>PASS</v>
      </c>
      <c r="R749" s="44" t="s">
        <v>1587</v>
      </c>
      <c r="S749" s="44"/>
    </row>
    <row r="750" spans="1:19" x14ac:dyDescent="0.3">
      <c r="A750" s="44" t="s">
        <v>1874</v>
      </c>
      <c r="B750" s="44" t="s">
        <v>68</v>
      </c>
      <c r="C750" s="44" t="s">
        <v>27</v>
      </c>
      <c r="D750" s="44" t="s">
        <v>370</v>
      </c>
      <c r="E750" s="44" t="s">
        <v>1381</v>
      </c>
      <c r="F750" s="44" t="s">
        <v>1411</v>
      </c>
      <c r="G750" s="44" t="s">
        <v>1595</v>
      </c>
      <c r="H750" s="44" t="s">
        <v>1120</v>
      </c>
      <c r="I750" s="44" t="s">
        <v>1106</v>
      </c>
      <c r="J750" s="44">
        <v>239</v>
      </c>
      <c r="K750" s="44" t="s">
        <v>1846</v>
      </c>
      <c r="L750" s="44"/>
      <c r="M750" s="44" t="s">
        <v>1586</v>
      </c>
      <c r="N750" s="45">
        <v>-2442585</v>
      </c>
      <c r="O750" s="46">
        <f t="shared" si="22"/>
        <v>-2442.585</v>
      </c>
      <c r="P750" s="47">
        <f>LUCK!F90</f>
        <v>-2442.585</v>
      </c>
      <c r="Q750" s="44" t="str">
        <f t="shared" si="23"/>
        <v>PASS</v>
      </c>
      <c r="R750" s="44" t="s">
        <v>1587</v>
      </c>
      <c r="S750" s="44"/>
    </row>
    <row r="751" spans="1:19" x14ac:dyDescent="0.3">
      <c r="A751" s="44" t="s">
        <v>1875</v>
      </c>
      <c r="B751" s="44" t="s">
        <v>68</v>
      </c>
      <c r="C751" s="44" t="s">
        <v>28</v>
      </c>
      <c r="D751" s="44" t="s">
        <v>370</v>
      </c>
      <c r="E751" s="44" t="s">
        <v>1381</v>
      </c>
      <c r="F751" s="44" t="s">
        <v>1411</v>
      </c>
      <c r="G751" s="44" t="s">
        <v>1598</v>
      </c>
      <c r="H751" s="44" t="s">
        <v>1124</v>
      </c>
      <c r="I751" s="44" t="s">
        <v>1106</v>
      </c>
      <c r="J751" s="44">
        <v>241</v>
      </c>
      <c r="K751" s="44" t="s">
        <v>1107</v>
      </c>
      <c r="L751" s="44"/>
      <c r="M751" s="44" t="s">
        <v>1586</v>
      </c>
      <c r="N751" s="45">
        <v>-2476636</v>
      </c>
      <c r="O751" s="46">
        <f t="shared" si="22"/>
        <v>-2476.636</v>
      </c>
      <c r="P751" s="47">
        <f>LUCK!G90</f>
        <v>-2476.636</v>
      </c>
      <c r="Q751" s="44" t="str">
        <f t="shared" si="23"/>
        <v>PASS</v>
      </c>
      <c r="R751" s="44" t="s">
        <v>1587</v>
      </c>
      <c r="S751" s="44"/>
    </row>
    <row r="752" spans="1:19" x14ac:dyDescent="0.3">
      <c r="A752" s="44" t="s">
        <v>1876</v>
      </c>
      <c r="B752" s="44" t="s">
        <v>68</v>
      </c>
      <c r="C752" s="44" t="s">
        <v>29</v>
      </c>
      <c r="D752" s="44" t="s">
        <v>370</v>
      </c>
      <c r="E752" s="44" t="s">
        <v>1381</v>
      </c>
      <c r="F752" s="44" t="s">
        <v>1411</v>
      </c>
      <c r="G752" s="44" t="s">
        <v>1598</v>
      </c>
      <c r="H752" s="44" t="s">
        <v>1124</v>
      </c>
      <c r="I752" s="44" t="s">
        <v>1127</v>
      </c>
      <c r="J752" s="44">
        <v>241</v>
      </c>
      <c r="K752" s="44" t="s">
        <v>1107</v>
      </c>
      <c r="L752" s="44"/>
      <c r="M752" s="44" t="s">
        <v>1586</v>
      </c>
      <c r="N752" s="45">
        <v>-3056913</v>
      </c>
      <c r="O752" s="46">
        <f t="shared" si="22"/>
        <v>-3056.913</v>
      </c>
      <c r="P752" s="47">
        <f>LUCK!H90</f>
        <v>-3056.913</v>
      </c>
      <c r="Q752" s="44" t="str">
        <f t="shared" si="23"/>
        <v>PASS</v>
      </c>
      <c r="R752" s="44" t="s">
        <v>1587</v>
      </c>
      <c r="S752" s="44"/>
    </row>
    <row r="753" spans="1:19" x14ac:dyDescent="0.3">
      <c r="A753" s="44" t="s">
        <v>1877</v>
      </c>
      <c r="B753" s="44" t="s">
        <v>68</v>
      </c>
      <c r="C753" s="44" t="s">
        <v>20</v>
      </c>
      <c r="D753" s="44" t="s">
        <v>374</v>
      </c>
      <c r="E753" s="44" t="s">
        <v>1381</v>
      </c>
      <c r="F753" s="44" t="s">
        <v>374</v>
      </c>
      <c r="G753" s="44" t="s">
        <v>1589</v>
      </c>
      <c r="H753" s="44" t="s">
        <v>1113</v>
      </c>
      <c r="I753" s="44" t="s">
        <v>1106</v>
      </c>
      <c r="J753" s="44">
        <v>227</v>
      </c>
      <c r="K753" s="44" t="s">
        <v>1842</v>
      </c>
      <c r="L753" s="44"/>
      <c r="M753" s="44" t="s">
        <v>1586</v>
      </c>
      <c r="N753" s="45">
        <v>5993029</v>
      </c>
      <c r="O753" s="46">
        <f t="shared" si="22"/>
        <v>5993.0290000000005</v>
      </c>
      <c r="P753" s="47">
        <f>LUCK!D92</f>
        <v>5993.0290000000005</v>
      </c>
      <c r="Q753" s="44" t="str">
        <f t="shared" si="23"/>
        <v>PASS</v>
      </c>
      <c r="R753" s="44" t="s">
        <v>1587</v>
      </c>
      <c r="S753" s="44" t="s">
        <v>1114</v>
      </c>
    </row>
    <row r="754" spans="1:19" x14ac:dyDescent="0.3">
      <c r="A754" s="44" t="s">
        <v>1878</v>
      </c>
      <c r="B754" s="44" t="s">
        <v>68</v>
      </c>
      <c r="C754" s="44" t="s">
        <v>26</v>
      </c>
      <c r="D754" s="44" t="s">
        <v>374</v>
      </c>
      <c r="E754" s="44" t="s">
        <v>1381</v>
      </c>
      <c r="F754" s="44" t="s">
        <v>374</v>
      </c>
      <c r="G754" s="44" t="s">
        <v>1592</v>
      </c>
      <c r="H754" s="44" t="s">
        <v>1117</v>
      </c>
      <c r="I754" s="44" t="s">
        <v>1106</v>
      </c>
      <c r="J754" s="44">
        <v>235</v>
      </c>
      <c r="K754" s="44" t="s">
        <v>1844</v>
      </c>
      <c r="L754" s="44"/>
      <c r="M754" s="44" t="s">
        <v>1586</v>
      </c>
      <c r="N754" s="45">
        <v>7387800</v>
      </c>
      <c r="O754" s="46">
        <f t="shared" si="22"/>
        <v>7387.8</v>
      </c>
      <c r="P754" s="47">
        <f>LUCK!E92</f>
        <v>7387.8</v>
      </c>
      <c r="Q754" s="44" t="str">
        <f t="shared" si="23"/>
        <v>PASS</v>
      </c>
      <c r="R754" s="44" t="s">
        <v>1587</v>
      </c>
      <c r="S754" s="44"/>
    </row>
    <row r="755" spans="1:19" x14ac:dyDescent="0.3">
      <c r="A755" s="44" t="s">
        <v>1879</v>
      </c>
      <c r="B755" s="44" t="s">
        <v>68</v>
      </c>
      <c r="C755" s="44" t="s">
        <v>27</v>
      </c>
      <c r="D755" s="44" t="s">
        <v>374</v>
      </c>
      <c r="E755" s="44" t="s">
        <v>1381</v>
      </c>
      <c r="F755" s="44" t="s">
        <v>374</v>
      </c>
      <c r="G755" s="44" t="s">
        <v>1595</v>
      </c>
      <c r="H755" s="44" t="s">
        <v>1120</v>
      </c>
      <c r="I755" s="44" t="s">
        <v>1106</v>
      </c>
      <c r="J755" s="44">
        <v>239</v>
      </c>
      <c r="K755" s="44" t="s">
        <v>1846</v>
      </c>
      <c r="L755" s="44"/>
      <c r="M755" s="44" t="s">
        <v>1586</v>
      </c>
      <c r="N755" s="45">
        <v>6047423</v>
      </c>
      <c r="O755" s="46">
        <f t="shared" si="22"/>
        <v>6047.4229999999998</v>
      </c>
      <c r="P755" s="47">
        <f>LUCK!F92</f>
        <v>6047.4229999999998</v>
      </c>
      <c r="Q755" s="44" t="str">
        <f t="shared" si="23"/>
        <v>PASS</v>
      </c>
      <c r="R755" s="44" t="s">
        <v>1587</v>
      </c>
      <c r="S755" s="44"/>
    </row>
    <row r="756" spans="1:19" x14ac:dyDescent="0.3">
      <c r="A756" s="44" t="s">
        <v>1880</v>
      </c>
      <c r="B756" s="44" t="s">
        <v>68</v>
      </c>
      <c r="C756" s="44" t="s">
        <v>28</v>
      </c>
      <c r="D756" s="44" t="s">
        <v>374</v>
      </c>
      <c r="E756" s="44" t="s">
        <v>1381</v>
      </c>
      <c r="F756" s="44" t="s">
        <v>374</v>
      </c>
      <c r="G756" s="44" t="s">
        <v>1598</v>
      </c>
      <c r="H756" s="44" t="s">
        <v>1124</v>
      </c>
      <c r="I756" s="44" t="s">
        <v>1106</v>
      </c>
      <c r="J756" s="44">
        <v>241</v>
      </c>
      <c r="K756" s="44" t="s">
        <v>1107</v>
      </c>
      <c r="L756" s="44"/>
      <c r="M756" s="44" t="s">
        <v>1586</v>
      </c>
      <c r="N756" s="45">
        <v>16575363</v>
      </c>
      <c r="O756" s="46">
        <f t="shared" si="22"/>
        <v>16575.363000000001</v>
      </c>
      <c r="P756" s="47">
        <f>LUCK!G92</f>
        <v>16575.363000000001</v>
      </c>
      <c r="Q756" s="44" t="str">
        <f t="shared" si="23"/>
        <v>PASS</v>
      </c>
      <c r="R756" s="44" t="s">
        <v>1587</v>
      </c>
      <c r="S756" s="44"/>
    </row>
    <row r="757" spans="1:19" x14ac:dyDescent="0.3">
      <c r="A757" s="44" t="s">
        <v>1881</v>
      </c>
      <c r="B757" s="44" t="s">
        <v>68</v>
      </c>
      <c r="C757" s="44" t="s">
        <v>29</v>
      </c>
      <c r="D757" s="44" t="s">
        <v>374</v>
      </c>
      <c r="E757" s="44" t="s">
        <v>1381</v>
      </c>
      <c r="F757" s="44" t="s">
        <v>374</v>
      </c>
      <c r="G757" s="44" t="s">
        <v>1598</v>
      </c>
      <c r="H757" s="44" t="s">
        <v>1124</v>
      </c>
      <c r="I757" s="44" t="s">
        <v>1127</v>
      </c>
      <c r="J757" s="44">
        <v>241</v>
      </c>
      <c r="K757" s="44" t="s">
        <v>1107</v>
      </c>
      <c r="L757" s="44"/>
      <c r="M757" s="44" t="s">
        <v>1586</v>
      </c>
      <c r="N757" s="45">
        <v>20465921</v>
      </c>
      <c r="O757" s="46">
        <f t="shared" si="22"/>
        <v>20465.920999999998</v>
      </c>
      <c r="P757" s="47">
        <f>LUCK!H92</f>
        <v>20465.920999999998</v>
      </c>
      <c r="Q757" s="44" t="str">
        <f t="shared" si="23"/>
        <v>PASS</v>
      </c>
      <c r="R757" s="44" t="s">
        <v>1587</v>
      </c>
      <c r="S757" s="44"/>
    </row>
    <row r="758" spans="1:19" x14ac:dyDescent="0.3">
      <c r="A758" s="44" t="s">
        <v>1882</v>
      </c>
      <c r="B758" s="44" t="s">
        <v>68</v>
      </c>
      <c r="C758" s="44" t="s">
        <v>20</v>
      </c>
      <c r="D758" s="44" t="s">
        <v>376</v>
      </c>
      <c r="E758" s="44" t="s">
        <v>1381</v>
      </c>
      <c r="F758" s="44"/>
      <c r="G758" s="44" t="s">
        <v>1589</v>
      </c>
      <c r="H758" s="44" t="s">
        <v>1113</v>
      </c>
      <c r="I758" s="44" t="s">
        <v>1106</v>
      </c>
      <c r="J758" s="44">
        <v>227</v>
      </c>
      <c r="K758" s="44" t="s">
        <v>1842</v>
      </c>
      <c r="L758" s="44"/>
      <c r="M758" s="44" t="s">
        <v>1586</v>
      </c>
      <c r="N758" s="45">
        <v>0</v>
      </c>
      <c r="O758" s="46">
        <f t="shared" si="22"/>
        <v>0</v>
      </c>
      <c r="P758" s="47">
        <f>LUCK!D93</f>
        <v>0</v>
      </c>
      <c r="Q758" s="44" t="str">
        <f t="shared" si="23"/>
        <v>PASS</v>
      </c>
      <c r="R758" s="44" t="s">
        <v>1587</v>
      </c>
      <c r="S758" s="44"/>
    </row>
    <row r="759" spans="1:19" x14ac:dyDescent="0.3">
      <c r="A759" s="44" t="s">
        <v>1883</v>
      </c>
      <c r="B759" s="44" t="s">
        <v>68</v>
      </c>
      <c r="C759" s="44" t="s">
        <v>26</v>
      </c>
      <c r="D759" s="44" t="s">
        <v>376</v>
      </c>
      <c r="E759" s="44" t="s">
        <v>1381</v>
      </c>
      <c r="F759" s="44"/>
      <c r="G759" s="44" t="s">
        <v>1592</v>
      </c>
      <c r="H759" s="44" t="s">
        <v>1117</v>
      </c>
      <c r="I759" s="44" t="s">
        <v>1106</v>
      </c>
      <c r="J759" s="44">
        <v>235</v>
      </c>
      <c r="K759" s="44" t="s">
        <v>1844</v>
      </c>
      <c r="L759" s="44"/>
      <c r="M759" s="44" t="s">
        <v>1586</v>
      </c>
      <c r="N759" s="45">
        <v>0</v>
      </c>
      <c r="O759" s="46">
        <f t="shared" si="22"/>
        <v>0</v>
      </c>
      <c r="P759" s="47">
        <f>LUCK!E93</f>
        <v>0</v>
      </c>
      <c r="Q759" s="44" t="str">
        <f t="shared" si="23"/>
        <v>PASS</v>
      </c>
      <c r="R759" s="44" t="s">
        <v>1587</v>
      </c>
      <c r="S759" s="44"/>
    </row>
    <row r="760" spans="1:19" x14ac:dyDescent="0.3">
      <c r="A760" s="44" t="s">
        <v>1884</v>
      </c>
      <c r="B760" s="44" t="s">
        <v>68</v>
      </c>
      <c r="C760" s="44" t="s">
        <v>27</v>
      </c>
      <c r="D760" s="44" t="s">
        <v>376</v>
      </c>
      <c r="E760" s="44" t="s">
        <v>1381</v>
      </c>
      <c r="F760" s="44"/>
      <c r="G760" s="44" t="s">
        <v>1595</v>
      </c>
      <c r="H760" s="44" t="s">
        <v>1120</v>
      </c>
      <c r="I760" s="44" t="s">
        <v>1106</v>
      </c>
      <c r="J760" s="44">
        <v>239</v>
      </c>
      <c r="K760" s="44" t="s">
        <v>1846</v>
      </c>
      <c r="L760" s="44"/>
      <c r="M760" s="44" t="s">
        <v>1586</v>
      </c>
      <c r="N760" s="45">
        <v>0</v>
      </c>
      <c r="O760" s="46">
        <f t="shared" si="22"/>
        <v>0</v>
      </c>
      <c r="P760" s="47">
        <f>LUCK!F93</f>
        <v>0</v>
      </c>
      <c r="Q760" s="44" t="str">
        <f t="shared" si="23"/>
        <v>PASS</v>
      </c>
      <c r="R760" s="44" t="s">
        <v>1587</v>
      </c>
      <c r="S760" s="44"/>
    </row>
    <row r="761" spans="1:19" x14ac:dyDescent="0.3">
      <c r="A761" s="44" t="s">
        <v>1885</v>
      </c>
      <c r="B761" s="44" t="s">
        <v>68</v>
      </c>
      <c r="C761" s="44" t="s">
        <v>28</v>
      </c>
      <c r="D761" s="44" t="s">
        <v>376</v>
      </c>
      <c r="E761" s="44" t="s">
        <v>1381</v>
      </c>
      <c r="F761" s="44"/>
      <c r="G761" s="44" t="s">
        <v>1598</v>
      </c>
      <c r="H761" s="44" t="s">
        <v>1124</v>
      </c>
      <c r="I761" s="44" t="s">
        <v>1106</v>
      </c>
      <c r="J761" s="44">
        <v>241</v>
      </c>
      <c r="K761" s="44" t="s">
        <v>1107</v>
      </c>
      <c r="L761" s="44"/>
      <c r="M761" s="44" t="s">
        <v>1586</v>
      </c>
      <c r="N761" s="45">
        <v>0</v>
      </c>
      <c r="O761" s="46">
        <f t="shared" si="22"/>
        <v>0</v>
      </c>
      <c r="P761" s="47">
        <f>LUCK!G93</f>
        <v>0</v>
      </c>
      <c r="Q761" s="44" t="str">
        <f t="shared" si="23"/>
        <v>PASS</v>
      </c>
      <c r="R761" s="44" t="s">
        <v>1587</v>
      </c>
      <c r="S761" s="44"/>
    </row>
    <row r="762" spans="1:19" x14ac:dyDescent="0.3">
      <c r="A762" s="44" t="s">
        <v>1886</v>
      </c>
      <c r="B762" s="44" t="s">
        <v>68</v>
      </c>
      <c r="C762" s="44" t="s">
        <v>29</v>
      </c>
      <c r="D762" s="44" t="s">
        <v>376</v>
      </c>
      <c r="E762" s="44" t="s">
        <v>1381</v>
      </c>
      <c r="F762" s="44"/>
      <c r="G762" s="44" t="s">
        <v>1598</v>
      </c>
      <c r="H762" s="44" t="s">
        <v>1124</v>
      </c>
      <c r="I762" s="44" t="s">
        <v>1127</v>
      </c>
      <c r="J762" s="44">
        <v>241</v>
      </c>
      <c r="K762" s="44" t="s">
        <v>1107</v>
      </c>
      <c r="L762" s="44"/>
      <c r="M762" s="44" t="s">
        <v>1586</v>
      </c>
      <c r="N762" s="45">
        <v>0</v>
      </c>
      <c r="O762" s="46">
        <f t="shared" si="22"/>
        <v>0</v>
      </c>
      <c r="P762" s="47">
        <f>LUCK!H93</f>
        <v>0</v>
      </c>
      <c r="Q762" s="44" t="str">
        <f t="shared" si="23"/>
        <v>PASS</v>
      </c>
      <c r="R762" s="44" t="s">
        <v>1587</v>
      </c>
      <c r="S762" s="44"/>
    </row>
    <row r="763" spans="1:19" x14ac:dyDescent="0.3">
      <c r="A763" s="44" t="s">
        <v>1887</v>
      </c>
      <c r="B763" s="44" t="s">
        <v>68</v>
      </c>
      <c r="C763" s="44" t="s">
        <v>20</v>
      </c>
      <c r="D763" s="44" t="s">
        <v>378</v>
      </c>
      <c r="E763" s="44" t="s">
        <v>1381</v>
      </c>
      <c r="F763" s="44"/>
      <c r="G763" s="44" t="s">
        <v>1589</v>
      </c>
      <c r="H763" s="44" t="s">
        <v>1113</v>
      </c>
      <c r="I763" s="44" t="s">
        <v>1106</v>
      </c>
      <c r="J763" s="44">
        <v>227</v>
      </c>
      <c r="K763" s="44" t="s">
        <v>1842</v>
      </c>
      <c r="L763" s="44"/>
      <c r="M763" s="44" t="s">
        <v>1586</v>
      </c>
      <c r="N763" s="45">
        <v>0</v>
      </c>
      <c r="O763" s="46">
        <f t="shared" si="22"/>
        <v>0</v>
      </c>
      <c r="P763" s="47">
        <f>LUCK!D94</f>
        <v>0</v>
      </c>
      <c r="Q763" s="44" t="str">
        <f t="shared" si="23"/>
        <v>PASS</v>
      </c>
      <c r="R763" s="44" t="s">
        <v>1587</v>
      </c>
      <c r="S763" s="44"/>
    </row>
    <row r="764" spans="1:19" x14ac:dyDescent="0.3">
      <c r="A764" s="44" t="s">
        <v>1888</v>
      </c>
      <c r="B764" s="44" t="s">
        <v>68</v>
      </c>
      <c r="C764" s="44" t="s">
        <v>26</v>
      </c>
      <c r="D764" s="44" t="s">
        <v>378</v>
      </c>
      <c r="E764" s="44" t="s">
        <v>1381</v>
      </c>
      <c r="F764" s="44"/>
      <c r="G764" s="44" t="s">
        <v>1592</v>
      </c>
      <c r="H764" s="44" t="s">
        <v>1117</v>
      </c>
      <c r="I764" s="44" t="s">
        <v>1106</v>
      </c>
      <c r="J764" s="44">
        <v>235</v>
      </c>
      <c r="K764" s="44" t="s">
        <v>1844</v>
      </c>
      <c r="L764" s="44"/>
      <c r="M764" s="44" t="s">
        <v>1586</v>
      </c>
      <c r="N764" s="45">
        <v>0</v>
      </c>
      <c r="O764" s="46">
        <f t="shared" si="22"/>
        <v>0</v>
      </c>
      <c r="P764" s="47">
        <f>LUCK!E94</f>
        <v>0</v>
      </c>
      <c r="Q764" s="44" t="str">
        <f t="shared" si="23"/>
        <v>PASS</v>
      </c>
      <c r="R764" s="44" t="s">
        <v>1587</v>
      </c>
      <c r="S764" s="44"/>
    </row>
    <row r="765" spans="1:19" x14ac:dyDescent="0.3">
      <c r="A765" s="44" t="s">
        <v>1889</v>
      </c>
      <c r="B765" s="44" t="s">
        <v>68</v>
      </c>
      <c r="C765" s="44" t="s">
        <v>27</v>
      </c>
      <c r="D765" s="44" t="s">
        <v>378</v>
      </c>
      <c r="E765" s="44" t="s">
        <v>1381</v>
      </c>
      <c r="F765" s="44"/>
      <c r="G765" s="44" t="s">
        <v>1595</v>
      </c>
      <c r="H765" s="44" t="s">
        <v>1120</v>
      </c>
      <c r="I765" s="44" t="s">
        <v>1106</v>
      </c>
      <c r="J765" s="44">
        <v>239</v>
      </c>
      <c r="K765" s="44" t="s">
        <v>1846</v>
      </c>
      <c r="L765" s="44"/>
      <c r="M765" s="44" t="s">
        <v>1586</v>
      </c>
      <c r="N765" s="45">
        <v>0</v>
      </c>
      <c r="O765" s="46">
        <f t="shared" si="22"/>
        <v>0</v>
      </c>
      <c r="P765" s="47">
        <f>LUCK!F94</f>
        <v>0</v>
      </c>
      <c r="Q765" s="44" t="str">
        <f t="shared" si="23"/>
        <v>PASS</v>
      </c>
      <c r="R765" s="44" t="s">
        <v>1587</v>
      </c>
      <c r="S765" s="44"/>
    </row>
    <row r="766" spans="1:19" x14ac:dyDescent="0.3">
      <c r="A766" s="44" t="s">
        <v>1890</v>
      </c>
      <c r="B766" s="44" t="s">
        <v>68</v>
      </c>
      <c r="C766" s="44" t="s">
        <v>28</v>
      </c>
      <c r="D766" s="44" t="s">
        <v>378</v>
      </c>
      <c r="E766" s="44" t="s">
        <v>1381</v>
      </c>
      <c r="F766" s="44"/>
      <c r="G766" s="44" t="s">
        <v>1598</v>
      </c>
      <c r="H766" s="44" t="s">
        <v>1124</v>
      </c>
      <c r="I766" s="44" t="s">
        <v>1106</v>
      </c>
      <c r="J766" s="44">
        <v>241</v>
      </c>
      <c r="K766" s="44" t="s">
        <v>1107</v>
      </c>
      <c r="L766" s="44"/>
      <c r="M766" s="44" t="s">
        <v>1586</v>
      </c>
      <c r="N766" s="45">
        <v>0</v>
      </c>
      <c r="O766" s="46">
        <f t="shared" si="22"/>
        <v>0</v>
      </c>
      <c r="P766" s="47">
        <f>LUCK!G94</f>
        <v>0</v>
      </c>
      <c r="Q766" s="44" t="str">
        <f t="shared" si="23"/>
        <v>PASS</v>
      </c>
      <c r="R766" s="44" t="s">
        <v>1587</v>
      </c>
      <c r="S766" s="44"/>
    </row>
    <row r="767" spans="1:19" x14ac:dyDescent="0.3">
      <c r="A767" s="44" t="s">
        <v>1891</v>
      </c>
      <c r="B767" s="44" t="s">
        <v>68</v>
      </c>
      <c r="C767" s="44" t="s">
        <v>29</v>
      </c>
      <c r="D767" s="44" t="s">
        <v>378</v>
      </c>
      <c r="E767" s="44" t="s">
        <v>1381</v>
      </c>
      <c r="F767" s="44"/>
      <c r="G767" s="44" t="s">
        <v>1598</v>
      </c>
      <c r="H767" s="44" t="s">
        <v>1124</v>
      </c>
      <c r="I767" s="44" t="s">
        <v>1127</v>
      </c>
      <c r="J767" s="44">
        <v>241</v>
      </c>
      <c r="K767" s="44" t="s">
        <v>1107</v>
      </c>
      <c r="L767" s="44"/>
      <c r="M767" s="44" t="s">
        <v>1586</v>
      </c>
      <c r="N767" s="45">
        <v>0</v>
      </c>
      <c r="O767" s="46">
        <f t="shared" si="22"/>
        <v>0</v>
      </c>
      <c r="P767" s="47">
        <f>LUCK!H94</f>
        <v>0</v>
      </c>
      <c r="Q767" s="44" t="str">
        <f t="shared" si="23"/>
        <v>PASS</v>
      </c>
      <c r="R767" s="44" t="s">
        <v>1587</v>
      </c>
      <c r="S767" s="44"/>
    </row>
    <row r="768" spans="1:19" x14ac:dyDescent="0.3">
      <c r="A768" s="44" t="s">
        <v>1892</v>
      </c>
      <c r="B768" s="44" t="s">
        <v>68</v>
      </c>
      <c r="C768" s="44" t="s">
        <v>20</v>
      </c>
      <c r="D768" s="44" t="s">
        <v>380</v>
      </c>
      <c r="E768" s="44" t="s">
        <v>1381</v>
      </c>
      <c r="F768" s="44" t="s">
        <v>1893</v>
      </c>
      <c r="G768" s="44" t="s">
        <v>1589</v>
      </c>
      <c r="H768" s="44" t="s">
        <v>1113</v>
      </c>
      <c r="I768" s="44" t="s">
        <v>1106</v>
      </c>
      <c r="J768" s="44">
        <v>227</v>
      </c>
      <c r="K768" s="44" t="s">
        <v>1842</v>
      </c>
      <c r="L768" s="44"/>
      <c r="M768" s="44" t="s">
        <v>1586</v>
      </c>
      <c r="N768" s="45">
        <v>-332905</v>
      </c>
      <c r="O768" s="46">
        <f t="shared" si="22"/>
        <v>-332.90499999999997</v>
      </c>
      <c r="P768" s="47">
        <f>LUCK!D95</f>
        <v>-332.90499999999997</v>
      </c>
      <c r="Q768" s="44" t="str">
        <f t="shared" si="23"/>
        <v>PASS</v>
      </c>
      <c r="R768" s="44" t="s">
        <v>1587</v>
      </c>
      <c r="S768" s="44"/>
    </row>
    <row r="769" spans="1:19" x14ac:dyDescent="0.3">
      <c r="A769" s="44" t="s">
        <v>1894</v>
      </c>
      <c r="B769" s="44" t="s">
        <v>68</v>
      </c>
      <c r="C769" s="44" t="s">
        <v>26</v>
      </c>
      <c r="D769" s="44" t="s">
        <v>380</v>
      </c>
      <c r="E769" s="44" t="s">
        <v>1381</v>
      </c>
      <c r="F769" s="44" t="s">
        <v>1893</v>
      </c>
      <c r="G769" s="44" t="s">
        <v>1592</v>
      </c>
      <c r="H769" s="44" t="s">
        <v>1117</v>
      </c>
      <c r="I769" s="44" t="s">
        <v>1106</v>
      </c>
      <c r="J769" s="44">
        <v>235</v>
      </c>
      <c r="K769" s="44" t="s">
        <v>1844</v>
      </c>
      <c r="L769" s="44"/>
      <c r="M769" s="44" t="s">
        <v>1586</v>
      </c>
      <c r="N769" s="45">
        <v>-394517</v>
      </c>
      <c r="O769" s="46">
        <f t="shared" ref="O769:O822" si="24">N769/1000</f>
        <v>-394.517</v>
      </c>
      <c r="P769" s="47">
        <f>LUCK!E95</f>
        <v>-394.517</v>
      </c>
      <c r="Q769" s="44" t="str">
        <f t="shared" si="23"/>
        <v>PASS</v>
      </c>
      <c r="R769" s="44" t="s">
        <v>1587</v>
      </c>
      <c r="S769" s="44"/>
    </row>
    <row r="770" spans="1:19" x14ac:dyDescent="0.3">
      <c r="A770" s="44" t="s">
        <v>1895</v>
      </c>
      <c r="B770" s="44" t="s">
        <v>68</v>
      </c>
      <c r="C770" s="44" t="s">
        <v>27</v>
      </c>
      <c r="D770" s="44" t="s">
        <v>380</v>
      </c>
      <c r="E770" s="44" t="s">
        <v>1381</v>
      </c>
      <c r="F770" s="44" t="s">
        <v>380</v>
      </c>
      <c r="G770" s="44" t="s">
        <v>1595</v>
      </c>
      <c r="H770" s="44" t="s">
        <v>1120</v>
      </c>
      <c r="I770" s="44" t="s">
        <v>1106</v>
      </c>
      <c r="J770" s="44">
        <v>239</v>
      </c>
      <c r="K770" s="44" t="s">
        <v>1846</v>
      </c>
      <c r="L770" s="44"/>
      <c r="M770" s="44" t="s">
        <v>1586</v>
      </c>
      <c r="N770" s="45">
        <v>-1169770</v>
      </c>
      <c r="O770" s="46">
        <f t="shared" si="24"/>
        <v>-1169.77</v>
      </c>
      <c r="P770" s="47">
        <f>LUCK!F95</f>
        <v>-1169.77</v>
      </c>
      <c r="Q770" s="44" t="str">
        <f t="shared" si="23"/>
        <v>PASS</v>
      </c>
      <c r="R770" s="44" t="s">
        <v>1587</v>
      </c>
      <c r="S770" s="44"/>
    </row>
    <row r="771" spans="1:19" x14ac:dyDescent="0.3">
      <c r="A771" s="44" t="s">
        <v>1896</v>
      </c>
      <c r="B771" s="44" t="s">
        <v>68</v>
      </c>
      <c r="C771" s="44" t="s">
        <v>28</v>
      </c>
      <c r="D771" s="44" t="s">
        <v>380</v>
      </c>
      <c r="E771" s="44" t="s">
        <v>1381</v>
      </c>
      <c r="F771" s="44" t="s">
        <v>1893</v>
      </c>
      <c r="G771" s="44" t="s">
        <v>1598</v>
      </c>
      <c r="H771" s="44" t="s">
        <v>1124</v>
      </c>
      <c r="I771" s="44" t="s">
        <v>1106</v>
      </c>
      <c r="J771" s="44">
        <v>241</v>
      </c>
      <c r="K771" s="44" t="s">
        <v>1107</v>
      </c>
      <c r="L771" s="44"/>
      <c r="M771" s="44" t="s">
        <v>1586</v>
      </c>
      <c r="N771" s="45">
        <v>-1581168</v>
      </c>
      <c r="O771" s="46">
        <f t="shared" si="24"/>
        <v>-1581.1679999999999</v>
      </c>
      <c r="P771" s="47">
        <f>LUCK!G95</f>
        <v>-1581.1679999999999</v>
      </c>
      <c r="Q771" s="44" t="str">
        <f t="shared" si="23"/>
        <v>PASS</v>
      </c>
      <c r="R771" s="44" t="s">
        <v>1587</v>
      </c>
      <c r="S771" s="44"/>
    </row>
    <row r="772" spans="1:19" x14ac:dyDescent="0.3">
      <c r="A772" s="44" t="s">
        <v>1897</v>
      </c>
      <c r="B772" s="44" t="s">
        <v>68</v>
      </c>
      <c r="C772" s="44" t="s">
        <v>29</v>
      </c>
      <c r="D772" s="44" t="s">
        <v>380</v>
      </c>
      <c r="E772" s="44" t="s">
        <v>1381</v>
      </c>
      <c r="F772" s="44" t="s">
        <v>1893</v>
      </c>
      <c r="G772" s="44" t="s">
        <v>1598</v>
      </c>
      <c r="H772" s="44" t="s">
        <v>1124</v>
      </c>
      <c r="I772" s="44" t="s">
        <v>1127</v>
      </c>
      <c r="J772" s="44">
        <v>241</v>
      </c>
      <c r="K772" s="44" t="s">
        <v>1107</v>
      </c>
      <c r="L772" s="44"/>
      <c r="M772" s="44" t="s">
        <v>1586</v>
      </c>
      <c r="N772" s="45">
        <v>-1370569</v>
      </c>
      <c r="O772" s="46">
        <f t="shared" si="24"/>
        <v>-1370.569</v>
      </c>
      <c r="P772" s="47">
        <f>LUCK!H95</f>
        <v>-1370.569</v>
      </c>
      <c r="Q772" s="44" t="str">
        <f t="shared" si="23"/>
        <v>PASS</v>
      </c>
      <c r="R772" s="44" t="s">
        <v>1587</v>
      </c>
      <c r="S772" s="44"/>
    </row>
    <row r="773" spans="1:19" x14ac:dyDescent="0.3">
      <c r="A773" s="44" t="s">
        <v>1898</v>
      </c>
      <c r="B773" s="44" t="s">
        <v>68</v>
      </c>
      <c r="C773" s="44" t="s">
        <v>20</v>
      </c>
      <c r="D773" s="44" t="s">
        <v>384</v>
      </c>
      <c r="E773" s="44" t="s">
        <v>1381</v>
      </c>
      <c r="F773" s="44"/>
      <c r="G773" s="44" t="s">
        <v>1589</v>
      </c>
      <c r="H773" s="44" t="s">
        <v>1113</v>
      </c>
      <c r="I773" s="44" t="s">
        <v>1106</v>
      </c>
      <c r="J773" s="44">
        <v>227</v>
      </c>
      <c r="K773" s="44" t="s">
        <v>1842</v>
      </c>
      <c r="L773" s="44"/>
      <c r="M773" s="44" t="s">
        <v>1586</v>
      </c>
      <c r="N773" s="45">
        <v>0</v>
      </c>
      <c r="O773" s="46">
        <f t="shared" si="24"/>
        <v>0</v>
      </c>
      <c r="P773" s="47">
        <f>LUCK!D97</f>
        <v>0</v>
      </c>
      <c r="Q773" s="44" t="str">
        <f t="shared" si="23"/>
        <v>PASS</v>
      </c>
      <c r="R773" s="44" t="s">
        <v>1587</v>
      </c>
      <c r="S773" s="44"/>
    </row>
    <row r="774" spans="1:19" x14ac:dyDescent="0.3">
      <c r="A774" s="44" t="s">
        <v>1899</v>
      </c>
      <c r="B774" s="44" t="s">
        <v>68</v>
      </c>
      <c r="C774" s="44" t="s">
        <v>26</v>
      </c>
      <c r="D774" s="44" t="s">
        <v>384</v>
      </c>
      <c r="E774" s="44" t="s">
        <v>1381</v>
      </c>
      <c r="F774" s="44"/>
      <c r="G774" s="44" t="s">
        <v>1592</v>
      </c>
      <c r="H774" s="44" t="s">
        <v>1117</v>
      </c>
      <c r="I774" s="44" t="s">
        <v>1106</v>
      </c>
      <c r="J774" s="44">
        <v>235</v>
      </c>
      <c r="K774" s="44" t="s">
        <v>1844</v>
      </c>
      <c r="L774" s="44"/>
      <c r="M774" s="44" t="s">
        <v>1586</v>
      </c>
      <c r="N774" s="45">
        <v>0</v>
      </c>
      <c r="O774" s="46">
        <f t="shared" si="24"/>
        <v>0</v>
      </c>
      <c r="P774" s="47">
        <f>LUCK!E97</f>
        <v>0</v>
      </c>
      <c r="Q774" s="44" t="str">
        <f t="shared" si="23"/>
        <v>PASS</v>
      </c>
      <c r="R774" s="44" t="s">
        <v>1587</v>
      </c>
      <c r="S774" s="44"/>
    </row>
    <row r="775" spans="1:19" x14ac:dyDescent="0.3">
      <c r="A775" s="44" t="s">
        <v>1900</v>
      </c>
      <c r="B775" s="44" t="s">
        <v>68</v>
      </c>
      <c r="C775" s="44" t="s">
        <v>27</v>
      </c>
      <c r="D775" s="44" t="s">
        <v>384</v>
      </c>
      <c r="E775" s="44" t="s">
        <v>1381</v>
      </c>
      <c r="F775" s="44" t="s">
        <v>1901</v>
      </c>
      <c r="G775" s="44" t="s">
        <v>1595</v>
      </c>
      <c r="H775" s="44" t="s">
        <v>1120</v>
      </c>
      <c r="I775" s="44" t="s">
        <v>1106</v>
      </c>
      <c r="J775" s="44">
        <v>239</v>
      </c>
      <c r="K775" s="44" t="s">
        <v>1846</v>
      </c>
      <c r="L775" s="44"/>
      <c r="M775" s="44" t="s">
        <v>1586</v>
      </c>
      <c r="N775" s="45">
        <v>-437833</v>
      </c>
      <c r="O775" s="46">
        <f t="shared" si="24"/>
        <v>-437.83300000000003</v>
      </c>
      <c r="P775" s="47">
        <f>LUCK!F97</f>
        <v>-437.83300000000003</v>
      </c>
      <c r="Q775" s="44" t="str">
        <f t="shared" si="23"/>
        <v>PASS</v>
      </c>
      <c r="R775" s="44" t="s">
        <v>1587</v>
      </c>
      <c r="S775" s="44"/>
    </row>
    <row r="776" spans="1:19" x14ac:dyDescent="0.3">
      <c r="A776" s="44" t="s">
        <v>1902</v>
      </c>
      <c r="B776" s="44" t="s">
        <v>68</v>
      </c>
      <c r="C776" s="44" t="s">
        <v>28</v>
      </c>
      <c r="D776" s="44" t="s">
        <v>384</v>
      </c>
      <c r="E776" s="44" t="s">
        <v>1381</v>
      </c>
      <c r="F776" s="44" t="s">
        <v>1903</v>
      </c>
      <c r="G776" s="44" t="s">
        <v>1598</v>
      </c>
      <c r="H776" s="44" t="s">
        <v>1124</v>
      </c>
      <c r="I776" s="44" t="s">
        <v>1106</v>
      </c>
      <c r="J776" s="44">
        <v>241</v>
      </c>
      <c r="K776" s="44" t="s">
        <v>1107</v>
      </c>
      <c r="L776" s="44"/>
      <c r="M776" s="44" t="s">
        <v>1586</v>
      </c>
      <c r="N776" s="45">
        <v>-953051</v>
      </c>
      <c r="O776" s="46">
        <f t="shared" si="24"/>
        <v>-953.05100000000004</v>
      </c>
      <c r="P776" s="47">
        <f>LUCK!G97</f>
        <v>-953.05100000000004</v>
      </c>
      <c r="Q776" s="44" t="str">
        <f t="shared" si="23"/>
        <v>PASS</v>
      </c>
      <c r="R776" s="44" t="s">
        <v>1587</v>
      </c>
      <c r="S776" s="44"/>
    </row>
    <row r="777" spans="1:19" x14ac:dyDescent="0.3">
      <c r="A777" s="44" t="s">
        <v>1904</v>
      </c>
      <c r="B777" s="44" t="s">
        <v>68</v>
      </c>
      <c r="C777" s="44" t="s">
        <v>29</v>
      </c>
      <c r="D777" s="44" t="s">
        <v>384</v>
      </c>
      <c r="E777" s="44" t="s">
        <v>1381</v>
      </c>
      <c r="F777" s="44" t="s">
        <v>1903</v>
      </c>
      <c r="G777" s="44" t="s">
        <v>1598</v>
      </c>
      <c r="H777" s="44" t="s">
        <v>1124</v>
      </c>
      <c r="I777" s="44" t="s">
        <v>1127</v>
      </c>
      <c r="J777" s="44">
        <v>241</v>
      </c>
      <c r="K777" s="44" t="s">
        <v>1107</v>
      </c>
      <c r="L777" s="44"/>
      <c r="M777" s="44" t="s">
        <v>1586</v>
      </c>
      <c r="N777" s="45">
        <v>-329600</v>
      </c>
      <c r="O777" s="46">
        <f t="shared" si="24"/>
        <v>-329.6</v>
      </c>
      <c r="P777" s="47">
        <f>LUCK!H97</f>
        <v>-329.6</v>
      </c>
      <c r="Q777" s="44" t="str">
        <f t="shared" si="23"/>
        <v>PASS</v>
      </c>
      <c r="R777" s="44" t="s">
        <v>1587</v>
      </c>
      <c r="S777" s="44"/>
    </row>
    <row r="778" spans="1:19" x14ac:dyDescent="0.3">
      <c r="A778" s="44" t="s">
        <v>1905</v>
      </c>
      <c r="B778" s="44" t="s">
        <v>68</v>
      </c>
      <c r="C778" s="44" t="s">
        <v>20</v>
      </c>
      <c r="D778" s="44" t="s">
        <v>386</v>
      </c>
      <c r="E778" s="44" t="s">
        <v>1381</v>
      </c>
      <c r="F778" s="44" t="s">
        <v>1443</v>
      </c>
      <c r="G778" s="44" t="s">
        <v>1589</v>
      </c>
      <c r="H778" s="44" t="s">
        <v>1113</v>
      </c>
      <c r="I778" s="44" t="s">
        <v>1106</v>
      </c>
      <c r="J778" s="44">
        <v>227</v>
      </c>
      <c r="K778" s="44" t="s">
        <v>1842</v>
      </c>
      <c r="L778" s="44"/>
      <c r="M778" s="44" t="s">
        <v>1586</v>
      </c>
      <c r="N778" s="45">
        <v>-2922024</v>
      </c>
      <c r="O778" s="46">
        <f t="shared" si="24"/>
        <v>-2922.0239999999999</v>
      </c>
      <c r="P778" s="47">
        <f>LUCK!D98</f>
        <v>-2922.0239999999999</v>
      </c>
      <c r="Q778" s="44" t="str">
        <f t="shared" si="23"/>
        <v>PASS</v>
      </c>
      <c r="R778" s="44" t="s">
        <v>1587</v>
      </c>
      <c r="S778" s="44"/>
    </row>
    <row r="779" spans="1:19" x14ac:dyDescent="0.3">
      <c r="A779" s="44" t="s">
        <v>1906</v>
      </c>
      <c r="B779" s="44" t="s">
        <v>68</v>
      </c>
      <c r="C779" s="44" t="s">
        <v>26</v>
      </c>
      <c r="D779" s="44" t="s">
        <v>386</v>
      </c>
      <c r="E779" s="44" t="s">
        <v>1381</v>
      </c>
      <c r="F779" s="44" t="s">
        <v>1443</v>
      </c>
      <c r="G779" s="44" t="s">
        <v>1592</v>
      </c>
      <c r="H779" s="44" t="s">
        <v>1117</v>
      </c>
      <c r="I779" s="44" t="s">
        <v>1106</v>
      </c>
      <c r="J779" s="44">
        <v>235</v>
      </c>
      <c r="K779" s="44" t="s">
        <v>1844</v>
      </c>
      <c r="L779" s="44"/>
      <c r="M779" s="44" t="s">
        <v>1586</v>
      </c>
      <c r="N779" s="45">
        <v>-6122614</v>
      </c>
      <c r="O779" s="46">
        <f t="shared" si="24"/>
        <v>-6122.6139999999996</v>
      </c>
      <c r="P779" s="47">
        <f>LUCK!E98</f>
        <v>-6122.6139999999996</v>
      </c>
      <c r="Q779" s="44" t="str">
        <f t="shared" si="23"/>
        <v>PASS</v>
      </c>
      <c r="R779" s="44" t="s">
        <v>1587</v>
      </c>
      <c r="S779" s="44"/>
    </row>
    <row r="780" spans="1:19" x14ac:dyDescent="0.3">
      <c r="A780" s="44" t="s">
        <v>1907</v>
      </c>
      <c r="B780" s="44" t="s">
        <v>68</v>
      </c>
      <c r="C780" s="44" t="s">
        <v>27</v>
      </c>
      <c r="D780" s="44" t="s">
        <v>386</v>
      </c>
      <c r="E780" s="44" t="s">
        <v>1381</v>
      </c>
      <c r="F780" s="44" t="s">
        <v>1443</v>
      </c>
      <c r="G780" s="44" t="s">
        <v>1595</v>
      </c>
      <c r="H780" s="44" t="s">
        <v>1120</v>
      </c>
      <c r="I780" s="44" t="s">
        <v>1106</v>
      </c>
      <c r="J780" s="44">
        <v>239</v>
      </c>
      <c r="K780" s="44" t="s">
        <v>1846</v>
      </c>
      <c r="L780" s="44"/>
      <c r="M780" s="44" t="s">
        <v>1586</v>
      </c>
      <c r="N780" s="45">
        <v>-7179627</v>
      </c>
      <c r="O780" s="46">
        <f t="shared" si="24"/>
        <v>-7179.6270000000004</v>
      </c>
      <c r="P780" s="47">
        <f>LUCK!F98</f>
        <v>-7179.6270000000004</v>
      </c>
      <c r="Q780" s="44" t="str">
        <f t="shared" si="23"/>
        <v>PASS</v>
      </c>
      <c r="R780" s="44" t="s">
        <v>1587</v>
      </c>
      <c r="S780" s="44" t="s">
        <v>1114</v>
      </c>
    </row>
    <row r="781" spans="1:19" x14ac:dyDescent="0.3">
      <c r="A781" s="44" t="s">
        <v>1908</v>
      </c>
      <c r="B781" s="44" t="s">
        <v>68</v>
      </c>
      <c r="C781" s="44" t="s">
        <v>28</v>
      </c>
      <c r="D781" s="44" t="s">
        <v>386</v>
      </c>
      <c r="E781" s="44" t="s">
        <v>1381</v>
      </c>
      <c r="F781" s="44" t="s">
        <v>1443</v>
      </c>
      <c r="G781" s="44" t="s">
        <v>1598</v>
      </c>
      <c r="H781" s="44" t="s">
        <v>1124</v>
      </c>
      <c r="I781" s="44" t="s">
        <v>1106</v>
      </c>
      <c r="J781" s="44">
        <v>241</v>
      </c>
      <c r="K781" s="44" t="s">
        <v>1107</v>
      </c>
      <c r="L781" s="44"/>
      <c r="M781" s="44" t="s">
        <v>1586</v>
      </c>
      <c r="N781" s="45">
        <v>-12327974</v>
      </c>
      <c r="O781" s="46">
        <f t="shared" si="24"/>
        <v>-12327.974</v>
      </c>
      <c r="P781" s="47">
        <f>LUCK!G98</f>
        <v>-12327.974</v>
      </c>
      <c r="Q781" s="44" t="str">
        <f t="shared" si="23"/>
        <v>PASS</v>
      </c>
      <c r="R781" s="44" t="s">
        <v>1587</v>
      </c>
      <c r="S781" s="44"/>
    </row>
    <row r="782" spans="1:19" x14ac:dyDescent="0.3">
      <c r="A782" s="44" t="s">
        <v>1909</v>
      </c>
      <c r="B782" s="44" t="s">
        <v>68</v>
      </c>
      <c r="C782" s="44" t="s">
        <v>29</v>
      </c>
      <c r="D782" s="44" t="s">
        <v>386</v>
      </c>
      <c r="E782" s="44" t="s">
        <v>1381</v>
      </c>
      <c r="F782" s="44" t="s">
        <v>1443</v>
      </c>
      <c r="G782" s="44" t="s">
        <v>1598</v>
      </c>
      <c r="H782" s="44" t="s">
        <v>1124</v>
      </c>
      <c r="I782" s="44" t="s">
        <v>1127</v>
      </c>
      <c r="J782" s="44">
        <v>241</v>
      </c>
      <c r="K782" s="44" t="s">
        <v>1107</v>
      </c>
      <c r="L782" s="44"/>
      <c r="M782" s="44" t="s">
        <v>1586</v>
      </c>
      <c r="N782" s="45">
        <v>-13901297</v>
      </c>
      <c r="O782" s="46">
        <f t="shared" si="24"/>
        <v>-13901.297</v>
      </c>
      <c r="P782" s="47">
        <f>LUCK!H98</f>
        <v>-13901.297</v>
      </c>
      <c r="Q782" s="44" t="str">
        <f t="shared" si="23"/>
        <v>PASS</v>
      </c>
      <c r="R782" s="44" t="s">
        <v>1587</v>
      </c>
      <c r="S782" s="44"/>
    </row>
    <row r="783" spans="1:19" x14ac:dyDescent="0.3">
      <c r="A783" s="44" t="s">
        <v>1910</v>
      </c>
      <c r="B783" s="44" t="s">
        <v>68</v>
      </c>
      <c r="C783" s="44" t="s">
        <v>20</v>
      </c>
      <c r="D783" s="44" t="s">
        <v>390</v>
      </c>
      <c r="E783" s="44" t="s">
        <v>1381</v>
      </c>
      <c r="F783" s="44" t="s">
        <v>362</v>
      </c>
      <c r="G783" s="44" t="s">
        <v>1589</v>
      </c>
      <c r="H783" s="44" t="s">
        <v>1113</v>
      </c>
      <c r="I783" s="44" t="s">
        <v>1106</v>
      </c>
      <c r="J783" s="44">
        <v>227</v>
      </c>
      <c r="K783" s="44" t="s">
        <v>1842</v>
      </c>
      <c r="L783" s="44"/>
      <c r="M783" s="44" t="s">
        <v>1586</v>
      </c>
      <c r="N783" s="45">
        <v>18955932</v>
      </c>
      <c r="O783" s="46">
        <f t="shared" si="24"/>
        <v>18955.932000000001</v>
      </c>
      <c r="P783" s="47">
        <f>LUCK!D100</f>
        <v>18955.932000000001</v>
      </c>
      <c r="Q783" s="44" t="str">
        <f t="shared" ref="Q783:Q822" si="25">IF(ABS(O783-P783)&lt;0.000001,"PASS","FAIL")</f>
        <v>PASS</v>
      </c>
      <c r="R783" s="44" t="s">
        <v>1587</v>
      </c>
      <c r="S783" s="44"/>
    </row>
    <row r="784" spans="1:19" x14ac:dyDescent="0.3">
      <c r="A784" s="44" t="s">
        <v>1911</v>
      </c>
      <c r="B784" s="44" t="s">
        <v>68</v>
      </c>
      <c r="C784" s="44" t="s">
        <v>26</v>
      </c>
      <c r="D784" s="44" t="s">
        <v>390</v>
      </c>
      <c r="E784" s="44" t="s">
        <v>1381</v>
      </c>
      <c r="F784" s="44" t="s">
        <v>362</v>
      </c>
      <c r="G784" s="44" t="s">
        <v>1592</v>
      </c>
      <c r="H784" s="44" t="s">
        <v>1117</v>
      </c>
      <c r="I784" s="44" t="s">
        <v>1106</v>
      </c>
      <c r="J784" s="44">
        <v>235</v>
      </c>
      <c r="K784" s="44" t="s">
        <v>1844</v>
      </c>
      <c r="L784" s="44"/>
      <c r="M784" s="44" t="s">
        <v>1586</v>
      </c>
      <c r="N784" s="45">
        <v>22551841</v>
      </c>
      <c r="O784" s="46">
        <f t="shared" si="24"/>
        <v>22551.841</v>
      </c>
      <c r="P784" s="47">
        <f>LUCK!E100</f>
        <v>22551.841</v>
      </c>
      <c r="Q784" s="44" t="str">
        <f t="shared" si="25"/>
        <v>PASS</v>
      </c>
      <c r="R784" s="44" t="s">
        <v>1587</v>
      </c>
      <c r="S784" s="44"/>
    </row>
    <row r="785" spans="1:19" x14ac:dyDescent="0.3">
      <c r="A785" s="44" t="s">
        <v>1912</v>
      </c>
      <c r="B785" s="44" t="s">
        <v>68</v>
      </c>
      <c r="C785" s="44" t="s">
        <v>27</v>
      </c>
      <c r="D785" s="44" t="s">
        <v>390</v>
      </c>
      <c r="E785" s="44" t="s">
        <v>1381</v>
      </c>
      <c r="F785" s="44" t="s">
        <v>362</v>
      </c>
      <c r="G785" s="44" t="s">
        <v>1595</v>
      </c>
      <c r="H785" s="44" t="s">
        <v>1120</v>
      </c>
      <c r="I785" s="44" t="s">
        <v>1106</v>
      </c>
      <c r="J785" s="44">
        <v>239</v>
      </c>
      <c r="K785" s="44" t="s">
        <v>1846</v>
      </c>
      <c r="L785" s="44"/>
      <c r="M785" s="44" t="s">
        <v>1586</v>
      </c>
      <c r="N785" s="45">
        <v>26060678</v>
      </c>
      <c r="O785" s="46">
        <f t="shared" si="24"/>
        <v>26060.678</v>
      </c>
      <c r="P785" s="47">
        <f>LUCK!F100</f>
        <v>26060.678</v>
      </c>
      <c r="Q785" s="44" t="str">
        <f t="shared" si="25"/>
        <v>PASS</v>
      </c>
      <c r="R785" s="44" t="s">
        <v>1587</v>
      </c>
      <c r="S785" s="44"/>
    </row>
    <row r="786" spans="1:19" x14ac:dyDescent="0.3">
      <c r="A786" s="44" t="s">
        <v>1913</v>
      </c>
      <c r="B786" s="44" t="s">
        <v>68</v>
      </c>
      <c r="C786" s="44" t="s">
        <v>28</v>
      </c>
      <c r="D786" s="44" t="s">
        <v>390</v>
      </c>
      <c r="E786" s="44" t="s">
        <v>1381</v>
      </c>
      <c r="F786" s="44" t="s">
        <v>362</v>
      </c>
      <c r="G786" s="44" t="s">
        <v>1598</v>
      </c>
      <c r="H786" s="44" t="s">
        <v>1124</v>
      </c>
      <c r="I786" s="44" t="s">
        <v>1106</v>
      </c>
      <c r="J786" s="44">
        <v>241</v>
      </c>
      <c r="K786" s="44" t="s">
        <v>1107</v>
      </c>
      <c r="L786" s="44"/>
      <c r="M786" s="44" t="s">
        <v>1586</v>
      </c>
      <c r="N786" s="45">
        <v>38804572</v>
      </c>
      <c r="O786" s="46">
        <f t="shared" si="24"/>
        <v>38804.572</v>
      </c>
      <c r="P786" s="47">
        <f>LUCK!G100</f>
        <v>38804.572</v>
      </c>
      <c r="Q786" s="44" t="str">
        <f t="shared" si="25"/>
        <v>PASS</v>
      </c>
      <c r="R786" s="44" t="s">
        <v>1587</v>
      </c>
      <c r="S786" s="44"/>
    </row>
    <row r="787" spans="1:19" x14ac:dyDescent="0.3">
      <c r="A787" s="44" t="s">
        <v>1914</v>
      </c>
      <c r="B787" s="44" t="s">
        <v>68</v>
      </c>
      <c r="C787" s="44" t="s">
        <v>29</v>
      </c>
      <c r="D787" s="44" t="s">
        <v>390</v>
      </c>
      <c r="E787" s="44" t="s">
        <v>1381</v>
      </c>
      <c r="F787" s="44" t="s">
        <v>362</v>
      </c>
      <c r="G787" s="44" t="s">
        <v>1598</v>
      </c>
      <c r="H787" s="44" t="s">
        <v>1124</v>
      </c>
      <c r="I787" s="44" t="s">
        <v>1127</v>
      </c>
      <c r="J787" s="44">
        <v>241</v>
      </c>
      <c r="K787" s="44" t="s">
        <v>1107</v>
      </c>
      <c r="L787" s="44"/>
      <c r="M787" s="44" t="s">
        <v>1586</v>
      </c>
      <c r="N787" s="45">
        <v>42684684</v>
      </c>
      <c r="O787" s="46">
        <f t="shared" si="24"/>
        <v>42684.684000000001</v>
      </c>
      <c r="P787" s="47">
        <f>LUCK!H100</f>
        <v>42684.684000000001</v>
      </c>
      <c r="Q787" s="44" t="str">
        <f t="shared" si="25"/>
        <v>PASS</v>
      </c>
      <c r="R787" s="44" t="s">
        <v>1587</v>
      </c>
      <c r="S787" s="44"/>
    </row>
    <row r="788" spans="1:19" x14ac:dyDescent="0.3">
      <c r="A788" s="44" t="s">
        <v>1915</v>
      </c>
      <c r="B788" s="44" t="s">
        <v>68</v>
      </c>
      <c r="C788" s="44" t="s">
        <v>20</v>
      </c>
      <c r="D788" s="44" t="s">
        <v>392</v>
      </c>
      <c r="E788" s="44" t="s">
        <v>1381</v>
      </c>
      <c r="F788" s="44" t="s">
        <v>1455</v>
      </c>
      <c r="G788" s="44" t="s">
        <v>1589</v>
      </c>
      <c r="H788" s="44" t="s">
        <v>1113</v>
      </c>
      <c r="I788" s="44" t="s">
        <v>1106</v>
      </c>
      <c r="J788" s="44">
        <v>227</v>
      </c>
      <c r="K788" s="44" t="s">
        <v>1842</v>
      </c>
      <c r="L788" s="44"/>
      <c r="M788" s="44" t="s">
        <v>1586</v>
      </c>
      <c r="N788" s="45">
        <v>16992213</v>
      </c>
      <c r="O788" s="46">
        <f t="shared" si="24"/>
        <v>16992.213</v>
      </c>
      <c r="P788" s="47">
        <f>LUCK!D101</f>
        <v>16992.213</v>
      </c>
      <c r="Q788" s="44" t="str">
        <f t="shared" si="25"/>
        <v>PASS</v>
      </c>
      <c r="R788" s="44" t="s">
        <v>1587</v>
      </c>
      <c r="S788" s="44"/>
    </row>
    <row r="789" spans="1:19" x14ac:dyDescent="0.3">
      <c r="A789" s="44" t="s">
        <v>1916</v>
      </c>
      <c r="B789" s="44" t="s">
        <v>68</v>
      </c>
      <c r="C789" s="44" t="s">
        <v>26</v>
      </c>
      <c r="D789" s="44" t="s">
        <v>392</v>
      </c>
      <c r="E789" s="44" t="s">
        <v>1381</v>
      </c>
      <c r="F789" s="44" t="s">
        <v>1455</v>
      </c>
      <c r="G789" s="44" t="s">
        <v>1592</v>
      </c>
      <c r="H789" s="44" t="s">
        <v>1117</v>
      </c>
      <c r="I789" s="44" t="s">
        <v>1106</v>
      </c>
      <c r="J789" s="44">
        <v>235</v>
      </c>
      <c r="K789" s="44" t="s">
        <v>1844</v>
      </c>
      <c r="L789" s="44"/>
      <c r="M789" s="44" t="s">
        <v>1586</v>
      </c>
      <c r="N789" s="45">
        <v>21421232</v>
      </c>
      <c r="O789" s="46">
        <f t="shared" si="24"/>
        <v>21421.232</v>
      </c>
      <c r="P789" s="47">
        <f>LUCK!E101</f>
        <v>21421.232</v>
      </c>
      <c r="Q789" s="44" t="str">
        <f t="shared" si="25"/>
        <v>PASS</v>
      </c>
      <c r="R789" s="44" t="s">
        <v>1587</v>
      </c>
      <c r="S789" s="44"/>
    </row>
    <row r="790" spans="1:19" x14ac:dyDescent="0.3">
      <c r="A790" s="44" t="s">
        <v>1917</v>
      </c>
      <c r="B790" s="44" t="s">
        <v>68</v>
      </c>
      <c r="C790" s="44" t="s">
        <v>27</v>
      </c>
      <c r="D790" s="44" t="s">
        <v>392</v>
      </c>
      <c r="E790" s="44" t="s">
        <v>1381</v>
      </c>
      <c r="F790" s="44" t="s">
        <v>1918</v>
      </c>
      <c r="G790" s="44" t="s">
        <v>1595</v>
      </c>
      <c r="H790" s="44" t="s">
        <v>1120</v>
      </c>
      <c r="I790" s="44" t="s">
        <v>1106</v>
      </c>
      <c r="J790" s="44">
        <v>239</v>
      </c>
      <c r="K790" s="44" t="s">
        <v>1846</v>
      </c>
      <c r="L790" s="44"/>
      <c r="M790" s="44" t="s">
        <v>1586</v>
      </c>
      <c r="N790" s="45">
        <v>21343274</v>
      </c>
      <c r="O790" s="46">
        <f t="shared" si="24"/>
        <v>21343.274000000001</v>
      </c>
      <c r="P790" s="47">
        <f>LUCK!F101</f>
        <v>21343.274000000001</v>
      </c>
      <c r="Q790" s="44" t="str">
        <f t="shared" si="25"/>
        <v>PASS</v>
      </c>
      <c r="R790" s="44" t="s">
        <v>1587</v>
      </c>
      <c r="S790" s="44"/>
    </row>
    <row r="791" spans="1:19" x14ac:dyDescent="0.3">
      <c r="A791" s="44" t="s">
        <v>1919</v>
      </c>
      <c r="B791" s="44" t="s">
        <v>68</v>
      </c>
      <c r="C791" s="44" t="s">
        <v>28</v>
      </c>
      <c r="D791" s="44" t="s">
        <v>392</v>
      </c>
      <c r="E791" s="44" t="s">
        <v>1381</v>
      </c>
      <c r="F791" s="44" t="s">
        <v>1920</v>
      </c>
      <c r="G791" s="44" t="s">
        <v>1598</v>
      </c>
      <c r="H791" s="44" t="s">
        <v>1124</v>
      </c>
      <c r="I791" s="44" t="s">
        <v>1106</v>
      </c>
      <c r="J791" s="44">
        <v>241</v>
      </c>
      <c r="K791" s="44" t="s">
        <v>1107</v>
      </c>
      <c r="L791" s="44"/>
      <c r="M791" s="44" t="s">
        <v>1586</v>
      </c>
      <c r="N791" s="45">
        <v>41387564</v>
      </c>
      <c r="O791" s="46">
        <f t="shared" si="24"/>
        <v>41387.563999999998</v>
      </c>
      <c r="P791" s="47">
        <f>LUCK!G101</f>
        <v>41387.563999999998</v>
      </c>
      <c r="Q791" s="44" t="str">
        <f t="shared" si="25"/>
        <v>PASS</v>
      </c>
      <c r="R791" s="44" t="s">
        <v>1587</v>
      </c>
      <c r="S791" s="44"/>
    </row>
    <row r="792" spans="1:19" x14ac:dyDescent="0.3">
      <c r="A792" s="44" t="s">
        <v>1921</v>
      </c>
      <c r="B792" s="44" t="s">
        <v>68</v>
      </c>
      <c r="C792" s="44" t="s">
        <v>29</v>
      </c>
      <c r="D792" s="44" t="s">
        <v>392</v>
      </c>
      <c r="E792" s="44" t="s">
        <v>1381</v>
      </c>
      <c r="F792" s="44" t="s">
        <v>1920</v>
      </c>
      <c r="G792" s="44" t="s">
        <v>1598</v>
      </c>
      <c r="H792" s="44" t="s">
        <v>1124</v>
      </c>
      <c r="I792" s="44" t="s">
        <v>1127</v>
      </c>
      <c r="J792" s="44">
        <v>241</v>
      </c>
      <c r="K792" s="44" t="s">
        <v>1107</v>
      </c>
      <c r="L792" s="44"/>
      <c r="M792" s="44" t="s">
        <v>1586</v>
      </c>
      <c r="N792" s="45">
        <v>47323059</v>
      </c>
      <c r="O792" s="46">
        <f t="shared" si="24"/>
        <v>47323.059000000001</v>
      </c>
      <c r="P792" s="47">
        <f>LUCK!H101</f>
        <v>47323.059000000001</v>
      </c>
      <c r="Q792" s="44" t="str">
        <f t="shared" si="25"/>
        <v>PASS</v>
      </c>
      <c r="R792" s="44" t="s">
        <v>1587</v>
      </c>
      <c r="S792" s="44"/>
    </row>
    <row r="793" spans="1:19" x14ac:dyDescent="0.3">
      <c r="A793" s="44" t="s">
        <v>1922</v>
      </c>
      <c r="B793" s="44" t="s">
        <v>68</v>
      </c>
      <c r="C793" s="44" t="s">
        <v>20</v>
      </c>
      <c r="D793" s="44" t="s">
        <v>394</v>
      </c>
      <c r="E793" s="44" t="s">
        <v>1381</v>
      </c>
      <c r="F793" s="44" t="s">
        <v>1462</v>
      </c>
      <c r="G793" s="44" t="s">
        <v>1589</v>
      </c>
      <c r="H793" s="44" t="s">
        <v>1113</v>
      </c>
      <c r="I793" s="44" t="s">
        <v>1106</v>
      </c>
      <c r="J793" s="44">
        <v>227</v>
      </c>
      <c r="K793" s="44" t="s">
        <v>1842</v>
      </c>
      <c r="L793" s="44"/>
      <c r="M793" s="44" t="s">
        <v>1586</v>
      </c>
      <c r="N793" s="45">
        <v>14070189</v>
      </c>
      <c r="O793" s="46">
        <f t="shared" si="24"/>
        <v>14070.189</v>
      </c>
      <c r="P793" s="47">
        <f>LUCK!D102</f>
        <v>14070.189</v>
      </c>
      <c r="Q793" s="44" t="str">
        <f t="shared" si="25"/>
        <v>PASS</v>
      </c>
      <c r="R793" s="44" t="s">
        <v>1587</v>
      </c>
      <c r="S793" s="44"/>
    </row>
    <row r="794" spans="1:19" x14ac:dyDescent="0.3">
      <c r="A794" s="44" t="s">
        <v>1923</v>
      </c>
      <c r="B794" s="44" t="s">
        <v>68</v>
      </c>
      <c r="C794" s="44" t="s">
        <v>26</v>
      </c>
      <c r="D794" s="44" t="s">
        <v>394</v>
      </c>
      <c r="E794" s="44" t="s">
        <v>1381</v>
      </c>
      <c r="F794" s="44" t="s">
        <v>1462</v>
      </c>
      <c r="G794" s="44" t="s">
        <v>1592</v>
      </c>
      <c r="H794" s="44" t="s">
        <v>1117</v>
      </c>
      <c r="I794" s="44" t="s">
        <v>1106</v>
      </c>
      <c r="J794" s="44">
        <v>235</v>
      </c>
      <c r="K794" s="44" t="s">
        <v>1844</v>
      </c>
      <c r="L794" s="44"/>
      <c r="M794" s="44" t="s">
        <v>1586</v>
      </c>
      <c r="N794" s="45">
        <v>15298618</v>
      </c>
      <c r="O794" s="46">
        <f t="shared" si="24"/>
        <v>15298.618</v>
      </c>
      <c r="P794" s="47">
        <f>LUCK!E102</f>
        <v>15298.618</v>
      </c>
      <c r="Q794" s="44" t="str">
        <f t="shared" si="25"/>
        <v>PASS</v>
      </c>
      <c r="R794" s="44" t="s">
        <v>1587</v>
      </c>
      <c r="S794" s="44"/>
    </row>
    <row r="795" spans="1:19" x14ac:dyDescent="0.3">
      <c r="A795" s="44" t="s">
        <v>1924</v>
      </c>
      <c r="B795" s="44" t="s">
        <v>68</v>
      </c>
      <c r="C795" s="44" t="s">
        <v>27</v>
      </c>
      <c r="D795" s="44" t="s">
        <v>394</v>
      </c>
      <c r="E795" s="44" t="s">
        <v>1381</v>
      </c>
      <c r="F795" s="44" t="s">
        <v>1925</v>
      </c>
      <c r="G795" s="44" t="s">
        <v>1595</v>
      </c>
      <c r="H795" s="44" t="s">
        <v>1120</v>
      </c>
      <c r="I795" s="44" t="s">
        <v>1106</v>
      </c>
      <c r="J795" s="44">
        <v>239</v>
      </c>
      <c r="K795" s="44" t="s">
        <v>1846</v>
      </c>
      <c r="L795" s="44"/>
      <c r="M795" s="44" t="s">
        <v>1586</v>
      </c>
      <c r="N795" s="45">
        <v>13725814</v>
      </c>
      <c r="O795" s="46">
        <f t="shared" si="24"/>
        <v>13725.814</v>
      </c>
      <c r="P795" s="47">
        <f>LUCK!F102</f>
        <v>13725.814</v>
      </c>
      <c r="Q795" s="44" t="str">
        <f t="shared" si="25"/>
        <v>PASS</v>
      </c>
      <c r="R795" s="44" t="s">
        <v>1587</v>
      </c>
      <c r="S795" s="44"/>
    </row>
    <row r="796" spans="1:19" x14ac:dyDescent="0.3">
      <c r="A796" s="44" t="s">
        <v>1926</v>
      </c>
      <c r="B796" s="44" t="s">
        <v>68</v>
      </c>
      <c r="C796" s="44" t="s">
        <v>28</v>
      </c>
      <c r="D796" s="44" t="s">
        <v>394</v>
      </c>
      <c r="E796" s="44" t="s">
        <v>1381</v>
      </c>
      <c r="F796" s="44" t="s">
        <v>1462</v>
      </c>
      <c r="G796" s="44" t="s">
        <v>1598</v>
      </c>
      <c r="H796" s="44" t="s">
        <v>1124</v>
      </c>
      <c r="I796" s="44" t="s">
        <v>1106</v>
      </c>
      <c r="J796" s="44">
        <v>241</v>
      </c>
      <c r="K796" s="44" t="s">
        <v>1107</v>
      </c>
      <c r="L796" s="44"/>
      <c r="M796" s="44" t="s">
        <v>1586</v>
      </c>
      <c r="N796" s="45">
        <v>28106539</v>
      </c>
      <c r="O796" s="46">
        <f t="shared" si="24"/>
        <v>28106.539000000001</v>
      </c>
      <c r="P796" s="47">
        <f>LUCK!G102</f>
        <v>28106.539000000001</v>
      </c>
      <c r="Q796" s="44" t="str">
        <f t="shared" si="25"/>
        <v>PASS</v>
      </c>
      <c r="R796" s="44" t="s">
        <v>1587</v>
      </c>
      <c r="S796" s="44"/>
    </row>
    <row r="797" spans="1:19" x14ac:dyDescent="0.3">
      <c r="A797" s="44" t="s">
        <v>1927</v>
      </c>
      <c r="B797" s="44" t="s">
        <v>68</v>
      </c>
      <c r="C797" s="44" t="s">
        <v>29</v>
      </c>
      <c r="D797" s="44" t="s">
        <v>394</v>
      </c>
      <c r="E797" s="44" t="s">
        <v>1381</v>
      </c>
      <c r="F797" s="44" t="s">
        <v>1462</v>
      </c>
      <c r="G797" s="44" t="s">
        <v>1598</v>
      </c>
      <c r="H797" s="44" t="s">
        <v>1124</v>
      </c>
      <c r="I797" s="44" t="s">
        <v>1127</v>
      </c>
      <c r="J797" s="44">
        <v>241</v>
      </c>
      <c r="K797" s="44" t="s">
        <v>1107</v>
      </c>
      <c r="L797" s="44"/>
      <c r="M797" s="44" t="s">
        <v>1586</v>
      </c>
      <c r="N797" s="45">
        <v>33092162</v>
      </c>
      <c r="O797" s="46">
        <f t="shared" si="24"/>
        <v>33092.161999999997</v>
      </c>
      <c r="P797" s="47">
        <f>LUCK!H102</f>
        <v>33092.161999999997</v>
      </c>
      <c r="Q797" s="44" t="str">
        <f t="shared" si="25"/>
        <v>PASS</v>
      </c>
      <c r="R797" s="44" t="s">
        <v>1587</v>
      </c>
      <c r="S797" s="44"/>
    </row>
    <row r="798" spans="1:19" x14ac:dyDescent="0.3">
      <c r="A798" s="44" t="s">
        <v>1928</v>
      </c>
      <c r="B798" s="44" t="s">
        <v>68</v>
      </c>
      <c r="C798" s="44" t="s">
        <v>20</v>
      </c>
      <c r="D798" s="44" t="s">
        <v>398</v>
      </c>
      <c r="E798" s="44" t="s">
        <v>1130</v>
      </c>
      <c r="F798" s="44" t="s">
        <v>1929</v>
      </c>
      <c r="G798" s="44" t="s">
        <v>1589</v>
      </c>
      <c r="H798" s="44" t="s">
        <v>1113</v>
      </c>
      <c r="I798" s="44" t="s">
        <v>1106</v>
      </c>
      <c r="J798" s="44">
        <v>256</v>
      </c>
      <c r="K798" s="44" t="s">
        <v>1930</v>
      </c>
      <c r="L798" s="44"/>
      <c r="M798" s="44" t="s">
        <v>1586</v>
      </c>
      <c r="N798" s="45">
        <v>0</v>
      </c>
      <c r="O798" s="46">
        <f t="shared" si="24"/>
        <v>0</v>
      </c>
      <c r="P798" s="47">
        <f>LUCK!D105</f>
        <v>0</v>
      </c>
      <c r="Q798" s="44" t="str">
        <f t="shared" si="25"/>
        <v>PASS</v>
      </c>
      <c r="R798" s="44" t="s">
        <v>1587</v>
      </c>
      <c r="S798" s="44"/>
    </row>
    <row r="799" spans="1:19" x14ac:dyDescent="0.3">
      <c r="A799" s="44" t="s">
        <v>1931</v>
      </c>
      <c r="B799" s="44" t="s">
        <v>68</v>
      </c>
      <c r="C799" s="44" t="s">
        <v>26</v>
      </c>
      <c r="D799" s="44" t="s">
        <v>398</v>
      </c>
      <c r="E799" s="44" t="s">
        <v>1130</v>
      </c>
      <c r="F799" s="44" t="s">
        <v>1929</v>
      </c>
      <c r="G799" s="44" t="s">
        <v>1592</v>
      </c>
      <c r="H799" s="44" t="s">
        <v>1117</v>
      </c>
      <c r="I799" s="44" t="s">
        <v>1106</v>
      </c>
      <c r="J799" s="44">
        <v>264</v>
      </c>
      <c r="K799" s="44" t="s">
        <v>1932</v>
      </c>
      <c r="L799" s="44"/>
      <c r="M799" s="44" t="s">
        <v>1586</v>
      </c>
      <c r="N799" s="45">
        <v>0</v>
      </c>
      <c r="O799" s="46">
        <f t="shared" si="24"/>
        <v>0</v>
      </c>
      <c r="P799" s="47">
        <f>LUCK!E105</f>
        <v>0</v>
      </c>
      <c r="Q799" s="44" t="str">
        <f t="shared" si="25"/>
        <v>PASS</v>
      </c>
      <c r="R799" s="44" t="s">
        <v>1587</v>
      </c>
      <c r="S799" s="44"/>
    </row>
    <row r="800" spans="1:19" x14ac:dyDescent="0.3">
      <c r="A800" s="44" t="s">
        <v>1933</v>
      </c>
      <c r="B800" s="44" t="s">
        <v>68</v>
      </c>
      <c r="C800" s="44" t="s">
        <v>27</v>
      </c>
      <c r="D800" s="44" t="s">
        <v>398</v>
      </c>
      <c r="E800" s="44" t="s">
        <v>1130</v>
      </c>
      <c r="F800" s="44" t="s">
        <v>1929</v>
      </c>
      <c r="G800" s="44" t="s">
        <v>1595</v>
      </c>
      <c r="H800" s="44" t="s">
        <v>1120</v>
      </c>
      <c r="I800" s="44" t="s">
        <v>1106</v>
      </c>
      <c r="J800" s="44">
        <v>269</v>
      </c>
      <c r="K800" s="44" t="s">
        <v>1934</v>
      </c>
      <c r="L800" s="44"/>
      <c r="M800" s="44" t="s">
        <v>1586</v>
      </c>
      <c r="N800" s="45">
        <v>10974</v>
      </c>
      <c r="O800" s="46">
        <f t="shared" si="24"/>
        <v>10.974</v>
      </c>
      <c r="P800" s="47">
        <f>LUCK!F105</f>
        <v>10.974</v>
      </c>
      <c r="Q800" s="44" t="str">
        <f t="shared" si="25"/>
        <v>PASS</v>
      </c>
      <c r="R800" s="44" t="s">
        <v>1587</v>
      </c>
      <c r="S800" s="44"/>
    </row>
    <row r="801" spans="1:19" x14ac:dyDescent="0.3">
      <c r="A801" s="44" t="s">
        <v>1935</v>
      </c>
      <c r="B801" s="44" t="s">
        <v>68</v>
      </c>
      <c r="C801" s="44" t="s">
        <v>28</v>
      </c>
      <c r="D801" s="44" t="s">
        <v>398</v>
      </c>
      <c r="E801" s="44" t="s">
        <v>1130</v>
      </c>
      <c r="F801" s="44" t="s">
        <v>1929</v>
      </c>
      <c r="G801" s="44" t="s">
        <v>1598</v>
      </c>
      <c r="H801" s="44" t="s">
        <v>1124</v>
      </c>
      <c r="I801" s="44" t="s">
        <v>1106</v>
      </c>
      <c r="J801" s="44">
        <v>272</v>
      </c>
      <c r="K801" s="44" t="s">
        <v>1936</v>
      </c>
      <c r="L801" s="44"/>
      <c r="M801" s="44" t="s">
        <v>1586</v>
      </c>
      <c r="N801" s="45">
        <v>20633</v>
      </c>
      <c r="O801" s="46">
        <f t="shared" si="24"/>
        <v>20.632999999999999</v>
      </c>
      <c r="P801" s="47">
        <f>LUCK!G105</f>
        <v>20.632999999999999</v>
      </c>
      <c r="Q801" s="44" t="str">
        <f t="shared" si="25"/>
        <v>PASS</v>
      </c>
      <c r="R801" s="44" t="s">
        <v>1587</v>
      </c>
      <c r="S801" s="44"/>
    </row>
    <row r="802" spans="1:19" x14ac:dyDescent="0.3">
      <c r="A802" s="44" t="s">
        <v>1937</v>
      </c>
      <c r="B802" s="44" t="s">
        <v>68</v>
      </c>
      <c r="C802" s="44" t="s">
        <v>29</v>
      </c>
      <c r="D802" s="44" t="s">
        <v>398</v>
      </c>
      <c r="E802" s="44" t="s">
        <v>1130</v>
      </c>
      <c r="F802" s="44" t="s">
        <v>1929</v>
      </c>
      <c r="G802" s="44" t="s">
        <v>1598</v>
      </c>
      <c r="H802" s="44" t="s">
        <v>1124</v>
      </c>
      <c r="I802" s="44" t="s">
        <v>1127</v>
      </c>
      <c r="J802" s="44">
        <v>272</v>
      </c>
      <c r="K802" s="44" t="s">
        <v>1936</v>
      </c>
      <c r="L802" s="44"/>
      <c r="M802" s="44" t="s">
        <v>1586</v>
      </c>
      <c r="N802" s="45">
        <v>44522</v>
      </c>
      <c r="O802" s="46">
        <f t="shared" si="24"/>
        <v>44.521999999999998</v>
      </c>
      <c r="P802" s="47">
        <f>LUCK!H105</f>
        <v>44.521999999999998</v>
      </c>
      <c r="Q802" s="44" t="str">
        <f t="shared" si="25"/>
        <v>PASS</v>
      </c>
      <c r="R802" s="44" t="s">
        <v>1587</v>
      </c>
      <c r="S802" s="44"/>
    </row>
    <row r="803" spans="1:19" x14ac:dyDescent="0.3">
      <c r="A803" s="44" t="s">
        <v>1938</v>
      </c>
      <c r="B803" s="44" t="s">
        <v>68</v>
      </c>
      <c r="C803" s="44" t="s">
        <v>20</v>
      </c>
      <c r="D803" s="44" t="s">
        <v>402</v>
      </c>
      <c r="E803" s="44" t="s">
        <v>1478</v>
      </c>
      <c r="F803" s="44" t="s">
        <v>1939</v>
      </c>
      <c r="G803" s="44" t="s">
        <v>1589</v>
      </c>
      <c r="H803" s="44" t="s">
        <v>1113</v>
      </c>
      <c r="I803" s="44" t="s">
        <v>1106</v>
      </c>
      <c r="J803" s="44">
        <v>258</v>
      </c>
      <c r="K803" s="44" t="s">
        <v>1940</v>
      </c>
      <c r="L803" s="44"/>
      <c r="M803" s="44" t="s">
        <v>1586</v>
      </c>
      <c r="N803" s="45">
        <v>4298760</v>
      </c>
      <c r="O803" s="46">
        <f t="shared" si="24"/>
        <v>4298.76</v>
      </c>
      <c r="P803" s="47">
        <f>LUCK!D107</f>
        <v>4298.76</v>
      </c>
      <c r="Q803" s="44" t="str">
        <f t="shared" si="25"/>
        <v>PASS</v>
      </c>
      <c r="R803" s="44" t="s">
        <v>1587</v>
      </c>
      <c r="S803" s="44"/>
    </row>
    <row r="804" spans="1:19" x14ac:dyDescent="0.3">
      <c r="A804" s="44" t="s">
        <v>1941</v>
      </c>
      <c r="B804" s="44" t="s">
        <v>68</v>
      </c>
      <c r="C804" s="44" t="s">
        <v>26</v>
      </c>
      <c r="D804" s="44" t="s">
        <v>402</v>
      </c>
      <c r="E804" s="44" t="s">
        <v>1478</v>
      </c>
      <c r="F804" s="44" t="s">
        <v>1942</v>
      </c>
      <c r="G804" s="44" t="s">
        <v>1592</v>
      </c>
      <c r="H804" s="44" t="s">
        <v>1117</v>
      </c>
      <c r="I804" s="44" t="s">
        <v>1106</v>
      </c>
      <c r="J804" s="44">
        <v>266</v>
      </c>
      <c r="K804" s="44" t="s">
        <v>1943</v>
      </c>
      <c r="L804" s="44"/>
      <c r="M804" s="44" t="s">
        <v>1586</v>
      </c>
      <c r="N804" s="45">
        <v>4527761</v>
      </c>
      <c r="O804" s="46">
        <f t="shared" si="24"/>
        <v>4527.7610000000004</v>
      </c>
      <c r="P804" s="47">
        <f>LUCK!E107</f>
        <v>4527.7610000000004</v>
      </c>
      <c r="Q804" s="44" t="str">
        <f t="shared" si="25"/>
        <v>PASS</v>
      </c>
      <c r="R804" s="44" t="s">
        <v>1587</v>
      </c>
      <c r="S804" s="44"/>
    </row>
    <row r="805" spans="1:19" x14ac:dyDescent="0.3">
      <c r="A805" s="44" t="s">
        <v>1944</v>
      </c>
      <c r="B805" s="44" t="s">
        <v>68</v>
      </c>
      <c r="C805" s="44" t="s">
        <v>27</v>
      </c>
      <c r="D805" s="44" t="s">
        <v>402</v>
      </c>
      <c r="E805" s="44" t="s">
        <v>1478</v>
      </c>
      <c r="F805" s="44" t="s">
        <v>1942</v>
      </c>
      <c r="G805" s="44" t="s">
        <v>1595</v>
      </c>
      <c r="H805" s="44" t="s">
        <v>1120</v>
      </c>
      <c r="I805" s="44" t="s">
        <v>1106</v>
      </c>
      <c r="J805" s="44">
        <v>272</v>
      </c>
      <c r="K805" s="44" t="s">
        <v>1936</v>
      </c>
      <c r="L805" s="44"/>
      <c r="M805" s="44" t="s">
        <v>1586</v>
      </c>
      <c r="N805" s="45">
        <v>5314762</v>
      </c>
      <c r="O805" s="46">
        <f t="shared" si="24"/>
        <v>5314.7619999999997</v>
      </c>
      <c r="P805" s="47">
        <f>LUCK!F107</f>
        <v>5314.7619999999997</v>
      </c>
      <c r="Q805" s="44" t="str">
        <f t="shared" si="25"/>
        <v>PASS</v>
      </c>
      <c r="R805" s="44" t="s">
        <v>1587</v>
      </c>
      <c r="S805" s="44"/>
    </row>
    <row r="806" spans="1:19" x14ac:dyDescent="0.3">
      <c r="A806" s="44" t="s">
        <v>1945</v>
      </c>
      <c r="B806" s="44" t="s">
        <v>68</v>
      </c>
      <c r="C806" s="44" t="s">
        <v>28</v>
      </c>
      <c r="D806" s="44" t="s">
        <v>402</v>
      </c>
      <c r="E806" s="44" t="s">
        <v>1478</v>
      </c>
      <c r="F806" s="44" t="s">
        <v>1942</v>
      </c>
      <c r="G806" s="44" t="s">
        <v>1598</v>
      </c>
      <c r="H806" s="44" t="s">
        <v>1124</v>
      </c>
      <c r="I806" s="44" t="s">
        <v>1106</v>
      </c>
      <c r="J806" s="44">
        <v>275</v>
      </c>
      <c r="K806" s="44" t="s">
        <v>1107</v>
      </c>
      <c r="L806" s="44"/>
      <c r="M806" s="44" t="s">
        <v>1586</v>
      </c>
      <c r="N806" s="45">
        <v>6097422</v>
      </c>
      <c r="O806" s="46">
        <f t="shared" si="24"/>
        <v>6097.4219999999996</v>
      </c>
      <c r="P806" s="47">
        <f>LUCK!G107</f>
        <v>6097.4219999999996</v>
      </c>
      <c r="Q806" s="44" t="str">
        <f t="shared" si="25"/>
        <v>PASS</v>
      </c>
      <c r="R806" s="44" t="s">
        <v>1587</v>
      </c>
      <c r="S806" s="44"/>
    </row>
    <row r="807" spans="1:19" x14ac:dyDescent="0.3">
      <c r="A807" s="44" t="s">
        <v>1946</v>
      </c>
      <c r="B807" s="44" t="s">
        <v>68</v>
      </c>
      <c r="C807" s="44" t="s">
        <v>29</v>
      </c>
      <c r="D807" s="44" t="s">
        <v>402</v>
      </c>
      <c r="E807" s="44" t="s">
        <v>1478</v>
      </c>
      <c r="F807" s="44" t="s">
        <v>1942</v>
      </c>
      <c r="G807" s="44" t="s">
        <v>1598</v>
      </c>
      <c r="H807" s="44" t="s">
        <v>1124</v>
      </c>
      <c r="I807" s="44" t="s">
        <v>1127</v>
      </c>
      <c r="J807" s="44">
        <v>275</v>
      </c>
      <c r="K807" s="44" t="s">
        <v>1107</v>
      </c>
      <c r="L807" s="44"/>
      <c r="M807" s="44" t="s">
        <v>1586</v>
      </c>
      <c r="N807" s="45">
        <v>6937732</v>
      </c>
      <c r="O807" s="46">
        <f t="shared" si="24"/>
        <v>6937.732</v>
      </c>
      <c r="P807" s="47">
        <f>LUCK!H107</f>
        <v>6937.732</v>
      </c>
      <c r="Q807" s="44" t="str">
        <f t="shared" si="25"/>
        <v>PASS</v>
      </c>
      <c r="R807" s="44" t="s">
        <v>1587</v>
      </c>
      <c r="S807" s="44"/>
    </row>
    <row r="808" spans="1:19" x14ac:dyDescent="0.3">
      <c r="A808" s="44" t="s">
        <v>1947</v>
      </c>
      <c r="B808" s="44" t="s">
        <v>68</v>
      </c>
      <c r="C808" s="44" t="s">
        <v>20</v>
      </c>
      <c r="D808" s="44" t="s">
        <v>418</v>
      </c>
      <c r="E808" s="44" t="s">
        <v>1478</v>
      </c>
      <c r="F808" s="44" t="s">
        <v>1487</v>
      </c>
      <c r="G808" s="44" t="s">
        <v>1589</v>
      </c>
      <c r="H808" s="44" t="s">
        <v>1113</v>
      </c>
      <c r="I808" s="44" t="s">
        <v>1106</v>
      </c>
      <c r="J808" s="44">
        <v>229</v>
      </c>
      <c r="K808" s="44" t="s">
        <v>1948</v>
      </c>
      <c r="L808" s="44"/>
      <c r="M808" s="44" t="s">
        <v>1586</v>
      </c>
      <c r="N808" s="45">
        <v>13285674</v>
      </c>
      <c r="O808" s="46">
        <f t="shared" si="24"/>
        <v>13285.674000000001</v>
      </c>
      <c r="P808" s="47">
        <f>LUCK!D116</f>
        <v>13285.674000000001</v>
      </c>
      <c r="Q808" s="44" t="str">
        <f t="shared" si="25"/>
        <v>PASS</v>
      </c>
      <c r="R808" s="44" t="s">
        <v>1587</v>
      </c>
      <c r="S808" s="44"/>
    </row>
    <row r="809" spans="1:19" x14ac:dyDescent="0.3">
      <c r="A809" s="44" t="s">
        <v>1949</v>
      </c>
      <c r="B809" s="44" t="s">
        <v>68</v>
      </c>
      <c r="C809" s="44" t="s">
        <v>26</v>
      </c>
      <c r="D809" s="44" t="s">
        <v>418</v>
      </c>
      <c r="E809" s="44" t="s">
        <v>1478</v>
      </c>
      <c r="F809" s="44" t="s">
        <v>1487</v>
      </c>
      <c r="G809" s="44" t="s">
        <v>1592</v>
      </c>
      <c r="H809" s="44" t="s">
        <v>1117</v>
      </c>
      <c r="I809" s="44" t="s">
        <v>1106</v>
      </c>
      <c r="J809" s="44">
        <v>237</v>
      </c>
      <c r="K809" s="44" t="s">
        <v>1603</v>
      </c>
      <c r="L809" s="44"/>
      <c r="M809" s="44" t="s">
        <v>1586</v>
      </c>
      <c r="N809" s="45">
        <v>18126508</v>
      </c>
      <c r="O809" s="46">
        <f t="shared" si="24"/>
        <v>18126.508000000002</v>
      </c>
      <c r="P809" s="47">
        <f>LUCK!E116</f>
        <v>18126.508000000002</v>
      </c>
      <c r="Q809" s="44" t="str">
        <f t="shared" si="25"/>
        <v>PASS</v>
      </c>
      <c r="R809" s="44" t="s">
        <v>1587</v>
      </c>
      <c r="S809" s="44"/>
    </row>
    <row r="810" spans="1:19" x14ac:dyDescent="0.3">
      <c r="A810" s="44" t="s">
        <v>1950</v>
      </c>
      <c r="B810" s="44" t="s">
        <v>68</v>
      </c>
      <c r="C810" s="44" t="s">
        <v>27</v>
      </c>
      <c r="D810" s="44" t="s">
        <v>418</v>
      </c>
      <c r="E810" s="44" t="s">
        <v>1478</v>
      </c>
      <c r="F810" s="44" t="s">
        <v>1487</v>
      </c>
      <c r="G810" s="44" t="s">
        <v>1595</v>
      </c>
      <c r="H810" s="44" t="s">
        <v>1120</v>
      </c>
      <c r="I810" s="44" t="s">
        <v>1106</v>
      </c>
      <c r="J810" s="44">
        <v>241</v>
      </c>
      <c r="K810" s="44" t="s">
        <v>1951</v>
      </c>
      <c r="L810" s="44"/>
      <c r="M810" s="44" t="s">
        <v>1586</v>
      </c>
      <c r="N810" s="45">
        <v>24515258</v>
      </c>
      <c r="O810" s="46">
        <f t="shared" si="24"/>
        <v>24515.258000000002</v>
      </c>
      <c r="P810" s="47">
        <f>LUCK!F116</f>
        <v>24515.258000000002</v>
      </c>
      <c r="Q810" s="44" t="str">
        <f t="shared" si="25"/>
        <v>PASS</v>
      </c>
      <c r="R810" s="44" t="s">
        <v>1587</v>
      </c>
      <c r="S810" s="44"/>
    </row>
    <row r="811" spans="1:19" x14ac:dyDescent="0.3">
      <c r="A811" s="44" t="s">
        <v>1952</v>
      </c>
      <c r="B811" s="44" t="s">
        <v>68</v>
      </c>
      <c r="C811" s="44" t="s">
        <v>28</v>
      </c>
      <c r="D811" s="44" t="s">
        <v>418</v>
      </c>
      <c r="E811" s="44" t="s">
        <v>1478</v>
      </c>
      <c r="F811" s="44" t="s">
        <v>1487</v>
      </c>
      <c r="G811" s="44" t="s">
        <v>1598</v>
      </c>
      <c r="H811" s="44" t="s">
        <v>1124</v>
      </c>
      <c r="I811" s="44" t="s">
        <v>1106</v>
      </c>
      <c r="J811" s="44">
        <v>243</v>
      </c>
      <c r="K811" s="44" t="s">
        <v>1107</v>
      </c>
      <c r="L811" s="44"/>
      <c r="M811" s="44" t="s">
        <v>1586</v>
      </c>
      <c r="N811" s="45">
        <v>30937432</v>
      </c>
      <c r="O811" s="46">
        <f t="shared" si="24"/>
        <v>30937.432000000001</v>
      </c>
      <c r="P811" s="47">
        <f>LUCK!G116</f>
        <v>30937.432000000001</v>
      </c>
      <c r="Q811" s="44" t="str">
        <f t="shared" si="25"/>
        <v>PASS</v>
      </c>
      <c r="R811" s="44" t="s">
        <v>1587</v>
      </c>
      <c r="S811" s="44"/>
    </row>
    <row r="812" spans="1:19" x14ac:dyDescent="0.3">
      <c r="A812" s="44" t="s">
        <v>1953</v>
      </c>
      <c r="B812" s="44" t="s">
        <v>68</v>
      </c>
      <c r="C812" s="44" t="s">
        <v>29</v>
      </c>
      <c r="D812" s="44" t="s">
        <v>418</v>
      </c>
      <c r="E812" s="44" t="s">
        <v>1478</v>
      </c>
      <c r="F812" s="44" t="s">
        <v>1487</v>
      </c>
      <c r="G812" s="44" t="s">
        <v>1598</v>
      </c>
      <c r="H812" s="44" t="s">
        <v>1124</v>
      </c>
      <c r="I812" s="44" t="s">
        <v>1127</v>
      </c>
      <c r="J812" s="44">
        <v>243</v>
      </c>
      <c r="K812" s="44" t="s">
        <v>1107</v>
      </c>
      <c r="L812" s="44"/>
      <c r="M812" s="44" t="s">
        <v>1586</v>
      </c>
      <c r="N812" s="45">
        <v>33808781</v>
      </c>
      <c r="O812" s="46">
        <f t="shared" si="24"/>
        <v>33808.781000000003</v>
      </c>
      <c r="P812" s="47">
        <f>LUCK!H116</f>
        <v>33808.781000000003</v>
      </c>
      <c r="Q812" s="44" t="str">
        <f t="shared" si="25"/>
        <v>PASS</v>
      </c>
      <c r="R812" s="44" t="s">
        <v>1587</v>
      </c>
      <c r="S812" s="44"/>
    </row>
    <row r="813" spans="1:19" x14ac:dyDescent="0.3">
      <c r="A813" s="44" t="s">
        <v>1954</v>
      </c>
      <c r="B813" s="44" t="s">
        <v>68</v>
      </c>
      <c r="C813" s="44" t="s">
        <v>20</v>
      </c>
      <c r="D813" s="44" t="s">
        <v>420</v>
      </c>
      <c r="E813" s="44" t="s">
        <v>1478</v>
      </c>
      <c r="F813" s="44" t="s">
        <v>1493</v>
      </c>
      <c r="G813" s="44" t="s">
        <v>1589</v>
      </c>
      <c r="H813" s="44" t="s">
        <v>1113</v>
      </c>
      <c r="I813" s="44" t="s">
        <v>1106</v>
      </c>
      <c r="J813" s="44">
        <v>229</v>
      </c>
      <c r="K813" s="44" t="s">
        <v>1948</v>
      </c>
      <c r="L813" s="44"/>
      <c r="M813" s="44" t="s">
        <v>1586</v>
      </c>
      <c r="N813" s="45">
        <v>12492631</v>
      </c>
      <c r="O813" s="46">
        <f t="shared" si="24"/>
        <v>12492.630999999999</v>
      </c>
      <c r="P813" s="47">
        <f>LUCK!D117</f>
        <v>12492.630999999999</v>
      </c>
      <c r="Q813" s="44" t="str">
        <f t="shared" si="25"/>
        <v>PASS</v>
      </c>
      <c r="R813" s="44" t="s">
        <v>1587</v>
      </c>
      <c r="S813" s="44"/>
    </row>
    <row r="814" spans="1:19" x14ac:dyDescent="0.3">
      <c r="A814" s="44" t="s">
        <v>1955</v>
      </c>
      <c r="B814" s="44" t="s">
        <v>68</v>
      </c>
      <c r="C814" s="44" t="s">
        <v>26</v>
      </c>
      <c r="D814" s="44" t="s">
        <v>420</v>
      </c>
      <c r="E814" s="44" t="s">
        <v>1478</v>
      </c>
      <c r="F814" s="44" t="s">
        <v>1493</v>
      </c>
      <c r="G814" s="44" t="s">
        <v>1592</v>
      </c>
      <c r="H814" s="44" t="s">
        <v>1117</v>
      </c>
      <c r="I814" s="44" t="s">
        <v>1106</v>
      </c>
      <c r="J814" s="44">
        <v>237</v>
      </c>
      <c r="K814" s="44" t="s">
        <v>1603</v>
      </c>
      <c r="L814" s="44"/>
      <c r="M814" s="44" t="s">
        <v>1586</v>
      </c>
      <c r="N814" s="45">
        <v>15469449</v>
      </c>
      <c r="O814" s="46">
        <f t="shared" si="24"/>
        <v>15469.449000000001</v>
      </c>
      <c r="P814" s="47">
        <f>LUCK!E117</f>
        <v>15469.449000000001</v>
      </c>
      <c r="Q814" s="44" t="str">
        <f t="shared" si="25"/>
        <v>PASS</v>
      </c>
      <c r="R814" s="44" t="s">
        <v>1587</v>
      </c>
      <c r="S814" s="44"/>
    </row>
    <row r="815" spans="1:19" x14ac:dyDescent="0.3">
      <c r="A815" s="44" t="s">
        <v>1956</v>
      </c>
      <c r="B815" s="44" t="s">
        <v>68</v>
      </c>
      <c r="C815" s="44" t="s">
        <v>27</v>
      </c>
      <c r="D815" s="44" t="s">
        <v>420</v>
      </c>
      <c r="E815" s="44" t="s">
        <v>1478</v>
      </c>
      <c r="F815" s="44" t="s">
        <v>1493</v>
      </c>
      <c r="G815" s="44" t="s">
        <v>1595</v>
      </c>
      <c r="H815" s="44" t="s">
        <v>1120</v>
      </c>
      <c r="I815" s="44" t="s">
        <v>1106</v>
      </c>
      <c r="J815" s="44">
        <v>241</v>
      </c>
      <c r="K815" s="44" t="s">
        <v>1951</v>
      </c>
      <c r="L815" s="44"/>
      <c r="M815" s="44" t="s">
        <v>1586</v>
      </c>
      <c r="N815" s="45">
        <v>23242896</v>
      </c>
      <c r="O815" s="46">
        <f t="shared" si="24"/>
        <v>23242.896000000001</v>
      </c>
      <c r="P815" s="47">
        <f>LUCK!F117</f>
        <v>23242.896000000001</v>
      </c>
      <c r="Q815" s="44" t="str">
        <f t="shared" si="25"/>
        <v>PASS</v>
      </c>
      <c r="R815" s="44" t="s">
        <v>1587</v>
      </c>
      <c r="S815" s="44"/>
    </row>
    <row r="816" spans="1:19" x14ac:dyDescent="0.3">
      <c r="A816" s="44" t="s">
        <v>1957</v>
      </c>
      <c r="B816" s="44" t="s">
        <v>68</v>
      </c>
      <c r="C816" s="44" t="s">
        <v>28</v>
      </c>
      <c r="D816" s="44" t="s">
        <v>420</v>
      </c>
      <c r="E816" s="44" t="s">
        <v>1478</v>
      </c>
      <c r="F816" s="44" t="s">
        <v>1493</v>
      </c>
      <c r="G816" s="44" t="s">
        <v>1598</v>
      </c>
      <c r="H816" s="44" t="s">
        <v>1124</v>
      </c>
      <c r="I816" s="44" t="s">
        <v>1106</v>
      </c>
      <c r="J816" s="44">
        <v>243</v>
      </c>
      <c r="K816" s="44" t="s">
        <v>1107</v>
      </c>
      <c r="L816" s="44"/>
      <c r="M816" s="44" t="s">
        <v>1586</v>
      </c>
      <c r="N816" s="45">
        <v>27580741</v>
      </c>
      <c r="O816" s="46">
        <f t="shared" si="24"/>
        <v>27580.741000000002</v>
      </c>
      <c r="P816" s="47">
        <f>LUCK!G117</f>
        <v>27580.741000000002</v>
      </c>
      <c r="Q816" s="44" t="str">
        <f t="shared" si="25"/>
        <v>PASS</v>
      </c>
      <c r="R816" s="44" t="s">
        <v>1587</v>
      </c>
      <c r="S816" s="44"/>
    </row>
    <row r="817" spans="1:19" x14ac:dyDescent="0.3">
      <c r="A817" s="44" t="s">
        <v>1958</v>
      </c>
      <c r="B817" s="44" t="s">
        <v>68</v>
      </c>
      <c r="C817" s="44" t="s">
        <v>29</v>
      </c>
      <c r="D817" s="44" t="s">
        <v>420</v>
      </c>
      <c r="E817" s="44" t="s">
        <v>1478</v>
      </c>
      <c r="F817" s="44" t="s">
        <v>1493</v>
      </c>
      <c r="G817" s="44" t="s">
        <v>1598</v>
      </c>
      <c r="H817" s="44" t="s">
        <v>1124</v>
      </c>
      <c r="I817" s="44" t="s">
        <v>1127</v>
      </c>
      <c r="J817" s="44">
        <v>243</v>
      </c>
      <c r="K817" s="44" t="s">
        <v>1107</v>
      </c>
      <c r="L817" s="44"/>
      <c r="M817" s="44" t="s">
        <v>1586</v>
      </c>
      <c r="N817" s="45">
        <v>27572567</v>
      </c>
      <c r="O817" s="46">
        <f t="shared" si="24"/>
        <v>27572.566999999999</v>
      </c>
      <c r="P817" s="47">
        <f>LUCK!H117</f>
        <v>27572.566999999999</v>
      </c>
      <c r="Q817" s="44" t="str">
        <f t="shared" si="25"/>
        <v>PASS</v>
      </c>
      <c r="R817" s="44" t="s">
        <v>1587</v>
      </c>
      <c r="S817" s="44"/>
    </row>
    <row r="818" spans="1:19" x14ac:dyDescent="0.3">
      <c r="A818" s="44" t="s">
        <v>1959</v>
      </c>
      <c r="B818" s="44" t="s">
        <v>68</v>
      </c>
      <c r="C818" s="44" t="s">
        <v>20</v>
      </c>
      <c r="D818" s="44" t="s">
        <v>422</v>
      </c>
      <c r="E818" s="44" t="s">
        <v>1478</v>
      </c>
      <c r="F818" s="44" t="s">
        <v>1960</v>
      </c>
      <c r="G818" s="44" t="s">
        <v>1589</v>
      </c>
      <c r="H818" s="44" t="s">
        <v>1113</v>
      </c>
      <c r="I818" s="44" t="s">
        <v>1106</v>
      </c>
      <c r="J818" s="44">
        <v>229</v>
      </c>
      <c r="K818" s="44" t="s">
        <v>1948</v>
      </c>
      <c r="L818" s="44"/>
      <c r="M818" s="44" t="s">
        <v>1586</v>
      </c>
      <c r="N818" s="45">
        <v>-308210</v>
      </c>
      <c r="O818" s="46">
        <f t="shared" si="24"/>
        <v>-308.20999999999998</v>
      </c>
      <c r="P818" s="47">
        <f>LUCK!D118</f>
        <v>-308.20999999999998</v>
      </c>
      <c r="Q818" s="44" t="str">
        <f t="shared" si="25"/>
        <v>PASS</v>
      </c>
      <c r="R818" s="44" t="s">
        <v>1587</v>
      </c>
      <c r="S818" s="44"/>
    </row>
    <row r="819" spans="1:19" x14ac:dyDescent="0.3">
      <c r="A819" s="44" t="s">
        <v>1961</v>
      </c>
      <c r="B819" s="44" t="s">
        <v>68</v>
      </c>
      <c r="C819" s="44" t="s">
        <v>26</v>
      </c>
      <c r="D819" s="44" t="s">
        <v>422</v>
      </c>
      <c r="E819" s="44" t="s">
        <v>1478</v>
      </c>
      <c r="F819" s="44" t="s">
        <v>1960</v>
      </c>
      <c r="G819" s="44" t="s">
        <v>1592</v>
      </c>
      <c r="H819" s="44" t="s">
        <v>1117</v>
      </c>
      <c r="I819" s="44" t="s">
        <v>1106</v>
      </c>
      <c r="J819" s="44">
        <v>237</v>
      </c>
      <c r="K819" s="44" t="s">
        <v>1603</v>
      </c>
      <c r="L819" s="44"/>
      <c r="M819" s="44" t="s">
        <v>1586</v>
      </c>
      <c r="N819" s="45">
        <v>-329933</v>
      </c>
      <c r="O819" s="46">
        <f t="shared" si="24"/>
        <v>-329.93299999999999</v>
      </c>
      <c r="P819" s="47">
        <f>LUCK!E118</f>
        <v>-329.93299999999999</v>
      </c>
      <c r="Q819" s="44" t="str">
        <f t="shared" si="25"/>
        <v>PASS</v>
      </c>
      <c r="R819" s="44" t="s">
        <v>1587</v>
      </c>
      <c r="S819" s="44"/>
    </row>
    <row r="820" spans="1:19" x14ac:dyDescent="0.3">
      <c r="A820" s="44" t="s">
        <v>1962</v>
      </c>
      <c r="B820" s="44" t="s">
        <v>68</v>
      </c>
      <c r="C820" s="44" t="s">
        <v>27</v>
      </c>
      <c r="D820" s="44" t="s">
        <v>422</v>
      </c>
      <c r="E820" s="44" t="s">
        <v>1478</v>
      </c>
      <c r="F820" s="44" t="s">
        <v>1960</v>
      </c>
      <c r="G820" s="44" t="s">
        <v>1595</v>
      </c>
      <c r="H820" s="44" t="s">
        <v>1120</v>
      </c>
      <c r="I820" s="44" t="s">
        <v>1106</v>
      </c>
      <c r="J820" s="44">
        <v>241</v>
      </c>
      <c r="K820" s="44" t="s">
        <v>1951</v>
      </c>
      <c r="L820" s="44"/>
      <c r="M820" s="44" t="s">
        <v>1586</v>
      </c>
      <c r="N820" s="45">
        <v>-807477</v>
      </c>
      <c r="O820" s="46">
        <f t="shared" si="24"/>
        <v>-807.47699999999998</v>
      </c>
      <c r="P820" s="47">
        <f>LUCK!F118</f>
        <v>-807.47699999999998</v>
      </c>
      <c r="Q820" s="44" t="str">
        <f t="shared" si="25"/>
        <v>PASS</v>
      </c>
      <c r="R820" s="44" t="s">
        <v>1587</v>
      </c>
      <c r="S820" s="44"/>
    </row>
    <row r="821" spans="1:19" x14ac:dyDescent="0.3">
      <c r="A821" s="44" t="s">
        <v>1963</v>
      </c>
      <c r="B821" s="44" t="s">
        <v>68</v>
      </c>
      <c r="C821" s="44" t="s">
        <v>28</v>
      </c>
      <c r="D821" s="44" t="s">
        <v>422</v>
      </c>
      <c r="E821" s="44" t="s">
        <v>1478</v>
      </c>
      <c r="F821" s="44" t="s">
        <v>1960</v>
      </c>
      <c r="G821" s="44" t="s">
        <v>1598</v>
      </c>
      <c r="H821" s="44" t="s">
        <v>1124</v>
      </c>
      <c r="I821" s="44" t="s">
        <v>1106</v>
      </c>
      <c r="J821" s="44">
        <v>243</v>
      </c>
      <c r="K821" s="44" t="s">
        <v>1107</v>
      </c>
      <c r="L821" s="44"/>
      <c r="M821" s="44" t="s">
        <v>1586</v>
      </c>
      <c r="N821" s="45">
        <v>-1735978</v>
      </c>
      <c r="O821" s="46">
        <f t="shared" si="24"/>
        <v>-1735.9780000000001</v>
      </c>
      <c r="P821" s="47">
        <f>LUCK!G118</f>
        <v>-1735.9780000000001</v>
      </c>
      <c r="Q821" s="44" t="str">
        <f t="shared" si="25"/>
        <v>PASS</v>
      </c>
      <c r="R821" s="44" t="s">
        <v>1587</v>
      </c>
      <c r="S821" s="44"/>
    </row>
    <row r="822" spans="1:19" x14ac:dyDescent="0.3">
      <c r="A822" s="44" t="s">
        <v>1964</v>
      </c>
      <c r="B822" s="44" t="s">
        <v>68</v>
      </c>
      <c r="C822" s="44" t="s">
        <v>29</v>
      </c>
      <c r="D822" s="44" t="s">
        <v>422</v>
      </c>
      <c r="E822" s="44" t="s">
        <v>1478</v>
      </c>
      <c r="F822" s="44" t="s">
        <v>1960</v>
      </c>
      <c r="G822" s="44" t="s">
        <v>1598</v>
      </c>
      <c r="H822" s="44" t="s">
        <v>1124</v>
      </c>
      <c r="I822" s="44" t="s">
        <v>1127</v>
      </c>
      <c r="J822" s="44">
        <v>243</v>
      </c>
      <c r="K822" s="44" t="s">
        <v>1107</v>
      </c>
      <c r="L822" s="44"/>
      <c r="M822" s="44" t="s">
        <v>1586</v>
      </c>
      <c r="N822" s="45">
        <v>-1527888</v>
      </c>
      <c r="O822" s="46">
        <f t="shared" si="24"/>
        <v>-1527.8879999999999</v>
      </c>
      <c r="P822" s="47">
        <f>LUCK!H118</f>
        <v>-1527.8879999999999</v>
      </c>
      <c r="Q822" s="44" t="str">
        <f t="shared" si="25"/>
        <v>PASS</v>
      </c>
      <c r="R822" s="44" t="s">
        <v>1587</v>
      </c>
      <c r="S822" s="44"/>
    </row>
    <row r="823" spans="1:19" x14ac:dyDescent="0.3">
      <c r="A823" s="44" t="s">
        <v>1965</v>
      </c>
      <c r="B823" s="44" t="s">
        <v>68</v>
      </c>
      <c r="C823" s="44" t="s">
        <v>20</v>
      </c>
      <c r="D823" s="44" t="s">
        <v>424</v>
      </c>
      <c r="E823" s="44" t="s">
        <v>1478</v>
      </c>
      <c r="F823" s="44" t="s">
        <v>1505</v>
      </c>
      <c r="G823" s="44" t="s">
        <v>1589</v>
      </c>
      <c r="H823" s="44" t="s">
        <v>1113</v>
      </c>
      <c r="I823" s="44" t="s">
        <v>1106</v>
      </c>
      <c r="J823" s="44">
        <v>229</v>
      </c>
      <c r="K823" s="44" t="s">
        <v>1948</v>
      </c>
      <c r="L823" s="44"/>
      <c r="M823" s="44" t="s">
        <v>427</v>
      </c>
      <c r="N823" s="44" t="s">
        <v>426</v>
      </c>
      <c r="O823" s="44" t="str">
        <f>N823</f>
        <v>Operating</v>
      </c>
      <c r="P823" s="44" t="str">
        <f>LUCK!D119</f>
        <v>Operating</v>
      </c>
      <c r="Q823" s="44" t="str">
        <f>IF(O823=P823,"PASS","FAIL")</f>
        <v>PASS</v>
      </c>
      <c r="R823" s="44" t="s">
        <v>1587</v>
      </c>
      <c r="S823" s="44"/>
    </row>
    <row r="824" spans="1:19" x14ac:dyDescent="0.3">
      <c r="A824" s="44" t="s">
        <v>1966</v>
      </c>
      <c r="B824" s="44" t="s">
        <v>68</v>
      </c>
      <c r="C824" s="44" t="s">
        <v>26</v>
      </c>
      <c r="D824" s="44" t="s">
        <v>424</v>
      </c>
      <c r="E824" s="44" t="s">
        <v>1478</v>
      </c>
      <c r="F824" s="44" t="s">
        <v>1505</v>
      </c>
      <c r="G824" s="44" t="s">
        <v>1592</v>
      </c>
      <c r="H824" s="44" t="s">
        <v>1117</v>
      </c>
      <c r="I824" s="44" t="s">
        <v>1106</v>
      </c>
      <c r="J824" s="44">
        <v>237</v>
      </c>
      <c r="K824" s="44" t="s">
        <v>1603</v>
      </c>
      <c r="L824" s="44"/>
      <c r="M824" s="44" t="s">
        <v>427</v>
      </c>
      <c r="N824" s="44" t="s">
        <v>426</v>
      </c>
      <c r="O824" s="44" t="str">
        <f>N824</f>
        <v>Operating</v>
      </c>
      <c r="P824" s="44" t="str">
        <f>LUCK!E119</f>
        <v>Operating</v>
      </c>
      <c r="Q824" s="44" t="str">
        <f>IF(O824=P824,"PASS","FAIL")</f>
        <v>PASS</v>
      </c>
      <c r="R824" s="44" t="s">
        <v>1587</v>
      </c>
      <c r="S824" s="44"/>
    </row>
    <row r="825" spans="1:19" x14ac:dyDescent="0.3">
      <c r="A825" s="44" t="s">
        <v>1967</v>
      </c>
      <c r="B825" s="44" t="s">
        <v>68</v>
      </c>
      <c r="C825" s="44" t="s">
        <v>27</v>
      </c>
      <c r="D825" s="44" t="s">
        <v>424</v>
      </c>
      <c r="E825" s="44" t="s">
        <v>1478</v>
      </c>
      <c r="F825" s="44" t="s">
        <v>1505</v>
      </c>
      <c r="G825" s="44" t="s">
        <v>1595</v>
      </c>
      <c r="H825" s="44" t="s">
        <v>1120</v>
      </c>
      <c r="I825" s="44" t="s">
        <v>1106</v>
      </c>
      <c r="J825" s="44">
        <v>241</v>
      </c>
      <c r="K825" s="44" t="s">
        <v>1951</v>
      </c>
      <c r="L825" s="44"/>
      <c r="M825" s="44" t="s">
        <v>427</v>
      </c>
      <c r="N825" s="44" t="s">
        <v>426</v>
      </c>
      <c r="O825" s="44" t="str">
        <f>N825</f>
        <v>Operating</v>
      </c>
      <c r="P825" s="44" t="str">
        <f>LUCK!F119</f>
        <v>Operating</v>
      </c>
      <c r="Q825" s="44" t="str">
        <f>IF(O825=P825,"PASS","FAIL")</f>
        <v>PASS</v>
      </c>
      <c r="R825" s="44" t="s">
        <v>1587</v>
      </c>
      <c r="S825" s="44"/>
    </row>
    <row r="826" spans="1:19" x14ac:dyDescent="0.3">
      <c r="A826" s="44" t="s">
        <v>1968</v>
      </c>
      <c r="B826" s="44" t="s">
        <v>68</v>
      </c>
      <c r="C826" s="44" t="s">
        <v>28</v>
      </c>
      <c r="D826" s="44" t="s">
        <v>424</v>
      </c>
      <c r="E826" s="44" t="s">
        <v>1478</v>
      </c>
      <c r="F826" s="44" t="s">
        <v>1505</v>
      </c>
      <c r="G826" s="44" t="s">
        <v>1598</v>
      </c>
      <c r="H826" s="44" t="s">
        <v>1124</v>
      </c>
      <c r="I826" s="44" t="s">
        <v>1106</v>
      </c>
      <c r="J826" s="44">
        <v>243</v>
      </c>
      <c r="K826" s="44" t="s">
        <v>1107</v>
      </c>
      <c r="L826" s="44"/>
      <c r="M826" s="44" t="s">
        <v>427</v>
      </c>
      <c r="N826" s="44" t="s">
        <v>426</v>
      </c>
      <c r="O826" s="44" t="str">
        <f>N826</f>
        <v>Operating</v>
      </c>
      <c r="P826" s="44" t="str">
        <f>LUCK!G119</f>
        <v>Operating</v>
      </c>
      <c r="Q826" s="44" t="str">
        <f>IF(O826=P826,"PASS","FAIL")</f>
        <v>PASS</v>
      </c>
      <c r="R826" s="44" t="s">
        <v>1587</v>
      </c>
      <c r="S826" s="44"/>
    </row>
    <row r="827" spans="1:19" x14ac:dyDescent="0.3">
      <c r="A827" s="44" t="s">
        <v>1969</v>
      </c>
      <c r="B827" s="44" t="s">
        <v>68</v>
      </c>
      <c r="C827" s="44" t="s">
        <v>29</v>
      </c>
      <c r="D827" s="44" t="s">
        <v>424</v>
      </c>
      <c r="E827" s="44" t="s">
        <v>1478</v>
      </c>
      <c r="F827" s="44" t="s">
        <v>1505</v>
      </c>
      <c r="G827" s="44" t="s">
        <v>1598</v>
      </c>
      <c r="H827" s="44" t="s">
        <v>1124</v>
      </c>
      <c r="I827" s="44" t="s">
        <v>1127</v>
      </c>
      <c r="J827" s="44">
        <v>243</v>
      </c>
      <c r="K827" s="44" t="s">
        <v>1107</v>
      </c>
      <c r="L827" s="44"/>
      <c r="M827" s="44" t="s">
        <v>427</v>
      </c>
      <c r="N827" s="44" t="s">
        <v>426</v>
      </c>
      <c r="O827" s="44" t="str">
        <f>N827</f>
        <v>Operating</v>
      </c>
      <c r="P827" s="44" t="str">
        <f>LUCK!H119</f>
        <v>Operating</v>
      </c>
      <c r="Q827" s="44" t="str">
        <f>IF(O827=P827,"PASS","FAIL")</f>
        <v>PASS</v>
      </c>
      <c r="R827" s="44" t="s">
        <v>1587</v>
      </c>
      <c r="S827" s="44"/>
    </row>
    <row r="828" spans="1:19" x14ac:dyDescent="0.3">
      <c r="A828" s="44" t="s">
        <v>1970</v>
      </c>
      <c r="B828" s="44" t="s">
        <v>68</v>
      </c>
      <c r="C828" s="44" t="s">
        <v>20</v>
      </c>
      <c r="D828" s="44" t="s">
        <v>430</v>
      </c>
      <c r="E828" s="44" t="s">
        <v>1478</v>
      </c>
      <c r="F828" s="44" t="s">
        <v>1971</v>
      </c>
      <c r="G828" s="44" t="s">
        <v>1589</v>
      </c>
      <c r="H828" s="44" t="s">
        <v>1113</v>
      </c>
      <c r="I828" s="44" t="s">
        <v>1106</v>
      </c>
      <c r="J828" s="44">
        <v>229</v>
      </c>
      <c r="K828" s="44" t="s">
        <v>1948</v>
      </c>
      <c r="L828" s="44"/>
      <c r="M828" s="44" t="s">
        <v>1586</v>
      </c>
      <c r="N828" s="45">
        <v>-6470913</v>
      </c>
      <c r="O828" s="46">
        <f t="shared" ref="O828:O847" si="26">N828/1000</f>
        <v>-6470.9129999999996</v>
      </c>
      <c r="P828" s="47">
        <f>LUCK!D121</f>
        <v>-6470.9129999999996</v>
      </c>
      <c r="Q828" s="44" t="str">
        <f t="shared" ref="Q828:Q891" si="27">IF(ABS(O828-P828)&lt;0.000001,"PASS","FAIL")</f>
        <v>PASS</v>
      </c>
      <c r="R828" s="44" t="s">
        <v>1587</v>
      </c>
      <c r="S828" s="44"/>
    </row>
    <row r="829" spans="1:19" x14ac:dyDescent="0.3">
      <c r="A829" s="44" t="s">
        <v>1972</v>
      </c>
      <c r="B829" s="44" t="s">
        <v>68</v>
      </c>
      <c r="C829" s="44" t="s">
        <v>26</v>
      </c>
      <c r="D829" s="44" t="s">
        <v>430</v>
      </c>
      <c r="E829" s="44" t="s">
        <v>1478</v>
      </c>
      <c r="F829" s="44" t="s">
        <v>1973</v>
      </c>
      <c r="G829" s="44" t="s">
        <v>1592</v>
      </c>
      <c r="H829" s="44" t="s">
        <v>1117</v>
      </c>
      <c r="I829" s="44" t="s">
        <v>1106</v>
      </c>
      <c r="J829" s="44">
        <v>237</v>
      </c>
      <c r="K829" s="44" t="s">
        <v>1603</v>
      </c>
      <c r="L829" s="44"/>
      <c r="M829" s="44" t="s">
        <v>1586</v>
      </c>
      <c r="N829" s="45">
        <v>-24537830</v>
      </c>
      <c r="O829" s="46">
        <f t="shared" si="26"/>
        <v>-24537.83</v>
      </c>
      <c r="P829" s="47">
        <f>LUCK!E121</f>
        <v>-24537.83</v>
      </c>
      <c r="Q829" s="44" t="str">
        <f t="shared" si="27"/>
        <v>PASS</v>
      </c>
      <c r="R829" s="44" t="s">
        <v>1587</v>
      </c>
      <c r="S829" s="44" t="s">
        <v>1114</v>
      </c>
    </row>
    <row r="830" spans="1:19" x14ac:dyDescent="0.3">
      <c r="A830" s="44" t="s">
        <v>1974</v>
      </c>
      <c r="B830" s="44" t="s">
        <v>68</v>
      </c>
      <c r="C830" s="44" t="s">
        <v>27</v>
      </c>
      <c r="D830" s="44" t="s">
        <v>430</v>
      </c>
      <c r="E830" s="44" t="s">
        <v>1478</v>
      </c>
      <c r="F830" s="44" t="s">
        <v>1975</v>
      </c>
      <c r="G830" s="44" t="s">
        <v>1595</v>
      </c>
      <c r="H830" s="44" t="s">
        <v>1120</v>
      </c>
      <c r="I830" s="44" t="s">
        <v>1106</v>
      </c>
      <c r="J830" s="44">
        <v>241</v>
      </c>
      <c r="K830" s="44" t="s">
        <v>1951</v>
      </c>
      <c r="L830" s="44"/>
      <c r="M830" s="44" t="s">
        <v>1586</v>
      </c>
      <c r="N830" s="45">
        <v>-18644906</v>
      </c>
      <c r="O830" s="46">
        <f t="shared" si="26"/>
        <v>-18644.905999999999</v>
      </c>
      <c r="P830" s="47">
        <f>LUCK!F121</f>
        <v>-18644.905999999999</v>
      </c>
      <c r="Q830" s="44" t="str">
        <f t="shared" si="27"/>
        <v>PASS</v>
      </c>
      <c r="R830" s="44" t="s">
        <v>1587</v>
      </c>
      <c r="S830" s="44"/>
    </row>
    <row r="831" spans="1:19" x14ac:dyDescent="0.3">
      <c r="A831" s="44" t="s">
        <v>1976</v>
      </c>
      <c r="B831" s="44" t="s">
        <v>68</v>
      </c>
      <c r="C831" s="44" t="s">
        <v>28</v>
      </c>
      <c r="D831" s="44" t="s">
        <v>430</v>
      </c>
      <c r="E831" s="44" t="s">
        <v>1478</v>
      </c>
      <c r="F831" s="44" t="s">
        <v>1977</v>
      </c>
      <c r="G831" s="44" t="s">
        <v>1598</v>
      </c>
      <c r="H831" s="44" t="s">
        <v>1124</v>
      </c>
      <c r="I831" s="44" t="s">
        <v>1106</v>
      </c>
      <c r="J831" s="44">
        <v>243</v>
      </c>
      <c r="K831" s="44" t="s">
        <v>1107</v>
      </c>
      <c r="L831" s="44"/>
      <c r="M831" s="44" t="s">
        <v>1586</v>
      </c>
      <c r="N831" s="45">
        <v>-17709902</v>
      </c>
      <c r="O831" s="46">
        <f t="shared" si="26"/>
        <v>-17709.901999999998</v>
      </c>
      <c r="P831" s="47">
        <f>LUCK!G121</f>
        <v>-17709.901999999998</v>
      </c>
      <c r="Q831" s="44" t="str">
        <f t="shared" si="27"/>
        <v>PASS</v>
      </c>
      <c r="R831" s="44" t="s">
        <v>1587</v>
      </c>
      <c r="S831" s="44"/>
    </row>
    <row r="832" spans="1:19" x14ac:dyDescent="0.3">
      <c r="A832" s="44" t="s">
        <v>1978</v>
      </c>
      <c r="B832" s="44" t="s">
        <v>68</v>
      </c>
      <c r="C832" s="44" t="s">
        <v>29</v>
      </c>
      <c r="D832" s="44" t="s">
        <v>430</v>
      </c>
      <c r="E832" s="44" t="s">
        <v>1478</v>
      </c>
      <c r="F832" s="44" t="s">
        <v>1977</v>
      </c>
      <c r="G832" s="44" t="s">
        <v>1598</v>
      </c>
      <c r="H832" s="44" t="s">
        <v>1124</v>
      </c>
      <c r="I832" s="44" t="s">
        <v>1127</v>
      </c>
      <c r="J832" s="44">
        <v>243</v>
      </c>
      <c r="K832" s="44" t="s">
        <v>1107</v>
      </c>
      <c r="L832" s="44"/>
      <c r="M832" s="44" t="s">
        <v>1586</v>
      </c>
      <c r="N832" s="45">
        <v>-7048725</v>
      </c>
      <c r="O832" s="46">
        <f t="shared" si="26"/>
        <v>-7048.7250000000004</v>
      </c>
      <c r="P832" s="47">
        <f>LUCK!H121</f>
        <v>-7048.7250000000004</v>
      </c>
      <c r="Q832" s="44" t="str">
        <f t="shared" si="27"/>
        <v>PASS</v>
      </c>
      <c r="R832" s="44" t="s">
        <v>1587</v>
      </c>
      <c r="S832" s="44"/>
    </row>
    <row r="833" spans="1:19" x14ac:dyDescent="0.3">
      <c r="A833" s="44" t="s">
        <v>1979</v>
      </c>
      <c r="B833" s="44" t="s">
        <v>68</v>
      </c>
      <c r="C833" s="44" t="s">
        <v>20</v>
      </c>
      <c r="D833" s="44" t="s">
        <v>432</v>
      </c>
      <c r="E833" s="44" t="s">
        <v>1478</v>
      </c>
      <c r="F833" s="44" t="s">
        <v>1517</v>
      </c>
      <c r="G833" s="44" t="s">
        <v>1589</v>
      </c>
      <c r="H833" s="44" t="s">
        <v>1113</v>
      </c>
      <c r="I833" s="44" t="s">
        <v>1106</v>
      </c>
      <c r="J833" s="44">
        <v>229</v>
      </c>
      <c r="K833" s="44" t="s">
        <v>1948</v>
      </c>
      <c r="L833" s="44"/>
      <c r="M833" s="44" t="s">
        <v>1586</v>
      </c>
      <c r="N833" s="45">
        <v>-5762325</v>
      </c>
      <c r="O833" s="46">
        <f t="shared" si="26"/>
        <v>-5762.3249999999998</v>
      </c>
      <c r="P833" s="47">
        <f>LUCK!D122</f>
        <v>-5762.3249999999998</v>
      </c>
      <c r="Q833" s="44" t="str">
        <f t="shared" si="27"/>
        <v>PASS</v>
      </c>
      <c r="R833" s="44" t="s">
        <v>1587</v>
      </c>
      <c r="S833" s="44"/>
    </row>
    <row r="834" spans="1:19" x14ac:dyDescent="0.3">
      <c r="A834" s="44" t="s">
        <v>1980</v>
      </c>
      <c r="B834" s="44" t="s">
        <v>68</v>
      </c>
      <c r="C834" s="44" t="s">
        <v>26</v>
      </c>
      <c r="D834" s="44" t="s">
        <v>432</v>
      </c>
      <c r="E834" s="44" t="s">
        <v>1478</v>
      </c>
      <c r="F834" s="44" t="s">
        <v>1517</v>
      </c>
      <c r="G834" s="44" t="s">
        <v>1592</v>
      </c>
      <c r="H834" s="44" t="s">
        <v>1117</v>
      </c>
      <c r="I834" s="44" t="s">
        <v>1106</v>
      </c>
      <c r="J834" s="44">
        <v>237</v>
      </c>
      <c r="K834" s="44" t="s">
        <v>1603</v>
      </c>
      <c r="L834" s="44"/>
      <c r="M834" s="44" t="s">
        <v>1586</v>
      </c>
      <c r="N834" s="45">
        <v>-24826255</v>
      </c>
      <c r="O834" s="46">
        <f t="shared" si="26"/>
        <v>-24826.255000000001</v>
      </c>
      <c r="P834" s="47">
        <f>LUCK!E122</f>
        <v>-24826.255000000001</v>
      </c>
      <c r="Q834" s="44" t="str">
        <f t="shared" si="27"/>
        <v>PASS</v>
      </c>
      <c r="R834" s="44" t="s">
        <v>1587</v>
      </c>
      <c r="S834" s="44"/>
    </row>
    <row r="835" spans="1:19" x14ac:dyDescent="0.3">
      <c r="A835" s="44" t="s">
        <v>1981</v>
      </c>
      <c r="B835" s="44" t="s">
        <v>68</v>
      </c>
      <c r="C835" s="44" t="s">
        <v>27</v>
      </c>
      <c r="D835" s="44" t="s">
        <v>432</v>
      </c>
      <c r="E835" s="44" t="s">
        <v>1478</v>
      </c>
      <c r="F835" s="44" t="s">
        <v>1517</v>
      </c>
      <c r="G835" s="44" t="s">
        <v>1595</v>
      </c>
      <c r="H835" s="44" t="s">
        <v>1120</v>
      </c>
      <c r="I835" s="44" t="s">
        <v>1106</v>
      </c>
      <c r="J835" s="44">
        <v>241</v>
      </c>
      <c r="K835" s="44" t="s">
        <v>1951</v>
      </c>
      <c r="L835" s="44"/>
      <c r="M835" s="44" t="s">
        <v>1586</v>
      </c>
      <c r="N835" s="45">
        <v>-12978915</v>
      </c>
      <c r="O835" s="46">
        <f t="shared" si="26"/>
        <v>-12978.915000000001</v>
      </c>
      <c r="P835" s="47">
        <f>LUCK!F122</f>
        <v>-12978.915000000001</v>
      </c>
      <c r="Q835" s="44" t="str">
        <f t="shared" si="27"/>
        <v>PASS</v>
      </c>
      <c r="R835" s="44" t="s">
        <v>1587</v>
      </c>
      <c r="S835" s="44"/>
    </row>
    <row r="836" spans="1:19" x14ac:dyDescent="0.3">
      <c r="A836" s="44" t="s">
        <v>1982</v>
      </c>
      <c r="B836" s="44" t="s">
        <v>68</v>
      </c>
      <c r="C836" s="44" t="s">
        <v>28</v>
      </c>
      <c r="D836" s="44" t="s">
        <v>432</v>
      </c>
      <c r="E836" s="44" t="s">
        <v>1478</v>
      </c>
      <c r="F836" s="44" t="s">
        <v>1983</v>
      </c>
      <c r="G836" s="44" t="s">
        <v>1598</v>
      </c>
      <c r="H836" s="44" t="s">
        <v>1124</v>
      </c>
      <c r="I836" s="44" t="s">
        <v>1106</v>
      </c>
      <c r="J836" s="44">
        <v>243</v>
      </c>
      <c r="K836" s="44" t="s">
        <v>1107</v>
      </c>
      <c r="L836" s="44"/>
      <c r="M836" s="44" t="s">
        <v>1586</v>
      </c>
      <c r="N836" s="45">
        <v>-2580021</v>
      </c>
      <c r="O836" s="46">
        <f t="shared" si="26"/>
        <v>-2580.0210000000002</v>
      </c>
      <c r="P836" s="47">
        <f>LUCK!G122</f>
        <v>-2580.0210000000002</v>
      </c>
      <c r="Q836" s="44" t="str">
        <f t="shared" si="27"/>
        <v>PASS</v>
      </c>
      <c r="R836" s="44" t="s">
        <v>1587</v>
      </c>
      <c r="S836" s="44"/>
    </row>
    <row r="837" spans="1:19" x14ac:dyDescent="0.3">
      <c r="A837" s="44" t="s">
        <v>1984</v>
      </c>
      <c r="B837" s="44" t="s">
        <v>68</v>
      </c>
      <c r="C837" s="44" t="s">
        <v>29</v>
      </c>
      <c r="D837" s="44" t="s">
        <v>432</v>
      </c>
      <c r="E837" s="44" t="s">
        <v>1478</v>
      </c>
      <c r="F837" s="44" t="s">
        <v>1983</v>
      </c>
      <c r="G837" s="44" t="s">
        <v>1598</v>
      </c>
      <c r="H837" s="44" t="s">
        <v>1124</v>
      </c>
      <c r="I837" s="44" t="s">
        <v>1127</v>
      </c>
      <c r="J837" s="44">
        <v>243</v>
      </c>
      <c r="K837" s="44" t="s">
        <v>1107</v>
      </c>
      <c r="L837" s="44"/>
      <c r="M837" s="44" t="s">
        <v>1586</v>
      </c>
      <c r="N837" s="45">
        <v>11714661</v>
      </c>
      <c r="O837" s="46">
        <f t="shared" si="26"/>
        <v>11714.661</v>
      </c>
      <c r="P837" s="47">
        <f>LUCK!H122</f>
        <v>11714.661</v>
      </c>
      <c r="Q837" s="44" t="str">
        <f t="shared" si="27"/>
        <v>PASS</v>
      </c>
      <c r="R837" s="44" t="s">
        <v>1587</v>
      </c>
      <c r="S837" s="44"/>
    </row>
    <row r="838" spans="1:19" x14ac:dyDescent="0.3">
      <c r="A838" s="44" t="s">
        <v>1985</v>
      </c>
      <c r="B838" s="44" t="s">
        <v>68</v>
      </c>
      <c r="C838" s="44" t="s">
        <v>20</v>
      </c>
      <c r="D838" s="44" t="s">
        <v>434</v>
      </c>
      <c r="E838" s="44" t="s">
        <v>1478</v>
      </c>
      <c r="F838" s="44" t="s">
        <v>1986</v>
      </c>
      <c r="G838" s="44" t="s">
        <v>1589</v>
      </c>
      <c r="H838" s="44" t="s">
        <v>1113</v>
      </c>
      <c r="I838" s="44" t="s">
        <v>1106</v>
      </c>
      <c r="J838" s="44">
        <v>229</v>
      </c>
      <c r="K838" s="44" t="s">
        <v>1948</v>
      </c>
      <c r="L838" s="44"/>
      <c r="M838" s="44" t="s">
        <v>1586</v>
      </c>
      <c r="N838" s="45">
        <v>4022095</v>
      </c>
      <c r="O838" s="46">
        <f t="shared" si="26"/>
        <v>4022.0949999999998</v>
      </c>
      <c r="P838" s="47">
        <f>LUCK!D123</f>
        <v>4022.0949999999998</v>
      </c>
      <c r="Q838" s="44" t="str">
        <f t="shared" si="27"/>
        <v>PASS</v>
      </c>
      <c r="R838" s="44" t="s">
        <v>1587</v>
      </c>
      <c r="S838" s="44"/>
    </row>
    <row r="839" spans="1:19" x14ac:dyDescent="0.3">
      <c r="A839" s="44" t="s">
        <v>1987</v>
      </c>
      <c r="B839" s="44" t="s">
        <v>68</v>
      </c>
      <c r="C839" s="44" t="s">
        <v>26</v>
      </c>
      <c r="D839" s="44" t="s">
        <v>434</v>
      </c>
      <c r="E839" s="44" t="s">
        <v>1478</v>
      </c>
      <c r="F839" s="44" t="s">
        <v>1986</v>
      </c>
      <c r="G839" s="44" t="s">
        <v>1592</v>
      </c>
      <c r="H839" s="44" t="s">
        <v>1117</v>
      </c>
      <c r="I839" s="44" t="s">
        <v>1106</v>
      </c>
      <c r="J839" s="44">
        <v>237</v>
      </c>
      <c r="K839" s="44" t="s">
        <v>1603</v>
      </c>
      <c r="L839" s="44"/>
      <c r="M839" s="44" t="s">
        <v>1586</v>
      </c>
      <c r="N839" s="45">
        <v>6158783</v>
      </c>
      <c r="O839" s="46">
        <f t="shared" si="26"/>
        <v>6158.7830000000004</v>
      </c>
      <c r="P839" s="47">
        <f>LUCK!E123</f>
        <v>6158.7830000000004</v>
      </c>
      <c r="Q839" s="44" t="str">
        <f t="shared" si="27"/>
        <v>PASS</v>
      </c>
      <c r="R839" s="44" t="s">
        <v>1587</v>
      </c>
      <c r="S839" s="44" t="s">
        <v>1114</v>
      </c>
    </row>
    <row r="840" spans="1:19" x14ac:dyDescent="0.3">
      <c r="A840" s="44" t="s">
        <v>1988</v>
      </c>
      <c r="B840" s="44" t="s">
        <v>68</v>
      </c>
      <c r="C840" s="44" t="s">
        <v>27</v>
      </c>
      <c r="D840" s="44" t="s">
        <v>434</v>
      </c>
      <c r="E840" s="44" t="s">
        <v>1478</v>
      </c>
      <c r="F840" s="44" t="s">
        <v>1989</v>
      </c>
      <c r="G840" s="44" t="s">
        <v>1595</v>
      </c>
      <c r="H840" s="44" t="s">
        <v>1120</v>
      </c>
      <c r="I840" s="44" t="s">
        <v>1106</v>
      </c>
      <c r="J840" s="44">
        <v>241</v>
      </c>
      <c r="K840" s="44" t="s">
        <v>1951</v>
      </c>
      <c r="L840" s="44"/>
      <c r="M840" s="44" t="s">
        <v>1586</v>
      </c>
      <c r="N840" s="45">
        <v>244582</v>
      </c>
      <c r="O840" s="46">
        <f t="shared" si="26"/>
        <v>244.58199999999999</v>
      </c>
      <c r="P840" s="47">
        <f>LUCK!F123</f>
        <v>244.58199999999999</v>
      </c>
      <c r="Q840" s="44" t="str">
        <f t="shared" si="27"/>
        <v>PASS</v>
      </c>
      <c r="R840" s="44" t="s">
        <v>1587</v>
      </c>
      <c r="S840" s="44"/>
    </row>
    <row r="841" spans="1:19" x14ac:dyDescent="0.3">
      <c r="A841" s="44" t="s">
        <v>1990</v>
      </c>
      <c r="B841" s="44" t="s">
        <v>68</v>
      </c>
      <c r="C841" s="44" t="s">
        <v>28</v>
      </c>
      <c r="D841" s="44" t="s">
        <v>434</v>
      </c>
      <c r="E841" s="44" t="s">
        <v>1478</v>
      </c>
      <c r="F841" s="44" t="s">
        <v>1523</v>
      </c>
      <c r="G841" s="44" t="s">
        <v>1598</v>
      </c>
      <c r="H841" s="44" t="s">
        <v>1124</v>
      </c>
      <c r="I841" s="44" t="s">
        <v>1106</v>
      </c>
      <c r="J841" s="44">
        <v>243</v>
      </c>
      <c r="K841" s="44" t="s">
        <v>1107</v>
      </c>
      <c r="L841" s="44"/>
      <c r="M841" s="44" t="s">
        <v>1586</v>
      </c>
      <c r="N841" s="45">
        <v>-18620168</v>
      </c>
      <c r="O841" s="46">
        <f t="shared" si="26"/>
        <v>-18620.168000000001</v>
      </c>
      <c r="P841" s="47">
        <f>LUCK!G123</f>
        <v>-18620.168000000001</v>
      </c>
      <c r="Q841" s="44" t="str">
        <f t="shared" si="27"/>
        <v>PASS</v>
      </c>
      <c r="R841" s="44" t="s">
        <v>1587</v>
      </c>
      <c r="S841" s="44"/>
    </row>
    <row r="842" spans="1:19" x14ac:dyDescent="0.3">
      <c r="A842" s="44" t="s">
        <v>1991</v>
      </c>
      <c r="B842" s="44" t="s">
        <v>68</v>
      </c>
      <c r="C842" s="44" t="s">
        <v>29</v>
      </c>
      <c r="D842" s="44" t="s">
        <v>434</v>
      </c>
      <c r="E842" s="44" t="s">
        <v>1478</v>
      </c>
      <c r="F842" s="44" t="s">
        <v>1523</v>
      </c>
      <c r="G842" s="44" t="s">
        <v>1598</v>
      </c>
      <c r="H842" s="44" t="s">
        <v>1124</v>
      </c>
      <c r="I842" s="44" t="s">
        <v>1127</v>
      </c>
      <c r="J842" s="44">
        <v>243</v>
      </c>
      <c r="K842" s="44" t="s">
        <v>1107</v>
      </c>
      <c r="L842" s="44"/>
      <c r="M842" s="44" t="s">
        <v>1586</v>
      </c>
      <c r="N842" s="45">
        <v>-7580984</v>
      </c>
      <c r="O842" s="46">
        <f t="shared" si="26"/>
        <v>-7580.9840000000004</v>
      </c>
      <c r="P842" s="47">
        <f>LUCK!H123</f>
        <v>-7580.9840000000004</v>
      </c>
      <c r="Q842" s="44" t="str">
        <f t="shared" si="27"/>
        <v>PASS</v>
      </c>
      <c r="R842" s="44" t="s">
        <v>1587</v>
      </c>
      <c r="S842" s="44"/>
    </row>
    <row r="843" spans="1:19" x14ac:dyDescent="0.3">
      <c r="A843" s="44" t="s">
        <v>1992</v>
      </c>
      <c r="B843" s="44" t="s">
        <v>68</v>
      </c>
      <c r="C843" s="44" t="s">
        <v>20</v>
      </c>
      <c r="D843" s="44" t="s">
        <v>436</v>
      </c>
      <c r="E843" s="44" t="s">
        <v>1478</v>
      </c>
      <c r="F843" s="44" t="s">
        <v>436</v>
      </c>
      <c r="G843" s="44" t="s">
        <v>1589</v>
      </c>
      <c r="H843" s="44" t="s">
        <v>1113</v>
      </c>
      <c r="I843" s="44" t="s">
        <v>1106</v>
      </c>
      <c r="J843" s="44">
        <v>229</v>
      </c>
      <c r="K843" s="44" t="s">
        <v>1948</v>
      </c>
      <c r="L843" s="44"/>
      <c r="M843" s="44" t="s">
        <v>1586</v>
      </c>
      <c r="N843" s="45">
        <v>-19889</v>
      </c>
      <c r="O843" s="46">
        <f t="shared" si="26"/>
        <v>-19.888999999999999</v>
      </c>
      <c r="P843" s="47">
        <f>LUCK!D124</f>
        <v>-19.888999999999999</v>
      </c>
      <c r="Q843" s="44" t="str">
        <f t="shared" si="27"/>
        <v>PASS</v>
      </c>
      <c r="R843" s="44" t="s">
        <v>1587</v>
      </c>
      <c r="S843" s="44"/>
    </row>
    <row r="844" spans="1:19" x14ac:dyDescent="0.3">
      <c r="A844" s="44" t="s">
        <v>1993</v>
      </c>
      <c r="B844" s="44" t="s">
        <v>68</v>
      </c>
      <c r="C844" s="44" t="s">
        <v>26</v>
      </c>
      <c r="D844" s="44" t="s">
        <v>436</v>
      </c>
      <c r="E844" s="44" t="s">
        <v>1478</v>
      </c>
      <c r="F844" s="44" t="s">
        <v>436</v>
      </c>
      <c r="G844" s="44" t="s">
        <v>1592</v>
      </c>
      <c r="H844" s="44" t="s">
        <v>1117</v>
      </c>
      <c r="I844" s="44" t="s">
        <v>1106</v>
      </c>
      <c r="J844" s="44">
        <v>237</v>
      </c>
      <c r="K844" s="44" t="s">
        <v>1603</v>
      </c>
      <c r="L844" s="44"/>
      <c r="M844" s="44" t="s">
        <v>1586</v>
      </c>
      <c r="N844" s="45">
        <v>-2428</v>
      </c>
      <c r="O844" s="46">
        <f t="shared" si="26"/>
        <v>-2.4279999999999999</v>
      </c>
      <c r="P844" s="47">
        <f>LUCK!E124</f>
        <v>-2.4279999999999999</v>
      </c>
      <c r="Q844" s="44" t="str">
        <f t="shared" si="27"/>
        <v>PASS</v>
      </c>
      <c r="R844" s="44" t="s">
        <v>1587</v>
      </c>
      <c r="S844" s="44"/>
    </row>
    <row r="845" spans="1:19" x14ac:dyDescent="0.3">
      <c r="A845" s="44" t="s">
        <v>1994</v>
      </c>
      <c r="B845" s="44" t="s">
        <v>68</v>
      </c>
      <c r="C845" s="44" t="s">
        <v>27</v>
      </c>
      <c r="D845" s="44" t="s">
        <v>436</v>
      </c>
      <c r="E845" s="44" t="s">
        <v>1478</v>
      </c>
      <c r="F845" s="44" t="s">
        <v>436</v>
      </c>
      <c r="G845" s="44" t="s">
        <v>1595</v>
      </c>
      <c r="H845" s="44" t="s">
        <v>1120</v>
      </c>
      <c r="I845" s="44" t="s">
        <v>1106</v>
      </c>
      <c r="J845" s="44">
        <v>241</v>
      </c>
      <c r="K845" s="44" t="s">
        <v>1951</v>
      </c>
      <c r="L845" s="44"/>
      <c r="M845" s="44" t="s">
        <v>1586</v>
      </c>
      <c r="N845" s="45">
        <v>-915</v>
      </c>
      <c r="O845" s="46">
        <f t="shared" si="26"/>
        <v>-0.91500000000000004</v>
      </c>
      <c r="P845" s="47">
        <f>LUCK!F124</f>
        <v>-0.91500000000000004</v>
      </c>
      <c r="Q845" s="44" t="str">
        <f t="shared" si="27"/>
        <v>PASS</v>
      </c>
      <c r="R845" s="44" t="s">
        <v>1587</v>
      </c>
      <c r="S845" s="44"/>
    </row>
    <row r="846" spans="1:19" x14ac:dyDescent="0.3">
      <c r="A846" s="44" t="s">
        <v>1995</v>
      </c>
      <c r="B846" s="44" t="s">
        <v>68</v>
      </c>
      <c r="C846" s="44" t="s">
        <v>28</v>
      </c>
      <c r="D846" s="44" t="s">
        <v>436</v>
      </c>
      <c r="E846" s="44" t="s">
        <v>1478</v>
      </c>
      <c r="F846" s="44" t="s">
        <v>436</v>
      </c>
      <c r="G846" s="44" t="s">
        <v>1598</v>
      </c>
      <c r="H846" s="44" t="s">
        <v>1124</v>
      </c>
      <c r="I846" s="44" t="s">
        <v>1106</v>
      </c>
      <c r="J846" s="44">
        <v>243</v>
      </c>
      <c r="K846" s="44" t="s">
        <v>1107</v>
      </c>
      <c r="L846" s="44"/>
      <c r="M846" s="44" t="s">
        <v>1586</v>
      </c>
      <c r="N846" s="45">
        <v>-5443084</v>
      </c>
      <c r="O846" s="46">
        <f t="shared" si="26"/>
        <v>-5443.0839999999998</v>
      </c>
      <c r="P846" s="47">
        <f>LUCK!G124</f>
        <v>-5443.0839999999998</v>
      </c>
      <c r="Q846" s="44" t="str">
        <f t="shared" si="27"/>
        <v>PASS</v>
      </c>
      <c r="R846" s="44" t="s">
        <v>1587</v>
      </c>
      <c r="S846" s="44"/>
    </row>
    <row r="847" spans="1:19" x14ac:dyDescent="0.3">
      <c r="A847" s="44" t="s">
        <v>1996</v>
      </c>
      <c r="B847" s="44" t="s">
        <v>68</v>
      </c>
      <c r="C847" s="44" t="s">
        <v>29</v>
      </c>
      <c r="D847" s="44" t="s">
        <v>436</v>
      </c>
      <c r="E847" s="44" t="s">
        <v>1478</v>
      </c>
      <c r="F847" s="44" t="s">
        <v>436</v>
      </c>
      <c r="G847" s="44" t="s">
        <v>1598</v>
      </c>
      <c r="H847" s="44" t="s">
        <v>1124</v>
      </c>
      <c r="I847" s="44" t="s">
        <v>1127</v>
      </c>
      <c r="J847" s="44">
        <v>243</v>
      </c>
      <c r="K847" s="44" t="s">
        <v>1107</v>
      </c>
      <c r="L847" s="44"/>
      <c r="M847" s="44" t="s">
        <v>1586</v>
      </c>
      <c r="N847" s="45">
        <v>-4388403</v>
      </c>
      <c r="O847" s="46">
        <f t="shared" si="26"/>
        <v>-4388.4030000000002</v>
      </c>
      <c r="P847" s="47">
        <f>LUCK!H124</f>
        <v>-4388.4030000000002</v>
      </c>
      <c r="Q847" s="44" t="str">
        <f t="shared" si="27"/>
        <v>PASS</v>
      </c>
      <c r="R847" s="44" t="s">
        <v>1587</v>
      </c>
      <c r="S847" s="44"/>
    </row>
    <row r="848" spans="1:19" x14ac:dyDescent="0.3">
      <c r="A848" s="44" t="s">
        <v>1997</v>
      </c>
      <c r="B848" s="44" t="s">
        <v>68</v>
      </c>
      <c r="C848" s="44" t="s">
        <v>20</v>
      </c>
      <c r="D848" s="44" t="s">
        <v>439</v>
      </c>
      <c r="E848" s="44" t="s">
        <v>1130</v>
      </c>
      <c r="F848" s="44" t="s">
        <v>1535</v>
      </c>
      <c r="G848" s="44" t="s">
        <v>1584</v>
      </c>
      <c r="H848" s="44" t="s">
        <v>1105</v>
      </c>
      <c r="I848" s="44" t="s">
        <v>1127</v>
      </c>
      <c r="J848" s="44">
        <v>222</v>
      </c>
      <c r="K848" s="44" t="s">
        <v>1107</v>
      </c>
      <c r="L848" s="44"/>
      <c r="M848" s="44" t="s">
        <v>441</v>
      </c>
      <c r="N848" s="44">
        <v>10</v>
      </c>
      <c r="O848" s="44">
        <f t="shared" ref="O848:O877" si="28">N848</f>
        <v>10</v>
      </c>
      <c r="P848" s="48">
        <f>LUCK!D127</f>
        <v>10</v>
      </c>
      <c r="Q848" s="44" t="str">
        <f t="shared" si="27"/>
        <v>PASS</v>
      </c>
      <c r="R848" s="44" t="s">
        <v>1587</v>
      </c>
      <c r="S848" s="44" t="s">
        <v>1537</v>
      </c>
    </row>
    <row r="849" spans="1:19" x14ac:dyDescent="0.3">
      <c r="A849" s="44" t="s">
        <v>1998</v>
      </c>
      <c r="B849" s="44" t="s">
        <v>68</v>
      </c>
      <c r="C849" s="44" t="s">
        <v>26</v>
      </c>
      <c r="D849" s="44" t="s">
        <v>439</v>
      </c>
      <c r="E849" s="44" t="s">
        <v>1130</v>
      </c>
      <c r="F849" s="44" t="s">
        <v>1535</v>
      </c>
      <c r="G849" s="44" t="s">
        <v>1589</v>
      </c>
      <c r="H849" s="44" t="s">
        <v>1113</v>
      </c>
      <c r="I849" s="44" t="s">
        <v>1127</v>
      </c>
      <c r="J849" s="44">
        <v>258</v>
      </c>
      <c r="K849" s="44" t="s">
        <v>1940</v>
      </c>
      <c r="L849" s="44"/>
      <c r="M849" s="44" t="s">
        <v>441</v>
      </c>
      <c r="N849" s="44">
        <v>10</v>
      </c>
      <c r="O849" s="44">
        <f t="shared" si="28"/>
        <v>10</v>
      </c>
      <c r="P849" s="48">
        <f>LUCK!E127</f>
        <v>10</v>
      </c>
      <c r="Q849" s="44" t="str">
        <f t="shared" si="27"/>
        <v>PASS</v>
      </c>
      <c r="R849" s="44" t="s">
        <v>1587</v>
      </c>
      <c r="S849" s="44" t="s">
        <v>1537</v>
      </c>
    </row>
    <row r="850" spans="1:19" x14ac:dyDescent="0.3">
      <c r="A850" s="44" t="s">
        <v>1999</v>
      </c>
      <c r="B850" s="44" t="s">
        <v>68</v>
      </c>
      <c r="C850" s="44" t="s">
        <v>27</v>
      </c>
      <c r="D850" s="44" t="s">
        <v>439</v>
      </c>
      <c r="E850" s="44" t="s">
        <v>1130</v>
      </c>
      <c r="F850" s="44" t="s">
        <v>1535</v>
      </c>
      <c r="G850" s="44" t="s">
        <v>1592</v>
      </c>
      <c r="H850" s="44" t="s">
        <v>1117</v>
      </c>
      <c r="I850" s="44" t="s">
        <v>1127</v>
      </c>
      <c r="J850" s="44">
        <v>266</v>
      </c>
      <c r="K850" s="44" t="s">
        <v>1943</v>
      </c>
      <c r="L850" s="44"/>
      <c r="M850" s="44" t="s">
        <v>441</v>
      </c>
      <c r="N850" s="44">
        <v>10</v>
      </c>
      <c r="O850" s="44">
        <f t="shared" si="28"/>
        <v>10</v>
      </c>
      <c r="P850" s="48">
        <f>LUCK!F127</f>
        <v>10</v>
      </c>
      <c r="Q850" s="44" t="str">
        <f t="shared" si="27"/>
        <v>PASS</v>
      </c>
      <c r="R850" s="44" t="s">
        <v>1587</v>
      </c>
      <c r="S850" s="44" t="s">
        <v>1537</v>
      </c>
    </row>
    <row r="851" spans="1:19" x14ac:dyDescent="0.3">
      <c r="A851" s="44" t="s">
        <v>2000</v>
      </c>
      <c r="B851" s="44" t="s">
        <v>68</v>
      </c>
      <c r="C851" s="44" t="s">
        <v>28</v>
      </c>
      <c r="D851" s="44" t="s">
        <v>439</v>
      </c>
      <c r="E851" s="44" t="s">
        <v>1130</v>
      </c>
      <c r="F851" s="44" t="s">
        <v>1535</v>
      </c>
      <c r="G851" s="44" t="s">
        <v>1595</v>
      </c>
      <c r="H851" s="44" t="s">
        <v>1120</v>
      </c>
      <c r="I851" s="44" t="s">
        <v>1127</v>
      </c>
      <c r="J851" s="44">
        <v>271</v>
      </c>
      <c r="K851" s="44" t="s">
        <v>2001</v>
      </c>
      <c r="L851" s="44"/>
      <c r="M851" s="44" t="s">
        <v>441</v>
      </c>
      <c r="N851" s="44">
        <v>10</v>
      </c>
      <c r="O851" s="44">
        <f t="shared" si="28"/>
        <v>10</v>
      </c>
      <c r="P851" s="48">
        <f>LUCK!G127</f>
        <v>10</v>
      </c>
      <c r="Q851" s="44" t="str">
        <f t="shared" si="27"/>
        <v>PASS</v>
      </c>
      <c r="R851" s="44" t="s">
        <v>1587</v>
      </c>
      <c r="S851" s="44" t="s">
        <v>1537</v>
      </c>
    </row>
    <row r="852" spans="1:19" x14ac:dyDescent="0.3">
      <c r="A852" s="44" t="s">
        <v>2002</v>
      </c>
      <c r="B852" s="44" t="s">
        <v>68</v>
      </c>
      <c r="C852" s="44" t="s">
        <v>29</v>
      </c>
      <c r="D852" s="44" t="s">
        <v>439</v>
      </c>
      <c r="E852" s="44" t="s">
        <v>1130</v>
      </c>
      <c r="F852" s="44" t="s">
        <v>1535</v>
      </c>
      <c r="G852" s="44" t="s">
        <v>1598</v>
      </c>
      <c r="H852" s="44" t="s">
        <v>1124</v>
      </c>
      <c r="I852" s="44" t="s">
        <v>1127</v>
      </c>
      <c r="J852" s="44">
        <v>274</v>
      </c>
      <c r="K852" s="44" t="s">
        <v>2003</v>
      </c>
      <c r="L852" s="44"/>
      <c r="M852" s="44" t="s">
        <v>441</v>
      </c>
      <c r="N852" s="44">
        <v>2</v>
      </c>
      <c r="O852" s="44">
        <f t="shared" si="28"/>
        <v>2</v>
      </c>
      <c r="P852" s="48">
        <f>LUCK!H127</f>
        <v>2</v>
      </c>
      <c r="Q852" s="44" t="str">
        <f t="shared" si="27"/>
        <v>PASS</v>
      </c>
      <c r="R852" s="44" t="s">
        <v>1587</v>
      </c>
      <c r="S852" s="44" t="s">
        <v>1537</v>
      </c>
    </row>
    <row r="853" spans="1:19" x14ac:dyDescent="0.3">
      <c r="A853" s="44" t="s">
        <v>2004</v>
      </c>
      <c r="B853" s="44" t="s">
        <v>68</v>
      </c>
      <c r="C853" s="44" t="s">
        <v>20</v>
      </c>
      <c r="D853" s="44" t="s">
        <v>445</v>
      </c>
      <c r="E853" s="44" t="s">
        <v>1130</v>
      </c>
      <c r="F853" s="44" t="s">
        <v>1543</v>
      </c>
      <c r="G853" s="44" t="s">
        <v>1584</v>
      </c>
      <c r="H853" s="44" t="s">
        <v>1105</v>
      </c>
      <c r="I853" s="44" t="s">
        <v>1127</v>
      </c>
      <c r="J853" s="44">
        <v>222</v>
      </c>
      <c r="K853" s="44" t="s">
        <v>1107</v>
      </c>
      <c r="L853" s="44"/>
      <c r="M853" s="44" t="s">
        <v>444</v>
      </c>
      <c r="N853" s="44">
        <v>323.375</v>
      </c>
      <c r="O853" s="44">
        <f t="shared" si="28"/>
        <v>323.375</v>
      </c>
      <c r="P853" s="46">
        <f>LUCK!D129</f>
        <v>323.375</v>
      </c>
      <c r="Q853" s="44" t="str">
        <f t="shared" si="27"/>
        <v>PASS</v>
      </c>
      <c r="R853" s="44" t="s">
        <v>1587</v>
      </c>
      <c r="S853" s="44" t="s">
        <v>1537</v>
      </c>
    </row>
    <row r="854" spans="1:19" x14ac:dyDescent="0.3">
      <c r="A854" s="44" t="s">
        <v>2005</v>
      </c>
      <c r="B854" s="44" t="s">
        <v>68</v>
      </c>
      <c r="C854" s="44" t="s">
        <v>26</v>
      </c>
      <c r="D854" s="44" t="s">
        <v>445</v>
      </c>
      <c r="E854" s="44" t="s">
        <v>1130</v>
      </c>
      <c r="F854" s="44" t="s">
        <v>1543</v>
      </c>
      <c r="G854" s="44" t="s">
        <v>1589</v>
      </c>
      <c r="H854" s="44" t="s">
        <v>1113</v>
      </c>
      <c r="I854" s="44" t="s">
        <v>1127</v>
      </c>
      <c r="J854" s="44">
        <v>258</v>
      </c>
      <c r="K854" s="44" t="s">
        <v>1940</v>
      </c>
      <c r="L854" s="44"/>
      <c r="M854" s="44" t="s">
        <v>444</v>
      </c>
      <c r="N854" s="44">
        <v>323.375</v>
      </c>
      <c r="O854" s="44">
        <f t="shared" si="28"/>
        <v>323.375</v>
      </c>
      <c r="P854" s="46">
        <f>LUCK!E129</f>
        <v>323.375</v>
      </c>
      <c r="Q854" s="44" t="str">
        <f t="shared" si="27"/>
        <v>PASS</v>
      </c>
      <c r="R854" s="44" t="s">
        <v>1587</v>
      </c>
      <c r="S854" s="44" t="s">
        <v>1537</v>
      </c>
    </row>
    <row r="855" spans="1:19" x14ac:dyDescent="0.3">
      <c r="A855" s="44" t="s">
        <v>2006</v>
      </c>
      <c r="B855" s="44" t="s">
        <v>68</v>
      </c>
      <c r="C855" s="44" t="s">
        <v>27</v>
      </c>
      <c r="D855" s="44" t="s">
        <v>445</v>
      </c>
      <c r="E855" s="44" t="s">
        <v>1130</v>
      </c>
      <c r="F855" s="44" t="s">
        <v>1543</v>
      </c>
      <c r="G855" s="44" t="s">
        <v>1592</v>
      </c>
      <c r="H855" s="44" t="s">
        <v>1117</v>
      </c>
      <c r="I855" s="44" t="s">
        <v>1127</v>
      </c>
      <c r="J855" s="44">
        <v>266</v>
      </c>
      <c r="K855" s="44" t="s">
        <v>1943</v>
      </c>
      <c r="L855" s="44"/>
      <c r="M855" s="44" t="s">
        <v>444</v>
      </c>
      <c r="N855" s="44">
        <v>318.74900000000002</v>
      </c>
      <c r="O855" s="44">
        <f t="shared" si="28"/>
        <v>318.74900000000002</v>
      </c>
      <c r="P855" s="46">
        <f>LUCK!F129</f>
        <v>318.74900000000002</v>
      </c>
      <c r="Q855" s="44" t="str">
        <f t="shared" si="27"/>
        <v>PASS</v>
      </c>
      <c r="R855" s="44" t="s">
        <v>1587</v>
      </c>
      <c r="S855" s="44" t="s">
        <v>1537</v>
      </c>
    </row>
    <row r="856" spans="1:19" x14ac:dyDescent="0.3">
      <c r="A856" s="44" t="s">
        <v>2007</v>
      </c>
      <c r="B856" s="44" t="s">
        <v>68</v>
      </c>
      <c r="C856" s="44" t="s">
        <v>28</v>
      </c>
      <c r="D856" s="44" t="s">
        <v>445</v>
      </c>
      <c r="E856" s="44" t="s">
        <v>1130</v>
      </c>
      <c r="F856" s="44" t="s">
        <v>1543</v>
      </c>
      <c r="G856" s="44" t="s">
        <v>1595</v>
      </c>
      <c r="H856" s="44" t="s">
        <v>1120</v>
      </c>
      <c r="I856" s="44" t="s">
        <v>1127</v>
      </c>
      <c r="J856" s="44">
        <v>271</v>
      </c>
      <c r="K856" s="44" t="s">
        <v>2001</v>
      </c>
      <c r="L856" s="44"/>
      <c r="M856" s="44" t="s">
        <v>444</v>
      </c>
      <c r="N856" s="44">
        <v>297.29599999999999</v>
      </c>
      <c r="O856" s="44">
        <f t="shared" si="28"/>
        <v>297.29599999999999</v>
      </c>
      <c r="P856" s="46">
        <f>LUCK!G129</f>
        <v>297.29599999999999</v>
      </c>
      <c r="Q856" s="44" t="str">
        <f t="shared" si="27"/>
        <v>PASS</v>
      </c>
      <c r="R856" s="44" t="s">
        <v>1587</v>
      </c>
      <c r="S856" s="44" t="s">
        <v>1537</v>
      </c>
    </row>
    <row r="857" spans="1:19" x14ac:dyDescent="0.3">
      <c r="A857" s="44" t="s">
        <v>2008</v>
      </c>
      <c r="B857" s="44" t="s">
        <v>68</v>
      </c>
      <c r="C857" s="44" t="s">
        <v>29</v>
      </c>
      <c r="D857" s="44" t="s">
        <v>445</v>
      </c>
      <c r="E857" s="44" t="s">
        <v>1130</v>
      </c>
      <c r="F857" s="44" t="s">
        <v>1543</v>
      </c>
      <c r="G857" s="44" t="s">
        <v>1598</v>
      </c>
      <c r="H857" s="44" t="s">
        <v>1124</v>
      </c>
      <c r="I857" s="44" t="s">
        <v>1127</v>
      </c>
      <c r="J857" s="44">
        <v>274</v>
      </c>
      <c r="K857" s="44" t="s">
        <v>2003</v>
      </c>
      <c r="L857" s="44"/>
      <c r="M857" s="44" t="s">
        <v>444</v>
      </c>
      <c r="N857" s="44">
        <v>1465</v>
      </c>
      <c r="O857" s="44">
        <f t="shared" si="28"/>
        <v>1465</v>
      </c>
      <c r="P857" s="46">
        <f>LUCK!H129</f>
        <v>1465</v>
      </c>
      <c r="Q857" s="44" t="str">
        <f t="shared" si="27"/>
        <v>PASS</v>
      </c>
      <c r="R857" s="44" t="s">
        <v>1587</v>
      </c>
      <c r="S857" s="44" t="s">
        <v>1537</v>
      </c>
    </row>
    <row r="858" spans="1:19" x14ac:dyDescent="0.3">
      <c r="A858" s="44" t="s">
        <v>2009</v>
      </c>
      <c r="B858" s="44" t="s">
        <v>68</v>
      </c>
      <c r="C858" s="44" t="s">
        <v>20</v>
      </c>
      <c r="D858" s="44" t="s">
        <v>1549</v>
      </c>
      <c r="E858" s="44" t="s">
        <v>1130</v>
      </c>
      <c r="F858" s="44" t="s">
        <v>1550</v>
      </c>
      <c r="G858" s="44" t="s">
        <v>1551</v>
      </c>
      <c r="H858" s="44" t="s">
        <v>1552</v>
      </c>
      <c r="I858" s="44" t="s">
        <v>1553</v>
      </c>
      <c r="J858" s="44"/>
      <c r="K858" s="44"/>
      <c r="L858" s="44"/>
      <c r="M858" s="44" t="s">
        <v>441</v>
      </c>
      <c r="N858" s="44">
        <v>863.44</v>
      </c>
      <c r="O858" s="44">
        <f t="shared" si="28"/>
        <v>863.44</v>
      </c>
      <c r="P858" s="48">
        <f>LUCK!D130</f>
        <v>863.44</v>
      </c>
      <c r="Q858" s="44" t="str">
        <f t="shared" si="27"/>
        <v>PASS</v>
      </c>
      <c r="R858" s="44" t="s">
        <v>1587</v>
      </c>
      <c r="S858" s="44" t="s">
        <v>1554</v>
      </c>
    </row>
    <row r="859" spans="1:19" x14ac:dyDescent="0.3">
      <c r="A859" s="44" t="s">
        <v>2010</v>
      </c>
      <c r="B859" s="44" t="s">
        <v>68</v>
      </c>
      <c r="C859" s="44" t="s">
        <v>26</v>
      </c>
      <c r="D859" s="44" t="s">
        <v>1549</v>
      </c>
      <c r="E859" s="44" t="s">
        <v>1130</v>
      </c>
      <c r="F859" s="44" t="s">
        <v>1550</v>
      </c>
      <c r="G859" s="44" t="s">
        <v>1551</v>
      </c>
      <c r="H859" s="44" t="s">
        <v>1552</v>
      </c>
      <c r="I859" s="44" t="s">
        <v>1556</v>
      </c>
      <c r="J859" s="44"/>
      <c r="K859" s="44"/>
      <c r="L859" s="44"/>
      <c r="M859" s="44" t="s">
        <v>441</v>
      </c>
      <c r="N859" s="44">
        <v>459.04</v>
      </c>
      <c r="O859" s="44">
        <f t="shared" si="28"/>
        <v>459.04</v>
      </c>
      <c r="P859" s="48">
        <f>LUCK!E130</f>
        <v>459.04</v>
      </c>
      <c r="Q859" s="44" t="str">
        <f t="shared" si="27"/>
        <v>PASS</v>
      </c>
      <c r="R859" s="44" t="s">
        <v>1587</v>
      </c>
      <c r="S859" s="44" t="s">
        <v>1554</v>
      </c>
    </row>
    <row r="860" spans="1:19" x14ac:dyDescent="0.3">
      <c r="A860" s="44" t="s">
        <v>2011</v>
      </c>
      <c r="B860" s="44" t="s">
        <v>68</v>
      </c>
      <c r="C860" s="44" t="s">
        <v>27</v>
      </c>
      <c r="D860" s="44" t="s">
        <v>1549</v>
      </c>
      <c r="E860" s="44" t="s">
        <v>1130</v>
      </c>
      <c r="F860" s="44" t="s">
        <v>1550</v>
      </c>
      <c r="G860" s="44" t="s">
        <v>1551</v>
      </c>
      <c r="H860" s="44" t="s">
        <v>1552</v>
      </c>
      <c r="I860" s="44" t="s">
        <v>1558</v>
      </c>
      <c r="J860" s="44"/>
      <c r="K860" s="44"/>
      <c r="L860" s="44"/>
      <c r="M860" s="44" t="s">
        <v>441</v>
      </c>
      <c r="N860" s="44">
        <v>522.09</v>
      </c>
      <c r="O860" s="44">
        <f t="shared" si="28"/>
        <v>522.09</v>
      </c>
      <c r="P860" s="48">
        <f>LUCK!F130</f>
        <v>522.09</v>
      </c>
      <c r="Q860" s="44" t="str">
        <f t="shared" si="27"/>
        <v>PASS</v>
      </c>
      <c r="R860" s="44" t="s">
        <v>1587</v>
      </c>
      <c r="S860" s="44" t="s">
        <v>1554</v>
      </c>
    </row>
    <row r="861" spans="1:19" x14ac:dyDescent="0.3">
      <c r="A861" s="44" t="s">
        <v>2012</v>
      </c>
      <c r="B861" s="44" t="s">
        <v>68</v>
      </c>
      <c r="C861" s="44" t="s">
        <v>28</v>
      </c>
      <c r="D861" s="44" t="s">
        <v>1549</v>
      </c>
      <c r="E861" s="44" t="s">
        <v>1130</v>
      </c>
      <c r="F861" s="44" t="s">
        <v>1550</v>
      </c>
      <c r="G861" s="44" t="s">
        <v>1551</v>
      </c>
      <c r="H861" s="44" t="s">
        <v>1552</v>
      </c>
      <c r="I861" s="44" t="s">
        <v>1560</v>
      </c>
      <c r="J861" s="44"/>
      <c r="K861" s="44"/>
      <c r="L861" s="44"/>
      <c r="M861" s="44" t="s">
        <v>441</v>
      </c>
      <c r="N861" s="44">
        <v>906.73</v>
      </c>
      <c r="O861" s="44">
        <f t="shared" si="28"/>
        <v>906.73</v>
      </c>
      <c r="P861" s="48">
        <f>LUCK!G130</f>
        <v>906.73</v>
      </c>
      <c r="Q861" s="44" t="str">
        <f t="shared" si="27"/>
        <v>PASS</v>
      </c>
      <c r="R861" s="44" t="s">
        <v>1587</v>
      </c>
      <c r="S861" s="44" t="s">
        <v>1554</v>
      </c>
    </row>
    <row r="862" spans="1:19" x14ac:dyDescent="0.3">
      <c r="A862" s="44" t="s">
        <v>2013</v>
      </c>
      <c r="B862" s="44" t="s">
        <v>68</v>
      </c>
      <c r="C862" s="44" t="s">
        <v>29</v>
      </c>
      <c r="D862" s="44" t="s">
        <v>1549</v>
      </c>
      <c r="E862" s="44" t="s">
        <v>1130</v>
      </c>
      <c r="F862" s="44" t="s">
        <v>1550</v>
      </c>
      <c r="G862" s="44" t="s">
        <v>1551</v>
      </c>
      <c r="H862" s="44" t="s">
        <v>1552</v>
      </c>
      <c r="I862" s="44" t="s">
        <v>1562</v>
      </c>
      <c r="J862" s="44"/>
      <c r="K862" s="44"/>
      <c r="L862" s="44"/>
      <c r="M862" s="44" t="s">
        <v>441</v>
      </c>
      <c r="N862" s="44">
        <v>355.24</v>
      </c>
      <c r="O862" s="44">
        <f t="shared" si="28"/>
        <v>355.24</v>
      </c>
      <c r="P862" s="48">
        <f>LUCK!H130</f>
        <v>355.24</v>
      </c>
      <c r="Q862" s="44" t="str">
        <f t="shared" si="27"/>
        <v>PASS</v>
      </c>
      <c r="R862" s="44" t="s">
        <v>1587</v>
      </c>
      <c r="S862" s="44" t="s">
        <v>1554</v>
      </c>
    </row>
    <row r="863" spans="1:19" x14ac:dyDescent="0.3">
      <c r="A863" s="44" t="s">
        <v>2014</v>
      </c>
      <c r="B863" s="44" t="s">
        <v>68</v>
      </c>
      <c r="C863" s="44" t="s">
        <v>20</v>
      </c>
      <c r="D863" s="44" t="s">
        <v>449</v>
      </c>
      <c r="E863" s="44" t="s">
        <v>1130</v>
      </c>
      <c r="F863" s="44" t="s">
        <v>1564</v>
      </c>
      <c r="G863" s="44" t="s">
        <v>1598</v>
      </c>
      <c r="H863" s="44" t="s">
        <v>1124</v>
      </c>
      <c r="I863" s="44" t="s">
        <v>1106</v>
      </c>
      <c r="J863" s="44">
        <v>166</v>
      </c>
      <c r="K863" s="44" t="s">
        <v>2015</v>
      </c>
      <c r="L863" s="44"/>
      <c r="M863" s="44" t="s">
        <v>441</v>
      </c>
      <c r="N863" s="44">
        <v>0</v>
      </c>
      <c r="O863" s="44">
        <f t="shared" si="28"/>
        <v>0</v>
      </c>
      <c r="P863" s="48">
        <f>LUCK!D131</f>
        <v>0</v>
      </c>
      <c r="Q863" s="44" t="str">
        <f t="shared" si="27"/>
        <v>PASS</v>
      </c>
      <c r="R863" s="44" t="s">
        <v>1587</v>
      </c>
      <c r="S863" s="44" t="s">
        <v>1537</v>
      </c>
    </row>
    <row r="864" spans="1:19" x14ac:dyDescent="0.3">
      <c r="A864" s="44" t="s">
        <v>2016</v>
      </c>
      <c r="B864" s="44" t="s">
        <v>68</v>
      </c>
      <c r="C864" s="44" t="s">
        <v>26</v>
      </c>
      <c r="D864" s="44" t="s">
        <v>449</v>
      </c>
      <c r="E864" s="44" t="s">
        <v>1130</v>
      </c>
      <c r="F864" s="44" t="s">
        <v>1564</v>
      </c>
      <c r="G864" s="44" t="s">
        <v>1598</v>
      </c>
      <c r="H864" s="44" t="s">
        <v>1124</v>
      </c>
      <c r="I864" s="44" t="s">
        <v>1106</v>
      </c>
      <c r="J864" s="44">
        <v>166</v>
      </c>
      <c r="K864" s="44" t="s">
        <v>2015</v>
      </c>
      <c r="L864" s="44"/>
      <c r="M864" s="44" t="s">
        <v>441</v>
      </c>
      <c r="N864" s="44">
        <v>0</v>
      </c>
      <c r="O864" s="44">
        <f t="shared" si="28"/>
        <v>0</v>
      </c>
      <c r="P864" s="48">
        <f>LUCK!E131</f>
        <v>0</v>
      </c>
      <c r="Q864" s="44" t="str">
        <f t="shared" si="27"/>
        <v>PASS</v>
      </c>
      <c r="R864" s="44" t="s">
        <v>1587</v>
      </c>
      <c r="S864" s="44" t="s">
        <v>1537</v>
      </c>
    </row>
    <row r="865" spans="1:19" x14ac:dyDescent="0.3">
      <c r="A865" s="44" t="s">
        <v>2017</v>
      </c>
      <c r="B865" s="44" t="s">
        <v>68</v>
      </c>
      <c r="C865" s="44" t="s">
        <v>27</v>
      </c>
      <c r="D865" s="44" t="s">
        <v>449</v>
      </c>
      <c r="E865" s="44" t="s">
        <v>1130</v>
      </c>
      <c r="F865" s="44" t="s">
        <v>1564</v>
      </c>
      <c r="G865" s="44" t="s">
        <v>1598</v>
      </c>
      <c r="H865" s="44" t="s">
        <v>1124</v>
      </c>
      <c r="I865" s="44" t="s">
        <v>1106</v>
      </c>
      <c r="J865" s="44">
        <v>166</v>
      </c>
      <c r="K865" s="44" t="s">
        <v>2015</v>
      </c>
      <c r="L865" s="44"/>
      <c r="M865" s="44" t="s">
        <v>441</v>
      </c>
      <c r="N865" s="44">
        <v>18</v>
      </c>
      <c r="O865" s="44">
        <f t="shared" si="28"/>
        <v>18</v>
      </c>
      <c r="P865" s="48">
        <f>LUCK!F131</f>
        <v>18</v>
      </c>
      <c r="Q865" s="44" t="str">
        <f t="shared" si="27"/>
        <v>PASS</v>
      </c>
      <c r="R865" s="44" t="s">
        <v>1587</v>
      </c>
      <c r="S865" s="44" t="s">
        <v>1537</v>
      </c>
    </row>
    <row r="866" spans="1:19" x14ac:dyDescent="0.3">
      <c r="A866" s="44" t="s">
        <v>2018</v>
      </c>
      <c r="B866" s="44" t="s">
        <v>68</v>
      </c>
      <c r="C866" s="44" t="s">
        <v>28</v>
      </c>
      <c r="D866" s="44" t="s">
        <v>449</v>
      </c>
      <c r="E866" s="44" t="s">
        <v>1130</v>
      </c>
      <c r="F866" s="44" t="s">
        <v>1564</v>
      </c>
      <c r="G866" s="44" t="s">
        <v>1598</v>
      </c>
      <c r="H866" s="44" t="s">
        <v>1124</v>
      </c>
      <c r="I866" s="44" t="s">
        <v>1106</v>
      </c>
      <c r="J866" s="44">
        <v>166</v>
      </c>
      <c r="K866" s="44" t="s">
        <v>2015</v>
      </c>
      <c r="L866" s="44"/>
      <c r="M866" s="44" t="s">
        <v>441</v>
      </c>
      <c r="N866" s="44">
        <v>15</v>
      </c>
      <c r="O866" s="44">
        <f t="shared" si="28"/>
        <v>15</v>
      </c>
      <c r="P866" s="48">
        <f>LUCK!G131</f>
        <v>15</v>
      </c>
      <c r="Q866" s="44" t="str">
        <f t="shared" si="27"/>
        <v>PASS</v>
      </c>
      <c r="R866" s="44" t="s">
        <v>1587</v>
      </c>
      <c r="S866" s="44" t="s">
        <v>1537</v>
      </c>
    </row>
    <row r="867" spans="1:19" x14ac:dyDescent="0.3">
      <c r="A867" s="44" t="s">
        <v>2019</v>
      </c>
      <c r="B867" s="44" t="s">
        <v>68</v>
      </c>
      <c r="C867" s="44" t="s">
        <v>29</v>
      </c>
      <c r="D867" s="44" t="s">
        <v>449</v>
      </c>
      <c r="E867" s="44" t="s">
        <v>1130</v>
      </c>
      <c r="F867" s="44" t="s">
        <v>1564</v>
      </c>
      <c r="G867" s="44" t="s">
        <v>1598</v>
      </c>
      <c r="H867" s="44" t="s">
        <v>1124</v>
      </c>
      <c r="I867" s="44" t="s">
        <v>1127</v>
      </c>
      <c r="J867" s="44">
        <v>166</v>
      </c>
      <c r="K867" s="44" t="s">
        <v>2015</v>
      </c>
      <c r="L867" s="44"/>
      <c r="M867" s="44" t="s">
        <v>441</v>
      </c>
      <c r="N867" s="44">
        <v>4</v>
      </c>
      <c r="O867" s="44">
        <f t="shared" si="28"/>
        <v>4</v>
      </c>
      <c r="P867" s="48">
        <f>LUCK!H131</f>
        <v>4</v>
      </c>
      <c r="Q867" s="44" t="str">
        <f t="shared" si="27"/>
        <v>PASS</v>
      </c>
      <c r="R867" s="44" t="s">
        <v>1587</v>
      </c>
      <c r="S867" s="44" t="s">
        <v>1537</v>
      </c>
    </row>
    <row r="868" spans="1:19" x14ac:dyDescent="0.3">
      <c r="A868" s="44" t="s">
        <v>2020</v>
      </c>
      <c r="B868" s="44" t="s">
        <v>68</v>
      </c>
      <c r="C868" s="44" t="s">
        <v>20</v>
      </c>
      <c r="D868" s="44" t="s">
        <v>1570</v>
      </c>
      <c r="E868" s="44" t="s">
        <v>1381</v>
      </c>
      <c r="F868" s="44" t="s">
        <v>1571</v>
      </c>
      <c r="G868" s="44" t="s">
        <v>1584</v>
      </c>
      <c r="H868" s="44" t="s">
        <v>1105</v>
      </c>
      <c r="I868" s="44" t="s">
        <v>1127</v>
      </c>
      <c r="J868" s="44">
        <v>222</v>
      </c>
      <c r="K868" s="44" t="s">
        <v>1107</v>
      </c>
      <c r="L868" s="44"/>
      <c r="M868" s="44" t="s">
        <v>441</v>
      </c>
      <c r="N868" s="44">
        <v>43.51</v>
      </c>
      <c r="O868" s="44">
        <f t="shared" si="28"/>
        <v>43.51</v>
      </c>
      <c r="P868" s="48">
        <f>LUCK!D132</f>
        <v>43.51</v>
      </c>
      <c r="Q868" s="44" t="str">
        <f t="shared" si="27"/>
        <v>PASS</v>
      </c>
      <c r="R868" s="44" t="s">
        <v>1587</v>
      </c>
      <c r="S868" s="44" t="s">
        <v>1537</v>
      </c>
    </row>
    <row r="869" spans="1:19" x14ac:dyDescent="0.3">
      <c r="A869" s="44" t="s">
        <v>2021</v>
      </c>
      <c r="B869" s="44" t="s">
        <v>68</v>
      </c>
      <c r="C869" s="44" t="s">
        <v>26</v>
      </c>
      <c r="D869" s="44" t="s">
        <v>1570</v>
      </c>
      <c r="E869" s="44" t="s">
        <v>1381</v>
      </c>
      <c r="F869" s="44" t="s">
        <v>1571</v>
      </c>
      <c r="G869" s="44" t="s">
        <v>1589</v>
      </c>
      <c r="H869" s="44" t="s">
        <v>1113</v>
      </c>
      <c r="I869" s="44" t="s">
        <v>1127</v>
      </c>
      <c r="J869" s="44">
        <v>258</v>
      </c>
      <c r="K869" s="44" t="s">
        <v>1842</v>
      </c>
      <c r="L869" s="44"/>
      <c r="M869" s="44" t="s">
        <v>441</v>
      </c>
      <c r="N869" s="44">
        <v>47.31</v>
      </c>
      <c r="O869" s="44">
        <f t="shared" si="28"/>
        <v>47.31</v>
      </c>
      <c r="P869" s="48">
        <f>LUCK!E132</f>
        <v>47.31</v>
      </c>
      <c r="Q869" s="44" t="str">
        <f t="shared" si="27"/>
        <v>PASS</v>
      </c>
      <c r="R869" s="44" t="s">
        <v>1587</v>
      </c>
      <c r="S869" s="44" t="s">
        <v>1537</v>
      </c>
    </row>
    <row r="870" spans="1:19" x14ac:dyDescent="0.3">
      <c r="A870" s="44" t="s">
        <v>2022</v>
      </c>
      <c r="B870" s="44" t="s">
        <v>68</v>
      </c>
      <c r="C870" s="44" t="s">
        <v>27</v>
      </c>
      <c r="D870" s="44" t="s">
        <v>1570</v>
      </c>
      <c r="E870" s="44" t="s">
        <v>1381</v>
      </c>
      <c r="F870" s="44" t="s">
        <v>1571</v>
      </c>
      <c r="G870" s="44" t="s">
        <v>1592</v>
      </c>
      <c r="H870" s="44" t="s">
        <v>1117</v>
      </c>
      <c r="I870" s="44" t="s">
        <v>1127</v>
      </c>
      <c r="J870" s="44">
        <v>266</v>
      </c>
      <c r="K870" s="44" t="s">
        <v>1844</v>
      </c>
      <c r="L870" s="44"/>
      <c r="M870" s="44" t="s">
        <v>441</v>
      </c>
      <c r="N870" s="44">
        <v>43.06</v>
      </c>
      <c r="O870" s="44">
        <f t="shared" si="28"/>
        <v>43.06</v>
      </c>
      <c r="P870" s="48">
        <f>LUCK!F132</f>
        <v>43.06</v>
      </c>
      <c r="Q870" s="44" t="str">
        <f t="shared" si="27"/>
        <v>PASS</v>
      </c>
      <c r="R870" s="44" t="s">
        <v>1587</v>
      </c>
      <c r="S870" s="44" t="s">
        <v>1537</v>
      </c>
    </row>
    <row r="871" spans="1:19" x14ac:dyDescent="0.3">
      <c r="A871" s="44" t="s">
        <v>2023</v>
      </c>
      <c r="B871" s="44" t="s">
        <v>68</v>
      </c>
      <c r="C871" s="44" t="s">
        <v>28</v>
      </c>
      <c r="D871" s="44" t="s">
        <v>1570</v>
      </c>
      <c r="E871" s="44" t="s">
        <v>1381</v>
      </c>
      <c r="F871" s="44" t="s">
        <v>1571</v>
      </c>
      <c r="G871" s="44" t="s">
        <v>1595</v>
      </c>
      <c r="H871" s="44" t="s">
        <v>1120</v>
      </c>
      <c r="I871" s="44" t="s">
        <v>1127</v>
      </c>
      <c r="J871" s="44">
        <v>271</v>
      </c>
      <c r="K871" s="44" t="s">
        <v>1846</v>
      </c>
      <c r="L871" s="44"/>
      <c r="M871" s="44" t="s">
        <v>441</v>
      </c>
      <c r="N871" s="44">
        <v>94.54</v>
      </c>
      <c r="O871" s="44">
        <f t="shared" si="28"/>
        <v>94.54</v>
      </c>
      <c r="P871" s="48">
        <f>LUCK!G132</f>
        <v>94.54</v>
      </c>
      <c r="Q871" s="44" t="str">
        <f t="shared" si="27"/>
        <v>PASS</v>
      </c>
      <c r="R871" s="44" t="s">
        <v>1587</v>
      </c>
      <c r="S871" s="44" t="s">
        <v>1537</v>
      </c>
    </row>
    <row r="872" spans="1:19" x14ac:dyDescent="0.3">
      <c r="A872" s="44" t="s">
        <v>2024</v>
      </c>
      <c r="B872" s="44" t="s">
        <v>68</v>
      </c>
      <c r="C872" s="44" t="s">
        <v>29</v>
      </c>
      <c r="D872" s="44" t="s">
        <v>1570</v>
      </c>
      <c r="E872" s="44" t="s">
        <v>1381</v>
      </c>
      <c r="F872" s="44" t="s">
        <v>1571</v>
      </c>
      <c r="G872" s="44" t="s">
        <v>1598</v>
      </c>
      <c r="H872" s="44" t="s">
        <v>1124</v>
      </c>
      <c r="I872" s="44" t="s">
        <v>1127</v>
      </c>
      <c r="J872" s="44">
        <v>274</v>
      </c>
      <c r="K872" s="44" t="s">
        <v>1107</v>
      </c>
      <c r="L872" s="44"/>
      <c r="M872" s="44" t="s">
        <v>441</v>
      </c>
      <c r="N872" s="44">
        <v>22.59</v>
      </c>
      <c r="O872" s="44">
        <f t="shared" si="28"/>
        <v>22.59</v>
      </c>
      <c r="P872" s="48">
        <f>LUCK!H132</f>
        <v>22.59</v>
      </c>
      <c r="Q872" s="44" t="str">
        <f t="shared" si="27"/>
        <v>PASS</v>
      </c>
      <c r="R872" s="44" t="s">
        <v>1587</v>
      </c>
      <c r="S872" s="44" t="s">
        <v>1537</v>
      </c>
    </row>
    <row r="873" spans="1:19" x14ac:dyDescent="0.3">
      <c r="A873" s="44" t="s">
        <v>2025</v>
      </c>
      <c r="B873" s="44" t="s">
        <v>68</v>
      </c>
      <c r="C873" s="44" t="s">
        <v>20</v>
      </c>
      <c r="D873" s="44" t="s">
        <v>1577</v>
      </c>
      <c r="E873" s="44" t="s">
        <v>1130</v>
      </c>
      <c r="F873" s="44" t="s">
        <v>1578</v>
      </c>
      <c r="G873" s="44" t="s">
        <v>1598</v>
      </c>
      <c r="H873" s="44" t="s">
        <v>1124</v>
      </c>
      <c r="I873" s="44" t="s">
        <v>1106</v>
      </c>
      <c r="J873" s="44">
        <v>166</v>
      </c>
      <c r="K873" s="44" t="s">
        <v>2015</v>
      </c>
      <c r="L873" s="44"/>
      <c r="M873" s="44" t="s">
        <v>457</v>
      </c>
      <c r="N873" s="44">
        <v>5</v>
      </c>
      <c r="O873" s="44">
        <f t="shared" si="28"/>
        <v>5</v>
      </c>
      <c r="P873" s="48">
        <f>LUCK!D134</f>
        <v>5</v>
      </c>
      <c r="Q873" s="44" t="str">
        <f t="shared" si="27"/>
        <v>PASS</v>
      </c>
      <c r="R873" s="44" t="s">
        <v>1587</v>
      </c>
      <c r="S873" s="44" t="s">
        <v>1537</v>
      </c>
    </row>
    <row r="874" spans="1:19" x14ac:dyDescent="0.3">
      <c r="A874" s="44" t="s">
        <v>2026</v>
      </c>
      <c r="B874" s="44" t="s">
        <v>68</v>
      </c>
      <c r="C874" s="44" t="s">
        <v>26</v>
      </c>
      <c r="D874" s="44" t="s">
        <v>1577</v>
      </c>
      <c r="E874" s="44" t="s">
        <v>1130</v>
      </c>
      <c r="F874" s="44" t="s">
        <v>1578</v>
      </c>
      <c r="G874" s="44" t="s">
        <v>1598</v>
      </c>
      <c r="H874" s="44" t="s">
        <v>1124</v>
      </c>
      <c r="I874" s="44" t="s">
        <v>1106</v>
      </c>
      <c r="J874" s="44">
        <v>166</v>
      </c>
      <c r="K874" s="44" t="s">
        <v>2015</v>
      </c>
      <c r="L874" s="44"/>
      <c r="M874" s="44" t="s">
        <v>457</v>
      </c>
      <c r="N874" s="44">
        <v>5</v>
      </c>
      <c r="O874" s="44">
        <f t="shared" si="28"/>
        <v>5</v>
      </c>
      <c r="P874" s="48">
        <f>LUCK!E134</f>
        <v>5</v>
      </c>
      <c r="Q874" s="44" t="str">
        <f t="shared" si="27"/>
        <v>PASS</v>
      </c>
      <c r="R874" s="44" t="s">
        <v>1587</v>
      </c>
      <c r="S874" s="44" t="s">
        <v>1537</v>
      </c>
    </row>
    <row r="875" spans="1:19" x14ac:dyDescent="0.3">
      <c r="A875" s="44" t="s">
        <v>2027</v>
      </c>
      <c r="B875" s="44" t="s">
        <v>68</v>
      </c>
      <c r="C875" s="44" t="s">
        <v>27</v>
      </c>
      <c r="D875" s="44" t="s">
        <v>1577</v>
      </c>
      <c r="E875" s="44" t="s">
        <v>1130</v>
      </c>
      <c r="F875" s="44" t="s">
        <v>1578</v>
      </c>
      <c r="G875" s="44" t="s">
        <v>1598</v>
      </c>
      <c r="H875" s="44" t="s">
        <v>1124</v>
      </c>
      <c r="I875" s="44" t="s">
        <v>1106</v>
      </c>
      <c r="J875" s="44">
        <v>166</v>
      </c>
      <c r="K875" s="44" t="s">
        <v>2015</v>
      </c>
      <c r="L875" s="44"/>
      <c r="M875" s="44" t="s">
        <v>457</v>
      </c>
      <c r="N875" s="44">
        <v>5</v>
      </c>
      <c r="O875" s="44">
        <f t="shared" si="28"/>
        <v>5</v>
      </c>
      <c r="P875" s="48">
        <f>LUCK!F134</f>
        <v>5</v>
      </c>
      <c r="Q875" s="44" t="str">
        <f t="shared" si="27"/>
        <v>PASS</v>
      </c>
      <c r="R875" s="44" t="s">
        <v>1587</v>
      </c>
      <c r="S875" s="44" t="s">
        <v>1537</v>
      </c>
    </row>
    <row r="876" spans="1:19" x14ac:dyDescent="0.3">
      <c r="A876" s="44" t="s">
        <v>2028</v>
      </c>
      <c r="B876" s="44" t="s">
        <v>68</v>
      </c>
      <c r="C876" s="44" t="s">
        <v>28</v>
      </c>
      <c r="D876" s="44" t="s">
        <v>1577</v>
      </c>
      <c r="E876" s="44" t="s">
        <v>1130</v>
      </c>
      <c r="F876" s="44" t="s">
        <v>1578</v>
      </c>
      <c r="G876" s="44" t="s">
        <v>1598</v>
      </c>
      <c r="H876" s="44" t="s">
        <v>1124</v>
      </c>
      <c r="I876" s="44" t="s">
        <v>1106</v>
      </c>
      <c r="J876" s="44">
        <v>166</v>
      </c>
      <c r="K876" s="44" t="s">
        <v>2015</v>
      </c>
      <c r="L876" s="44"/>
      <c r="M876" s="44" t="s">
        <v>457</v>
      </c>
      <c r="N876" s="44">
        <v>5</v>
      </c>
      <c r="O876" s="44">
        <f t="shared" si="28"/>
        <v>5</v>
      </c>
      <c r="P876" s="48">
        <f>LUCK!G134</f>
        <v>5</v>
      </c>
      <c r="Q876" s="44" t="str">
        <f t="shared" si="27"/>
        <v>PASS</v>
      </c>
      <c r="R876" s="44" t="s">
        <v>1587</v>
      </c>
      <c r="S876" s="44" t="s">
        <v>1537</v>
      </c>
    </row>
    <row r="877" spans="1:19" x14ac:dyDescent="0.3">
      <c r="A877" s="44" t="s">
        <v>2029</v>
      </c>
      <c r="B877" s="44" t="s">
        <v>68</v>
      </c>
      <c r="C877" s="44" t="s">
        <v>29</v>
      </c>
      <c r="D877" s="44" t="s">
        <v>1577</v>
      </c>
      <c r="E877" s="44" t="s">
        <v>1130</v>
      </c>
      <c r="F877" s="44" t="s">
        <v>1578</v>
      </c>
      <c r="G877" s="44" t="s">
        <v>1598</v>
      </c>
      <c r="H877" s="44" t="s">
        <v>1124</v>
      </c>
      <c r="I877" s="44" t="s">
        <v>1127</v>
      </c>
      <c r="J877" s="44">
        <v>166</v>
      </c>
      <c r="K877" s="44" t="s">
        <v>2015</v>
      </c>
      <c r="L877" s="44"/>
      <c r="M877" s="44" t="s">
        <v>457</v>
      </c>
      <c r="N877" s="44">
        <v>1</v>
      </c>
      <c r="O877" s="44">
        <f t="shared" si="28"/>
        <v>1</v>
      </c>
      <c r="P877" s="48">
        <f>LUCK!H134</f>
        <v>1</v>
      </c>
      <c r="Q877" s="44" t="str">
        <f t="shared" si="27"/>
        <v>PASS</v>
      </c>
      <c r="R877" s="44" t="s">
        <v>1587</v>
      </c>
      <c r="S877" s="44" t="s">
        <v>1537</v>
      </c>
    </row>
    <row r="878" spans="1:19" x14ac:dyDescent="0.3">
      <c r="A878" s="44" t="s">
        <v>2030</v>
      </c>
      <c r="B878" s="44" t="s">
        <v>86</v>
      </c>
      <c r="C878" s="44" t="s">
        <v>965</v>
      </c>
      <c r="D878" s="44" t="s">
        <v>243</v>
      </c>
      <c r="E878" s="44" t="s">
        <v>1035</v>
      </c>
      <c r="F878" s="44" t="s">
        <v>1103</v>
      </c>
      <c r="G878" s="44" t="s">
        <v>2031</v>
      </c>
      <c r="H878" s="44" t="s">
        <v>1105</v>
      </c>
      <c r="I878" s="44" t="s">
        <v>1106</v>
      </c>
      <c r="J878" s="44">
        <v>106</v>
      </c>
      <c r="K878" s="44" t="s">
        <v>2032</v>
      </c>
      <c r="L878" s="44" t="s">
        <v>1161</v>
      </c>
      <c r="M878" s="44" t="s">
        <v>2033</v>
      </c>
      <c r="N878" s="45">
        <v>83537295</v>
      </c>
      <c r="O878" s="46">
        <f t="shared" ref="O878:O941" si="29">N878/1000</f>
        <v>83537.294999999998</v>
      </c>
      <c r="P878" s="47">
        <f>DGKC!C20</f>
        <v>83537.294999999998</v>
      </c>
      <c r="Q878" s="44" t="str">
        <f t="shared" si="27"/>
        <v>PASS</v>
      </c>
      <c r="R878" s="44" t="s">
        <v>1587</v>
      </c>
      <c r="S878" s="44"/>
    </row>
    <row r="879" spans="1:19" x14ac:dyDescent="0.3">
      <c r="A879" s="44" t="s">
        <v>2034</v>
      </c>
      <c r="B879" s="44" t="s">
        <v>86</v>
      </c>
      <c r="C879" s="44" t="s">
        <v>20</v>
      </c>
      <c r="D879" s="44" t="s">
        <v>243</v>
      </c>
      <c r="E879" s="44" t="s">
        <v>1035</v>
      </c>
      <c r="F879" s="44" t="s">
        <v>1103</v>
      </c>
      <c r="G879" s="44" t="s">
        <v>2035</v>
      </c>
      <c r="H879" s="44" t="s">
        <v>1113</v>
      </c>
      <c r="I879" s="44" t="s">
        <v>1106</v>
      </c>
      <c r="J879" s="44">
        <v>126</v>
      </c>
      <c r="K879" s="44" t="s">
        <v>2036</v>
      </c>
      <c r="L879" s="44" t="s">
        <v>1161</v>
      </c>
      <c r="M879" s="44" t="s">
        <v>2033</v>
      </c>
      <c r="N879" s="45">
        <v>85020109</v>
      </c>
      <c r="O879" s="46">
        <f t="shared" si="29"/>
        <v>85020.108999999997</v>
      </c>
      <c r="P879" s="47">
        <f>DGKC!D20</f>
        <v>85020.108999999997</v>
      </c>
      <c r="Q879" s="44" t="str">
        <f t="shared" si="27"/>
        <v>PASS</v>
      </c>
      <c r="R879" s="44" t="s">
        <v>1587</v>
      </c>
      <c r="S879" s="44"/>
    </row>
    <row r="880" spans="1:19" x14ac:dyDescent="0.3">
      <c r="A880" s="44" t="s">
        <v>2037</v>
      </c>
      <c r="B880" s="44" t="s">
        <v>86</v>
      </c>
      <c r="C880" s="44" t="s">
        <v>26</v>
      </c>
      <c r="D880" s="44" t="s">
        <v>243</v>
      </c>
      <c r="E880" s="44" t="s">
        <v>1035</v>
      </c>
      <c r="F880" s="44" t="s">
        <v>1103</v>
      </c>
      <c r="G880" s="44" t="s">
        <v>2038</v>
      </c>
      <c r="H880" s="44" t="s">
        <v>1117</v>
      </c>
      <c r="I880" s="44" t="s">
        <v>1106</v>
      </c>
      <c r="J880" s="44">
        <v>152</v>
      </c>
      <c r="K880" s="44" t="s">
        <v>2039</v>
      </c>
      <c r="L880" s="44" t="s">
        <v>1161</v>
      </c>
      <c r="M880" s="44" t="s">
        <v>2033</v>
      </c>
      <c r="N880" s="45">
        <v>82803860</v>
      </c>
      <c r="O880" s="46">
        <f t="shared" si="29"/>
        <v>82803.86</v>
      </c>
      <c r="P880" s="47">
        <f>DGKC!E20</f>
        <v>82803.86</v>
      </c>
      <c r="Q880" s="44" t="str">
        <f t="shared" si="27"/>
        <v>PASS</v>
      </c>
      <c r="R880" s="44" t="s">
        <v>1587</v>
      </c>
      <c r="S880" s="44"/>
    </row>
    <row r="881" spans="1:19" x14ac:dyDescent="0.3">
      <c r="A881" s="44" t="s">
        <v>2040</v>
      </c>
      <c r="B881" s="44" t="s">
        <v>86</v>
      </c>
      <c r="C881" s="44" t="s">
        <v>27</v>
      </c>
      <c r="D881" s="44" t="s">
        <v>243</v>
      </c>
      <c r="E881" s="44" t="s">
        <v>1035</v>
      </c>
      <c r="F881" s="44" t="s">
        <v>1103</v>
      </c>
      <c r="G881" s="44" t="s">
        <v>2041</v>
      </c>
      <c r="H881" s="44" t="s">
        <v>1120</v>
      </c>
      <c r="I881" s="44" t="s">
        <v>1106</v>
      </c>
      <c r="J881" s="44">
        <v>152</v>
      </c>
      <c r="K881" s="44" t="s">
        <v>2039</v>
      </c>
      <c r="L881" s="44" t="s">
        <v>1161</v>
      </c>
      <c r="M881" s="44" t="s">
        <v>2033</v>
      </c>
      <c r="N881" s="45">
        <v>82245650</v>
      </c>
      <c r="O881" s="46">
        <f t="shared" si="29"/>
        <v>82245.649999999994</v>
      </c>
      <c r="P881" s="47">
        <f>DGKC!F20</f>
        <v>82245.649999999994</v>
      </c>
      <c r="Q881" s="44" t="str">
        <f t="shared" si="27"/>
        <v>PASS</v>
      </c>
      <c r="R881" s="44" t="s">
        <v>1587</v>
      </c>
      <c r="S881" s="44"/>
    </row>
    <row r="882" spans="1:19" x14ac:dyDescent="0.3">
      <c r="A882" s="44" t="s">
        <v>2042</v>
      </c>
      <c r="B882" s="44" t="s">
        <v>86</v>
      </c>
      <c r="C882" s="44" t="s">
        <v>28</v>
      </c>
      <c r="D882" s="44" t="s">
        <v>243</v>
      </c>
      <c r="E882" s="44" t="s">
        <v>1035</v>
      </c>
      <c r="F882" s="44" t="s">
        <v>1103</v>
      </c>
      <c r="G882" s="44" t="s">
        <v>2043</v>
      </c>
      <c r="H882" s="44" t="s">
        <v>1124</v>
      </c>
      <c r="I882" s="44" t="s">
        <v>1106</v>
      </c>
      <c r="J882" s="44">
        <v>154</v>
      </c>
      <c r="K882" s="44" t="s">
        <v>2044</v>
      </c>
      <c r="L882" s="44" t="s">
        <v>1161</v>
      </c>
      <c r="M882" s="44" t="s">
        <v>2033</v>
      </c>
      <c r="N882" s="45">
        <v>79877839</v>
      </c>
      <c r="O882" s="46">
        <f t="shared" si="29"/>
        <v>79877.839000000007</v>
      </c>
      <c r="P882" s="47">
        <f>DGKC!G20</f>
        <v>79877.839000000007</v>
      </c>
      <c r="Q882" s="44" t="str">
        <f t="shared" si="27"/>
        <v>PASS</v>
      </c>
      <c r="R882" s="44" t="s">
        <v>1587</v>
      </c>
      <c r="S882" s="44"/>
    </row>
    <row r="883" spans="1:19" x14ac:dyDescent="0.3">
      <c r="A883" s="44" t="s">
        <v>2045</v>
      </c>
      <c r="B883" s="44" t="s">
        <v>86</v>
      </c>
      <c r="C883" s="44" t="s">
        <v>29</v>
      </c>
      <c r="D883" s="44" t="s">
        <v>243</v>
      </c>
      <c r="E883" s="44" t="s">
        <v>1035</v>
      </c>
      <c r="F883" s="44" t="s">
        <v>1103</v>
      </c>
      <c r="G883" s="44" t="s">
        <v>2043</v>
      </c>
      <c r="H883" s="44" t="s">
        <v>1124</v>
      </c>
      <c r="I883" s="44" t="s">
        <v>1127</v>
      </c>
      <c r="J883" s="44">
        <v>154</v>
      </c>
      <c r="K883" s="44" t="s">
        <v>2044</v>
      </c>
      <c r="L883" s="44" t="s">
        <v>1161</v>
      </c>
      <c r="M883" s="44" t="s">
        <v>2033</v>
      </c>
      <c r="N883" s="45">
        <v>77252559</v>
      </c>
      <c r="O883" s="46">
        <f t="shared" si="29"/>
        <v>77252.558999999994</v>
      </c>
      <c r="P883" s="47">
        <f>DGKC!H20</f>
        <v>77252.558999999994</v>
      </c>
      <c r="Q883" s="44" t="str">
        <f t="shared" si="27"/>
        <v>PASS</v>
      </c>
      <c r="R883" s="44" t="s">
        <v>1587</v>
      </c>
      <c r="S883" s="44"/>
    </row>
    <row r="884" spans="1:19" x14ac:dyDescent="0.3">
      <c r="A884" s="44" t="s">
        <v>2046</v>
      </c>
      <c r="B884" s="44" t="s">
        <v>86</v>
      </c>
      <c r="C884" s="44" t="s">
        <v>965</v>
      </c>
      <c r="D884" s="44" t="s">
        <v>1129</v>
      </c>
      <c r="E884" s="44" t="s">
        <v>1130</v>
      </c>
      <c r="F884" s="44" t="s">
        <v>538</v>
      </c>
      <c r="G884" s="44" t="s">
        <v>2031</v>
      </c>
      <c r="H884" s="44" t="s">
        <v>1105</v>
      </c>
      <c r="I884" s="44" t="s">
        <v>1106</v>
      </c>
      <c r="J884" s="44">
        <v>139</v>
      </c>
      <c r="K884" s="44" t="s">
        <v>2047</v>
      </c>
      <c r="L884" s="44"/>
      <c r="M884" s="44" t="s">
        <v>2033</v>
      </c>
      <c r="N884" s="45">
        <v>6358259</v>
      </c>
      <c r="O884" s="46">
        <f t="shared" si="29"/>
        <v>6358.259</v>
      </c>
      <c r="P884" s="47">
        <f>DGKC!C21</f>
        <v>6358.259</v>
      </c>
      <c r="Q884" s="44" t="str">
        <f t="shared" si="27"/>
        <v>PASS</v>
      </c>
      <c r="R884" s="44" t="s">
        <v>1587</v>
      </c>
      <c r="S884" s="44"/>
    </row>
    <row r="885" spans="1:19" x14ac:dyDescent="0.3">
      <c r="A885" s="44" t="s">
        <v>2048</v>
      </c>
      <c r="B885" s="44" t="s">
        <v>86</v>
      </c>
      <c r="C885" s="44" t="s">
        <v>20</v>
      </c>
      <c r="D885" s="44" t="s">
        <v>1129</v>
      </c>
      <c r="E885" s="44" t="s">
        <v>1130</v>
      </c>
      <c r="F885" s="44" t="s">
        <v>538</v>
      </c>
      <c r="G885" s="44" t="s">
        <v>2035</v>
      </c>
      <c r="H885" s="44" t="s">
        <v>1113</v>
      </c>
      <c r="I885" s="44" t="s">
        <v>1106</v>
      </c>
      <c r="J885" s="44">
        <v>160</v>
      </c>
      <c r="K885" s="44" t="s">
        <v>2049</v>
      </c>
      <c r="L885" s="44"/>
      <c r="M885" s="44" t="s">
        <v>2033</v>
      </c>
      <c r="N885" s="45">
        <v>7726720</v>
      </c>
      <c r="O885" s="46">
        <f t="shared" si="29"/>
        <v>7726.72</v>
      </c>
      <c r="P885" s="47">
        <f>DGKC!D21</f>
        <v>7726.72</v>
      </c>
      <c r="Q885" s="44" t="str">
        <f t="shared" si="27"/>
        <v>PASS</v>
      </c>
      <c r="R885" s="44" t="s">
        <v>1587</v>
      </c>
      <c r="S885" s="44"/>
    </row>
    <row r="886" spans="1:19" x14ac:dyDescent="0.3">
      <c r="A886" s="44" t="s">
        <v>2050</v>
      </c>
      <c r="B886" s="44" t="s">
        <v>86</v>
      </c>
      <c r="C886" s="44" t="s">
        <v>26</v>
      </c>
      <c r="D886" s="44" t="s">
        <v>1129</v>
      </c>
      <c r="E886" s="44" t="s">
        <v>1130</v>
      </c>
      <c r="F886" s="44" t="s">
        <v>538</v>
      </c>
      <c r="G886" s="44" t="s">
        <v>2038</v>
      </c>
      <c r="H886" s="44" t="s">
        <v>1117</v>
      </c>
      <c r="I886" s="44" t="s">
        <v>1106</v>
      </c>
      <c r="J886" s="44">
        <v>185</v>
      </c>
      <c r="K886" s="44" t="s">
        <v>2051</v>
      </c>
      <c r="L886" s="44"/>
      <c r="M886" s="44" t="s">
        <v>2033</v>
      </c>
      <c r="N886" s="45">
        <v>724168</v>
      </c>
      <c r="O886" s="46">
        <f t="shared" si="29"/>
        <v>724.16800000000001</v>
      </c>
      <c r="P886" s="47">
        <f>DGKC!E21</f>
        <v>724.16800000000001</v>
      </c>
      <c r="Q886" s="44" t="str">
        <f t="shared" si="27"/>
        <v>PASS</v>
      </c>
      <c r="R886" s="44" t="s">
        <v>1587</v>
      </c>
      <c r="S886" s="44"/>
    </row>
    <row r="887" spans="1:19" x14ac:dyDescent="0.3">
      <c r="A887" s="44" t="s">
        <v>2052</v>
      </c>
      <c r="B887" s="44" t="s">
        <v>86</v>
      </c>
      <c r="C887" s="44" t="s">
        <v>27</v>
      </c>
      <c r="D887" s="44" t="s">
        <v>1129</v>
      </c>
      <c r="E887" s="44" t="s">
        <v>1130</v>
      </c>
      <c r="F887" s="44" t="s">
        <v>538</v>
      </c>
      <c r="G887" s="44" t="s">
        <v>2041</v>
      </c>
      <c r="H887" s="44" t="s">
        <v>1120</v>
      </c>
      <c r="I887" s="44" t="s">
        <v>1106</v>
      </c>
      <c r="J887" s="44">
        <v>187</v>
      </c>
      <c r="K887" s="44" t="s">
        <v>2053</v>
      </c>
      <c r="L887" s="44"/>
      <c r="M887" s="44" t="s">
        <v>2033</v>
      </c>
      <c r="N887" s="45">
        <v>2006864</v>
      </c>
      <c r="O887" s="46">
        <f t="shared" si="29"/>
        <v>2006.864</v>
      </c>
      <c r="P887" s="47">
        <f>DGKC!F21</f>
        <v>2006.864</v>
      </c>
      <c r="Q887" s="44" t="str">
        <f t="shared" si="27"/>
        <v>PASS</v>
      </c>
      <c r="R887" s="44" t="s">
        <v>1587</v>
      </c>
      <c r="S887" s="44"/>
    </row>
    <row r="888" spans="1:19" x14ac:dyDescent="0.3">
      <c r="A888" s="44" t="s">
        <v>2054</v>
      </c>
      <c r="B888" s="44" t="s">
        <v>86</v>
      </c>
      <c r="C888" s="44" t="s">
        <v>28</v>
      </c>
      <c r="D888" s="44" t="s">
        <v>1129</v>
      </c>
      <c r="E888" s="44" t="s">
        <v>1130</v>
      </c>
      <c r="F888" s="44" t="s">
        <v>538</v>
      </c>
      <c r="G888" s="44" t="s">
        <v>2043</v>
      </c>
      <c r="H888" s="44" t="s">
        <v>1124</v>
      </c>
      <c r="I888" s="44" t="s">
        <v>1106</v>
      </c>
      <c r="J888" s="44">
        <v>189</v>
      </c>
      <c r="K888" s="44" t="s">
        <v>2055</v>
      </c>
      <c r="L888" s="44"/>
      <c r="M888" s="44" t="s">
        <v>2033</v>
      </c>
      <c r="N888" s="45">
        <v>1341029</v>
      </c>
      <c r="O888" s="46">
        <f t="shared" si="29"/>
        <v>1341.029</v>
      </c>
      <c r="P888" s="47">
        <f>DGKC!G21</f>
        <v>1341.029</v>
      </c>
      <c r="Q888" s="44" t="str">
        <f t="shared" si="27"/>
        <v>PASS</v>
      </c>
      <c r="R888" s="44" t="s">
        <v>1587</v>
      </c>
      <c r="S888" s="44"/>
    </row>
    <row r="889" spans="1:19" x14ac:dyDescent="0.3">
      <c r="A889" s="44" t="s">
        <v>2056</v>
      </c>
      <c r="B889" s="44" t="s">
        <v>86</v>
      </c>
      <c r="C889" s="44" t="s">
        <v>29</v>
      </c>
      <c r="D889" s="44" t="s">
        <v>1129</v>
      </c>
      <c r="E889" s="44" t="s">
        <v>1130</v>
      </c>
      <c r="F889" s="44" t="s">
        <v>538</v>
      </c>
      <c r="G889" s="44" t="s">
        <v>2043</v>
      </c>
      <c r="H889" s="44" t="s">
        <v>1124</v>
      </c>
      <c r="I889" s="44" t="s">
        <v>1127</v>
      </c>
      <c r="J889" s="44">
        <v>189</v>
      </c>
      <c r="K889" s="44" t="s">
        <v>2055</v>
      </c>
      <c r="L889" s="44"/>
      <c r="M889" s="44" t="s">
        <v>2033</v>
      </c>
      <c r="N889" s="45">
        <v>798312</v>
      </c>
      <c r="O889" s="46">
        <f t="shared" si="29"/>
        <v>798.31200000000001</v>
      </c>
      <c r="P889" s="47">
        <f>DGKC!H21</f>
        <v>798.31200000000001</v>
      </c>
      <c r="Q889" s="44" t="str">
        <f t="shared" si="27"/>
        <v>PASS</v>
      </c>
      <c r="R889" s="44" t="s">
        <v>1587</v>
      </c>
      <c r="S889" s="44"/>
    </row>
    <row r="890" spans="1:19" x14ac:dyDescent="0.3">
      <c r="A890" s="44" t="s">
        <v>2057</v>
      </c>
      <c r="B890" s="44" t="s">
        <v>86</v>
      </c>
      <c r="C890" s="44" t="s">
        <v>965</v>
      </c>
      <c r="D890" s="44" t="s">
        <v>250</v>
      </c>
      <c r="E890" s="44" t="s">
        <v>1035</v>
      </c>
      <c r="F890" s="44"/>
      <c r="G890" s="44" t="s">
        <v>2031</v>
      </c>
      <c r="H890" s="44" t="s">
        <v>1105</v>
      </c>
      <c r="I890" s="44" t="s">
        <v>1106</v>
      </c>
      <c r="J890" s="44">
        <v>105</v>
      </c>
      <c r="K890" s="44" t="s">
        <v>2058</v>
      </c>
      <c r="L890" s="44"/>
      <c r="M890" s="44" t="s">
        <v>2033</v>
      </c>
      <c r="N890" s="45">
        <v>0</v>
      </c>
      <c r="O890" s="46">
        <f t="shared" si="29"/>
        <v>0</v>
      </c>
      <c r="P890" s="47">
        <f>DGKC!C23</f>
        <v>0</v>
      </c>
      <c r="Q890" s="44" t="str">
        <f t="shared" si="27"/>
        <v>PASS</v>
      </c>
      <c r="R890" s="44" t="s">
        <v>1587</v>
      </c>
      <c r="S890" s="44"/>
    </row>
    <row r="891" spans="1:19" x14ac:dyDescent="0.3">
      <c r="A891" s="44" t="s">
        <v>2059</v>
      </c>
      <c r="B891" s="44" t="s">
        <v>86</v>
      </c>
      <c r="C891" s="44" t="s">
        <v>20</v>
      </c>
      <c r="D891" s="44" t="s">
        <v>250</v>
      </c>
      <c r="E891" s="44" t="s">
        <v>1035</v>
      </c>
      <c r="F891" s="44"/>
      <c r="G891" s="44" t="s">
        <v>2035</v>
      </c>
      <c r="H891" s="44" t="s">
        <v>1113</v>
      </c>
      <c r="I891" s="44" t="s">
        <v>1106</v>
      </c>
      <c r="J891" s="44">
        <v>125</v>
      </c>
      <c r="K891" s="44" t="s">
        <v>2060</v>
      </c>
      <c r="L891" s="44"/>
      <c r="M891" s="44" t="s">
        <v>2033</v>
      </c>
      <c r="N891" s="45">
        <v>0</v>
      </c>
      <c r="O891" s="46">
        <f t="shared" si="29"/>
        <v>0</v>
      </c>
      <c r="P891" s="47">
        <f>DGKC!D23</f>
        <v>0</v>
      </c>
      <c r="Q891" s="44" t="str">
        <f t="shared" si="27"/>
        <v>PASS</v>
      </c>
      <c r="R891" s="44" t="s">
        <v>1587</v>
      </c>
      <c r="S891" s="44"/>
    </row>
    <row r="892" spans="1:19" x14ac:dyDescent="0.3">
      <c r="A892" s="44" t="s">
        <v>2061</v>
      </c>
      <c r="B892" s="44" t="s">
        <v>86</v>
      </c>
      <c r="C892" s="44" t="s">
        <v>26</v>
      </c>
      <c r="D892" s="44" t="s">
        <v>250</v>
      </c>
      <c r="E892" s="44" t="s">
        <v>1035</v>
      </c>
      <c r="F892" s="44"/>
      <c r="G892" s="44" t="s">
        <v>2038</v>
      </c>
      <c r="H892" s="44" t="s">
        <v>1117</v>
      </c>
      <c r="I892" s="44" t="s">
        <v>1106</v>
      </c>
      <c r="J892" s="44">
        <v>151</v>
      </c>
      <c r="K892" s="44" t="s">
        <v>2062</v>
      </c>
      <c r="L892" s="44"/>
      <c r="M892" s="44" t="s">
        <v>2033</v>
      </c>
      <c r="N892" s="45">
        <v>0</v>
      </c>
      <c r="O892" s="46">
        <f t="shared" si="29"/>
        <v>0</v>
      </c>
      <c r="P892" s="47">
        <f>DGKC!E23</f>
        <v>0</v>
      </c>
      <c r="Q892" s="44" t="str">
        <f t="shared" ref="Q892:Q955" si="30">IF(ABS(O892-P892)&lt;0.000001,"PASS","FAIL")</f>
        <v>PASS</v>
      </c>
      <c r="R892" s="44" t="s">
        <v>1587</v>
      </c>
      <c r="S892" s="44"/>
    </row>
    <row r="893" spans="1:19" x14ac:dyDescent="0.3">
      <c r="A893" s="44" t="s">
        <v>2063</v>
      </c>
      <c r="B893" s="44" t="s">
        <v>86</v>
      </c>
      <c r="C893" s="44" t="s">
        <v>27</v>
      </c>
      <c r="D893" s="44" t="s">
        <v>250</v>
      </c>
      <c r="E893" s="44" t="s">
        <v>1035</v>
      </c>
      <c r="F893" s="44"/>
      <c r="G893" s="44" t="s">
        <v>2041</v>
      </c>
      <c r="H893" s="44" t="s">
        <v>1120</v>
      </c>
      <c r="I893" s="44" t="s">
        <v>1106</v>
      </c>
      <c r="J893" s="44">
        <v>151</v>
      </c>
      <c r="K893" s="44" t="s">
        <v>2062</v>
      </c>
      <c r="L893" s="44"/>
      <c r="M893" s="44" t="s">
        <v>2033</v>
      </c>
      <c r="N893" s="45">
        <v>0</v>
      </c>
      <c r="O893" s="46">
        <f t="shared" si="29"/>
        <v>0</v>
      </c>
      <c r="P893" s="47">
        <f>DGKC!F23</f>
        <v>0</v>
      </c>
      <c r="Q893" s="44" t="str">
        <f t="shared" si="30"/>
        <v>PASS</v>
      </c>
      <c r="R893" s="44" t="s">
        <v>1587</v>
      </c>
      <c r="S893" s="44"/>
    </row>
    <row r="894" spans="1:19" x14ac:dyDescent="0.3">
      <c r="A894" s="44" t="s">
        <v>2064</v>
      </c>
      <c r="B894" s="44" t="s">
        <v>86</v>
      </c>
      <c r="C894" s="44" t="s">
        <v>28</v>
      </c>
      <c r="D894" s="44" t="s">
        <v>250</v>
      </c>
      <c r="E894" s="44" t="s">
        <v>1035</v>
      </c>
      <c r="F894" s="44"/>
      <c r="G894" s="44" t="s">
        <v>2043</v>
      </c>
      <c r="H894" s="44" t="s">
        <v>1124</v>
      </c>
      <c r="I894" s="44" t="s">
        <v>1106</v>
      </c>
      <c r="J894" s="44">
        <v>153</v>
      </c>
      <c r="K894" s="44" t="s">
        <v>2065</v>
      </c>
      <c r="L894" s="44"/>
      <c r="M894" s="44" t="s">
        <v>2033</v>
      </c>
      <c r="N894" s="45">
        <v>0</v>
      </c>
      <c r="O894" s="46">
        <f t="shared" si="29"/>
        <v>0</v>
      </c>
      <c r="P894" s="47">
        <f>DGKC!G23</f>
        <v>0</v>
      </c>
      <c r="Q894" s="44" t="str">
        <f t="shared" si="30"/>
        <v>PASS</v>
      </c>
      <c r="R894" s="44" t="s">
        <v>1587</v>
      </c>
      <c r="S894" s="44"/>
    </row>
    <row r="895" spans="1:19" x14ac:dyDescent="0.3">
      <c r="A895" s="44" t="s">
        <v>2066</v>
      </c>
      <c r="B895" s="44" t="s">
        <v>86</v>
      </c>
      <c r="C895" s="44" t="s">
        <v>29</v>
      </c>
      <c r="D895" s="44" t="s">
        <v>250</v>
      </c>
      <c r="E895" s="44" t="s">
        <v>1035</v>
      </c>
      <c r="F895" s="44"/>
      <c r="G895" s="44" t="s">
        <v>2043</v>
      </c>
      <c r="H895" s="44" t="s">
        <v>1124</v>
      </c>
      <c r="I895" s="44" t="s">
        <v>1127</v>
      </c>
      <c r="J895" s="44">
        <v>153</v>
      </c>
      <c r="K895" s="44" t="s">
        <v>2065</v>
      </c>
      <c r="L895" s="44"/>
      <c r="M895" s="44" t="s">
        <v>2033</v>
      </c>
      <c r="N895" s="45">
        <v>0</v>
      </c>
      <c r="O895" s="46">
        <f t="shared" si="29"/>
        <v>0</v>
      </c>
      <c r="P895" s="47">
        <f>DGKC!H23</f>
        <v>0</v>
      </c>
      <c r="Q895" s="44" t="str">
        <f t="shared" si="30"/>
        <v>PASS</v>
      </c>
      <c r="R895" s="44" t="s">
        <v>1587</v>
      </c>
      <c r="S895" s="44"/>
    </row>
    <row r="896" spans="1:19" x14ac:dyDescent="0.3">
      <c r="A896" s="44" t="s">
        <v>2067</v>
      </c>
      <c r="B896" s="44" t="s">
        <v>86</v>
      </c>
      <c r="C896" s="44" t="s">
        <v>965</v>
      </c>
      <c r="D896" s="44" t="s">
        <v>252</v>
      </c>
      <c r="E896" s="44" t="s">
        <v>1035</v>
      </c>
      <c r="F896" s="44"/>
      <c r="G896" s="44" t="s">
        <v>2031</v>
      </c>
      <c r="H896" s="44" t="s">
        <v>1105</v>
      </c>
      <c r="I896" s="44" t="s">
        <v>1106</v>
      </c>
      <c r="J896" s="44">
        <v>105</v>
      </c>
      <c r="K896" s="44" t="s">
        <v>2058</v>
      </c>
      <c r="L896" s="44"/>
      <c r="M896" s="44" t="s">
        <v>2033</v>
      </c>
      <c r="N896" s="45">
        <v>0</v>
      </c>
      <c r="O896" s="46">
        <f t="shared" si="29"/>
        <v>0</v>
      </c>
      <c r="P896" s="47">
        <f>DGKC!C24</f>
        <v>0</v>
      </c>
      <c r="Q896" s="44" t="str">
        <f t="shared" si="30"/>
        <v>PASS</v>
      </c>
      <c r="R896" s="44" t="s">
        <v>1587</v>
      </c>
      <c r="S896" s="44"/>
    </row>
    <row r="897" spans="1:19" x14ac:dyDescent="0.3">
      <c r="A897" s="44" t="s">
        <v>2068</v>
      </c>
      <c r="B897" s="44" t="s">
        <v>86</v>
      </c>
      <c r="C897" s="44" t="s">
        <v>20</v>
      </c>
      <c r="D897" s="44" t="s">
        <v>252</v>
      </c>
      <c r="E897" s="44" t="s">
        <v>1035</v>
      </c>
      <c r="F897" s="44" t="s">
        <v>2069</v>
      </c>
      <c r="G897" s="44" t="s">
        <v>2035</v>
      </c>
      <c r="H897" s="44" t="s">
        <v>1113</v>
      </c>
      <c r="I897" s="44" t="s">
        <v>1106</v>
      </c>
      <c r="J897" s="44">
        <v>126</v>
      </c>
      <c r="K897" s="44" t="s">
        <v>2036</v>
      </c>
      <c r="L897" s="44" t="s">
        <v>1155</v>
      </c>
      <c r="M897" s="44" t="s">
        <v>2033</v>
      </c>
      <c r="N897" s="45">
        <v>0</v>
      </c>
      <c r="O897" s="46">
        <f t="shared" si="29"/>
        <v>0</v>
      </c>
      <c r="P897" s="47">
        <f>DGKC!D24</f>
        <v>0</v>
      </c>
      <c r="Q897" s="44" t="str">
        <f t="shared" si="30"/>
        <v>PASS</v>
      </c>
      <c r="R897" s="44" t="s">
        <v>1587</v>
      </c>
      <c r="S897" s="44"/>
    </row>
    <row r="898" spans="1:19" x14ac:dyDescent="0.3">
      <c r="A898" s="44" t="s">
        <v>2070</v>
      </c>
      <c r="B898" s="44" t="s">
        <v>86</v>
      </c>
      <c r="C898" s="44" t="s">
        <v>26</v>
      </c>
      <c r="D898" s="44" t="s">
        <v>252</v>
      </c>
      <c r="E898" s="44" t="s">
        <v>1035</v>
      </c>
      <c r="F898" s="44" t="s">
        <v>2069</v>
      </c>
      <c r="G898" s="44" t="s">
        <v>2038</v>
      </c>
      <c r="H898" s="44" t="s">
        <v>1117</v>
      </c>
      <c r="I898" s="44" t="s">
        <v>1106</v>
      </c>
      <c r="J898" s="44">
        <v>152</v>
      </c>
      <c r="K898" s="44" t="s">
        <v>2039</v>
      </c>
      <c r="L898" s="44" t="s">
        <v>1155</v>
      </c>
      <c r="M898" s="44" t="s">
        <v>2033</v>
      </c>
      <c r="N898" s="45">
        <v>17319</v>
      </c>
      <c r="O898" s="46">
        <f t="shared" si="29"/>
        <v>17.318999999999999</v>
      </c>
      <c r="P898" s="47">
        <f>DGKC!E24</f>
        <v>17.318999999999999</v>
      </c>
      <c r="Q898" s="44" t="str">
        <f t="shared" si="30"/>
        <v>PASS</v>
      </c>
      <c r="R898" s="44" t="s">
        <v>1587</v>
      </c>
      <c r="S898" s="44"/>
    </row>
    <row r="899" spans="1:19" x14ac:dyDescent="0.3">
      <c r="A899" s="44" t="s">
        <v>2071</v>
      </c>
      <c r="B899" s="44" t="s">
        <v>86</v>
      </c>
      <c r="C899" s="44" t="s">
        <v>27</v>
      </c>
      <c r="D899" s="44" t="s">
        <v>252</v>
      </c>
      <c r="E899" s="44" t="s">
        <v>1035</v>
      </c>
      <c r="F899" s="44" t="s">
        <v>252</v>
      </c>
      <c r="G899" s="44" t="s">
        <v>2041</v>
      </c>
      <c r="H899" s="44" t="s">
        <v>1120</v>
      </c>
      <c r="I899" s="44" t="s">
        <v>1106</v>
      </c>
      <c r="J899" s="44">
        <v>152</v>
      </c>
      <c r="K899" s="44" t="s">
        <v>2039</v>
      </c>
      <c r="L899" s="44" t="s">
        <v>1155</v>
      </c>
      <c r="M899" s="44" t="s">
        <v>2033</v>
      </c>
      <c r="N899" s="45">
        <v>10152</v>
      </c>
      <c r="O899" s="46">
        <f t="shared" si="29"/>
        <v>10.151999999999999</v>
      </c>
      <c r="P899" s="47">
        <f>DGKC!F24</f>
        <v>10.151999999999999</v>
      </c>
      <c r="Q899" s="44" t="str">
        <f t="shared" si="30"/>
        <v>PASS</v>
      </c>
      <c r="R899" s="44" t="s">
        <v>1587</v>
      </c>
      <c r="S899" s="44"/>
    </row>
    <row r="900" spans="1:19" x14ac:dyDescent="0.3">
      <c r="A900" s="44" t="s">
        <v>2072</v>
      </c>
      <c r="B900" s="44" t="s">
        <v>86</v>
      </c>
      <c r="C900" s="44" t="s">
        <v>28</v>
      </c>
      <c r="D900" s="44" t="s">
        <v>252</v>
      </c>
      <c r="E900" s="44" t="s">
        <v>1035</v>
      </c>
      <c r="F900" s="44" t="s">
        <v>252</v>
      </c>
      <c r="G900" s="44" t="s">
        <v>2043</v>
      </c>
      <c r="H900" s="44" t="s">
        <v>1124</v>
      </c>
      <c r="I900" s="44" t="s">
        <v>1106</v>
      </c>
      <c r="J900" s="44">
        <v>154</v>
      </c>
      <c r="K900" s="44" t="s">
        <v>2044</v>
      </c>
      <c r="L900" s="44" t="s">
        <v>1155</v>
      </c>
      <c r="M900" s="44" t="s">
        <v>2033</v>
      </c>
      <c r="N900" s="45">
        <v>42762</v>
      </c>
      <c r="O900" s="46">
        <f t="shared" si="29"/>
        <v>42.762</v>
      </c>
      <c r="P900" s="47">
        <f>DGKC!G24</f>
        <v>42.762</v>
      </c>
      <c r="Q900" s="44" t="str">
        <f t="shared" si="30"/>
        <v>PASS</v>
      </c>
      <c r="R900" s="44" t="s">
        <v>1587</v>
      </c>
      <c r="S900" s="44"/>
    </row>
    <row r="901" spans="1:19" x14ac:dyDescent="0.3">
      <c r="A901" s="44" t="s">
        <v>2073</v>
      </c>
      <c r="B901" s="44" t="s">
        <v>86</v>
      </c>
      <c r="C901" s="44" t="s">
        <v>29</v>
      </c>
      <c r="D901" s="44" t="s">
        <v>252</v>
      </c>
      <c r="E901" s="44" t="s">
        <v>1035</v>
      </c>
      <c r="F901" s="44" t="s">
        <v>252</v>
      </c>
      <c r="G901" s="44" t="s">
        <v>2043</v>
      </c>
      <c r="H901" s="44" t="s">
        <v>1124</v>
      </c>
      <c r="I901" s="44" t="s">
        <v>1127</v>
      </c>
      <c r="J901" s="44">
        <v>154</v>
      </c>
      <c r="K901" s="44" t="s">
        <v>2044</v>
      </c>
      <c r="L901" s="44" t="s">
        <v>1155</v>
      </c>
      <c r="M901" s="44" t="s">
        <v>2033</v>
      </c>
      <c r="N901" s="45">
        <v>13076</v>
      </c>
      <c r="O901" s="46">
        <f t="shared" si="29"/>
        <v>13.076000000000001</v>
      </c>
      <c r="P901" s="47">
        <f>DGKC!H24</f>
        <v>13.076000000000001</v>
      </c>
      <c r="Q901" s="44" t="str">
        <f t="shared" si="30"/>
        <v>PASS</v>
      </c>
      <c r="R901" s="44" t="s">
        <v>1587</v>
      </c>
      <c r="S901" s="44"/>
    </row>
    <row r="902" spans="1:19" x14ac:dyDescent="0.3">
      <c r="A902" s="44" t="s">
        <v>2074</v>
      </c>
      <c r="B902" s="44" t="s">
        <v>86</v>
      </c>
      <c r="C902" s="44" t="s">
        <v>965</v>
      </c>
      <c r="D902" s="44" t="s">
        <v>254</v>
      </c>
      <c r="E902" s="44" t="s">
        <v>1035</v>
      </c>
      <c r="F902" s="44"/>
      <c r="G902" s="44" t="s">
        <v>2031</v>
      </c>
      <c r="H902" s="44" t="s">
        <v>1105</v>
      </c>
      <c r="I902" s="44" t="s">
        <v>1106</v>
      </c>
      <c r="J902" s="44">
        <v>105</v>
      </c>
      <c r="K902" s="44" t="s">
        <v>2058</v>
      </c>
      <c r="L902" s="44"/>
      <c r="M902" s="44" t="s">
        <v>2033</v>
      </c>
      <c r="N902" s="45">
        <v>0</v>
      </c>
      <c r="O902" s="46">
        <f t="shared" si="29"/>
        <v>0</v>
      </c>
      <c r="P902" s="47">
        <f>DGKC!C25</f>
        <v>0</v>
      </c>
      <c r="Q902" s="44" t="str">
        <f t="shared" si="30"/>
        <v>PASS</v>
      </c>
      <c r="R902" s="44" t="s">
        <v>1587</v>
      </c>
      <c r="S902" s="44"/>
    </row>
    <row r="903" spans="1:19" x14ac:dyDescent="0.3">
      <c r="A903" s="44" t="s">
        <v>2075</v>
      </c>
      <c r="B903" s="44" t="s">
        <v>86</v>
      </c>
      <c r="C903" s="44" t="s">
        <v>20</v>
      </c>
      <c r="D903" s="44" t="s">
        <v>254</v>
      </c>
      <c r="E903" s="44" t="s">
        <v>1035</v>
      </c>
      <c r="F903" s="44"/>
      <c r="G903" s="44" t="s">
        <v>2035</v>
      </c>
      <c r="H903" s="44" t="s">
        <v>1113</v>
      </c>
      <c r="I903" s="44" t="s">
        <v>1106</v>
      </c>
      <c r="J903" s="44">
        <v>125</v>
      </c>
      <c r="K903" s="44" t="s">
        <v>2060</v>
      </c>
      <c r="L903" s="44"/>
      <c r="M903" s="44" t="s">
        <v>2033</v>
      </c>
      <c r="N903" s="45">
        <v>0</v>
      </c>
      <c r="O903" s="46">
        <f t="shared" si="29"/>
        <v>0</v>
      </c>
      <c r="P903" s="47">
        <f>DGKC!D25</f>
        <v>0</v>
      </c>
      <c r="Q903" s="44" t="str">
        <f t="shared" si="30"/>
        <v>PASS</v>
      </c>
      <c r="R903" s="44" t="s">
        <v>1587</v>
      </c>
      <c r="S903" s="44"/>
    </row>
    <row r="904" spans="1:19" x14ac:dyDescent="0.3">
      <c r="A904" s="44" t="s">
        <v>2076</v>
      </c>
      <c r="B904" s="44" t="s">
        <v>86</v>
      </c>
      <c r="C904" s="44" t="s">
        <v>26</v>
      </c>
      <c r="D904" s="44" t="s">
        <v>254</v>
      </c>
      <c r="E904" s="44" t="s">
        <v>1035</v>
      </c>
      <c r="F904" s="44"/>
      <c r="G904" s="44" t="s">
        <v>2038</v>
      </c>
      <c r="H904" s="44" t="s">
        <v>1117</v>
      </c>
      <c r="I904" s="44" t="s">
        <v>1106</v>
      </c>
      <c r="J904" s="44">
        <v>151</v>
      </c>
      <c r="K904" s="44" t="s">
        <v>2062</v>
      </c>
      <c r="L904" s="44"/>
      <c r="M904" s="44" t="s">
        <v>2033</v>
      </c>
      <c r="N904" s="45">
        <v>0</v>
      </c>
      <c r="O904" s="46">
        <f t="shared" si="29"/>
        <v>0</v>
      </c>
      <c r="P904" s="47">
        <f>DGKC!E25</f>
        <v>0</v>
      </c>
      <c r="Q904" s="44" t="str">
        <f t="shared" si="30"/>
        <v>PASS</v>
      </c>
      <c r="R904" s="44" t="s">
        <v>1587</v>
      </c>
      <c r="S904" s="44"/>
    </row>
    <row r="905" spans="1:19" x14ac:dyDescent="0.3">
      <c r="A905" s="44" t="s">
        <v>2077</v>
      </c>
      <c r="B905" s="44" t="s">
        <v>86</v>
      </c>
      <c r="C905" s="44" t="s">
        <v>27</v>
      </c>
      <c r="D905" s="44" t="s">
        <v>254</v>
      </c>
      <c r="E905" s="44" t="s">
        <v>1035</v>
      </c>
      <c r="F905" s="44"/>
      <c r="G905" s="44" t="s">
        <v>2041</v>
      </c>
      <c r="H905" s="44" t="s">
        <v>1120</v>
      </c>
      <c r="I905" s="44" t="s">
        <v>1106</v>
      </c>
      <c r="J905" s="44">
        <v>151</v>
      </c>
      <c r="K905" s="44" t="s">
        <v>2062</v>
      </c>
      <c r="L905" s="44"/>
      <c r="M905" s="44" t="s">
        <v>2033</v>
      </c>
      <c r="N905" s="45">
        <v>0</v>
      </c>
      <c r="O905" s="46">
        <f t="shared" si="29"/>
        <v>0</v>
      </c>
      <c r="P905" s="47">
        <f>DGKC!F25</f>
        <v>0</v>
      </c>
      <c r="Q905" s="44" t="str">
        <f t="shared" si="30"/>
        <v>PASS</v>
      </c>
      <c r="R905" s="44" t="s">
        <v>1587</v>
      </c>
      <c r="S905" s="44"/>
    </row>
    <row r="906" spans="1:19" x14ac:dyDescent="0.3">
      <c r="A906" s="44" t="s">
        <v>2078</v>
      </c>
      <c r="B906" s="44" t="s">
        <v>86</v>
      </c>
      <c r="C906" s="44" t="s">
        <v>28</v>
      </c>
      <c r="D906" s="44" t="s">
        <v>254</v>
      </c>
      <c r="E906" s="44" t="s">
        <v>1035</v>
      </c>
      <c r="F906" s="44"/>
      <c r="G906" s="44" t="s">
        <v>2043</v>
      </c>
      <c r="H906" s="44" t="s">
        <v>1124</v>
      </c>
      <c r="I906" s="44" t="s">
        <v>1106</v>
      </c>
      <c r="J906" s="44">
        <v>153</v>
      </c>
      <c r="K906" s="44" t="s">
        <v>2065</v>
      </c>
      <c r="L906" s="44"/>
      <c r="M906" s="44" t="s">
        <v>2033</v>
      </c>
      <c r="N906" s="45">
        <v>0</v>
      </c>
      <c r="O906" s="46">
        <f t="shared" si="29"/>
        <v>0</v>
      </c>
      <c r="P906" s="47">
        <f>DGKC!G25</f>
        <v>0</v>
      </c>
      <c r="Q906" s="44" t="str">
        <f t="shared" si="30"/>
        <v>PASS</v>
      </c>
      <c r="R906" s="44" t="s">
        <v>1587</v>
      </c>
      <c r="S906" s="44"/>
    </row>
    <row r="907" spans="1:19" x14ac:dyDescent="0.3">
      <c r="A907" s="44" t="s">
        <v>2079</v>
      </c>
      <c r="B907" s="44" t="s">
        <v>86</v>
      </c>
      <c r="C907" s="44" t="s">
        <v>29</v>
      </c>
      <c r="D907" s="44" t="s">
        <v>254</v>
      </c>
      <c r="E907" s="44" t="s">
        <v>1035</v>
      </c>
      <c r="F907" s="44"/>
      <c r="G907" s="44" t="s">
        <v>2043</v>
      </c>
      <c r="H907" s="44" t="s">
        <v>1124</v>
      </c>
      <c r="I907" s="44" t="s">
        <v>1127</v>
      </c>
      <c r="J907" s="44">
        <v>153</v>
      </c>
      <c r="K907" s="44" t="s">
        <v>2065</v>
      </c>
      <c r="L907" s="44"/>
      <c r="M907" s="44" t="s">
        <v>2033</v>
      </c>
      <c r="N907" s="45">
        <v>0</v>
      </c>
      <c r="O907" s="46">
        <f t="shared" si="29"/>
        <v>0</v>
      </c>
      <c r="P907" s="47">
        <f>DGKC!H25</f>
        <v>0</v>
      </c>
      <c r="Q907" s="44" t="str">
        <f t="shared" si="30"/>
        <v>PASS</v>
      </c>
      <c r="R907" s="44" t="s">
        <v>1587</v>
      </c>
      <c r="S907" s="44"/>
    </row>
    <row r="908" spans="1:19" x14ac:dyDescent="0.3">
      <c r="A908" s="44" t="s">
        <v>2080</v>
      </c>
      <c r="B908" s="44" t="s">
        <v>86</v>
      </c>
      <c r="C908" s="44" t="s">
        <v>965</v>
      </c>
      <c r="D908" s="44" t="s">
        <v>256</v>
      </c>
      <c r="E908" s="44" t="s">
        <v>1035</v>
      </c>
      <c r="F908" s="44" t="s">
        <v>2081</v>
      </c>
      <c r="G908" s="44" t="s">
        <v>2031</v>
      </c>
      <c r="H908" s="44" t="s">
        <v>1105</v>
      </c>
      <c r="I908" s="44" t="s">
        <v>1106</v>
      </c>
      <c r="J908" s="44">
        <v>106</v>
      </c>
      <c r="K908" s="44" t="s">
        <v>2032</v>
      </c>
      <c r="L908" s="44" t="s">
        <v>1155</v>
      </c>
      <c r="M908" s="44" t="s">
        <v>2033</v>
      </c>
      <c r="N908" s="45">
        <v>11849828</v>
      </c>
      <c r="O908" s="46">
        <f t="shared" si="29"/>
        <v>11849.828</v>
      </c>
      <c r="P908" s="47">
        <f>DGKC!C26</f>
        <v>11849.828</v>
      </c>
      <c r="Q908" s="44" t="str">
        <f t="shared" si="30"/>
        <v>PASS</v>
      </c>
      <c r="R908" s="44" t="s">
        <v>1587</v>
      </c>
      <c r="S908" s="44"/>
    </row>
    <row r="909" spans="1:19" x14ac:dyDescent="0.3">
      <c r="A909" s="44" t="s">
        <v>2082</v>
      </c>
      <c r="B909" s="44" t="s">
        <v>86</v>
      </c>
      <c r="C909" s="44" t="s">
        <v>20</v>
      </c>
      <c r="D909" s="44" t="s">
        <v>256</v>
      </c>
      <c r="E909" s="44" t="s">
        <v>1035</v>
      </c>
      <c r="F909" s="44" t="s">
        <v>2081</v>
      </c>
      <c r="G909" s="44" t="s">
        <v>2035</v>
      </c>
      <c r="H909" s="44" t="s">
        <v>1113</v>
      </c>
      <c r="I909" s="44" t="s">
        <v>1106</v>
      </c>
      <c r="J909" s="44">
        <v>126</v>
      </c>
      <c r="K909" s="44" t="s">
        <v>2036</v>
      </c>
      <c r="L909" s="44" t="s">
        <v>1157</v>
      </c>
      <c r="M909" s="44" t="s">
        <v>2033</v>
      </c>
      <c r="N909" s="45">
        <v>15965811</v>
      </c>
      <c r="O909" s="46">
        <f t="shared" si="29"/>
        <v>15965.811</v>
      </c>
      <c r="P909" s="47">
        <f>DGKC!D26</f>
        <v>15965.811</v>
      </c>
      <c r="Q909" s="44" t="str">
        <f t="shared" si="30"/>
        <v>PASS</v>
      </c>
      <c r="R909" s="44" t="s">
        <v>1587</v>
      </c>
      <c r="S909" s="44"/>
    </row>
    <row r="910" spans="1:19" x14ac:dyDescent="0.3">
      <c r="A910" s="44" t="s">
        <v>2083</v>
      </c>
      <c r="B910" s="44" t="s">
        <v>86</v>
      </c>
      <c r="C910" s="44" t="s">
        <v>26</v>
      </c>
      <c r="D910" s="44" t="s">
        <v>256</v>
      </c>
      <c r="E910" s="44" t="s">
        <v>1035</v>
      </c>
      <c r="F910" s="44" t="s">
        <v>2081</v>
      </c>
      <c r="G910" s="44" t="s">
        <v>2038</v>
      </c>
      <c r="H910" s="44" t="s">
        <v>1117</v>
      </c>
      <c r="I910" s="44" t="s">
        <v>1106</v>
      </c>
      <c r="J910" s="44">
        <v>152</v>
      </c>
      <c r="K910" s="44" t="s">
        <v>2039</v>
      </c>
      <c r="L910" s="44" t="s">
        <v>1157</v>
      </c>
      <c r="M910" s="44" t="s">
        <v>2033</v>
      </c>
      <c r="N910" s="45">
        <v>12866145</v>
      </c>
      <c r="O910" s="46">
        <f t="shared" si="29"/>
        <v>12866.145</v>
      </c>
      <c r="P910" s="47">
        <f>DGKC!E26</f>
        <v>12866.145</v>
      </c>
      <c r="Q910" s="44" t="str">
        <f t="shared" si="30"/>
        <v>PASS</v>
      </c>
      <c r="R910" s="44" t="s">
        <v>1587</v>
      </c>
      <c r="S910" s="44"/>
    </row>
    <row r="911" spans="1:19" x14ac:dyDescent="0.3">
      <c r="A911" s="44" t="s">
        <v>2084</v>
      </c>
      <c r="B911" s="44" t="s">
        <v>86</v>
      </c>
      <c r="C911" s="44" t="s">
        <v>27</v>
      </c>
      <c r="D911" s="44" t="s">
        <v>256</v>
      </c>
      <c r="E911" s="44" t="s">
        <v>1035</v>
      </c>
      <c r="F911" s="44" t="s">
        <v>2081</v>
      </c>
      <c r="G911" s="44" t="s">
        <v>2041</v>
      </c>
      <c r="H911" s="44" t="s">
        <v>1120</v>
      </c>
      <c r="I911" s="44" t="s">
        <v>1106</v>
      </c>
      <c r="J911" s="44">
        <v>152</v>
      </c>
      <c r="K911" s="44" t="s">
        <v>2039</v>
      </c>
      <c r="L911" s="44" t="s">
        <v>1157</v>
      </c>
      <c r="M911" s="44" t="s">
        <v>2033</v>
      </c>
      <c r="N911" s="45">
        <v>13366360</v>
      </c>
      <c r="O911" s="46">
        <f t="shared" si="29"/>
        <v>13366.36</v>
      </c>
      <c r="P911" s="47">
        <f>DGKC!F26</f>
        <v>13366.36</v>
      </c>
      <c r="Q911" s="44" t="str">
        <f t="shared" si="30"/>
        <v>PASS</v>
      </c>
      <c r="R911" s="44" t="s">
        <v>1587</v>
      </c>
      <c r="S911" s="44"/>
    </row>
    <row r="912" spans="1:19" x14ac:dyDescent="0.3">
      <c r="A912" s="44" t="s">
        <v>2085</v>
      </c>
      <c r="B912" s="44" t="s">
        <v>86</v>
      </c>
      <c r="C912" s="44" t="s">
        <v>28</v>
      </c>
      <c r="D912" s="44" t="s">
        <v>256</v>
      </c>
      <c r="E912" s="44" t="s">
        <v>1035</v>
      </c>
      <c r="F912" s="44" t="s">
        <v>2086</v>
      </c>
      <c r="G912" s="44" t="s">
        <v>2043</v>
      </c>
      <c r="H912" s="44" t="s">
        <v>1124</v>
      </c>
      <c r="I912" s="44" t="s">
        <v>1106</v>
      </c>
      <c r="J912" s="44">
        <v>154</v>
      </c>
      <c r="K912" s="44" t="s">
        <v>2044</v>
      </c>
      <c r="L912" s="44" t="s">
        <v>1157</v>
      </c>
      <c r="M912" s="44" t="s">
        <v>2033</v>
      </c>
      <c r="N912" s="45">
        <v>16633064</v>
      </c>
      <c r="O912" s="46">
        <f t="shared" si="29"/>
        <v>16633.063999999998</v>
      </c>
      <c r="P912" s="47">
        <f>DGKC!G26</f>
        <v>16633.063999999998</v>
      </c>
      <c r="Q912" s="44" t="str">
        <f t="shared" si="30"/>
        <v>PASS</v>
      </c>
      <c r="R912" s="44" t="s">
        <v>1587</v>
      </c>
      <c r="S912" s="44"/>
    </row>
    <row r="913" spans="1:19" x14ac:dyDescent="0.3">
      <c r="A913" s="44" t="s">
        <v>2087</v>
      </c>
      <c r="B913" s="44" t="s">
        <v>86</v>
      </c>
      <c r="C913" s="44" t="s">
        <v>29</v>
      </c>
      <c r="D913" s="44" t="s">
        <v>256</v>
      </c>
      <c r="E913" s="44" t="s">
        <v>1035</v>
      </c>
      <c r="F913" s="44" t="s">
        <v>2086</v>
      </c>
      <c r="G913" s="44" t="s">
        <v>2043</v>
      </c>
      <c r="H913" s="44" t="s">
        <v>1124</v>
      </c>
      <c r="I913" s="44" t="s">
        <v>1127</v>
      </c>
      <c r="J913" s="44">
        <v>154</v>
      </c>
      <c r="K913" s="44" t="s">
        <v>2044</v>
      </c>
      <c r="L913" s="44" t="s">
        <v>1157</v>
      </c>
      <c r="M913" s="44" t="s">
        <v>2033</v>
      </c>
      <c r="N913" s="45">
        <v>20689545</v>
      </c>
      <c r="O913" s="46">
        <f t="shared" si="29"/>
        <v>20689.544999999998</v>
      </c>
      <c r="P913" s="47">
        <f>DGKC!H26</f>
        <v>20689.544999999998</v>
      </c>
      <c r="Q913" s="44" t="str">
        <f t="shared" si="30"/>
        <v>PASS</v>
      </c>
      <c r="R913" s="44" t="s">
        <v>1587</v>
      </c>
      <c r="S913" s="44"/>
    </row>
    <row r="914" spans="1:19" x14ac:dyDescent="0.3">
      <c r="A914" s="44" t="s">
        <v>2088</v>
      </c>
      <c r="B914" s="44" t="s">
        <v>86</v>
      </c>
      <c r="C914" s="44" t="s">
        <v>965</v>
      </c>
      <c r="D914" s="44" t="s">
        <v>258</v>
      </c>
      <c r="E914" s="44" t="s">
        <v>1035</v>
      </c>
      <c r="F914" s="44" t="s">
        <v>2089</v>
      </c>
      <c r="G914" s="44" t="s">
        <v>2031</v>
      </c>
      <c r="H914" s="44" t="s">
        <v>1105</v>
      </c>
      <c r="I914" s="44" t="s">
        <v>1106</v>
      </c>
      <c r="J914" s="44">
        <v>106</v>
      </c>
      <c r="K914" s="44" t="s">
        <v>2032</v>
      </c>
      <c r="L914" s="44" t="s">
        <v>1157</v>
      </c>
      <c r="M914" s="44" t="s">
        <v>2033</v>
      </c>
      <c r="N914" s="45">
        <v>57984</v>
      </c>
      <c r="O914" s="46">
        <f t="shared" si="29"/>
        <v>57.984000000000002</v>
      </c>
      <c r="P914" s="47">
        <f>DGKC!C27</f>
        <v>57.984000000000002</v>
      </c>
      <c r="Q914" s="44" t="str">
        <f t="shared" si="30"/>
        <v>PASS</v>
      </c>
      <c r="R914" s="44" t="s">
        <v>1587</v>
      </c>
      <c r="S914" s="44"/>
    </row>
    <row r="915" spans="1:19" x14ac:dyDescent="0.3">
      <c r="A915" s="44" t="s">
        <v>2090</v>
      </c>
      <c r="B915" s="44" t="s">
        <v>86</v>
      </c>
      <c r="C915" s="44" t="s">
        <v>20</v>
      </c>
      <c r="D915" s="44" t="s">
        <v>258</v>
      </c>
      <c r="E915" s="44" t="s">
        <v>1035</v>
      </c>
      <c r="F915" s="44" t="s">
        <v>1170</v>
      </c>
      <c r="G915" s="44" t="s">
        <v>2035</v>
      </c>
      <c r="H915" s="44" t="s">
        <v>1113</v>
      </c>
      <c r="I915" s="44" t="s">
        <v>1106</v>
      </c>
      <c r="J915" s="44">
        <v>126</v>
      </c>
      <c r="K915" s="44" t="s">
        <v>2036</v>
      </c>
      <c r="L915" s="44" t="s">
        <v>1179</v>
      </c>
      <c r="M915" s="44" t="s">
        <v>2033</v>
      </c>
      <c r="N915" s="45">
        <v>57513</v>
      </c>
      <c r="O915" s="46">
        <f t="shared" si="29"/>
        <v>57.512999999999998</v>
      </c>
      <c r="P915" s="47">
        <f>DGKC!D27</f>
        <v>57.512999999999998</v>
      </c>
      <c r="Q915" s="44" t="str">
        <f t="shared" si="30"/>
        <v>PASS</v>
      </c>
      <c r="R915" s="44" t="s">
        <v>1587</v>
      </c>
      <c r="S915" s="44"/>
    </row>
    <row r="916" spans="1:19" x14ac:dyDescent="0.3">
      <c r="A916" s="44" t="s">
        <v>2091</v>
      </c>
      <c r="B916" s="44" t="s">
        <v>86</v>
      </c>
      <c r="C916" s="44" t="s">
        <v>26</v>
      </c>
      <c r="D916" s="44" t="s">
        <v>258</v>
      </c>
      <c r="E916" s="44" t="s">
        <v>1035</v>
      </c>
      <c r="F916" s="44" t="s">
        <v>1170</v>
      </c>
      <c r="G916" s="44" t="s">
        <v>2038</v>
      </c>
      <c r="H916" s="44" t="s">
        <v>1117</v>
      </c>
      <c r="I916" s="44" t="s">
        <v>1106</v>
      </c>
      <c r="J916" s="44">
        <v>152</v>
      </c>
      <c r="K916" s="44" t="s">
        <v>2039</v>
      </c>
      <c r="L916" s="44" t="s">
        <v>1179</v>
      </c>
      <c r="M916" s="44" t="s">
        <v>2033</v>
      </c>
      <c r="N916" s="45">
        <v>61526</v>
      </c>
      <c r="O916" s="46">
        <f t="shared" si="29"/>
        <v>61.526000000000003</v>
      </c>
      <c r="P916" s="47">
        <f>DGKC!E27</f>
        <v>61.526000000000003</v>
      </c>
      <c r="Q916" s="44" t="str">
        <f t="shared" si="30"/>
        <v>PASS</v>
      </c>
      <c r="R916" s="44" t="s">
        <v>1587</v>
      </c>
      <c r="S916" s="44"/>
    </row>
    <row r="917" spans="1:19" x14ac:dyDescent="0.3">
      <c r="A917" s="44" t="s">
        <v>2092</v>
      </c>
      <c r="B917" s="44" t="s">
        <v>86</v>
      </c>
      <c r="C917" s="44" t="s">
        <v>27</v>
      </c>
      <c r="D917" s="44" t="s">
        <v>258</v>
      </c>
      <c r="E917" s="44" t="s">
        <v>1035</v>
      </c>
      <c r="F917" s="44" t="s">
        <v>1170</v>
      </c>
      <c r="G917" s="44" t="s">
        <v>2041</v>
      </c>
      <c r="H917" s="44" t="s">
        <v>1120</v>
      </c>
      <c r="I917" s="44" t="s">
        <v>1106</v>
      </c>
      <c r="J917" s="44">
        <v>152</v>
      </c>
      <c r="K917" s="44" t="s">
        <v>2039</v>
      </c>
      <c r="L917" s="44" t="s">
        <v>1179</v>
      </c>
      <c r="M917" s="44" t="s">
        <v>2033</v>
      </c>
      <c r="N917" s="45">
        <v>64426</v>
      </c>
      <c r="O917" s="46">
        <f t="shared" si="29"/>
        <v>64.426000000000002</v>
      </c>
      <c r="P917" s="47">
        <f>DGKC!F27</f>
        <v>64.426000000000002</v>
      </c>
      <c r="Q917" s="44" t="str">
        <f t="shared" si="30"/>
        <v>PASS</v>
      </c>
      <c r="R917" s="44" t="s">
        <v>1587</v>
      </c>
      <c r="S917" s="44"/>
    </row>
    <row r="918" spans="1:19" x14ac:dyDescent="0.3">
      <c r="A918" s="44" t="s">
        <v>2093</v>
      </c>
      <c r="B918" s="44" t="s">
        <v>86</v>
      </c>
      <c r="C918" s="44" t="s">
        <v>28</v>
      </c>
      <c r="D918" s="44" t="s">
        <v>258</v>
      </c>
      <c r="E918" s="44" t="s">
        <v>1035</v>
      </c>
      <c r="F918" s="44" t="s">
        <v>1170</v>
      </c>
      <c r="G918" s="44" t="s">
        <v>2043</v>
      </c>
      <c r="H918" s="44" t="s">
        <v>1124</v>
      </c>
      <c r="I918" s="44" t="s">
        <v>1106</v>
      </c>
      <c r="J918" s="44">
        <v>154</v>
      </c>
      <c r="K918" s="44" t="s">
        <v>2044</v>
      </c>
      <c r="L918" s="44" t="s">
        <v>1179</v>
      </c>
      <c r="M918" s="44" t="s">
        <v>2033</v>
      </c>
      <c r="N918" s="45">
        <v>61568</v>
      </c>
      <c r="O918" s="46">
        <f t="shared" si="29"/>
        <v>61.567999999999998</v>
      </c>
      <c r="P918" s="47">
        <f>DGKC!G27</f>
        <v>61.567999999999998</v>
      </c>
      <c r="Q918" s="44" t="str">
        <f t="shared" si="30"/>
        <v>PASS</v>
      </c>
      <c r="R918" s="44" t="s">
        <v>1587</v>
      </c>
      <c r="S918" s="44"/>
    </row>
    <row r="919" spans="1:19" x14ac:dyDescent="0.3">
      <c r="A919" s="44" t="s">
        <v>2094</v>
      </c>
      <c r="B919" s="44" t="s">
        <v>86</v>
      </c>
      <c r="C919" s="44" t="s">
        <v>29</v>
      </c>
      <c r="D919" s="44" t="s">
        <v>258</v>
      </c>
      <c r="E919" s="44" t="s">
        <v>1035</v>
      </c>
      <c r="F919" s="44" t="s">
        <v>1170</v>
      </c>
      <c r="G919" s="44" t="s">
        <v>2043</v>
      </c>
      <c r="H919" s="44" t="s">
        <v>1124</v>
      </c>
      <c r="I919" s="44" t="s">
        <v>1127</v>
      </c>
      <c r="J919" s="44">
        <v>154</v>
      </c>
      <c r="K919" s="44" t="s">
        <v>2044</v>
      </c>
      <c r="L919" s="44" t="s">
        <v>1179</v>
      </c>
      <c r="M919" s="44" t="s">
        <v>2033</v>
      </c>
      <c r="N919" s="45">
        <v>61013</v>
      </c>
      <c r="O919" s="46">
        <f t="shared" si="29"/>
        <v>61.012999999999998</v>
      </c>
      <c r="P919" s="47">
        <f>DGKC!H27</f>
        <v>61.012999999999998</v>
      </c>
      <c r="Q919" s="44" t="str">
        <f t="shared" si="30"/>
        <v>PASS</v>
      </c>
      <c r="R919" s="44" t="s">
        <v>1587</v>
      </c>
      <c r="S919" s="44"/>
    </row>
    <row r="920" spans="1:19" x14ac:dyDescent="0.3">
      <c r="A920" s="44" t="s">
        <v>2095</v>
      </c>
      <c r="B920" s="44" t="s">
        <v>86</v>
      </c>
      <c r="C920" s="44" t="s">
        <v>965</v>
      </c>
      <c r="D920" s="44" t="s">
        <v>263</v>
      </c>
      <c r="E920" s="44" t="s">
        <v>1035</v>
      </c>
      <c r="F920" s="44" t="s">
        <v>2096</v>
      </c>
      <c r="G920" s="44" t="s">
        <v>2031</v>
      </c>
      <c r="H920" s="44" t="s">
        <v>1105</v>
      </c>
      <c r="I920" s="44" t="s">
        <v>1106</v>
      </c>
      <c r="J920" s="44">
        <v>106</v>
      </c>
      <c r="K920" s="44" t="s">
        <v>2032</v>
      </c>
      <c r="L920" s="44" t="s">
        <v>1179</v>
      </c>
      <c r="M920" s="44" t="s">
        <v>2033</v>
      </c>
      <c r="N920" s="45">
        <v>8237990</v>
      </c>
      <c r="O920" s="46">
        <f t="shared" si="29"/>
        <v>8237.99</v>
      </c>
      <c r="P920" s="47">
        <f>DGKC!C30</f>
        <v>8237.99</v>
      </c>
      <c r="Q920" s="44" t="str">
        <f t="shared" si="30"/>
        <v>PASS</v>
      </c>
      <c r="R920" s="44" t="s">
        <v>1587</v>
      </c>
      <c r="S920" s="44"/>
    </row>
    <row r="921" spans="1:19" x14ac:dyDescent="0.3">
      <c r="A921" s="44" t="s">
        <v>2097</v>
      </c>
      <c r="B921" s="44" t="s">
        <v>86</v>
      </c>
      <c r="C921" s="44" t="s">
        <v>20</v>
      </c>
      <c r="D921" s="44" t="s">
        <v>263</v>
      </c>
      <c r="E921" s="44" t="s">
        <v>1035</v>
      </c>
      <c r="F921" s="44" t="s">
        <v>2096</v>
      </c>
      <c r="G921" s="44" t="s">
        <v>2035</v>
      </c>
      <c r="H921" s="44" t="s">
        <v>1113</v>
      </c>
      <c r="I921" s="44" t="s">
        <v>1106</v>
      </c>
      <c r="J921" s="44">
        <v>126</v>
      </c>
      <c r="K921" s="44" t="s">
        <v>2036</v>
      </c>
      <c r="L921" s="44" t="s">
        <v>1186</v>
      </c>
      <c r="M921" s="44" t="s">
        <v>2033</v>
      </c>
      <c r="N921" s="45">
        <v>12879348</v>
      </c>
      <c r="O921" s="46">
        <f t="shared" si="29"/>
        <v>12879.348</v>
      </c>
      <c r="P921" s="47">
        <f>DGKC!D30</f>
        <v>12879.348</v>
      </c>
      <c r="Q921" s="44" t="str">
        <f t="shared" si="30"/>
        <v>PASS</v>
      </c>
      <c r="R921" s="44" t="s">
        <v>1587</v>
      </c>
      <c r="S921" s="44"/>
    </row>
    <row r="922" spans="1:19" x14ac:dyDescent="0.3">
      <c r="A922" s="44" t="s">
        <v>2098</v>
      </c>
      <c r="B922" s="44" t="s">
        <v>86</v>
      </c>
      <c r="C922" s="44" t="s">
        <v>26</v>
      </c>
      <c r="D922" s="44" t="s">
        <v>263</v>
      </c>
      <c r="E922" s="44" t="s">
        <v>1035</v>
      </c>
      <c r="F922" s="44" t="s">
        <v>2096</v>
      </c>
      <c r="G922" s="44" t="s">
        <v>2038</v>
      </c>
      <c r="H922" s="44" t="s">
        <v>1117</v>
      </c>
      <c r="I922" s="44" t="s">
        <v>1106</v>
      </c>
      <c r="J922" s="44">
        <v>152</v>
      </c>
      <c r="K922" s="44" t="s">
        <v>2039</v>
      </c>
      <c r="L922" s="44" t="s">
        <v>1186</v>
      </c>
      <c r="M922" s="44" t="s">
        <v>2033</v>
      </c>
      <c r="N922" s="45">
        <v>16813883</v>
      </c>
      <c r="O922" s="46">
        <f t="shared" si="29"/>
        <v>16813.883000000002</v>
      </c>
      <c r="P922" s="47">
        <f>DGKC!E30</f>
        <v>16813.883000000002</v>
      </c>
      <c r="Q922" s="44" t="str">
        <f t="shared" si="30"/>
        <v>PASS</v>
      </c>
      <c r="R922" s="44" t="s">
        <v>1587</v>
      </c>
      <c r="S922" s="44"/>
    </row>
    <row r="923" spans="1:19" x14ac:dyDescent="0.3">
      <c r="A923" s="44" t="s">
        <v>2099</v>
      </c>
      <c r="B923" s="44" t="s">
        <v>86</v>
      </c>
      <c r="C923" s="44" t="s">
        <v>27</v>
      </c>
      <c r="D923" s="44" t="s">
        <v>263</v>
      </c>
      <c r="E923" s="44" t="s">
        <v>1035</v>
      </c>
      <c r="F923" s="44" t="s">
        <v>2096</v>
      </c>
      <c r="G923" s="44" t="s">
        <v>2041</v>
      </c>
      <c r="H923" s="44" t="s">
        <v>1120</v>
      </c>
      <c r="I923" s="44" t="s">
        <v>1106</v>
      </c>
      <c r="J923" s="44">
        <v>152</v>
      </c>
      <c r="K923" s="44" t="s">
        <v>2039</v>
      </c>
      <c r="L923" s="44" t="s">
        <v>1186</v>
      </c>
      <c r="M923" s="44" t="s">
        <v>2033</v>
      </c>
      <c r="N923" s="45">
        <v>13852005</v>
      </c>
      <c r="O923" s="46">
        <f t="shared" si="29"/>
        <v>13852.004999999999</v>
      </c>
      <c r="P923" s="47">
        <f>DGKC!F30</f>
        <v>13852.004999999999</v>
      </c>
      <c r="Q923" s="44" t="str">
        <f t="shared" si="30"/>
        <v>PASS</v>
      </c>
      <c r="R923" s="44" t="s">
        <v>1587</v>
      </c>
      <c r="S923" s="44"/>
    </row>
    <row r="924" spans="1:19" x14ac:dyDescent="0.3">
      <c r="A924" s="44" t="s">
        <v>2100</v>
      </c>
      <c r="B924" s="44" t="s">
        <v>86</v>
      </c>
      <c r="C924" s="44" t="s">
        <v>28</v>
      </c>
      <c r="D924" s="44" t="s">
        <v>263</v>
      </c>
      <c r="E924" s="44" t="s">
        <v>1035</v>
      </c>
      <c r="F924" s="44" t="s">
        <v>2096</v>
      </c>
      <c r="G924" s="44" t="s">
        <v>2043</v>
      </c>
      <c r="H924" s="44" t="s">
        <v>1124</v>
      </c>
      <c r="I924" s="44" t="s">
        <v>1106</v>
      </c>
      <c r="J924" s="44">
        <v>154</v>
      </c>
      <c r="K924" s="44" t="s">
        <v>2044</v>
      </c>
      <c r="L924" s="44" t="s">
        <v>1186</v>
      </c>
      <c r="M924" s="44" t="s">
        <v>2033</v>
      </c>
      <c r="N924" s="45">
        <v>12559774</v>
      </c>
      <c r="O924" s="46">
        <f t="shared" si="29"/>
        <v>12559.773999999999</v>
      </c>
      <c r="P924" s="47">
        <f>DGKC!G30</f>
        <v>12559.773999999999</v>
      </c>
      <c r="Q924" s="44" t="str">
        <f t="shared" si="30"/>
        <v>PASS</v>
      </c>
      <c r="R924" s="44" t="s">
        <v>1587</v>
      </c>
      <c r="S924" s="44"/>
    </row>
    <row r="925" spans="1:19" x14ac:dyDescent="0.3">
      <c r="A925" s="44" t="s">
        <v>2101</v>
      </c>
      <c r="B925" s="44" t="s">
        <v>86</v>
      </c>
      <c r="C925" s="44" t="s">
        <v>29</v>
      </c>
      <c r="D925" s="44" t="s">
        <v>263</v>
      </c>
      <c r="E925" s="44" t="s">
        <v>1035</v>
      </c>
      <c r="F925" s="44" t="s">
        <v>2096</v>
      </c>
      <c r="G925" s="44" t="s">
        <v>2043</v>
      </c>
      <c r="H925" s="44" t="s">
        <v>1124</v>
      </c>
      <c r="I925" s="44" t="s">
        <v>1127</v>
      </c>
      <c r="J925" s="44">
        <v>154</v>
      </c>
      <c r="K925" s="44" t="s">
        <v>2044</v>
      </c>
      <c r="L925" s="44" t="s">
        <v>1186</v>
      </c>
      <c r="M925" s="44" t="s">
        <v>2033</v>
      </c>
      <c r="N925" s="45">
        <v>12306679</v>
      </c>
      <c r="O925" s="46">
        <f t="shared" si="29"/>
        <v>12306.679</v>
      </c>
      <c r="P925" s="47">
        <f>DGKC!H30</f>
        <v>12306.679</v>
      </c>
      <c r="Q925" s="44" t="str">
        <f t="shared" si="30"/>
        <v>PASS</v>
      </c>
      <c r="R925" s="44" t="s">
        <v>1587</v>
      </c>
      <c r="S925" s="44"/>
    </row>
    <row r="926" spans="1:19" x14ac:dyDescent="0.3">
      <c r="A926" s="44" t="s">
        <v>2102</v>
      </c>
      <c r="B926" s="44" t="s">
        <v>86</v>
      </c>
      <c r="C926" s="44" t="s">
        <v>965</v>
      </c>
      <c r="D926" s="44" t="s">
        <v>265</v>
      </c>
      <c r="E926" s="44" t="s">
        <v>1035</v>
      </c>
      <c r="F926" s="44" t="s">
        <v>265</v>
      </c>
      <c r="G926" s="44" t="s">
        <v>2031</v>
      </c>
      <c r="H926" s="44" t="s">
        <v>1105</v>
      </c>
      <c r="I926" s="44" t="s">
        <v>1106</v>
      </c>
      <c r="J926" s="44">
        <v>106</v>
      </c>
      <c r="K926" s="44" t="s">
        <v>2032</v>
      </c>
      <c r="L926" s="44" t="s">
        <v>1186</v>
      </c>
      <c r="M926" s="44" t="s">
        <v>2033</v>
      </c>
      <c r="N926" s="45">
        <v>4352995</v>
      </c>
      <c r="O926" s="46">
        <f t="shared" si="29"/>
        <v>4352.9949999999999</v>
      </c>
      <c r="P926" s="47">
        <f>DGKC!C31</f>
        <v>4352.9949999999999</v>
      </c>
      <c r="Q926" s="44" t="str">
        <f t="shared" si="30"/>
        <v>PASS</v>
      </c>
      <c r="R926" s="44" t="s">
        <v>1587</v>
      </c>
      <c r="S926" s="44"/>
    </row>
    <row r="927" spans="1:19" x14ac:dyDescent="0.3">
      <c r="A927" s="44" t="s">
        <v>2103</v>
      </c>
      <c r="B927" s="44" t="s">
        <v>86</v>
      </c>
      <c r="C927" s="44" t="s">
        <v>20</v>
      </c>
      <c r="D927" s="44" t="s">
        <v>265</v>
      </c>
      <c r="E927" s="44" t="s">
        <v>1035</v>
      </c>
      <c r="F927" s="44" t="s">
        <v>265</v>
      </c>
      <c r="G927" s="44" t="s">
        <v>2035</v>
      </c>
      <c r="H927" s="44" t="s">
        <v>1113</v>
      </c>
      <c r="I927" s="44" t="s">
        <v>1106</v>
      </c>
      <c r="J927" s="44">
        <v>126</v>
      </c>
      <c r="K927" s="44" t="s">
        <v>2036</v>
      </c>
      <c r="L927" s="44" t="s">
        <v>1194</v>
      </c>
      <c r="M927" s="44" t="s">
        <v>2033</v>
      </c>
      <c r="N927" s="45">
        <v>2728589</v>
      </c>
      <c r="O927" s="46">
        <f t="shared" si="29"/>
        <v>2728.5889999999999</v>
      </c>
      <c r="P927" s="47">
        <f>DGKC!D31</f>
        <v>2728.5889999999999</v>
      </c>
      <c r="Q927" s="44" t="str">
        <f t="shared" si="30"/>
        <v>PASS</v>
      </c>
      <c r="R927" s="44" t="s">
        <v>1587</v>
      </c>
      <c r="S927" s="44"/>
    </row>
    <row r="928" spans="1:19" x14ac:dyDescent="0.3">
      <c r="A928" s="44" t="s">
        <v>2104</v>
      </c>
      <c r="B928" s="44" t="s">
        <v>86</v>
      </c>
      <c r="C928" s="44" t="s">
        <v>26</v>
      </c>
      <c r="D928" s="44" t="s">
        <v>265</v>
      </c>
      <c r="E928" s="44" t="s">
        <v>1035</v>
      </c>
      <c r="F928" s="44" t="s">
        <v>265</v>
      </c>
      <c r="G928" s="44" t="s">
        <v>2038</v>
      </c>
      <c r="H928" s="44" t="s">
        <v>1117</v>
      </c>
      <c r="I928" s="44" t="s">
        <v>1106</v>
      </c>
      <c r="J928" s="44">
        <v>152</v>
      </c>
      <c r="K928" s="44" t="s">
        <v>2039</v>
      </c>
      <c r="L928" s="44" t="s">
        <v>1194</v>
      </c>
      <c r="M928" s="44" t="s">
        <v>2033</v>
      </c>
      <c r="N928" s="45">
        <v>5981515</v>
      </c>
      <c r="O928" s="46">
        <f t="shared" si="29"/>
        <v>5981.5150000000003</v>
      </c>
      <c r="P928" s="47">
        <f>DGKC!E31</f>
        <v>5981.5150000000003</v>
      </c>
      <c r="Q928" s="44" t="str">
        <f t="shared" si="30"/>
        <v>PASS</v>
      </c>
      <c r="R928" s="44" t="s">
        <v>1587</v>
      </c>
      <c r="S928" s="44"/>
    </row>
    <row r="929" spans="1:19" x14ac:dyDescent="0.3">
      <c r="A929" s="44" t="s">
        <v>2105</v>
      </c>
      <c r="B929" s="44" t="s">
        <v>86</v>
      </c>
      <c r="C929" s="44" t="s">
        <v>27</v>
      </c>
      <c r="D929" s="44" t="s">
        <v>265</v>
      </c>
      <c r="E929" s="44" t="s">
        <v>1035</v>
      </c>
      <c r="F929" s="44" t="s">
        <v>265</v>
      </c>
      <c r="G929" s="44" t="s">
        <v>2041</v>
      </c>
      <c r="H929" s="44" t="s">
        <v>1120</v>
      </c>
      <c r="I929" s="44" t="s">
        <v>1106</v>
      </c>
      <c r="J929" s="44">
        <v>152</v>
      </c>
      <c r="K929" s="44" t="s">
        <v>2039</v>
      </c>
      <c r="L929" s="44" t="s">
        <v>1194</v>
      </c>
      <c r="M929" s="44" t="s">
        <v>2033</v>
      </c>
      <c r="N929" s="45">
        <v>8873170</v>
      </c>
      <c r="O929" s="46">
        <f t="shared" si="29"/>
        <v>8873.17</v>
      </c>
      <c r="P929" s="47">
        <f>DGKC!F31</f>
        <v>8873.17</v>
      </c>
      <c r="Q929" s="44" t="str">
        <f t="shared" si="30"/>
        <v>PASS</v>
      </c>
      <c r="R929" s="44" t="s">
        <v>1587</v>
      </c>
      <c r="S929" s="44"/>
    </row>
    <row r="930" spans="1:19" x14ac:dyDescent="0.3">
      <c r="A930" s="44" t="s">
        <v>2106</v>
      </c>
      <c r="B930" s="44" t="s">
        <v>86</v>
      </c>
      <c r="C930" s="44" t="s">
        <v>28</v>
      </c>
      <c r="D930" s="44" t="s">
        <v>265</v>
      </c>
      <c r="E930" s="44" t="s">
        <v>1035</v>
      </c>
      <c r="F930" s="44" t="s">
        <v>265</v>
      </c>
      <c r="G930" s="44" t="s">
        <v>2043</v>
      </c>
      <c r="H930" s="44" t="s">
        <v>1124</v>
      </c>
      <c r="I930" s="44" t="s">
        <v>1106</v>
      </c>
      <c r="J930" s="44">
        <v>154</v>
      </c>
      <c r="K930" s="44" t="s">
        <v>2044</v>
      </c>
      <c r="L930" s="44" t="s">
        <v>1194</v>
      </c>
      <c r="M930" s="44" t="s">
        <v>2033</v>
      </c>
      <c r="N930" s="45">
        <v>7693067</v>
      </c>
      <c r="O930" s="46">
        <f t="shared" si="29"/>
        <v>7693.067</v>
      </c>
      <c r="P930" s="47">
        <f>DGKC!G31</f>
        <v>7693.067</v>
      </c>
      <c r="Q930" s="44" t="str">
        <f t="shared" si="30"/>
        <v>PASS</v>
      </c>
      <c r="R930" s="44" t="s">
        <v>1587</v>
      </c>
      <c r="S930" s="44"/>
    </row>
    <row r="931" spans="1:19" x14ac:dyDescent="0.3">
      <c r="A931" s="44" t="s">
        <v>2107</v>
      </c>
      <c r="B931" s="44" t="s">
        <v>86</v>
      </c>
      <c r="C931" s="44" t="s">
        <v>29</v>
      </c>
      <c r="D931" s="44" t="s">
        <v>265</v>
      </c>
      <c r="E931" s="44" t="s">
        <v>1035</v>
      </c>
      <c r="F931" s="44" t="s">
        <v>265</v>
      </c>
      <c r="G931" s="44" t="s">
        <v>2043</v>
      </c>
      <c r="H931" s="44" t="s">
        <v>1124</v>
      </c>
      <c r="I931" s="44" t="s">
        <v>1127</v>
      </c>
      <c r="J931" s="44">
        <v>154</v>
      </c>
      <c r="K931" s="44" t="s">
        <v>2044</v>
      </c>
      <c r="L931" s="44" t="s">
        <v>1194</v>
      </c>
      <c r="M931" s="44" t="s">
        <v>2033</v>
      </c>
      <c r="N931" s="45">
        <v>8188678</v>
      </c>
      <c r="O931" s="46">
        <f t="shared" si="29"/>
        <v>8188.6779999999999</v>
      </c>
      <c r="P931" s="47">
        <f>DGKC!H31</f>
        <v>8188.6779999999999</v>
      </c>
      <c r="Q931" s="44" t="str">
        <f t="shared" si="30"/>
        <v>PASS</v>
      </c>
      <c r="R931" s="44" t="s">
        <v>1587</v>
      </c>
      <c r="S931" s="44"/>
    </row>
    <row r="932" spans="1:19" x14ac:dyDescent="0.3">
      <c r="A932" s="44" t="s">
        <v>2108</v>
      </c>
      <c r="B932" s="44" t="s">
        <v>86</v>
      </c>
      <c r="C932" s="44" t="s">
        <v>965</v>
      </c>
      <c r="D932" s="44" t="s">
        <v>267</v>
      </c>
      <c r="E932" s="44" t="s">
        <v>1035</v>
      </c>
      <c r="F932" s="44" t="s">
        <v>267</v>
      </c>
      <c r="G932" s="44" t="s">
        <v>2031</v>
      </c>
      <c r="H932" s="44" t="s">
        <v>1105</v>
      </c>
      <c r="I932" s="44" t="s">
        <v>1106</v>
      </c>
      <c r="J932" s="44">
        <v>106</v>
      </c>
      <c r="K932" s="44" t="s">
        <v>2032</v>
      </c>
      <c r="L932" s="44" t="s">
        <v>1194</v>
      </c>
      <c r="M932" s="44" t="s">
        <v>2033</v>
      </c>
      <c r="N932" s="45">
        <v>2286084</v>
      </c>
      <c r="O932" s="46">
        <f t="shared" si="29"/>
        <v>2286.0839999999998</v>
      </c>
      <c r="P932" s="47">
        <f>DGKC!C32</f>
        <v>2286.0839999999998</v>
      </c>
      <c r="Q932" s="44" t="str">
        <f t="shared" si="30"/>
        <v>PASS</v>
      </c>
      <c r="R932" s="44" t="s">
        <v>1587</v>
      </c>
      <c r="S932" s="44"/>
    </row>
    <row r="933" spans="1:19" x14ac:dyDescent="0.3">
      <c r="A933" s="44" t="s">
        <v>2109</v>
      </c>
      <c r="B933" s="44" t="s">
        <v>86</v>
      </c>
      <c r="C933" s="44" t="s">
        <v>20</v>
      </c>
      <c r="D933" s="44" t="s">
        <v>267</v>
      </c>
      <c r="E933" s="44" t="s">
        <v>1035</v>
      </c>
      <c r="F933" s="44" t="s">
        <v>267</v>
      </c>
      <c r="G933" s="44" t="s">
        <v>2035</v>
      </c>
      <c r="H933" s="44" t="s">
        <v>1113</v>
      </c>
      <c r="I933" s="44" t="s">
        <v>1106</v>
      </c>
      <c r="J933" s="44">
        <v>126</v>
      </c>
      <c r="K933" s="44" t="s">
        <v>2036</v>
      </c>
      <c r="L933" s="44" t="s">
        <v>1202</v>
      </c>
      <c r="M933" s="44" t="s">
        <v>2033</v>
      </c>
      <c r="N933" s="45">
        <v>1676245</v>
      </c>
      <c r="O933" s="46">
        <f t="shared" si="29"/>
        <v>1676.2449999999999</v>
      </c>
      <c r="P933" s="47">
        <f>DGKC!D32</f>
        <v>1676.2449999999999</v>
      </c>
      <c r="Q933" s="44" t="str">
        <f t="shared" si="30"/>
        <v>PASS</v>
      </c>
      <c r="R933" s="44" t="s">
        <v>1587</v>
      </c>
      <c r="S933" s="44"/>
    </row>
    <row r="934" spans="1:19" x14ac:dyDescent="0.3">
      <c r="A934" s="44" t="s">
        <v>2110</v>
      </c>
      <c r="B934" s="44" t="s">
        <v>86</v>
      </c>
      <c r="C934" s="44" t="s">
        <v>26</v>
      </c>
      <c r="D934" s="44" t="s">
        <v>267</v>
      </c>
      <c r="E934" s="44" t="s">
        <v>1035</v>
      </c>
      <c r="F934" s="44" t="s">
        <v>267</v>
      </c>
      <c r="G934" s="44" t="s">
        <v>2038</v>
      </c>
      <c r="H934" s="44" t="s">
        <v>1117</v>
      </c>
      <c r="I934" s="44" t="s">
        <v>1106</v>
      </c>
      <c r="J934" s="44">
        <v>152</v>
      </c>
      <c r="K934" s="44" t="s">
        <v>2039</v>
      </c>
      <c r="L934" s="44" t="s">
        <v>1202</v>
      </c>
      <c r="M934" s="44" t="s">
        <v>2033</v>
      </c>
      <c r="N934" s="45">
        <v>1467862</v>
      </c>
      <c r="O934" s="46">
        <f t="shared" si="29"/>
        <v>1467.8620000000001</v>
      </c>
      <c r="P934" s="47">
        <f>DGKC!E32</f>
        <v>1467.8620000000001</v>
      </c>
      <c r="Q934" s="44" t="str">
        <f t="shared" si="30"/>
        <v>PASS</v>
      </c>
      <c r="R934" s="44" t="s">
        <v>1587</v>
      </c>
      <c r="S934" s="44"/>
    </row>
    <row r="935" spans="1:19" x14ac:dyDescent="0.3">
      <c r="A935" s="44" t="s">
        <v>2111</v>
      </c>
      <c r="B935" s="44" t="s">
        <v>86</v>
      </c>
      <c r="C935" s="44" t="s">
        <v>27</v>
      </c>
      <c r="D935" s="44" t="s">
        <v>267</v>
      </c>
      <c r="E935" s="44" t="s">
        <v>1035</v>
      </c>
      <c r="F935" s="44" t="s">
        <v>267</v>
      </c>
      <c r="G935" s="44" t="s">
        <v>2041</v>
      </c>
      <c r="H935" s="44" t="s">
        <v>1120</v>
      </c>
      <c r="I935" s="44" t="s">
        <v>1106</v>
      </c>
      <c r="J935" s="44">
        <v>152</v>
      </c>
      <c r="K935" s="44" t="s">
        <v>2039</v>
      </c>
      <c r="L935" s="44" t="s">
        <v>1202</v>
      </c>
      <c r="M935" s="44" t="s">
        <v>2033</v>
      </c>
      <c r="N935" s="45">
        <v>1193440</v>
      </c>
      <c r="O935" s="46">
        <f t="shared" si="29"/>
        <v>1193.44</v>
      </c>
      <c r="P935" s="47">
        <f>DGKC!F32</f>
        <v>1193.44</v>
      </c>
      <c r="Q935" s="44" t="str">
        <f t="shared" si="30"/>
        <v>PASS</v>
      </c>
      <c r="R935" s="44" t="s">
        <v>1587</v>
      </c>
      <c r="S935" s="44"/>
    </row>
    <row r="936" spans="1:19" x14ac:dyDescent="0.3">
      <c r="A936" s="44" t="s">
        <v>2112</v>
      </c>
      <c r="B936" s="44" t="s">
        <v>86</v>
      </c>
      <c r="C936" s="44" t="s">
        <v>28</v>
      </c>
      <c r="D936" s="44" t="s">
        <v>267</v>
      </c>
      <c r="E936" s="44" t="s">
        <v>1035</v>
      </c>
      <c r="F936" s="44" t="s">
        <v>267</v>
      </c>
      <c r="G936" s="44" t="s">
        <v>2043</v>
      </c>
      <c r="H936" s="44" t="s">
        <v>1124</v>
      </c>
      <c r="I936" s="44" t="s">
        <v>1106</v>
      </c>
      <c r="J936" s="44">
        <v>154</v>
      </c>
      <c r="K936" s="44" t="s">
        <v>2044</v>
      </c>
      <c r="L936" s="44" t="s">
        <v>1202</v>
      </c>
      <c r="M936" s="44" t="s">
        <v>2033</v>
      </c>
      <c r="N936" s="45">
        <v>855742</v>
      </c>
      <c r="O936" s="46">
        <f t="shared" si="29"/>
        <v>855.74199999999996</v>
      </c>
      <c r="P936" s="47">
        <f>DGKC!G32</f>
        <v>855.74199999999996</v>
      </c>
      <c r="Q936" s="44" t="str">
        <f t="shared" si="30"/>
        <v>PASS</v>
      </c>
      <c r="R936" s="44" t="s">
        <v>1587</v>
      </c>
      <c r="S936" s="44"/>
    </row>
    <row r="937" spans="1:19" x14ac:dyDescent="0.3">
      <c r="A937" s="44" t="s">
        <v>2113</v>
      </c>
      <c r="B937" s="44" t="s">
        <v>86</v>
      </c>
      <c r="C937" s="44" t="s">
        <v>29</v>
      </c>
      <c r="D937" s="44" t="s">
        <v>267</v>
      </c>
      <c r="E937" s="44" t="s">
        <v>1035</v>
      </c>
      <c r="F937" s="44" t="s">
        <v>267</v>
      </c>
      <c r="G937" s="44" t="s">
        <v>2043</v>
      </c>
      <c r="H937" s="44" t="s">
        <v>1124</v>
      </c>
      <c r="I937" s="44" t="s">
        <v>1127</v>
      </c>
      <c r="J937" s="44">
        <v>154</v>
      </c>
      <c r="K937" s="44" t="s">
        <v>2044</v>
      </c>
      <c r="L937" s="44" t="s">
        <v>1202</v>
      </c>
      <c r="M937" s="44" t="s">
        <v>2033</v>
      </c>
      <c r="N937" s="45">
        <v>1493080</v>
      </c>
      <c r="O937" s="46">
        <f t="shared" si="29"/>
        <v>1493.08</v>
      </c>
      <c r="P937" s="47">
        <f>DGKC!H32</f>
        <v>1493.08</v>
      </c>
      <c r="Q937" s="44" t="str">
        <f t="shared" si="30"/>
        <v>PASS</v>
      </c>
      <c r="R937" s="44" t="s">
        <v>1587</v>
      </c>
      <c r="S937" s="44"/>
    </row>
    <row r="938" spans="1:19" x14ac:dyDescent="0.3">
      <c r="A938" s="44" t="s">
        <v>2114</v>
      </c>
      <c r="B938" s="44" t="s">
        <v>86</v>
      </c>
      <c r="C938" s="44" t="s">
        <v>965</v>
      </c>
      <c r="D938" s="44" t="s">
        <v>269</v>
      </c>
      <c r="E938" s="44" t="s">
        <v>1035</v>
      </c>
      <c r="F938" s="44" t="s">
        <v>2081</v>
      </c>
      <c r="G938" s="44" t="s">
        <v>2031</v>
      </c>
      <c r="H938" s="44" t="s">
        <v>1105</v>
      </c>
      <c r="I938" s="44" t="s">
        <v>1106</v>
      </c>
      <c r="J938" s="44">
        <v>106</v>
      </c>
      <c r="K938" s="44" t="s">
        <v>2032</v>
      </c>
      <c r="L938" s="44" t="s">
        <v>1155</v>
      </c>
      <c r="M938" s="44" t="s">
        <v>2033</v>
      </c>
      <c r="N938" s="45">
        <v>13126388</v>
      </c>
      <c r="O938" s="46">
        <f t="shared" si="29"/>
        <v>13126.388000000001</v>
      </c>
      <c r="P938" s="47">
        <f>DGKC!C33</f>
        <v>13126.388000000001</v>
      </c>
      <c r="Q938" s="44" t="str">
        <f t="shared" si="30"/>
        <v>PASS</v>
      </c>
      <c r="R938" s="44" t="s">
        <v>1587</v>
      </c>
      <c r="S938" s="44"/>
    </row>
    <row r="939" spans="1:19" x14ac:dyDescent="0.3">
      <c r="A939" s="44" t="s">
        <v>2115</v>
      </c>
      <c r="B939" s="44" t="s">
        <v>86</v>
      </c>
      <c r="C939" s="44" t="s">
        <v>20</v>
      </c>
      <c r="D939" s="44" t="s">
        <v>269</v>
      </c>
      <c r="E939" s="44" t="s">
        <v>1035</v>
      </c>
      <c r="F939" s="44" t="s">
        <v>2081</v>
      </c>
      <c r="G939" s="44" t="s">
        <v>2035</v>
      </c>
      <c r="H939" s="44" t="s">
        <v>1113</v>
      </c>
      <c r="I939" s="44" t="s">
        <v>1106</v>
      </c>
      <c r="J939" s="44">
        <v>126</v>
      </c>
      <c r="K939" s="44" t="s">
        <v>2036</v>
      </c>
      <c r="L939" s="44" t="s">
        <v>1157</v>
      </c>
      <c r="M939" s="44" t="s">
        <v>2033</v>
      </c>
      <c r="N939" s="45">
        <v>12946786</v>
      </c>
      <c r="O939" s="46">
        <f t="shared" si="29"/>
        <v>12946.786</v>
      </c>
      <c r="P939" s="47">
        <f>DGKC!D33</f>
        <v>12946.786</v>
      </c>
      <c r="Q939" s="44" t="str">
        <f t="shared" si="30"/>
        <v>PASS</v>
      </c>
      <c r="R939" s="44" t="s">
        <v>1587</v>
      </c>
      <c r="S939" s="44"/>
    </row>
    <row r="940" spans="1:19" x14ac:dyDescent="0.3">
      <c r="A940" s="44" t="s">
        <v>2116</v>
      </c>
      <c r="B940" s="44" t="s">
        <v>86</v>
      </c>
      <c r="C940" s="44" t="s">
        <v>26</v>
      </c>
      <c r="D940" s="44" t="s">
        <v>269</v>
      </c>
      <c r="E940" s="44" t="s">
        <v>1035</v>
      </c>
      <c r="F940" s="44" t="s">
        <v>2081</v>
      </c>
      <c r="G940" s="44" t="s">
        <v>2038</v>
      </c>
      <c r="H940" s="44" t="s">
        <v>1117</v>
      </c>
      <c r="I940" s="44" t="s">
        <v>1106</v>
      </c>
      <c r="J940" s="44">
        <v>152</v>
      </c>
      <c r="K940" s="44" t="s">
        <v>2039</v>
      </c>
      <c r="L940" s="44" t="s">
        <v>1157</v>
      </c>
      <c r="M940" s="44" t="s">
        <v>2033</v>
      </c>
      <c r="N940" s="45">
        <v>9962421</v>
      </c>
      <c r="O940" s="46">
        <f t="shared" si="29"/>
        <v>9962.4210000000003</v>
      </c>
      <c r="P940" s="47">
        <f>DGKC!E33</f>
        <v>9962.4210000000003</v>
      </c>
      <c r="Q940" s="44" t="str">
        <f t="shared" si="30"/>
        <v>PASS</v>
      </c>
      <c r="R940" s="44" t="s">
        <v>1587</v>
      </c>
      <c r="S940" s="44"/>
    </row>
    <row r="941" spans="1:19" x14ac:dyDescent="0.3">
      <c r="A941" s="44" t="s">
        <v>2117</v>
      </c>
      <c r="B941" s="44" t="s">
        <v>86</v>
      </c>
      <c r="C941" s="44" t="s">
        <v>27</v>
      </c>
      <c r="D941" s="44" t="s">
        <v>269</v>
      </c>
      <c r="E941" s="44" t="s">
        <v>1035</v>
      </c>
      <c r="F941" s="44" t="s">
        <v>2081</v>
      </c>
      <c r="G941" s="44" t="s">
        <v>2041</v>
      </c>
      <c r="H941" s="44" t="s">
        <v>1120</v>
      </c>
      <c r="I941" s="44" t="s">
        <v>1106</v>
      </c>
      <c r="J941" s="44">
        <v>152</v>
      </c>
      <c r="K941" s="44" t="s">
        <v>2039</v>
      </c>
      <c r="L941" s="44" t="s">
        <v>1157</v>
      </c>
      <c r="M941" s="44" t="s">
        <v>2033</v>
      </c>
      <c r="N941" s="45">
        <v>9270898</v>
      </c>
      <c r="O941" s="46">
        <f t="shared" si="29"/>
        <v>9270.8979999999992</v>
      </c>
      <c r="P941" s="47">
        <f>DGKC!F33</f>
        <v>9270.8979999999992</v>
      </c>
      <c r="Q941" s="44" t="str">
        <f t="shared" si="30"/>
        <v>PASS</v>
      </c>
      <c r="R941" s="44" t="s">
        <v>1587</v>
      </c>
      <c r="S941" s="44"/>
    </row>
    <row r="942" spans="1:19" x14ac:dyDescent="0.3">
      <c r="A942" s="44" t="s">
        <v>2118</v>
      </c>
      <c r="B942" s="44" t="s">
        <v>86</v>
      </c>
      <c r="C942" s="44" t="s">
        <v>28</v>
      </c>
      <c r="D942" s="44" t="s">
        <v>269</v>
      </c>
      <c r="E942" s="44" t="s">
        <v>1035</v>
      </c>
      <c r="F942" s="44" t="s">
        <v>1200</v>
      </c>
      <c r="G942" s="44" t="s">
        <v>2043</v>
      </c>
      <c r="H942" s="44" t="s">
        <v>1124</v>
      </c>
      <c r="I942" s="44" t="s">
        <v>1106</v>
      </c>
      <c r="J942" s="44">
        <v>154</v>
      </c>
      <c r="K942" s="44" t="s">
        <v>2044</v>
      </c>
      <c r="L942" s="44" t="s">
        <v>1208</v>
      </c>
      <c r="M942" s="44" t="s">
        <v>2033</v>
      </c>
      <c r="N942" s="45">
        <v>18384882</v>
      </c>
      <c r="O942" s="46">
        <f t="shared" ref="O942:O1005" si="31">N942/1000</f>
        <v>18384.882000000001</v>
      </c>
      <c r="P942" s="47">
        <f>DGKC!G33</f>
        <v>18384.882000000001</v>
      </c>
      <c r="Q942" s="44" t="str">
        <f t="shared" si="30"/>
        <v>PASS</v>
      </c>
      <c r="R942" s="44" t="s">
        <v>1587</v>
      </c>
      <c r="S942" s="44"/>
    </row>
    <row r="943" spans="1:19" x14ac:dyDescent="0.3">
      <c r="A943" s="44" t="s">
        <v>2119</v>
      </c>
      <c r="B943" s="44" t="s">
        <v>86</v>
      </c>
      <c r="C943" s="44" t="s">
        <v>29</v>
      </c>
      <c r="D943" s="44" t="s">
        <v>269</v>
      </c>
      <c r="E943" s="44" t="s">
        <v>1035</v>
      </c>
      <c r="F943" s="44" t="s">
        <v>1200</v>
      </c>
      <c r="G943" s="44" t="s">
        <v>2043</v>
      </c>
      <c r="H943" s="44" t="s">
        <v>1124</v>
      </c>
      <c r="I943" s="44" t="s">
        <v>1127</v>
      </c>
      <c r="J943" s="44">
        <v>154</v>
      </c>
      <c r="K943" s="44" t="s">
        <v>2044</v>
      </c>
      <c r="L943" s="44" t="s">
        <v>1208</v>
      </c>
      <c r="M943" s="44" t="s">
        <v>2033</v>
      </c>
      <c r="N943" s="45">
        <v>24005100</v>
      </c>
      <c r="O943" s="46">
        <f t="shared" si="31"/>
        <v>24005.1</v>
      </c>
      <c r="P943" s="47">
        <f>DGKC!H33</f>
        <v>24005.1</v>
      </c>
      <c r="Q943" s="44" t="str">
        <f t="shared" si="30"/>
        <v>PASS</v>
      </c>
      <c r="R943" s="44" t="s">
        <v>1587</v>
      </c>
      <c r="S943" s="44"/>
    </row>
    <row r="944" spans="1:19" x14ac:dyDescent="0.3">
      <c r="A944" s="44" t="s">
        <v>2120</v>
      </c>
      <c r="B944" s="44" t="s">
        <v>86</v>
      </c>
      <c r="C944" s="44" t="s">
        <v>965</v>
      </c>
      <c r="D944" s="44" t="s">
        <v>271</v>
      </c>
      <c r="E944" s="44" t="s">
        <v>1035</v>
      </c>
      <c r="F944" s="44" t="s">
        <v>271</v>
      </c>
      <c r="G944" s="44" t="s">
        <v>2031</v>
      </c>
      <c r="H944" s="44" t="s">
        <v>1105</v>
      </c>
      <c r="I944" s="44" t="s">
        <v>1106</v>
      </c>
      <c r="J944" s="44">
        <v>106</v>
      </c>
      <c r="K944" s="44" t="s">
        <v>2032</v>
      </c>
      <c r="L944" s="44" t="s">
        <v>1768</v>
      </c>
      <c r="M944" s="44" t="s">
        <v>2033</v>
      </c>
      <c r="N944" s="45">
        <v>347834</v>
      </c>
      <c r="O944" s="46">
        <f t="shared" si="31"/>
        <v>347.834</v>
      </c>
      <c r="P944" s="47">
        <f>DGKC!C34</f>
        <v>347.834</v>
      </c>
      <c r="Q944" s="44" t="str">
        <f t="shared" si="30"/>
        <v>PASS</v>
      </c>
      <c r="R944" s="44" t="s">
        <v>1587</v>
      </c>
      <c r="S944" s="44"/>
    </row>
    <row r="945" spans="1:19" x14ac:dyDescent="0.3">
      <c r="A945" s="44" t="s">
        <v>2121</v>
      </c>
      <c r="B945" s="44" t="s">
        <v>86</v>
      </c>
      <c r="C945" s="44" t="s">
        <v>20</v>
      </c>
      <c r="D945" s="44" t="s">
        <v>271</v>
      </c>
      <c r="E945" s="44" t="s">
        <v>1035</v>
      </c>
      <c r="F945" s="44" t="s">
        <v>271</v>
      </c>
      <c r="G945" s="44" t="s">
        <v>2035</v>
      </c>
      <c r="H945" s="44" t="s">
        <v>1113</v>
      </c>
      <c r="I945" s="44" t="s">
        <v>1106</v>
      </c>
      <c r="J945" s="44">
        <v>126</v>
      </c>
      <c r="K945" s="44" t="s">
        <v>2036</v>
      </c>
      <c r="L945" s="44" t="s">
        <v>2122</v>
      </c>
      <c r="M945" s="44" t="s">
        <v>2033</v>
      </c>
      <c r="N945" s="45">
        <v>806373</v>
      </c>
      <c r="O945" s="46">
        <f t="shared" si="31"/>
        <v>806.37300000000005</v>
      </c>
      <c r="P945" s="47">
        <f>DGKC!D34</f>
        <v>806.37300000000005</v>
      </c>
      <c r="Q945" s="44" t="str">
        <f t="shared" si="30"/>
        <v>PASS</v>
      </c>
      <c r="R945" s="44" t="s">
        <v>1587</v>
      </c>
      <c r="S945" s="44"/>
    </row>
    <row r="946" spans="1:19" x14ac:dyDescent="0.3">
      <c r="A946" s="44" t="s">
        <v>2123</v>
      </c>
      <c r="B946" s="44" t="s">
        <v>86</v>
      </c>
      <c r="C946" s="44" t="s">
        <v>26</v>
      </c>
      <c r="D946" s="44" t="s">
        <v>271</v>
      </c>
      <c r="E946" s="44" t="s">
        <v>1035</v>
      </c>
      <c r="F946" s="44" t="s">
        <v>271</v>
      </c>
      <c r="G946" s="44" t="s">
        <v>2038</v>
      </c>
      <c r="H946" s="44" t="s">
        <v>1117</v>
      </c>
      <c r="I946" s="44" t="s">
        <v>1106</v>
      </c>
      <c r="J946" s="44">
        <v>152</v>
      </c>
      <c r="K946" s="44" t="s">
        <v>2039</v>
      </c>
      <c r="L946" s="44" t="s">
        <v>1768</v>
      </c>
      <c r="M946" s="44" t="s">
        <v>2033</v>
      </c>
      <c r="N946" s="45">
        <v>410803</v>
      </c>
      <c r="O946" s="46">
        <f t="shared" si="31"/>
        <v>410.803</v>
      </c>
      <c r="P946" s="47">
        <f>DGKC!E34</f>
        <v>410.803</v>
      </c>
      <c r="Q946" s="44" t="str">
        <f t="shared" si="30"/>
        <v>PASS</v>
      </c>
      <c r="R946" s="44" t="s">
        <v>1587</v>
      </c>
      <c r="S946" s="44"/>
    </row>
    <row r="947" spans="1:19" x14ac:dyDescent="0.3">
      <c r="A947" s="44" t="s">
        <v>2124</v>
      </c>
      <c r="B947" s="44" t="s">
        <v>86</v>
      </c>
      <c r="C947" s="44" t="s">
        <v>27</v>
      </c>
      <c r="D947" s="44" t="s">
        <v>271</v>
      </c>
      <c r="E947" s="44" t="s">
        <v>1035</v>
      </c>
      <c r="F947" s="44" t="s">
        <v>271</v>
      </c>
      <c r="G947" s="44" t="s">
        <v>2041</v>
      </c>
      <c r="H947" s="44" t="s">
        <v>1120</v>
      </c>
      <c r="I947" s="44" t="s">
        <v>1106</v>
      </c>
      <c r="J947" s="44">
        <v>152</v>
      </c>
      <c r="K947" s="44" t="s">
        <v>2039</v>
      </c>
      <c r="L947" s="44" t="s">
        <v>1768</v>
      </c>
      <c r="M947" s="44" t="s">
        <v>2033</v>
      </c>
      <c r="N947" s="45">
        <v>674972</v>
      </c>
      <c r="O947" s="46">
        <f t="shared" si="31"/>
        <v>674.97199999999998</v>
      </c>
      <c r="P947" s="47">
        <f>DGKC!F34</f>
        <v>674.97199999999998</v>
      </c>
      <c r="Q947" s="44" t="str">
        <f t="shared" si="30"/>
        <v>PASS</v>
      </c>
      <c r="R947" s="44" t="s">
        <v>1587</v>
      </c>
      <c r="S947" s="44"/>
    </row>
    <row r="948" spans="1:19" x14ac:dyDescent="0.3">
      <c r="A948" s="44" t="s">
        <v>2125</v>
      </c>
      <c r="B948" s="44" t="s">
        <v>86</v>
      </c>
      <c r="C948" s="44" t="s">
        <v>28</v>
      </c>
      <c r="D948" s="44" t="s">
        <v>271</v>
      </c>
      <c r="E948" s="44" t="s">
        <v>1035</v>
      </c>
      <c r="F948" s="44" t="s">
        <v>271</v>
      </c>
      <c r="G948" s="44" t="s">
        <v>2043</v>
      </c>
      <c r="H948" s="44" t="s">
        <v>1124</v>
      </c>
      <c r="I948" s="44" t="s">
        <v>1106</v>
      </c>
      <c r="J948" s="44">
        <v>154</v>
      </c>
      <c r="K948" s="44" t="s">
        <v>2044</v>
      </c>
      <c r="L948" s="44" t="s">
        <v>1768</v>
      </c>
      <c r="M948" s="44" t="s">
        <v>2033</v>
      </c>
      <c r="N948" s="45">
        <v>732168</v>
      </c>
      <c r="O948" s="46">
        <f t="shared" si="31"/>
        <v>732.16800000000001</v>
      </c>
      <c r="P948" s="47">
        <f>DGKC!G34</f>
        <v>732.16800000000001</v>
      </c>
      <c r="Q948" s="44" t="str">
        <f t="shared" si="30"/>
        <v>PASS</v>
      </c>
      <c r="R948" s="44" t="s">
        <v>1587</v>
      </c>
      <c r="S948" s="44"/>
    </row>
    <row r="949" spans="1:19" x14ac:dyDescent="0.3">
      <c r="A949" s="44" t="s">
        <v>2126</v>
      </c>
      <c r="B949" s="44" t="s">
        <v>86</v>
      </c>
      <c r="C949" s="44" t="s">
        <v>29</v>
      </c>
      <c r="D949" s="44" t="s">
        <v>271</v>
      </c>
      <c r="E949" s="44" t="s">
        <v>1035</v>
      </c>
      <c r="F949" s="44" t="s">
        <v>271</v>
      </c>
      <c r="G949" s="44" t="s">
        <v>2043</v>
      </c>
      <c r="H949" s="44" t="s">
        <v>1124</v>
      </c>
      <c r="I949" s="44" t="s">
        <v>1127</v>
      </c>
      <c r="J949" s="44">
        <v>154</v>
      </c>
      <c r="K949" s="44" t="s">
        <v>2044</v>
      </c>
      <c r="L949" s="44" t="s">
        <v>1768</v>
      </c>
      <c r="M949" s="44" t="s">
        <v>2033</v>
      </c>
      <c r="N949" s="45">
        <v>568832</v>
      </c>
      <c r="O949" s="46">
        <f t="shared" si="31"/>
        <v>568.83199999999999</v>
      </c>
      <c r="P949" s="47">
        <f>DGKC!H34</f>
        <v>568.83199999999999</v>
      </c>
      <c r="Q949" s="44" t="str">
        <f t="shared" si="30"/>
        <v>PASS</v>
      </c>
      <c r="R949" s="44" t="s">
        <v>1587</v>
      </c>
      <c r="S949" s="44"/>
    </row>
    <row r="950" spans="1:19" x14ac:dyDescent="0.3">
      <c r="A950" s="44" t="s">
        <v>2127</v>
      </c>
      <c r="B950" s="44" t="s">
        <v>86</v>
      </c>
      <c r="C950" s="44" t="s">
        <v>965</v>
      </c>
      <c r="D950" s="44" t="s">
        <v>273</v>
      </c>
      <c r="E950" s="44" t="s">
        <v>1035</v>
      </c>
      <c r="F950" s="44" t="s">
        <v>2128</v>
      </c>
      <c r="G950" s="44" t="s">
        <v>2031</v>
      </c>
      <c r="H950" s="44" t="s">
        <v>1105</v>
      </c>
      <c r="I950" s="44" t="s">
        <v>1106</v>
      </c>
      <c r="J950" s="44">
        <v>106</v>
      </c>
      <c r="K950" s="44" t="s">
        <v>2032</v>
      </c>
      <c r="L950" s="44"/>
      <c r="M950" s="44" t="s">
        <v>2033</v>
      </c>
      <c r="N950" s="45">
        <v>5755136</v>
      </c>
      <c r="O950" s="46">
        <f t="shared" si="31"/>
        <v>5755.1360000000004</v>
      </c>
      <c r="P950" s="47">
        <f>DGKC!C35</f>
        <v>5755.1360000000004</v>
      </c>
      <c r="Q950" s="44" t="str">
        <f t="shared" si="30"/>
        <v>PASS</v>
      </c>
      <c r="R950" s="44" t="s">
        <v>1587</v>
      </c>
      <c r="S950" s="44"/>
    </row>
    <row r="951" spans="1:19" x14ac:dyDescent="0.3">
      <c r="A951" s="44" t="s">
        <v>2129</v>
      </c>
      <c r="B951" s="44" t="s">
        <v>86</v>
      </c>
      <c r="C951" s="44" t="s">
        <v>20</v>
      </c>
      <c r="D951" s="44" t="s">
        <v>273</v>
      </c>
      <c r="E951" s="44" t="s">
        <v>1035</v>
      </c>
      <c r="F951" s="44" t="s">
        <v>2128</v>
      </c>
      <c r="G951" s="44" t="s">
        <v>2035</v>
      </c>
      <c r="H951" s="44" t="s">
        <v>1113</v>
      </c>
      <c r="I951" s="44" t="s">
        <v>1106</v>
      </c>
      <c r="J951" s="44">
        <v>126</v>
      </c>
      <c r="K951" s="44" t="s">
        <v>2036</v>
      </c>
      <c r="L951" s="44"/>
      <c r="M951" s="44" t="s">
        <v>2033</v>
      </c>
      <c r="N951" s="45">
        <v>5813923</v>
      </c>
      <c r="O951" s="46">
        <f t="shared" si="31"/>
        <v>5813.9229999999998</v>
      </c>
      <c r="P951" s="47">
        <f>DGKC!D35</f>
        <v>5813.9229999999998</v>
      </c>
      <c r="Q951" s="44" t="str">
        <f t="shared" si="30"/>
        <v>PASS</v>
      </c>
      <c r="R951" s="44" t="s">
        <v>1587</v>
      </c>
      <c r="S951" s="44"/>
    </row>
    <row r="952" spans="1:19" x14ac:dyDescent="0.3">
      <c r="A952" s="44" t="s">
        <v>2130</v>
      </c>
      <c r="B952" s="44" t="s">
        <v>86</v>
      </c>
      <c r="C952" s="44" t="s">
        <v>26</v>
      </c>
      <c r="D952" s="44" t="s">
        <v>273</v>
      </c>
      <c r="E952" s="44" t="s">
        <v>1035</v>
      </c>
      <c r="F952" s="44" t="s">
        <v>2131</v>
      </c>
      <c r="G952" s="44" t="s">
        <v>2038</v>
      </c>
      <c r="H952" s="44" t="s">
        <v>1117</v>
      </c>
      <c r="I952" s="44" t="s">
        <v>1106</v>
      </c>
      <c r="J952" s="44">
        <v>152</v>
      </c>
      <c r="K952" s="44" t="s">
        <v>2039</v>
      </c>
      <c r="L952" s="44"/>
      <c r="M952" s="44" t="s">
        <v>2033</v>
      </c>
      <c r="N952" s="45">
        <v>6176679</v>
      </c>
      <c r="O952" s="46">
        <f t="shared" si="31"/>
        <v>6176.6790000000001</v>
      </c>
      <c r="P952" s="47">
        <f>DGKC!E35</f>
        <v>6176.6790000000001</v>
      </c>
      <c r="Q952" s="44" t="str">
        <f t="shared" si="30"/>
        <v>PASS</v>
      </c>
      <c r="R952" s="44" t="s">
        <v>1587</v>
      </c>
      <c r="S952" s="44"/>
    </row>
    <row r="953" spans="1:19" x14ac:dyDescent="0.3">
      <c r="A953" s="44" t="s">
        <v>2132</v>
      </c>
      <c r="B953" s="44" t="s">
        <v>86</v>
      </c>
      <c r="C953" s="44" t="s">
        <v>27</v>
      </c>
      <c r="D953" s="44" t="s">
        <v>273</v>
      </c>
      <c r="E953" s="44" t="s">
        <v>1035</v>
      </c>
      <c r="F953" s="44" t="s">
        <v>2131</v>
      </c>
      <c r="G953" s="44" t="s">
        <v>2041</v>
      </c>
      <c r="H953" s="44" t="s">
        <v>1120</v>
      </c>
      <c r="I953" s="44" t="s">
        <v>1106</v>
      </c>
      <c r="J953" s="44">
        <v>152</v>
      </c>
      <c r="K953" s="44" t="s">
        <v>2039</v>
      </c>
      <c r="L953" s="44"/>
      <c r="M953" s="44" t="s">
        <v>2033</v>
      </c>
      <c r="N953" s="45">
        <v>5162181</v>
      </c>
      <c r="O953" s="46">
        <f t="shared" si="31"/>
        <v>5162.1809999999996</v>
      </c>
      <c r="P953" s="47">
        <f>DGKC!F35</f>
        <v>5162.1809999999996</v>
      </c>
      <c r="Q953" s="44" t="str">
        <f t="shared" si="30"/>
        <v>PASS</v>
      </c>
      <c r="R953" s="44" t="s">
        <v>1587</v>
      </c>
      <c r="S953" s="44"/>
    </row>
    <row r="954" spans="1:19" x14ac:dyDescent="0.3">
      <c r="A954" s="44" t="s">
        <v>2133</v>
      </c>
      <c r="B954" s="44" t="s">
        <v>86</v>
      </c>
      <c r="C954" s="44" t="s">
        <v>28</v>
      </c>
      <c r="D954" s="44" t="s">
        <v>273</v>
      </c>
      <c r="E954" s="44" t="s">
        <v>1035</v>
      </c>
      <c r="F954" s="44" t="s">
        <v>2131</v>
      </c>
      <c r="G954" s="44" t="s">
        <v>2043</v>
      </c>
      <c r="H954" s="44" t="s">
        <v>1124</v>
      </c>
      <c r="I954" s="44" t="s">
        <v>1106</v>
      </c>
      <c r="J954" s="44">
        <v>154</v>
      </c>
      <c r="K954" s="44" t="s">
        <v>2044</v>
      </c>
      <c r="L954" s="44"/>
      <c r="M954" s="44" t="s">
        <v>2033</v>
      </c>
      <c r="N954" s="45">
        <v>1544888</v>
      </c>
      <c r="O954" s="46">
        <f t="shared" si="31"/>
        <v>1544.8879999999999</v>
      </c>
      <c r="P954" s="47">
        <f>DGKC!G35</f>
        <v>1544.8879999999999</v>
      </c>
      <c r="Q954" s="44" t="str">
        <f t="shared" si="30"/>
        <v>PASS</v>
      </c>
      <c r="R954" s="44" t="s">
        <v>1587</v>
      </c>
      <c r="S954" s="44"/>
    </row>
    <row r="955" spans="1:19" x14ac:dyDescent="0.3">
      <c r="A955" s="44" t="s">
        <v>2134</v>
      </c>
      <c r="B955" s="44" t="s">
        <v>86</v>
      </c>
      <c r="C955" s="44" t="s">
        <v>29</v>
      </c>
      <c r="D955" s="44" t="s">
        <v>273</v>
      </c>
      <c r="E955" s="44" t="s">
        <v>1035</v>
      </c>
      <c r="F955" s="44" t="s">
        <v>2131</v>
      </c>
      <c r="G955" s="44" t="s">
        <v>2043</v>
      </c>
      <c r="H955" s="44" t="s">
        <v>1124</v>
      </c>
      <c r="I955" s="44" t="s">
        <v>1127</v>
      </c>
      <c r="J955" s="44">
        <v>154</v>
      </c>
      <c r="K955" s="44" t="s">
        <v>2044</v>
      </c>
      <c r="L955" s="44"/>
      <c r="M955" s="44" t="s">
        <v>2033</v>
      </c>
      <c r="N955" s="45">
        <v>1345673</v>
      </c>
      <c r="O955" s="46">
        <f t="shared" si="31"/>
        <v>1345.673</v>
      </c>
      <c r="P955" s="47">
        <f>DGKC!H35</f>
        <v>1345.673</v>
      </c>
      <c r="Q955" s="44" t="str">
        <f t="shared" si="30"/>
        <v>PASS</v>
      </c>
      <c r="R955" s="44" t="s">
        <v>1587</v>
      </c>
      <c r="S955" s="44"/>
    </row>
    <row r="956" spans="1:19" x14ac:dyDescent="0.3">
      <c r="A956" s="44" t="s">
        <v>2135</v>
      </c>
      <c r="B956" s="44" t="s">
        <v>86</v>
      </c>
      <c r="C956" s="44" t="s">
        <v>965</v>
      </c>
      <c r="D956" s="44" t="s">
        <v>280</v>
      </c>
      <c r="E956" s="44" t="s">
        <v>1035</v>
      </c>
      <c r="F956" s="44" t="s">
        <v>2136</v>
      </c>
      <c r="G956" s="44" t="s">
        <v>2031</v>
      </c>
      <c r="H956" s="44" t="s">
        <v>1105</v>
      </c>
      <c r="I956" s="44" t="s">
        <v>1106</v>
      </c>
      <c r="J956" s="44">
        <v>105</v>
      </c>
      <c r="K956" s="44" t="s">
        <v>2058</v>
      </c>
      <c r="L956" s="44" t="s">
        <v>1585</v>
      </c>
      <c r="M956" s="44" t="s">
        <v>2033</v>
      </c>
      <c r="N956" s="45">
        <v>4381191</v>
      </c>
      <c r="O956" s="46">
        <f t="shared" si="31"/>
        <v>4381.1909999999998</v>
      </c>
      <c r="P956" s="47">
        <f>DGKC!C39</f>
        <v>4381.1909999999998</v>
      </c>
      <c r="Q956" s="44" t="str">
        <f t="shared" ref="Q956:Q1019" si="32">IF(ABS(O956-P956)&lt;0.000001,"PASS","FAIL")</f>
        <v>PASS</v>
      </c>
      <c r="R956" s="44" t="s">
        <v>1587</v>
      </c>
      <c r="S956" s="44"/>
    </row>
    <row r="957" spans="1:19" x14ac:dyDescent="0.3">
      <c r="A957" s="44" t="s">
        <v>2137</v>
      </c>
      <c r="B957" s="44" t="s">
        <v>86</v>
      </c>
      <c r="C957" s="44" t="s">
        <v>20</v>
      </c>
      <c r="D957" s="44" t="s">
        <v>280</v>
      </c>
      <c r="E957" s="44" t="s">
        <v>1035</v>
      </c>
      <c r="F957" s="44" t="s">
        <v>2136</v>
      </c>
      <c r="G957" s="44" t="s">
        <v>2035</v>
      </c>
      <c r="H957" s="44" t="s">
        <v>1113</v>
      </c>
      <c r="I957" s="44" t="s">
        <v>1106</v>
      </c>
      <c r="J957" s="44">
        <v>125</v>
      </c>
      <c r="K957" s="44" t="s">
        <v>2060</v>
      </c>
      <c r="L957" s="44" t="s">
        <v>1585</v>
      </c>
      <c r="M957" s="44" t="s">
        <v>2033</v>
      </c>
      <c r="N957" s="45">
        <v>4381191</v>
      </c>
      <c r="O957" s="46">
        <f t="shared" si="31"/>
        <v>4381.1909999999998</v>
      </c>
      <c r="P957" s="47">
        <f>DGKC!D39</f>
        <v>4381.1909999999998</v>
      </c>
      <c r="Q957" s="44" t="str">
        <f t="shared" si="32"/>
        <v>PASS</v>
      </c>
      <c r="R957" s="44" t="s">
        <v>1587</v>
      </c>
      <c r="S957" s="44"/>
    </row>
    <row r="958" spans="1:19" x14ac:dyDescent="0.3">
      <c r="A958" s="44" t="s">
        <v>2138</v>
      </c>
      <c r="B958" s="44" t="s">
        <v>86</v>
      </c>
      <c r="C958" s="44" t="s">
        <v>26</v>
      </c>
      <c r="D958" s="44" t="s">
        <v>280</v>
      </c>
      <c r="E958" s="44" t="s">
        <v>1035</v>
      </c>
      <c r="F958" s="44" t="s">
        <v>2136</v>
      </c>
      <c r="G958" s="44" t="s">
        <v>2038</v>
      </c>
      <c r="H958" s="44" t="s">
        <v>1117</v>
      </c>
      <c r="I958" s="44" t="s">
        <v>1106</v>
      </c>
      <c r="J958" s="44">
        <v>151</v>
      </c>
      <c r="K958" s="44" t="s">
        <v>2062</v>
      </c>
      <c r="L958" s="44" t="s">
        <v>1585</v>
      </c>
      <c r="M958" s="44" t="s">
        <v>2033</v>
      </c>
      <c r="N958" s="45">
        <v>4381191</v>
      </c>
      <c r="O958" s="46">
        <f t="shared" si="31"/>
        <v>4381.1909999999998</v>
      </c>
      <c r="P958" s="47">
        <f>DGKC!E39</f>
        <v>4381.1909999999998</v>
      </c>
      <c r="Q958" s="44" t="str">
        <f t="shared" si="32"/>
        <v>PASS</v>
      </c>
      <c r="R958" s="44" t="s">
        <v>1587</v>
      </c>
      <c r="S958" s="44"/>
    </row>
    <row r="959" spans="1:19" x14ac:dyDescent="0.3">
      <c r="A959" s="44" t="s">
        <v>2139</v>
      </c>
      <c r="B959" s="44" t="s">
        <v>86</v>
      </c>
      <c r="C959" s="44" t="s">
        <v>27</v>
      </c>
      <c r="D959" s="44" t="s">
        <v>280</v>
      </c>
      <c r="E959" s="44" t="s">
        <v>1035</v>
      </c>
      <c r="F959" s="44" t="s">
        <v>2136</v>
      </c>
      <c r="G959" s="44" t="s">
        <v>2041</v>
      </c>
      <c r="H959" s="44" t="s">
        <v>1120</v>
      </c>
      <c r="I959" s="44" t="s">
        <v>1106</v>
      </c>
      <c r="J959" s="44">
        <v>151</v>
      </c>
      <c r="K959" s="44" t="s">
        <v>2062</v>
      </c>
      <c r="L959" s="44" t="s">
        <v>1585</v>
      </c>
      <c r="M959" s="44" t="s">
        <v>2033</v>
      </c>
      <c r="N959" s="45">
        <v>4381191</v>
      </c>
      <c r="O959" s="46">
        <f t="shared" si="31"/>
        <v>4381.1909999999998</v>
      </c>
      <c r="P959" s="47">
        <f>DGKC!F39</f>
        <v>4381.1909999999998</v>
      </c>
      <c r="Q959" s="44" t="str">
        <f t="shared" si="32"/>
        <v>PASS</v>
      </c>
      <c r="R959" s="44" t="s">
        <v>1587</v>
      </c>
      <c r="S959" s="44"/>
    </row>
    <row r="960" spans="1:19" x14ac:dyDescent="0.3">
      <c r="A960" s="44" t="s">
        <v>2140</v>
      </c>
      <c r="B960" s="44" t="s">
        <v>86</v>
      </c>
      <c r="C960" s="44" t="s">
        <v>28</v>
      </c>
      <c r="D960" s="44" t="s">
        <v>280</v>
      </c>
      <c r="E960" s="44" t="s">
        <v>1035</v>
      </c>
      <c r="F960" s="44" t="s">
        <v>2136</v>
      </c>
      <c r="G960" s="44" t="s">
        <v>2043</v>
      </c>
      <c r="H960" s="44" t="s">
        <v>1124</v>
      </c>
      <c r="I960" s="44" t="s">
        <v>1106</v>
      </c>
      <c r="J960" s="44">
        <v>153</v>
      </c>
      <c r="K960" s="44" t="s">
        <v>2065</v>
      </c>
      <c r="L960" s="44" t="s">
        <v>1585</v>
      </c>
      <c r="M960" s="44" t="s">
        <v>2033</v>
      </c>
      <c r="N960" s="45">
        <v>4381191</v>
      </c>
      <c r="O960" s="46">
        <f t="shared" si="31"/>
        <v>4381.1909999999998</v>
      </c>
      <c r="P960" s="47">
        <f>DGKC!G39</f>
        <v>4381.1909999999998</v>
      </c>
      <c r="Q960" s="44" t="str">
        <f t="shared" si="32"/>
        <v>PASS</v>
      </c>
      <c r="R960" s="44" t="s">
        <v>1587</v>
      </c>
      <c r="S960" s="44"/>
    </row>
    <row r="961" spans="1:19" x14ac:dyDescent="0.3">
      <c r="A961" s="44" t="s">
        <v>2141</v>
      </c>
      <c r="B961" s="44" t="s">
        <v>86</v>
      </c>
      <c r="C961" s="44" t="s">
        <v>29</v>
      </c>
      <c r="D961" s="44" t="s">
        <v>280</v>
      </c>
      <c r="E961" s="44" t="s">
        <v>1035</v>
      </c>
      <c r="F961" s="44" t="s">
        <v>2136</v>
      </c>
      <c r="G961" s="44" t="s">
        <v>2043</v>
      </c>
      <c r="H961" s="44" t="s">
        <v>1124</v>
      </c>
      <c r="I961" s="44" t="s">
        <v>1127</v>
      </c>
      <c r="J961" s="44">
        <v>153</v>
      </c>
      <c r="K961" s="44" t="s">
        <v>2065</v>
      </c>
      <c r="L961" s="44" t="s">
        <v>1585</v>
      </c>
      <c r="M961" s="44" t="s">
        <v>2033</v>
      </c>
      <c r="N961" s="45">
        <v>4381191</v>
      </c>
      <c r="O961" s="46">
        <f t="shared" si="31"/>
        <v>4381.1909999999998</v>
      </c>
      <c r="P961" s="47">
        <f>DGKC!H39</f>
        <v>4381.1909999999998</v>
      </c>
      <c r="Q961" s="44" t="str">
        <f t="shared" si="32"/>
        <v>PASS</v>
      </c>
      <c r="R961" s="44" t="s">
        <v>1587</v>
      </c>
      <c r="S961" s="44"/>
    </row>
    <row r="962" spans="1:19" x14ac:dyDescent="0.3">
      <c r="A962" s="44" t="s">
        <v>2142</v>
      </c>
      <c r="B962" s="44" t="s">
        <v>86</v>
      </c>
      <c r="C962" s="44" t="s">
        <v>965</v>
      </c>
      <c r="D962" s="44" t="s">
        <v>282</v>
      </c>
      <c r="E962" s="44" t="s">
        <v>1035</v>
      </c>
      <c r="F962" s="44" t="s">
        <v>2143</v>
      </c>
      <c r="G962" s="44" t="s">
        <v>2031</v>
      </c>
      <c r="H962" s="44" t="s">
        <v>1105</v>
      </c>
      <c r="I962" s="44" t="s">
        <v>1106</v>
      </c>
      <c r="J962" s="44">
        <v>105</v>
      </c>
      <c r="K962" s="44" t="s">
        <v>2058</v>
      </c>
      <c r="L962" s="44" t="s">
        <v>1241</v>
      </c>
      <c r="M962" s="44" t="s">
        <v>2033</v>
      </c>
      <c r="N962" s="45">
        <v>62262966</v>
      </c>
      <c r="O962" s="46">
        <f t="shared" si="31"/>
        <v>62262.966</v>
      </c>
      <c r="P962" s="47">
        <f>DGKC!C40</f>
        <v>62262.966</v>
      </c>
      <c r="Q962" s="44" t="str">
        <f t="shared" si="32"/>
        <v>PASS</v>
      </c>
      <c r="R962" s="44" t="s">
        <v>1587</v>
      </c>
      <c r="S962" s="44"/>
    </row>
    <row r="963" spans="1:19" x14ac:dyDescent="0.3">
      <c r="A963" s="44" t="s">
        <v>2144</v>
      </c>
      <c r="B963" s="44" t="s">
        <v>86</v>
      </c>
      <c r="C963" s="44" t="s">
        <v>20</v>
      </c>
      <c r="D963" s="44" t="s">
        <v>282</v>
      </c>
      <c r="E963" s="44" t="s">
        <v>1035</v>
      </c>
      <c r="F963" s="44" t="s">
        <v>2143</v>
      </c>
      <c r="G963" s="44" t="s">
        <v>2035</v>
      </c>
      <c r="H963" s="44" t="s">
        <v>1113</v>
      </c>
      <c r="I963" s="44" t="s">
        <v>1106</v>
      </c>
      <c r="J963" s="44">
        <v>125</v>
      </c>
      <c r="K963" s="44" t="s">
        <v>2060</v>
      </c>
      <c r="L963" s="44" t="s">
        <v>1241</v>
      </c>
      <c r="M963" s="44" t="s">
        <v>2033</v>
      </c>
      <c r="N963" s="45">
        <v>69096682</v>
      </c>
      <c r="O963" s="46">
        <f t="shared" si="31"/>
        <v>69096.682000000001</v>
      </c>
      <c r="P963" s="47">
        <f>DGKC!D40</f>
        <v>69096.682000000001</v>
      </c>
      <c r="Q963" s="44" t="str">
        <f t="shared" si="32"/>
        <v>PASS</v>
      </c>
      <c r="R963" s="44" t="s">
        <v>1587</v>
      </c>
      <c r="S963" s="44"/>
    </row>
    <row r="964" spans="1:19" x14ac:dyDescent="0.3">
      <c r="A964" s="44" t="s">
        <v>2145</v>
      </c>
      <c r="B964" s="44" t="s">
        <v>86</v>
      </c>
      <c r="C964" s="44" t="s">
        <v>26</v>
      </c>
      <c r="D964" s="44" t="s">
        <v>282</v>
      </c>
      <c r="E964" s="44" t="s">
        <v>1035</v>
      </c>
      <c r="F964" s="44" t="s">
        <v>2143</v>
      </c>
      <c r="G964" s="44" t="s">
        <v>2038</v>
      </c>
      <c r="H964" s="44" t="s">
        <v>1117</v>
      </c>
      <c r="I964" s="44" t="s">
        <v>1106</v>
      </c>
      <c r="J964" s="44">
        <v>151</v>
      </c>
      <c r="K964" s="44" t="s">
        <v>2062</v>
      </c>
      <c r="L964" s="44" t="s">
        <v>1241</v>
      </c>
      <c r="M964" s="44" t="s">
        <v>2033</v>
      </c>
      <c r="N964" s="45">
        <v>65536911</v>
      </c>
      <c r="O964" s="46">
        <f t="shared" si="31"/>
        <v>65536.910999999993</v>
      </c>
      <c r="P964" s="47">
        <f>DGKC!E40</f>
        <v>65536.910999999993</v>
      </c>
      <c r="Q964" s="44" t="str">
        <f t="shared" si="32"/>
        <v>PASS</v>
      </c>
      <c r="R964" s="44" t="s">
        <v>1587</v>
      </c>
      <c r="S964" s="44"/>
    </row>
    <row r="965" spans="1:19" x14ac:dyDescent="0.3">
      <c r="A965" s="44" t="s">
        <v>2146</v>
      </c>
      <c r="B965" s="44" t="s">
        <v>86</v>
      </c>
      <c r="C965" s="44" t="s">
        <v>27</v>
      </c>
      <c r="D965" s="44" t="s">
        <v>282</v>
      </c>
      <c r="E965" s="44" t="s">
        <v>1035</v>
      </c>
      <c r="F965" s="44" t="s">
        <v>2143</v>
      </c>
      <c r="G965" s="44" t="s">
        <v>2041</v>
      </c>
      <c r="H965" s="44" t="s">
        <v>1120</v>
      </c>
      <c r="I965" s="44" t="s">
        <v>1106</v>
      </c>
      <c r="J965" s="44">
        <v>151</v>
      </c>
      <c r="K965" s="44" t="s">
        <v>2062</v>
      </c>
      <c r="L965" s="44" t="s">
        <v>1241</v>
      </c>
      <c r="M965" s="44" t="s">
        <v>2033</v>
      </c>
      <c r="N965" s="45">
        <v>59811086</v>
      </c>
      <c r="O965" s="46">
        <f t="shared" si="31"/>
        <v>59811.086000000003</v>
      </c>
      <c r="P965" s="47">
        <f>DGKC!F40</f>
        <v>59811.086000000003</v>
      </c>
      <c r="Q965" s="44" t="str">
        <f t="shared" si="32"/>
        <v>PASS</v>
      </c>
      <c r="R965" s="44" t="s">
        <v>1587</v>
      </c>
      <c r="S965" s="44"/>
    </row>
    <row r="966" spans="1:19" x14ac:dyDescent="0.3">
      <c r="A966" s="44" t="s">
        <v>2147</v>
      </c>
      <c r="B966" s="44" t="s">
        <v>86</v>
      </c>
      <c r="C966" s="44" t="s">
        <v>28</v>
      </c>
      <c r="D966" s="44" t="s">
        <v>282</v>
      </c>
      <c r="E966" s="44" t="s">
        <v>1035</v>
      </c>
      <c r="F966" s="44" t="s">
        <v>2143</v>
      </c>
      <c r="G966" s="44" t="s">
        <v>2043</v>
      </c>
      <c r="H966" s="44" t="s">
        <v>1124</v>
      </c>
      <c r="I966" s="44" t="s">
        <v>1106</v>
      </c>
      <c r="J966" s="44">
        <v>153</v>
      </c>
      <c r="K966" s="44" t="s">
        <v>2065</v>
      </c>
      <c r="L966" s="44" t="s">
        <v>1241</v>
      </c>
      <c r="M966" s="44" t="s">
        <v>2033</v>
      </c>
      <c r="N966" s="45">
        <v>71466347</v>
      </c>
      <c r="O966" s="46">
        <f t="shared" si="31"/>
        <v>71466.346999999994</v>
      </c>
      <c r="P966" s="47">
        <f>DGKC!G40</f>
        <v>71466.346999999994</v>
      </c>
      <c r="Q966" s="44" t="str">
        <f t="shared" si="32"/>
        <v>PASS</v>
      </c>
      <c r="R966" s="44" t="s">
        <v>1587</v>
      </c>
      <c r="S966" s="44"/>
    </row>
    <row r="967" spans="1:19" x14ac:dyDescent="0.3">
      <c r="A967" s="44" t="s">
        <v>2148</v>
      </c>
      <c r="B967" s="44" t="s">
        <v>86</v>
      </c>
      <c r="C967" s="44" t="s">
        <v>29</v>
      </c>
      <c r="D967" s="44" t="s">
        <v>282</v>
      </c>
      <c r="E967" s="44" t="s">
        <v>1035</v>
      </c>
      <c r="F967" s="44" t="s">
        <v>2143</v>
      </c>
      <c r="G967" s="44" t="s">
        <v>2043</v>
      </c>
      <c r="H967" s="44" t="s">
        <v>1124</v>
      </c>
      <c r="I967" s="44" t="s">
        <v>1127</v>
      </c>
      <c r="J967" s="44">
        <v>153</v>
      </c>
      <c r="K967" s="44" t="s">
        <v>2065</v>
      </c>
      <c r="L967" s="44" t="s">
        <v>1241</v>
      </c>
      <c r="M967" s="44" t="s">
        <v>2033</v>
      </c>
      <c r="N967" s="45">
        <v>90286287</v>
      </c>
      <c r="O967" s="46">
        <f t="shared" si="31"/>
        <v>90286.286999999997</v>
      </c>
      <c r="P967" s="47">
        <f>DGKC!H40</f>
        <v>90286.286999999997</v>
      </c>
      <c r="Q967" s="44" t="str">
        <f t="shared" si="32"/>
        <v>PASS</v>
      </c>
      <c r="R967" s="44" t="s">
        <v>1587</v>
      </c>
      <c r="S967" s="44"/>
    </row>
    <row r="968" spans="1:19" x14ac:dyDescent="0.3">
      <c r="A968" s="44" t="s">
        <v>2149</v>
      </c>
      <c r="B968" s="44" t="s">
        <v>86</v>
      </c>
      <c r="C968" s="44" t="s">
        <v>965</v>
      </c>
      <c r="D968" s="44" t="s">
        <v>287</v>
      </c>
      <c r="E968" s="44" t="s">
        <v>1035</v>
      </c>
      <c r="F968" s="44" t="s">
        <v>2150</v>
      </c>
      <c r="G968" s="44" t="s">
        <v>2031</v>
      </c>
      <c r="H968" s="44" t="s">
        <v>1105</v>
      </c>
      <c r="I968" s="44" t="s">
        <v>1106</v>
      </c>
      <c r="J968" s="44">
        <v>105</v>
      </c>
      <c r="K968" s="44" t="s">
        <v>2058</v>
      </c>
      <c r="L968" s="44" t="s">
        <v>1630</v>
      </c>
      <c r="M968" s="44" t="s">
        <v>2033</v>
      </c>
      <c r="N968" s="45">
        <v>21972000</v>
      </c>
      <c r="O968" s="46">
        <f t="shared" si="31"/>
        <v>21972</v>
      </c>
      <c r="P968" s="47">
        <f>DGKC!C43</f>
        <v>21972</v>
      </c>
      <c r="Q968" s="44" t="str">
        <f t="shared" si="32"/>
        <v>PASS</v>
      </c>
      <c r="R968" s="44" t="s">
        <v>1587</v>
      </c>
      <c r="S968" s="44"/>
    </row>
    <row r="969" spans="1:19" x14ac:dyDescent="0.3">
      <c r="A969" s="44" t="s">
        <v>2151</v>
      </c>
      <c r="B969" s="44" t="s">
        <v>86</v>
      </c>
      <c r="C969" s="44" t="s">
        <v>20</v>
      </c>
      <c r="D969" s="44" t="s">
        <v>287</v>
      </c>
      <c r="E969" s="44" t="s">
        <v>1035</v>
      </c>
      <c r="F969" s="44" t="s">
        <v>2152</v>
      </c>
      <c r="G969" s="44" t="s">
        <v>2035</v>
      </c>
      <c r="H969" s="44" t="s">
        <v>1113</v>
      </c>
      <c r="I969" s="44" t="s">
        <v>1106</v>
      </c>
      <c r="J969" s="44">
        <v>125</v>
      </c>
      <c r="K969" s="44" t="s">
        <v>2060</v>
      </c>
      <c r="L969" s="44" t="s">
        <v>1630</v>
      </c>
      <c r="M969" s="44" t="s">
        <v>2033</v>
      </c>
      <c r="N969" s="45">
        <v>19300064</v>
      </c>
      <c r="O969" s="46">
        <f t="shared" si="31"/>
        <v>19300.063999999998</v>
      </c>
      <c r="P969" s="47">
        <f>DGKC!D43</f>
        <v>19300.063999999998</v>
      </c>
      <c r="Q969" s="44" t="str">
        <f t="shared" si="32"/>
        <v>PASS</v>
      </c>
      <c r="R969" s="44" t="s">
        <v>1587</v>
      </c>
      <c r="S969" s="44"/>
    </row>
    <row r="970" spans="1:19" x14ac:dyDescent="0.3">
      <c r="A970" s="44" t="s">
        <v>2153</v>
      </c>
      <c r="B970" s="44" t="s">
        <v>86</v>
      </c>
      <c r="C970" s="44" t="s">
        <v>26</v>
      </c>
      <c r="D970" s="44" t="s">
        <v>287</v>
      </c>
      <c r="E970" s="44" t="s">
        <v>1035</v>
      </c>
      <c r="F970" s="44" t="s">
        <v>2152</v>
      </c>
      <c r="G970" s="44" t="s">
        <v>2038</v>
      </c>
      <c r="H970" s="44" t="s">
        <v>1117</v>
      </c>
      <c r="I970" s="44" t="s">
        <v>1106</v>
      </c>
      <c r="J970" s="44">
        <v>151</v>
      </c>
      <c r="K970" s="44" t="s">
        <v>2062</v>
      </c>
      <c r="L970" s="44" t="s">
        <v>1630</v>
      </c>
      <c r="M970" s="44" t="s">
        <v>2033</v>
      </c>
      <c r="N970" s="45">
        <v>14168229</v>
      </c>
      <c r="O970" s="46">
        <f t="shared" si="31"/>
        <v>14168.228999999999</v>
      </c>
      <c r="P970" s="47">
        <f>DGKC!E43</f>
        <v>14168.228999999999</v>
      </c>
      <c r="Q970" s="44" t="str">
        <f t="shared" si="32"/>
        <v>PASS</v>
      </c>
      <c r="R970" s="44" t="s">
        <v>1587</v>
      </c>
      <c r="S970" s="44"/>
    </row>
    <row r="971" spans="1:19" x14ac:dyDescent="0.3">
      <c r="A971" s="44" t="s">
        <v>2154</v>
      </c>
      <c r="B971" s="44" t="s">
        <v>86</v>
      </c>
      <c r="C971" s="44" t="s">
        <v>27</v>
      </c>
      <c r="D971" s="44" t="s">
        <v>287</v>
      </c>
      <c r="E971" s="44" t="s">
        <v>1035</v>
      </c>
      <c r="F971" s="44" t="s">
        <v>2152</v>
      </c>
      <c r="G971" s="44" t="s">
        <v>2041</v>
      </c>
      <c r="H971" s="44" t="s">
        <v>1120</v>
      </c>
      <c r="I971" s="44" t="s">
        <v>1106</v>
      </c>
      <c r="J971" s="44">
        <v>151</v>
      </c>
      <c r="K971" s="44" t="s">
        <v>2062</v>
      </c>
      <c r="L971" s="44" t="s">
        <v>1630</v>
      </c>
      <c r="M971" s="44" t="s">
        <v>2033</v>
      </c>
      <c r="N971" s="45">
        <v>9663619</v>
      </c>
      <c r="O971" s="46">
        <f t="shared" si="31"/>
        <v>9663.6190000000006</v>
      </c>
      <c r="P971" s="47">
        <f>DGKC!F43</f>
        <v>9663.6190000000006</v>
      </c>
      <c r="Q971" s="44" t="str">
        <f t="shared" si="32"/>
        <v>PASS</v>
      </c>
      <c r="R971" s="44" t="s">
        <v>1587</v>
      </c>
      <c r="S971" s="44"/>
    </row>
    <row r="972" spans="1:19" x14ac:dyDescent="0.3">
      <c r="A972" s="44" t="s">
        <v>2155</v>
      </c>
      <c r="B972" s="44" t="s">
        <v>86</v>
      </c>
      <c r="C972" s="44" t="s">
        <v>28</v>
      </c>
      <c r="D972" s="44" t="s">
        <v>287</v>
      </c>
      <c r="E972" s="44" t="s">
        <v>1035</v>
      </c>
      <c r="F972" s="44" t="s">
        <v>2152</v>
      </c>
      <c r="G972" s="44" t="s">
        <v>2043</v>
      </c>
      <c r="H972" s="44" t="s">
        <v>1124</v>
      </c>
      <c r="I972" s="44" t="s">
        <v>1106</v>
      </c>
      <c r="J972" s="44">
        <v>153</v>
      </c>
      <c r="K972" s="44" t="s">
        <v>2065</v>
      </c>
      <c r="L972" s="44" t="s">
        <v>1630</v>
      </c>
      <c r="M972" s="44" t="s">
        <v>2033</v>
      </c>
      <c r="N972" s="45">
        <v>15965116</v>
      </c>
      <c r="O972" s="46">
        <f t="shared" si="31"/>
        <v>15965.116</v>
      </c>
      <c r="P972" s="47">
        <f>DGKC!G43</f>
        <v>15965.116</v>
      </c>
      <c r="Q972" s="44" t="str">
        <f t="shared" si="32"/>
        <v>PASS</v>
      </c>
      <c r="R972" s="44" t="s">
        <v>1587</v>
      </c>
      <c r="S972" s="44"/>
    </row>
    <row r="973" spans="1:19" x14ac:dyDescent="0.3">
      <c r="A973" s="44" t="s">
        <v>2156</v>
      </c>
      <c r="B973" s="44" t="s">
        <v>86</v>
      </c>
      <c r="C973" s="44" t="s">
        <v>29</v>
      </c>
      <c r="D973" s="44" t="s">
        <v>287</v>
      </c>
      <c r="E973" s="44" t="s">
        <v>1035</v>
      </c>
      <c r="F973" s="44" t="s">
        <v>2152</v>
      </c>
      <c r="G973" s="44" t="s">
        <v>2043</v>
      </c>
      <c r="H973" s="44" t="s">
        <v>1124</v>
      </c>
      <c r="I973" s="44" t="s">
        <v>1127</v>
      </c>
      <c r="J973" s="44">
        <v>153</v>
      </c>
      <c r="K973" s="44" t="s">
        <v>2065</v>
      </c>
      <c r="L973" s="44" t="s">
        <v>1630</v>
      </c>
      <c r="M973" s="44" t="s">
        <v>2033</v>
      </c>
      <c r="N973" s="45">
        <v>10093829</v>
      </c>
      <c r="O973" s="46">
        <f t="shared" si="31"/>
        <v>10093.829</v>
      </c>
      <c r="P973" s="47">
        <f>DGKC!H43</f>
        <v>10093.829</v>
      </c>
      <c r="Q973" s="44" t="str">
        <f t="shared" si="32"/>
        <v>PASS</v>
      </c>
      <c r="R973" s="44" t="s">
        <v>1587</v>
      </c>
      <c r="S973" s="44"/>
    </row>
    <row r="974" spans="1:19" x14ac:dyDescent="0.3">
      <c r="A974" s="44" t="s">
        <v>2157</v>
      </c>
      <c r="B974" s="44" t="s">
        <v>86</v>
      </c>
      <c r="C974" s="44" t="s">
        <v>965</v>
      </c>
      <c r="D974" s="44" t="s">
        <v>289</v>
      </c>
      <c r="E974" s="44" t="s">
        <v>1035</v>
      </c>
      <c r="F974" s="44"/>
      <c r="G974" s="44" t="s">
        <v>2031</v>
      </c>
      <c r="H974" s="44" t="s">
        <v>1105</v>
      </c>
      <c r="I974" s="44" t="s">
        <v>1106</v>
      </c>
      <c r="J974" s="44">
        <v>105</v>
      </c>
      <c r="K974" s="44" t="s">
        <v>2058</v>
      </c>
      <c r="L974" s="44"/>
      <c r="M974" s="44" t="s">
        <v>2033</v>
      </c>
      <c r="N974" s="45">
        <v>0</v>
      </c>
      <c r="O974" s="46">
        <f t="shared" si="31"/>
        <v>0</v>
      </c>
      <c r="P974" s="47">
        <f>DGKC!C44</f>
        <v>0</v>
      </c>
      <c r="Q974" s="44" t="str">
        <f t="shared" si="32"/>
        <v>PASS</v>
      </c>
      <c r="R974" s="44" t="s">
        <v>1587</v>
      </c>
      <c r="S974" s="44"/>
    </row>
    <row r="975" spans="1:19" x14ac:dyDescent="0.3">
      <c r="A975" s="44" t="s">
        <v>2158</v>
      </c>
      <c r="B975" s="44" t="s">
        <v>86</v>
      </c>
      <c r="C975" s="44" t="s">
        <v>20</v>
      </c>
      <c r="D975" s="44" t="s">
        <v>289</v>
      </c>
      <c r="E975" s="44" t="s">
        <v>1035</v>
      </c>
      <c r="F975" s="44"/>
      <c r="G975" s="44" t="s">
        <v>2035</v>
      </c>
      <c r="H975" s="44" t="s">
        <v>1113</v>
      </c>
      <c r="I975" s="44" t="s">
        <v>1106</v>
      </c>
      <c r="J975" s="44">
        <v>125</v>
      </c>
      <c r="K975" s="44" t="s">
        <v>2060</v>
      </c>
      <c r="L975" s="44"/>
      <c r="M975" s="44" t="s">
        <v>2033</v>
      </c>
      <c r="N975" s="45">
        <v>0</v>
      </c>
      <c r="O975" s="46">
        <f t="shared" si="31"/>
        <v>0</v>
      </c>
      <c r="P975" s="47">
        <f>DGKC!D44</f>
        <v>0</v>
      </c>
      <c r="Q975" s="44" t="str">
        <f t="shared" si="32"/>
        <v>PASS</v>
      </c>
      <c r="R975" s="44" t="s">
        <v>1587</v>
      </c>
      <c r="S975" s="44"/>
    </row>
    <row r="976" spans="1:19" x14ac:dyDescent="0.3">
      <c r="A976" s="44" t="s">
        <v>2159</v>
      </c>
      <c r="B976" s="44" t="s">
        <v>86</v>
      </c>
      <c r="C976" s="44" t="s">
        <v>26</v>
      </c>
      <c r="D976" s="44" t="s">
        <v>289</v>
      </c>
      <c r="E976" s="44" t="s">
        <v>1035</v>
      </c>
      <c r="F976" s="44"/>
      <c r="G976" s="44" t="s">
        <v>2038</v>
      </c>
      <c r="H976" s="44" t="s">
        <v>1117</v>
      </c>
      <c r="I976" s="44" t="s">
        <v>1106</v>
      </c>
      <c r="J976" s="44">
        <v>151</v>
      </c>
      <c r="K976" s="44" t="s">
        <v>2062</v>
      </c>
      <c r="L976" s="44"/>
      <c r="M976" s="44" t="s">
        <v>2033</v>
      </c>
      <c r="N976" s="45">
        <v>0</v>
      </c>
      <c r="O976" s="46">
        <f t="shared" si="31"/>
        <v>0</v>
      </c>
      <c r="P976" s="47">
        <f>DGKC!E44</f>
        <v>0</v>
      </c>
      <c r="Q976" s="44" t="str">
        <f t="shared" si="32"/>
        <v>PASS</v>
      </c>
      <c r="R976" s="44" t="s">
        <v>1587</v>
      </c>
      <c r="S976" s="44"/>
    </row>
    <row r="977" spans="1:19" x14ac:dyDescent="0.3">
      <c r="A977" s="44" t="s">
        <v>2160</v>
      </c>
      <c r="B977" s="44" t="s">
        <v>86</v>
      </c>
      <c r="C977" s="44" t="s">
        <v>27</v>
      </c>
      <c r="D977" s="44" t="s">
        <v>289</v>
      </c>
      <c r="E977" s="44" t="s">
        <v>1035</v>
      </c>
      <c r="F977" s="44"/>
      <c r="G977" s="44" t="s">
        <v>2041</v>
      </c>
      <c r="H977" s="44" t="s">
        <v>1120</v>
      </c>
      <c r="I977" s="44" t="s">
        <v>1106</v>
      </c>
      <c r="J977" s="44">
        <v>151</v>
      </c>
      <c r="K977" s="44" t="s">
        <v>2062</v>
      </c>
      <c r="L977" s="44"/>
      <c r="M977" s="44" t="s">
        <v>2033</v>
      </c>
      <c r="N977" s="45">
        <v>0</v>
      </c>
      <c r="O977" s="46">
        <f t="shared" si="31"/>
        <v>0</v>
      </c>
      <c r="P977" s="47">
        <f>DGKC!F44</f>
        <v>0</v>
      </c>
      <c r="Q977" s="44" t="str">
        <f t="shared" si="32"/>
        <v>PASS</v>
      </c>
      <c r="R977" s="44" t="s">
        <v>1587</v>
      </c>
      <c r="S977" s="44"/>
    </row>
    <row r="978" spans="1:19" x14ac:dyDescent="0.3">
      <c r="A978" s="44" t="s">
        <v>2161</v>
      </c>
      <c r="B978" s="44" t="s">
        <v>86</v>
      </c>
      <c r="C978" s="44" t="s">
        <v>28</v>
      </c>
      <c r="D978" s="44" t="s">
        <v>289</v>
      </c>
      <c r="E978" s="44" t="s">
        <v>1035</v>
      </c>
      <c r="F978" s="44"/>
      <c r="G978" s="44" t="s">
        <v>2043</v>
      </c>
      <c r="H978" s="44" t="s">
        <v>1124</v>
      </c>
      <c r="I978" s="44" t="s">
        <v>1106</v>
      </c>
      <c r="J978" s="44">
        <v>153</v>
      </c>
      <c r="K978" s="44" t="s">
        <v>2065</v>
      </c>
      <c r="L978" s="44"/>
      <c r="M978" s="44" t="s">
        <v>2033</v>
      </c>
      <c r="N978" s="45">
        <v>0</v>
      </c>
      <c r="O978" s="46">
        <f t="shared" si="31"/>
        <v>0</v>
      </c>
      <c r="P978" s="47">
        <f>DGKC!G44</f>
        <v>0</v>
      </c>
      <c r="Q978" s="44" t="str">
        <f t="shared" si="32"/>
        <v>PASS</v>
      </c>
      <c r="R978" s="44" t="s">
        <v>1587</v>
      </c>
      <c r="S978" s="44"/>
    </row>
    <row r="979" spans="1:19" x14ac:dyDescent="0.3">
      <c r="A979" s="44" t="s">
        <v>2162</v>
      </c>
      <c r="B979" s="44" t="s">
        <v>86</v>
      </c>
      <c r="C979" s="44" t="s">
        <v>29</v>
      </c>
      <c r="D979" s="44" t="s">
        <v>289</v>
      </c>
      <c r="E979" s="44" t="s">
        <v>1035</v>
      </c>
      <c r="F979" s="44"/>
      <c r="G979" s="44" t="s">
        <v>2043</v>
      </c>
      <c r="H979" s="44" t="s">
        <v>1124</v>
      </c>
      <c r="I979" s="44" t="s">
        <v>1127</v>
      </c>
      <c r="J979" s="44">
        <v>153</v>
      </c>
      <c r="K979" s="44" t="s">
        <v>2065</v>
      </c>
      <c r="L979" s="44"/>
      <c r="M979" s="44" t="s">
        <v>2033</v>
      </c>
      <c r="N979" s="45">
        <v>0</v>
      </c>
      <c r="O979" s="46">
        <f t="shared" si="31"/>
        <v>0</v>
      </c>
      <c r="P979" s="47">
        <f>DGKC!H44</f>
        <v>0</v>
      </c>
      <c r="Q979" s="44" t="str">
        <f t="shared" si="32"/>
        <v>PASS</v>
      </c>
      <c r="R979" s="44" t="s">
        <v>1587</v>
      </c>
      <c r="S979" s="44"/>
    </row>
    <row r="980" spans="1:19" x14ac:dyDescent="0.3">
      <c r="A980" s="44" t="s">
        <v>2163</v>
      </c>
      <c r="B980" s="44" t="s">
        <v>86</v>
      </c>
      <c r="C980" s="44" t="s">
        <v>965</v>
      </c>
      <c r="D980" s="44" t="s">
        <v>291</v>
      </c>
      <c r="E980" s="44" t="s">
        <v>1035</v>
      </c>
      <c r="F980" s="44" t="s">
        <v>2164</v>
      </c>
      <c r="G980" s="44" t="s">
        <v>2031</v>
      </c>
      <c r="H980" s="44" t="s">
        <v>1105</v>
      </c>
      <c r="I980" s="44" t="s">
        <v>1106</v>
      </c>
      <c r="J980" s="44">
        <v>105</v>
      </c>
      <c r="K980" s="44" t="s">
        <v>2058</v>
      </c>
      <c r="L980" s="44" t="s">
        <v>1643</v>
      </c>
      <c r="M980" s="44" t="s">
        <v>2033</v>
      </c>
      <c r="N980" s="45">
        <v>0</v>
      </c>
      <c r="O980" s="46">
        <f t="shared" si="31"/>
        <v>0</v>
      </c>
      <c r="P980" s="47">
        <f>DGKC!C45</f>
        <v>0</v>
      </c>
      <c r="Q980" s="44" t="str">
        <f t="shared" si="32"/>
        <v>PASS</v>
      </c>
      <c r="R980" s="44" t="s">
        <v>1587</v>
      </c>
      <c r="S980" s="44"/>
    </row>
    <row r="981" spans="1:19" x14ac:dyDescent="0.3">
      <c r="A981" s="44" t="s">
        <v>2165</v>
      </c>
      <c r="B981" s="44" t="s">
        <v>86</v>
      </c>
      <c r="C981" s="44" t="s">
        <v>20</v>
      </c>
      <c r="D981" s="44" t="s">
        <v>291</v>
      </c>
      <c r="E981" s="44" t="s">
        <v>1035</v>
      </c>
      <c r="F981" s="44" t="s">
        <v>2164</v>
      </c>
      <c r="G981" s="44" t="s">
        <v>2035</v>
      </c>
      <c r="H981" s="44" t="s">
        <v>1113</v>
      </c>
      <c r="I981" s="44" t="s">
        <v>1106</v>
      </c>
      <c r="J981" s="44">
        <v>125</v>
      </c>
      <c r="K981" s="44" t="s">
        <v>2060</v>
      </c>
      <c r="L981" s="44" t="s">
        <v>1643</v>
      </c>
      <c r="M981" s="44" t="s">
        <v>2033</v>
      </c>
      <c r="N981" s="45">
        <v>664504</v>
      </c>
      <c r="O981" s="46">
        <f t="shared" si="31"/>
        <v>664.50400000000002</v>
      </c>
      <c r="P981" s="47">
        <f>DGKC!D45</f>
        <v>664.50400000000002</v>
      </c>
      <c r="Q981" s="44" t="str">
        <f t="shared" si="32"/>
        <v>PASS</v>
      </c>
      <c r="R981" s="44" t="s">
        <v>1587</v>
      </c>
      <c r="S981" s="44"/>
    </row>
    <row r="982" spans="1:19" x14ac:dyDescent="0.3">
      <c r="A982" s="44" t="s">
        <v>2166</v>
      </c>
      <c r="B982" s="44" t="s">
        <v>86</v>
      </c>
      <c r="C982" s="44" t="s">
        <v>26</v>
      </c>
      <c r="D982" s="44" t="s">
        <v>291</v>
      </c>
      <c r="E982" s="44" t="s">
        <v>1035</v>
      </c>
      <c r="F982" s="44" t="s">
        <v>2164</v>
      </c>
      <c r="G982" s="44" t="s">
        <v>2038</v>
      </c>
      <c r="H982" s="44" t="s">
        <v>1117</v>
      </c>
      <c r="I982" s="44" t="s">
        <v>1106</v>
      </c>
      <c r="J982" s="44">
        <v>151</v>
      </c>
      <c r="K982" s="44" t="s">
        <v>2062</v>
      </c>
      <c r="L982" s="44" t="s">
        <v>1643</v>
      </c>
      <c r="M982" s="44" t="s">
        <v>2033</v>
      </c>
      <c r="N982" s="45">
        <v>450684</v>
      </c>
      <c r="O982" s="46">
        <f t="shared" si="31"/>
        <v>450.68400000000003</v>
      </c>
      <c r="P982" s="47">
        <f>DGKC!E45</f>
        <v>450.68400000000003</v>
      </c>
      <c r="Q982" s="44" t="str">
        <f t="shared" si="32"/>
        <v>PASS</v>
      </c>
      <c r="R982" s="44" t="s">
        <v>1587</v>
      </c>
      <c r="S982" s="44"/>
    </row>
    <row r="983" spans="1:19" x14ac:dyDescent="0.3">
      <c r="A983" s="44" t="s">
        <v>2167</v>
      </c>
      <c r="B983" s="44" t="s">
        <v>86</v>
      </c>
      <c r="C983" s="44" t="s">
        <v>27</v>
      </c>
      <c r="D983" s="44" t="s">
        <v>291</v>
      </c>
      <c r="E983" s="44" t="s">
        <v>1035</v>
      </c>
      <c r="F983" s="44" t="s">
        <v>2164</v>
      </c>
      <c r="G983" s="44" t="s">
        <v>2041</v>
      </c>
      <c r="H983" s="44" t="s">
        <v>1120</v>
      </c>
      <c r="I983" s="44" t="s">
        <v>1106</v>
      </c>
      <c r="J983" s="44">
        <v>151</v>
      </c>
      <c r="K983" s="44" t="s">
        <v>2062</v>
      </c>
      <c r="L983" s="44" t="s">
        <v>1643</v>
      </c>
      <c r="M983" s="44" t="s">
        <v>2033</v>
      </c>
      <c r="N983" s="45">
        <v>278753</v>
      </c>
      <c r="O983" s="46">
        <f t="shared" si="31"/>
        <v>278.75299999999999</v>
      </c>
      <c r="P983" s="47">
        <f>DGKC!F45</f>
        <v>278.75299999999999</v>
      </c>
      <c r="Q983" s="44" t="str">
        <f t="shared" si="32"/>
        <v>PASS</v>
      </c>
      <c r="R983" s="44" t="s">
        <v>1587</v>
      </c>
      <c r="S983" s="44"/>
    </row>
    <row r="984" spans="1:19" x14ac:dyDescent="0.3">
      <c r="A984" s="44" t="s">
        <v>2168</v>
      </c>
      <c r="B984" s="44" t="s">
        <v>86</v>
      </c>
      <c r="C984" s="44" t="s">
        <v>28</v>
      </c>
      <c r="D984" s="44" t="s">
        <v>291</v>
      </c>
      <c r="E984" s="44" t="s">
        <v>1035</v>
      </c>
      <c r="F984" s="44" t="s">
        <v>2164</v>
      </c>
      <c r="G984" s="44" t="s">
        <v>2043</v>
      </c>
      <c r="H984" s="44" t="s">
        <v>1124</v>
      </c>
      <c r="I984" s="44" t="s">
        <v>1106</v>
      </c>
      <c r="J984" s="44">
        <v>153</v>
      </c>
      <c r="K984" s="44" t="s">
        <v>2065</v>
      </c>
      <c r="L984" s="44" t="s">
        <v>1643</v>
      </c>
      <c r="M984" s="44" t="s">
        <v>2033</v>
      </c>
      <c r="N984" s="45">
        <v>154614</v>
      </c>
      <c r="O984" s="46">
        <f t="shared" si="31"/>
        <v>154.614</v>
      </c>
      <c r="P984" s="47">
        <f>DGKC!G45</f>
        <v>154.614</v>
      </c>
      <c r="Q984" s="44" t="str">
        <f t="shared" si="32"/>
        <v>PASS</v>
      </c>
      <c r="R984" s="44" t="s">
        <v>1587</v>
      </c>
      <c r="S984" s="44"/>
    </row>
    <row r="985" spans="1:19" x14ac:dyDescent="0.3">
      <c r="A985" s="44" t="s">
        <v>2169</v>
      </c>
      <c r="B985" s="44" t="s">
        <v>86</v>
      </c>
      <c r="C985" s="44" t="s">
        <v>29</v>
      </c>
      <c r="D985" s="44" t="s">
        <v>291</v>
      </c>
      <c r="E985" s="44" t="s">
        <v>1035</v>
      </c>
      <c r="F985" s="44" t="s">
        <v>2164</v>
      </c>
      <c r="G985" s="44" t="s">
        <v>2043</v>
      </c>
      <c r="H985" s="44" t="s">
        <v>1124</v>
      </c>
      <c r="I985" s="44" t="s">
        <v>1127</v>
      </c>
      <c r="J985" s="44">
        <v>153</v>
      </c>
      <c r="K985" s="44" t="s">
        <v>2065</v>
      </c>
      <c r="L985" s="44" t="s">
        <v>1643</v>
      </c>
      <c r="M985" s="44" t="s">
        <v>2033</v>
      </c>
      <c r="N985" s="45">
        <v>70135</v>
      </c>
      <c r="O985" s="46">
        <f t="shared" si="31"/>
        <v>70.135000000000005</v>
      </c>
      <c r="P985" s="47">
        <f>DGKC!H45</f>
        <v>70.135000000000005</v>
      </c>
      <c r="Q985" s="44" t="str">
        <f t="shared" si="32"/>
        <v>PASS</v>
      </c>
      <c r="R985" s="44" t="s">
        <v>1587</v>
      </c>
      <c r="S985" s="44"/>
    </row>
    <row r="986" spans="1:19" x14ac:dyDescent="0.3">
      <c r="A986" s="44" t="s">
        <v>2170</v>
      </c>
      <c r="B986" s="44" t="s">
        <v>86</v>
      </c>
      <c r="C986" s="44" t="s">
        <v>965</v>
      </c>
      <c r="D986" s="44" t="s">
        <v>293</v>
      </c>
      <c r="E986" s="44" t="s">
        <v>1035</v>
      </c>
      <c r="F986" s="44" t="s">
        <v>2171</v>
      </c>
      <c r="G986" s="44" t="s">
        <v>2031</v>
      </c>
      <c r="H986" s="44" t="s">
        <v>1105</v>
      </c>
      <c r="I986" s="44" t="s">
        <v>1106</v>
      </c>
      <c r="J986" s="44">
        <v>105</v>
      </c>
      <c r="K986" s="44" t="s">
        <v>2058</v>
      </c>
      <c r="L986" s="44" t="s">
        <v>1315</v>
      </c>
      <c r="M986" s="44" t="s">
        <v>2033</v>
      </c>
      <c r="N986" s="45">
        <v>2535349</v>
      </c>
      <c r="O986" s="46">
        <f t="shared" si="31"/>
        <v>2535.3490000000002</v>
      </c>
      <c r="P986" s="47">
        <f>DGKC!C46</f>
        <v>2535.3490000000002</v>
      </c>
      <c r="Q986" s="44" t="str">
        <f t="shared" si="32"/>
        <v>PASS</v>
      </c>
      <c r="R986" s="44" t="s">
        <v>1587</v>
      </c>
      <c r="S986" s="44"/>
    </row>
    <row r="987" spans="1:19" x14ac:dyDescent="0.3">
      <c r="A987" s="44" t="s">
        <v>2172</v>
      </c>
      <c r="B987" s="44" t="s">
        <v>86</v>
      </c>
      <c r="C987" s="44" t="s">
        <v>20</v>
      </c>
      <c r="D987" s="44" t="s">
        <v>293</v>
      </c>
      <c r="E987" s="44" t="s">
        <v>1035</v>
      </c>
      <c r="F987" s="44" t="s">
        <v>2171</v>
      </c>
      <c r="G987" s="44" t="s">
        <v>2035</v>
      </c>
      <c r="H987" s="44" t="s">
        <v>1113</v>
      </c>
      <c r="I987" s="44" t="s">
        <v>1106</v>
      </c>
      <c r="J987" s="44">
        <v>125</v>
      </c>
      <c r="K987" s="44" t="s">
        <v>2060</v>
      </c>
      <c r="L987" s="44" t="s">
        <v>1315</v>
      </c>
      <c r="M987" s="44" t="s">
        <v>2033</v>
      </c>
      <c r="N987" s="45">
        <v>3378941</v>
      </c>
      <c r="O987" s="46">
        <f t="shared" si="31"/>
        <v>3378.9409999999998</v>
      </c>
      <c r="P987" s="47">
        <f>DGKC!D46</f>
        <v>3378.9409999999998</v>
      </c>
      <c r="Q987" s="44" t="str">
        <f t="shared" si="32"/>
        <v>PASS</v>
      </c>
      <c r="R987" s="44" t="s">
        <v>1587</v>
      </c>
      <c r="S987" s="44"/>
    </row>
    <row r="988" spans="1:19" x14ac:dyDescent="0.3">
      <c r="A988" s="44" t="s">
        <v>2173</v>
      </c>
      <c r="B988" s="44" t="s">
        <v>86</v>
      </c>
      <c r="C988" s="44" t="s">
        <v>26</v>
      </c>
      <c r="D988" s="44" t="s">
        <v>293</v>
      </c>
      <c r="E988" s="44" t="s">
        <v>1035</v>
      </c>
      <c r="F988" s="44" t="s">
        <v>2171</v>
      </c>
      <c r="G988" s="44" t="s">
        <v>2038</v>
      </c>
      <c r="H988" s="44" t="s">
        <v>1117</v>
      </c>
      <c r="I988" s="44" t="s">
        <v>1106</v>
      </c>
      <c r="J988" s="44">
        <v>151</v>
      </c>
      <c r="K988" s="44" t="s">
        <v>2062</v>
      </c>
      <c r="L988" s="44" t="s">
        <v>1315</v>
      </c>
      <c r="M988" s="44" t="s">
        <v>2033</v>
      </c>
      <c r="N988" s="45">
        <v>4942150</v>
      </c>
      <c r="O988" s="46">
        <f t="shared" si="31"/>
        <v>4942.1499999999996</v>
      </c>
      <c r="P988" s="47">
        <f>DGKC!E46</f>
        <v>4942.1499999999996</v>
      </c>
      <c r="Q988" s="44" t="str">
        <f t="shared" si="32"/>
        <v>PASS</v>
      </c>
      <c r="R988" s="44" t="s">
        <v>1587</v>
      </c>
      <c r="S988" s="44"/>
    </row>
    <row r="989" spans="1:19" x14ac:dyDescent="0.3">
      <c r="A989" s="44" t="s">
        <v>2174</v>
      </c>
      <c r="B989" s="44" t="s">
        <v>86</v>
      </c>
      <c r="C989" s="44" t="s">
        <v>27</v>
      </c>
      <c r="D989" s="44" t="s">
        <v>293</v>
      </c>
      <c r="E989" s="44" t="s">
        <v>1035</v>
      </c>
      <c r="F989" s="44" t="s">
        <v>2171</v>
      </c>
      <c r="G989" s="44" t="s">
        <v>2041</v>
      </c>
      <c r="H989" s="44" t="s">
        <v>1120</v>
      </c>
      <c r="I989" s="44" t="s">
        <v>1106</v>
      </c>
      <c r="J989" s="44">
        <v>151</v>
      </c>
      <c r="K989" s="44" t="s">
        <v>2062</v>
      </c>
      <c r="L989" s="44" t="s">
        <v>1315</v>
      </c>
      <c r="M989" s="44" t="s">
        <v>2033</v>
      </c>
      <c r="N989" s="45">
        <v>10613603</v>
      </c>
      <c r="O989" s="46">
        <f t="shared" si="31"/>
        <v>10613.602999999999</v>
      </c>
      <c r="P989" s="47">
        <f>DGKC!F46</f>
        <v>10613.602999999999</v>
      </c>
      <c r="Q989" s="44" t="str">
        <f t="shared" si="32"/>
        <v>PASS</v>
      </c>
      <c r="R989" s="44" t="s">
        <v>1587</v>
      </c>
      <c r="S989" s="44"/>
    </row>
    <row r="990" spans="1:19" x14ac:dyDescent="0.3">
      <c r="A990" s="44" t="s">
        <v>2175</v>
      </c>
      <c r="B990" s="44" t="s">
        <v>86</v>
      </c>
      <c r="C990" s="44" t="s">
        <v>28</v>
      </c>
      <c r="D990" s="44" t="s">
        <v>293</v>
      </c>
      <c r="E990" s="44" t="s">
        <v>1035</v>
      </c>
      <c r="F990" s="44" t="s">
        <v>2171</v>
      </c>
      <c r="G990" s="44" t="s">
        <v>2043</v>
      </c>
      <c r="H990" s="44" t="s">
        <v>1124</v>
      </c>
      <c r="I990" s="44" t="s">
        <v>1106</v>
      </c>
      <c r="J990" s="44">
        <v>153</v>
      </c>
      <c r="K990" s="44" t="s">
        <v>2065</v>
      </c>
      <c r="L990" s="44" t="s">
        <v>1315</v>
      </c>
      <c r="M990" s="44" t="s">
        <v>2033</v>
      </c>
      <c r="N990" s="45">
        <v>12675472</v>
      </c>
      <c r="O990" s="46">
        <f t="shared" si="31"/>
        <v>12675.472</v>
      </c>
      <c r="P990" s="47">
        <f>DGKC!G46</f>
        <v>12675.472</v>
      </c>
      <c r="Q990" s="44" t="str">
        <f t="shared" si="32"/>
        <v>PASS</v>
      </c>
      <c r="R990" s="44" t="s">
        <v>1587</v>
      </c>
      <c r="S990" s="44"/>
    </row>
    <row r="991" spans="1:19" x14ac:dyDescent="0.3">
      <c r="A991" s="44" t="s">
        <v>2176</v>
      </c>
      <c r="B991" s="44" t="s">
        <v>86</v>
      </c>
      <c r="C991" s="44" t="s">
        <v>29</v>
      </c>
      <c r="D991" s="44" t="s">
        <v>293</v>
      </c>
      <c r="E991" s="44" t="s">
        <v>1035</v>
      </c>
      <c r="F991" s="44" t="s">
        <v>2171</v>
      </c>
      <c r="G991" s="44" t="s">
        <v>2043</v>
      </c>
      <c r="H991" s="44" t="s">
        <v>1124</v>
      </c>
      <c r="I991" s="44" t="s">
        <v>1127</v>
      </c>
      <c r="J991" s="44">
        <v>153</v>
      </c>
      <c r="K991" s="44" t="s">
        <v>2065</v>
      </c>
      <c r="L991" s="44" t="s">
        <v>1315</v>
      </c>
      <c r="M991" s="44" t="s">
        <v>2033</v>
      </c>
      <c r="N991" s="45">
        <v>13286942</v>
      </c>
      <c r="O991" s="46">
        <f t="shared" si="31"/>
        <v>13286.941999999999</v>
      </c>
      <c r="P991" s="47">
        <f>DGKC!H46</f>
        <v>13286.941999999999</v>
      </c>
      <c r="Q991" s="44" t="str">
        <f t="shared" si="32"/>
        <v>PASS</v>
      </c>
      <c r="R991" s="44" t="s">
        <v>1587</v>
      </c>
      <c r="S991" s="44"/>
    </row>
    <row r="992" spans="1:19" x14ac:dyDescent="0.3">
      <c r="A992" s="44" t="s">
        <v>2177</v>
      </c>
      <c r="B992" s="44" t="s">
        <v>86</v>
      </c>
      <c r="C992" s="44" t="s">
        <v>965</v>
      </c>
      <c r="D992" s="44" t="s">
        <v>295</v>
      </c>
      <c r="E992" s="44" t="s">
        <v>1035</v>
      </c>
      <c r="F992" s="44" t="s">
        <v>2178</v>
      </c>
      <c r="G992" s="44" t="s">
        <v>2031</v>
      </c>
      <c r="H992" s="44" t="s">
        <v>1105</v>
      </c>
      <c r="I992" s="44" t="s">
        <v>1106</v>
      </c>
      <c r="J992" s="44">
        <v>105</v>
      </c>
      <c r="K992" s="44" t="s">
        <v>2058</v>
      </c>
      <c r="L992" s="44" t="s">
        <v>1294</v>
      </c>
      <c r="M992" s="44" t="s">
        <v>2033</v>
      </c>
      <c r="N992" s="45">
        <v>775771</v>
      </c>
      <c r="O992" s="46">
        <f t="shared" si="31"/>
        <v>775.77099999999996</v>
      </c>
      <c r="P992" s="47">
        <f>DGKC!C47</f>
        <v>775.77099999999996</v>
      </c>
      <c r="Q992" s="44" t="str">
        <f t="shared" si="32"/>
        <v>PASS</v>
      </c>
      <c r="R992" s="44" t="s">
        <v>1587</v>
      </c>
      <c r="S992" s="44"/>
    </row>
    <row r="993" spans="1:19" x14ac:dyDescent="0.3">
      <c r="A993" s="44" t="s">
        <v>2179</v>
      </c>
      <c r="B993" s="44" t="s">
        <v>86</v>
      </c>
      <c r="C993" s="44" t="s">
        <v>20</v>
      </c>
      <c r="D993" s="44" t="s">
        <v>295</v>
      </c>
      <c r="E993" s="44" t="s">
        <v>1035</v>
      </c>
      <c r="F993" s="44" t="s">
        <v>2180</v>
      </c>
      <c r="G993" s="44" t="s">
        <v>2035</v>
      </c>
      <c r="H993" s="44" t="s">
        <v>1113</v>
      </c>
      <c r="I993" s="44" t="s">
        <v>1106</v>
      </c>
      <c r="J993" s="44">
        <v>125</v>
      </c>
      <c r="K993" s="44" t="s">
        <v>2060</v>
      </c>
      <c r="L993" s="44" t="s">
        <v>1294</v>
      </c>
      <c r="M993" s="44" t="s">
        <v>2033</v>
      </c>
      <c r="N993" s="45">
        <v>777795</v>
      </c>
      <c r="O993" s="46">
        <f t="shared" si="31"/>
        <v>777.79499999999996</v>
      </c>
      <c r="P993" s="47">
        <f>DGKC!D47</f>
        <v>777.79499999999996</v>
      </c>
      <c r="Q993" s="44" t="str">
        <f t="shared" si="32"/>
        <v>PASS</v>
      </c>
      <c r="R993" s="44" t="s">
        <v>1587</v>
      </c>
      <c r="S993" s="44"/>
    </row>
    <row r="994" spans="1:19" x14ac:dyDescent="0.3">
      <c r="A994" s="44" t="s">
        <v>2181</v>
      </c>
      <c r="B994" s="44" t="s">
        <v>86</v>
      </c>
      <c r="C994" s="44" t="s">
        <v>26</v>
      </c>
      <c r="D994" s="44" t="s">
        <v>295</v>
      </c>
      <c r="E994" s="44" t="s">
        <v>1035</v>
      </c>
      <c r="F994" s="44" t="s">
        <v>2180</v>
      </c>
      <c r="G994" s="44" t="s">
        <v>2038</v>
      </c>
      <c r="H994" s="44" t="s">
        <v>1117</v>
      </c>
      <c r="I994" s="44" t="s">
        <v>1106</v>
      </c>
      <c r="J994" s="44">
        <v>151</v>
      </c>
      <c r="K994" s="44" t="s">
        <v>2062</v>
      </c>
      <c r="L994" s="44" t="s">
        <v>1294</v>
      </c>
      <c r="M994" s="44" t="s">
        <v>2033</v>
      </c>
      <c r="N994" s="45">
        <v>993817</v>
      </c>
      <c r="O994" s="46">
        <f t="shared" si="31"/>
        <v>993.81700000000001</v>
      </c>
      <c r="P994" s="47">
        <f>DGKC!E47</f>
        <v>993.81700000000001</v>
      </c>
      <c r="Q994" s="44" t="str">
        <f t="shared" si="32"/>
        <v>PASS</v>
      </c>
      <c r="R994" s="44" t="s">
        <v>1587</v>
      </c>
      <c r="S994" s="44"/>
    </row>
    <row r="995" spans="1:19" x14ac:dyDescent="0.3">
      <c r="A995" s="44" t="s">
        <v>2182</v>
      </c>
      <c r="B995" s="44" t="s">
        <v>86</v>
      </c>
      <c r="C995" s="44" t="s">
        <v>27</v>
      </c>
      <c r="D995" s="44" t="s">
        <v>295</v>
      </c>
      <c r="E995" s="44" t="s">
        <v>1035</v>
      </c>
      <c r="F995" s="44" t="s">
        <v>2180</v>
      </c>
      <c r="G995" s="44" t="s">
        <v>2041</v>
      </c>
      <c r="H995" s="44" t="s">
        <v>1120</v>
      </c>
      <c r="I995" s="44" t="s">
        <v>1106</v>
      </c>
      <c r="J995" s="44">
        <v>151</v>
      </c>
      <c r="K995" s="44" t="s">
        <v>2062</v>
      </c>
      <c r="L995" s="44" t="s">
        <v>1294</v>
      </c>
      <c r="M995" s="44" t="s">
        <v>2033</v>
      </c>
      <c r="N995" s="45">
        <v>1289212</v>
      </c>
      <c r="O995" s="46">
        <f t="shared" si="31"/>
        <v>1289.212</v>
      </c>
      <c r="P995" s="47">
        <f>DGKC!F47</f>
        <v>1289.212</v>
      </c>
      <c r="Q995" s="44" t="str">
        <f t="shared" si="32"/>
        <v>PASS</v>
      </c>
      <c r="R995" s="44" t="s">
        <v>1587</v>
      </c>
      <c r="S995" s="44"/>
    </row>
    <row r="996" spans="1:19" x14ac:dyDescent="0.3">
      <c r="A996" s="44" t="s">
        <v>2183</v>
      </c>
      <c r="B996" s="44" t="s">
        <v>86</v>
      </c>
      <c r="C996" s="44" t="s">
        <v>28</v>
      </c>
      <c r="D996" s="44" t="s">
        <v>295</v>
      </c>
      <c r="E996" s="44" t="s">
        <v>1035</v>
      </c>
      <c r="F996" s="44" t="s">
        <v>2180</v>
      </c>
      <c r="G996" s="44" t="s">
        <v>2043</v>
      </c>
      <c r="H996" s="44" t="s">
        <v>1124</v>
      </c>
      <c r="I996" s="44" t="s">
        <v>1106</v>
      </c>
      <c r="J996" s="44">
        <v>153</v>
      </c>
      <c r="K996" s="44" t="s">
        <v>2065</v>
      </c>
      <c r="L996" s="44" t="s">
        <v>1294</v>
      </c>
      <c r="M996" s="44" t="s">
        <v>2033</v>
      </c>
      <c r="N996" s="45">
        <v>1517297</v>
      </c>
      <c r="O996" s="46">
        <f t="shared" si="31"/>
        <v>1517.297</v>
      </c>
      <c r="P996" s="47">
        <f>DGKC!G47</f>
        <v>1517.297</v>
      </c>
      <c r="Q996" s="44" t="str">
        <f t="shared" si="32"/>
        <v>PASS</v>
      </c>
      <c r="R996" s="44" t="s">
        <v>1587</v>
      </c>
      <c r="S996" s="44"/>
    </row>
    <row r="997" spans="1:19" x14ac:dyDescent="0.3">
      <c r="A997" s="44" t="s">
        <v>2184</v>
      </c>
      <c r="B997" s="44" t="s">
        <v>86</v>
      </c>
      <c r="C997" s="44" t="s">
        <v>29</v>
      </c>
      <c r="D997" s="44" t="s">
        <v>295</v>
      </c>
      <c r="E997" s="44" t="s">
        <v>1035</v>
      </c>
      <c r="F997" s="44" t="s">
        <v>2180</v>
      </c>
      <c r="G997" s="44" t="s">
        <v>2043</v>
      </c>
      <c r="H997" s="44" t="s">
        <v>1124</v>
      </c>
      <c r="I997" s="44" t="s">
        <v>1127</v>
      </c>
      <c r="J997" s="44">
        <v>153</v>
      </c>
      <c r="K997" s="44" t="s">
        <v>2065</v>
      </c>
      <c r="L997" s="44" t="s">
        <v>1294</v>
      </c>
      <c r="M997" s="44" t="s">
        <v>2033</v>
      </c>
      <c r="N997" s="45">
        <v>1894931</v>
      </c>
      <c r="O997" s="46">
        <f t="shared" si="31"/>
        <v>1894.931</v>
      </c>
      <c r="P997" s="47">
        <f>DGKC!H47</f>
        <v>1894.931</v>
      </c>
      <c r="Q997" s="44" t="str">
        <f t="shared" si="32"/>
        <v>PASS</v>
      </c>
      <c r="R997" s="44" t="s">
        <v>1587</v>
      </c>
      <c r="S997" s="44"/>
    </row>
    <row r="998" spans="1:19" x14ac:dyDescent="0.3">
      <c r="A998" s="44" t="s">
        <v>2185</v>
      </c>
      <c r="B998" s="44" t="s">
        <v>86</v>
      </c>
      <c r="C998" s="44" t="s">
        <v>965</v>
      </c>
      <c r="D998" s="44" t="s">
        <v>300</v>
      </c>
      <c r="E998" s="44" t="s">
        <v>1035</v>
      </c>
      <c r="F998" s="44" t="s">
        <v>300</v>
      </c>
      <c r="G998" s="44" t="s">
        <v>2031</v>
      </c>
      <c r="H998" s="44" t="s">
        <v>1105</v>
      </c>
      <c r="I998" s="44" t="s">
        <v>1106</v>
      </c>
      <c r="J998" s="44">
        <v>105</v>
      </c>
      <c r="K998" s="44" t="s">
        <v>2058</v>
      </c>
      <c r="L998" s="44" t="s">
        <v>1306</v>
      </c>
      <c r="M998" s="44" t="s">
        <v>2033</v>
      </c>
      <c r="N998" s="45">
        <v>11298187</v>
      </c>
      <c r="O998" s="46">
        <f t="shared" si="31"/>
        <v>11298.187</v>
      </c>
      <c r="P998" s="47">
        <f>DGKC!C50</f>
        <v>11298.187</v>
      </c>
      <c r="Q998" s="44" t="str">
        <f t="shared" si="32"/>
        <v>PASS</v>
      </c>
      <c r="R998" s="44" t="s">
        <v>1587</v>
      </c>
      <c r="S998" s="44"/>
    </row>
    <row r="999" spans="1:19" x14ac:dyDescent="0.3">
      <c r="A999" s="44" t="s">
        <v>2186</v>
      </c>
      <c r="B999" s="44" t="s">
        <v>86</v>
      </c>
      <c r="C999" s="44" t="s">
        <v>20</v>
      </c>
      <c r="D999" s="44" t="s">
        <v>300</v>
      </c>
      <c r="E999" s="44" t="s">
        <v>1035</v>
      </c>
      <c r="F999" s="44" t="s">
        <v>300</v>
      </c>
      <c r="G999" s="44" t="s">
        <v>2035</v>
      </c>
      <c r="H999" s="44" t="s">
        <v>1113</v>
      </c>
      <c r="I999" s="44" t="s">
        <v>1106</v>
      </c>
      <c r="J999" s="44">
        <v>125</v>
      </c>
      <c r="K999" s="44" t="s">
        <v>2060</v>
      </c>
      <c r="L999" s="44" t="s">
        <v>1306</v>
      </c>
      <c r="M999" s="44" t="s">
        <v>2033</v>
      </c>
      <c r="N999" s="45">
        <v>14923151</v>
      </c>
      <c r="O999" s="46">
        <f t="shared" si="31"/>
        <v>14923.151</v>
      </c>
      <c r="P999" s="47">
        <f>DGKC!D50</f>
        <v>14923.151</v>
      </c>
      <c r="Q999" s="44" t="str">
        <f t="shared" si="32"/>
        <v>PASS</v>
      </c>
      <c r="R999" s="44" t="s">
        <v>1587</v>
      </c>
      <c r="S999" s="44"/>
    </row>
    <row r="1000" spans="1:19" x14ac:dyDescent="0.3">
      <c r="A1000" s="44" t="s">
        <v>2187</v>
      </c>
      <c r="B1000" s="44" t="s">
        <v>86</v>
      </c>
      <c r="C1000" s="44" t="s">
        <v>26</v>
      </c>
      <c r="D1000" s="44" t="s">
        <v>300</v>
      </c>
      <c r="E1000" s="44" t="s">
        <v>1035</v>
      </c>
      <c r="F1000" s="44" t="s">
        <v>300</v>
      </c>
      <c r="G1000" s="44" t="s">
        <v>2038</v>
      </c>
      <c r="H1000" s="44" t="s">
        <v>1117</v>
      </c>
      <c r="I1000" s="44" t="s">
        <v>1106</v>
      </c>
      <c r="J1000" s="44">
        <v>151</v>
      </c>
      <c r="K1000" s="44" t="s">
        <v>2062</v>
      </c>
      <c r="L1000" s="44" t="s">
        <v>1306</v>
      </c>
      <c r="M1000" s="44" t="s">
        <v>2033</v>
      </c>
      <c r="N1000" s="45">
        <v>12591709</v>
      </c>
      <c r="O1000" s="46">
        <f t="shared" si="31"/>
        <v>12591.709000000001</v>
      </c>
      <c r="P1000" s="47">
        <f>DGKC!E50</f>
        <v>12591.709000000001</v>
      </c>
      <c r="Q1000" s="44" t="str">
        <f t="shared" si="32"/>
        <v>PASS</v>
      </c>
      <c r="R1000" s="44" t="s">
        <v>1587</v>
      </c>
      <c r="S1000" s="44"/>
    </row>
    <row r="1001" spans="1:19" x14ac:dyDescent="0.3">
      <c r="A1001" s="44" t="s">
        <v>2188</v>
      </c>
      <c r="B1001" s="44" t="s">
        <v>86</v>
      </c>
      <c r="C1001" s="44" t="s">
        <v>27</v>
      </c>
      <c r="D1001" s="44" t="s">
        <v>300</v>
      </c>
      <c r="E1001" s="44" t="s">
        <v>1035</v>
      </c>
      <c r="F1001" s="44" t="s">
        <v>300</v>
      </c>
      <c r="G1001" s="44" t="s">
        <v>2041</v>
      </c>
      <c r="H1001" s="44" t="s">
        <v>1120</v>
      </c>
      <c r="I1001" s="44" t="s">
        <v>1106</v>
      </c>
      <c r="J1001" s="44">
        <v>151</v>
      </c>
      <c r="K1001" s="44" t="s">
        <v>2062</v>
      </c>
      <c r="L1001" s="44" t="s">
        <v>1306</v>
      </c>
      <c r="M1001" s="44" t="s">
        <v>2033</v>
      </c>
      <c r="N1001" s="45">
        <v>13783299</v>
      </c>
      <c r="O1001" s="46">
        <f t="shared" si="31"/>
        <v>13783.299000000001</v>
      </c>
      <c r="P1001" s="47">
        <f>DGKC!F50</f>
        <v>13783.299000000001</v>
      </c>
      <c r="Q1001" s="44" t="str">
        <f t="shared" si="32"/>
        <v>PASS</v>
      </c>
      <c r="R1001" s="44" t="s">
        <v>1587</v>
      </c>
      <c r="S1001" s="44"/>
    </row>
    <row r="1002" spans="1:19" x14ac:dyDescent="0.3">
      <c r="A1002" s="44" t="s">
        <v>2189</v>
      </c>
      <c r="B1002" s="44" t="s">
        <v>86</v>
      </c>
      <c r="C1002" s="44" t="s">
        <v>28</v>
      </c>
      <c r="D1002" s="44" t="s">
        <v>300</v>
      </c>
      <c r="E1002" s="44" t="s">
        <v>1035</v>
      </c>
      <c r="F1002" s="44" t="s">
        <v>300</v>
      </c>
      <c r="G1002" s="44" t="s">
        <v>2043</v>
      </c>
      <c r="H1002" s="44" t="s">
        <v>1124</v>
      </c>
      <c r="I1002" s="44" t="s">
        <v>1106</v>
      </c>
      <c r="J1002" s="44">
        <v>153</v>
      </c>
      <c r="K1002" s="44" t="s">
        <v>2065</v>
      </c>
      <c r="L1002" s="44" t="s">
        <v>1306</v>
      </c>
      <c r="M1002" s="44" t="s">
        <v>2033</v>
      </c>
      <c r="N1002" s="45">
        <v>12394455</v>
      </c>
      <c r="O1002" s="46">
        <f t="shared" si="31"/>
        <v>12394.455</v>
      </c>
      <c r="P1002" s="47">
        <f>DGKC!G50</f>
        <v>12394.455</v>
      </c>
      <c r="Q1002" s="44" t="str">
        <f t="shared" si="32"/>
        <v>PASS</v>
      </c>
      <c r="R1002" s="44" t="s">
        <v>1587</v>
      </c>
      <c r="S1002" s="44"/>
    </row>
    <row r="1003" spans="1:19" x14ac:dyDescent="0.3">
      <c r="A1003" s="44" t="s">
        <v>2190</v>
      </c>
      <c r="B1003" s="44" t="s">
        <v>86</v>
      </c>
      <c r="C1003" s="44" t="s">
        <v>29</v>
      </c>
      <c r="D1003" s="44" t="s">
        <v>300</v>
      </c>
      <c r="E1003" s="44" t="s">
        <v>1035</v>
      </c>
      <c r="F1003" s="44" t="s">
        <v>300</v>
      </c>
      <c r="G1003" s="44" t="s">
        <v>2043</v>
      </c>
      <c r="H1003" s="44" t="s">
        <v>1124</v>
      </c>
      <c r="I1003" s="44" t="s">
        <v>1127</v>
      </c>
      <c r="J1003" s="44">
        <v>153</v>
      </c>
      <c r="K1003" s="44" t="s">
        <v>2065</v>
      </c>
      <c r="L1003" s="44" t="s">
        <v>1306</v>
      </c>
      <c r="M1003" s="44" t="s">
        <v>2033</v>
      </c>
      <c r="N1003" s="45">
        <v>13333448</v>
      </c>
      <c r="O1003" s="46">
        <f t="shared" si="31"/>
        <v>13333.448</v>
      </c>
      <c r="P1003" s="47">
        <f>DGKC!H50</f>
        <v>13333.448</v>
      </c>
      <c r="Q1003" s="44" t="str">
        <f t="shared" si="32"/>
        <v>PASS</v>
      </c>
      <c r="R1003" s="44" t="s">
        <v>1587</v>
      </c>
      <c r="S1003" s="44"/>
    </row>
    <row r="1004" spans="1:19" x14ac:dyDescent="0.3">
      <c r="A1004" s="44" t="s">
        <v>2191</v>
      </c>
      <c r="B1004" s="44" t="s">
        <v>86</v>
      </c>
      <c r="C1004" s="44" t="s">
        <v>965</v>
      </c>
      <c r="D1004" s="44" t="s">
        <v>1284</v>
      </c>
      <c r="E1004" s="44" t="s">
        <v>1130</v>
      </c>
      <c r="F1004" s="44" t="s">
        <v>2192</v>
      </c>
      <c r="G1004" s="44" t="s">
        <v>2031</v>
      </c>
      <c r="H1004" s="44" t="s">
        <v>1105</v>
      </c>
      <c r="I1004" s="44" t="s">
        <v>1106</v>
      </c>
      <c r="J1004" s="44">
        <v>135</v>
      </c>
      <c r="K1004" s="44" t="s">
        <v>2193</v>
      </c>
      <c r="L1004" s="44"/>
      <c r="M1004" s="44" t="s">
        <v>2033</v>
      </c>
      <c r="N1004" s="45">
        <v>4325320</v>
      </c>
      <c r="O1004" s="46">
        <f t="shared" si="31"/>
        <v>4325.32</v>
      </c>
      <c r="P1004" s="47">
        <f>DGKC!C51</f>
        <v>4325.32</v>
      </c>
      <c r="Q1004" s="44" t="str">
        <f t="shared" si="32"/>
        <v>PASS</v>
      </c>
      <c r="R1004" s="44" t="s">
        <v>1587</v>
      </c>
      <c r="S1004" s="44"/>
    </row>
    <row r="1005" spans="1:19" x14ac:dyDescent="0.3">
      <c r="A1005" s="44" t="s">
        <v>2194</v>
      </c>
      <c r="B1005" s="44" t="s">
        <v>86</v>
      </c>
      <c r="C1005" s="44" t="s">
        <v>20</v>
      </c>
      <c r="D1005" s="44" t="s">
        <v>1284</v>
      </c>
      <c r="E1005" s="44" t="s">
        <v>1130</v>
      </c>
      <c r="F1005" s="44" t="s">
        <v>2192</v>
      </c>
      <c r="G1005" s="44" t="s">
        <v>2035</v>
      </c>
      <c r="H1005" s="44" t="s">
        <v>1113</v>
      </c>
      <c r="I1005" s="44" t="s">
        <v>1106</v>
      </c>
      <c r="J1005" s="44">
        <v>155</v>
      </c>
      <c r="K1005" s="44" t="s">
        <v>2195</v>
      </c>
      <c r="L1005" s="44"/>
      <c r="M1005" s="44" t="s">
        <v>2033</v>
      </c>
      <c r="N1005" s="45">
        <v>7375630</v>
      </c>
      <c r="O1005" s="46">
        <f t="shared" si="31"/>
        <v>7375.63</v>
      </c>
      <c r="P1005" s="47">
        <f>DGKC!D51</f>
        <v>7375.63</v>
      </c>
      <c r="Q1005" s="44" t="str">
        <f t="shared" si="32"/>
        <v>PASS</v>
      </c>
      <c r="R1005" s="44" t="s">
        <v>1587</v>
      </c>
      <c r="S1005" s="44"/>
    </row>
    <row r="1006" spans="1:19" x14ac:dyDescent="0.3">
      <c r="A1006" s="44" t="s">
        <v>2196</v>
      </c>
      <c r="B1006" s="44" t="s">
        <v>86</v>
      </c>
      <c r="C1006" s="44" t="s">
        <v>26</v>
      </c>
      <c r="D1006" s="44" t="s">
        <v>1284</v>
      </c>
      <c r="E1006" s="44" t="s">
        <v>1130</v>
      </c>
      <c r="F1006" s="44" t="s">
        <v>2192</v>
      </c>
      <c r="G1006" s="44" t="s">
        <v>2038</v>
      </c>
      <c r="H1006" s="44" t="s">
        <v>1117</v>
      </c>
      <c r="I1006" s="44" t="s">
        <v>1106</v>
      </c>
      <c r="J1006" s="44">
        <v>180</v>
      </c>
      <c r="K1006" s="44" t="s">
        <v>2197</v>
      </c>
      <c r="L1006" s="44"/>
      <c r="M1006" s="44" t="s">
        <v>2033</v>
      </c>
      <c r="N1006" s="45">
        <v>3871207</v>
      </c>
      <c r="O1006" s="46">
        <f t="shared" ref="O1006:O1069" si="33">N1006/1000</f>
        <v>3871.2069999999999</v>
      </c>
      <c r="P1006" s="47">
        <f>DGKC!E51</f>
        <v>3871.2069999999999</v>
      </c>
      <c r="Q1006" s="44" t="str">
        <f t="shared" si="32"/>
        <v>PASS</v>
      </c>
      <c r="R1006" s="44" t="s">
        <v>1587</v>
      </c>
      <c r="S1006" s="44"/>
    </row>
    <row r="1007" spans="1:19" x14ac:dyDescent="0.3">
      <c r="A1007" s="44" t="s">
        <v>2198</v>
      </c>
      <c r="B1007" s="44" t="s">
        <v>86</v>
      </c>
      <c r="C1007" s="44" t="s">
        <v>27</v>
      </c>
      <c r="D1007" s="44" t="s">
        <v>1284</v>
      </c>
      <c r="E1007" s="44" t="s">
        <v>1130</v>
      </c>
      <c r="F1007" s="44" t="s">
        <v>2192</v>
      </c>
      <c r="G1007" s="44" t="s">
        <v>2041</v>
      </c>
      <c r="H1007" s="44" t="s">
        <v>1120</v>
      </c>
      <c r="I1007" s="44" t="s">
        <v>1106</v>
      </c>
      <c r="J1007" s="44">
        <v>182</v>
      </c>
      <c r="K1007" s="44" t="s">
        <v>2199</v>
      </c>
      <c r="L1007" s="44"/>
      <c r="M1007" s="44" t="s">
        <v>2033</v>
      </c>
      <c r="N1007" s="45">
        <v>6530049</v>
      </c>
      <c r="O1007" s="46">
        <f t="shared" si="33"/>
        <v>6530.049</v>
      </c>
      <c r="P1007" s="47">
        <f>DGKC!F51</f>
        <v>6530.049</v>
      </c>
      <c r="Q1007" s="44" t="str">
        <f t="shared" si="32"/>
        <v>PASS</v>
      </c>
      <c r="R1007" s="44" t="s">
        <v>1587</v>
      </c>
      <c r="S1007" s="44"/>
    </row>
    <row r="1008" spans="1:19" x14ac:dyDescent="0.3">
      <c r="A1008" s="44" t="s">
        <v>2200</v>
      </c>
      <c r="B1008" s="44" t="s">
        <v>86</v>
      </c>
      <c r="C1008" s="44" t="s">
        <v>28</v>
      </c>
      <c r="D1008" s="44" t="s">
        <v>1284</v>
      </c>
      <c r="E1008" s="44" t="s">
        <v>1130</v>
      </c>
      <c r="F1008" s="44" t="s">
        <v>2192</v>
      </c>
      <c r="G1008" s="44" t="s">
        <v>2043</v>
      </c>
      <c r="H1008" s="44" t="s">
        <v>1124</v>
      </c>
      <c r="I1008" s="44" t="s">
        <v>1106</v>
      </c>
      <c r="J1008" s="44">
        <v>183</v>
      </c>
      <c r="K1008" s="44" t="s">
        <v>2201</v>
      </c>
      <c r="L1008" s="44"/>
      <c r="M1008" s="44" t="s">
        <v>2033</v>
      </c>
      <c r="N1008" s="45">
        <v>5046744</v>
      </c>
      <c r="O1008" s="46">
        <f t="shared" si="33"/>
        <v>5046.7439999999997</v>
      </c>
      <c r="P1008" s="47">
        <f>DGKC!G51</f>
        <v>5046.7439999999997</v>
      </c>
      <c r="Q1008" s="44" t="str">
        <f t="shared" si="32"/>
        <v>PASS</v>
      </c>
      <c r="R1008" s="44" t="s">
        <v>1587</v>
      </c>
      <c r="S1008" s="44"/>
    </row>
    <row r="1009" spans="1:19" x14ac:dyDescent="0.3">
      <c r="A1009" s="44" t="s">
        <v>2202</v>
      </c>
      <c r="B1009" s="44" t="s">
        <v>86</v>
      </c>
      <c r="C1009" s="44" t="s">
        <v>29</v>
      </c>
      <c r="D1009" s="44" t="s">
        <v>1284</v>
      </c>
      <c r="E1009" s="44" t="s">
        <v>1130</v>
      </c>
      <c r="F1009" s="44" t="s">
        <v>2192</v>
      </c>
      <c r="G1009" s="44" t="s">
        <v>2043</v>
      </c>
      <c r="H1009" s="44" t="s">
        <v>1124</v>
      </c>
      <c r="I1009" s="44" t="s">
        <v>1127</v>
      </c>
      <c r="J1009" s="44">
        <v>183</v>
      </c>
      <c r="K1009" s="44" t="s">
        <v>2201</v>
      </c>
      <c r="L1009" s="44"/>
      <c r="M1009" s="44" t="s">
        <v>2033</v>
      </c>
      <c r="N1009" s="45">
        <v>3900142</v>
      </c>
      <c r="O1009" s="46">
        <f t="shared" si="33"/>
        <v>3900.1419999999998</v>
      </c>
      <c r="P1009" s="47">
        <f>DGKC!H51</f>
        <v>3900.1419999999998</v>
      </c>
      <c r="Q1009" s="44" t="str">
        <f t="shared" si="32"/>
        <v>PASS</v>
      </c>
      <c r="R1009" s="44" t="s">
        <v>1587</v>
      </c>
      <c r="S1009" s="44"/>
    </row>
    <row r="1010" spans="1:19" x14ac:dyDescent="0.3">
      <c r="A1010" s="44" t="s">
        <v>2203</v>
      </c>
      <c r="B1010" s="44" t="s">
        <v>86</v>
      </c>
      <c r="C1010" s="44" t="s">
        <v>965</v>
      </c>
      <c r="D1010" s="44" t="s">
        <v>304</v>
      </c>
      <c r="E1010" s="44" t="s">
        <v>1035</v>
      </c>
      <c r="F1010" s="44"/>
      <c r="G1010" s="44" t="s">
        <v>2031</v>
      </c>
      <c r="H1010" s="44" t="s">
        <v>1105</v>
      </c>
      <c r="I1010" s="44" t="s">
        <v>1106</v>
      </c>
      <c r="J1010" s="44">
        <v>105</v>
      </c>
      <c r="K1010" s="44" t="s">
        <v>2058</v>
      </c>
      <c r="L1010" s="44"/>
      <c r="M1010" s="44" t="s">
        <v>2033</v>
      </c>
      <c r="N1010" s="45">
        <v>0</v>
      </c>
      <c r="O1010" s="46">
        <f t="shared" si="33"/>
        <v>0</v>
      </c>
      <c r="P1010" s="47">
        <f>DGKC!C52</f>
        <v>0</v>
      </c>
      <c r="Q1010" s="44" t="str">
        <f t="shared" si="32"/>
        <v>PASS</v>
      </c>
      <c r="R1010" s="44" t="s">
        <v>1587</v>
      </c>
      <c r="S1010" s="44"/>
    </row>
    <row r="1011" spans="1:19" x14ac:dyDescent="0.3">
      <c r="A1011" s="44" t="s">
        <v>2204</v>
      </c>
      <c r="B1011" s="44" t="s">
        <v>86</v>
      </c>
      <c r="C1011" s="44" t="s">
        <v>20</v>
      </c>
      <c r="D1011" s="44" t="s">
        <v>304</v>
      </c>
      <c r="E1011" s="44" t="s">
        <v>1035</v>
      </c>
      <c r="F1011" s="44"/>
      <c r="G1011" s="44" t="s">
        <v>2035</v>
      </c>
      <c r="H1011" s="44" t="s">
        <v>1113</v>
      </c>
      <c r="I1011" s="44" t="s">
        <v>1106</v>
      </c>
      <c r="J1011" s="44">
        <v>125</v>
      </c>
      <c r="K1011" s="44" t="s">
        <v>2060</v>
      </c>
      <c r="L1011" s="44"/>
      <c r="M1011" s="44" t="s">
        <v>2033</v>
      </c>
      <c r="N1011" s="45">
        <v>0</v>
      </c>
      <c r="O1011" s="46">
        <f t="shared" si="33"/>
        <v>0</v>
      </c>
      <c r="P1011" s="47">
        <f>DGKC!D52</f>
        <v>0</v>
      </c>
      <c r="Q1011" s="44" t="str">
        <f t="shared" si="32"/>
        <v>PASS</v>
      </c>
      <c r="R1011" s="44" t="s">
        <v>1587</v>
      </c>
      <c r="S1011" s="44"/>
    </row>
    <row r="1012" spans="1:19" x14ac:dyDescent="0.3">
      <c r="A1012" s="44" t="s">
        <v>2205</v>
      </c>
      <c r="B1012" s="44" t="s">
        <v>86</v>
      </c>
      <c r="C1012" s="44" t="s">
        <v>26</v>
      </c>
      <c r="D1012" s="44" t="s">
        <v>304</v>
      </c>
      <c r="E1012" s="44" t="s">
        <v>1035</v>
      </c>
      <c r="F1012" s="44"/>
      <c r="G1012" s="44" t="s">
        <v>2038</v>
      </c>
      <c r="H1012" s="44" t="s">
        <v>1117</v>
      </c>
      <c r="I1012" s="44" t="s">
        <v>1106</v>
      </c>
      <c r="J1012" s="44">
        <v>151</v>
      </c>
      <c r="K1012" s="44" t="s">
        <v>2062</v>
      </c>
      <c r="L1012" s="44"/>
      <c r="M1012" s="44" t="s">
        <v>2033</v>
      </c>
      <c r="N1012" s="45">
        <v>0</v>
      </c>
      <c r="O1012" s="46">
        <f t="shared" si="33"/>
        <v>0</v>
      </c>
      <c r="P1012" s="47">
        <f>DGKC!E52</f>
        <v>0</v>
      </c>
      <c r="Q1012" s="44" t="str">
        <f t="shared" si="32"/>
        <v>PASS</v>
      </c>
      <c r="R1012" s="44" t="s">
        <v>1587</v>
      </c>
      <c r="S1012" s="44"/>
    </row>
    <row r="1013" spans="1:19" x14ac:dyDescent="0.3">
      <c r="A1013" s="44" t="s">
        <v>2206</v>
      </c>
      <c r="B1013" s="44" t="s">
        <v>86</v>
      </c>
      <c r="C1013" s="44" t="s">
        <v>27</v>
      </c>
      <c r="D1013" s="44" t="s">
        <v>304</v>
      </c>
      <c r="E1013" s="44" t="s">
        <v>1035</v>
      </c>
      <c r="F1013" s="44"/>
      <c r="G1013" s="44" t="s">
        <v>2041</v>
      </c>
      <c r="H1013" s="44" t="s">
        <v>1120</v>
      </c>
      <c r="I1013" s="44" t="s">
        <v>1106</v>
      </c>
      <c r="J1013" s="44">
        <v>151</v>
      </c>
      <c r="K1013" s="44" t="s">
        <v>2062</v>
      </c>
      <c r="L1013" s="44"/>
      <c r="M1013" s="44" t="s">
        <v>2033</v>
      </c>
      <c r="N1013" s="45">
        <v>0</v>
      </c>
      <c r="O1013" s="46">
        <f t="shared" si="33"/>
        <v>0</v>
      </c>
      <c r="P1013" s="47">
        <f>DGKC!F52</f>
        <v>0</v>
      </c>
      <c r="Q1013" s="44" t="str">
        <f t="shared" si="32"/>
        <v>PASS</v>
      </c>
      <c r="R1013" s="44" t="s">
        <v>1587</v>
      </c>
      <c r="S1013" s="44"/>
    </row>
    <row r="1014" spans="1:19" x14ac:dyDescent="0.3">
      <c r="A1014" s="44" t="s">
        <v>2207</v>
      </c>
      <c r="B1014" s="44" t="s">
        <v>86</v>
      </c>
      <c r="C1014" s="44" t="s">
        <v>28</v>
      </c>
      <c r="D1014" s="44" t="s">
        <v>304</v>
      </c>
      <c r="E1014" s="44" t="s">
        <v>1035</v>
      </c>
      <c r="F1014" s="44"/>
      <c r="G1014" s="44" t="s">
        <v>2043</v>
      </c>
      <c r="H1014" s="44" t="s">
        <v>1124</v>
      </c>
      <c r="I1014" s="44" t="s">
        <v>1106</v>
      </c>
      <c r="J1014" s="44">
        <v>153</v>
      </c>
      <c r="K1014" s="44" t="s">
        <v>2065</v>
      </c>
      <c r="L1014" s="44"/>
      <c r="M1014" s="44" t="s">
        <v>2033</v>
      </c>
      <c r="N1014" s="45">
        <v>0</v>
      </c>
      <c r="O1014" s="46">
        <f t="shared" si="33"/>
        <v>0</v>
      </c>
      <c r="P1014" s="47">
        <f>DGKC!G52</f>
        <v>0</v>
      </c>
      <c r="Q1014" s="44" t="str">
        <f t="shared" si="32"/>
        <v>PASS</v>
      </c>
      <c r="R1014" s="44" t="s">
        <v>1587</v>
      </c>
      <c r="S1014" s="44"/>
    </row>
    <row r="1015" spans="1:19" x14ac:dyDescent="0.3">
      <c r="A1015" s="44" t="s">
        <v>2208</v>
      </c>
      <c r="B1015" s="44" t="s">
        <v>86</v>
      </c>
      <c r="C1015" s="44" t="s">
        <v>29</v>
      </c>
      <c r="D1015" s="44" t="s">
        <v>304</v>
      </c>
      <c r="E1015" s="44" t="s">
        <v>1035</v>
      </c>
      <c r="F1015" s="44"/>
      <c r="G1015" s="44" t="s">
        <v>2043</v>
      </c>
      <c r="H1015" s="44" t="s">
        <v>1124</v>
      </c>
      <c r="I1015" s="44" t="s">
        <v>1127</v>
      </c>
      <c r="J1015" s="44">
        <v>153</v>
      </c>
      <c r="K1015" s="44" t="s">
        <v>2065</v>
      </c>
      <c r="L1015" s="44"/>
      <c r="M1015" s="44" t="s">
        <v>2033</v>
      </c>
      <c r="N1015" s="45">
        <v>0</v>
      </c>
      <c r="O1015" s="46">
        <f t="shared" si="33"/>
        <v>0</v>
      </c>
      <c r="P1015" s="47">
        <f>DGKC!H52</f>
        <v>0</v>
      </c>
      <c r="Q1015" s="44" t="str">
        <f t="shared" si="32"/>
        <v>PASS</v>
      </c>
      <c r="R1015" s="44" t="s">
        <v>1587</v>
      </c>
      <c r="S1015" s="44"/>
    </row>
    <row r="1016" spans="1:19" x14ac:dyDescent="0.3">
      <c r="A1016" s="44" t="s">
        <v>2209</v>
      </c>
      <c r="B1016" s="44" t="s">
        <v>86</v>
      </c>
      <c r="C1016" s="44" t="s">
        <v>965</v>
      </c>
      <c r="D1016" s="44" t="s">
        <v>306</v>
      </c>
      <c r="E1016" s="44" t="s">
        <v>1035</v>
      </c>
      <c r="F1016" s="44" t="s">
        <v>1760</v>
      </c>
      <c r="G1016" s="44" t="s">
        <v>2031</v>
      </c>
      <c r="H1016" s="44" t="s">
        <v>1105</v>
      </c>
      <c r="I1016" s="44" t="s">
        <v>1106</v>
      </c>
      <c r="J1016" s="44">
        <v>105</v>
      </c>
      <c r="K1016" s="44" t="s">
        <v>2058</v>
      </c>
      <c r="L1016" s="44" t="s">
        <v>1125</v>
      </c>
      <c r="M1016" s="44" t="s">
        <v>2033</v>
      </c>
      <c r="N1016" s="45">
        <v>712275</v>
      </c>
      <c r="O1016" s="46">
        <f t="shared" si="33"/>
        <v>712.27499999999998</v>
      </c>
      <c r="P1016" s="47">
        <f>DGKC!C53</f>
        <v>712.27499999999998</v>
      </c>
      <c r="Q1016" s="44" t="str">
        <f t="shared" si="32"/>
        <v>PASS</v>
      </c>
      <c r="R1016" s="44" t="s">
        <v>1587</v>
      </c>
      <c r="S1016" s="44"/>
    </row>
    <row r="1017" spans="1:19" x14ac:dyDescent="0.3">
      <c r="A1017" s="44" t="s">
        <v>2210</v>
      </c>
      <c r="B1017" s="44" t="s">
        <v>86</v>
      </c>
      <c r="C1017" s="44" t="s">
        <v>20</v>
      </c>
      <c r="D1017" s="44" t="s">
        <v>306</v>
      </c>
      <c r="E1017" s="44" t="s">
        <v>1035</v>
      </c>
      <c r="F1017" s="44" t="s">
        <v>1760</v>
      </c>
      <c r="G1017" s="44" t="s">
        <v>2035</v>
      </c>
      <c r="H1017" s="44" t="s">
        <v>1113</v>
      </c>
      <c r="I1017" s="44" t="s">
        <v>1106</v>
      </c>
      <c r="J1017" s="44">
        <v>125</v>
      </c>
      <c r="K1017" s="44" t="s">
        <v>2060</v>
      </c>
      <c r="L1017" s="44" t="s">
        <v>1121</v>
      </c>
      <c r="M1017" s="44" t="s">
        <v>2033</v>
      </c>
      <c r="N1017" s="45">
        <v>507769</v>
      </c>
      <c r="O1017" s="46">
        <f t="shared" si="33"/>
        <v>507.76900000000001</v>
      </c>
      <c r="P1017" s="47">
        <f>DGKC!D53</f>
        <v>507.76900000000001</v>
      </c>
      <c r="Q1017" s="44" t="str">
        <f t="shared" si="32"/>
        <v>PASS</v>
      </c>
      <c r="R1017" s="44" t="s">
        <v>1587</v>
      </c>
      <c r="S1017" s="44"/>
    </row>
    <row r="1018" spans="1:19" x14ac:dyDescent="0.3">
      <c r="A1018" s="44" t="s">
        <v>2211</v>
      </c>
      <c r="B1018" s="44" t="s">
        <v>86</v>
      </c>
      <c r="C1018" s="44" t="s">
        <v>26</v>
      </c>
      <c r="D1018" s="44" t="s">
        <v>306</v>
      </c>
      <c r="E1018" s="44" t="s">
        <v>1035</v>
      </c>
      <c r="F1018" s="44" t="s">
        <v>1760</v>
      </c>
      <c r="G1018" s="44" t="s">
        <v>2038</v>
      </c>
      <c r="H1018" s="44" t="s">
        <v>1117</v>
      </c>
      <c r="I1018" s="44" t="s">
        <v>1106</v>
      </c>
      <c r="J1018" s="44">
        <v>151</v>
      </c>
      <c r="K1018" s="44" t="s">
        <v>2062</v>
      </c>
      <c r="L1018" s="44" t="s">
        <v>1121</v>
      </c>
      <c r="M1018" s="44" t="s">
        <v>2033</v>
      </c>
      <c r="N1018" s="45">
        <v>883229</v>
      </c>
      <c r="O1018" s="46">
        <f t="shared" si="33"/>
        <v>883.22900000000004</v>
      </c>
      <c r="P1018" s="47">
        <f>DGKC!E53</f>
        <v>883.22900000000004</v>
      </c>
      <c r="Q1018" s="44" t="str">
        <f t="shared" si="32"/>
        <v>PASS</v>
      </c>
      <c r="R1018" s="44" t="s">
        <v>1587</v>
      </c>
      <c r="S1018" s="44"/>
    </row>
    <row r="1019" spans="1:19" x14ac:dyDescent="0.3">
      <c r="A1019" s="44" t="s">
        <v>2212</v>
      </c>
      <c r="B1019" s="44" t="s">
        <v>86</v>
      </c>
      <c r="C1019" s="44" t="s">
        <v>27</v>
      </c>
      <c r="D1019" s="44" t="s">
        <v>306</v>
      </c>
      <c r="E1019" s="44" t="s">
        <v>1035</v>
      </c>
      <c r="F1019" s="44" t="s">
        <v>1002</v>
      </c>
      <c r="G1019" s="44" t="s">
        <v>2041</v>
      </c>
      <c r="H1019" s="44" t="s">
        <v>1120</v>
      </c>
      <c r="I1019" s="44" t="s">
        <v>1106</v>
      </c>
      <c r="J1019" s="44">
        <v>151</v>
      </c>
      <c r="K1019" s="44" t="s">
        <v>2062</v>
      </c>
      <c r="L1019" s="44" t="s">
        <v>1121</v>
      </c>
      <c r="M1019" s="44" t="s">
        <v>2033</v>
      </c>
      <c r="N1019" s="45">
        <v>1739547</v>
      </c>
      <c r="O1019" s="46">
        <f t="shared" si="33"/>
        <v>1739.547</v>
      </c>
      <c r="P1019" s="47">
        <f>DGKC!F53</f>
        <v>1739.547</v>
      </c>
      <c r="Q1019" s="44" t="str">
        <f t="shared" si="32"/>
        <v>PASS</v>
      </c>
      <c r="R1019" s="44" t="s">
        <v>1587</v>
      </c>
      <c r="S1019" s="44"/>
    </row>
    <row r="1020" spans="1:19" x14ac:dyDescent="0.3">
      <c r="A1020" s="44" t="s">
        <v>2213</v>
      </c>
      <c r="B1020" s="44" t="s">
        <v>86</v>
      </c>
      <c r="C1020" s="44" t="s">
        <v>28</v>
      </c>
      <c r="D1020" s="44" t="s">
        <v>306</v>
      </c>
      <c r="E1020" s="44" t="s">
        <v>1035</v>
      </c>
      <c r="F1020" s="44" t="s">
        <v>1002</v>
      </c>
      <c r="G1020" s="44" t="s">
        <v>2043</v>
      </c>
      <c r="H1020" s="44" t="s">
        <v>1124</v>
      </c>
      <c r="I1020" s="44" t="s">
        <v>1106</v>
      </c>
      <c r="J1020" s="44">
        <v>153</v>
      </c>
      <c r="K1020" s="44" t="s">
        <v>2065</v>
      </c>
      <c r="L1020" s="44" t="s">
        <v>1121</v>
      </c>
      <c r="M1020" s="44" t="s">
        <v>2033</v>
      </c>
      <c r="N1020" s="45">
        <v>1280446</v>
      </c>
      <c r="O1020" s="46">
        <f t="shared" si="33"/>
        <v>1280.4459999999999</v>
      </c>
      <c r="P1020" s="47">
        <f>DGKC!G53</f>
        <v>1280.4459999999999</v>
      </c>
      <c r="Q1020" s="44" t="str">
        <f t="shared" ref="Q1020:Q1083" si="34">IF(ABS(O1020-P1020)&lt;0.000001,"PASS","FAIL")</f>
        <v>PASS</v>
      </c>
      <c r="R1020" s="44" t="s">
        <v>1587</v>
      </c>
      <c r="S1020" s="44"/>
    </row>
    <row r="1021" spans="1:19" x14ac:dyDescent="0.3">
      <c r="A1021" s="44" t="s">
        <v>2214</v>
      </c>
      <c r="B1021" s="44" t="s">
        <v>86</v>
      </c>
      <c r="C1021" s="44" t="s">
        <v>29</v>
      </c>
      <c r="D1021" s="44" t="s">
        <v>306</v>
      </c>
      <c r="E1021" s="44" t="s">
        <v>1035</v>
      </c>
      <c r="F1021" s="44" t="s">
        <v>1002</v>
      </c>
      <c r="G1021" s="44" t="s">
        <v>2043</v>
      </c>
      <c r="H1021" s="44" t="s">
        <v>1124</v>
      </c>
      <c r="I1021" s="44" t="s">
        <v>1127</v>
      </c>
      <c r="J1021" s="44">
        <v>153</v>
      </c>
      <c r="K1021" s="44" t="s">
        <v>2065</v>
      </c>
      <c r="L1021" s="44" t="s">
        <v>1121</v>
      </c>
      <c r="M1021" s="44" t="s">
        <v>2033</v>
      </c>
      <c r="N1021" s="45">
        <v>229652</v>
      </c>
      <c r="O1021" s="46">
        <f t="shared" si="33"/>
        <v>229.65199999999999</v>
      </c>
      <c r="P1021" s="47">
        <f>DGKC!H53</f>
        <v>229.65199999999999</v>
      </c>
      <c r="Q1021" s="44" t="str">
        <f t="shared" si="34"/>
        <v>PASS</v>
      </c>
      <c r="R1021" s="44" t="s">
        <v>1587</v>
      </c>
      <c r="S1021" s="44"/>
    </row>
    <row r="1022" spans="1:19" x14ac:dyDescent="0.3">
      <c r="A1022" s="44" t="s">
        <v>2215</v>
      </c>
      <c r="B1022" s="44" t="s">
        <v>86</v>
      </c>
      <c r="C1022" s="44" t="s">
        <v>965</v>
      </c>
      <c r="D1022" s="44" t="s">
        <v>308</v>
      </c>
      <c r="E1022" s="44" t="s">
        <v>1035</v>
      </c>
      <c r="F1022" s="44" t="s">
        <v>1310</v>
      </c>
      <c r="G1022" s="44" t="s">
        <v>2031</v>
      </c>
      <c r="H1022" s="44" t="s">
        <v>1105</v>
      </c>
      <c r="I1022" s="44" t="s">
        <v>1106</v>
      </c>
      <c r="J1022" s="44">
        <v>105</v>
      </c>
      <c r="K1022" s="44" t="s">
        <v>2058</v>
      </c>
      <c r="L1022" s="44" t="s">
        <v>1121</v>
      </c>
      <c r="M1022" s="44" t="s">
        <v>2033</v>
      </c>
      <c r="N1022" s="45">
        <v>23495967</v>
      </c>
      <c r="O1022" s="46">
        <f t="shared" si="33"/>
        <v>23495.967000000001</v>
      </c>
      <c r="P1022" s="47">
        <f>DGKC!C54</f>
        <v>23495.967000000001</v>
      </c>
      <c r="Q1022" s="44" t="str">
        <f t="shared" si="34"/>
        <v>PASS</v>
      </c>
      <c r="R1022" s="44" t="s">
        <v>1587</v>
      </c>
      <c r="S1022" s="44"/>
    </row>
    <row r="1023" spans="1:19" x14ac:dyDescent="0.3">
      <c r="A1023" s="44" t="s">
        <v>2216</v>
      </c>
      <c r="B1023" s="44" t="s">
        <v>86</v>
      </c>
      <c r="C1023" s="44" t="s">
        <v>20</v>
      </c>
      <c r="D1023" s="44" t="s">
        <v>308</v>
      </c>
      <c r="E1023" s="44" t="s">
        <v>1035</v>
      </c>
      <c r="F1023" s="44" t="s">
        <v>2217</v>
      </c>
      <c r="G1023" s="44" t="s">
        <v>2035</v>
      </c>
      <c r="H1023" s="44" t="s">
        <v>1113</v>
      </c>
      <c r="I1023" s="44" t="s">
        <v>1106</v>
      </c>
      <c r="J1023" s="44">
        <v>125</v>
      </c>
      <c r="K1023" s="44" t="s">
        <v>2060</v>
      </c>
      <c r="L1023" s="44" t="s">
        <v>1125</v>
      </c>
      <c r="M1023" s="44" t="s">
        <v>2033</v>
      </c>
      <c r="N1023" s="45">
        <v>18362050</v>
      </c>
      <c r="O1023" s="46">
        <f t="shared" si="33"/>
        <v>18362.05</v>
      </c>
      <c r="P1023" s="47">
        <f>DGKC!D54</f>
        <v>18362.05</v>
      </c>
      <c r="Q1023" s="44" t="str">
        <f t="shared" si="34"/>
        <v>PASS</v>
      </c>
      <c r="R1023" s="44" t="s">
        <v>1587</v>
      </c>
      <c r="S1023" s="44"/>
    </row>
    <row r="1024" spans="1:19" x14ac:dyDescent="0.3">
      <c r="A1024" s="44" t="s">
        <v>2218</v>
      </c>
      <c r="B1024" s="44" t="s">
        <v>86</v>
      </c>
      <c r="C1024" s="44" t="s">
        <v>26</v>
      </c>
      <c r="D1024" s="44" t="s">
        <v>308</v>
      </c>
      <c r="E1024" s="44" t="s">
        <v>1035</v>
      </c>
      <c r="F1024" s="44" t="s">
        <v>2217</v>
      </c>
      <c r="G1024" s="44" t="s">
        <v>2038</v>
      </c>
      <c r="H1024" s="44" t="s">
        <v>1117</v>
      </c>
      <c r="I1024" s="44" t="s">
        <v>1106</v>
      </c>
      <c r="J1024" s="44">
        <v>151</v>
      </c>
      <c r="K1024" s="44" t="s">
        <v>2062</v>
      </c>
      <c r="L1024" s="44" t="s">
        <v>1125</v>
      </c>
      <c r="M1024" s="44" t="s">
        <v>2033</v>
      </c>
      <c r="N1024" s="45">
        <v>25210506</v>
      </c>
      <c r="O1024" s="46">
        <f t="shared" si="33"/>
        <v>25210.506000000001</v>
      </c>
      <c r="P1024" s="47">
        <f>DGKC!E54</f>
        <v>25210.506000000001</v>
      </c>
      <c r="Q1024" s="44" t="str">
        <f t="shared" si="34"/>
        <v>PASS</v>
      </c>
      <c r="R1024" s="44" t="s">
        <v>1587</v>
      </c>
      <c r="S1024" s="44"/>
    </row>
    <row r="1025" spans="1:19" x14ac:dyDescent="0.3">
      <c r="A1025" s="44" t="s">
        <v>2219</v>
      </c>
      <c r="B1025" s="44" t="s">
        <v>86</v>
      </c>
      <c r="C1025" s="44" t="s">
        <v>27</v>
      </c>
      <c r="D1025" s="44" t="s">
        <v>308</v>
      </c>
      <c r="E1025" s="44" t="s">
        <v>1035</v>
      </c>
      <c r="F1025" s="44" t="s">
        <v>2217</v>
      </c>
      <c r="G1025" s="44" t="s">
        <v>2041</v>
      </c>
      <c r="H1025" s="44" t="s">
        <v>1120</v>
      </c>
      <c r="I1025" s="44" t="s">
        <v>1106</v>
      </c>
      <c r="J1025" s="44">
        <v>151</v>
      </c>
      <c r="K1025" s="44" t="s">
        <v>2062</v>
      </c>
      <c r="L1025" s="44" t="s">
        <v>1125</v>
      </c>
      <c r="M1025" s="44" t="s">
        <v>2033</v>
      </c>
      <c r="N1025" s="45">
        <v>25494293</v>
      </c>
      <c r="O1025" s="46">
        <f t="shared" si="33"/>
        <v>25494.293000000001</v>
      </c>
      <c r="P1025" s="47">
        <f>DGKC!F54</f>
        <v>25494.293000000001</v>
      </c>
      <c r="Q1025" s="44" t="str">
        <f t="shared" si="34"/>
        <v>PASS</v>
      </c>
      <c r="R1025" s="44" t="s">
        <v>1587</v>
      </c>
      <c r="S1025" s="44"/>
    </row>
    <row r="1026" spans="1:19" x14ac:dyDescent="0.3">
      <c r="A1026" s="44" t="s">
        <v>2220</v>
      </c>
      <c r="B1026" s="44" t="s">
        <v>86</v>
      </c>
      <c r="C1026" s="44" t="s">
        <v>28</v>
      </c>
      <c r="D1026" s="44" t="s">
        <v>308</v>
      </c>
      <c r="E1026" s="44" t="s">
        <v>1035</v>
      </c>
      <c r="F1026" s="44" t="s">
        <v>2217</v>
      </c>
      <c r="G1026" s="44" t="s">
        <v>2043</v>
      </c>
      <c r="H1026" s="44" t="s">
        <v>1124</v>
      </c>
      <c r="I1026" s="44" t="s">
        <v>1106</v>
      </c>
      <c r="J1026" s="44">
        <v>153</v>
      </c>
      <c r="K1026" s="44" t="s">
        <v>2065</v>
      </c>
      <c r="L1026" s="44" t="s">
        <v>1125</v>
      </c>
      <c r="M1026" s="44" t="s">
        <v>2033</v>
      </c>
      <c r="N1026" s="45">
        <v>13064718</v>
      </c>
      <c r="O1026" s="46">
        <f t="shared" si="33"/>
        <v>13064.718000000001</v>
      </c>
      <c r="P1026" s="47">
        <f>DGKC!G54</f>
        <v>13064.718000000001</v>
      </c>
      <c r="Q1026" s="44" t="str">
        <f t="shared" si="34"/>
        <v>PASS</v>
      </c>
      <c r="R1026" s="44" t="s">
        <v>1587</v>
      </c>
      <c r="S1026" s="44"/>
    </row>
    <row r="1027" spans="1:19" x14ac:dyDescent="0.3">
      <c r="A1027" s="44" t="s">
        <v>2221</v>
      </c>
      <c r="B1027" s="44" t="s">
        <v>86</v>
      </c>
      <c r="C1027" s="44" t="s">
        <v>29</v>
      </c>
      <c r="D1027" s="44" t="s">
        <v>308</v>
      </c>
      <c r="E1027" s="44" t="s">
        <v>1035</v>
      </c>
      <c r="F1027" s="44" t="s">
        <v>2217</v>
      </c>
      <c r="G1027" s="44" t="s">
        <v>2043</v>
      </c>
      <c r="H1027" s="44" t="s">
        <v>1124</v>
      </c>
      <c r="I1027" s="44" t="s">
        <v>1127</v>
      </c>
      <c r="J1027" s="44">
        <v>153</v>
      </c>
      <c r="K1027" s="44" t="s">
        <v>2065</v>
      </c>
      <c r="L1027" s="44" t="s">
        <v>1125</v>
      </c>
      <c r="M1027" s="44" t="s">
        <v>2033</v>
      </c>
      <c r="N1027" s="45">
        <v>9878499</v>
      </c>
      <c r="O1027" s="46">
        <f t="shared" si="33"/>
        <v>9878.4989999999998</v>
      </c>
      <c r="P1027" s="47">
        <f>DGKC!H54</f>
        <v>9878.4989999999998</v>
      </c>
      <c r="Q1027" s="44" t="str">
        <f t="shared" si="34"/>
        <v>PASS</v>
      </c>
      <c r="R1027" s="44" t="s">
        <v>1587</v>
      </c>
      <c r="S1027" s="44"/>
    </row>
    <row r="1028" spans="1:19" x14ac:dyDescent="0.3">
      <c r="A1028" s="44" t="s">
        <v>2222</v>
      </c>
      <c r="B1028" s="44" t="s">
        <v>86</v>
      </c>
      <c r="C1028" s="44" t="s">
        <v>965</v>
      </c>
      <c r="D1028" s="44" t="s">
        <v>310</v>
      </c>
      <c r="E1028" s="44" t="s">
        <v>1035</v>
      </c>
      <c r="F1028" s="44" t="s">
        <v>2223</v>
      </c>
      <c r="G1028" s="44" t="s">
        <v>2031</v>
      </c>
      <c r="H1028" s="44" t="s">
        <v>1105</v>
      </c>
      <c r="I1028" s="44" t="s">
        <v>1106</v>
      </c>
      <c r="J1028" s="44">
        <v>125</v>
      </c>
      <c r="K1028" s="44" t="s">
        <v>2224</v>
      </c>
      <c r="L1028" s="44"/>
      <c r="M1028" s="44" t="s">
        <v>2033</v>
      </c>
      <c r="N1028" s="45">
        <v>2010621</v>
      </c>
      <c r="O1028" s="46">
        <f t="shared" si="33"/>
        <v>2010.6210000000001</v>
      </c>
      <c r="P1028" s="47">
        <f>DGKC!C55</f>
        <v>2010.6210000000001</v>
      </c>
      <c r="Q1028" s="44" t="str">
        <f t="shared" si="34"/>
        <v>PASS</v>
      </c>
      <c r="R1028" s="44" t="s">
        <v>1587</v>
      </c>
      <c r="S1028" s="44" t="s">
        <v>2225</v>
      </c>
    </row>
    <row r="1029" spans="1:19" x14ac:dyDescent="0.3">
      <c r="A1029" s="44" t="s">
        <v>2226</v>
      </c>
      <c r="B1029" s="44" t="s">
        <v>86</v>
      </c>
      <c r="C1029" s="44" t="s">
        <v>20</v>
      </c>
      <c r="D1029" s="44" t="s">
        <v>310</v>
      </c>
      <c r="E1029" s="44" t="s">
        <v>1035</v>
      </c>
      <c r="F1029" s="44" t="s">
        <v>2223</v>
      </c>
      <c r="G1029" s="44" t="s">
        <v>2035</v>
      </c>
      <c r="H1029" s="44" t="s">
        <v>1113</v>
      </c>
      <c r="I1029" s="44" t="s">
        <v>1106</v>
      </c>
      <c r="J1029" s="44">
        <v>144</v>
      </c>
      <c r="K1029" s="44" t="s">
        <v>2227</v>
      </c>
      <c r="L1029" s="44"/>
      <c r="M1029" s="44" t="s">
        <v>2033</v>
      </c>
      <c r="N1029" s="45">
        <v>6130703</v>
      </c>
      <c r="O1029" s="46">
        <f t="shared" si="33"/>
        <v>6130.7030000000004</v>
      </c>
      <c r="P1029" s="47">
        <f>DGKC!D55</f>
        <v>6130.7030000000004</v>
      </c>
      <c r="Q1029" s="44" t="str">
        <f t="shared" si="34"/>
        <v>PASS</v>
      </c>
      <c r="R1029" s="44" t="s">
        <v>1587</v>
      </c>
      <c r="S1029" s="44" t="s">
        <v>2225</v>
      </c>
    </row>
    <row r="1030" spans="1:19" x14ac:dyDescent="0.3">
      <c r="A1030" s="44" t="s">
        <v>2228</v>
      </c>
      <c r="B1030" s="44" t="s">
        <v>86</v>
      </c>
      <c r="C1030" s="44" t="s">
        <v>26</v>
      </c>
      <c r="D1030" s="44" t="s">
        <v>310</v>
      </c>
      <c r="E1030" s="44" t="s">
        <v>1035</v>
      </c>
      <c r="F1030" s="44" t="s">
        <v>2223</v>
      </c>
      <c r="G1030" s="44" t="s">
        <v>2038</v>
      </c>
      <c r="H1030" s="44" t="s">
        <v>1117</v>
      </c>
      <c r="I1030" s="44" t="s">
        <v>1106</v>
      </c>
      <c r="J1030" s="44">
        <v>170</v>
      </c>
      <c r="K1030" s="44" t="s">
        <v>2199</v>
      </c>
      <c r="L1030" s="44"/>
      <c r="M1030" s="44" t="s">
        <v>2033</v>
      </c>
      <c r="N1030" s="45">
        <v>7097166</v>
      </c>
      <c r="O1030" s="46">
        <f t="shared" si="33"/>
        <v>7097.1660000000002</v>
      </c>
      <c r="P1030" s="47">
        <f>DGKC!E55</f>
        <v>7097.1660000000002</v>
      </c>
      <c r="Q1030" s="44" t="str">
        <f t="shared" si="34"/>
        <v>PASS</v>
      </c>
      <c r="R1030" s="44" t="s">
        <v>1587</v>
      </c>
      <c r="S1030" s="44" t="s">
        <v>2225</v>
      </c>
    </row>
    <row r="1031" spans="1:19" x14ac:dyDescent="0.3">
      <c r="A1031" s="44" t="s">
        <v>2229</v>
      </c>
      <c r="B1031" s="44" t="s">
        <v>86</v>
      </c>
      <c r="C1031" s="44" t="s">
        <v>27</v>
      </c>
      <c r="D1031" s="44" t="s">
        <v>310</v>
      </c>
      <c r="E1031" s="44" t="s">
        <v>1035</v>
      </c>
      <c r="F1031" s="44" t="s">
        <v>2223</v>
      </c>
      <c r="G1031" s="44" t="s">
        <v>2041</v>
      </c>
      <c r="H1031" s="44" t="s">
        <v>1120</v>
      </c>
      <c r="I1031" s="44" t="s">
        <v>1106</v>
      </c>
      <c r="J1031" s="44">
        <v>172</v>
      </c>
      <c r="K1031" s="44" t="s">
        <v>2230</v>
      </c>
      <c r="L1031" s="44"/>
      <c r="M1031" s="44" t="s">
        <v>2033</v>
      </c>
      <c r="N1031" s="45">
        <v>7370364</v>
      </c>
      <c r="O1031" s="46">
        <f t="shared" si="33"/>
        <v>7370.3639999999996</v>
      </c>
      <c r="P1031" s="47">
        <f>DGKC!F55</f>
        <v>7370.3639999999996</v>
      </c>
      <c r="Q1031" s="44" t="str">
        <f t="shared" si="34"/>
        <v>PASS</v>
      </c>
      <c r="R1031" s="44" t="s">
        <v>1587</v>
      </c>
      <c r="S1031" s="44" t="s">
        <v>2225</v>
      </c>
    </row>
    <row r="1032" spans="1:19" x14ac:dyDescent="0.3">
      <c r="A1032" s="44" t="s">
        <v>2231</v>
      </c>
      <c r="B1032" s="44" t="s">
        <v>86</v>
      </c>
      <c r="C1032" s="44" t="s">
        <v>28</v>
      </c>
      <c r="D1032" s="44" t="s">
        <v>310</v>
      </c>
      <c r="E1032" s="44" t="s">
        <v>1035</v>
      </c>
      <c r="F1032" s="44" t="s">
        <v>2223</v>
      </c>
      <c r="G1032" s="44" t="s">
        <v>2043</v>
      </c>
      <c r="H1032" s="44" t="s">
        <v>1124</v>
      </c>
      <c r="I1032" s="44" t="s">
        <v>1106</v>
      </c>
      <c r="J1032" s="44">
        <v>173</v>
      </c>
      <c r="K1032" s="44" t="s">
        <v>2232</v>
      </c>
      <c r="L1032" s="44"/>
      <c r="M1032" s="44" t="s">
        <v>2033</v>
      </c>
      <c r="N1032" s="45">
        <v>5291972</v>
      </c>
      <c r="O1032" s="46">
        <f t="shared" si="33"/>
        <v>5291.9719999999998</v>
      </c>
      <c r="P1032" s="47">
        <f>DGKC!G55</f>
        <v>5291.9719999999998</v>
      </c>
      <c r="Q1032" s="44" t="str">
        <f t="shared" si="34"/>
        <v>PASS</v>
      </c>
      <c r="R1032" s="44" t="s">
        <v>1587</v>
      </c>
      <c r="S1032" s="44" t="s">
        <v>2225</v>
      </c>
    </row>
    <row r="1033" spans="1:19" x14ac:dyDescent="0.3">
      <c r="A1033" s="44" t="s">
        <v>2233</v>
      </c>
      <c r="B1033" s="44" t="s">
        <v>86</v>
      </c>
      <c r="C1033" s="44" t="s">
        <v>29</v>
      </c>
      <c r="D1033" s="44" t="s">
        <v>310</v>
      </c>
      <c r="E1033" s="44" t="s">
        <v>1035</v>
      </c>
      <c r="F1033" s="44" t="s">
        <v>2223</v>
      </c>
      <c r="G1033" s="44" t="s">
        <v>2043</v>
      </c>
      <c r="H1033" s="44" t="s">
        <v>1124</v>
      </c>
      <c r="I1033" s="44" t="s">
        <v>1127</v>
      </c>
      <c r="J1033" s="44">
        <v>173</v>
      </c>
      <c r="K1033" s="44" t="s">
        <v>2232</v>
      </c>
      <c r="L1033" s="44"/>
      <c r="M1033" s="44" t="s">
        <v>2033</v>
      </c>
      <c r="N1033" s="45">
        <v>1934772</v>
      </c>
      <c r="O1033" s="46">
        <f t="shared" si="33"/>
        <v>1934.7719999999999</v>
      </c>
      <c r="P1033" s="47">
        <f>DGKC!H55</f>
        <v>1934.7719999999999</v>
      </c>
      <c r="Q1033" s="44" t="str">
        <f t="shared" si="34"/>
        <v>PASS</v>
      </c>
      <c r="R1033" s="44" t="s">
        <v>1587</v>
      </c>
      <c r="S1033" s="44" t="s">
        <v>2225</v>
      </c>
    </row>
    <row r="1034" spans="1:19" x14ac:dyDescent="0.3">
      <c r="A1034" s="44" t="s">
        <v>2234</v>
      </c>
      <c r="B1034" s="44" t="s">
        <v>86</v>
      </c>
      <c r="C1034" s="44" t="s">
        <v>965</v>
      </c>
      <c r="D1034" s="44" t="s">
        <v>312</v>
      </c>
      <c r="E1034" s="44" t="s">
        <v>1035</v>
      </c>
      <c r="F1034" s="44"/>
      <c r="G1034" s="44" t="s">
        <v>2031</v>
      </c>
      <c r="H1034" s="44" t="s">
        <v>1105</v>
      </c>
      <c r="I1034" s="44" t="s">
        <v>1106</v>
      </c>
      <c r="J1034" s="44">
        <v>105</v>
      </c>
      <c r="K1034" s="44" t="s">
        <v>2058</v>
      </c>
      <c r="L1034" s="44"/>
      <c r="M1034" s="44" t="s">
        <v>2033</v>
      </c>
      <c r="N1034" s="45">
        <v>0</v>
      </c>
      <c r="O1034" s="46">
        <f t="shared" si="33"/>
        <v>0</v>
      </c>
      <c r="P1034" s="47">
        <f>DGKC!C56</f>
        <v>0</v>
      </c>
      <c r="Q1034" s="44" t="str">
        <f t="shared" si="34"/>
        <v>PASS</v>
      </c>
      <c r="R1034" s="44" t="s">
        <v>1587</v>
      </c>
      <c r="S1034" s="44"/>
    </row>
    <row r="1035" spans="1:19" x14ac:dyDescent="0.3">
      <c r="A1035" s="44" t="s">
        <v>2235</v>
      </c>
      <c r="B1035" s="44" t="s">
        <v>86</v>
      </c>
      <c r="C1035" s="44" t="s">
        <v>20</v>
      </c>
      <c r="D1035" s="44" t="s">
        <v>312</v>
      </c>
      <c r="E1035" s="44" t="s">
        <v>1035</v>
      </c>
      <c r="F1035" s="44"/>
      <c r="G1035" s="44" t="s">
        <v>2035</v>
      </c>
      <c r="H1035" s="44" t="s">
        <v>1113</v>
      </c>
      <c r="I1035" s="44" t="s">
        <v>1106</v>
      </c>
      <c r="J1035" s="44">
        <v>125</v>
      </c>
      <c r="K1035" s="44" t="s">
        <v>2060</v>
      </c>
      <c r="L1035" s="44"/>
      <c r="M1035" s="44" t="s">
        <v>2033</v>
      </c>
      <c r="N1035" s="45">
        <v>0</v>
      </c>
      <c r="O1035" s="46">
        <f t="shared" si="33"/>
        <v>0</v>
      </c>
      <c r="P1035" s="47">
        <f>DGKC!D56</f>
        <v>0</v>
      </c>
      <c r="Q1035" s="44" t="str">
        <f t="shared" si="34"/>
        <v>PASS</v>
      </c>
      <c r="R1035" s="44" t="s">
        <v>1587</v>
      </c>
      <c r="S1035" s="44"/>
    </row>
    <row r="1036" spans="1:19" x14ac:dyDescent="0.3">
      <c r="A1036" s="44" t="s">
        <v>2236</v>
      </c>
      <c r="B1036" s="44" t="s">
        <v>86</v>
      </c>
      <c r="C1036" s="44" t="s">
        <v>26</v>
      </c>
      <c r="D1036" s="44" t="s">
        <v>312</v>
      </c>
      <c r="E1036" s="44" t="s">
        <v>1035</v>
      </c>
      <c r="F1036" s="44"/>
      <c r="G1036" s="44" t="s">
        <v>2038</v>
      </c>
      <c r="H1036" s="44" t="s">
        <v>1117</v>
      </c>
      <c r="I1036" s="44" t="s">
        <v>1106</v>
      </c>
      <c r="J1036" s="44">
        <v>151</v>
      </c>
      <c r="K1036" s="44" t="s">
        <v>2062</v>
      </c>
      <c r="L1036" s="44"/>
      <c r="M1036" s="44" t="s">
        <v>2033</v>
      </c>
      <c r="N1036" s="45">
        <v>0</v>
      </c>
      <c r="O1036" s="46">
        <f t="shared" si="33"/>
        <v>0</v>
      </c>
      <c r="P1036" s="47">
        <f>DGKC!E56</f>
        <v>0</v>
      </c>
      <c r="Q1036" s="44" t="str">
        <f t="shared" si="34"/>
        <v>PASS</v>
      </c>
      <c r="R1036" s="44" t="s">
        <v>1587</v>
      </c>
      <c r="S1036" s="44"/>
    </row>
    <row r="1037" spans="1:19" x14ac:dyDescent="0.3">
      <c r="A1037" s="44" t="s">
        <v>2237</v>
      </c>
      <c r="B1037" s="44" t="s">
        <v>86</v>
      </c>
      <c r="C1037" s="44" t="s">
        <v>27</v>
      </c>
      <c r="D1037" s="44" t="s">
        <v>312</v>
      </c>
      <c r="E1037" s="44" t="s">
        <v>1035</v>
      </c>
      <c r="F1037" s="44"/>
      <c r="G1037" s="44" t="s">
        <v>2041</v>
      </c>
      <c r="H1037" s="44" t="s">
        <v>1120</v>
      </c>
      <c r="I1037" s="44" t="s">
        <v>1106</v>
      </c>
      <c r="J1037" s="44">
        <v>151</v>
      </c>
      <c r="K1037" s="44" t="s">
        <v>2062</v>
      </c>
      <c r="L1037" s="44"/>
      <c r="M1037" s="44" t="s">
        <v>2033</v>
      </c>
      <c r="N1037" s="45">
        <v>0</v>
      </c>
      <c r="O1037" s="46">
        <f t="shared" si="33"/>
        <v>0</v>
      </c>
      <c r="P1037" s="47">
        <f>DGKC!F56</f>
        <v>0</v>
      </c>
      <c r="Q1037" s="44" t="str">
        <f t="shared" si="34"/>
        <v>PASS</v>
      </c>
      <c r="R1037" s="44" t="s">
        <v>1587</v>
      </c>
      <c r="S1037" s="44"/>
    </row>
    <row r="1038" spans="1:19" x14ac:dyDescent="0.3">
      <c r="A1038" s="44" t="s">
        <v>2238</v>
      </c>
      <c r="B1038" s="44" t="s">
        <v>86</v>
      </c>
      <c r="C1038" s="44" t="s">
        <v>28</v>
      </c>
      <c r="D1038" s="44" t="s">
        <v>312</v>
      </c>
      <c r="E1038" s="44" t="s">
        <v>1035</v>
      </c>
      <c r="F1038" s="44"/>
      <c r="G1038" s="44" t="s">
        <v>2043</v>
      </c>
      <c r="H1038" s="44" t="s">
        <v>1124</v>
      </c>
      <c r="I1038" s="44" t="s">
        <v>1106</v>
      </c>
      <c r="J1038" s="44">
        <v>153</v>
      </c>
      <c r="K1038" s="44" t="s">
        <v>2065</v>
      </c>
      <c r="L1038" s="44"/>
      <c r="M1038" s="44" t="s">
        <v>2033</v>
      </c>
      <c r="N1038" s="45">
        <v>0</v>
      </c>
      <c r="O1038" s="46">
        <f t="shared" si="33"/>
        <v>0</v>
      </c>
      <c r="P1038" s="47">
        <f>DGKC!G56</f>
        <v>0</v>
      </c>
      <c r="Q1038" s="44" t="str">
        <f t="shared" si="34"/>
        <v>PASS</v>
      </c>
      <c r="R1038" s="44" t="s">
        <v>1587</v>
      </c>
      <c r="S1038" s="44"/>
    </row>
    <row r="1039" spans="1:19" x14ac:dyDescent="0.3">
      <c r="A1039" s="44" t="s">
        <v>2239</v>
      </c>
      <c r="B1039" s="44" t="s">
        <v>86</v>
      </c>
      <c r="C1039" s="44" t="s">
        <v>29</v>
      </c>
      <c r="D1039" s="44" t="s">
        <v>312</v>
      </c>
      <c r="E1039" s="44" t="s">
        <v>1035</v>
      </c>
      <c r="F1039" s="44"/>
      <c r="G1039" s="44" t="s">
        <v>2043</v>
      </c>
      <c r="H1039" s="44" t="s">
        <v>1124</v>
      </c>
      <c r="I1039" s="44" t="s">
        <v>1127</v>
      </c>
      <c r="J1039" s="44">
        <v>153</v>
      </c>
      <c r="K1039" s="44" t="s">
        <v>2065</v>
      </c>
      <c r="L1039" s="44"/>
      <c r="M1039" s="44" t="s">
        <v>2033</v>
      </c>
      <c r="N1039" s="45">
        <v>0</v>
      </c>
      <c r="O1039" s="46">
        <f t="shared" si="33"/>
        <v>0</v>
      </c>
      <c r="P1039" s="47">
        <f>DGKC!H56</f>
        <v>0</v>
      </c>
      <c r="Q1039" s="44" t="str">
        <f t="shared" si="34"/>
        <v>PASS</v>
      </c>
      <c r="R1039" s="44" t="s">
        <v>1587</v>
      </c>
      <c r="S1039" s="44"/>
    </row>
    <row r="1040" spans="1:19" x14ac:dyDescent="0.3">
      <c r="A1040" s="44" t="s">
        <v>2240</v>
      </c>
      <c r="B1040" s="44" t="s">
        <v>86</v>
      </c>
      <c r="C1040" s="44" t="s">
        <v>965</v>
      </c>
      <c r="D1040" s="44" t="s">
        <v>314</v>
      </c>
      <c r="E1040" s="44" t="s">
        <v>1035</v>
      </c>
      <c r="F1040" s="44"/>
      <c r="G1040" s="44" t="s">
        <v>2031</v>
      </c>
      <c r="H1040" s="44" t="s">
        <v>1105</v>
      </c>
      <c r="I1040" s="44" t="s">
        <v>1106</v>
      </c>
      <c r="J1040" s="44">
        <v>105</v>
      </c>
      <c r="K1040" s="44" t="s">
        <v>2058</v>
      </c>
      <c r="L1040" s="44"/>
      <c r="M1040" s="44" t="s">
        <v>2033</v>
      </c>
      <c r="N1040" s="45">
        <v>0</v>
      </c>
      <c r="O1040" s="46">
        <f t="shared" si="33"/>
        <v>0</v>
      </c>
      <c r="P1040" s="47">
        <f>DGKC!C57</f>
        <v>0</v>
      </c>
      <c r="Q1040" s="44" t="str">
        <f t="shared" si="34"/>
        <v>PASS</v>
      </c>
      <c r="R1040" s="44" t="s">
        <v>1587</v>
      </c>
      <c r="S1040" s="44"/>
    </row>
    <row r="1041" spans="1:19" x14ac:dyDescent="0.3">
      <c r="A1041" s="44" t="s">
        <v>2241</v>
      </c>
      <c r="B1041" s="44" t="s">
        <v>86</v>
      </c>
      <c r="C1041" s="44" t="s">
        <v>20</v>
      </c>
      <c r="D1041" s="44" t="s">
        <v>314</v>
      </c>
      <c r="E1041" s="44" t="s">
        <v>1035</v>
      </c>
      <c r="F1041" s="44"/>
      <c r="G1041" s="44" t="s">
        <v>2035</v>
      </c>
      <c r="H1041" s="44" t="s">
        <v>1113</v>
      </c>
      <c r="I1041" s="44" t="s">
        <v>1106</v>
      </c>
      <c r="J1041" s="44">
        <v>150</v>
      </c>
      <c r="K1041" s="44" t="s">
        <v>2060</v>
      </c>
      <c r="L1041" s="44"/>
      <c r="M1041" s="44" t="s">
        <v>2033</v>
      </c>
      <c r="N1041" s="45">
        <v>262523</v>
      </c>
      <c r="O1041" s="46">
        <f t="shared" si="33"/>
        <v>262.52300000000002</v>
      </c>
      <c r="P1041" s="47">
        <f>DGKC!D57</f>
        <v>262.52300000000002</v>
      </c>
      <c r="Q1041" s="44" t="str">
        <f t="shared" si="34"/>
        <v>PASS</v>
      </c>
      <c r="R1041" s="44" t="s">
        <v>1587</v>
      </c>
      <c r="S1041" s="44"/>
    </row>
    <row r="1042" spans="1:19" x14ac:dyDescent="0.3">
      <c r="A1042" s="44" t="s">
        <v>2242</v>
      </c>
      <c r="B1042" s="44" t="s">
        <v>86</v>
      </c>
      <c r="C1042" s="44" t="s">
        <v>26</v>
      </c>
      <c r="D1042" s="44" t="s">
        <v>314</v>
      </c>
      <c r="E1042" s="44" t="s">
        <v>1035</v>
      </c>
      <c r="F1042" s="44"/>
      <c r="G1042" s="44" t="s">
        <v>2038</v>
      </c>
      <c r="H1042" s="44" t="s">
        <v>1117</v>
      </c>
      <c r="I1042" s="44" t="s">
        <v>1106</v>
      </c>
      <c r="J1042" s="44">
        <v>175</v>
      </c>
      <c r="K1042" s="44" t="s">
        <v>2062</v>
      </c>
      <c r="L1042" s="44"/>
      <c r="M1042" s="44" t="s">
        <v>2033</v>
      </c>
      <c r="N1042" s="45">
        <v>213883</v>
      </c>
      <c r="O1042" s="46">
        <f t="shared" si="33"/>
        <v>213.88300000000001</v>
      </c>
      <c r="P1042" s="47">
        <f>DGKC!E57</f>
        <v>213.88300000000001</v>
      </c>
      <c r="Q1042" s="44" t="str">
        <f t="shared" si="34"/>
        <v>PASS</v>
      </c>
      <c r="R1042" s="44" t="s">
        <v>1587</v>
      </c>
      <c r="S1042" s="44"/>
    </row>
    <row r="1043" spans="1:19" x14ac:dyDescent="0.3">
      <c r="A1043" s="44" t="s">
        <v>2243</v>
      </c>
      <c r="B1043" s="44" t="s">
        <v>86</v>
      </c>
      <c r="C1043" s="44" t="s">
        <v>27</v>
      </c>
      <c r="D1043" s="44" t="s">
        <v>314</v>
      </c>
      <c r="E1043" s="44" t="s">
        <v>1035</v>
      </c>
      <c r="F1043" s="44"/>
      <c r="G1043" s="44" t="s">
        <v>2041</v>
      </c>
      <c r="H1043" s="44" t="s">
        <v>1120</v>
      </c>
      <c r="I1043" s="44" t="s">
        <v>1106</v>
      </c>
      <c r="J1043" s="44">
        <v>177</v>
      </c>
      <c r="K1043" s="44" t="s">
        <v>2062</v>
      </c>
      <c r="L1043" s="44"/>
      <c r="M1043" s="44" t="s">
        <v>2033</v>
      </c>
      <c r="N1043" s="45">
        <v>171581</v>
      </c>
      <c r="O1043" s="46">
        <f t="shared" si="33"/>
        <v>171.58099999999999</v>
      </c>
      <c r="P1043" s="47">
        <f>DGKC!F57</f>
        <v>171.58099999999999</v>
      </c>
      <c r="Q1043" s="44" t="str">
        <f t="shared" si="34"/>
        <v>PASS</v>
      </c>
      <c r="R1043" s="44" t="s">
        <v>1587</v>
      </c>
      <c r="S1043" s="44"/>
    </row>
    <row r="1044" spans="1:19" x14ac:dyDescent="0.3">
      <c r="A1044" s="44" t="s">
        <v>2244</v>
      </c>
      <c r="B1044" s="44" t="s">
        <v>86</v>
      </c>
      <c r="C1044" s="44" t="s">
        <v>28</v>
      </c>
      <c r="D1044" s="44" t="s">
        <v>314</v>
      </c>
      <c r="E1044" s="44" t="s">
        <v>1035</v>
      </c>
      <c r="F1044" s="44"/>
      <c r="G1044" s="44" t="s">
        <v>2043</v>
      </c>
      <c r="H1044" s="44" t="s">
        <v>1124</v>
      </c>
      <c r="I1044" s="44" t="s">
        <v>1106</v>
      </c>
      <c r="J1044" s="44">
        <v>178</v>
      </c>
      <c r="K1044" s="44" t="s">
        <v>2065</v>
      </c>
      <c r="L1044" s="44"/>
      <c r="M1044" s="44" t="s">
        <v>2033</v>
      </c>
      <c r="N1044" s="45">
        <v>124138</v>
      </c>
      <c r="O1044" s="46">
        <f t="shared" si="33"/>
        <v>124.13800000000001</v>
      </c>
      <c r="P1044" s="47">
        <f>DGKC!G57</f>
        <v>124.13800000000001</v>
      </c>
      <c r="Q1044" s="44" t="str">
        <f t="shared" si="34"/>
        <v>PASS</v>
      </c>
      <c r="R1044" s="44" t="s">
        <v>1587</v>
      </c>
      <c r="S1044" s="44"/>
    </row>
    <row r="1045" spans="1:19" x14ac:dyDescent="0.3">
      <c r="A1045" s="44" t="s">
        <v>2245</v>
      </c>
      <c r="B1045" s="44" t="s">
        <v>86</v>
      </c>
      <c r="C1045" s="44" t="s">
        <v>29</v>
      </c>
      <c r="D1045" s="44" t="s">
        <v>314</v>
      </c>
      <c r="E1045" s="44" t="s">
        <v>1035</v>
      </c>
      <c r="F1045" s="44"/>
      <c r="G1045" s="44" t="s">
        <v>2043</v>
      </c>
      <c r="H1045" s="44" t="s">
        <v>1124</v>
      </c>
      <c r="I1045" s="44" t="s">
        <v>1127</v>
      </c>
      <c r="J1045" s="44">
        <v>178</v>
      </c>
      <c r="K1045" s="44" t="s">
        <v>2065</v>
      </c>
      <c r="L1045" s="44"/>
      <c r="M1045" s="44" t="s">
        <v>2033</v>
      </c>
      <c r="N1045" s="45">
        <v>79465</v>
      </c>
      <c r="O1045" s="46">
        <f t="shared" si="33"/>
        <v>79.465000000000003</v>
      </c>
      <c r="P1045" s="47">
        <f>DGKC!H57</f>
        <v>79.465000000000003</v>
      </c>
      <c r="Q1045" s="44" t="str">
        <f t="shared" si="34"/>
        <v>PASS</v>
      </c>
      <c r="R1045" s="44" t="s">
        <v>1587</v>
      </c>
      <c r="S1045" s="44"/>
    </row>
    <row r="1046" spans="1:19" x14ac:dyDescent="0.3">
      <c r="A1046" s="44" t="s">
        <v>2246</v>
      </c>
      <c r="B1046" s="44" t="s">
        <v>86</v>
      </c>
      <c r="C1046" s="44" t="s">
        <v>965</v>
      </c>
      <c r="D1046" s="44" t="s">
        <v>316</v>
      </c>
      <c r="E1046" s="44" t="s">
        <v>1035</v>
      </c>
      <c r="F1046" s="44" t="s">
        <v>1798</v>
      </c>
      <c r="G1046" s="44" t="s">
        <v>2031</v>
      </c>
      <c r="H1046" s="44" t="s">
        <v>1105</v>
      </c>
      <c r="I1046" s="44" t="s">
        <v>1106</v>
      </c>
      <c r="J1046" s="44">
        <v>105</v>
      </c>
      <c r="K1046" s="44" t="s">
        <v>2058</v>
      </c>
      <c r="L1046" s="44"/>
      <c r="M1046" s="44" t="s">
        <v>2033</v>
      </c>
      <c r="N1046" s="45">
        <v>33837</v>
      </c>
      <c r="O1046" s="46">
        <f t="shared" si="33"/>
        <v>33.837000000000003</v>
      </c>
      <c r="P1046" s="47">
        <f>DGKC!C58</f>
        <v>33.837000000000003</v>
      </c>
      <c r="Q1046" s="44" t="str">
        <f t="shared" si="34"/>
        <v>PASS</v>
      </c>
      <c r="R1046" s="44" t="s">
        <v>1587</v>
      </c>
      <c r="S1046" s="44"/>
    </row>
    <row r="1047" spans="1:19" x14ac:dyDescent="0.3">
      <c r="A1047" s="44" t="s">
        <v>2247</v>
      </c>
      <c r="B1047" s="44" t="s">
        <v>86</v>
      </c>
      <c r="C1047" s="44" t="s">
        <v>20</v>
      </c>
      <c r="D1047" s="44" t="s">
        <v>316</v>
      </c>
      <c r="E1047" s="44" t="s">
        <v>1035</v>
      </c>
      <c r="F1047" s="44" t="s">
        <v>1798</v>
      </c>
      <c r="G1047" s="44" t="s">
        <v>2035</v>
      </c>
      <c r="H1047" s="44" t="s">
        <v>1113</v>
      </c>
      <c r="I1047" s="44" t="s">
        <v>1106</v>
      </c>
      <c r="J1047" s="44">
        <v>125</v>
      </c>
      <c r="K1047" s="44" t="s">
        <v>2060</v>
      </c>
      <c r="L1047" s="44"/>
      <c r="M1047" s="44" t="s">
        <v>2033</v>
      </c>
      <c r="N1047" s="45">
        <v>33517</v>
      </c>
      <c r="O1047" s="46">
        <f t="shared" si="33"/>
        <v>33.517000000000003</v>
      </c>
      <c r="P1047" s="47">
        <f>DGKC!D58</f>
        <v>33.517000000000003</v>
      </c>
      <c r="Q1047" s="44" t="str">
        <f t="shared" si="34"/>
        <v>PASS</v>
      </c>
      <c r="R1047" s="44" t="s">
        <v>1587</v>
      </c>
      <c r="S1047" s="44"/>
    </row>
    <row r="1048" spans="1:19" x14ac:dyDescent="0.3">
      <c r="A1048" s="44" t="s">
        <v>2248</v>
      </c>
      <c r="B1048" s="44" t="s">
        <v>86</v>
      </c>
      <c r="C1048" s="44" t="s">
        <v>26</v>
      </c>
      <c r="D1048" s="44" t="s">
        <v>316</v>
      </c>
      <c r="E1048" s="44" t="s">
        <v>1035</v>
      </c>
      <c r="F1048" s="44" t="s">
        <v>1798</v>
      </c>
      <c r="G1048" s="44" t="s">
        <v>2038</v>
      </c>
      <c r="H1048" s="44" t="s">
        <v>1117</v>
      </c>
      <c r="I1048" s="44" t="s">
        <v>1106</v>
      </c>
      <c r="J1048" s="44">
        <v>151</v>
      </c>
      <c r="K1048" s="44" t="s">
        <v>2062</v>
      </c>
      <c r="L1048" s="44"/>
      <c r="M1048" s="44" t="s">
        <v>2033</v>
      </c>
      <c r="N1048" s="45">
        <v>34512</v>
      </c>
      <c r="O1048" s="46">
        <f t="shared" si="33"/>
        <v>34.512</v>
      </c>
      <c r="P1048" s="47">
        <f>DGKC!E58</f>
        <v>34.512</v>
      </c>
      <c r="Q1048" s="44" t="str">
        <f t="shared" si="34"/>
        <v>PASS</v>
      </c>
      <c r="R1048" s="44" t="s">
        <v>1587</v>
      </c>
      <c r="S1048" s="44"/>
    </row>
    <row r="1049" spans="1:19" x14ac:dyDescent="0.3">
      <c r="A1049" s="44" t="s">
        <v>2249</v>
      </c>
      <c r="B1049" s="44" t="s">
        <v>86</v>
      </c>
      <c r="C1049" s="44" t="s">
        <v>27</v>
      </c>
      <c r="D1049" s="44" t="s">
        <v>316</v>
      </c>
      <c r="E1049" s="44" t="s">
        <v>1035</v>
      </c>
      <c r="F1049" s="44" t="s">
        <v>1798</v>
      </c>
      <c r="G1049" s="44" t="s">
        <v>2041</v>
      </c>
      <c r="H1049" s="44" t="s">
        <v>1120</v>
      </c>
      <c r="I1049" s="44" t="s">
        <v>1106</v>
      </c>
      <c r="J1049" s="44">
        <v>151</v>
      </c>
      <c r="K1049" s="44" t="s">
        <v>2062</v>
      </c>
      <c r="L1049" s="44"/>
      <c r="M1049" s="44" t="s">
        <v>2033</v>
      </c>
      <c r="N1049" s="45">
        <v>34704</v>
      </c>
      <c r="O1049" s="46">
        <f t="shared" si="33"/>
        <v>34.704000000000001</v>
      </c>
      <c r="P1049" s="47">
        <f>DGKC!F58</f>
        <v>34.704000000000001</v>
      </c>
      <c r="Q1049" s="44" t="str">
        <f t="shared" si="34"/>
        <v>PASS</v>
      </c>
      <c r="R1049" s="44" t="s">
        <v>1587</v>
      </c>
      <c r="S1049" s="44"/>
    </row>
    <row r="1050" spans="1:19" x14ac:dyDescent="0.3">
      <c r="A1050" s="44" t="s">
        <v>2250</v>
      </c>
      <c r="B1050" s="44" t="s">
        <v>86</v>
      </c>
      <c r="C1050" s="44" t="s">
        <v>28</v>
      </c>
      <c r="D1050" s="44" t="s">
        <v>316</v>
      </c>
      <c r="E1050" s="44" t="s">
        <v>1035</v>
      </c>
      <c r="F1050" s="44" t="s">
        <v>1798</v>
      </c>
      <c r="G1050" s="44" t="s">
        <v>2043</v>
      </c>
      <c r="H1050" s="44" t="s">
        <v>1124</v>
      </c>
      <c r="I1050" s="44" t="s">
        <v>1106</v>
      </c>
      <c r="J1050" s="44">
        <v>153</v>
      </c>
      <c r="K1050" s="44" t="s">
        <v>2065</v>
      </c>
      <c r="L1050" s="44"/>
      <c r="M1050" s="44" t="s">
        <v>2033</v>
      </c>
      <c r="N1050" s="45">
        <v>34201</v>
      </c>
      <c r="O1050" s="46">
        <f t="shared" si="33"/>
        <v>34.201000000000001</v>
      </c>
      <c r="P1050" s="47">
        <f>DGKC!G58</f>
        <v>34.201000000000001</v>
      </c>
      <c r="Q1050" s="44" t="str">
        <f t="shared" si="34"/>
        <v>PASS</v>
      </c>
      <c r="R1050" s="44" t="s">
        <v>1587</v>
      </c>
      <c r="S1050" s="44"/>
    </row>
    <row r="1051" spans="1:19" x14ac:dyDescent="0.3">
      <c r="A1051" s="44" t="s">
        <v>2251</v>
      </c>
      <c r="B1051" s="44" t="s">
        <v>86</v>
      </c>
      <c r="C1051" s="44" t="s">
        <v>29</v>
      </c>
      <c r="D1051" s="44" t="s">
        <v>316</v>
      </c>
      <c r="E1051" s="44" t="s">
        <v>1035</v>
      </c>
      <c r="F1051" s="44" t="s">
        <v>1798</v>
      </c>
      <c r="G1051" s="44" t="s">
        <v>2043</v>
      </c>
      <c r="H1051" s="44" t="s">
        <v>1124</v>
      </c>
      <c r="I1051" s="44" t="s">
        <v>1127</v>
      </c>
      <c r="J1051" s="44">
        <v>153</v>
      </c>
      <c r="K1051" s="44" t="s">
        <v>2065</v>
      </c>
      <c r="L1051" s="44"/>
      <c r="M1051" s="44" t="s">
        <v>2033</v>
      </c>
      <c r="N1051" s="45">
        <v>34154</v>
      </c>
      <c r="O1051" s="46">
        <f t="shared" si="33"/>
        <v>34.154000000000003</v>
      </c>
      <c r="P1051" s="47">
        <f>DGKC!H58</f>
        <v>34.154000000000003</v>
      </c>
      <c r="Q1051" s="44" t="str">
        <f t="shared" si="34"/>
        <v>PASS</v>
      </c>
      <c r="R1051" s="44" t="s">
        <v>1587</v>
      </c>
      <c r="S1051" s="44"/>
    </row>
    <row r="1052" spans="1:19" x14ac:dyDescent="0.3">
      <c r="A1052" s="44" t="s">
        <v>2252</v>
      </c>
      <c r="B1052" s="44" t="s">
        <v>86</v>
      </c>
      <c r="C1052" s="44" t="s">
        <v>965</v>
      </c>
      <c r="D1052" s="44" t="s">
        <v>318</v>
      </c>
      <c r="E1052" s="44" t="s">
        <v>1035</v>
      </c>
      <c r="F1052" s="44" t="s">
        <v>2253</v>
      </c>
      <c r="G1052" s="44" t="s">
        <v>2031</v>
      </c>
      <c r="H1052" s="44" t="s">
        <v>1105</v>
      </c>
      <c r="I1052" s="44" t="s">
        <v>1106</v>
      </c>
      <c r="J1052" s="44">
        <v>105</v>
      </c>
      <c r="K1052" s="44" t="s">
        <v>2058</v>
      </c>
      <c r="L1052" s="44"/>
      <c r="M1052" s="44" t="s">
        <v>2033</v>
      </c>
      <c r="N1052" s="45">
        <v>35090</v>
      </c>
      <c r="O1052" s="46">
        <f t="shared" si="33"/>
        <v>35.090000000000003</v>
      </c>
      <c r="P1052" s="47">
        <f>DGKC!C59</f>
        <v>35.090000000000003</v>
      </c>
      <c r="Q1052" s="44" t="str">
        <f t="shared" si="34"/>
        <v>PASS</v>
      </c>
      <c r="R1052" s="44" t="s">
        <v>1587</v>
      </c>
      <c r="S1052" s="44"/>
    </row>
    <row r="1053" spans="1:19" x14ac:dyDescent="0.3">
      <c r="A1053" s="44" t="s">
        <v>2254</v>
      </c>
      <c r="B1053" s="44" t="s">
        <v>86</v>
      </c>
      <c r="C1053" s="44" t="s">
        <v>20</v>
      </c>
      <c r="D1053" s="44" t="s">
        <v>318</v>
      </c>
      <c r="E1053" s="44" t="s">
        <v>1035</v>
      </c>
      <c r="F1053" s="44" t="s">
        <v>2253</v>
      </c>
      <c r="G1053" s="44" t="s">
        <v>2035</v>
      </c>
      <c r="H1053" s="44" t="s">
        <v>1113</v>
      </c>
      <c r="I1053" s="44" t="s">
        <v>1106</v>
      </c>
      <c r="J1053" s="44">
        <v>125</v>
      </c>
      <c r="K1053" s="44" t="s">
        <v>2060</v>
      </c>
      <c r="L1053" s="44"/>
      <c r="M1053" s="44" t="s">
        <v>2033</v>
      </c>
      <c r="N1053" s="45">
        <v>35090</v>
      </c>
      <c r="O1053" s="46">
        <f t="shared" si="33"/>
        <v>35.090000000000003</v>
      </c>
      <c r="P1053" s="47">
        <f>DGKC!D59</f>
        <v>35.090000000000003</v>
      </c>
      <c r="Q1053" s="44" t="str">
        <f t="shared" si="34"/>
        <v>PASS</v>
      </c>
      <c r="R1053" s="44" t="s">
        <v>1587</v>
      </c>
      <c r="S1053" s="44"/>
    </row>
    <row r="1054" spans="1:19" x14ac:dyDescent="0.3">
      <c r="A1054" s="44" t="s">
        <v>2255</v>
      </c>
      <c r="B1054" s="44" t="s">
        <v>86</v>
      </c>
      <c r="C1054" s="44" t="s">
        <v>26</v>
      </c>
      <c r="D1054" s="44" t="s">
        <v>318</v>
      </c>
      <c r="E1054" s="44" t="s">
        <v>1035</v>
      </c>
      <c r="F1054" s="44" t="s">
        <v>2253</v>
      </c>
      <c r="G1054" s="44" t="s">
        <v>2038</v>
      </c>
      <c r="H1054" s="44" t="s">
        <v>1117</v>
      </c>
      <c r="I1054" s="44" t="s">
        <v>1106</v>
      </c>
      <c r="J1054" s="44">
        <v>151</v>
      </c>
      <c r="K1054" s="44" t="s">
        <v>2062</v>
      </c>
      <c r="L1054" s="44"/>
      <c r="M1054" s="44" t="s">
        <v>2033</v>
      </c>
      <c r="N1054" s="45">
        <v>35090</v>
      </c>
      <c r="O1054" s="46">
        <f t="shared" si="33"/>
        <v>35.090000000000003</v>
      </c>
      <c r="P1054" s="47">
        <f>DGKC!E59</f>
        <v>35.090000000000003</v>
      </c>
      <c r="Q1054" s="44" t="str">
        <f t="shared" si="34"/>
        <v>PASS</v>
      </c>
      <c r="R1054" s="44" t="s">
        <v>1587</v>
      </c>
      <c r="S1054" s="44"/>
    </row>
    <row r="1055" spans="1:19" x14ac:dyDescent="0.3">
      <c r="A1055" s="44" t="s">
        <v>2256</v>
      </c>
      <c r="B1055" s="44" t="s">
        <v>86</v>
      </c>
      <c r="C1055" s="44" t="s">
        <v>27</v>
      </c>
      <c r="D1055" s="44" t="s">
        <v>318</v>
      </c>
      <c r="E1055" s="44" t="s">
        <v>1035</v>
      </c>
      <c r="F1055" s="44" t="s">
        <v>2253</v>
      </c>
      <c r="G1055" s="44" t="s">
        <v>2041</v>
      </c>
      <c r="H1055" s="44" t="s">
        <v>1120</v>
      </c>
      <c r="I1055" s="44" t="s">
        <v>1106</v>
      </c>
      <c r="J1055" s="44">
        <v>151</v>
      </c>
      <c r="K1055" s="44" t="s">
        <v>2062</v>
      </c>
      <c r="L1055" s="44"/>
      <c r="M1055" s="44" t="s">
        <v>2033</v>
      </c>
      <c r="N1055" s="45">
        <v>35090</v>
      </c>
      <c r="O1055" s="46">
        <f t="shared" si="33"/>
        <v>35.090000000000003</v>
      </c>
      <c r="P1055" s="47">
        <f>DGKC!F59</f>
        <v>35.090000000000003</v>
      </c>
      <c r="Q1055" s="44" t="str">
        <f t="shared" si="34"/>
        <v>PASS</v>
      </c>
      <c r="R1055" s="44" t="s">
        <v>1587</v>
      </c>
      <c r="S1055" s="44"/>
    </row>
    <row r="1056" spans="1:19" x14ac:dyDescent="0.3">
      <c r="A1056" s="44" t="s">
        <v>2257</v>
      </c>
      <c r="B1056" s="44" t="s">
        <v>86</v>
      </c>
      <c r="C1056" s="44" t="s">
        <v>28</v>
      </c>
      <c r="D1056" s="44" t="s">
        <v>318</v>
      </c>
      <c r="E1056" s="44" t="s">
        <v>1035</v>
      </c>
      <c r="F1056" s="44" t="s">
        <v>2258</v>
      </c>
      <c r="G1056" s="44" t="s">
        <v>2043</v>
      </c>
      <c r="H1056" s="44" t="s">
        <v>1124</v>
      </c>
      <c r="I1056" s="44" t="s">
        <v>1106</v>
      </c>
      <c r="J1056" s="44">
        <v>153</v>
      </c>
      <c r="K1056" s="44" t="s">
        <v>2065</v>
      </c>
      <c r="L1056" s="44"/>
      <c r="M1056" s="44" t="s">
        <v>2033</v>
      </c>
      <c r="N1056" s="45">
        <v>35090</v>
      </c>
      <c r="O1056" s="46">
        <f t="shared" si="33"/>
        <v>35.090000000000003</v>
      </c>
      <c r="P1056" s="47">
        <f>DGKC!G59</f>
        <v>35.090000000000003</v>
      </c>
      <c r="Q1056" s="44" t="str">
        <f t="shared" si="34"/>
        <v>PASS</v>
      </c>
      <c r="R1056" s="44" t="s">
        <v>1587</v>
      </c>
      <c r="S1056" s="44"/>
    </row>
    <row r="1057" spans="1:19" x14ac:dyDescent="0.3">
      <c r="A1057" s="44" t="s">
        <v>2259</v>
      </c>
      <c r="B1057" s="44" t="s">
        <v>86</v>
      </c>
      <c r="C1057" s="44" t="s">
        <v>29</v>
      </c>
      <c r="D1057" s="44" t="s">
        <v>318</v>
      </c>
      <c r="E1057" s="44" t="s">
        <v>1035</v>
      </c>
      <c r="F1057" s="44" t="s">
        <v>2258</v>
      </c>
      <c r="G1057" s="44" t="s">
        <v>2043</v>
      </c>
      <c r="H1057" s="44" t="s">
        <v>1124</v>
      </c>
      <c r="I1057" s="44" t="s">
        <v>1127</v>
      </c>
      <c r="J1057" s="44">
        <v>153</v>
      </c>
      <c r="K1057" s="44" t="s">
        <v>2065</v>
      </c>
      <c r="L1057" s="44"/>
      <c r="M1057" s="44" t="s">
        <v>2033</v>
      </c>
      <c r="N1057" s="45">
        <v>365924</v>
      </c>
      <c r="O1057" s="46">
        <f t="shared" si="33"/>
        <v>365.92399999999998</v>
      </c>
      <c r="P1057" s="47">
        <f>DGKC!H59</f>
        <v>365.92399999999998</v>
      </c>
      <c r="Q1057" s="44" t="str">
        <f t="shared" si="34"/>
        <v>PASS</v>
      </c>
      <c r="R1057" s="44" t="s">
        <v>1587</v>
      </c>
      <c r="S1057" s="44"/>
    </row>
    <row r="1058" spans="1:19" x14ac:dyDescent="0.3">
      <c r="A1058" s="44" t="s">
        <v>2260</v>
      </c>
      <c r="B1058" s="44" t="s">
        <v>86</v>
      </c>
      <c r="C1058" s="44" t="s">
        <v>965</v>
      </c>
      <c r="D1058" s="44" t="s">
        <v>320</v>
      </c>
      <c r="E1058" s="44" t="s">
        <v>1035</v>
      </c>
      <c r="F1058" s="44"/>
      <c r="G1058" s="44" t="s">
        <v>2031</v>
      </c>
      <c r="H1058" s="44" t="s">
        <v>1105</v>
      </c>
      <c r="I1058" s="44" t="s">
        <v>1106</v>
      </c>
      <c r="J1058" s="44">
        <v>133</v>
      </c>
      <c r="K1058" s="44" t="s">
        <v>2058</v>
      </c>
      <c r="L1058" s="44"/>
      <c r="M1058" s="44" t="s">
        <v>2033</v>
      </c>
      <c r="N1058" s="45">
        <v>38280</v>
      </c>
      <c r="O1058" s="46">
        <f t="shared" si="33"/>
        <v>38.28</v>
      </c>
      <c r="P1058" s="47">
        <f>DGKC!C60</f>
        <v>38.28</v>
      </c>
      <c r="Q1058" s="44" t="str">
        <f t="shared" si="34"/>
        <v>PASS</v>
      </c>
      <c r="R1058" s="44" t="s">
        <v>1587</v>
      </c>
      <c r="S1058" s="44"/>
    </row>
    <row r="1059" spans="1:19" x14ac:dyDescent="0.3">
      <c r="A1059" s="44" t="s">
        <v>2261</v>
      </c>
      <c r="B1059" s="44" t="s">
        <v>86</v>
      </c>
      <c r="C1059" s="44" t="s">
        <v>20</v>
      </c>
      <c r="D1059" s="44" t="s">
        <v>320</v>
      </c>
      <c r="E1059" s="44" t="s">
        <v>1035</v>
      </c>
      <c r="F1059" s="44"/>
      <c r="G1059" s="44" t="s">
        <v>2035</v>
      </c>
      <c r="H1059" s="44" t="s">
        <v>1113</v>
      </c>
      <c r="I1059" s="44" t="s">
        <v>1106</v>
      </c>
      <c r="J1059" s="44">
        <v>153</v>
      </c>
      <c r="K1059" s="44" t="s">
        <v>2060</v>
      </c>
      <c r="L1059" s="44"/>
      <c r="M1059" s="44" t="s">
        <v>2033</v>
      </c>
      <c r="N1059" s="45">
        <v>40717</v>
      </c>
      <c r="O1059" s="46">
        <f t="shared" si="33"/>
        <v>40.716999999999999</v>
      </c>
      <c r="P1059" s="47">
        <f>DGKC!D60</f>
        <v>40.716999999999999</v>
      </c>
      <c r="Q1059" s="44" t="str">
        <f t="shared" si="34"/>
        <v>PASS</v>
      </c>
      <c r="R1059" s="44" t="s">
        <v>1587</v>
      </c>
      <c r="S1059" s="44"/>
    </row>
    <row r="1060" spans="1:19" x14ac:dyDescent="0.3">
      <c r="A1060" s="44" t="s">
        <v>2262</v>
      </c>
      <c r="B1060" s="44" t="s">
        <v>86</v>
      </c>
      <c r="C1060" s="44" t="s">
        <v>26</v>
      </c>
      <c r="D1060" s="44" t="s">
        <v>320</v>
      </c>
      <c r="E1060" s="44" t="s">
        <v>1035</v>
      </c>
      <c r="F1060" s="44"/>
      <c r="G1060" s="44" t="s">
        <v>2038</v>
      </c>
      <c r="H1060" s="44" t="s">
        <v>1117</v>
      </c>
      <c r="I1060" s="44" t="s">
        <v>1106</v>
      </c>
      <c r="J1060" s="44">
        <v>178</v>
      </c>
      <c r="K1060" s="44" t="s">
        <v>2062</v>
      </c>
      <c r="L1060" s="44"/>
      <c r="M1060" s="44" t="s">
        <v>2033</v>
      </c>
      <c r="N1060" s="45">
        <v>22936</v>
      </c>
      <c r="O1060" s="46">
        <f t="shared" si="33"/>
        <v>22.936</v>
      </c>
      <c r="P1060" s="47">
        <f>DGKC!E60</f>
        <v>22.936</v>
      </c>
      <c r="Q1060" s="44" t="str">
        <f t="shared" si="34"/>
        <v>PASS</v>
      </c>
      <c r="R1060" s="44" t="s">
        <v>1587</v>
      </c>
      <c r="S1060" s="44"/>
    </row>
    <row r="1061" spans="1:19" x14ac:dyDescent="0.3">
      <c r="A1061" s="44" t="s">
        <v>2263</v>
      </c>
      <c r="B1061" s="44" t="s">
        <v>86</v>
      </c>
      <c r="C1061" s="44" t="s">
        <v>27</v>
      </c>
      <c r="D1061" s="44" t="s">
        <v>320</v>
      </c>
      <c r="E1061" s="44" t="s">
        <v>1035</v>
      </c>
      <c r="F1061" s="44"/>
      <c r="G1061" s="44" t="s">
        <v>2041</v>
      </c>
      <c r="H1061" s="44" t="s">
        <v>1120</v>
      </c>
      <c r="I1061" s="44" t="s">
        <v>1106</v>
      </c>
      <c r="J1061" s="44">
        <v>180</v>
      </c>
      <c r="K1061" s="44" t="s">
        <v>2062</v>
      </c>
      <c r="L1061" s="44"/>
      <c r="M1061" s="44" t="s">
        <v>2033</v>
      </c>
      <c r="N1061" s="45">
        <v>46912</v>
      </c>
      <c r="O1061" s="46">
        <f t="shared" si="33"/>
        <v>46.911999999999999</v>
      </c>
      <c r="P1061" s="47">
        <f>DGKC!F60</f>
        <v>46.911999999999999</v>
      </c>
      <c r="Q1061" s="44" t="str">
        <f t="shared" si="34"/>
        <v>PASS</v>
      </c>
      <c r="R1061" s="44" t="s">
        <v>1587</v>
      </c>
      <c r="S1061" s="44"/>
    </row>
    <row r="1062" spans="1:19" x14ac:dyDescent="0.3">
      <c r="A1062" s="44" t="s">
        <v>2264</v>
      </c>
      <c r="B1062" s="44" t="s">
        <v>86</v>
      </c>
      <c r="C1062" s="44" t="s">
        <v>28</v>
      </c>
      <c r="D1062" s="44" t="s">
        <v>320</v>
      </c>
      <c r="E1062" s="44" t="s">
        <v>1035</v>
      </c>
      <c r="F1062" s="44"/>
      <c r="G1062" s="44" t="s">
        <v>2043</v>
      </c>
      <c r="H1062" s="44" t="s">
        <v>1124</v>
      </c>
      <c r="I1062" s="44" t="s">
        <v>1106</v>
      </c>
      <c r="J1062" s="44">
        <v>181</v>
      </c>
      <c r="K1062" s="44" t="s">
        <v>2065</v>
      </c>
      <c r="L1062" s="44"/>
      <c r="M1062" s="44" t="s">
        <v>2033</v>
      </c>
      <c r="N1062" s="45">
        <v>697</v>
      </c>
      <c r="O1062" s="46">
        <f t="shared" si="33"/>
        <v>0.69699999999999995</v>
      </c>
      <c r="P1062" s="47">
        <f>DGKC!G60</f>
        <v>0.69699999999999995</v>
      </c>
      <c r="Q1062" s="44" t="str">
        <f t="shared" si="34"/>
        <v>PASS</v>
      </c>
      <c r="R1062" s="44" t="s">
        <v>1587</v>
      </c>
      <c r="S1062" s="44"/>
    </row>
    <row r="1063" spans="1:19" x14ac:dyDescent="0.3">
      <c r="A1063" s="44" t="s">
        <v>2265</v>
      </c>
      <c r="B1063" s="44" t="s">
        <v>86</v>
      </c>
      <c r="C1063" s="44" t="s">
        <v>29</v>
      </c>
      <c r="D1063" s="44" t="s">
        <v>320</v>
      </c>
      <c r="E1063" s="44" t="s">
        <v>1035</v>
      </c>
      <c r="F1063" s="44"/>
      <c r="G1063" s="44" t="s">
        <v>2043</v>
      </c>
      <c r="H1063" s="44" t="s">
        <v>1124</v>
      </c>
      <c r="I1063" s="44" t="s">
        <v>1127</v>
      </c>
      <c r="J1063" s="44">
        <v>181</v>
      </c>
      <c r="K1063" s="44" t="s">
        <v>2065</v>
      </c>
      <c r="L1063" s="44"/>
      <c r="M1063" s="44" t="s">
        <v>2033</v>
      </c>
      <c r="N1063" s="45">
        <v>55006</v>
      </c>
      <c r="O1063" s="46">
        <f t="shared" si="33"/>
        <v>55.006</v>
      </c>
      <c r="P1063" s="47">
        <f>DGKC!H60</f>
        <v>55.006</v>
      </c>
      <c r="Q1063" s="44" t="str">
        <f t="shared" si="34"/>
        <v>PASS</v>
      </c>
      <c r="R1063" s="44" t="s">
        <v>1587</v>
      </c>
      <c r="S1063" s="44"/>
    </row>
    <row r="1064" spans="1:19" x14ac:dyDescent="0.3">
      <c r="A1064" s="44" t="s">
        <v>2266</v>
      </c>
      <c r="B1064" s="44" t="s">
        <v>86</v>
      </c>
      <c r="C1064" s="44" t="s">
        <v>965</v>
      </c>
      <c r="D1064" s="44" t="s">
        <v>345</v>
      </c>
      <c r="E1064" s="44" t="s">
        <v>1035</v>
      </c>
      <c r="F1064" s="44"/>
      <c r="G1064" s="44" t="s">
        <v>2031</v>
      </c>
      <c r="H1064" s="44" t="s">
        <v>1105</v>
      </c>
      <c r="I1064" s="44" t="s">
        <v>1106</v>
      </c>
      <c r="J1064" s="44">
        <v>106</v>
      </c>
      <c r="K1064" s="44" t="s">
        <v>2032</v>
      </c>
      <c r="L1064" s="44"/>
      <c r="M1064" s="44" t="s">
        <v>2033</v>
      </c>
      <c r="N1064" s="45">
        <v>129551534</v>
      </c>
      <c r="O1064" s="46">
        <f t="shared" si="33"/>
        <v>129551.534</v>
      </c>
      <c r="P1064" s="47">
        <f>DGKC!C75</f>
        <v>129551.534</v>
      </c>
      <c r="Q1064" s="44" t="str">
        <f t="shared" si="34"/>
        <v>PASS</v>
      </c>
      <c r="R1064" s="44" t="s">
        <v>1587</v>
      </c>
      <c r="S1064" s="44"/>
    </row>
    <row r="1065" spans="1:19" x14ac:dyDescent="0.3">
      <c r="A1065" s="44" t="s">
        <v>2267</v>
      </c>
      <c r="B1065" s="44" t="s">
        <v>86</v>
      </c>
      <c r="C1065" s="44" t="s">
        <v>20</v>
      </c>
      <c r="D1065" s="44" t="s">
        <v>345</v>
      </c>
      <c r="E1065" s="44" t="s">
        <v>1035</v>
      </c>
      <c r="F1065" s="44"/>
      <c r="G1065" s="44" t="s">
        <v>2035</v>
      </c>
      <c r="H1065" s="44" t="s">
        <v>1113</v>
      </c>
      <c r="I1065" s="44" t="s">
        <v>1106</v>
      </c>
      <c r="J1065" s="44">
        <v>126</v>
      </c>
      <c r="K1065" s="44" t="s">
        <v>2036</v>
      </c>
      <c r="L1065" s="44"/>
      <c r="M1065" s="44" t="s">
        <v>2033</v>
      </c>
      <c r="N1065" s="45">
        <v>137894697</v>
      </c>
      <c r="O1065" s="46">
        <f t="shared" si="33"/>
        <v>137894.69699999999</v>
      </c>
      <c r="P1065" s="47">
        <f>DGKC!D75</f>
        <v>137894.69699999999</v>
      </c>
      <c r="Q1065" s="44" t="str">
        <f t="shared" si="34"/>
        <v>PASS</v>
      </c>
      <c r="R1065" s="44" t="s">
        <v>1587</v>
      </c>
      <c r="S1065" s="44"/>
    </row>
    <row r="1066" spans="1:19" x14ac:dyDescent="0.3">
      <c r="A1066" s="44" t="s">
        <v>2268</v>
      </c>
      <c r="B1066" s="44" t="s">
        <v>86</v>
      </c>
      <c r="C1066" s="44" t="s">
        <v>26</v>
      </c>
      <c r="D1066" s="44" t="s">
        <v>345</v>
      </c>
      <c r="E1066" s="44" t="s">
        <v>1035</v>
      </c>
      <c r="F1066" s="44"/>
      <c r="G1066" s="44" t="s">
        <v>2038</v>
      </c>
      <c r="H1066" s="44" t="s">
        <v>1117</v>
      </c>
      <c r="I1066" s="44" t="s">
        <v>1106</v>
      </c>
      <c r="J1066" s="44">
        <v>152</v>
      </c>
      <c r="K1066" s="44" t="s">
        <v>2039</v>
      </c>
      <c r="L1066" s="44"/>
      <c r="M1066" s="44" t="s">
        <v>2033</v>
      </c>
      <c r="N1066" s="45">
        <v>136562013</v>
      </c>
      <c r="O1066" s="46">
        <f t="shared" si="33"/>
        <v>136562.01300000001</v>
      </c>
      <c r="P1066" s="47">
        <f>DGKC!E75</f>
        <v>136562.01300000001</v>
      </c>
      <c r="Q1066" s="44" t="str">
        <f t="shared" si="34"/>
        <v>PASS</v>
      </c>
      <c r="R1066" s="44" t="s">
        <v>1587</v>
      </c>
      <c r="S1066" s="44"/>
    </row>
    <row r="1067" spans="1:19" x14ac:dyDescent="0.3">
      <c r="A1067" s="44" t="s">
        <v>2269</v>
      </c>
      <c r="B1067" s="44" t="s">
        <v>86</v>
      </c>
      <c r="C1067" s="44" t="s">
        <v>27</v>
      </c>
      <c r="D1067" s="44" t="s">
        <v>345</v>
      </c>
      <c r="E1067" s="44" t="s">
        <v>1035</v>
      </c>
      <c r="F1067" s="44"/>
      <c r="G1067" s="44" t="s">
        <v>2041</v>
      </c>
      <c r="H1067" s="44" t="s">
        <v>1120</v>
      </c>
      <c r="I1067" s="44" t="s">
        <v>1106</v>
      </c>
      <c r="J1067" s="44">
        <v>152</v>
      </c>
      <c r="K1067" s="44" t="s">
        <v>2039</v>
      </c>
      <c r="L1067" s="44"/>
      <c r="M1067" s="44" t="s">
        <v>2033</v>
      </c>
      <c r="N1067" s="45">
        <v>134713254</v>
      </c>
      <c r="O1067" s="46">
        <f t="shared" si="33"/>
        <v>134713.25399999999</v>
      </c>
      <c r="P1067" s="47">
        <f>DGKC!F75</f>
        <v>134713.25399999999</v>
      </c>
      <c r="Q1067" s="44" t="str">
        <f t="shared" si="34"/>
        <v>PASS</v>
      </c>
      <c r="R1067" s="44" t="s">
        <v>1587</v>
      </c>
      <c r="S1067" s="44"/>
    </row>
    <row r="1068" spans="1:19" x14ac:dyDescent="0.3">
      <c r="A1068" s="44" t="s">
        <v>2270</v>
      </c>
      <c r="B1068" s="44" t="s">
        <v>86</v>
      </c>
      <c r="C1068" s="44" t="s">
        <v>28</v>
      </c>
      <c r="D1068" s="44" t="s">
        <v>345</v>
      </c>
      <c r="E1068" s="44" t="s">
        <v>1035</v>
      </c>
      <c r="F1068" s="44"/>
      <c r="G1068" s="44" t="s">
        <v>2043</v>
      </c>
      <c r="H1068" s="44" t="s">
        <v>1124</v>
      </c>
      <c r="I1068" s="44" t="s">
        <v>1106</v>
      </c>
      <c r="J1068" s="44">
        <v>154</v>
      </c>
      <c r="K1068" s="44" t="s">
        <v>2044</v>
      </c>
      <c r="L1068" s="44"/>
      <c r="M1068" s="44" t="s">
        <v>2033</v>
      </c>
      <c r="N1068" s="45">
        <v>138385754</v>
      </c>
      <c r="O1068" s="46">
        <f t="shared" si="33"/>
        <v>138385.75399999999</v>
      </c>
      <c r="P1068" s="47">
        <f>DGKC!G75</f>
        <v>138385.75399999999</v>
      </c>
      <c r="Q1068" s="44" t="str">
        <f t="shared" si="34"/>
        <v>PASS</v>
      </c>
      <c r="R1068" s="44" t="s">
        <v>1587</v>
      </c>
      <c r="S1068" s="44"/>
    </row>
    <row r="1069" spans="1:19" x14ac:dyDescent="0.3">
      <c r="A1069" s="44" t="s">
        <v>2271</v>
      </c>
      <c r="B1069" s="44" t="s">
        <v>86</v>
      </c>
      <c r="C1069" s="44" t="s">
        <v>29</v>
      </c>
      <c r="D1069" s="44" t="s">
        <v>345</v>
      </c>
      <c r="E1069" s="44" t="s">
        <v>1035</v>
      </c>
      <c r="F1069" s="44"/>
      <c r="G1069" s="44" t="s">
        <v>2043</v>
      </c>
      <c r="H1069" s="44" t="s">
        <v>1124</v>
      </c>
      <c r="I1069" s="44" t="s">
        <v>1127</v>
      </c>
      <c r="J1069" s="44">
        <v>154</v>
      </c>
      <c r="K1069" s="44" t="s">
        <v>2044</v>
      </c>
      <c r="L1069" s="44"/>
      <c r="M1069" s="44" t="s">
        <v>2033</v>
      </c>
      <c r="N1069" s="45">
        <v>145924235</v>
      </c>
      <c r="O1069" s="46">
        <f t="shared" si="33"/>
        <v>145924.23499999999</v>
      </c>
      <c r="P1069" s="47">
        <f>DGKC!H75</f>
        <v>145924.23499999999</v>
      </c>
      <c r="Q1069" s="44" t="str">
        <f t="shared" si="34"/>
        <v>PASS</v>
      </c>
      <c r="R1069" s="44" t="s">
        <v>1587</v>
      </c>
      <c r="S1069" s="44"/>
    </row>
    <row r="1070" spans="1:19" x14ac:dyDescent="0.3">
      <c r="A1070" s="44" t="s">
        <v>2272</v>
      </c>
      <c r="B1070" s="44" t="s">
        <v>86</v>
      </c>
      <c r="C1070" s="44" t="s">
        <v>965</v>
      </c>
      <c r="D1070" s="44" t="s">
        <v>347</v>
      </c>
      <c r="E1070" s="44" t="s">
        <v>1035</v>
      </c>
      <c r="F1070" s="44"/>
      <c r="G1070" s="44" t="s">
        <v>2031</v>
      </c>
      <c r="H1070" s="44" t="s">
        <v>1105</v>
      </c>
      <c r="I1070" s="44" t="s">
        <v>1106</v>
      </c>
      <c r="J1070" s="44">
        <v>105</v>
      </c>
      <c r="K1070" s="44" t="s">
        <v>2058</v>
      </c>
      <c r="L1070" s="44"/>
      <c r="M1070" s="44" t="s">
        <v>2033</v>
      </c>
      <c r="N1070" s="45">
        <v>66644157</v>
      </c>
      <c r="O1070" s="46">
        <f t="shared" ref="O1070:O1133" si="35">N1070/1000</f>
        <v>66644.157000000007</v>
      </c>
      <c r="P1070" s="47">
        <f>DGKC!C76</f>
        <v>66644.157000000007</v>
      </c>
      <c r="Q1070" s="44" t="str">
        <f t="shared" si="34"/>
        <v>PASS</v>
      </c>
      <c r="R1070" s="44" t="s">
        <v>1587</v>
      </c>
      <c r="S1070" s="44"/>
    </row>
    <row r="1071" spans="1:19" x14ac:dyDescent="0.3">
      <c r="A1071" s="44" t="s">
        <v>2273</v>
      </c>
      <c r="B1071" s="44" t="s">
        <v>86</v>
      </c>
      <c r="C1071" s="44" t="s">
        <v>20</v>
      </c>
      <c r="D1071" s="44" t="s">
        <v>347</v>
      </c>
      <c r="E1071" s="44" t="s">
        <v>1035</v>
      </c>
      <c r="F1071" s="44"/>
      <c r="G1071" s="44" t="s">
        <v>2035</v>
      </c>
      <c r="H1071" s="44" t="s">
        <v>1113</v>
      </c>
      <c r="I1071" s="44" t="s">
        <v>1106</v>
      </c>
      <c r="J1071" s="44">
        <v>125</v>
      </c>
      <c r="K1071" s="44" t="s">
        <v>2060</v>
      </c>
      <c r="L1071" s="44"/>
      <c r="M1071" s="44" t="s">
        <v>2033</v>
      </c>
      <c r="N1071" s="45">
        <v>73477873</v>
      </c>
      <c r="O1071" s="46">
        <f t="shared" si="35"/>
        <v>73477.873000000007</v>
      </c>
      <c r="P1071" s="47">
        <f>DGKC!D76</f>
        <v>73477.873000000007</v>
      </c>
      <c r="Q1071" s="44" t="str">
        <f t="shared" si="34"/>
        <v>PASS</v>
      </c>
      <c r="R1071" s="44" t="s">
        <v>1587</v>
      </c>
      <c r="S1071" s="44"/>
    </row>
    <row r="1072" spans="1:19" x14ac:dyDescent="0.3">
      <c r="A1072" s="44" t="s">
        <v>2274</v>
      </c>
      <c r="B1072" s="44" t="s">
        <v>86</v>
      </c>
      <c r="C1072" s="44" t="s">
        <v>26</v>
      </c>
      <c r="D1072" s="44" t="s">
        <v>347</v>
      </c>
      <c r="E1072" s="44" t="s">
        <v>1035</v>
      </c>
      <c r="F1072" s="44"/>
      <c r="G1072" s="44" t="s">
        <v>2038</v>
      </c>
      <c r="H1072" s="44" t="s">
        <v>1117</v>
      </c>
      <c r="I1072" s="44" t="s">
        <v>1106</v>
      </c>
      <c r="J1072" s="44">
        <v>151</v>
      </c>
      <c r="K1072" s="44" t="s">
        <v>2062</v>
      </c>
      <c r="L1072" s="44"/>
      <c r="M1072" s="44" t="s">
        <v>2033</v>
      </c>
      <c r="N1072" s="45">
        <v>69918102</v>
      </c>
      <c r="O1072" s="46">
        <f t="shared" si="35"/>
        <v>69918.101999999999</v>
      </c>
      <c r="P1072" s="47">
        <f>DGKC!E76</f>
        <v>69918.101999999999</v>
      </c>
      <c r="Q1072" s="44" t="str">
        <f t="shared" si="34"/>
        <v>PASS</v>
      </c>
      <c r="R1072" s="44" t="s">
        <v>1587</v>
      </c>
      <c r="S1072" s="44"/>
    </row>
    <row r="1073" spans="1:19" x14ac:dyDescent="0.3">
      <c r="A1073" s="44" t="s">
        <v>2275</v>
      </c>
      <c r="B1073" s="44" t="s">
        <v>86</v>
      </c>
      <c r="C1073" s="44" t="s">
        <v>27</v>
      </c>
      <c r="D1073" s="44" t="s">
        <v>347</v>
      </c>
      <c r="E1073" s="44" t="s">
        <v>1035</v>
      </c>
      <c r="F1073" s="44"/>
      <c r="G1073" s="44" t="s">
        <v>2041</v>
      </c>
      <c r="H1073" s="44" t="s">
        <v>1120</v>
      </c>
      <c r="I1073" s="44" t="s">
        <v>1106</v>
      </c>
      <c r="J1073" s="44">
        <v>151</v>
      </c>
      <c r="K1073" s="44" t="s">
        <v>2062</v>
      </c>
      <c r="L1073" s="44"/>
      <c r="M1073" s="44" t="s">
        <v>2033</v>
      </c>
      <c r="N1073" s="45">
        <v>64192277</v>
      </c>
      <c r="O1073" s="46">
        <f t="shared" si="35"/>
        <v>64192.277000000002</v>
      </c>
      <c r="P1073" s="47">
        <f>DGKC!F76</f>
        <v>64192.277000000002</v>
      </c>
      <c r="Q1073" s="44" t="str">
        <f t="shared" si="34"/>
        <v>PASS</v>
      </c>
      <c r="R1073" s="44" t="s">
        <v>1587</v>
      </c>
      <c r="S1073" s="44"/>
    </row>
    <row r="1074" spans="1:19" x14ac:dyDescent="0.3">
      <c r="A1074" s="44" t="s">
        <v>2276</v>
      </c>
      <c r="B1074" s="44" t="s">
        <v>86</v>
      </c>
      <c r="C1074" s="44" t="s">
        <v>28</v>
      </c>
      <c r="D1074" s="44" t="s">
        <v>347</v>
      </c>
      <c r="E1074" s="44" t="s">
        <v>1035</v>
      </c>
      <c r="F1074" s="44"/>
      <c r="G1074" s="44" t="s">
        <v>2043</v>
      </c>
      <c r="H1074" s="44" t="s">
        <v>1124</v>
      </c>
      <c r="I1074" s="44" t="s">
        <v>1106</v>
      </c>
      <c r="J1074" s="44">
        <v>153</v>
      </c>
      <c r="K1074" s="44" t="s">
        <v>2065</v>
      </c>
      <c r="L1074" s="44"/>
      <c r="M1074" s="44" t="s">
        <v>2033</v>
      </c>
      <c r="N1074" s="45">
        <v>75847538</v>
      </c>
      <c r="O1074" s="46">
        <f t="shared" si="35"/>
        <v>75847.538</v>
      </c>
      <c r="P1074" s="47">
        <f>DGKC!G76</f>
        <v>75847.538</v>
      </c>
      <c r="Q1074" s="44" t="str">
        <f t="shared" si="34"/>
        <v>PASS</v>
      </c>
      <c r="R1074" s="44" t="s">
        <v>1587</v>
      </c>
      <c r="S1074" s="44"/>
    </row>
    <row r="1075" spans="1:19" x14ac:dyDescent="0.3">
      <c r="A1075" s="44" t="s">
        <v>2277</v>
      </c>
      <c r="B1075" s="44" t="s">
        <v>86</v>
      </c>
      <c r="C1075" s="44" t="s">
        <v>29</v>
      </c>
      <c r="D1075" s="44" t="s">
        <v>347</v>
      </c>
      <c r="E1075" s="44" t="s">
        <v>1035</v>
      </c>
      <c r="F1075" s="44"/>
      <c r="G1075" s="44" t="s">
        <v>2043</v>
      </c>
      <c r="H1075" s="44" t="s">
        <v>1124</v>
      </c>
      <c r="I1075" s="44" t="s">
        <v>1127</v>
      </c>
      <c r="J1075" s="44">
        <v>153</v>
      </c>
      <c r="K1075" s="44" t="s">
        <v>2065</v>
      </c>
      <c r="L1075" s="44"/>
      <c r="M1075" s="44" t="s">
        <v>2033</v>
      </c>
      <c r="N1075" s="45">
        <v>94667478</v>
      </c>
      <c r="O1075" s="46">
        <f t="shared" si="35"/>
        <v>94667.478000000003</v>
      </c>
      <c r="P1075" s="47">
        <f>DGKC!H76</f>
        <v>94667.478000000003</v>
      </c>
      <c r="Q1075" s="44" t="str">
        <f t="shared" si="34"/>
        <v>PASS</v>
      </c>
      <c r="R1075" s="44" t="s">
        <v>1587</v>
      </c>
      <c r="S1075" s="44"/>
    </row>
    <row r="1076" spans="1:19" x14ac:dyDescent="0.3">
      <c r="A1076" s="44" t="s">
        <v>2278</v>
      </c>
      <c r="B1076" s="44" t="s">
        <v>86</v>
      </c>
      <c r="C1076" s="44" t="s">
        <v>965</v>
      </c>
      <c r="D1076" s="44" t="s">
        <v>349</v>
      </c>
      <c r="E1076" s="44" t="s">
        <v>1035</v>
      </c>
      <c r="F1076" s="44"/>
      <c r="G1076" s="44" t="s">
        <v>2031</v>
      </c>
      <c r="H1076" s="44" t="s">
        <v>1105</v>
      </c>
      <c r="I1076" s="44" t="s">
        <v>1106</v>
      </c>
      <c r="J1076" s="44">
        <v>106</v>
      </c>
      <c r="K1076" s="44" t="s">
        <v>2058</v>
      </c>
      <c r="L1076" s="44"/>
      <c r="M1076" s="44" t="s">
        <v>2033</v>
      </c>
      <c r="N1076" s="45">
        <v>34106427</v>
      </c>
      <c r="O1076" s="46">
        <f t="shared" si="35"/>
        <v>34106.427000000003</v>
      </c>
      <c r="P1076" s="47">
        <f>DGKC!C77</f>
        <v>34106.427000000003</v>
      </c>
      <c r="Q1076" s="44" t="str">
        <f t="shared" si="34"/>
        <v>PASS</v>
      </c>
      <c r="R1076" s="44" t="s">
        <v>1587</v>
      </c>
      <c r="S1076" s="44"/>
    </row>
    <row r="1077" spans="1:19" x14ac:dyDescent="0.3">
      <c r="A1077" s="44" t="s">
        <v>2279</v>
      </c>
      <c r="B1077" s="44" t="s">
        <v>86</v>
      </c>
      <c r="C1077" s="44" t="s">
        <v>20</v>
      </c>
      <c r="D1077" s="44" t="s">
        <v>349</v>
      </c>
      <c r="E1077" s="44" t="s">
        <v>1035</v>
      </c>
      <c r="F1077" s="44"/>
      <c r="G1077" s="44" t="s">
        <v>2035</v>
      </c>
      <c r="H1077" s="44" t="s">
        <v>1113</v>
      </c>
      <c r="I1077" s="44" t="s">
        <v>1106</v>
      </c>
      <c r="J1077" s="44">
        <v>126</v>
      </c>
      <c r="K1077" s="44" t="s">
        <v>2060</v>
      </c>
      <c r="L1077" s="44"/>
      <c r="M1077" s="44" t="s">
        <v>2033</v>
      </c>
      <c r="N1077" s="45">
        <v>36851264</v>
      </c>
      <c r="O1077" s="46">
        <f t="shared" si="35"/>
        <v>36851.264000000003</v>
      </c>
      <c r="P1077" s="47">
        <f>DGKC!D77</f>
        <v>36851.264000000003</v>
      </c>
      <c r="Q1077" s="44" t="str">
        <f t="shared" si="34"/>
        <v>PASS</v>
      </c>
      <c r="R1077" s="44" t="s">
        <v>1587</v>
      </c>
      <c r="S1077" s="44"/>
    </row>
    <row r="1078" spans="1:19" x14ac:dyDescent="0.3">
      <c r="A1078" s="44" t="s">
        <v>2280</v>
      </c>
      <c r="B1078" s="44" t="s">
        <v>86</v>
      </c>
      <c r="C1078" s="44" t="s">
        <v>26</v>
      </c>
      <c r="D1078" s="44" t="s">
        <v>349</v>
      </c>
      <c r="E1078" s="44" t="s">
        <v>1035</v>
      </c>
      <c r="F1078" s="44"/>
      <c r="G1078" s="44" t="s">
        <v>2038</v>
      </c>
      <c r="H1078" s="44" t="s">
        <v>1117</v>
      </c>
      <c r="I1078" s="44" t="s">
        <v>1106</v>
      </c>
      <c r="J1078" s="44">
        <v>152</v>
      </c>
      <c r="K1078" s="44" t="s">
        <v>2062</v>
      </c>
      <c r="L1078" s="44"/>
      <c r="M1078" s="44" t="s">
        <v>2033</v>
      </c>
      <c r="N1078" s="45">
        <v>40813163</v>
      </c>
      <c r="O1078" s="46">
        <f t="shared" si="35"/>
        <v>40813.163</v>
      </c>
      <c r="P1078" s="47">
        <f>DGKC!E77</f>
        <v>40813.163</v>
      </c>
      <c r="Q1078" s="44" t="str">
        <f t="shared" si="34"/>
        <v>PASS</v>
      </c>
      <c r="R1078" s="44" t="s">
        <v>1587</v>
      </c>
      <c r="S1078" s="44"/>
    </row>
    <row r="1079" spans="1:19" x14ac:dyDescent="0.3">
      <c r="A1079" s="44" t="s">
        <v>2281</v>
      </c>
      <c r="B1079" s="44" t="s">
        <v>86</v>
      </c>
      <c r="C1079" s="44" t="s">
        <v>27</v>
      </c>
      <c r="D1079" s="44" t="s">
        <v>349</v>
      </c>
      <c r="E1079" s="44" t="s">
        <v>1035</v>
      </c>
      <c r="F1079" s="44"/>
      <c r="G1079" s="44" t="s">
        <v>2041</v>
      </c>
      <c r="H1079" s="44" t="s">
        <v>1120</v>
      </c>
      <c r="I1079" s="44" t="s">
        <v>1106</v>
      </c>
      <c r="J1079" s="44">
        <v>152</v>
      </c>
      <c r="K1079" s="44" t="s">
        <v>2062</v>
      </c>
      <c r="L1079" s="44"/>
      <c r="M1079" s="44" t="s">
        <v>2033</v>
      </c>
      <c r="N1079" s="45">
        <v>39026666</v>
      </c>
      <c r="O1079" s="46">
        <f t="shared" si="35"/>
        <v>39026.665999999997</v>
      </c>
      <c r="P1079" s="47">
        <f>DGKC!F77</f>
        <v>39026.665999999997</v>
      </c>
      <c r="Q1079" s="44" t="str">
        <f t="shared" si="34"/>
        <v>PASS</v>
      </c>
      <c r="R1079" s="44" t="s">
        <v>1587</v>
      </c>
      <c r="S1079" s="44"/>
    </row>
    <row r="1080" spans="1:19" x14ac:dyDescent="0.3">
      <c r="A1080" s="44" t="s">
        <v>2282</v>
      </c>
      <c r="B1080" s="44" t="s">
        <v>86</v>
      </c>
      <c r="C1080" s="44" t="s">
        <v>28</v>
      </c>
      <c r="D1080" s="44" t="s">
        <v>349</v>
      </c>
      <c r="E1080" s="44" t="s">
        <v>1035</v>
      </c>
      <c r="F1080" s="44"/>
      <c r="G1080" s="44" t="s">
        <v>2043</v>
      </c>
      <c r="H1080" s="44" t="s">
        <v>1124</v>
      </c>
      <c r="I1080" s="44" t="s">
        <v>1106</v>
      </c>
      <c r="J1080" s="44">
        <v>154</v>
      </c>
      <c r="K1080" s="44" t="s">
        <v>2065</v>
      </c>
      <c r="L1080" s="44"/>
      <c r="M1080" s="44" t="s">
        <v>2033</v>
      </c>
      <c r="N1080" s="45">
        <v>41770521</v>
      </c>
      <c r="O1080" s="46">
        <f t="shared" si="35"/>
        <v>41770.521000000001</v>
      </c>
      <c r="P1080" s="47">
        <f>DGKC!G77</f>
        <v>41770.521000000001</v>
      </c>
      <c r="Q1080" s="44" t="str">
        <f t="shared" si="34"/>
        <v>PASS</v>
      </c>
      <c r="R1080" s="44" t="s">
        <v>1587</v>
      </c>
      <c r="S1080" s="44"/>
    </row>
    <row r="1081" spans="1:19" x14ac:dyDescent="0.3">
      <c r="A1081" s="44" t="s">
        <v>2283</v>
      </c>
      <c r="B1081" s="44" t="s">
        <v>86</v>
      </c>
      <c r="C1081" s="44" t="s">
        <v>29</v>
      </c>
      <c r="D1081" s="44" t="s">
        <v>349</v>
      </c>
      <c r="E1081" s="44" t="s">
        <v>1035</v>
      </c>
      <c r="F1081" s="44"/>
      <c r="G1081" s="44" t="s">
        <v>2043</v>
      </c>
      <c r="H1081" s="44" t="s">
        <v>1124</v>
      </c>
      <c r="I1081" s="44" t="s">
        <v>1127</v>
      </c>
      <c r="J1081" s="44">
        <v>154</v>
      </c>
      <c r="K1081" s="44" t="s">
        <v>2065</v>
      </c>
      <c r="L1081" s="44"/>
      <c r="M1081" s="44" t="s">
        <v>2033</v>
      </c>
      <c r="N1081" s="45">
        <v>47908042</v>
      </c>
      <c r="O1081" s="46">
        <f t="shared" si="35"/>
        <v>47908.042000000001</v>
      </c>
      <c r="P1081" s="47">
        <f>DGKC!H77</f>
        <v>47908.042000000001</v>
      </c>
      <c r="Q1081" s="44" t="str">
        <f t="shared" si="34"/>
        <v>PASS</v>
      </c>
      <c r="R1081" s="44" t="s">
        <v>1587</v>
      </c>
      <c r="S1081" s="44"/>
    </row>
    <row r="1082" spans="1:19" x14ac:dyDescent="0.3">
      <c r="A1082" s="44" t="s">
        <v>2284</v>
      </c>
      <c r="B1082" s="44" t="s">
        <v>86</v>
      </c>
      <c r="C1082" s="44" t="s">
        <v>965</v>
      </c>
      <c r="D1082" s="44" t="s">
        <v>351</v>
      </c>
      <c r="E1082" s="44" t="s">
        <v>1035</v>
      </c>
      <c r="F1082" s="44"/>
      <c r="G1082" s="44" t="s">
        <v>2031</v>
      </c>
      <c r="H1082" s="44" t="s">
        <v>1105</v>
      </c>
      <c r="I1082" s="44" t="s">
        <v>1106</v>
      </c>
      <c r="J1082" s="44">
        <v>105</v>
      </c>
      <c r="K1082" s="44" t="s">
        <v>2058</v>
      </c>
      <c r="L1082" s="44"/>
      <c r="M1082" s="44" t="s">
        <v>2033</v>
      </c>
      <c r="N1082" s="45">
        <v>37624257</v>
      </c>
      <c r="O1082" s="46">
        <f t="shared" si="35"/>
        <v>37624.256999999998</v>
      </c>
      <c r="P1082" s="47">
        <f>DGKC!C78</f>
        <v>37624.256999999998</v>
      </c>
      <c r="Q1082" s="44" t="str">
        <f t="shared" si="34"/>
        <v>PASS</v>
      </c>
      <c r="R1082" s="44" t="s">
        <v>1587</v>
      </c>
      <c r="S1082" s="44"/>
    </row>
    <row r="1083" spans="1:19" x14ac:dyDescent="0.3">
      <c r="A1083" s="44" t="s">
        <v>2285</v>
      </c>
      <c r="B1083" s="44" t="s">
        <v>86</v>
      </c>
      <c r="C1083" s="44" t="s">
        <v>20</v>
      </c>
      <c r="D1083" s="44" t="s">
        <v>351</v>
      </c>
      <c r="E1083" s="44" t="s">
        <v>1035</v>
      </c>
      <c r="F1083" s="44"/>
      <c r="G1083" s="44" t="s">
        <v>2035</v>
      </c>
      <c r="H1083" s="44" t="s">
        <v>1113</v>
      </c>
      <c r="I1083" s="44" t="s">
        <v>1106</v>
      </c>
      <c r="J1083" s="44">
        <v>125</v>
      </c>
      <c r="K1083" s="44" t="s">
        <v>2060</v>
      </c>
      <c r="L1083" s="44"/>
      <c r="M1083" s="44" t="s">
        <v>2033</v>
      </c>
      <c r="N1083" s="45">
        <v>40295520</v>
      </c>
      <c r="O1083" s="46">
        <f t="shared" si="35"/>
        <v>40295.519999999997</v>
      </c>
      <c r="P1083" s="47">
        <f>DGKC!D78</f>
        <v>40295.519999999997</v>
      </c>
      <c r="Q1083" s="44" t="str">
        <f t="shared" si="34"/>
        <v>PASS</v>
      </c>
      <c r="R1083" s="44" t="s">
        <v>1587</v>
      </c>
      <c r="S1083" s="44"/>
    </row>
    <row r="1084" spans="1:19" x14ac:dyDescent="0.3">
      <c r="A1084" s="44" t="s">
        <v>2286</v>
      </c>
      <c r="B1084" s="44" t="s">
        <v>86</v>
      </c>
      <c r="C1084" s="44" t="s">
        <v>26</v>
      </c>
      <c r="D1084" s="44" t="s">
        <v>351</v>
      </c>
      <c r="E1084" s="44" t="s">
        <v>1035</v>
      </c>
      <c r="F1084" s="44"/>
      <c r="G1084" s="44" t="s">
        <v>2038</v>
      </c>
      <c r="H1084" s="44" t="s">
        <v>1117</v>
      </c>
      <c r="I1084" s="44" t="s">
        <v>1106</v>
      </c>
      <c r="J1084" s="44">
        <v>151</v>
      </c>
      <c r="K1084" s="44" t="s">
        <v>2062</v>
      </c>
      <c r="L1084" s="44"/>
      <c r="M1084" s="44" t="s">
        <v>2033</v>
      </c>
      <c r="N1084" s="45">
        <v>46089031</v>
      </c>
      <c r="O1084" s="46">
        <f t="shared" si="35"/>
        <v>46089.031000000003</v>
      </c>
      <c r="P1084" s="47">
        <f>DGKC!E78</f>
        <v>46089.031000000003</v>
      </c>
      <c r="Q1084" s="44" t="str">
        <f t="shared" ref="Q1084:Q1147" si="36">IF(ABS(O1084-P1084)&lt;0.000001,"PASS","FAIL")</f>
        <v>PASS</v>
      </c>
      <c r="R1084" s="44" t="s">
        <v>1587</v>
      </c>
      <c r="S1084" s="44"/>
    </row>
    <row r="1085" spans="1:19" x14ac:dyDescent="0.3">
      <c r="A1085" s="44" t="s">
        <v>2287</v>
      </c>
      <c r="B1085" s="44" t="s">
        <v>86</v>
      </c>
      <c r="C1085" s="44" t="s">
        <v>27</v>
      </c>
      <c r="D1085" s="44" t="s">
        <v>351</v>
      </c>
      <c r="E1085" s="44" t="s">
        <v>1035</v>
      </c>
      <c r="F1085" s="44"/>
      <c r="G1085" s="44" t="s">
        <v>2041</v>
      </c>
      <c r="H1085" s="44" t="s">
        <v>1120</v>
      </c>
      <c r="I1085" s="44" t="s">
        <v>1106</v>
      </c>
      <c r="J1085" s="44">
        <v>151</v>
      </c>
      <c r="K1085" s="44" t="s">
        <v>2062</v>
      </c>
      <c r="L1085" s="44"/>
      <c r="M1085" s="44" t="s">
        <v>2033</v>
      </c>
      <c r="N1085" s="45">
        <v>48675790</v>
      </c>
      <c r="O1085" s="46">
        <f t="shared" si="35"/>
        <v>48675.79</v>
      </c>
      <c r="P1085" s="47">
        <f>DGKC!F78</f>
        <v>48675.79</v>
      </c>
      <c r="Q1085" s="44" t="str">
        <f t="shared" si="36"/>
        <v>PASS</v>
      </c>
      <c r="R1085" s="44" t="s">
        <v>1587</v>
      </c>
      <c r="S1085" s="44"/>
    </row>
    <row r="1086" spans="1:19" x14ac:dyDescent="0.3">
      <c r="A1086" s="44" t="s">
        <v>2288</v>
      </c>
      <c r="B1086" s="44" t="s">
        <v>86</v>
      </c>
      <c r="C1086" s="44" t="s">
        <v>28</v>
      </c>
      <c r="D1086" s="44" t="s">
        <v>351</v>
      </c>
      <c r="E1086" s="44" t="s">
        <v>1035</v>
      </c>
      <c r="F1086" s="44"/>
      <c r="G1086" s="44" t="s">
        <v>2043</v>
      </c>
      <c r="H1086" s="44" t="s">
        <v>1124</v>
      </c>
      <c r="I1086" s="44" t="s">
        <v>1106</v>
      </c>
      <c r="J1086" s="44">
        <v>153</v>
      </c>
      <c r="K1086" s="44" t="s">
        <v>2065</v>
      </c>
      <c r="L1086" s="44"/>
      <c r="M1086" s="44" t="s">
        <v>2033</v>
      </c>
      <c r="N1086" s="45">
        <v>32225717</v>
      </c>
      <c r="O1086" s="46">
        <f t="shared" si="35"/>
        <v>32225.717000000001</v>
      </c>
      <c r="P1086" s="47">
        <f>DGKC!G78</f>
        <v>32225.717000000001</v>
      </c>
      <c r="Q1086" s="44" t="str">
        <f t="shared" si="36"/>
        <v>PASS</v>
      </c>
      <c r="R1086" s="44" t="s">
        <v>1587</v>
      </c>
      <c r="S1086" s="44"/>
    </row>
    <row r="1087" spans="1:19" x14ac:dyDescent="0.3">
      <c r="A1087" s="44" t="s">
        <v>2289</v>
      </c>
      <c r="B1087" s="44" t="s">
        <v>86</v>
      </c>
      <c r="C1087" s="44" t="s">
        <v>29</v>
      </c>
      <c r="D1087" s="44" t="s">
        <v>351</v>
      </c>
      <c r="E1087" s="44" t="s">
        <v>1035</v>
      </c>
      <c r="F1087" s="44"/>
      <c r="G1087" s="44" t="s">
        <v>2043</v>
      </c>
      <c r="H1087" s="44" t="s">
        <v>1124</v>
      </c>
      <c r="I1087" s="44" t="s">
        <v>1127</v>
      </c>
      <c r="J1087" s="44">
        <v>153</v>
      </c>
      <c r="K1087" s="44" t="s">
        <v>2065</v>
      </c>
      <c r="L1087" s="44"/>
      <c r="M1087" s="44" t="s">
        <v>2033</v>
      </c>
      <c r="N1087" s="45">
        <v>25910920</v>
      </c>
      <c r="O1087" s="46">
        <f t="shared" si="35"/>
        <v>25910.92</v>
      </c>
      <c r="P1087" s="47">
        <f>DGKC!H78</f>
        <v>25910.92</v>
      </c>
      <c r="Q1087" s="44" t="str">
        <f t="shared" si="36"/>
        <v>PASS</v>
      </c>
      <c r="R1087" s="44" t="s">
        <v>1587</v>
      </c>
      <c r="S1087" s="44"/>
    </row>
    <row r="1088" spans="1:19" x14ac:dyDescent="0.3">
      <c r="A1088" s="44" t="s">
        <v>2290</v>
      </c>
      <c r="B1088" s="44" t="s">
        <v>86</v>
      </c>
      <c r="C1088" s="44" t="s">
        <v>20</v>
      </c>
      <c r="D1088" s="44" t="s">
        <v>358</v>
      </c>
      <c r="E1088" s="44" t="s">
        <v>1381</v>
      </c>
      <c r="F1088" s="44" t="s">
        <v>2291</v>
      </c>
      <c r="G1088" s="44" t="s">
        <v>2035</v>
      </c>
      <c r="H1088" s="44" t="s">
        <v>1113</v>
      </c>
      <c r="I1088" s="44" t="s">
        <v>1106</v>
      </c>
      <c r="J1088" s="44">
        <v>127</v>
      </c>
      <c r="K1088" s="44" t="s">
        <v>2292</v>
      </c>
      <c r="L1088" s="44"/>
      <c r="M1088" s="44" t="s">
        <v>2033</v>
      </c>
      <c r="N1088" s="45">
        <v>45107690</v>
      </c>
      <c r="O1088" s="46">
        <f t="shared" si="35"/>
        <v>45107.69</v>
      </c>
      <c r="P1088" s="47">
        <f>DGKC!D84</f>
        <v>45107.69</v>
      </c>
      <c r="Q1088" s="44" t="str">
        <f t="shared" si="36"/>
        <v>PASS</v>
      </c>
      <c r="R1088" s="44" t="s">
        <v>1587</v>
      </c>
      <c r="S1088" s="44"/>
    </row>
    <row r="1089" spans="1:19" x14ac:dyDescent="0.3">
      <c r="A1089" s="44" t="s">
        <v>2293</v>
      </c>
      <c r="B1089" s="44" t="s">
        <v>86</v>
      </c>
      <c r="C1089" s="44" t="s">
        <v>26</v>
      </c>
      <c r="D1089" s="44" t="s">
        <v>358</v>
      </c>
      <c r="E1089" s="44" t="s">
        <v>1381</v>
      </c>
      <c r="F1089" s="44" t="s">
        <v>2291</v>
      </c>
      <c r="G1089" s="44" t="s">
        <v>2038</v>
      </c>
      <c r="H1089" s="44" t="s">
        <v>1117</v>
      </c>
      <c r="I1089" s="44" t="s">
        <v>1106</v>
      </c>
      <c r="J1089" s="44">
        <v>153</v>
      </c>
      <c r="K1089" s="44" t="s">
        <v>2065</v>
      </c>
      <c r="L1089" s="44"/>
      <c r="M1089" s="44" t="s">
        <v>2033</v>
      </c>
      <c r="N1089" s="45">
        <v>58043863</v>
      </c>
      <c r="O1089" s="46">
        <f t="shared" si="35"/>
        <v>58043.862999999998</v>
      </c>
      <c r="P1089" s="47">
        <f>DGKC!E84</f>
        <v>58043.862999999998</v>
      </c>
      <c r="Q1089" s="44" t="str">
        <f t="shared" si="36"/>
        <v>PASS</v>
      </c>
      <c r="R1089" s="44" t="s">
        <v>1587</v>
      </c>
      <c r="S1089" s="44"/>
    </row>
    <row r="1090" spans="1:19" x14ac:dyDescent="0.3">
      <c r="A1090" s="44" t="s">
        <v>2294</v>
      </c>
      <c r="B1090" s="44" t="s">
        <v>86</v>
      </c>
      <c r="C1090" s="44" t="s">
        <v>27</v>
      </c>
      <c r="D1090" s="44" t="s">
        <v>358</v>
      </c>
      <c r="E1090" s="44" t="s">
        <v>1381</v>
      </c>
      <c r="F1090" s="44" t="s">
        <v>2291</v>
      </c>
      <c r="G1090" s="44" t="s">
        <v>2041</v>
      </c>
      <c r="H1090" s="44" t="s">
        <v>1120</v>
      </c>
      <c r="I1090" s="44" t="s">
        <v>1106</v>
      </c>
      <c r="J1090" s="44">
        <v>153</v>
      </c>
      <c r="K1090" s="44" t="s">
        <v>2065</v>
      </c>
      <c r="L1090" s="44"/>
      <c r="M1090" s="44" t="s">
        <v>2033</v>
      </c>
      <c r="N1090" s="45">
        <v>64983821</v>
      </c>
      <c r="O1090" s="46">
        <f t="shared" si="35"/>
        <v>64983.821000000004</v>
      </c>
      <c r="P1090" s="47">
        <f>DGKC!F84</f>
        <v>64983.821000000004</v>
      </c>
      <c r="Q1090" s="44" t="str">
        <f t="shared" si="36"/>
        <v>PASS</v>
      </c>
      <c r="R1090" s="44" t="s">
        <v>1587</v>
      </c>
      <c r="S1090" s="44"/>
    </row>
    <row r="1091" spans="1:19" x14ac:dyDescent="0.3">
      <c r="A1091" s="44" t="s">
        <v>2295</v>
      </c>
      <c r="B1091" s="44" t="s">
        <v>86</v>
      </c>
      <c r="C1091" s="44" t="s">
        <v>28</v>
      </c>
      <c r="D1091" s="44" t="s">
        <v>358</v>
      </c>
      <c r="E1091" s="44" t="s">
        <v>1381</v>
      </c>
      <c r="F1091" s="44" t="s">
        <v>2296</v>
      </c>
      <c r="G1091" s="44" t="s">
        <v>2043</v>
      </c>
      <c r="H1091" s="44" t="s">
        <v>1124</v>
      </c>
      <c r="I1091" s="44" t="s">
        <v>1106</v>
      </c>
      <c r="J1091" s="44">
        <v>155</v>
      </c>
      <c r="K1091" s="44" t="s">
        <v>2195</v>
      </c>
      <c r="L1091" s="44"/>
      <c r="M1091" s="44" t="s">
        <v>2033</v>
      </c>
      <c r="N1091" s="45">
        <v>66038689</v>
      </c>
      <c r="O1091" s="46">
        <f t="shared" si="35"/>
        <v>66038.688999999998</v>
      </c>
      <c r="P1091" s="47">
        <f>DGKC!G84</f>
        <v>66038.688999999998</v>
      </c>
      <c r="Q1091" s="44" t="str">
        <f t="shared" si="36"/>
        <v>PASS</v>
      </c>
      <c r="R1091" s="44" t="s">
        <v>1587</v>
      </c>
      <c r="S1091" s="44"/>
    </row>
    <row r="1092" spans="1:19" x14ac:dyDescent="0.3">
      <c r="A1092" s="44" t="s">
        <v>2297</v>
      </c>
      <c r="B1092" s="44" t="s">
        <v>86</v>
      </c>
      <c r="C1092" s="44" t="s">
        <v>29</v>
      </c>
      <c r="D1092" s="44" t="s">
        <v>358</v>
      </c>
      <c r="E1092" s="44" t="s">
        <v>1381</v>
      </c>
      <c r="F1092" s="44" t="s">
        <v>2296</v>
      </c>
      <c r="G1092" s="44" t="s">
        <v>2043</v>
      </c>
      <c r="H1092" s="44" t="s">
        <v>1124</v>
      </c>
      <c r="I1092" s="44" t="s">
        <v>1127</v>
      </c>
      <c r="J1092" s="44">
        <v>155</v>
      </c>
      <c r="K1092" s="44" t="s">
        <v>2195</v>
      </c>
      <c r="L1092" s="44"/>
      <c r="M1092" s="44" t="s">
        <v>2033</v>
      </c>
      <c r="N1092" s="45">
        <v>71892837</v>
      </c>
      <c r="O1092" s="46">
        <f t="shared" si="35"/>
        <v>71892.837</v>
      </c>
      <c r="P1092" s="47">
        <f>DGKC!H84</f>
        <v>71892.837</v>
      </c>
      <c r="Q1092" s="44" t="str">
        <f t="shared" si="36"/>
        <v>PASS</v>
      </c>
      <c r="R1092" s="44" t="s">
        <v>1587</v>
      </c>
      <c r="S1092" s="44"/>
    </row>
    <row r="1093" spans="1:19" x14ac:dyDescent="0.3">
      <c r="A1093" s="44" t="s">
        <v>2298</v>
      </c>
      <c r="B1093" s="44" t="s">
        <v>86</v>
      </c>
      <c r="C1093" s="44" t="s">
        <v>20</v>
      </c>
      <c r="D1093" s="44" t="s">
        <v>360</v>
      </c>
      <c r="E1093" s="44" t="s">
        <v>1381</v>
      </c>
      <c r="F1093" s="44" t="s">
        <v>360</v>
      </c>
      <c r="G1093" s="44" t="s">
        <v>2035</v>
      </c>
      <c r="H1093" s="44" t="s">
        <v>1113</v>
      </c>
      <c r="I1093" s="44" t="s">
        <v>1106</v>
      </c>
      <c r="J1093" s="44">
        <v>127</v>
      </c>
      <c r="K1093" s="44" t="s">
        <v>2292</v>
      </c>
      <c r="L1093" s="44"/>
      <c r="M1093" s="44" t="s">
        <v>2033</v>
      </c>
      <c r="N1093" s="45">
        <v>-37035798</v>
      </c>
      <c r="O1093" s="46">
        <f t="shared" si="35"/>
        <v>-37035.798000000003</v>
      </c>
      <c r="P1093" s="47">
        <f>DGKC!D85</f>
        <v>-37035.798000000003</v>
      </c>
      <c r="Q1093" s="44" t="str">
        <f t="shared" si="36"/>
        <v>PASS</v>
      </c>
      <c r="R1093" s="44" t="s">
        <v>1587</v>
      </c>
      <c r="S1093" s="44"/>
    </row>
    <row r="1094" spans="1:19" x14ac:dyDescent="0.3">
      <c r="A1094" s="44" t="s">
        <v>2299</v>
      </c>
      <c r="B1094" s="44" t="s">
        <v>86</v>
      </c>
      <c r="C1094" s="44" t="s">
        <v>26</v>
      </c>
      <c r="D1094" s="44" t="s">
        <v>360</v>
      </c>
      <c r="E1094" s="44" t="s">
        <v>1381</v>
      </c>
      <c r="F1094" s="44" t="s">
        <v>360</v>
      </c>
      <c r="G1094" s="44" t="s">
        <v>2038</v>
      </c>
      <c r="H1094" s="44" t="s">
        <v>1117</v>
      </c>
      <c r="I1094" s="44" t="s">
        <v>1106</v>
      </c>
      <c r="J1094" s="44">
        <v>153</v>
      </c>
      <c r="K1094" s="44" t="s">
        <v>2065</v>
      </c>
      <c r="L1094" s="44"/>
      <c r="M1094" s="44" t="s">
        <v>2033</v>
      </c>
      <c r="N1094" s="45">
        <v>-47615551</v>
      </c>
      <c r="O1094" s="46">
        <f t="shared" si="35"/>
        <v>-47615.550999999999</v>
      </c>
      <c r="P1094" s="47">
        <f>DGKC!E85</f>
        <v>-47615.550999999999</v>
      </c>
      <c r="Q1094" s="44" t="str">
        <f t="shared" si="36"/>
        <v>PASS</v>
      </c>
      <c r="R1094" s="44" t="s">
        <v>1587</v>
      </c>
      <c r="S1094" s="44"/>
    </row>
    <row r="1095" spans="1:19" x14ac:dyDescent="0.3">
      <c r="A1095" s="44" t="s">
        <v>2300</v>
      </c>
      <c r="B1095" s="44" t="s">
        <v>86</v>
      </c>
      <c r="C1095" s="44" t="s">
        <v>27</v>
      </c>
      <c r="D1095" s="44" t="s">
        <v>360</v>
      </c>
      <c r="E1095" s="44" t="s">
        <v>1381</v>
      </c>
      <c r="F1095" s="44" t="s">
        <v>360</v>
      </c>
      <c r="G1095" s="44" t="s">
        <v>2041</v>
      </c>
      <c r="H1095" s="44" t="s">
        <v>1120</v>
      </c>
      <c r="I1095" s="44" t="s">
        <v>1106</v>
      </c>
      <c r="J1095" s="44">
        <v>153</v>
      </c>
      <c r="K1095" s="44" t="s">
        <v>2065</v>
      </c>
      <c r="L1095" s="44"/>
      <c r="M1095" s="44" t="s">
        <v>2033</v>
      </c>
      <c r="N1095" s="45">
        <v>-55428046</v>
      </c>
      <c r="O1095" s="46">
        <f t="shared" si="35"/>
        <v>-55428.046000000002</v>
      </c>
      <c r="P1095" s="47">
        <f>DGKC!F85</f>
        <v>-55428.046000000002</v>
      </c>
      <c r="Q1095" s="44" t="str">
        <f t="shared" si="36"/>
        <v>PASS</v>
      </c>
      <c r="R1095" s="44" t="s">
        <v>1587</v>
      </c>
      <c r="S1095" s="44"/>
    </row>
    <row r="1096" spans="1:19" x14ac:dyDescent="0.3">
      <c r="A1096" s="44" t="s">
        <v>2301</v>
      </c>
      <c r="B1096" s="44" t="s">
        <v>86</v>
      </c>
      <c r="C1096" s="44" t="s">
        <v>28</v>
      </c>
      <c r="D1096" s="44" t="s">
        <v>360</v>
      </c>
      <c r="E1096" s="44" t="s">
        <v>1381</v>
      </c>
      <c r="F1096" s="44" t="s">
        <v>360</v>
      </c>
      <c r="G1096" s="44" t="s">
        <v>2043</v>
      </c>
      <c r="H1096" s="44" t="s">
        <v>1124</v>
      </c>
      <c r="I1096" s="44" t="s">
        <v>1106</v>
      </c>
      <c r="J1096" s="44">
        <v>155</v>
      </c>
      <c r="K1096" s="44" t="s">
        <v>2195</v>
      </c>
      <c r="L1096" s="44"/>
      <c r="M1096" s="44" t="s">
        <v>2033</v>
      </c>
      <c r="N1096" s="45">
        <v>-55510429</v>
      </c>
      <c r="O1096" s="46">
        <f t="shared" si="35"/>
        <v>-55510.428999999996</v>
      </c>
      <c r="P1096" s="47">
        <f>DGKC!G85</f>
        <v>-55510.428999999996</v>
      </c>
      <c r="Q1096" s="44" t="str">
        <f t="shared" si="36"/>
        <v>PASS</v>
      </c>
      <c r="R1096" s="44" t="s">
        <v>1587</v>
      </c>
      <c r="S1096" s="44"/>
    </row>
    <row r="1097" spans="1:19" x14ac:dyDescent="0.3">
      <c r="A1097" s="44" t="s">
        <v>2302</v>
      </c>
      <c r="B1097" s="44" t="s">
        <v>86</v>
      </c>
      <c r="C1097" s="44" t="s">
        <v>29</v>
      </c>
      <c r="D1097" s="44" t="s">
        <v>360</v>
      </c>
      <c r="E1097" s="44" t="s">
        <v>1381</v>
      </c>
      <c r="F1097" s="44" t="s">
        <v>360</v>
      </c>
      <c r="G1097" s="44" t="s">
        <v>2043</v>
      </c>
      <c r="H1097" s="44" t="s">
        <v>1124</v>
      </c>
      <c r="I1097" s="44" t="s">
        <v>1127</v>
      </c>
      <c r="J1097" s="44">
        <v>155</v>
      </c>
      <c r="K1097" s="44" t="s">
        <v>2195</v>
      </c>
      <c r="L1097" s="44"/>
      <c r="M1097" s="44" t="s">
        <v>2033</v>
      </c>
      <c r="N1097" s="45">
        <v>-53387166</v>
      </c>
      <c r="O1097" s="46">
        <f t="shared" si="35"/>
        <v>-53387.165999999997</v>
      </c>
      <c r="P1097" s="47">
        <f>DGKC!H85</f>
        <v>-53387.165999999997</v>
      </c>
      <c r="Q1097" s="44" t="str">
        <f t="shared" si="36"/>
        <v>PASS</v>
      </c>
      <c r="R1097" s="44" t="s">
        <v>1587</v>
      </c>
      <c r="S1097" s="44"/>
    </row>
    <row r="1098" spans="1:19" x14ac:dyDescent="0.3">
      <c r="A1098" s="44" t="s">
        <v>2303</v>
      </c>
      <c r="B1098" s="44" t="s">
        <v>86</v>
      </c>
      <c r="C1098" s="44" t="s">
        <v>20</v>
      </c>
      <c r="D1098" s="44" t="s">
        <v>364</v>
      </c>
      <c r="E1098" s="44" t="s">
        <v>1381</v>
      </c>
      <c r="F1098" s="44" t="s">
        <v>364</v>
      </c>
      <c r="G1098" s="44" t="s">
        <v>2035</v>
      </c>
      <c r="H1098" s="44" t="s">
        <v>1113</v>
      </c>
      <c r="I1098" s="44" t="s">
        <v>1106</v>
      </c>
      <c r="J1098" s="44">
        <v>127</v>
      </c>
      <c r="K1098" s="44" t="s">
        <v>2292</v>
      </c>
      <c r="L1098" s="44"/>
      <c r="M1098" s="44" t="s">
        <v>2033</v>
      </c>
      <c r="N1098" s="45">
        <v>-1950056</v>
      </c>
      <c r="O1098" s="46">
        <f t="shared" si="35"/>
        <v>-1950.056</v>
      </c>
      <c r="P1098" s="47">
        <f>DGKC!D87</f>
        <v>-1950.056</v>
      </c>
      <c r="Q1098" s="44" t="str">
        <f t="shared" si="36"/>
        <v>PASS</v>
      </c>
      <c r="R1098" s="44" t="s">
        <v>1587</v>
      </c>
      <c r="S1098" s="44"/>
    </row>
    <row r="1099" spans="1:19" x14ac:dyDescent="0.3">
      <c r="A1099" s="44" t="s">
        <v>2304</v>
      </c>
      <c r="B1099" s="44" t="s">
        <v>86</v>
      </c>
      <c r="C1099" s="44" t="s">
        <v>26</v>
      </c>
      <c r="D1099" s="44" t="s">
        <v>364</v>
      </c>
      <c r="E1099" s="44" t="s">
        <v>1381</v>
      </c>
      <c r="F1099" s="44" t="s">
        <v>364</v>
      </c>
      <c r="G1099" s="44" t="s">
        <v>2038</v>
      </c>
      <c r="H1099" s="44" t="s">
        <v>1117</v>
      </c>
      <c r="I1099" s="44" t="s">
        <v>1106</v>
      </c>
      <c r="J1099" s="44">
        <v>153</v>
      </c>
      <c r="K1099" s="44" t="s">
        <v>2065</v>
      </c>
      <c r="L1099" s="44"/>
      <c r="M1099" s="44" t="s">
        <v>2033</v>
      </c>
      <c r="N1099" s="45">
        <v>-1748859</v>
      </c>
      <c r="O1099" s="46">
        <f t="shared" si="35"/>
        <v>-1748.8589999999999</v>
      </c>
      <c r="P1099" s="47">
        <f>DGKC!E87</f>
        <v>-1748.8589999999999</v>
      </c>
      <c r="Q1099" s="44" t="str">
        <f t="shared" si="36"/>
        <v>PASS</v>
      </c>
      <c r="R1099" s="44" t="s">
        <v>1587</v>
      </c>
      <c r="S1099" s="44"/>
    </row>
    <row r="1100" spans="1:19" x14ac:dyDescent="0.3">
      <c r="A1100" s="44" t="s">
        <v>2305</v>
      </c>
      <c r="B1100" s="44" t="s">
        <v>86</v>
      </c>
      <c r="C1100" s="44" t="s">
        <v>27</v>
      </c>
      <c r="D1100" s="44" t="s">
        <v>364</v>
      </c>
      <c r="E1100" s="44" t="s">
        <v>1381</v>
      </c>
      <c r="F1100" s="44" t="s">
        <v>364</v>
      </c>
      <c r="G1100" s="44" t="s">
        <v>2041</v>
      </c>
      <c r="H1100" s="44" t="s">
        <v>1120</v>
      </c>
      <c r="I1100" s="44" t="s">
        <v>1106</v>
      </c>
      <c r="J1100" s="44">
        <v>153</v>
      </c>
      <c r="K1100" s="44" t="s">
        <v>2065</v>
      </c>
      <c r="L1100" s="44"/>
      <c r="M1100" s="44" t="s">
        <v>2033</v>
      </c>
      <c r="N1100" s="45">
        <v>-1818028</v>
      </c>
      <c r="O1100" s="46">
        <f t="shared" si="35"/>
        <v>-1818.028</v>
      </c>
      <c r="P1100" s="47">
        <f>DGKC!F87</f>
        <v>-1818.028</v>
      </c>
      <c r="Q1100" s="44" t="str">
        <f t="shared" si="36"/>
        <v>PASS</v>
      </c>
      <c r="R1100" s="44" t="s">
        <v>1587</v>
      </c>
      <c r="S1100" s="44"/>
    </row>
    <row r="1101" spans="1:19" x14ac:dyDescent="0.3">
      <c r="A1101" s="44" t="s">
        <v>2306</v>
      </c>
      <c r="B1101" s="44" t="s">
        <v>86</v>
      </c>
      <c r="C1101" s="44" t="s">
        <v>28</v>
      </c>
      <c r="D1101" s="44" t="s">
        <v>364</v>
      </c>
      <c r="E1101" s="44" t="s">
        <v>1381</v>
      </c>
      <c r="F1101" s="44" t="s">
        <v>364</v>
      </c>
      <c r="G1101" s="44" t="s">
        <v>2043</v>
      </c>
      <c r="H1101" s="44" t="s">
        <v>1124</v>
      </c>
      <c r="I1101" s="44" t="s">
        <v>1106</v>
      </c>
      <c r="J1101" s="44">
        <v>155</v>
      </c>
      <c r="K1101" s="44" t="s">
        <v>2195</v>
      </c>
      <c r="L1101" s="44"/>
      <c r="M1101" s="44" t="s">
        <v>2033</v>
      </c>
      <c r="N1101" s="45">
        <v>-2608537</v>
      </c>
      <c r="O1101" s="46">
        <f t="shared" si="35"/>
        <v>-2608.5369999999998</v>
      </c>
      <c r="P1101" s="47">
        <f>DGKC!G87</f>
        <v>-2608.5369999999998</v>
      </c>
      <c r="Q1101" s="44" t="str">
        <f t="shared" si="36"/>
        <v>PASS</v>
      </c>
      <c r="R1101" s="44" t="s">
        <v>1587</v>
      </c>
      <c r="S1101" s="44"/>
    </row>
    <row r="1102" spans="1:19" x14ac:dyDescent="0.3">
      <c r="A1102" s="44" t="s">
        <v>2307</v>
      </c>
      <c r="B1102" s="44" t="s">
        <v>86</v>
      </c>
      <c r="C1102" s="44" t="s">
        <v>29</v>
      </c>
      <c r="D1102" s="44" t="s">
        <v>364</v>
      </c>
      <c r="E1102" s="44" t="s">
        <v>1381</v>
      </c>
      <c r="F1102" s="44" t="s">
        <v>364</v>
      </c>
      <c r="G1102" s="44" t="s">
        <v>2043</v>
      </c>
      <c r="H1102" s="44" t="s">
        <v>1124</v>
      </c>
      <c r="I1102" s="44" t="s">
        <v>1127</v>
      </c>
      <c r="J1102" s="44">
        <v>155</v>
      </c>
      <c r="K1102" s="44" t="s">
        <v>2195</v>
      </c>
      <c r="L1102" s="44"/>
      <c r="M1102" s="44" t="s">
        <v>2033</v>
      </c>
      <c r="N1102" s="45">
        <v>-3874688</v>
      </c>
      <c r="O1102" s="46">
        <f t="shared" si="35"/>
        <v>-3874.6880000000001</v>
      </c>
      <c r="P1102" s="47">
        <f>DGKC!H87</f>
        <v>-3874.6880000000001</v>
      </c>
      <c r="Q1102" s="44" t="str">
        <f t="shared" si="36"/>
        <v>PASS</v>
      </c>
      <c r="R1102" s="44" t="s">
        <v>1587</v>
      </c>
      <c r="S1102" s="44"/>
    </row>
    <row r="1103" spans="1:19" x14ac:dyDescent="0.3">
      <c r="A1103" s="44" t="s">
        <v>2308</v>
      </c>
      <c r="B1103" s="44" t="s">
        <v>86</v>
      </c>
      <c r="C1103" s="44" t="s">
        <v>20</v>
      </c>
      <c r="D1103" s="44" t="s">
        <v>366</v>
      </c>
      <c r="E1103" s="44" t="s">
        <v>1381</v>
      </c>
      <c r="F1103" s="44" t="s">
        <v>366</v>
      </c>
      <c r="G1103" s="44" t="s">
        <v>2035</v>
      </c>
      <c r="H1103" s="44" t="s">
        <v>1113</v>
      </c>
      <c r="I1103" s="44" t="s">
        <v>1106</v>
      </c>
      <c r="J1103" s="44">
        <v>127</v>
      </c>
      <c r="K1103" s="44" t="s">
        <v>2292</v>
      </c>
      <c r="L1103" s="44"/>
      <c r="M1103" s="44" t="s">
        <v>2033</v>
      </c>
      <c r="N1103" s="45">
        <v>-646762</v>
      </c>
      <c r="O1103" s="46">
        <f t="shared" si="35"/>
        <v>-646.76199999999994</v>
      </c>
      <c r="P1103" s="47">
        <f>DGKC!D88</f>
        <v>-646.76199999999994</v>
      </c>
      <c r="Q1103" s="44" t="str">
        <f t="shared" si="36"/>
        <v>PASS</v>
      </c>
      <c r="R1103" s="44" t="s">
        <v>1587</v>
      </c>
      <c r="S1103" s="44"/>
    </row>
    <row r="1104" spans="1:19" x14ac:dyDescent="0.3">
      <c r="A1104" s="44" t="s">
        <v>2309</v>
      </c>
      <c r="B1104" s="44" t="s">
        <v>86</v>
      </c>
      <c r="C1104" s="44" t="s">
        <v>26</v>
      </c>
      <c r="D1104" s="44" t="s">
        <v>366</v>
      </c>
      <c r="E1104" s="44" t="s">
        <v>1381</v>
      </c>
      <c r="F1104" s="44" t="s">
        <v>366</v>
      </c>
      <c r="G1104" s="44" t="s">
        <v>2038</v>
      </c>
      <c r="H1104" s="44" t="s">
        <v>1117</v>
      </c>
      <c r="I1104" s="44" t="s">
        <v>1106</v>
      </c>
      <c r="J1104" s="44">
        <v>153</v>
      </c>
      <c r="K1104" s="44" t="s">
        <v>2065</v>
      </c>
      <c r="L1104" s="44"/>
      <c r="M1104" s="44" t="s">
        <v>2033</v>
      </c>
      <c r="N1104" s="45">
        <v>-751052</v>
      </c>
      <c r="O1104" s="46">
        <f t="shared" si="35"/>
        <v>-751.05200000000002</v>
      </c>
      <c r="P1104" s="47">
        <f>DGKC!E88</f>
        <v>-751.05200000000002</v>
      </c>
      <c r="Q1104" s="44" t="str">
        <f t="shared" si="36"/>
        <v>PASS</v>
      </c>
      <c r="R1104" s="44" t="s">
        <v>1587</v>
      </c>
      <c r="S1104" s="44"/>
    </row>
    <row r="1105" spans="1:19" x14ac:dyDescent="0.3">
      <c r="A1105" s="44" t="s">
        <v>2310</v>
      </c>
      <c r="B1105" s="44" t="s">
        <v>86</v>
      </c>
      <c r="C1105" s="44" t="s">
        <v>27</v>
      </c>
      <c r="D1105" s="44" t="s">
        <v>366</v>
      </c>
      <c r="E1105" s="44" t="s">
        <v>1381</v>
      </c>
      <c r="F1105" s="44" t="s">
        <v>366</v>
      </c>
      <c r="G1105" s="44" t="s">
        <v>2041</v>
      </c>
      <c r="H1105" s="44" t="s">
        <v>1120</v>
      </c>
      <c r="I1105" s="44" t="s">
        <v>1106</v>
      </c>
      <c r="J1105" s="44">
        <v>153</v>
      </c>
      <c r="K1105" s="44" t="s">
        <v>2065</v>
      </c>
      <c r="L1105" s="44"/>
      <c r="M1105" s="44" t="s">
        <v>2033</v>
      </c>
      <c r="N1105" s="45">
        <v>-879356</v>
      </c>
      <c r="O1105" s="46">
        <f t="shared" si="35"/>
        <v>-879.35599999999999</v>
      </c>
      <c r="P1105" s="47">
        <f>DGKC!F88</f>
        <v>-879.35599999999999</v>
      </c>
      <c r="Q1105" s="44" t="str">
        <f t="shared" si="36"/>
        <v>PASS</v>
      </c>
      <c r="R1105" s="44" t="s">
        <v>1587</v>
      </c>
      <c r="S1105" s="44"/>
    </row>
    <row r="1106" spans="1:19" x14ac:dyDescent="0.3">
      <c r="A1106" s="44" t="s">
        <v>2311</v>
      </c>
      <c r="B1106" s="44" t="s">
        <v>86</v>
      </c>
      <c r="C1106" s="44" t="s">
        <v>28</v>
      </c>
      <c r="D1106" s="44" t="s">
        <v>366</v>
      </c>
      <c r="E1106" s="44" t="s">
        <v>1381</v>
      </c>
      <c r="F1106" s="44" t="s">
        <v>366</v>
      </c>
      <c r="G1106" s="44" t="s">
        <v>2043</v>
      </c>
      <c r="H1106" s="44" t="s">
        <v>1124</v>
      </c>
      <c r="I1106" s="44" t="s">
        <v>1106</v>
      </c>
      <c r="J1106" s="44">
        <v>155</v>
      </c>
      <c r="K1106" s="44" t="s">
        <v>2195</v>
      </c>
      <c r="L1106" s="44"/>
      <c r="M1106" s="44" t="s">
        <v>2033</v>
      </c>
      <c r="N1106" s="45">
        <v>-1206105</v>
      </c>
      <c r="O1106" s="46">
        <f t="shared" si="35"/>
        <v>-1206.105</v>
      </c>
      <c r="P1106" s="47">
        <f>DGKC!G88</f>
        <v>-1206.105</v>
      </c>
      <c r="Q1106" s="44" t="str">
        <f t="shared" si="36"/>
        <v>PASS</v>
      </c>
      <c r="R1106" s="44" t="s">
        <v>1587</v>
      </c>
      <c r="S1106" s="44"/>
    </row>
    <row r="1107" spans="1:19" x14ac:dyDescent="0.3">
      <c r="A1107" s="44" t="s">
        <v>2312</v>
      </c>
      <c r="B1107" s="44" t="s">
        <v>86</v>
      </c>
      <c r="C1107" s="44" t="s">
        <v>29</v>
      </c>
      <c r="D1107" s="44" t="s">
        <v>366</v>
      </c>
      <c r="E1107" s="44" t="s">
        <v>1381</v>
      </c>
      <c r="F1107" s="44" t="s">
        <v>366</v>
      </c>
      <c r="G1107" s="44" t="s">
        <v>2043</v>
      </c>
      <c r="H1107" s="44" t="s">
        <v>1124</v>
      </c>
      <c r="I1107" s="44" t="s">
        <v>1127</v>
      </c>
      <c r="J1107" s="44">
        <v>155</v>
      </c>
      <c r="K1107" s="44" t="s">
        <v>2195</v>
      </c>
      <c r="L1107" s="44"/>
      <c r="M1107" s="44" t="s">
        <v>2033</v>
      </c>
      <c r="N1107" s="45">
        <v>-1294974</v>
      </c>
      <c r="O1107" s="46">
        <f t="shared" si="35"/>
        <v>-1294.9739999999999</v>
      </c>
      <c r="P1107" s="47">
        <f>DGKC!H88</f>
        <v>-1294.9739999999999</v>
      </c>
      <c r="Q1107" s="44" t="str">
        <f t="shared" si="36"/>
        <v>PASS</v>
      </c>
      <c r="R1107" s="44" t="s">
        <v>1587</v>
      </c>
      <c r="S1107" s="44"/>
    </row>
    <row r="1108" spans="1:19" x14ac:dyDescent="0.3">
      <c r="A1108" s="44" t="s">
        <v>2313</v>
      </c>
      <c r="B1108" s="44" t="s">
        <v>86</v>
      </c>
      <c r="C1108" s="44" t="s">
        <v>20</v>
      </c>
      <c r="D1108" s="44" t="s">
        <v>368</v>
      </c>
      <c r="E1108" s="44" t="s">
        <v>1381</v>
      </c>
      <c r="F1108" s="44" t="s">
        <v>2314</v>
      </c>
      <c r="G1108" s="44" t="s">
        <v>2035</v>
      </c>
      <c r="H1108" s="44" t="s">
        <v>1113</v>
      </c>
      <c r="I1108" s="44" t="s">
        <v>1106</v>
      </c>
      <c r="J1108" s="44">
        <v>127</v>
      </c>
      <c r="K1108" s="44" t="s">
        <v>2292</v>
      </c>
      <c r="L1108" s="44"/>
      <c r="M1108" s="44" t="s">
        <v>2033</v>
      </c>
      <c r="N1108" s="45">
        <v>104703</v>
      </c>
      <c r="O1108" s="46">
        <f t="shared" si="35"/>
        <v>104.703</v>
      </c>
      <c r="P1108" s="47">
        <f>DGKC!D89</f>
        <v>104.703</v>
      </c>
      <c r="Q1108" s="44" t="str">
        <f t="shared" si="36"/>
        <v>PASS</v>
      </c>
      <c r="R1108" s="44" t="s">
        <v>1587</v>
      </c>
      <c r="S1108" s="44"/>
    </row>
    <row r="1109" spans="1:19" x14ac:dyDescent="0.3">
      <c r="A1109" s="44" t="s">
        <v>2315</v>
      </c>
      <c r="B1109" s="44" t="s">
        <v>86</v>
      </c>
      <c r="C1109" s="44" t="s">
        <v>26</v>
      </c>
      <c r="D1109" s="44" t="s">
        <v>368</v>
      </c>
      <c r="E1109" s="44" t="s">
        <v>1381</v>
      </c>
      <c r="F1109" s="44" t="s">
        <v>2316</v>
      </c>
      <c r="G1109" s="44" t="s">
        <v>2038</v>
      </c>
      <c r="H1109" s="44" t="s">
        <v>1117</v>
      </c>
      <c r="I1109" s="44" t="s">
        <v>1106</v>
      </c>
      <c r="J1109" s="44">
        <v>153</v>
      </c>
      <c r="K1109" s="44" t="s">
        <v>2065</v>
      </c>
      <c r="L1109" s="44"/>
      <c r="M1109" s="44" t="s">
        <v>2033</v>
      </c>
      <c r="N1109" s="45">
        <v>-8990</v>
      </c>
      <c r="O1109" s="46">
        <f t="shared" si="35"/>
        <v>-8.99</v>
      </c>
      <c r="P1109" s="47">
        <f>DGKC!E89</f>
        <v>-8.99</v>
      </c>
      <c r="Q1109" s="44" t="str">
        <f t="shared" si="36"/>
        <v>PASS</v>
      </c>
      <c r="R1109" s="44" t="s">
        <v>1587</v>
      </c>
      <c r="S1109" s="44"/>
    </row>
    <row r="1110" spans="1:19" x14ac:dyDescent="0.3">
      <c r="A1110" s="44" t="s">
        <v>2317</v>
      </c>
      <c r="B1110" s="44" t="s">
        <v>86</v>
      </c>
      <c r="C1110" s="44" t="s">
        <v>27</v>
      </c>
      <c r="D1110" s="44" t="s">
        <v>368</v>
      </c>
      <c r="E1110" s="44" t="s">
        <v>1381</v>
      </c>
      <c r="F1110" s="44" t="s">
        <v>2316</v>
      </c>
      <c r="G1110" s="44" t="s">
        <v>2041</v>
      </c>
      <c r="H1110" s="44" t="s">
        <v>1120</v>
      </c>
      <c r="I1110" s="44" t="s">
        <v>1106</v>
      </c>
      <c r="J1110" s="44">
        <v>153</v>
      </c>
      <c r="K1110" s="44" t="s">
        <v>2065</v>
      </c>
      <c r="L1110" s="44"/>
      <c r="M1110" s="44" t="s">
        <v>2033</v>
      </c>
      <c r="N1110" s="45">
        <v>-104094</v>
      </c>
      <c r="O1110" s="46">
        <f t="shared" si="35"/>
        <v>-104.09399999999999</v>
      </c>
      <c r="P1110" s="47">
        <f>DGKC!F89</f>
        <v>-104.09399999999999</v>
      </c>
      <c r="Q1110" s="44" t="str">
        <f t="shared" si="36"/>
        <v>PASS</v>
      </c>
      <c r="R1110" s="44" t="s">
        <v>1587</v>
      </c>
      <c r="S1110" s="44"/>
    </row>
    <row r="1111" spans="1:19" x14ac:dyDescent="0.3">
      <c r="A1111" s="44" t="s">
        <v>2318</v>
      </c>
      <c r="B1111" s="44" t="s">
        <v>86</v>
      </c>
      <c r="C1111" s="44" t="s">
        <v>28</v>
      </c>
      <c r="D1111" s="44" t="s">
        <v>368</v>
      </c>
      <c r="E1111" s="44" t="s">
        <v>1381</v>
      </c>
      <c r="F1111" s="44" t="s">
        <v>2316</v>
      </c>
      <c r="G1111" s="44" t="s">
        <v>2043</v>
      </c>
      <c r="H1111" s="44" t="s">
        <v>1124</v>
      </c>
      <c r="I1111" s="44" t="s">
        <v>1106</v>
      </c>
      <c r="J1111" s="44">
        <v>155</v>
      </c>
      <c r="K1111" s="44" t="s">
        <v>2195</v>
      </c>
      <c r="L1111" s="44"/>
      <c r="M1111" s="44" t="s">
        <v>2033</v>
      </c>
      <c r="N1111" s="45">
        <v>-103367</v>
      </c>
      <c r="O1111" s="46">
        <f t="shared" si="35"/>
        <v>-103.367</v>
      </c>
      <c r="P1111" s="47">
        <f>DGKC!G89</f>
        <v>-103.367</v>
      </c>
      <c r="Q1111" s="44" t="str">
        <f t="shared" si="36"/>
        <v>PASS</v>
      </c>
      <c r="R1111" s="44" t="s">
        <v>1587</v>
      </c>
      <c r="S1111" s="44"/>
    </row>
    <row r="1112" spans="1:19" x14ac:dyDescent="0.3">
      <c r="A1112" s="44" t="s">
        <v>2319</v>
      </c>
      <c r="B1112" s="44" t="s">
        <v>86</v>
      </c>
      <c r="C1112" s="44" t="s">
        <v>29</v>
      </c>
      <c r="D1112" s="44" t="s">
        <v>368</v>
      </c>
      <c r="E1112" s="44" t="s">
        <v>1381</v>
      </c>
      <c r="F1112" s="44" t="s">
        <v>2316</v>
      </c>
      <c r="G1112" s="44" t="s">
        <v>2043</v>
      </c>
      <c r="H1112" s="44" t="s">
        <v>1124</v>
      </c>
      <c r="I1112" s="44" t="s">
        <v>1127</v>
      </c>
      <c r="J1112" s="44">
        <v>155</v>
      </c>
      <c r="K1112" s="44" t="s">
        <v>2195</v>
      </c>
      <c r="L1112" s="44"/>
      <c r="M1112" s="44" t="s">
        <v>2033</v>
      </c>
      <c r="N1112" s="45">
        <v>-6899</v>
      </c>
      <c r="O1112" s="46">
        <f t="shared" si="35"/>
        <v>-6.899</v>
      </c>
      <c r="P1112" s="47">
        <f>DGKC!H89</f>
        <v>-6.899</v>
      </c>
      <c r="Q1112" s="44" t="str">
        <f t="shared" si="36"/>
        <v>PASS</v>
      </c>
      <c r="R1112" s="44" t="s">
        <v>1587</v>
      </c>
      <c r="S1112" s="44"/>
    </row>
    <row r="1113" spans="1:19" x14ac:dyDescent="0.3">
      <c r="A1113" s="44" t="s">
        <v>2320</v>
      </c>
      <c r="B1113" s="44" t="s">
        <v>86</v>
      </c>
      <c r="C1113" s="44" t="s">
        <v>20</v>
      </c>
      <c r="D1113" s="44" t="s">
        <v>370</v>
      </c>
      <c r="E1113" s="44" t="s">
        <v>1381</v>
      </c>
      <c r="F1113" s="44" t="s">
        <v>1411</v>
      </c>
      <c r="G1113" s="44" t="s">
        <v>2035</v>
      </c>
      <c r="H1113" s="44" t="s">
        <v>1113</v>
      </c>
      <c r="I1113" s="44" t="s">
        <v>1106</v>
      </c>
      <c r="J1113" s="44">
        <v>127</v>
      </c>
      <c r="K1113" s="44" t="s">
        <v>2292</v>
      </c>
      <c r="L1113" s="44"/>
      <c r="M1113" s="44" t="s">
        <v>2033</v>
      </c>
      <c r="N1113" s="45">
        <v>-414315</v>
      </c>
      <c r="O1113" s="46">
        <f t="shared" si="35"/>
        <v>-414.315</v>
      </c>
      <c r="P1113" s="47">
        <f>DGKC!D90</f>
        <v>-414.315</v>
      </c>
      <c r="Q1113" s="44" t="str">
        <f t="shared" si="36"/>
        <v>PASS</v>
      </c>
      <c r="R1113" s="44" t="s">
        <v>1587</v>
      </c>
      <c r="S1113" s="44"/>
    </row>
    <row r="1114" spans="1:19" x14ac:dyDescent="0.3">
      <c r="A1114" s="44" t="s">
        <v>2321</v>
      </c>
      <c r="B1114" s="44" t="s">
        <v>86</v>
      </c>
      <c r="C1114" s="44" t="s">
        <v>26</v>
      </c>
      <c r="D1114" s="44" t="s">
        <v>370</v>
      </c>
      <c r="E1114" s="44" t="s">
        <v>1381</v>
      </c>
      <c r="F1114" s="44" t="s">
        <v>1411</v>
      </c>
      <c r="G1114" s="44" t="s">
        <v>2038</v>
      </c>
      <c r="H1114" s="44" t="s">
        <v>1117</v>
      </c>
      <c r="I1114" s="44" t="s">
        <v>1106</v>
      </c>
      <c r="J1114" s="44">
        <v>153</v>
      </c>
      <c r="K1114" s="44" t="s">
        <v>2065</v>
      </c>
      <c r="L1114" s="44"/>
      <c r="M1114" s="44" t="s">
        <v>2033</v>
      </c>
      <c r="N1114" s="45">
        <v>-1042803</v>
      </c>
      <c r="O1114" s="46">
        <f t="shared" si="35"/>
        <v>-1042.8030000000001</v>
      </c>
      <c r="P1114" s="47">
        <f>DGKC!E90</f>
        <v>-1042.8030000000001</v>
      </c>
      <c r="Q1114" s="44" t="str">
        <f t="shared" si="36"/>
        <v>PASS</v>
      </c>
      <c r="R1114" s="44" t="s">
        <v>1587</v>
      </c>
      <c r="S1114" s="44"/>
    </row>
    <row r="1115" spans="1:19" x14ac:dyDescent="0.3">
      <c r="A1115" s="44" t="s">
        <v>2322</v>
      </c>
      <c r="B1115" s="44" t="s">
        <v>86</v>
      </c>
      <c r="C1115" s="44" t="s">
        <v>27</v>
      </c>
      <c r="D1115" s="44" t="s">
        <v>370</v>
      </c>
      <c r="E1115" s="44" t="s">
        <v>1381</v>
      </c>
      <c r="F1115" s="44" t="s">
        <v>1411</v>
      </c>
      <c r="G1115" s="44" t="s">
        <v>2041</v>
      </c>
      <c r="H1115" s="44" t="s">
        <v>1120</v>
      </c>
      <c r="I1115" s="44" t="s">
        <v>1106</v>
      </c>
      <c r="J1115" s="44">
        <v>153</v>
      </c>
      <c r="K1115" s="44" t="s">
        <v>2065</v>
      </c>
      <c r="L1115" s="44"/>
      <c r="M1115" s="44" t="s">
        <v>2033</v>
      </c>
      <c r="N1115" s="45">
        <v>-96461</v>
      </c>
      <c r="O1115" s="46">
        <f t="shared" si="35"/>
        <v>-96.460999999999999</v>
      </c>
      <c r="P1115" s="47">
        <f>DGKC!F90</f>
        <v>-96.460999999999999</v>
      </c>
      <c r="Q1115" s="44" t="str">
        <f t="shared" si="36"/>
        <v>PASS</v>
      </c>
      <c r="R1115" s="44" t="s">
        <v>1587</v>
      </c>
      <c r="S1115" s="44"/>
    </row>
    <row r="1116" spans="1:19" x14ac:dyDescent="0.3">
      <c r="A1116" s="44" t="s">
        <v>2323</v>
      </c>
      <c r="B1116" s="44" t="s">
        <v>86</v>
      </c>
      <c r="C1116" s="44" t="s">
        <v>28</v>
      </c>
      <c r="D1116" s="44" t="s">
        <v>370</v>
      </c>
      <c r="E1116" s="44" t="s">
        <v>1381</v>
      </c>
      <c r="F1116" s="44" t="s">
        <v>1411</v>
      </c>
      <c r="G1116" s="44" t="s">
        <v>2043</v>
      </c>
      <c r="H1116" s="44" t="s">
        <v>1124</v>
      </c>
      <c r="I1116" s="44" t="s">
        <v>1106</v>
      </c>
      <c r="J1116" s="44">
        <v>155</v>
      </c>
      <c r="K1116" s="44" t="s">
        <v>2195</v>
      </c>
      <c r="L1116" s="44"/>
      <c r="M1116" s="44" t="s">
        <v>2033</v>
      </c>
      <c r="N1116" s="45">
        <v>-5033</v>
      </c>
      <c r="O1116" s="46">
        <f t="shared" si="35"/>
        <v>-5.0330000000000004</v>
      </c>
      <c r="P1116" s="47">
        <f>DGKC!G90</f>
        <v>-5.0330000000000004</v>
      </c>
      <c r="Q1116" s="44" t="str">
        <f t="shared" si="36"/>
        <v>PASS</v>
      </c>
      <c r="R1116" s="44" t="s">
        <v>1587</v>
      </c>
      <c r="S1116" s="44"/>
    </row>
    <row r="1117" spans="1:19" x14ac:dyDescent="0.3">
      <c r="A1117" s="44" t="s">
        <v>2324</v>
      </c>
      <c r="B1117" s="44" t="s">
        <v>86</v>
      </c>
      <c r="C1117" s="44" t="s">
        <v>29</v>
      </c>
      <c r="D1117" s="44" t="s">
        <v>370</v>
      </c>
      <c r="E1117" s="44" t="s">
        <v>1381</v>
      </c>
      <c r="F1117" s="44" t="s">
        <v>1411</v>
      </c>
      <c r="G1117" s="44" t="s">
        <v>2043</v>
      </c>
      <c r="H1117" s="44" t="s">
        <v>1124</v>
      </c>
      <c r="I1117" s="44" t="s">
        <v>1127</v>
      </c>
      <c r="J1117" s="44">
        <v>155</v>
      </c>
      <c r="K1117" s="44" t="s">
        <v>2195</v>
      </c>
      <c r="L1117" s="44"/>
      <c r="M1117" s="44" t="s">
        <v>2033</v>
      </c>
      <c r="N1117" s="45">
        <v>-725663</v>
      </c>
      <c r="O1117" s="46">
        <f t="shared" si="35"/>
        <v>-725.66300000000001</v>
      </c>
      <c r="P1117" s="47">
        <f>DGKC!H90</f>
        <v>-725.66300000000001</v>
      </c>
      <c r="Q1117" s="44" t="str">
        <f t="shared" si="36"/>
        <v>PASS</v>
      </c>
      <c r="R1117" s="44" t="s">
        <v>1587</v>
      </c>
      <c r="S1117" s="44"/>
    </row>
    <row r="1118" spans="1:19" x14ac:dyDescent="0.3">
      <c r="A1118" s="44" t="s">
        <v>2325</v>
      </c>
      <c r="B1118" s="44" t="s">
        <v>86</v>
      </c>
      <c r="C1118" s="44" t="s">
        <v>20</v>
      </c>
      <c r="D1118" s="44" t="s">
        <v>374</v>
      </c>
      <c r="E1118" s="44" t="s">
        <v>1381</v>
      </c>
      <c r="F1118" s="44" t="s">
        <v>374</v>
      </c>
      <c r="G1118" s="44" t="s">
        <v>2035</v>
      </c>
      <c r="H1118" s="44" t="s">
        <v>1113</v>
      </c>
      <c r="I1118" s="44" t="s">
        <v>1106</v>
      </c>
      <c r="J1118" s="44">
        <v>127</v>
      </c>
      <c r="K1118" s="44" t="s">
        <v>2292</v>
      </c>
      <c r="L1118" s="44"/>
      <c r="M1118" s="44" t="s">
        <v>2033</v>
      </c>
      <c r="N1118" s="45">
        <v>2526818</v>
      </c>
      <c r="O1118" s="46">
        <f t="shared" si="35"/>
        <v>2526.8180000000002</v>
      </c>
      <c r="P1118" s="47">
        <f>DGKC!D92</f>
        <v>2526.8180000000002</v>
      </c>
      <c r="Q1118" s="44" t="str">
        <f t="shared" si="36"/>
        <v>PASS</v>
      </c>
      <c r="R1118" s="44" t="s">
        <v>1587</v>
      </c>
      <c r="S1118" s="44"/>
    </row>
    <row r="1119" spans="1:19" x14ac:dyDescent="0.3">
      <c r="A1119" s="44" t="s">
        <v>2326</v>
      </c>
      <c r="B1119" s="44" t="s">
        <v>86</v>
      </c>
      <c r="C1119" s="44" t="s">
        <v>26</v>
      </c>
      <c r="D1119" s="44" t="s">
        <v>374</v>
      </c>
      <c r="E1119" s="44" t="s">
        <v>1381</v>
      </c>
      <c r="F1119" s="44" t="s">
        <v>374</v>
      </c>
      <c r="G1119" s="44" t="s">
        <v>2038</v>
      </c>
      <c r="H1119" s="44" t="s">
        <v>1117</v>
      </c>
      <c r="I1119" s="44" t="s">
        <v>1106</v>
      </c>
      <c r="J1119" s="44">
        <v>153</v>
      </c>
      <c r="K1119" s="44" t="s">
        <v>2065</v>
      </c>
      <c r="L1119" s="44"/>
      <c r="M1119" s="44" t="s">
        <v>2033</v>
      </c>
      <c r="N1119" s="45">
        <v>2714340</v>
      </c>
      <c r="O1119" s="46">
        <f t="shared" si="35"/>
        <v>2714.34</v>
      </c>
      <c r="P1119" s="47">
        <f>DGKC!E92</f>
        <v>2714.34</v>
      </c>
      <c r="Q1119" s="44" t="str">
        <f t="shared" si="36"/>
        <v>PASS</v>
      </c>
      <c r="R1119" s="44" t="s">
        <v>1587</v>
      </c>
      <c r="S1119" s="44"/>
    </row>
    <row r="1120" spans="1:19" x14ac:dyDescent="0.3">
      <c r="A1120" s="44" t="s">
        <v>2327</v>
      </c>
      <c r="B1120" s="44" t="s">
        <v>86</v>
      </c>
      <c r="C1120" s="44" t="s">
        <v>27</v>
      </c>
      <c r="D1120" s="44" t="s">
        <v>374</v>
      </c>
      <c r="E1120" s="44" t="s">
        <v>1381</v>
      </c>
      <c r="F1120" s="44" t="s">
        <v>374</v>
      </c>
      <c r="G1120" s="44" t="s">
        <v>2041</v>
      </c>
      <c r="H1120" s="44" t="s">
        <v>1120</v>
      </c>
      <c r="I1120" s="44" t="s">
        <v>1106</v>
      </c>
      <c r="J1120" s="44">
        <v>153</v>
      </c>
      <c r="K1120" s="44" t="s">
        <v>2065</v>
      </c>
      <c r="L1120" s="44"/>
      <c r="M1120" s="44" t="s">
        <v>2033</v>
      </c>
      <c r="N1120" s="45">
        <v>3246999</v>
      </c>
      <c r="O1120" s="46">
        <f t="shared" si="35"/>
        <v>3246.9989999999998</v>
      </c>
      <c r="P1120" s="47">
        <f>DGKC!F92</f>
        <v>3246.9989999999998</v>
      </c>
      <c r="Q1120" s="44" t="str">
        <f t="shared" si="36"/>
        <v>PASS</v>
      </c>
      <c r="R1120" s="44" t="s">
        <v>1587</v>
      </c>
      <c r="S1120" s="44"/>
    </row>
    <row r="1121" spans="1:19" x14ac:dyDescent="0.3">
      <c r="A1121" s="44" t="s">
        <v>2328</v>
      </c>
      <c r="B1121" s="44" t="s">
        <v>86</v>
      </c>
      <c r="C1121" s="44" t="s">
        <v>28</v>
      </c>
      <c r="D1121" s="44" t="s">
        <v>374</v>
      </c>
      <c r="E1121" s="44" t="s">
        <v>1381</v>
      </c>
      <c r="F1121" s="44" t="s">
        <v>374</v>
      </c>
      <c r="G1121" s="44" t="s">
        <v>2043</v>
      </c>
      <c r="H1121" s="44" t="s">
        <v>1124</v>
      </c>
      <c r="I1121" s="44" t="s">
        <v>1106</v>
      </c>
      <c r="J1121" s="44">
        <v>155</v>
      </c>
      <c r="K1121" s="44" t="s">
        <v>2195</v>
      </c>
      <c r="L1121" s="44"/>
      <c r="M1121" s="44" t="s">
        <v>2033</v>
      </c>
      <c r="N1121" s="45">
        <v>4234797</v>
      </c>
      <c r="O1121" s="46">
        <f t="shared" si="35"/>
        <v>4234.7969999999996</v>
      </c>
      <c r="P1121" s="47">
        <f>DGKC!G92</f>
        <v>4234.7969999999996</v>
      </c>
      <c r="Q1121" s="44" t="str">
        <f t="shared" si="36"/>
        <v>PASS</v>
      </c>
      <c r="R1121" s="44" t="s">
        <v>1587</v>
      </c>
      <c r="S1121" s="44"/>
    </row>
    <row r="1122" spans="1:19" x14ac:dyDescent="0.3">
      <c r="A1122" s="44" t="s">
        <v>2329</v>
      </c>
      <c r="B1122" s="44" t="s">
        <v>86</v>
      </c>
      <c r="C1122" s="44" t="s">
        <v>29</v>
      </c>
      <c r="D1122" s="44" t="s">
        <v>374</v>
      </c>
      <c r="E1122" s="44" t="s">
        <v>1381</v>
      </c>
      <c r="F1122" s="44" t="s">
        <v>374</v>
      </c>
      <c r="G1122" s="44" t="s">
        <v>2043</v>
      </c>
      <c r="H1122" s="44" t="s">
        <v>1124</v>
      </c>
      <c r="I1122" s="44" t="s">
        <v>1127</v>
      </c>
      <c r="J1122" s="44">
        <v>155</v>
      </c>
      <c r="K1122" s="44" t="s">
        <v>2195</v>
      </c>
      <c r="L1122" s="44"/>
      <c r="M1122" s="44" t="s">
        <v>2033</v>
      </c>
      <c r="N1122" s="45">
        <v>4271570</v>
      </c>
      <c r="O1122" s="46">
        <f t="shared" si="35"/>
        <v>4271.57</v>
      </c>
      <c r="P1122" s="47">
        <f>DGKC!H92</f>
        <v>4271.57</v>
      </c>
      <c r="Q1122" s="44" t="str">
        <f t="shared" si="36"/>
        <v>PASS</v>
      </c>
      <c r="R1122" s="44" t="s">
        <v>1587</v>
      </c>
      <c r="S1122" s="44"/>
    </row>
    <row r="1123" spans="1:19" x14ac:dyDescent="0.3">
      <c r="A1123" s="44" t="s">
        <v>2330</v>
      </c>
      <c r="B1123" s="44" t="s">
        <v>86</v>
      </c>
      <c r="C1123" s="44" t="s">
        <v>20</v>
      </c>
      <c r="D1123" s="44" t="s">
        <v>376</v>
      </c>
      <c r="E1123" s="44" t="s">
        <v>1381</v>
      </c>
      <c r="F1123" s="44"/>
      <c r="G1123" s="44" t="s">
        <v>2035</v>
      </c>
      <c r="H1123" s="44" t="s">
        <v>1113</v>
      </c>
      <c r="I1123" s="44" t="s">
        <v>1106</v>
      </c>
      <c r="J1123" s="44">
        <v>127</v>
      </c>
      <c r="K1123" s="44" t="s">
        <v>2292</v>
      </c>
      <c r="L1123" s="44"/>
      <c r="M1123" s="44" t="s">
        <v>2033</v>
      </c>
      <c r="N1123" s="45">
        <v>0</v>
      </c>
      <c r="O1123" s="46">
        <f t="shared" si="35"/>
        <v>0</v>
      </c>
      <c r="P1123" s="47">
        <f>DGKC!D93</f>
        <v>0</v>
      </c>
      <c r="Q1123" s="44" t="str">
        <f t="shared" si="36"/>
        <v>PASS</v>
      </c>
      <c r="R1123" s="44" t="s">
        <v>1587</v>
      </c>
      <c r="S1123" s="44"/>
    </row>
    <row r="1124" spans="1:19" x14ac:dyDescent="0.3">
      <c r="A1124" s="44" t="s">
        <v>2331</v>
      </c>
      <c r="B1124" s="44" t="s">
        <v>86</v>
      </c>
      <c r="C1124" s="44" t="s">
        <v>26</v>
      </c>
      <c r="D1124" s="44" t="s">
        <v>376</v>
      </c>
      <c r="E1124" s="44" t="s">
        <v>1381</v>
      </c>
      <c r="F1124" s="44"/>
      <c r="G1124" s="44" t="s">
        <v>2038</v>
      </c>
      <c r="H1124" s="44" t="s">
        <v>1117</v>
      </c>
      <c r="I1124" s="44" t="s">
        <v>1106</v>
      </c>
      <c r="J1124" s="44">
        <v>153</v>
      </c>
      <c r="K1124" s="44" t="s">
        <v>2065</v>
      </c>
      <c r="L1124" s="44"/>
      <c r="M1124" s="44" t="s">
        <v>2033</v>
      </c>
      <c r="N1124" s="45">
        <v>0</v>
      </c>
      <c r="O1124" s="46">
        <f t="shared" si="35"/>
        <v>0</v>
      </c>
      <c r="P1124" s="47">
        <f>DGKC!E93</f>
        <v>0</v>
      </c>
      <c r="Q1124" s="44" t="str">
        <f t="shared" si="36"/>
        <v>PASS</v>
      </c>
      <c r="R1124" s="44" t="s">
        <v>1587</v>
      </c>
      <c r="S1124" s="44"/>
    </row>
    <row r="1125" spans="1:19" x14ac:dyDescent="0.3">
      <c r="A1125" s="44" t="s">
        <v>2332</v>
      </c>
      <c r="B1125" s="44" t="s">
        <v>86</v>
      </c>
      <c r="C1125" s="44" t="s">
        <v>27</v>
      </c>
      <c r="D1125" s="44" t="s">
        <v>376</v>
      </c>
      <c r="E1125" s="44" t="s">
        <v>1381</v>
      </c>
      <c r="F1125" s="44"/>
      <c r="G1125" s="44" t="s">
        <v>2041</v>
      </c>
      <c r="H1125" s="44" t="s">
        <v>1120</v>
      </c>
      <c r="I1125" s="44" t="s">
        <v>1106</v>
      </c>
      <c r="J1125" s="44">
        <v>153</v>
      </c>
      <c r="K1125" s="44" t="s">
        <v>2065</v>
      </c>
      <c r="L1125" s="44"/>
      <c r="M1125" s="44" t="s">
        <v>2033</v>
      </c>
      <c r="N1125" s="45">
        <v>0</v>
      </c>
      <c r="O1125" s="46">
        <f t="shared" si="35"/>
        <v>0</v>
      </c>
      <c r="P1125" s="47">
        <f>DGKC!F93</f>
        <v>0</v>
      </c>
      <c r="Q1125" s="44" t="str">
        <f t="shared" si="36"/>
        <v>PASS</v>
      </c>
      <c r="R1125" s="44" t="s">
        <v>1587</v>
      </c>
      <c r="S1125" s="44"/>
    </row>
    <row r="1126" spans="1:19" x14ac:dyDescent="0.3">
      <c r="A1126" s="44" t="s">
        <v>2333</v>
      </c>
      <c r="B1126" s="44" t="s">
        <v>86</v>
      </c>
      <c r="C1126" s="44" t="s">
        <v>28</v>
      </c>
      <c r="D1126" s="44" t="s">
        <v>376</v>
      </c>
      <c r="E1126" s="44" t="s">
        <v>1381</v>
      </c>
      <c r="F1126" s="44"/>
      <c r="G1126" s="44" t="s">
        <v>2043</v>
      </c>
      <c r="H1126" s="44" t="s">
        <v>1124</v>
      </c>
      <c r="I1126" s="44" t="s">
        <v>1106</v>
      </c>
      <c r="J1126" s="44">
        <v>155</v>
      </c>
      <c r="K1126" s="44" t="s">
        <v>2195</v>
      </c>
      <c r="L1126" s="44"/>
      <c r="M1126" s="44" t="s">
        <v>2033</v>
      </c>
      <c r="N1126" s="45">
        <v>0</v>
      </c>
      <c r="O1126" s="46">
        <f t="shared" si="35"/>
        <v>0</v>
      </c>
      <c r="P1126" s="47">
        <f>DGKC!G93</f>
        <v>0</v>
      </c>
      <c r="Q1126" s="44" t="str">
        <f t="shared" si="36"/>
        <v>PASS</v>
      </c>
      <c r="R1126" s="44" t="s">
        <v>1587</v>
      </c>
      <c r="S1126" s="44"/>
    </row>
    <row r="1127" spans="1:19" x14ac:dyDescent="0.3">
      <c r="A1127" s="44" t="s">
        <v>2334</v>
      </c>
      <c r="B1127" s="44" t="s">
        <v>86</v>
      </c>
      <c r="C1127" s="44" t="s">
        <v>29</v>
      </c>
      <c r="D1127" s="44" t="s">
        <v>376</v>
      </c>
      <c r="E1127" s="44" t="s">
        <v>1381</v>
      </c>
      <c r="F1127" s="44"/>
      <c r="G1127" s="44" t="s">
        <v>2043</v>
      </c>
      <c r="H1127" s="44" t="s">
        <v>1124</v>
      </c>
      <c r="I1127" s="44" t="s">
        <v>1127</v>
      </c>
      <c r="J1127" s="44">
        <v>155</v>
      </c>
      <c r="K1127" s="44" t="s">
        <v>2195</v>
      </c>
      <c r="L1127" s="44"/>
      <c r="M1127" s="44" t="s">
        <v>2033</v>
      </c>
      <c r="N1127" s="45">
        <v>0</v>
      </c>
      <c r="O1127" s="46">
        <f t="shared" si="35"/>
        <v>0</v>
      </c>
      <c r="P1127" s="47">
        <f>DGKC!H93</f>
        <v>0</v>
      </c>
      <c r="Q1127" s="44" t="str">
        <f t="shared" si="36"/>
        <v>PASS</v>
      </c>
      <c r="R1127" s="44" t="s">
        <v>1587</v>
      </c>
      <c r="S1127" s="44"/>
    </row>
    <row r="1128" spans="1:19" x14ac:dyDescent="0.3">
      <c r="A1128" s="44" t="s">
        <v>2335</v>
      </c>
      <c r="B1128" s="44" t="s">
        <v>86</v>
      </c>
      <c r="C1128" s="44" t="s">
        <v>20</v>
      </c>
      <c r="D1128" s="44" t="s">
        <v>378</v>
      </c>
      <c r="E1128" s="44" t="s">
        <v>1381</v>
      </c>
      <c r="F1128" s="44"/>
      <c r="G1128" s="44" t="s">
        <v>2035</v>
      </c>
      <c r="H1128" s="44" t="s">
        <v>1113</v>
      </c>
      <c r="I1128" s="44" t="s">
        <v>1106</v>
      </c>
      <c r="J1128" s="44">
        <v>127</v>
      </c>
      <c r="K1128" s="44" t="s">
        <v>2292</v>
      </c>
      <c r="L1128" s="44"/>
      <c r="M1128" s="44" t="s">
        <v>2033</v>
      </c>
      <c r="N1128" s="45">
        <v>0</v>
      </c>
      <c r="O1128" s="46">
        <f t="shared" si="35"/>
        <v>0</v>
      </c>
      <c r="P1128" s="47">
        <f>DGKC!D94</f>
        <v>0</v>
      </c>
      <c r="Q1128" s="44" t="str">
        <f t="shared" si="36"/>
        <v>PASS</v>
      </c>
      <c r="R1128" s="44" t="s">
        <v>1587</v>
      </c>
      <c r="S1128" s="44"/>
    </row>
    <row r="1129" spans="1:19" x14ac:dyDescent="0.3">
      <c r="A1129" s="44" t="s">
        <v>2336</v>
      </c>
      <c r="B1129" s="44" t="s">
        <v>86</v>
      </c>
      <c r="C1129" s="44" t="s">
        <v>26</v>
      </c>
      <c r="D1129" s="44" t="s">
        <v>378</v>
      </c>
      <c r="E1129" s="44" t="s">
        <v>1381</v>
      </c>
      <c r="F1129" s="44"/>
      <c r="G1129" s="44" t="s">
        <v>2038</v>
      </c>
      <c r="H1129" s="44" t="s">
        <v>1117</v>
      </c>
      <c r="I1129" s="44" t="s">
        <v>1106</v>
      </c>
      <c r="J1129" s="44">
        <v>153</v>
      </c>
      <c r="K1129" s="44" t="s">
        <v>2065</v>
      </c>
      <c r="L1129" s="44"/>
      <c r="M1129" s="44" t="s">
        <v>2033</v>
      </c>
      <c r="N1129" s="45">
        <v>0</v>
      </c>
      <c r="O1129" s="46">
        <f t="shared" si="35"/>
        <v>0</v>
      </c>
      <c r="P1129" s="47">
        <f>DGKC!E94</f>
        <v>0</v>
      </c>
      <c r="Q1129" s="44" t="str">
        <f t="shared" si="36"/>
        <v>PASS</v>
      </c>
      <c r="R1129" s="44" t="s">
        <v>1587</v>
      </c>
      <c r="S1129" s="44"/>
    </row>
    <row r="1130" spans="1:19" x14ac:dyDescent="0.3">
      <c r="A1130" s="44" t="s">
        <v>2337</v>
      </c>
      <c r="B1130" s="44" t="s">
        <v>86</v>
      </c>
      <c r="C1130" s="44" t="s">
        <v>27</v>
      </c>
      <c r="D1130" s="44" t="s">
        <v>378</v>
      </c>
      <c r="E1130" s="44" t="s">
        <v>1381</v>
      </c>
      <c r="F1130" s="44"/>
      <c r="G1130" s="44" t="s">
        <v>2041</v>
      </c>
      <c r="H1130" s="44" t="s">
        <v>1120</v>
      </c>
      <c r="I1130" s="44" t="s">
        <v>1106</v>
      </c>
      <c r="J1130" s="44">
        <v>153</v>
      </c>
      <c r="K1130" s="44" t="s">
        <v>2065</v>
      </c>
      <c r="L1130" s="44"/>
      <c r="M1130" s="44" t="s">
        <v>2033</v>
      </c>
      <c r="N1130" s="45">
        <v>0</v>
      </c>
      <c r="O1130" s="46">
        <f t="shared" si="35"/>
        <v>0</v>
      </c>
      <c r="P1130" s="47">
        <f>DGKC!F94</f>
        <v>0</v>
      </c>
      <c r="Q1130" s="44" t="str">
        <f t="shared" si="36"/>
        <v>PASS</v>
      </c>
      <c r="R1130" s="44" t="s">
        <v>1587</v>
      </c>
      <c r="S1130" s="44"/>
    </row>
    <row r="1131" spans="1:19" x14ac:dyDescent="0.3">
      <c r="A1131" s="44" t="s">
        <v>2338</v>
      </c>
      <c r="B1131" s="44" t="s">
        <v>86</v>
      </c>
      <c r="C1131" s="44" t="s">
        <v>28</v>
      </c>
      <c r="D1131" s="44" t="s">
        <v>378</v>
      </c>
      <c r="E1131" s="44" t="s">
        <v>1381</v>
      </c>
      <c r="F1131" s="44"/>
      <c r="G1131" s="44" t="s">
        <v>2043</v>
      </c>
      <c r="H1131" s="44" t="s">
        <v>1124</v>
      </c>
      <c r="I1131" s="44" t="s">
        <v>1106</v>
      </c>
      <c r="J1131" s="44">
        <v>155</v>
      </c>
      <c r="K1131" s="44" t="s">
        <v>2195</v>
      </c>
      <c r="L1131" s="44"/>
      <c r="M1131" s="44" t="s">
        <v>2033</v>
      </c>
      <c r="N1131" s="45">
        <v>0</v>
      </c>
      <c r="O1131" s="46">
        <f t="shared" si="35"/>
        <v>0</v>
      </c>
      <c r="P1131" s="47">
        <f>DGKC!G94</f>
        <v>0</v>
      </c>
      <c r="Q1131" s="44" t="str">
        <f t="shared" si="36"/>
        <v>PASS</v>
      </c>
      <c r="R1131" s="44" t="s">
        <v>1587</v>
      </c>
      <c r="S1131" s="44"/>
    </row>
    <row r="1132" spans="1:19" x14ac:dyDescent="0.3">
      <c r="A1132" s="44" t="s">
        <v>2339</v>
      </c>
      <c r="B1132" s="44" t="s">
        <v>86</v>
      </c>
      <c r="C1132" s="44" t="s">
        <v>29</v>
      </c>
      <c r="D1132" s="44" t="s">
        <v>378</v>
      </c>
      <c r="E1132" s="44" t="s">
        <v>1381</v>
      </c>
      <c r="F1132" s="44"/>
      <c r="G1132" s="44" t="s">
        <v>2043</v>
      </c>
      <c r="H1132" s="44" t="s">
        <v>1124</v>
      </c>
      <c r="I1132" s="44" t="s">
        <v>1127</v>
      </c>
      <c r="J1132" s="44">
        <v>155</v>
      </c>
      <c r="K1132" s="44" t="s">
        <v>2195</v>
      </c>
      <c r="L1132" s="44"/>
      <c r="M1132" s="44" t="s">
        <v>2033</v>
      </c>
      <c r="N1132" s="45">
        <v>0</v>
      </c>
      <c r="O1132" s="46">
        <f t="shared" si="35"/>
        <v>0</v>
      </c>
      <c r="P1132" s="47">
        <f>DGKC!H94</f>
        <v>0</v>
      </c>
      <c r="Q1132" s="44" t="str">
        <f t="shared" si="36"/>
        <v>PASS</v>
      </c>
      <c r="R1132" s="44" t="s">
        <v>1587</v>
      </c>
      <c r="S1132" s="44"/>
    </row>
    <row r="1133" spans="1:19" x14ac:dyDescent="0.3">
      <c r="A1133" s="44" t="s">
        <v>2340</v>
      </c>
      <c r="B1133" s="44" t="s">
        <v>86</v>
      </c>
      <c r="C1133" s="44" t="s">
        <v>20</v>
      </c>
      <c r="D1133" s="44" t="s">
        <v>380</v>
      </c>
      <c r="E1133" s="44" t="s">
        <v>1381</v>
      </c>
      <c r="F1133" s="44" t="s">
        <v>380</v>
      </c>
      <c r="G1133" s="44" t="s">
        <v>2035</v>
      </c>
      <c r="H1133" s="44" t="s">
        <v>1113</v>
      </c>
      <c r="I1133" s="44" t="s">
        <v>1106</v>
      </c>
      <c r="J1133" s="44">
        <v>127</v>
      </c>
      <c r="K1133" s="44" t="s">
        <v>2292</v>
      </c>
      <c r="L1133" s="44"/>
      <c r="M1133" s="44" t="s">
        <v>2033</v>
      </c>
      <c r="N1133" s="45">
        <v>-2920875</v>
      </c>
      <c r="O1133" s="46">
        <f t="shared" si="35"/>
        <v>-2920.875</v>
      </c>
      <c r="P1133" s="47">
        <f>DGKC!D95</f>
        <v>-2920.875</v>
      </c>
      <c r="Q1133" s="44" t="str">
        <f t="shared" si="36"/>
        <v>PASS</v>
      </c>
      <c r="R1133" s="44" t="s">
        <v>1587</v>
      </c>
      <c r="S1133" s="44"/>
    </row>
    <row r="1134" spans="1:19" x14ac:dyDescent="0.3">
      <c r="A1134" s="44" t="s">
        <v>2341</v>
      </c>
      <c r="B1134" s="44" t="s">
        <v>86</v>
      </c>
      <c r="C1134" s="44" t="s">
        <v>26</v>
      </c>
      <c r="D1134" s="44" t="s">
        <v>380</v>
      </c>
      <c r="E1134" s="44" t="s">
        <v>1381</v>
      </c>
      <c r="F1134" s="44" t="s">
        <v>380</v>
      </c>
      <c r="G1134" s="44" t="s">
        <v>2038</v>
      </c>
      <c r="H1134" s="44" t="s">
        <v>1117</v>
      </c>
      <c r="I1134" s="44" t="s">
        <v>1106</v>
      </c>
      <c r="J1134" s="44">
        <v>153</v>
      </c>
      <c r="K1134" s="44" t="s">
        <v>2065</v>
      </c>
      <c r="L1134" s="44"/>
      <c r="M1134" s="44" t="s">
        <v>2033</v>
      </c>
      <c r="N1134" s="45">
        <v>-3571187</v>
      </c>
      <c r="O1134" s="46">
        <f t="shared" ref="O1134:O1187" si="37">N1134/1000</f>
        <v>-3571.1869999999999</v>
      </c>
      <c r="P1134" s="47">
        <f>DGKC!E95</f>
        <v>-3571.1869999999999</v>
      </c>
      <c r="Q1134" s="44" t="str">
        <f t="shared" si="36"/>
        <v>PASS</v>
      </c>
      <c r="R1134" s="44" t="s">
        <v>1587</v>
      </c>
      <c r="S1134" s="44"/>
    </row>
    <row r="1135" spans="1:19" x14ac:dyDescent="0.3">
      <c r="A1135" s="44" t="s">
        <v>2342</v>
      </c>
      <c r="B1135" s="44" t="s">
        <v>86</v>
      </c>
      <c r="C1135" s="44" t="s">
        <v>27</v>
      </c>
      <c r="D1135" s="44" t="s">
        <v>380</v>
      </c>
      <c r="E1135" s="44" t="s">
        <v>1381</v>
      </c>
      <c r="F1135" s="44" t="s">
        <v>380</v>
      </c>
      <c r="G1135" s="44" t="s">
        <v>2041</v>
      </c>
      <c r="H1135" s="44" t="s">
        <v>1120</v>
      </c>
      <c r="I1135" s="44" t="s">
        <v>1106</v>
      </c>
      <c r="J1135" s="44">
        <v>153</v>
      </c>
      <c r="K1135" s="44" t="s">
        <v>2065</v>
      </c>
      <c r="L1135" s="44"/>
      <c r="M1135" s="44" t="s">
        <v>2033</v>
      </c>
      <c r="N1135" s="45">
        <v>-6742292</v>
      </c>
      <c r="O1135" s="46">
        <f t="shared" si="37"/>
        <v>-6742.2920000000004</v>
      </c>
      <c r="P1135" s="47">
        <f>DGKC!F95</f>
        <v>-6742.2920000000004</v>
      </c>
      <c r="Q1135" s="44" t="str">
        <f t="shared" si="36"/>
        <v>PASS</v>
      </c>
      <c r="R1135" s="44" t="s">
        <v>1587</v>
      </c>
      <c r="S1135" s="44"/>
    </row>
    <row r="1136" spans="1:19" x14ac:dyDescent="0.3">
      <c r="A1136" s="44" t="s">
        <v>2343</v>
      </c>
      <c r="B1136" s="44" t="s">
        <v>86</v>
      </c>
      <c r="C1136" s="44" t="s">
        <v>28</v>
      </c>
      <c r="D1136" s="44" t="s">
        <v>380</v>
      </c>
      <c r="E1136" s="44" t="s">
        <v>1381</v>
      </c>
      <c r="F1136" s="44" t="s">
        <v>380</v>
      </c>
      <c r="G1136" s="44" t="s">
        <v>2043</v>
      </c>
      <c r="H1136" s="44" t="s">
        <v>1124</v>
      </c>
      <c r="I1136" s="44" t="s">
        <v>1106</v>
      </c>
      <c r="J1136" s="44">
        <v>155</v>
      </c>
      <c r="K1136" s="44" t="s">
        <v>2195</v>
      </c>
      <c r="L1136" s="44"/>
      <c r="M1136" s="44" t="s">
        <v>2033</v>
      </c>
      <c r="N1136" s="45">
        <v>-8001105</v>
      </c>
      <c r="O1136" s="46">
        <f t="shared" si="37"/>
        <v>-8001.1049999999996</v>
      </c>
      <c r="P1136" s="47">
        <f>DGKC!G95</f>
        <v>-8001.1049999999996</v>
      </c>
      <c r="Q1136" s="44" t="str">
        <f t="shared" si="36"/>
        <v>PASS</v>
      </c>
      <c r="R1136" s="44" t="s">
        <v>1587</v>
      </c>
      <c r="S1136" s="44"/>
    </row>
    <row r="1137" spans="1:19" x14ac:dyDescent="0.3">
      <c r="A1137" s="44" t="s">
        <v>2344</v>
      </c>
      <c r="B1137" s="44" t="s">
        <v>86</v>
      </c>
      <c r="C1137" s="44" t="s">
        <v>29</v>
      </c>
      <c r="D1137" s="44" t="s">
        <v>380</v>
      </c>
      <c r="E1137" s="44" t="s">
        <v>1381</v>
      </c>
      <c r="F1137" s="44" t="s">
        <v>380</v>
      </c>
      <c r="G1137" s="44" t="s">
        <v>2043</v>
      </c>
      <c r="H1137" s="44" t="s">
        <v>1124</v>
      </c>
      <c r="I1137" s="44" t="s">
        <v>1127</v>
      </c>
      <c r="J1137" s="44">
        <v>155</v>
      </c>
      <c r="K1137" s="44" t="s">
        <v>2195</v>
      </c>
      <c r="L1137" s="44"/>
      <c r="M1137" s="44" t="s">
        <v>2033</v>
      </c>
      <c r="N1137" s="45">
        <v>-3870405</v>
      </c>
      <c r="O1137" s="46">
        <f t="shared" si="37"/>
        <v>-3870.4050000000002</v>
      </c>
      <c r="P1137" s="47">
        <f>DGKC!H95</f>
        <v>-3870.4050000000002</v>
      </c>
      <c r="Q1137" s="44" t="str">
        <f t="shared" si="36"/>
        <v>PASS</v>
      </c>
      <c r="R1137" s="44" t="s">
        <v>1587</v>
      </c>
      <c r="S1137" s="44"/>
    </row>
    <row r="1138" spans="1:19" x14ac:dyDescent="0.3">
      <c r="A1138" s="44" t="s">
        <v>2345</v>
      </c>
      <c r="B1138" s="44" t="s">
        <v>86</v>
      </c>
      <c r="C1138" s="44" t="s">
        <v>20</v>
      </c>
      <c r="D1138" s="44" t="s">
        <v>384</v>
      </c>
      <c r="E1138" s="44" t="s">
        <v>1381</v>
      </c>
      <c r="F1138" s="44"/>
      <c r="G1138" s="44" t="s">
        <v>2035</v>
      </c>
      <c r="H1138" s="44" t="s">
        <v>1113</v>
      </c>
      <c r="I1138" s="44" t="s">
        <v>1106</v>
      </c>
      <c r="J1138" s="44">
        <v>127</v>
      </c>
      <c r="K1138" s="44" t="s">
        <v>2292</v>
      </c>
      <c r="L1138" s="44"/>
      <c r="M1138" s="44" t="s">
        <v>2033</v>
      </c>
      <c r="N1138" s="45">
        <v>0</v>
      </c>
      <c r="O1138" s="46">
        <f t="shared" si="37"/>
        <v>0</v>
      </c>
      <c r="P1138" s="47">
        <f>DGKC!D97</f>
        <v>0</v>
      </c>
      <c r="Q1138" s="44" t="str">
        <f t="shared" si="36"/>
        <v>PASS</v>
      </c>
      <c r="R1138" s="44" t="s">
        <v>1587</v>
      </c>
      <c r="S1138" s="44"/>
    </row>
    <row r="1139" spans="1:19" x14ac:dyDescent="0.3">
      <c r="A1139" s="44" t="s">
        <v>2346</v>
      </c>
      <c r="B1139" s="44" t="s">
        <v>86</v>
      </c>
      <c r="C1139" s="44" t="s">
        <v>26</v>
      </c>
      <c r="D1139" s="44" t="s">
        <v>384</v>
      </c>
      <c r="E1139" s="44" t="s">
        <v>1381</v>
      </c>
      <c r="F1139" s="44"/>
      <c r="G1139" s="44" t="s">
        <v>2038</v>
      </c>
      <c r="H1139" s="44" t="s">
        <v>1117</v>
      </c>
      <c r="I1139" s="44" t="s">
        <v>1106</v>
      </c>
      <c r="J1139" s="44">
        <v>153</v>
      </c>
      <c r="K1139" s="44" t="s">
        <v>2065</v>
      </c>
      <c r="L1139" s="44"/>
      <c r="M1139" s="44" t="s">
        <v>2033</v>
      </c>
      <c r="N1139" s="45">
        <v>0</v>
      </c>
      <c r="O1139" s="46">
        <f t="shared" si="37"/>
        <v>0</v>
      </c>
      <c r="P1139" s="47">
        <f>DGKC!E97</f>
        <v>0</v>
      </c>
      <c r="Q1139" s="44" t="str">
        <f t="shared" si="36"/>
        <v>PASS</v>
      </c>
      <c r="R1139" s="44" t="s">
        <v>1587</v>
      </c>
      <c r="S1139" s="44"/>
    </row>
    <row r="1140" spans="1:19" x14ac:dyDescent="0.3">
      <c r="A1140" s="44" t="s">
        <v>2347</v>
      </c>
      <c r="B1140" s="44" t="s">
        <v>86</v>
      </c>
      <c r="C1140" s="44" t="s">
        <v>27</v>
      </c>
      <c r="D1140" s="44" t="s">
        <v>384</v>
      </c>
      <c r="E1140" s="44" t="s">
        <v>1381</v>
      </c>
      <c r="F1140" s="44" t="s">
        <v>1903</v>
      </c>
      <c r="G1140" s="44" t="s">
        <v>2041</v>
      </c>
      <c r="H1140" s="44" t="s">
        <v>1120</v>
      </c>
      <c r="I1140" s="44" t="s">
        <v>1106</v>
      </c>
      <c r="J1140" s="44">
        <v>153</v>
      </c>
      <c r="K1140" s="44" t="s">
        <v>2065</v>
      </c>
      <c r="L1140" s="44"/>
      <c r="M1140" s="44" t="s">
        <v>2033</v>
      </c>
      <c r="N1140" s="45">
        <v>-364054</v>
      </c>
      <c r="O1140" s="46">
        <f t="shared" si="37"/>
        <v>-364.05399999999997</v>
      </c>
      <c r="P1140" s="47">
        <f>DGKC!F97</f>
        <v>-364.05399999999997</v>
      </c>
      <c r="Q1140" s="44" t="str">
        <f t="shared" si="36"/>
        <v>PASS</v>
      </c>
      <c r="R1140" s="44" t="s">
        <v>1587</v>
      </c>
      <c r="S1140" s="44"/>
    </row>
    <row r="1141" spans="1:19" x14ac:dyDescent="0.3">
      <c r="A1141" s="44" t="s">
        <v>2348</v>
      </c>
      <c r="B1141" s="44" t="s">
        <v>86</v>
      </c>
      <c r="C1141" s="44" t="s">
        <v>28</v>
      </c>
      <c r="D1141" s="44" t="s">
        <v>384</v>
      </c>
      <c r="E1141" s="44" t="s">
        <v>1381</v>
      </c>
      <c r="F1141" s="44" t="s">
        <v>1903</v>
      </c>
      <c r="G1141" s="44" t="s">
        <v>2043</v>
      </c>
      <c r="H1141" s="44" t="s">
        <v>1124</v>
      </c>
      <c r="I1141" s="44" t="s">
        <v>1106</v>
      </c>
      <c r="J1141" s="44">
        <v>155</v>
      </c>
      <c r="K1141" s="44" t="s">
        <v>2195</v>
      </c>
      <c r="L1141" s="44"/>
      <c r="M1141" s="44" t="s">
        <v>2033</v>
      </c>
      <c r="N1141" s="45">
        <v>-520848</v>
      </c>
      <c r="O1141" s="46">
        <f t="shared" si="37"/>
        <v>-520.84799999999996</v>
      </c>
      <c r="P1141" s="47">
        <f>DGKC!G97</f>
        <v>-520.84799999999996</v>
      </c>
      <c r="Q1141" s="44" t="str">
        <f t="shared" si="36"/>
        <v>PASS</v>
      </c>
      <c r="R1141" s="44" t="s">
        <v>1587</v>
      </c>
      <c r="S1141" s="44"/>
    </row>
    <row r="1142" spans="1:19" x14ac:dyDescent="0.3">
      <c r="A1142" s="44" t="s">
        <v>2349</v>
      </c>
      <c r="B1142" s="44" t="s">
        <v>86</v>
      </c>
      <c r="C1142" s="44" t="s">
        <v>29</v>
      </c>
      <c r="D1142" s="44" t="s">
        <v>384</v>
      </c>
      <c r="E1142" s="44" t="s">
        <v>1381</v>
      </c>
      <c r="F1142" s="44" t="s">
        <v>1903</v>
      </c>
      <c r="G1142" s="44" t="s">
        <v>2043</v>
      </c>
      <c r="H1142" s="44" t="s">
        <v>1124</v>
      </c>
      <c r="I1142" s="44" t="s">
        <v>1127</v>
      </c>
      <c r="J1142" s="44">
        <v>155</v>
      </c>
      <c r="K1142" s="44" t="s">
        <v>2195</v>
      </c>
      <c r="L1142" s="44"/>
      <c r="M1142" s="44" t="s">
        <v>2033</v>
      </c>
      <c r="N1142" s="45">
        <v>-577125</v>
      </c>
      <c r="O1142" s="46">
        <f t="shared" si="37"/>
        <v>-577.125</v>
      </c>
      <c r="P1142" s="47">
        <f>DGKC!H97</f>
        <v>-577.125</v>
      </c>
      <c r="Q1142" s="44" t="str">
        <f t="shared" si="36"/>
        <v>PASS</v>
      </c>
      <c r="R1142" s="44" t="s">
        <v>1587</v>
      </c>
      <c r="S1142" s="44"/>
    </row>
    <row r="1143" spans="1:19" x14ac:dyDescent="0.3">
      <c r="A1143" s="44" t="s">
        <v>2350</v>
      </c>
      <c r="B1143" s="44" t="s">
        <v>86</v>
      </c>
      <c r="C1143" s="44" t="s">
        <v>20</v>
      </c>
      <c r="D1143" s="44" t="s">
        <v>386</v>
      </c>
      <c r="E1143" s="44" t="s">
        <v>1381</v>
      </c>
      <c r="F1143" s="44" t="s">
        <v>1443</v>
      </c>
      <c r="G1143" s="44" t="s">
        <v>2035</v>
      </c>
      <c r="H1143" s="44" t="s">
        <v>1113</v>
      </c>
      <c r="I1143" s="44" t="s">
        <v>1106</v>
      </c>
      <c r="J1143" s="44">
        <v>127</v>
      </c>
      <c r="K1143" s="44" t="s">
        <v>2292</v>
      </c>
      <c r="L1143" s="44"/>
      <c r="M1143" s="44" t="s">
        <v>2033</v>
      </c>
      <c r="N1143" s="45">
        <v>-1050132</v>
      </c>
      <c r="O1143" s="46">
        <f t="shared" si="37"/>
        <v>-1050.1320000000001</v>
      </c>
      <c r="P1143" s="47">
        <f>DGKC!D98</f>
        <v>-1050.1320000000001</v>
      </c>
      <c r="Q1143" s="44" t="str">
        <f t="shared" si="36"/>
        <v>PASS</v>
      </c>
      <c r="R1143" s="44" t="s">
        <v>1587</v>
      </c>
      <c r="S1143" s="44"/>
    </row>
    <row r="1144" spans="1:19" x14ac:dyDescent="0.3">
      <c r="A1144" s="44" t="s">
        <v>2351</v>
      </c>
      <c r="B1144" s="44" t="s">
        <v>86</v>
      </c>
      <c r="C1144" s="44" t="s">
        <v>26</v>
      </c>
      <c r="D1144" s="44" t="s">
        <v>386</v>
      </c>
      <c r="E1144" s="44" t="s">
        <v>1381</v>
      </c>
      <c r="F1144" s="44" t="s">
        <v>1443</v>
      </c>
      <c r="G1144" s="44" t="s">
        <v>2038</v>
      </c>
      <c r="H1144" s="44" t="s">
        <v>1117</v>
      </c>
      <c r="I1144" s="44" t="s">
        <v>1106</v>
      </c>
      <c r="J1144" s="44">
        <v>153</v>
      </c>
      <c r="K1144" s="44" t="s">
        <v>2065</v>
      </c>
      <c r="L1144" s="44"/>
      <c r="M1144" s="44" t="s">
        <v>2033</v>
      </c>
      <c r="N1144" s="45">
        <v>-3047629</v>
      </c>
      <c r="O1144" s="46">
        <f t="shared" si="37"/>
        <v>-3047.6289999999999</v>
      </c>
      <c r="P1144" s="47">
        <f>DGKC!E98</f>
        <v>-3047.6289999999999</v>
      </c>
      <c r="Q1144" s="44" t="str">
        <f t="shared" si="36"/>
        <v>PASS</v>
      </c>
      <c r="R1144" s="44" t="s">
        <v>1587</v>
      </c>
      <c r="S1144" s="44"/>
    </row>
    <row r="1145" spans="1:19" x14ac:dyDescent="0.3">
      <c r="A1145" s="44" t="s">
        <v>2352</v>
      </c>
      <c r="B1145" s="44" t="s">
        <v>86</v>
      </c>
      <c r="C1145" s="44" t="s">
        <v>27</v>
      </c>
      <c r="D1145" s="44" t="s">
        <v>386</v>
      </c>
      <c r="E1145" s="44" t="s">
        <v>1381</v>
      </c>
      <c r="F1145" s="44" t="s">
        <v>1443</v>
      </c>
      <c r="G1145" s="44" t="s">
        <v>2041</v>
      </c>
      <c r="H1145" s="44" t="s">
        <v>1120</v>
      </c>
      <c r="I1145" s="44" t="s">
        <v>1106</v>
      </c>
      <c r="J1145" s="44">
        <v>153</v>
      </c>
      <c r="K1145" s="44" t="s">
        <v>2065</v>
      </c>
      <c r="L1145" s="44"/>
      <c r="M1145" s="44" t="s">
        <v>2033</v>
      </c>
      <c r="N1145" s="45">
        <v>-6434465</v>
      </c>
      <c r="O1145" s="46">
        <f t="shared" si="37"/>
        <v>-6434.4650000000001</v>
      </c>
      <c r="P1145" s="47">
        <f>DGKC!F98</f>
        <v>-6434.4650000000001</v>
      </c>
      <c r="Q1145" s="44" t="str">
        <f t="shared" si="36"/>
        <v>PASS</v>
      </c>
      <c r="R1145" s="44" t="s">
        <v>1587</v>
      </c>
      <c r="S1145" s="44" t="s">
        <v>1114</v>
      </c>
    </row>
    <row r="1146" spans="1:19" x14ac:dyDescent="0.3">
      <c r="A1146" s="44" t="s">
        <v>2353</v>
      </c>
      <c r="B1146" s="44" t="s">
        <v>86</v>
      </c>
      <c r="C1146" s="44" t="s">
        <v>28</v>
      </c>
      <c r="D1146" s="44" t="s">
        <v>386</v>
      </c>
      <c r="E1146" s="44" t="s">
        <v>1381</v>
      </c>
      <c r="F1146" s="44" t="s">
        <v>386</v>
      </c>
      <c r="G1146" s="44" t="s">
        <v>2043</v>
      </c>
      <c r="H1146" s="44" t="s">
        <v>1124</v>
      </c>
      <c r="I1146" s="44" t="s">
        <v>1106</v>
      </c>
      <c r="J1146" s="44">
        <v>155</v>
      </c>
      <c r="K1146" s="44" t="s">
        <v>2195</v>
      </c>
      <c r="L1146" s="44"/>
      <c r="M1146" s="44" t="s">
        <v>2033</v>
      </c>
      <c r="N1146" s="45">
        <v>-1775666</v>
      </c>
      <c r="O1146" s="46">
        <f t="shared" si="37"/>
        <v>-1775.6659999999999</v>
      </c>
      <c r="P1146" s="47">
        <f>DGKC!G98</f>
        <v>-1775.6659999999999</v>
      </c>
      <c r="Q1146" s="44" t="str">
        <f t="shared" si="36"/>
        <v>PASS</v>
      </c>
      <c r="R1146" s="44" t="s">
        <v>1587</v>
      </c>
      <c r="S1146" s="44"/>
    </row>
    <row r="1147" spans="1:19" x14ac:dyDescent="0.3">
      <c r="A1147" s="44" t="s">
        <v>2354</v>
      </c>
      <c r="B1147" s="44" t="s">
        <v>86</v>
      </c>
      <c r="C1147" s="44" t="s">
        <v>29</v>
      </c>
      <c r="D1147" s="44" t="s">
        <v>386</v>
      </c>
      <c r="E1147" s="44" t="s">
        <v>1381</v>
      </c>
      <c r="F1147" s="44" t="s">
        <v>386</v>
      </c>
      <c r="G1147" s="44" t="s">
        <v>2043</v>
      </c>
      <c r="H1147" s="44" t="s">
        <v>1124</v>
      </c>
      <c r="I1147" s="44" t="s">
        <v>1127</v>
      </c>
      <c r="J1147" s="44">
        <v>155</v>
      </c>
      <c r="K1147" s="44" t="s">
        <v>2195</v>
      </c>
      <c r="L1147" s="44"/>
      <c r="M1147" s="44" t="s">
        <v>2033</v>
      </c>
      <c r="N1147" s="45">
        <v>-3752428</v>
      </c>
      <c r="O1147" s="46">
        <f t="shared" si="37"/>
        <v>-3752.4279999999999</v>
      </c>
      <c r="P1147" s="47">
        <f>DGKC!H98</f>
        <v>-3752.4279999999999</v>
      </c>
      <c r="Q1147" s="44" t="str">
        <f t="shared" si="36"/>
        <v>PASS</v>
      </c>
      <c r="R1147" s="44" t="s">
        <v>1587</v>
      </c>
      <c r="S1147" s="44"/>
    </row>
    <row r="1148" spans="1:19" x14ac:dyDescent="0.3">
      <c r="A1148" s="44" t="s">
        <v>2355</v>
      </c>
      <c r="B1148" s="44" t="s">
        <v>86</v>
      </c>
      <c r="C1148" s="44" t="s">
        <v>20</v>
      </c>
      <c r="D1148" s="44" t="s">
        <v>390</v>
      </c>
      <c r="E1148" s="44" t="s">
        <v>1381</v>
      </c>
      <c r="F1148" s="44" t="s">
        <v>362</v>
      </c>
      <c r="G1148" s="44" t="s">
        <v>2035</v>
      </c>
      <c r="H1148" s="44" t="s">
        <v>1113</v>
      </c>
      <c r="I1148" s="44" t="s">
        <v>1106</v>
      </c>
      <c r="J1148" s="44">
        <v>127</v>
      </c>
      <c r="K1148" s="44" t="s">
        <v>2292</v>
      </c>
      <c r="L1148" s="44"/>
      <c r="M1148" s="44" t="s">
        <v>2033</v>
      </c>
      <c r="N1148" s="45">
        <v>8071892</v>
      </c>
      <c r="O1148" s="46">
        <f t="shared" si="37"/>
        <v>8071.8919999999998</v>
      </c>
      <c r="P1148" s="47">
        <f>DGKC!D100</f>
        <v>8071.8919999999998</v>
      </c>
      <c r="Q1148" s="44" t="str">
        <f t="shared" ref="Q1148:Q1187" si="38">IF(ABS(O1148-P1148)&lt;0.000001,"PASS","FAIL")</f>
        <v>PASS</v>
      </c>
      <c r="R1148" s="44" t="s">
        <v>1587</v>
      </c>
      <c r="S1148" s="44"/>
    </row>
    <row r="1149" spans="1:19" x14ac:dyDescent="0.3">
      <c r="A1149" s="44" t="s">
        <v>2356</v>
      </c>
      <c r="B1149" s="44" t="s">
        <v>86</v>
      </c>
      <c r="C1149" s="44" t="s">
        <v>26</v>
      </c>
      <c r="D1149" s="44" t="s">
        <v>390</v>
      </c>
      <c r="E1149" s="44" t="s">
        <v>1381</v>
      </c>
      <c r="F1149" s="44" t="s">
        <v>362</v>
      </c>
      <c r="G1149" s="44" t="s">
        <v>2038</v>
      </c>
      <c r="H1149" s="44" t="s">
        <v>1117</v>
      </c>
      <c r="I1149" s="44" t="s">
        <v>1106</v>
      </c>
      <c r="J1149" s="44">
        <v>153</v>
      </c>
      <c r="K1149" s="44" t="s">
        <v>2065</v>
      </c>
      <c r="L1149" s="44"/>
      <c r="M1149" s="44" t="s">
        <v>2033</v>
      </c>
      <c r="N1149" s="45">
        <v>10428312</v>
      </c>
      <c r="O1149" s="46">
        <f t="shared" si="37"/>
        <v>10428.312</v>
      </c>
      <c r="P1149" s="47">
        <f>DGKC!E100</f>
        <v>10428.312</v>
      </c>
      <c r="Q1149" s="44" t="str">
        <f t="shared" si="38"/>
        <v>PASS</v>
      </c>
      <c r="R1149" s="44" t="s">
        <v>1587</v>
      </c>
      <c r="S1149" s="44"/>
    </row>
    <row r="1150" spans="1:19" x14ac:dyDescent="0.3">
      <c r="A1150" s="44" t="s">
        <v>2357</v>
      </c>
      <c r="B1150" s="44" t="s">
        <v>86</v>
      </c>
      <c r="C1150" s="44" t="s">
        <v>27</v>
      </c>
      <c r="D1150" s="44" t="s">
        <v>390</v>
      </c>
      <c r="E1150" s="44" t="s">
        <v>1381</v>
      </c>
      <c r="F1150" s="44" t="s">
        <v>362</v>
      </c>
      <c r="G1150" s="44" t="s">
        <v>2041</v>
      </c>
      <c r="H1150" s="44" t="s">
        <v>1120</v>
      </c>
      <c r="I1150" s="44" t="s">
        <v>1106</v>
      </c>
      <c r="J1150" s="44">
        <v>153</v>
      </c>
      <c r="K1150" s="44" t="s">
        <v>2065</v>
      </c>
      <c r="L1150" s="44"/>
      <c r="M1150" s="44" t="s">
        <v>2033</v>
      </c>
      <c r="N1150" s="45">
        <v>9555775</v>
      </c>
      <c r="O1150" s="46">
        <f t="shared" si="37"/>
        <v>9555.7749999999996</v>
      </c>
      <c r="P1150" s="47">
        <f>DGKC!F100</f>
        <v>9555.7749999999996</v>
      </c>
      <c r="Q1150" s="44" t="str">
        <f t="shared" si="38"/>
        <v>PASS</v>
      </c>
      <c r="R1150" s="44" t="s">
        <v>1587</v>
      </c>
      <c r="S1150" s="44"/>
    </row>
    <row r="1151" spans="1:19" x14ac:dyDescent="0.3">
      <c r="A1151" s="44" t="s">
        <v>2358</v>
      </c>
      <c r="B1151" s="44" t="s">
        <v>86</v>
      </c>
      <c r="C1151" s="44" t="s">
        <v>28</v>
      </c>
      <c r="D1151" s="44" t="s">
        <v>390</v>
      </c>
      <c r="E1151" s="44" t="s">
        <v>1381</v>
      </c>
      <c r="F1151" s="44" t="s">
        <v>362</v>
      </c>
      <c r="G1151" s="44" t="s">
        <v>2043</v>
      </c>
      <c r="H1151" s="44" t="s">
        <v>1124</v>
      </c>
      <c r="I1151" s="44" t="s">
        <v>1106</v>
      </c>
      <c r="J1151" s="44">
        <v>155</v>
      </c>
      <c r="K1151" s="44" t="s">
        <v>2195</v>
      </c>
      <c r="L1151" s="44"/>
      <c r="M1151" s="44" t="s">
        <v>2033</v>
      </c>
      <c r="N1151" s="45">
        <v>10528260</v>
      </c>
      <c r="O1151" s="46">
        <f t="shared" si="37"/>
        <v>10528.26</v>
      </c>
      <c r="P1151" s="47">
        <f>DGKC!G100</f>
        <v>10528.26</v>
      </c>
      <c r="Q1151" s="44" t="str">
        <f t="shared" si="38"/>
        <v>PASS</v>
      </c>
      <c r="R1151" s="44" t="s">
        <v>1587</v>
      </c>
      <c r="S1151" s="44"/>
    </row>
    <row r="1152" spans="1:19" x14ac:dyDescent="0.3">
      <c r="A1152" s="44" t="s">
        <v>2359</v>
      </c>
      <c r="B1152" s="44" t="s">
        <v>86</v>
      </c>
      <c r="C1152" s="44" t="s">
        <v>29</v>
      </c>
      <c r="D1152" s="44" t="s">
        <v>390</v>
      </c>
      <c r="E1152" s="44" t="s">
        <v>1381</v>
      </c>
      <c r="F1152" s="44" t="s">
        <v>362</v>
      </c>
      <c r="G1152" s="44" t="s">
        <v>2043</v>
      </c>
      <c r="H1152" s="44" t="s">
        <v>1124</v>
      </c>
      <c r="I1152" s="44" t="s">
        <v>1127</v>
      </c>
      <c r="J1152" s="44">
        <v>155</v>
      </c>
      <c r="K1152" s="44" t="s">
        <v>2195</v>
      </c>
      <c r="L1152" s="44"/>
      <c r="M1152" s="44" t="s">
        <v>2033</v>
      </c>
      <c r="N1152" s="45">
        <v>18505671</v>
      </c>
      <c r="O1152" s="46">
        <f t="shared" si="37"/>
        <v>18505.670999999998</v>
      </c>
      <c r="P1152" s="47">
        <f>DGKC!H100</f>
        <v>18505.670999999998</v>
      </c>
      <c r="Q1152" s="44" t="str">
        <f t="shared" si="38"/>
        <v>PASS</v>
      </c>
      <c r="R1152" s="44" t="s">
        <v>1587</v>
      </c>
      <c r="S1152" s="44"/>
    </row>
    <row r="1153" spans="1:19" x14ac:dyDescent="0.3">
      <c r="A1153" s="44" t="s">
        <v>2360</v>
      </c>
      <c r="B1153" s="44" t="s">
        <v>86</v>
      </c>
      <c r="C1153" s="44" t="s">
        <v>20</v>
      </c>
      <c r="D1153" s="44" t="s">
        <v>392</v>
      </c>
      <c r="E1153" s="44" t="s">
        <v>1381</v>
      </c>
      <c r="F1153" s="44" t="s">
        <v>1455</v>
      </c>
      <c r="G1153" s="44" t="s">
        <v>2035</v>
      </c>
      <c r="H1153" s="44" t="s">
        <v>1113</v>
      </c>
      <c r="I1153" s="44" t="s">
        <v>1106</v>
      </c>
      <c r="J1153" s="44">
        <v>127</v>
      </c>
      <c r="K1153" s="44" t="s">
        <v>2292</v>
      </c>
      <c r="L1153" s="44"/>
      <c r="M1153" s="44" t="s">
        <v>2033</v>
      </c>
      <c r="N1153" s="45">
        <v>4771405</v>
      </c>
      <c r="O1153" s="46">
        <f t="shared" si="37"/>
        <v>4771.4049999999997</v>
      </c>
      <c r="P1153" s="47">
        <f>DGKC!D101</f>
        <v>4771.4049999999997</v>
      </c>
      <c r="Q1153" s="44" t="str">
        <f t="shared" si="38"/>
        <v>PASS</v>
      </c>
      <c r="R1153" s="44" t="s">
        <v>1587</v>
      </c>
      <c r="S1153" s="44"/>
    </row>
    <row r="1154" spans="1:19" x14ac:dyDescent="0.3">
      <c r="A1154" s="44" t="s">
        <v>2361</v>
      </c>
      <c r="B1154" s="44" t="s">
        <v>86</v>
      </c>
      <c r="C1154" s="44" t="s">
        <v>26</v>
      </c>
      <c r="D1154" s="44" t="s">
        <v>392</v>
      </c>
      <c r="E1154" s="44" t="s">
        <v>1381</v>
      </c>
      <c r="F1154" s="44" t="s">
        <v>1455</v>
      </c>
      <c r="G1154" s="44" t="s">
        <v>2038</v>
      </c>
      <c r="H1154" s="44" t="s">
        <v>1117</v>
      </c>
      <c r="I1154" s="44" t="s">
        <v>1106</v>
      </c>
      <c r="J1154" s="44">
        <v>153</v>
      </c>
      <c r="K1154" s="44" t="s">
        <v>2065</v>
      </c>
      <c r="L1154" s="44"/>
      <c r="M1154" s="44" t="s">
        <v>2033</v>
      </c>
      <c r="N1154" s="45">
        <v>6019761</v>
      </c>
      <c r="O1154" s="46">
        <f t="shared" si="37"/>
        <v>6019.7610000000004</v>
      </c>
      <c r="P1154" s="47">
        <f>DGKC!E101</f>
        <v>6019.7610000000004</v>
      </c>
      <c r="Q1154" s="44" t="str">
        <f t="shared" si="38"/>
        <v>PASS</v>
      </c>
      <c r="R1154" s="44" t="s">
        <v>1587</v>
      </c>
      <c r="S1154" s="44"/>
    </row>
    <row r="1155" spans="1:19" x14ac:dyDescent="0.3">
      <c r="A1155" s="44" t="s">
        <v>2362</v>
      </c>
      <c r="B1155" s="44" t="s">
        <v>86</v>
      </c>
      <c r="C1155" s="44" t="s">
        <v>27</v>
      </c>
      <c r="D1155" s="44" t="s">
        <v>392</v>
      </c>
      <c r="E1155" s="44" t="s">
        <v>1381</v>
      </c>
      <c r="F1155" s="44" t="s">
        <v>2363</v>
      </c>
      <c r="G1155" s="44" t="s">
        <v>2041</v>
      </c>
      <c r="H1155" s="44" t="s">
        <v>1120</v>
      </c>
      <c r="I1155" s="44" t="s">
        <v>1106</v>
      </c>
      <c r="J1155" s="44">
        <v>153</v>
      </c>
      <c r="K1155" s="44" t="s">
        <v>2065</v>
      </c>
      <c r="L1155" s="44"/>
      <c r="M1155" s="44" t="s">
        <v>2033</v>
      </c>
      <c r="N1155" s="45">
        <v>3162543</v>
      </c>
      <c r="O1155" s="46">
        <f t="shared" si="37"/>
        <v>3162.5430000000001</v>
      </c>
      <c r="P1155" s="47">
        <f>DGKC!F101</f>
        <v>3162.5430000000001</v>
      </c>
      <c r="Q1155" s="44" t="str">
        <f t="shared" si="38"/>
        <v>PASS</v>
      </c>
      <c r="R1155" s="44" t="s">
        <v>1587</v>
      </c>
      <c r="S1155" s="44"/>
    </row>
    <row r="1156" spans="1:19" x14ac:dyDescent="0.3">
      <c r="A1156" s="44" t="s">
        <v>2364</v>
      </c>
      <c r="B1156" s="44" t="s">
        <v>86</v>
      </c>
      <c r="C1156" s="44" t="s">
        <v>28</v>
      </c>
      <c r="D1156" s="44" t="s">
        <v>392</v>
      </c>
      <c r="E1156" s="44" t="s">
        <v>1381</v>
      </c>
      <c r="F1156" s="44" t="s">
        <v>2365</v>
      </c>
      <c r="G1156" s="44" t="s">
        <v>2043</v>
      </c>
      <c r="H1156" s="44" t="s">
        <v>1124</v>
      </c>
      <c r="I1156" s="44" t="s">
        <v>1106</v>
      </c>
      <c r="J1156" s="44">
        <v>155</v>
      </c>
      <c r="K1156" s="44" t="s">
        <v>2195</v>
      </c>
      <c r="L1156" s="44"/>
      <c r="M1156" s="44" t="s">
        <v>2033</v>
      </c>
      <c r="N1156" s="45">
        <v>2838910</v>
      </c>
      <c r="O1156" s="46">
        <f t="shared" si="37"/>
        <v>2838.91</v>
      </c>
      <c r="P1156" s="47">
        <f>DGKC!G101</f>
        <v>2838.91</v>
      </c>
      <c r="Q1156" s="44" t="str">
        <f t="shared" si="38"/>
        <v>PASS</v>
      </c>
      <c r="R1156" s="44" t="s">
        <v>1587</v>
      </c>
      <c r="S1156" s="44"/>
    </row>
    <row r="1157" spans="1:19" x14ac:dyDescent="0.3">
      <c r="A1157" s="44" t="s">
        <v>2366</v>
      </c>
      <c r="B1157" s="44" t="s">
        <v>86</v>
      </c>
      <c r="C1157" s="44" t="s">
        <v>29</v>
      </c>
      <c r="D1157" s="44" t="s">
        <v>392</v>
      </c>
      <c r="E1157" s="44" t="s">
        <v>1381</v>
      </c>
      <c r="F1157" s="44" t="s">
        <v>2365</v>
      </c>
      <c r="G1157" s="44" t="s">
        <v>2043</v>
      </c>
      <c r="H1157" s="44" t="s">
        <v>1124</v>
      </c>
      <c r="I1157" s="44" t="s">
        <v>1127</v>
      </c>
      <c r="J1157" s="44">
        <v>155</v>
      </c>
      <c r="K1157" s="44" t="s">
        <v>2195</v>
      </c>
      <c r="L1157" s="44"/>
      <c r="M1157" s="44" t="s">
        <v>2033</v>
      </c>
      <c r="N1157" s="45">
        <v>13004612</v>
      </c>
      <c r="O1157" s="46">
        <f t="shared" si="37"/>
        <v>13004.611999999999</v>
      </c>
      <c r="P1157" s="47">
        <f>DGKC!H101</f>
        <v>13004.611999999999</v>
      </c>
      <c r="Q1157" s="44" t="str">
        <f t="shared" si="38"/>
        <v>PASS</v>
      </c>
      <c r="R1157" s="44" t="s">
        <v>1587</v>
      </c>
      <c r="S1157" s="44"/>
    </row>
    <row r="1158" spans="1:19" x14ac:dyDescent="0.3">
      <c r="A1158" s="44" t="s">
        <v>2367</v>
      </c>
      <c r="B1158" s="44" t="s">
        <v>86</v>
      </c>
      <c r="C1158" s="44" t="s">
        <v>20</v>
      </c>
      <c r="D1158" s="44" t="s">
        <v>394</v>
      </c>
      <c r="E1158" s="44" t="s">
        <v>1381</v>
      </c>
      <c r="F1158" s="44" t="s">
        <v>2368</v>
      </c>
      <c r="G1158" s="44" t="s">
        <v>2035</v>
      </c>
      <c r="H1158" s="44" t="s">
        <v>1113</v>
      </c>
      <c r="I1158" s="44" t="s">
        <v>1106</v>
      </c>
      <c r="J1158" s="44">
        <v>127</v>
      </c>
      <c r="K1158" s="44" t="s">
        <v>2292</v>
      </c>
      <c r="L1158" s="44"/>
      <c r="M1158" s="44" t="s">
        <v>2033</v>
      </c>
      <c r="N1158" s="45">
        <v>3721273</v>
      </c>
      <c r="O1158" s="46">
        <f t="shared" si="37"/>
        <v>3721.2730000000001</v>
      </c>
      <c r="P1158" s="47">
        <f>DGKC!D102</f>
        <v>3721.2730000000001</v>
      </c>
      <c r="Q1158" s="44" t="str">
        <f t="shared" si="38"/>
        <v>PASS</v>
      </c>
      <c r="R1158" s="44" t="s">
        <v>1587</v>
      </c>
      <c r="S1158" s="44"/>
    </row>
    <row r="1159" spans="1:19" x14ac:dyDescent="0.3">
      <c r="A1159" s="44" t="s">
        <v>2369</v>
      </c>
      <c r="B1159" s="44" t="s">
        <v>86</v>
      </c>
      <c r="C1159" s="44" t="s">
        <v>26</v>
      </c>
      <c r="D1159" s="44" t="s">
        <v>394</v>
      </c>
      <c r="E1159" s="44" t="s">
        <v>1381</v>
      </c>
      <c r="F1159" s="44" t="s">
        <v>2370</v>
      </c>
      <c r="G1159" s="44" t="s">
        <v>2038</v>
      </c>
      <c r="H1159" s="44" t="s">
        <v>1117</v>
      </c>
      <c r="I1159" s="44" t="s">
        <v>1106</v>
      </c>
      <c r="J1159" s="44">
        <v>153</v>
      </c>
      <c r="K1159" s="44" t="s">
        <v>2065</v>
      </c>
      <c r="L1159" s="44"/>
      <c r="M1159" s="44" t="s">
        <v>2033</v>
      </c>
      <c r="N1159" s="45">
        <v>2972132</v>
      </c>
      <c r="O1159" s="46">
        <f t="shared" si="37"/>
        <v>2972.1320000000001</v>
      </c>
      <c r="P1159" s="47">
        <f>DGKC!E102</f>
        <v>2972.1320000000001</v>
      </c>
      <c r="Q1159" s="44" t="str">
        <f t="shared" si="38"/>
        <v>PASS</v>
      </c>
      <c r="R1159" s="44" t="s">
        <v>1587</v>
      </c>
      <c r="S1159" s="44"/>
    </row>
    <row r="1160" spans="1:19" x14ac:dyDescent="0.3">
      <c r="A1160" s="44" t="s">
        <v>2371</v>
      </c>
      <c r="B1160" s="44" t="s">
        <v>86</v>
      </c>
      <c r="C1160" s="44" t="s">
        <v>27</v>
      </c>
      <c r="D1160" s="44" t="s">
        <v>394</v>
      </c>
      <c r="E1160" s="44" t="s">
        <v>1381</v>
      </c>
      <c r="F1160" s="44" t="s">
        <v>2372</v>
      </c>
      <c r="G1160" s="44" t="s">
        <v>2041</v>
      </c>
      <c r="H1160" s="44" t="s">
        <v>1120</v>
      </c>
      <c r="I1160" s="44" t="s">
        <v>1106</v>
      </c>
      <c r="J1160" s="44">
        <v>153</v>
      </c>
      <c r="K1160" s="44" t="s">
        <v>2065</v>
      </c>
      <c r="L1160" s="44"/>
      <c r="M1160" s="44" t="s">
        <v>2033</v>
      </c>
      <c r="N1160" s="45">
        <v>-3635976</v>
      </c>
      <c r="O1160" s="46">
        <f t="shared" si="37"/>
        <v>-3635.9760000000001</v>
      </c>
      <c r="P1160" s="47">
        <f>DGKC!F102</f>
        <v>-3635.9760000000001</v>
      </c>
      <c r="Q1160" s="44" t="str">
        <f t="shared" si="38"/>
        <v>PASS</v>
      </c>
      <c r="R1160" s="44" t="s">
        <v>1587</v>
      </c>
      <c r="S1160" s="44"/>
    </row>
    <row r="1161" spans="1:19" x14ac:dyDescent="0.3">
      <c r="A1161" s="44" t="s">
        <v>2373</v>
      </c>
      <c r="B1161" s="44" t="s">
        <v>86</v>
      </c>
      <c r="C1161" s="44" t="s">
        <v>28</v>
      </c>
      <c r="D1161" s="44" t="s">
        <v>394</v>
      </c>
      <c r="E1161" s="44" t="s">
        <v>1381</v>
      </c>
      <c r="F1161" s="44" t="s">
        <v>2368</v>
      </c>
      <c r="G1161" s="44" t="s">
        <v>2043</v>
      </c>
      <c r="H1161" s="44" t="s">
        <v>1124</v>
      </c>
      <c r="I1161" s="44" t="s">
        <v>1106</v>
      </c>
      <c r="J1161" s="44">
        <v>155</v>
      </c>
      <c r="K1161" s="44" t="s">
        <v>2195</v>
      </c>
      <c r="L1161" s="44"/>
      <c r="M1161" s="44" t="s">
        <v>2033</v>
      </c>
      <c r="N1161" s="45">
        <v>542396</v>
      </c>
      <c r="O1161" s="46">
        <f t="shared" si="37"/>
        <v>542.39599999999996</v>
      </c>
      <c r="P1161" s="47">
        <f>DGKC!G102</f>
        <v>542.39599999999996</v>
      </c>
      <c r="Q1161" s="44" t="str">
        <f t="shared" si="38"/>
        <v>PASS</v>
      </c>
      <c r="R1161" s="44" t="s">
        <v>1587</v>
      </c>
      <c r="S1161" s="44"/>
    </row>
    <row r="1162" spans="1:19" x14ac:dyDescent="0.3">
      <c r="A1162" s="44" t="s">
        <v>2374</v>
      </c>
      <c r="B1162" s="44" t="s">
        <v>86</v>
      </c>
      <c r="C1162" s="44" t="s">
        <v>29</v>
      </c>
      <c r="D1162" s="44" t="s">
        <v>394</v>
      </c>
      <c r="E1162" s="44" t="s">
        <v>1381</v>
      </c>
      <c r="F1162" s="44" t="s">
        <v>2368</v>
      </c>
      <c r="G1162" s="44" t="s">
        <v>2043</v>
      </c>
      <c r="H1162" s="44" t="s">
        <v>1124</v>
      </c>
      <c r="I1162" s="44" t="s">
        <v>1127</v>
      </c>
      <c r="J1162" s="44">
        <v>155</v>
      </c>
      <c r="K1162" s="44" t="s">
        <v>2195</v>
      </c>
      <c r="L1162" s="44"/>
      <c r="M1162" s="44" t="s">
        <v>2033</v>
      </c>
      <c r="N1162" s="45">
        <v>8675059</v>
      </c>
      <c r="O1162" s="46">
        <f t="shared" si="37"/>
        <v>8675.0589999999993</v>
      </c>
      <c r="P1162" s="47">
        <f>DGKC!H102</f>
        <v>8675.0589999999993</v>
      </c>
      <c r="Q1162" s="44" t="str">
        <f t="shared" si="38"/>
        <v>PASS</v>
      </c>
      <c r="R1162" s="44" t="s">
        <v>1587</v>
      </c>
      <c r="S1162" s="44"/>
    </row>
    <row r="1163" spans="1:19" x14ac:dyDescent="0.3">
      <c r="A1163" s="44" t="s">
        <v>2375</v>
      </c>
      <c r="B1163" s="44" t="s">
        <v>86</v>
      </c>
      <c r="C1163" s="44" t="s">
        <v>20</v>
      </c>
      <c r="D1163" s="44" t="s">
        <v>398</v>
      </c>
      <c r="E1163" s="44" t="s">
        <v>1130</v>
      </c>
      <c r="F1163" s="44" t="s">
        <v>2376</v>
      </c>
      <c r="G1163" s="44" t="s">
        <v>2035</v>
      </c>
      <c r="H1163" s="44" t="s">
        <v>1113</v>
      </c>
      <c r="I1163" s="44" t="s">
        <v>1106</v>
      </c>
      <c r="J1163" s="44">
        <v>177</v>
      </c>
      <c r="K1163" s="44" t="s">
        <v>2377</v>
      </c>
      <c r="L1163" s="44"/>
      <c r="M1163" s="44" t="s">
        <v>2033</v>
      </c>
      <c r="N1163" s="45">
        <v>34766</v>
      </c>
      <c r="O1163" s="46">
        <f t="shared" si="37"/>
        <v>34.765999999999998</v>
      </c>
      <c r="P1163" s="47">
        <f>DGKC!D105</f>
        <v>34.765999999999998</v>
      </c>
      <c r="Q1163" s="44" t="str">
        <f t="shared" si="38"/>
        <v>PASS</v>
      </c>
      <c r="R1163" s="44" t="s">
        <v>1587</v>
      </c>
      <c r="S1163" s="44"/>
    </row>
    <row r="1164" spans="1:19" x14ac:dyDescent="0.3">
      <c r="A1164" s="44" t="s">
        <v>2378</v>
      </c>
      <c r="B1164" s="44" t="s">
        <v>86</v>
      </c>
      <c r="C1164" s="44" t="s">
        <v>26</v>
      </c>
      <c r="D1164" s="44" t="s">
        <v>398</v>
      </c>
      <c r="E1164" s="44" t="s">
        <v>1130</v>
      </c>
      <c r="F1164" s="44" t="s">
        <v>2379</v>
      </c>
      <c r="G1164" s="44" t="s">
        <v>2038</v>
      </c>
      <c r="H1164" s="44" t="s">
        <v>1117</v>
      </c>
      <c r="I1164" s="44" t="s">
        <v>1106</v>
      </c>
      <c r="J1164" s="44">
        <v>201</v>
      </c>
      <c r="K1164" s="44" t="s">
        <v>2380</v>
      </c>
      <c r="L1164" s="44"/>
      <c r="M1164" s="44" t="s">
        <v>2033</v>
      </c>
      <c r="N1164" s="45">
        <v>26530</v>
      </c>
      <c r="O1164" s="46">
        <f t="shared" si="37"/>
        <v>26.53</v>
      </c>
      <c r="P1164" s="47">
        <f>DGKC!E105</f>
        <v>26.53</v>
      </c>
      <c r="Q1164" s="44" t="str">
        <f t="shared" si="38"/>
        <v>PASS</v>
      </c>
      <c r="R1164" s="44" t="s">
        <v>1587</v>
      </c>
      <c r="S1164" s="44"/>
    </row>
    <row r="1165" spans="1:19" x14ac:dyDescent="0.3">
      <c r="A1165" s="44" t="s">
        <v>2381</v>
      </c>
      <c r="B1165" s="44" t="s">
        <v>86</v>
      </c>
      <c r="C1165" s="44" t="s">
        <v>27</v>
      </c>
      <c r="D1165" s="44" t="s">
        <v>398</v>
      </c>
      <c r="E1165" s="44" t="s">
        <v>1130</v>
      </c>
      <c r="F1165" s="44" t="s">
        <v>2379</v>
      </c>
      <c r="G1165" s="44" t="s">
        <v>2041</v>
      </c>
      <c r="H1165" s="44" t="s">
        <v>1120</v>
      </c>
      <c r="I1165" s="44" t="s">
        <v>1106</v>
      </c>
      <c r="J1165" s="44">
        <v>204</v>
      </c>
      <c r="K1165" s="44" t="s">
        <v>2382</v>
      </c>
      <c r="L1165" s="44"/>
      <c r="M1165" s="44" t="s">
        <v>2033</v>
      </c>
      <c r="N1165" s="45">
        <v>38493</v>
      </c>
      <c r="O1165" s="46">
        <f t="shared" si="37"/>
        <v>38.493000000000002</v>
      </c>
      <c r="P1165" s="47">
        <f>DGKC!F105</f>
        <v>38.493000000000002</v>
      </c>
      <c r="Q1165" s="44" t="str">
        <f t="shared" si="38"/>
        <v>PASS</v>
      </c>
      <c r="R1165" s="44" t="s">
        <v>1587</v>
      </c>
      <c r="S1165" s="44"/>
    </row>
    <row r="1166" spans="1:19" x14ac:dyDescent="0.3">
      <c r="A1166" s="44" t="s">
        <v>2383</v>
      </c>
      <c r="B1166" s="44" t="s">
        <v>86</v>
      </c>
      <c r="C1166" s="44" t="s">
        <v>28</v>
      </c>
      <c r="D1166" s="44" t="s">
        <v>398</v>
      </c>
      <c r="E1166" s="44" t="s">
        <v>1130</v>
      </c>
      <c r="F1166" s="44" t="s">
        <v>2384</v>
      </c>
      <c r="G1166" s="44" t="s">
        <v>2043</v>
      </c>
      <c r="H1166" s="44" t="s">
        <v>1124</v>
      </c>
      <c r="I1166" s="44" t="s">
        <v>1106</v>
      </c>
      <c r="J1166" s="44">
        <v>209</v>
      </c>
      <c r="K1166" s="44" t="s">
        <v>2385</v>
      </c>
      <c r="L1166" s="44"/>
      <c r="M1166" s="44" t="s">
        <v>2033</v>
      </c>
      <c r="N1166" s="45">
        <v>76127</v>
      </c>
      <c r="O1166" s="46">
        <f t="shared" si="37"/>
        <v>76.126999999999995</v>
      </c>
      <c r="P1166" s="47">
        <f>DGKC!G105</f>
        <v>76.126999999999995</v>
      </c>
      <c r="Q1166" s="44" t="str">
        <f t="shared" si="38"/>
        <v>PASS</v>
      </c>
      <c r="R1166" s="44" t="s">
        <v>1587</v>
      </c>
      <c r="S1166" s="44"/>
    </row>
    <row r="1167" spans="1:19" x14ac:dyDescent="0.3">
      <c r="A1167" s="44" t="s">
        <v>2386</v>
      </c>
      <c r="B1167" s="44" t="s">
        <v>86</v>
      </c>
      <c r="C1167" s="44" t="s">
        <v>29</v>
      </c>
      <c r="D1167" s="44" t="s">
        <v>398</v>
      </c>
      <c r="E1167" s="44" t="s">
        <v>1130</v>
      </c>
      <c r="F1167" s="44" t="s">
        <v>2384</v>
      </c>
      <c r="G1167" s="44" t="s">
        <v>2043</v>
      </c>
      <c r="H1167" s="44" t="s">
        <v>1124</v>
      </c>
      <c r="I1167" s="44" t="s">
        <v>1127</v>
      </c>
      <c r="J1167" s="44">
        <v>209</v>
      </c>
      <c r="K1167" s="44" t="s">
        <v>2385</v>
      </c>
      <c r="L1167" s="44"/>
      <c r="M1167" s="44" t="s">
        <v>2033</v>
      </c>
      <c r="N1167" s="45">
        <v>53669</v>
      </c>
      <c r="O1167" s="46">
        <f t="shared" si="37"/>
        <v>53.668999999999997</v>
      </c>
      <c r="P1167" s="47">
        <f>DGKC!H105</f>
        <v>53.668999999999997</v>
      </c>
      <c r="Q1167" s="44" t="str">
        <f t="shared" si="38"/>
        <v>PASS</v>
      </c>
      <c r="R1167" s="44" t="s">
        <v>1587</v>
      </c>
      <c r="S1167" s="44"/>
    </row>
    <row r="1168" spans="1:19" x14ac:dyDescent="0.3">
      <c r="A1168" s="44" t="s">
        <v>2387</v>
      </c>
      <c r="B1168" s="44" t="s">
        <v>86</v>
      </c>
      <c r="C1168" s="44" t="s">
        <v>20</v>
      </c>
      <c r="D1168" s="44" t="s">
        <v>402</v>
      </c>
      <c r="E1168" s="44" t="s">
        <v>1478</v>
      </c>
      <c r="F1168" s="44" t="s">
        <v>2388</v>
      </c>
      <c r="G1168" s="44" t="s">
        <v>2035</v>
      </c>
      <c r="H1168" s="44" t="s">
        <v>1113</v>
      </c>
      <c r="I1168" s="44" t="s">
        <v>1106</v>
      </c>
      <c r="J1168" s="44">
        <v>179</v>
      </c>
      <c r="K1168" s="44" t="s">
        <v>2389</v>
      </c>
      <c r="L1168" s="44"/>
      <c r="M1168" s="44" t="s">
        <v>2033</v>
      </c>
      <c r="N1168" s="45">
        <v>3580807</v>
      </c>
      <c r="O1168" s="46">
        <f t="shared" si="37"/>
        <v>3580.8069999999998</v>
      </c>
      <c r="P1168" s="47">
        <f>DGKC!D107</f>
        <v>3580.8069999999998</v>
      </c>
      <c r="Q1168" s="44" t="str">
        <f t="shared" si="38"/>
        <v>PASS</v>
      </c>
      <c r="R1168" s="44" t="s">
        <v>1587</v>
      </c>
      <c r="S1168" s="44"/>
    </row>
    <row r="1169" spans="1:19" x14ac:dyDescent="0.3">
      <c r="A1169" s="44" t="s">
        <v>2390</v>
      </c>
      <c r="B1169" s="44" t="s">
        <v>86</v>
      </c>
      <c r="C1169" s="44" t="s">
        <v>26</v>
      </c>
      <c r="D1169" s="44" t="s">
        <v>402</v>
      </c>
      <c r="E1169" s="44" t="s">
        <v>1478</v>
      </c>
      <c r="F1169" s="44" t="s">
        <v>2388</v>
      </c>
      <c r="G1169" s="44" t="s">
        <v>2038</v>
      </c>
      <c r="H1169" s="44" t="s">
        <v>1117</v>
      </c>
      <c r="I1169" s="44" t="s">
        <v>1106</v>
      </c>
      <c r="J1169" s="44">
        <v>204</v>
      </c>
      <c r="K1169" s="44" t="s">
        <v>2382</v>
      </c>
      <c r="L1169" s="44"/>
      <c r="M1169" s="44" t="s">
        <v>2033</v>
      </c>
      <c r="N1169" s="45">
        <v>3913288</v>
      </c>
      <c r="O1169" s="46">
        <f t="shared" si="37"/>
        <v>3913.288</v>
      </c>
      <c r="P1169" s="47">
        <f>DGKC!E107</f>
        <v>3913.288</v>
      </c>
      <c r="Q1169" s="44" t="str">
        <f t="shared" si="38"/>
        <v>PASS</v>
      </c>
      <c r="R1169" s="44" t="s">
        <v>1587</v>
      </c>
      <c r="S1169" s="44"/>
    </row>
    <row r="1170" spans="1:19" x14ac:dyDescent="0.3">
      <c r="A1170" s="44" t="s">
        <v>2391</v>
      </c>
      <c r="B1170" s="44" t="s">
        <v>86</v>
      </c>
      <c r="C1170" s="44" t="s">
        <v>27</v>
      </c>
      <c r="D1170" s="44" t="s">
        <v>402</v>
      </c>
      <c r="E1170" s="44" t="s">
        <v>1478</v>
      </c>
      <c r="F1170" s="44" t="s">
        <v>2388</v>
      </c>
      <c r="G1170" s="44" t="s">
        <v>2041</v>
      </c>
      <c r="H1170" s="44" t="s">
        <v>1120</v>
      </c>
      <c r="I1170" s="44" t="s">
        <v>1106</v>
      </c>
      <c r="J1170" s="44">
        <v>207</v>
      </c>
      <c r="K1170" s="44" t="s">
        <v>2392</v>
      </c>
      <c r="L1170" s="44"/>
      <c r="M1170" s="44" t="s">
        <v>2033</v>
      </c>
      <c r="N1170" s="45">
        <v>3944128</v>
      </c>
      <c r="O1170" s="46">
        <f t="shared" si="37"/>
        <v>3944.1280000000002</v>
      </c>
      <c r="P1170" s="47">
        <f>DGKC!F107</f>
        <v>3944.1280000000002</v>
      </c>
      <c r="Q1170" s="44" t="str">
        <f t="shared" si="38"/>
        <v>PASS</v>
      </c>
      <c r="R1170" s="44" t="s">
        <v>1587</v>
      </c>
      <c r="S1170" s="44"/>
    </row>
    <row r="1171" spans="1:19" x14ac:dyDescent="0.3">
      <c r="A1171" s="44" t="s">
        <v>2393</v>
      </c>
      <c r="B1171" s="44" t="s">
        <v>86</v>
      </c>
      <c r="C1171" s="44" t="s">
        <v>28</v>
      </c>
      <c r="D1171" s="44" t="s">
        <v>402</v>
      </c>
      <c r="E1171" s="44" t="s">
        <v>1478</v>
      </c>
      <c r="F1171" s="44" t="s">
        <v>2388</v>
      </c>
      <c r="G1171" s="44" t="s">
        <v>2043</v>
      </c>
      <c r="H1171" s="44" t="s">
        <v>1124</v>
      </c>
      <c r="I1171" s="44" t="s">
        <v>1106</v>
      </c>
      <c r="J1171" s="44">
        <v>212</v>
      </c>
      <c r="K1171" s="44" t="s">
        <v>2394</v>
      </c>
      <c r="L1171" s="44"/>
      <c r="M1171" s="44" t="s">
        <v>2033</v>
      </c>
      <c r="N1171" s="45">
        <v>3853452</v>
      </c>
      <c r="O1171" s="46">
        <f t="shared" si="37"/>
        <v>3853.4520000000002</v>
      </c>
      <c r="P1171" s="47">
        <f>DGKC!G107</f>
        <v>3853.4520000000002</v>
      </c>
      <c r="Q1171" s="44" t="str">
        <f t="shared" si="38"/>
        <v>PASS</v>
      </c>
      <c r="R1171" s="44" t="s">
        <v>1587</v>
      </c>
      <c r="S1171" s="44"/>
    </row>
    <row r="1172" spans="1:19" x14ac:dyDescent="0.3">
      <c r="A1172" s="44" t="s">
        <v>2395</v>
      </c>
      <c r="B1172" s="44" t="s">
        <v>86</v>
      </c>
      <c r="C1172" s="44" t="s">
        <v>29</v>
      </c>
      <c r="D1172" s="44" t="s">
        <v>402</v>
      </c>
      <c r="E1172" s="44" t="s">
        <v>1478</v>
      </c>
      <c r="F1172" s="44" t="s">
        <v>2388</v>
      </c>
      <c r="G1172" s="44" t="s">
        <v>2043</v>
      </c>
      <c r="H1172" s="44" t="s">
        <v>1124</v>
      </c>
      <c r="I1172" s="44" t="s">
        <v>1127</v>
      </c>
      <c r="J1172" s="44">
        <v>212</v>
      </c>
      <c r="K1172" s="44" t="s">
        <v>2394</v>
      </c>
      <c r="L1172" s="44"/>
      <c r="M1172" s="44" t="s">
        <v>2033</v>
      </c>
      <c r="N1172" s="45">
        <v>3832602</v>
      </c>
      <c r="O1172" s="46">
        <f t="shared" si="37"/>
        <v>3832.6019999999999</v>
      </c>
      <c r="P1172" s="47">
        <f>DGKC!H107</f>
        <v>3832.6019999999999</v>
      </c>
      <c r="Q1172" s="44" t="str">
        <f t="shared" si="38"/>
        <v>PASS</v>
      </c>
      <c r="R1172" s="44" t="s">
        <v>1587</v>
      </c>
      <c r="S1172" s="44"/>
    </row>
    <row r="1173" spans="1:19" x14ac:dyDescent="0.3">
      <c r="A1173" s="44" t="s">
        <v>2396</v>
      </c>
      <c r="B1173" s="44" t="s">
        <v>86</v>
      </c>
      <c r="C1173" s="44" t="s">
        <v>20</v>
      </c>
      <c r="D1173" s="44" t="s">
        <v>418</v>
      </c>
      <c r="E1173" s="44" t="s">
        <v>1478</v>
      </c>
      <c r="F1173" s="44" t="s">
        <v>1487</v>
      </c>
      <c r="G1173" s="44" t="s">
        <v>2035</v>
      </c>
      <c r="H1173" s="44" t="s">
        <v>1113</v>
      </c>
      <c r="I1173" s="44" t="s">
        <v>1106</v>
      </c>
      <c r="J1173" s="44">
        <v>129</v>
      </c>
      <c r="K1173" s="44" t="s">
        <v>2397</v>
      </c>
      <c r="L1173" s="44"/>
      <c r="M1173" s="44" t="s">
        <v>2033</v>
      </c>
      <c r="N1173" s="45">
        <v>10472429</v>
      </c>
      <c r="O1173" s="46">
        <f t="shared" si="37"/>
        <v>10472.429</v>
      </c>
      <c r="P1173" s="47">
        <f>DGKC!D116</f>
        <v>10472.429</v>
      </c>
      <c r="Q1173" s="44" t="str">
        <f t="shared" si="38"/>
        <v>PASS</v>
      </c>
      <c r="R1173" s="44" t="s">
        <v>1587</v>
      </c>
      <c r="S1173" s="44"/>
    </row>
    <row r="1174" spans="1:19" x14ac:dyDescent="0.3">
      <c r="A1174" s="44" t="s">
        <v>2398</v>
      </c>
      <c r="B1174" s="44" t="s">
        <v>86</v>
      </c>
      <c r="C1174" s="44" t="s">
        <v>26</v>
      </c>
      <c r="D1174" s="44" t="s">
        <v>418</v>
      </c>
      <c r="E1174" s="44" t="s">
        <v>1478</v>
      </c>
      <c r="F1174" s="44" t="s">
        <v>1487</v>
      </c>
      <c r="G1174" s="44" t="s">
        <v>2038</v>
      </c>
      <c r="H1174" s="44" t="s">
        <v>1117</v>
      </c>
      <c r="I1174" s="44" t="s">
        <v>1106</v>
      </c>
      <c r="J1174" s="44">
        <v>155</v>
      </c>
      <c r="K1174" s="44" t="s">
        <v>2195</v>
      </c>
      <c r="L1174" s="44"/>
      <c r="M1174" s="44" t="s">
        <v>2033</v>
      </c>
      <c r="N1174" s="45">
        <v>941866</v>
      </c>
      <c r="O1174" s="46">
        <f t="shared" si="37"/>
        <v>941.86599999999999</v>
      </c>
      <c r="P1174" s="47">
        <f>DGKC!E116</f>
        <v>941.86599999999999</v>
      </c>
      <c r="Q1174" s="44" t="str">
        <f t="shared" si="38"/>
        <v>PASS</v>
      </c>
      <c r="R1174" s="44" t="s">
        <v>1587</v>
      </c>
      <c r="S1174" s="44"/>
    </row>
    <row r="1175" spans="1:19" x14ac:dyDescent="0.3">
      <c r="A1175" s="44" t="s">
        <v>2399</v>
      </c>
      <c r="B1175" s="44" t="s">
        <v>86</v>
      </c>
      <c r="C1175" s="44" t="s">
        <v>27</v>
      </c>
      <c r="D1175" s="44" t="s">
        <v>418</v>
      </c>
      <c r="E1175" s="44" t="s">
        <v>1478</v>
      </c>
      <c r="F1175" s="44" t="s">
        <v>1487</v>
      </c>
      <c r="G1175" s="44" t="s">
        <v>2041</v>
      </c>
      <c r="H1175" s="44" t="s">
        <v>1120</v>
      </c>
      <c r="I1175" s="44" t="s">
        <v>1106</v>
      </c>
      <c r="J1175" s="44">
        <v>155</v>
      </c>
      <c r="K1175" s="44" t="s">
        <v>2195</v>
      </c>
      <c r="L1175" s="44"/>
      <c r="M1175" s="44" t="s">
        <v>2033</v>
      </c>
      <c r="N1175" s="45">
        <v>13397298</v>
      </c>
      <c r="O1175" s="46">
        <f t="shared" si="37"/>
        <v>13397.298000000001</v>
      </c>
      <c r="P1175" s="47">
        <f>DGKC!F116</f>
        <v>13397.298000000001</v>
      </c>
      <c r="Q1175" s="44" t="str">
        <f t="shared" si="38"/>
        <v>PASS</v>
      </c>
      <c r="R1175" s="44" t="s">
        <v>1587</v>
      </c>
      <c r="S1175" s="44"/>
    </row>
    <row r="1176" spans="1:19" x14ac:dyDescent="0.3">
      <c r="A1176" s="44" t="s">
        <v>2400</v>
      </c>
      <c r="B1176" s="44" t="s">
        <v>86</v>
      </c>
      <c r="C1176" s="44" t="s">
        <v>28</v>
      </c>
      <c r="D1176" s="44" t="s">
        <v>418</v>
      </c>
      <c r="E1176" s="44" t="s">
        <v>1478</v>
      </c>
      <c r="F1176" s="44" t="s">
        <v>1487</v>
      </c>
      <c r="G1176" s="44" t="s">
        <v>2043</v>
      </c>
      <c r="H1176" s="44" t="s">
        <v>1124</v>
      </c>
      <c r="I1176" s="44" t="s">
        <v>1106</v>
      </c>
      <c r="J1176" s="44">
        <v>157</v>
      </c>
      <c r="K1176" s="44" t="s">
        <v>2227</v>
      </c>
      <c r="L1176" s="44"/>
      <c r="M1176" s="44" t="s">
        <v>2033</v>
      </c>
      <c r="N1176" s="45">
        <v>13222675</v>
      </c>
      <c r="O1176" s="46">
        <f t="shared" si="37"/>
        <v>13222.674999999999</v>
      </c>
      <c r="P1176" s="47">
        <f>DGKC!G116</f>
        <v>13222.674999999999</v>
      </c>
      <c r="Q1176" s="44" t="str">
        <f t="shared" si="38"/>
        <v>PASS</v>
      </c>
      <c r="R1176" s="44" t="s">
        <v>1587</v>
      </c>
      <c r="S1176" s="44"/>
    </row>
    <row r="1177" spans="1:19" x14ac:dyDescent="0.3">
      <c r="A1177" s="44" t="s">
        <v>2401</v>
      </c>
      <c r="B1177" s="44" t="s">
        <v>86</v>
      </c>
      <c r="C1177" s="44" t="s">
        <v>29</v>
      </c>
      <c r="D1177" s="44" t="s">
        <v>418</v>
      </c>
      <c r="E1177" s="44" t="s">
        <v>1478</v>
      </c>
      <c r="F1177" s="44" t="s">
        <v>1487</v>
      </c>
      <c r="G1177" s="44" t="s">
        <v>2043</v>
      </c>
      <c r="H1177" s="44" t="s">
        <v>1124</v>
      </c>
      <c r="I1177" s="44" t="s">
        <v>1127</v>
      </c>
      <c r="J1177" s="44">
        <v>157</v>
      </c>
      <c r="K1177" s="44" t="s">
        <v>2227</v>
      </c>
      <c r="L1177" s="44"/>
      <c r="M1177" s="44" t="s">
        <v>2033</v>
      </c>
      <c r="N1177" s="45">
        <v>15811428</v>
      </c>
      <c r="O1177" s="46">
        <f t="shared" si="37"/>
        <v>15811.428</v>
      </c>
      <c r="P1177" s="47">
        <f>DGKC!H116</f>
        <v>15811.428</v>
      </c>
      <c r="Q1177" s="44" t="str">
        <f t="shared" si="38"/>
        <v>PASS</v>
      </c>
      <c r="R1177" s="44" t="s">
        <v>1587</v>
      </c>
      <c r="S1177" s="44"/>
    </row>
    <row r="1178" spans="1:19" x14ac:dyDescent="0.3">
      <c r="A1178" s="44" t="s">
        <v>2402</v>
      </c>
      <c r="B1178" s="44" t="s">
        <v>86</v>
      </c>
      <c r="C1178" s="44" t="s">
        <v>20</v>
      </c>
      <c r="D1178" s="44" t="s">
        <v>420</v>
      </c>
      <c r="E1178" s="44" t="s">
        <v>1478</v>
      </c>
      <c r="F1178" s="44" t="s">
        <v>2403</v>
      </c>
      <c r="G1178" s="44" t="s">
        <v>2035</v>
      </c>
      <c r="H1178" s="44" t="s">
        <v>1113</v>
      </c>
      <c r="I1178" s="44" t="s">
        <v>1106</v>
      </c>
      <c r="J1178" s="44">
        <v>129</v>
      </c>
      <c r="K1178" s="44" t="s">
        <v>2397</v>
      </c>
      <c r="L1178" s="44"/>
      <c r="M1178" s="44" t="s">
        <v>2033</v>
      </c>
      <c r="N1178" s="45">
        <v>6161190</v>
      </c>
      <c r="O1178" s="46">
        <f t="shared" si="37"/>
        <v>6161.19</v>
      </c>
      <c r="P1178" s="47">
        <f>DGKC!D117</f>
        <v>6161.19</v>
      </c>
      <c r="Q1178" s="44" t="str">
        <f t="shared" si="38"/>
        <v>PASS</v>
      </c>
      <c r="R1178" s="44" t="s">
        <v>1587</v>
      </c>
      <c r="S1178" s="44"/>
    </row>
    <row r="1179" spans="1:19" x14ac:dyDescent="0.3">
      <c r="A1179" s="44" t="s">
        <v>2404</v>
      </c>
      <c r="B1179" s="44" t="s">
        <v>86</v>
      </c>
      <c r="C1179" s="44" t="s">
        <v>26</v>
      </c>
      <c r="D1179" s="44" t="s">
        <v>420</v>
      </c>
      <c r="E1179" s="44" t="s">
        <v>1478</v>
      </c>
      <c r="F1179" s="44" t="s">
        <v>2405</v>
      </c>
      <c r="G1179" s="44" t="s">
        <v>2038</v>
      </c>
      <c r="H1179" s="44" t="s">
        <v>1117</v>
      </c>
      <c r="I1179" s="44" t="s">
        <v>1106</v>
      </c>
      <c r="J1179" s="44">
        <v>155</v>
      </c>
      <c r="K1179" s="44" t="s">
        <v>2195</v>
      </c>
      <c r="L1179" s="44"/>
      <c r="M1179" s="44" t="s">
        <v>2033</v>
      </c>
      <c r="N1179" s="45">
        <v>-3932479</v>
      </c>
      <c r="O1179" s="46">
        <f t="shared" si="37"/>
        <v>-3932.4789999999998</v>
      </c>
      <c r="P1179" s="47">
        <f>DGKC!E117</f>
        <v>-3932.4789999999998</v>
      </c>
      <c r="Q1179" s="44" t="str">
        <f t="shared" si="38"/>
        <v>PASS</v>
      </c>
      <c r="R1179" s="44" t="s">
        <v>1587</v>
      </c>
      <c r="S1179" s="44"/>
    </row>
    <row r="1180" spans="1:19" x14ac:dyDescent="0.3">
      <c r="A1180" s="44" t="s">
        <v>2406</v>
      </c>
      <c r="B1180" s="44" t="s">
        <v>86</v>
      </c>
      <c r="C1180" s="44" t="s">
        <v>27</v>
      </c>
      <c r="D1180" s="44" t="s">
        <v>420</v>
      </c>
      <c r="E1180" s="44" t="s">
        <v>1478</v>
      </c>
      <c r="F1180" s="44" t="s">
        <v>2407</v>
      </c>
      <c r="G1180" s="44" t="s">
        <v>2041</v>
      </c>
      <c r="H1180" s="44" t="s">
        <v>1120</v>
      </c>
      <c r="I1180" s="44" t="s">
        <v>1106</v>
      </c>
      <c r="J1180" s="44">
        <v>155</v>
      </c>
      <c r="K1180" s="44" t="s">
        <v>2195</v>
      </c>
      <c r="L1180" s="44"/>
      <c r="M1180" s="44" t="s">
        <v>2033</v>
      </c>
      <c r="N1180" s="45">
        <v>6504234</v>
      </c>
      <c r="O1180" s="46">
        <f t="shared" si="37"/>
        <v>6504.2340000000004</v>
      </c>
      <c r="P1180" s="47">
        <f>DGKC!F117</f>
        <v>6504.2340000000004</v>
      </c>
      <c r="Q1180" s="44" t="str">
        <f t="shared" si="38"/>
        <v>PASS</v>
      </c>
      <c r="R1180" s="44" t="s">
        <v>1587</v>
      </c>
      <c r="S1180" s="44"/>
    </row>
    <row r="1181" spans="1:19" x14ac:dyDescent="0.3">
      <c r="A1181" s="44" t="s">
        <v>2408</v>
      </c>
      <c r="B1181" s="44" t="s">
        <v>86</v>
      </c>
      <c r="C1181" s="44" t="s">
        <v>28</v>
      </c>
      <c r="D1181" s="44" t="s">
        <v>420</v>
      </c>
      <c r="E1181" s="44" t="s">
        <v>1478</v>
      </c>
      <c r="F1181" s="44" t="s">
        <v>2407</v>
      </c>
      <c r="G1181" s="44" t="s">
        <v>2043</v>
      </c>
      <c r="H1181" s="44" t="s">
        <v>1124</v>
      </c>
      <c r="I1181" s="44" t="s">
        <v>1106</v>
      </c>
      <c r="J1181" s="44">
        <v>157</v>
      </c>
      <c r="K1181" s="44" t="s">
        <v>2227</v>
      </c>
      <c r="L1181" s="44"/>
      <c r="M1181" s="44" t="s">
        <v>2033</v>
      </c>
      <c r="N1181" s="45">
        <v>6029545</v>
      </c>
      <c r="O1181" s="46">
        <f t="shared" si="37"/>
        <v>6029.5450000000001</v>
      </c>
      <c r="P1181" s="47">
        <f>DGKC!G117</f>
        <v>6029.5450000000001</v>
      </c>
      <c r="Q1181" s="44" t="str">
        <f t="shared" si="38"/>
        <v>PASS</v>
      </c>
      <c r="R1181" s="44" t="s">
        <v>1587</v>
      </c>
      <c r="S1181" s="44"/>
    </row>
    <row r="1182" spans="1:19" x14ac:dyDescent="0.3">
      <c r="A1182" s="44" t="s">
        <v>2409</v>
      </c>
      <c r="B1182" s="44" t="s">
        <v>86</v>
      </c>
      <c r="C1182" s="44" t="s">
        <v>29</v>
      </c>
      <c r="D1182" s="44" t="s">
        <v>420</v>
      </c>
      <c r="E1182" s="44" t="s">
        <v>1478</v>
      </c>
      <c r="F1182" s="44" t="s">
        <v>2407</v>
      </c>
      <c r="G1182" s="44" t="s">
        <v>2043</v>
      </c>
      <c r="H1182" s="44" t="s">
        <v>1124</v>
      </c>
      <c r="I1182" s="44" t="s">
        <v>1127</v>
      </c>
      <c r="J1182" s="44">
        <v>157</v>
      </c>
      <c r="K1182" s="44" t="s">
        <v>2227</v>
      </c>
      <c r="L1182" s="44"/>
      <c r="M1182" s="44" t="s">
        <v>2033</v>
      </c>
      <c r="N1182" s="45">
        <v>10034132</v>
      </c>
      <c r="O1182" s="46">
        <f t="shared" si="37"/>
        <v>10034.132</v>
      </c>
      <c r="P1182" s="47">
        <f>DGKC!H117</f>
        <v>10034.132</v>
      </c>
      <c r="Q1182" s="44" t="str">
        <f t="shared" si="38"/>
        <v>PASS</v>
      </c>
      <c r="R1182" s="44" t="s">
        <v>1587</v>
      </c>
      <c r="S1182" s="44"/>
    </row>
    <row r="1183" spans="1:19" x14ac:dyDescent="0.3">
      <c r="A1183" s="44" t="s">
        <v>2410</v>
      </c>
      <c r="B1183" s="44" t="s">
        <v>86</v>
      </c>
      <c r="C1183" s="44" t="s">
        <v>20</v>
      </c>
      <c r="D1183" s="44" t="s">
        <v>422</v>
      </c>
      <c r="E1183" s="44" t="s">
        <v>1478</v>
      </c>
      <c r="F1183" s="44" t="s">
        <v>1499</v>
      </c>
      <c r="G1183" s="44" t="s">
        <v>2035</v>
      </c>
      <c r="H1183" s="44" t="s">
        <v>1113</v>
      </c>
      <c r="I1183" s="44" t="s">
        <v>1106</v>
      </c>
      <c r="J1183" s="44">
        <v>129</v>
      </c>
      <c r="K1183" s="44" t="s">
        <v>2397</v>
      </c>
      <c r="L1183" s="44"/>
      <c r="M1183" s="44" t="s">
        <v>2033</v>
      </c>
      <c r="N1183" s="45">
        <v>-3125381</v>
      </c>
      <c r="O1183" s="46">
        <f t="shared" si="37"/>
        <v>-3125.3809999999999</v>
      </c>
      <c r="P1183" s="47">
        <f>DGKC!D118</f>
        <v>-3125.3809999999999</v>
      </c>
      <c r="Q1183" s="44" t="str">
        <f t="shared" si="38"/>
        <v>PASS</v>
      </c>
      <c r="R1183" s="44" t="s">
        <v>1587</v>
      </c>
      <c r="S1183" s="44"/>
    </row>
    <row r="1184" spans="1:19" x14ac:dyDescent="0.3">
      <c r="A1184" s="44" t="s">
        <v>2411</v>
      </c>
      <c r="B1184" s="44" t="s">
        <v>86</v>
      </c>
      <c r="C1184" s="44" t="s">
        <v>26</v>
      </c>
      <c r="D1184" s="44" t="s">
        <v>422</v>
      </c>
      <c r="E1184" s="44" t="s">
        <v>1478</v>
      </c>
      <c r="F1184" s="44" t="s">
        <v>1499</v>
      </c>
      <c r="G1184" s="44" t="s">
        <v>2038</v>
      </c>
      <c r="H1184" s="44" t="s">
        <v>1117</v>
      </c>
      <c r="I1184" s="44" t="s">
        <v>1106</v>
      </c>
      <c r="J1184" s="44">
        <v>155</v>
      </c>
      <c r="K1184" s="44" t="s">
        <v>2195</v>
      </c>
      <c r="L1184" s="44"/>
      <c r="M1184" s="44" t="s">
        <v>2033</v>
      </c>
      <c r="N1184" s="45">
        <v>-3195727</v>
      </c>
      <c r="O1184" s="46">
        <f t="shared" si="37"/>
        <v>-3195.7269999999999</v>
      </c>
      <c r="P1184" s="47">
        <f>DGKC!E118</f>
        <v>-3195.7269999999999</v>
      </c>
      <c r="Q1184" s="44" t="str">
        <f t="shared" si="38"/>
        <v>PASS</v>
      </c>
      <c r="R1184" s="44" t="s">
        <v>1587</v>
      </c>
      <c r="S1184" s="44"/>
    </row>
    <row r="1185" spans="1:19" x14ac:dyDescent="0.3">
      <c r="A1185" s="44" t="s">
        <v>2412</v>
      </c>
      <c r="B1185" s="44" t="s">
        <v>86</v>
      </c>
      <c r="C1185" s="44" t="s">
        <v>27</v>
      </c>
      <c r="D1185" s="44" t="s">
        <v>422</v>
      </c>
      <c r="E1185" s="44" t="s">
        <v>1478</v>
      </c>
      <c r="F1185" s="44" t="s">
        <v>1499</v>
      </c>
      <c r="G1185" s="44" t="s">
        <v>2041</v>
      </c>
      <c r="H1185" s="44" t="s">
        <v>1120</v>
      </c>
      <c r="I1185" s="44" t="s">
        <v>1106</v>
      </c>
      <c r="J1185" s="44">
        <v>155</v>
      </c>
      <c r="K1185" s="44" t="s">
        <v>2195</v>
      </c>
      <c r="L1185" s="44"/>
      <c r="M1185" s="44" t="s">
        <v>2033</v>
      </c>
      <c r="N1185" s="45">
        <v>-5998599</v>
      </c>
      <c r="O1185" s="46">
        <f t="shared" si="37"/>
        <v>-5998.5990000000002</v>
      </c>
      <c r="P1185" s="47">
        <f>DGKC!F118</f>
        <v>-5998.5990000000002</v>
      </c>
      <c r="Q1185" s="44" t="str">
        <f t="shared" si="38"/>
        <v>PASS</v>
      </c>
      <c r="R1185" s="44" t="s">
        <v>1587</v>
      </c>
      <c r="S1185" s="44"/>
    </row>
    <row r="1186" spans="1:19" x14ac:dyDescent="0.3">
      <c r="A1186" s="44" t="s">
        <v>2413</v>
      </c>
      <c r="B1186" s="44" t="s">
        <v>86</v>
      </c>
      <c r="C1186" s="44" t="s">
        <v>28</v>
      </c>
      <c r="D1186" s="44" t="s">
        <v>422</v>
      </c>
      <c r="E1186" s="44" t="s">
        <v>1478</v>
      </c>
      <c r="F1186" s="44" t="s">
        <v>1499</v>
      </c>
      <c r="G1186" s="44" t="s">
        <v>2043</v>
      </c>
      <c r="H1186" s="44" t="s">
        <v>1124</v>
      </c>
      <c r="I1186" s="44" t="s">
        <v>1106</v>
      </c>
      <c r="J1186" s="44">
        <v>157</v>
      </c>
      <c r="K1186" s="44" t="s">
        <v>2227</v>
      </c>
      <c r="L1186" s="44"/>
      <c r="M1186" s="44" t="s">
        <v>2033</v>
      </c>
      <c r="N1186" s="45">
        <v>-8460206</v>
      </c>
      <c r="O1186" s="46">
        <f t="shared" si="37"/>
        <v>-8460.2060000000001</v>
      </c>
      <c r="P1186" s="47">
        <f>DGKC!G118</f>
        <v>-8460.2060000000001</v>
      </c>
      <c r="Q1186" s="44" t="str">
        <f t="shared" si="38"/>
        <v>PASS</v>
      </c>
      <c r="R1186" s="44" t="s">
        <v>1587</v>
      </c>
      <c r="S1186" s="44"/>
    </row>
    <row r="1187" spans="1:19" x14ac:dyDescent="0.3">
      <c r="A1187" s="44" t="s">
        <v>2414</v>
      </c>
      <c r="B1187" s="44" t="s">
        <v>86</v>
      </c>
      <c r="C1187" s="44" t="s">
        <v>29</v>
      </c>
      <c r="D1187" s="44" t="s">
        <v>422</v>
      </c>
      <c r="E1187" s="44" t="s">
        <v>1478</v>
      </c>
      <c r="F1187" s="44" t="s">
        <v>1499</v>
      </c>
      <c r="G1187" s="44" t="s">
        <v>2043</v>
      </c>
      <c r="H1187" s="44" t="s">
        <v>1124</v>
      </c>
      <c r="I1187" s="44" t="s">
        <v>1127</v>
      </c>
      <c r="J1187" s="44">
        <v>157</v>
      </c>
      <c r="K1187" s="44" t="s">
        <v>2227</v>
      </c>
      <c r="L1187" s="44"/>
      <c r="M1187" s="44" t="s">
        <v>2033</v>
      </c>
      <c r="N1187" s="45">
        <v>-4921199</v>
      </c>
      <c r="O1187" s="46">
        <f t="shared" si="37"/>
        <v>-4921.1989999999996</v>
      </c>
      <c r="P1187" s="47">
        <f>DGKC!H118</f>
        <v>-4921.1989999999996</v>
      </c>
      <c r="Q1187" s="44" t="str">
        <f t="shared" si="38"/>
        <v>PASS</v>
      </c>
      <c r="R1187" s="44" t="s">
        <v>1587</v>
      </c>
      <c r="S1187" s="44"/>
    </row>
    <row r="1188" spans="1:19" x14ac:dyDescent="0.3">
      <c r="A1188" s="44" t="s">
        <v>2415</v>
      </c>
      <c r="B1188" s="44" t="s">
        <v>86</v>
      </c>
      <c r="C1188" s="44" t="s">
        <v>20</v>
      </c>
      <c r="D1188" s="44" t="s">
        <v>424</v>
      </c>
      <c r="E1188" s="44" t="s">
        <v>1478</v>
      </c>
      <c r="F1188" s="44" t="s">
        <v>1505</v>
      </c>
      <c r="G1188" s="44" t="s">
        <v>2035</v>
      </c>
      <c r="H1188" s="44" t="s">
        <v>1113</v>
      </c>
      <c r="I1188" s="44" t="s">
        <v>1106</v>
      </c>
      <c r="J1188" s="44">
        <v>129</v>
      </c>
      <c r="K1188" s="44" t="s">
        <v>2397</v>
      </c>
      <c r="L1188" s="44"/>
      <c r="M1188" s="44" t="s">
        <v>427</v>
      </c>
      <c r="N1188" s="44" t="s">
        <v>426</v>
      </c>
      <c r="O1188" s="44" t="str">
        <f>N1188</f>
        <v>Operating</v>
      </c>
      <c r="P1188" s="44" t="str">
        <f>DGKC!D119</f>
        <v>Operating</v>
      </c>
      <c r="Q1188" s="44" t="str">
        <f>IF(O1188=P1188,"PASS","FAIL")</f>
        <v>PASS</v>
      </c>
      <c r="R1188" s="44" t="s">
        <v>1587</v>
      </c>
      <c r="S1188" s="44"/>
    </row>
    <row r="1189" spans="1:19" x14ac:dyDescent="0.3">
      <c r="A1189" s="44" t="s">
        <v>2416</v>
      </c>
      <c r="B1189" s="44" t="s">
        <v>86</v>
      </c>
      <c r="C1189" s="44" t="s">
        <v>26</v>
      </c>
      <c r="D1189" s="44" t="s">
        <v>424</v>
      </c>
      <c r="E1189" s="44" t="s">
        <v>1478</v>
      </c>
      <c r="F1189" s="44" t="s">
        <v>1505</v>
      </c>
      <c r="G1189" s="44" t="s">
        <v>2038</v>
      </c>
      <c r="H1189" s="44" t="s">
        <v>1117</v>
      </c>
      <c r="I1189" s="44" t="s">
        <v>1106</v>
      </c>
      <c r="J1189" s="44">
        <v>155</v>
      </c>
      <c r="K1189" s="44" t="s">
        <v>2195</v>
      </c>
      <c r="L1189" s="44"/>
      <c r="M1189" s="44" t="s">
        <v>427</v>
      </c>
      <c r="N1189" s="44" t="s">
        <v>426</v>
      </c>
      <c r="O1189" s="44" t="str">
        <f>N1189</f>
        <v>Operating</v>
      </c>
      <c r="P1189" s="44" t="str">
        <f>DGKC!E119</f>
        <v>Operating</v>
      </c>
      <c r="Q1189" s="44" t="str">
        <f>IF(O1189=P1189,"PASS","FAIL")</f>
        <v>PASS</v>
      </c>
      <c r="R1189" s="44" t="s">
        <v>1587</v>
      </c>
      <c r="S1189" s="44"/>
    </row>
    <row r="1190" spans="1:19" x14ac:dyDescent="0.3">
      <c r="A1190" s="44" t="s">
        <v>2417</v>
      </c>
      <c r="B1190" s="44" t="s">
        <v>86</v>
      </c>
      <c r="C1190" s="44" t="s">
        <v>27</v>
      </c>
      <c r="D1190" s="44" t="s">
        <v>424</v>
      </c>
      <c r="E1190" s="44" t="s">
        <v>1478</v>
      </c>
      <c r="F1190" s="44" t="s">
        <v>1505</v>
      </c>
      <c r="G1190" s="44" t="s">
        <v>2041</v>
      </c>
      <c r="H1190" s="44" t="s">
        <v>1120</v>
      </c>
      <c r="I1190" s="44" t="s">
        <v>1106</v>
      </c>
      <c r="J1190" s="44">
        <v>155</v>
      </c>
      <c r="K1190" s="44" t="s">
        <v>2195</v>
      </c>
      <c r="L1190" s="44"/>
      <c r="M1190" s="44" t="s">
        <v>427</v>
      </c>
      <c r="N1190" s="44" t="s">
        <v>426</v>
      </c>
      <c r="O1190" s="44" t="str">
        <f>N1190</f>
        <v>Operating</v>
      </c>
      <c r="P1190" s="44" t="str">
        <f>DGKC!F119</f>
        <v>Operating</v>
      </c>
      <c r="Q1190" s="44" t="str">
        <f>IF(O1190=P1190,"PASS","FAIL")</f>
        <v>PASS</v>
      </c>
      <c r="R1190" s="44" t="s">
        <v>1587</v>
      </c>
      <c r="S1190" s="44"/>
    </row>
    <row r="1191" spans="1:19" x14ac:dyDescent="0.3">
      <c r="A1191" s="44" t="s">
        <v>2418</v>
      </c>
      <c r="B1191" s="44" t="s">
        <v>86</v>
      </c>
      <c r="C1191" s="44" t="s">
        <v>28</v>
      </c>
      <c r="D1191" s="44" t="s">
        <v>424</v>
      </c>
      <c r="E1191" s="44" t="s">
        <v>1478</v>
      </c>
      <c r="F1191" s="44" t="s">
        <v>1505</v>
      </c>
      <c r="G1191" s="44" t="s">
        <v>2043</v>
      </c>
      <c r="H1191" s="44" t="s">
        <v>1124</v>
      </c>
      <c r="I1191" s="44" t="s">
        <v>1106</v>
      </c>
      <c r="J1191" s="44">
        <v>157</v>
      </c>
      <c r="K1191" s="44" t="s">
        <v>2227</v>
      </c>
      <c r="L1191" s="44"/>
      <c r="M1191" s="44" t="s">
        <v>427</v>
      </c>
      <c r="N1191" s="44" t="s">
        <v>426</v>
      </c>
      <c r="O1191" s="44" t="str">
        <f>N1191</f>
        <v>Operating</v>
      </c>
      <c r="P1191" s="44" t="str">
        <f>DGKC!G119</f>
        <v>Operating</v>
      </c>
      <c r="Q1191" s="44" t="str">
        <f>IF(O1191=P1191,"PASS","FAIL")</f>
        <v>PASS</v>
      </c>
      <c r="R1191" s="44" t="s">
        <v>1587</v>
      </c>
      <c r="S1191" s="44"/>
    </row>
    <row r="1192" spans="1:19" x14ac:dyDescent="0.3">
      <c r="A1192" s="44" t="s">
        <v>2419</v>
      </c>
      <c r="B1192" s="44" t="s">
        <v>86</v>
      </c>
      <c r="C1192" s="44" t="s">
        <v>29</v>
      </c>
      <c r="D1192" s="44" t="s">
        <v>424</v>
      </c>
      <c r="E1192" s="44" t="s">
        <v>1478</v>
      </c>
      <c r="F1192" s="44" t="s">
        <v>1505</v>
      </c>
      <c r="G1192" s="44" t="s">
        <v>2043</v>
      </c>
      <c r="H1192" s="44" t="s">
        <v>1124</v>
      </c>
      <c r="I1192" s="44" t="s">
        <v>1127</v>
      </c>
      <c r="J1192" s="44">
        <v>157</v>
      </c>
      <c r="K1192" s="44" t="s">
        <v>2227</v>
      </c>
      <c r="L1192" s="44"/>
      <c r="M1192" s="44" t="s">
        <v>427</v>
      </c>
      <c r="N1192" s="44" t="s">
        <v>426</v>
      </c>
      <c r="O1192" s="44" t="str">
        <f>N1192</f>
        <v>Operating</v>
      </c>
      <c r="P1192" s="44" t="str">
        <f>DGKC!H119</f>
        <v>Operating</v>
      </c>
      <c r="Q1192" s="44" t="str">
        <f>IF(O1192=P1192,"PASS","FAIL")</f>
        <v>PASS</v>
      </c>
      <c r="R1192" s="44" t="s">
        <v>1587</v>
      </c>
      <c r="S1192" s="44"/>
    </row>
    <row r="1193" spans="1:19" x14ac:dyDescent="0.3">
      <c r="A1193" s="44" t="s">
        <v>2420</v>
      </c>
      <c r="B1193" s="44" t="s">
        <v>86</v>
      </c>
      <c r="C1193" s="44" t="s">
        <v>20</v>
      </c>
      <c r="D1193" s="44" t="s">
        <v>430</v>
      </c>
      <c r="E1193" s="44" t="s">
        <v>1478</v>
      </c>
      <c r="F1193" s="44" t="s">
        <v>2421</v>
      </c>
      <c r="G1193" s="44" t="s">
        <v>2035</v>
      </c>
      <c r="H1193" s="44" t="s">
        <v>1113</v>
      </c>
      <c r="I1193" s="44" t="s">
        <v>1106</v>
      </c>
      <c r="J1193" s="44">
        <v>129</v>
      </c>
      <c r="K1193" s="44" t="s">
        <v>2397</v>
      </c>
      <c r="L1193" s="44"/>
      <c r="M1193" s="44" t="s">
        <v>2033</v>
      </c>
      <c r="N1193" s="45">
        <v>-5087104</v>
      </c>
      <c r="O1193" s="46">
        <f t="shared" ref="O1193:O1212" si="39">N1193/1000</f>
        <v>-5087.1040000000003</v>
      </c>
      <c r="P1193" s="47">
        <f>DGKC!D121</f>
        <v>-5087.1040000000003</v>
      </c>
      <c r="Q1193" s="44" t="str">
        <f t="shared" ref="Q1193:Q1256" si="40">IF(ABS(O1193-P1193)&lt;0.000001,"PASS","FAIL")</f>
        <v>PASS</v>
      </c>
      <c r="R1193" s="44" t="s">
        <v>1587</v>
      </c>
      <c r="S1193" s="44"/>
    </row>
    <row r="1194" spans="1:19" x14ac:dyDescent="0.3">
      <c r="A1194" s="44" t="s">
        <v>2422</v>
      </c>
      <c r="B1194" s="44" t="s">
        <v>86</v>
      </c>
      <c r="C1194" s="44" t="s">
        <v>26</v>
      </c>
      <c r="D1194" s="44" t="s">
        <v>430</v>
      </c>
      <c r="E1194" s="44" t="s">
        <v>1478</v>
      </c>
      <c r="F1194" s="44" t="s">
        <v>2421</v>
      </c>
      <c r="G1194" s="44" t="s">
        <v>2038</v>
      </c>
      <c r="H1194" s="44" t="s">
        <v>1117</v>
      </c>
      <c r="I1194" s="44" t="s">
        <v>1106</v>
      </c>
      <c r="J1194" s="44">
        <v>155</v>
      </c>
      <c r="K1194" s="44" t="s">
        <v>2195</v>
      </c>
      <c r="L1194" s="44"/>
      <c r="M1194" s="44" t="s">
        <v>2033</v>
      </c>
      <c r="N1194" s="45">
        <v>-1739551</v>
      </c>
      <c r="O1194" s="46">
        <f t="shared" si="39"/>
        <v>-1739.5509999999999</v>
      </c>
      <c r="P1194" s="47">
        <f>DGKC!E121</f>
        <v>-1739.5509999999999</v>
      </c>
      <c r="Q1194" s="44" t="str">
        <f t="shared" si="40"/>
        <v>PASS</v>
      </c>
      <c r="R1194" s="44" t="s">
        <v>1587</v>
      </c>
      <c r="S1194" s="44"/>
    </row>
    <row r="1195" spans="1:19" x14ac:dyDescent="0.3">
      <c r="A1195" s="44" t="s">
        <v>2423</v>
      </c>
      <c r="B1195" s="44" t="s">
        <v>86</v>
      </c>
      <c r="C1195" s="44" t="s">
        <v>27</v>
      </c>
      <c r="D1195" s="44" t="s">
        <v>430</v>
      </c>
      <c r="E1195" s="44" t="s">
        <v>1478</v>
      </c>
      <c r="F1195" s="44" t="s">
        <v>2421</v>
      </c>
      <c r="G1195" s="44" t="s">
        <v>2041</v>
      </c>
      <c r="H1195" s="44" t="s">
        <v>1120</v>
      </c>
      <c r="I1195" s="44" t="s">
        <v>1106</v>
      </c>
      <c r="J1195" s="44">
        <v>155</v>
      </c>
      <c r="K1195" s="44" t="s">
        <v>2195</v>
      </c>
      <c r="L1195" s="44"/>
      <c r="M1195" s="44" t="s">
        <v>2033</v>
      </c>
      <c r="N1195" s="45">
        <v>-3418069</v>
      </c>
      <c r="O1195" s="46">
        <f t="shared" si="39"/>
        <v>-3418.069</v>
      </c>
      <c r="P1195" s="47">
        <f>DGKC!F121</f>
        <v>-3418.069</v>
      </c>
      <c r="Q1195" s="44" t="str">
        <f t="shared" si="40"/>
        <v>PASS</v>
      </c>
      <c r="R1195" s="44" t="s">
        <v>1587</v>
      </c>
      <c r="S1195" s="44"/>
    </row>
    <row r="1196" spans="1:19" x14ac:dyDescent="0.3">
      <c r="A1196" s="44" t="s">
        <v>2424</v>
      </c>
      <c r="B1196" s="44" t="s">
        <v>86</v>
      </c>
      <c r="C1196" s="44" t="s">
        <v>28</v>
      </c>
      <c r="D1196" s="44" t="s">
        <v>430</v>
      </c>
      <c r="E1196" s="44" t="s">
        <v>1478</v>
      </c>
      <c r="F1196" s="44" t="s">
        <v>2421</v>
      </c>
      <c r="G1196" s="44" t="s">
        <v>2043</v>
      </c>
      <c r="H1196" s="44" t="s">
        <v>1124</v>
      </c>
      <c r="I1196" s="44" t="s">
        <v>1106</v>
      </c>
      <c r="J1196" s="44">
        <v>157</v>
      </c>
      <c r="K1196" s="44" t="s">
        <v>2227</v>
      </c>
      <c r="L1196" s="44"/>
      <c r="M1196" s="44" t="s">
        <v>2033</v>
      </c>
      <c r="N1196" s="45">
        <v>-1620798</v>
      </c>
      <c r="O1196" s="46">
        <f t="shared" si="39"/>
        <v>-1620.798</v>
      </c>
      <c r="P1196" s="47">
        <f>DGKC!G121</f>
        <v>-1620.798</v>
      </c>
      <c r="Q1196" s="44" t="str">
        <f t="shared" si="40"/>
        <v>PASS</v>
      </c>
      <c r="R1196" s="44" t="s">
        <v>1587</v>
      </c>
      <c r="S1196" s="44"/>
    </row>
    <row r="1197" spans="1:19" x14ac:dyDescent="0.3">
      <c r="A1197" s="44" t="s">
        <v>2425</v>
      </c>
      <c r="B1197" s="44" t="s">
        <v>86</v>
      </c>
      <c r="C1197" s="44" t="s">
        <v>29</v>
      </c>
      <c r="D1197" s="44" t="s">
        <v>430</v>
      </c>
      <c r="E1197" s="44" t="s">
        <v>1478</v>
      </c>
      <c r="F1197" s="44" t="s">
        <v>2421</v>
      </c>
      <c r="G1197" s="44" t="s">
        <v>2043</v>
      </c>
      <c r="H1197" s="44" t="s">
        <v>1124</v>
      </c>
      <c r="I1197" s="44" t="s">
        <v>1127</v>
      </c>
      <c r="J1197" s="44">
        <v>157</v>
      </c>
      <c r="K1197" s="44" t="s">
        <v>2227</v>
      </c>
      <c r="L1197" s="44"/>
      <c r="M1197" s="44" t="s">
        <v>2033</v>
      </c>
      <c r="N1197" s="45">
        <v>-1211491</v>
      </c>
      <c r="O1197" s="46">
        <f t="shared" si="39"/>
        <v>-1211.491</v>
      </c>
      <c r="P1197" s="47">
        <f>DGKC!H121</f>
        <v>-1211.491</v>
      </c>
      <c r="Q1197" s="44" t="str">
        <f t="shared" si="40"/>
        <v>PASS</v>
      </c>
      <c r="R1197" s="44" t="s">
        <v>1587</v>
      </c>
      <c r="S1197" s="44"/>
    </row>
    <row r="1198" spans="1:19" x14ac:dyDescent="0.3">
      <c r="A1198" s="44" t="s">
        <v>2426</v>
      </c>
      <c r="B1198" s="44" t="s">
        <v>86</v>
      </c>
      <c r="C1198" s="44" t="s">
        <v>20</v>
      </c>
      <c r="D1198" s="44" t="s">
        <v>432</v>
      </c>
      <c r="E1198" s="44" t="s">
        <v>1478</v>
      </c>
      <c r="F1198" s="44" t="s">
        <v>2427</v>
      </c>
      <c r="G1198" s="44" t="s">
        <v>2035</v>
      </c>
      <c r="H1198" s="44" t="s">
        <v>1113</v>
      </c>
      <c r="I1198" s="44" t="s">
        <v>1106</v>
      </c>
      <c r="J1198" s="44">
        <v>129</v>
      </c>
      <c r="K1198" s="44" t="s">
        <v>2397</v>
      </c>
      <c r="L1198" s="44"/>
      <c r="M1198" s="44" t="s">
        <v>2033</v>
      </c>
      <c r="N1198" s="45">
        <v>-2962160</v>
      </c>
      <c r="O1198" s="46">
        <f t="shared" si="39"/>
        <v>-2962.16</v>
      </c>
      <c r="P1198" s="47">
        <f>DGKC!D122</f>
        <v>-2962.16</v>
      </c>
      <c r="Q1198" s="44" t="str">
        <f t="shared" si="40"/>
        <v>PASS</v>
      </c>
      <c r="R1198" s="44" t="s">
        <v>1587</v>
      </c>
      <c r="S1198" s="44"/>
    </row>
    <row r="1199" spans="1:19" x14ac:dyDescent="0.3">
      <c r="A1199" s="44" t="s">
        <v>2428</v>
      </c>
      <c r="B1199" s="44" t="s">
        <v>86</v>
      </c>
      <c r="C1199" s="44" t="s">
        <v>26</v>
      </c>
      <c r="D1199" s="44" t="s">
        <v>432</v>
      </c>
      <c r="E1199" s="44" t="s">
        <v>1478</v>
      </c>
      <c r="F1199" s="44" t="s">
        <v>2429</v>
      </c>
      <c r="G1199" s="44" t="s">
        <v>2038</v>
      </c>
      <c r="H1199" s="44" t="s">
        <v>1117</v>
      </c>
      <c r="I1199" s="44" t="s">
        <v>1106</v>
      </c>
      <c r="J1199" s="44">
        <v>155</v>
      </c>
      <c r="K1199" s="44" t="s">
        <v>2195</v>
      </c>
      <c r="L1199" s="44"/>
      <c r="M1199" s="44" t="s">
        <v>2033</v>
      </c>
      <c r="N1199" s="45">
        <v>1461646</v>
      </c>
      <c r="O1199" s="46">
        <f t="shared" si="39"/>
        <v>1461.646</v>
      </c>
      <c r="P1199" s="47">
        <f>DGKC!E122</f>
        <v>1461.646</v>
      </c>
      <c r="Q1199" s="44" t="str">
        <f t="shared" si="40"/>
        <v>PASS</v>
      </c>
      <c r="R1199" s="44" t="s">
        <v>1587</v>
      </c>
      <c r="S1199" s="44"/>
    </row>
    <row r="1200" spans="1:19" x14ac:dyDescent="0.3">
      <c r="A1200" s="44" t="s">
        <v>2430</v>
      </c>
      <c r="B1200" s="44" t="s">
        <v>86</v>
      </c>
      <c r="C1200" s="44" t="s">
        <v>27</v>
      </c>
      <c r="D1200" s="44" t="s">
        <v>432</v>
      </c>
      <c r="E1200" s="44" t="s">
        <v>1478</v>
      </c>
      <c r="F1200" s="44" t="s">
        <v>2431</v>
      </c>
      <c r="G1200" s="44" t="s">
        <v>2041</v>
      </c>
      <c r="H1200" s="44" t="s">
        <v>1120</v>
      </c>
      <c r="I1200" s="44" t="s">
        <v>1106</v>
      </c>
      <c r="J1200" s="44">
        <v>155</v>
      </c>
      <c r="K1200" s="44" t="s">
        <v>2195</v>
      </c>
      <c r="L1200" s="44"/>
      <c r="M1200" s="44" t="s">
        <v>2033</v>
      </c>
      <c r="N1200" s="45">
        <v>-1747152</v>
      </c>
      <c r="O1200" s="46">
        <f t="shared" si="39"/>
        <v>-1747.152</v>
      </c>
      <c r="P1200" s="47">
        <f>DGKC!F122</f>
        <v>-1747.152</v>
      </c>
      <c r="Q1200" s="44" t="str">
        <f t="shared" si="40"/>
        <v>PASS</v>
      </c>
      <c r="R1200" s="44" t="s">
        <v>1587</v>
      </c>
      <c r="S1200" s="44"/>
    </row>
    <row r="1201" spans="1:19" x14ac:dyDescent="0.3">
      <c r="A1201" s="44" t="s">
        <v>2432</v>
      </c>
      <c r="B1201" s="44" t="s">
        <v>86</v>
      </c>
      <c r="C1201" s="44" t="s">
        <v>28</v>
      </c>
      <c r="D1201" s="44" t="s">
        <v>432</v>
      </c>
      <c r="E1201" s="44" t="s">
        <v>1478</v>
      </c>
      <c r="F1201" s="44" t="s">
        <v>2433</v>
      </c>
      <c r="G1201" s="44" t="s">
        <v>2043</v>
      </c>
      <c r="H1201" s="44" t="s">
        <v>1124</v>
      </c>
      <c r="I1201" s="44" t="s">
        <v>1106</v>
      </c>
      <c r="J1201" s="44">
        <v>157</v>
      </c>
      <c r="K1201" s="44" t="s">
        <v>2227</v>
      </c>
      <c r="L1201" s="44"/>
      <c r="M1201" s="44" t="s">
        <v>2033</v>
      </c>
      <c r="N1201" s="45">
        <v>2277223</v>
      </c>
      <c r="O1201" s="46">
        <f t="shared" si="39"/>
        <v>2277.223</v>
      </c>
      <c r="P1201" s="47">
        <f>DGKC!G122</f>
        <v>2277.223</v>
      </c>
      <c r="Q1201" s="44" t="str">
        <f t="shared" si="40"/>
        <v>PASS</v>
      </c>
      <c r="R1201" s="44" t="s">
        <v>1587</v>
      </c>
      <c r="S1201" s="44"/>
    </row>
    <row r="1202" spans="1:19" x14ac:dyDescent="0.3">
      <c r="A1202" s="44" t="s">
        <v>2434</v>
      </c>
      <c r="B1202" s="44" t="s">
        <v>86</v>
      </c>
      <c r="C1202" s="44" t="s">
        <v>29</v>
      </c>
      <c r="D1202" s="44" t="s">
        <v>432</v>
      </c>
      <c r="E1202" s="44" t="s">
        <v>1478</v>
      </c>
      <c r="F1202" s="44" t="s">
        <v>2433</v>
      </c>
      <c r="G1202" s="44" t="s">
        <v>2043</v>
      </c>
      <c r="H1202" s="44" t="s">
        <v>1124</v>
      </c>
      <c r="I1202" s="44" t="s">
        <v>1127</v>
      </c>
      <c r="J1202" s="44">
        <v>157</v>
      </c>
      <c r="K1202" s="44" t="s">
        <v>2227</v>
      </c>
      <c r="L1202" s="44"/>
      <c r="M1202" s="44" t="s">
        <v>2033</v>
      </c>
      <c r="N1202" s="45">
        <v>3000535</v>
      </c>
      <c r="O1202" s="46">
        <f t="shared" si="39"/>
        <v>3000.5349999999999</v>
      </c>
      <c r="P1202" s="47">
        <f>DGKC!H122</f>
        <v>3000.5349999999999</v>
      </c>
      <c r="Q1202" s="44" t="str">
        <f t="shared" si="40"/>
        <v>PASS</v>
      </c>
      <c r="R1202" s="44" t="s">
        <v>1587</v>
      </c>
      <c r="S1202" s="44"/>
    </row>
    <row r="1203" spans="1:19" x14ac:dyDescent="0.3">
      <c r="A1203" s="44" t="s">
        <v>2435</v>
      </c>
      <c r="B1203" s="44" t="s">
        <v>86</v>
      </c>
      <c r="C1203" s="44" t="s">
        <v>20</v>
      </c>
      <c r="D1203" s="44" t="s">
        <v>434</v>
      </c>
      <c r="E1203" s="44" t="s">
        <v>1478</v>
      </c>
      <c r="F1203" s="44" t="s">
        <v>2436</v>
      </c>
      <c r="G1203" s="44" t="s">
        <v>2035</v>
      </c>
      <c r="H1203" s="44" t="s">
        <v>1113</v>
      </c>
      <c r="I1203" s="44" t="s">
        <v>1106</v>
      </c>
      <c r="J1203" s="44">
        <v>129</v>
      </c>
      <c r="K1203" s="44" t="s">
        <v>2397</v>
      </c>
      <c r="L1203" s="44"/>
      <c r="M1203" s="44" t="s">
        <v>2033</v>
      </c>
      <c r="N1203" s="45">
        <v>2374853</v>
      </c>
      <c r="O1203" s="46">
        <f t="shared" si="39"/>
        <v>2374.8530000000001</v>
      </c>
      <c r="P1203" s="47">
        <f>DGKC!D123</f>
        <v>2374.8530000000001</v>
      </c>
      <c r="Q1203" s="44" t="str">
        <f t="shared" si="40"/>
        <v>PASS</v>
      </c>
      <c r="R1203" s="44" t="s">
        <v>1587</v>
      </c>
      <c r="S1203" s="44"/>
    </row>
    <row r="1204" spans="1:19" x14ac:dyDescent="0.3">
      <c r="A1204" s="44" t="s">
        <v>2437</v>
      </c>
      <c r="B1204" s="44" t="s">
        <v>86</v>
      </c>
      <c r="C1204" s="44" t="s">
        <v>26</v>
      </c>
      <c r="D1204" s="44" t="s">
        <v>434</v>
      </c>
      <c r="E1204" s="44" t="s">
        <v>1478</v>
      </c>
      <c r="F1204" s="44" t="s">
        <v>2438</v>
      </c>
      <c r="G1204" s="44" t="s">
        <v>2038</v>
      </c>
      <c r="H1204" s="44" t="s">
        <v>1117</v>
      </c>
      <c r="I1204" s="44" t="s">
        <v>1106</v>
      </c>
      <c r="J1204" s="44">
        <v>155</v>
      </c>
      <c r="K1204" s="44" t="s">
        <v>2195</v>
      </c>
      <c r="L1204" s="44"/>
      <c r="M1204" s="44" t="s">
        <v>2033</v>
      </c>
      <c r="N1204" s="45">
        <v>-4864956</v>
      </c>
      <c r="O1204" s="46">
        <f t="shared" si="39"/>
        <v>-4864.9560000000001</v>
      </c>
      <c r="P1204" s="47">
        <f>DGKC!E123</f>
        <v>-4864.9560000000001</v>
      </c>
      <c r="Q1204" s="44" t="str">
        <f t="shared" si="40"/>
        <v>PASS</v>
      </c>
      <c r="R1204" s="44" t="s">
        <v>1587</v>
      </c>
      <c r="S1204" s="44"/>
    </row>
    <row r="1205" spans="1:19" x14ac:dyDescent="0.3">
      <c r="A1205" s="44" t="s">
        <v>2439</v>
      </c>
      <c r="B1205" s="44" t="s">
        <v>86</v>
      </c>
      <c r="C1205" s="44" t="s">
        <v>27</v>
      </c>
      <c r="D1205" s="44" t="s">
        <v>434</v>
      </c>
      <c r="E1205" s="44" t="s">
        <v>1478</v>
      </c>
      <c r="F1205" s="44" t="s">
        <v>2440</v>
      </c>
      <c r="G1205" s="44" t="s">
        <v>2041</v>
      </c>
      <c r="H1205" s="44" t="s">
        <v>1120</v>
      </c>
      <c r="I1205" s="44" t="s">
        <v>1106</v>
      </c>
      <c r="J1205" s="44">
        <v>155</v>
      </c>
      <c r="K1205" s="44" t="s">
        <v>2195</v>
      </c>
      <c r="L1205" s="44"/>
      <c r="M1205" s="44" t="s">
        <v>2033</v>
      </c>
      <c r="N1205" s="45">
        <v>-4883569</v>
      </c>
      <c r="O1205" s="46">
        <f t="shared" si="39"/>
        <v>-4883.5690000000004</v>
      </c>
      <c r="P1205" s="47">
        <f>DGKC!F123</f>
        <v>-4883.5690000000004</v>
      </c>
      <c r="Q1205" s="44" t="str">
        <f t="shared" si="40"/>
        <v>PASS</v>
      </c>
      <c r="R1205" s="44" t="s">
        <v>1587</v>
      </c>
      <c r="S1205" s="44"/>
    </row>
    <row r="1206" spans="1:19" x14ac:dyDescent="0.3">
      <c r="A1206" s="44" t="s">
        <v>2441</v>
      </c>
      <c r="B1206" s="44" t="s">
        <v>86</v>
      </c>
      <c r="C1206" s="44" t="s">
        <v>28</v>
      </c>
      <c r="D1206" s="44" t="s">
        <v>434</v>
      </c>
      <c r="E1206" s="44" t="s">
        <v>1478</v>
      </c>
      <c r="F1206" s="44" t="s">
        <v>2442</v>
      </c>
      <c r="G1206" s="44" t="s">
        <v>2043</v>
      </c>
      <c r="H1206" s="44" t="s">
        <v>1124</v>
      </c>
      <c r="I1206" s="44" t="s">
        <v>1106</v>
      </c>
      <c r="J1206" s="44">
        <v>157</v>
      </c>
      <c r="K1206" s="44" t="s">
        <v>2227</v>
      </c>
      <c r="L1206" s="44"/>
      <c r="M1206" s="44" t="s">
        <v>2033</v>
      </c>
      <c r="N1206" s="45">
        <v>4051021</v>
      </c>
      <c r="O1206" s="46">
        <f t="shared" si="39"/>
        <v>4051.0210000000002</v>
      </c>
      <c r="P1206" s="47">
        <f>DGKC!G123</f>
        <v>4051.0210000000002</v>
      </c>
      <c r="Q1206" s="44" t="str">
        <f t="shared" si="40"/>
        <v>PASS</v>
      </c>
      <c r="R1206" s="44" t="s">
        <v>1587</v>
      </c>
      <c r="S1206" s="44"/>
    </row>
    <row r="1207" spans="1:19" x14ac:dyDescent="0.3">
      <c r="A1207" s="44" t="s">
        <v>2443</v>
      </c>
      <c r="B1207" s="44" t="s">
        <v>86</v>
      </c>
      <c r="C1207" s="44" t="s">
        <v>29</v>
      </c>
      <c r="D1207" s="44" t="s">
        <v>434</v>
      </c>
      <c r="E1207" s="44" t="s">
        <v>1478</v>
      </c>
      <c r="F1207" s="44" t="s">
        <v>2442</v>
      </c>
      <c r="G1207" s="44" t="s">
        <v>2043</v>
      </c>
      <c r="H1207" s="44" t="s">
        <v>1124</v>
      </c>
      <c r="I1207" s="44" t="s">
        <v>1127</v>
      </c>
      <c r="J1207" s="44">
        <v>157</v>
      </c>
      <c r="K1207" s="44" t="s">
        <v>2227</v>
      </c>
      <c r="L1207" s="44"/>
      <c r="M1207" s="44" t="s">
        <v>2033</v>
      </c>
      <c r="N1207" s="45">
        <v>-9357687</v>
      </c>
      <c r="O1207" s="46">
        <f t="shared" si="39"/>
        <v>-9357.6869999999999</v>
      </c>
      <c r="P1207" s="47">
        <f>DGKC!H123</f>
        <v>-9357.6869999999999</v>
      </c>
      <c r="Q1207" s="44" t="str">
        <f t="shared" si="40"/>
        <v>PASS</v>
      </c>
      <c r="R1207" s="44" t="s">
        <v>1587</v>
      </c>
      <c r="S1207" s="44"/>
    </row>
    <row r="1208" spans="1:19" x14ac:dyDescent="0.3">
      <c r="A1208" s="44" t="s">
        <v>2444</v>
      </c>
      <c r="B1208" s="44" t="s">
        <v>86</v>
      </c>
      <c r="C1208" s="44" t="s">
        <v>20</v>
      </c>
      <c r="D1208" s="44" t="s">
        <v>436</v>
      </c>
      <c r="E1208" s="44" t="s">
        <v>1478</v>
      </c>
      <c r="F1208" s="44" t="s">
        <v>1529</v>
      </c>
      <c r="G1208" s="44" t="s">
        <v>2035</v>
      </c>
      <c r="H1208" s="44" t="s">
        <v>1113</v>
      </c>
      <c r="I1208" s="44" t="s">
        <v>1106</v>
      </c>
      <c r="J1208" s="44">
        <v>129</v>
      </c>
      <c r="K1208" s="44" t="s">
        <v>2397</v>
      </c>
      <c r="L1208" s="44"/>
      <c r="M1208" s="44" t="s">
        <v>2033</v>
      </c>
      <c r="N1208" s="45">
        <v>-320</v>
      </c>
      <c r="O1208" s="46">
        <f t="shared" si="39"/>
        <v>-0.32</v>
      </c>
      <c r="P1208" s="47">
        <f>DGKC!D124</f>
        <v>-0.32</v>
      </c>
      <c r="Q1208" s="44" t="str">
        <f t="shared" si="40"/>
        <v>PASS</v>
      </c>
      <c r="R1208" s="44" t="s">
        <v>1587</v>
      </c>
      <c r="S1208" s="44"/>
    </row>
    <row r="1209" spans="1:19" x14ac:dyDescent="0.3">
      <c r="A1209" s="44" t="s">
        <v>2445</v>
      </c>
      <c r="B1209" s="44" t="s">
        <v>86</v>
      </c>
      <c r="C1209" s="44" t="s">
        <v>26</v>
      </c>
      <c r="D1209" s="44" t="s">
        <v>436</v>
      </c>
      <c r="E1209" s="44" t="s">
        <v>1478</v>
      </c>
      <c r="F1209" s="44" t="s">
        <v>1529</v>
      </c>
      <c r="G1209" s="44" t="s">
        <v>2038</v>
      </c>
      <c r="H1209" s="44" t="s">
        <v>1117</v>
      </c>
      <c r="I1209" s="44" t="s">
        <v>1106</v>
      </c>
      <c r="J1209" s="44">
        <v>155</v>
      </c>
      <c r="K1209" s="44" t="s">
        <v>2195</v>
      </c>
      <c r="L1209" s="44"/>
      <c r="M1209" s="44" t="s">
        <v>2033</v>
      </c>
      <c r="N1209" s="45">
        <v>-437124</v>
      </c>
      <c r="O1209" s="46">
        <f t="shared" si="39"/>
        <v>-437.12400000000002</v>
      </c>
      <c r="P1209" s="47">
        <f>DGKC!E124</f>
        <v>-437.12400000000002</v>
      </c>
      <c r="Q1209" s="44" t="str">
        <f t="shared" si="40"/>
        <v>PASS</v>
      </c>
      <c r="R1209" s="44" t="s">
        <v>1587</v>
      </c>
      <c r="S1209" s="44"/>
    </row>
    <row r="1210" spans="1:19" x14ac:dyDescent="0.3">
      <c r="A1210" s="44" t="s">
        <v>2446</v>
      </c>
      <c r="B1210" s="44" t="s">
        <v>86</v>
      </c>
      <c r="C1210" s="44" t="s">
        <v>27</v>
      </c>
      <c r="D1210" s="44" t="s">
        <v>436</v>
      </c>
      <c r="E1210" s="44" t="s">
        <v>1478</v>
      </c>
      <c r="F1210" s="44" t="s">
        <v>1529</v>
      </c>
      <c r="G1210" s="44" t="s">
        <v>2041</v>
      </c>
      <c r="H1210" s="44" t="s">
        <v>1120</v>
      </c>
      <c r="I1210" s="44" t="s">
        <v>1106</v>
      </c>
      <c r="J1210" s="44">
        <v>155</v>
      </c>
      <c r="K1210" s="44" t="s">
        <v>2195</v>
      </c>
      <c r="L1210" s="44"/>
      <c r="M1210" s="44" t="s">
        <v>2033</v>
      </c>
      <c r="N1210" s="45">
        <v>-437927</v>
      </c>
      <c r="O1210" s="46">
        <f t="shared" si="39"/>
        <v>-437.92700000000002</v>
      </c>
      <c r="P1210" s="47">
        <f>DGKC!F124</f>
        <v>-437.92700000000002</v>
      </c>
      <c r="Q1210" s="44" t="str">
        <f t="shared" si="40"/>
        <v>PASS</v>
      </c>
      <c r="R1210" s="44" t="s">
        <v>1587</v>
      </c>
      <c r="S1210" s="44"/>
    </row>
    <row r="1211" spans="1:19" x14ac:dyDescent="0.3">
      <c r="A1211" s="44" t="s">
        <v>2447</v>
      </c>
      <c r="B1211" s="44" t="s">
        <v>86</v>
      </c>
      <c r="C1211" s="44" t="s">
        <v>28</v>
      </c>
      <c r="D1211" s="44" t="s">
        <v>436</v>
      </c>
      <c r="E1211" s="44" t="s">
        <v>1478</v>
      </c>
      <c r="F1211" s="44" t="s">
        <v>1529</v>
      </c>
      <c r="G1211" s="44" t="s">
        <v>2043</v>
      </c>
      <c r="H1211" s="44" t="s">
        <v>1124</v>
      </c>
      <c r="I1211" s="44" t="s">
        <v>1106</v>
      </c>
      <c r="J1211" s="44">
        <v>157</v>
      </c>
      <c r="K1211" s="44" t="s">
        <v>2227</v>
      </c>
      <c r="L1211" s="44"/>
      <c r="M1211" s="44" t="s">
        <v>2033</v>
      </c>
      <c r="N1211" s="45">
        <v>-502</v>
      </c>
      <c r="O1211" s="46">
        <f t="shared" si="39"/>
        <v>-0.502</v>
      </c>
      <c r="P1211" s="47">
        <f>DGKC!G124</f>
        <v>-0.502</v>
      </c>
      <c r="Q1211" s="44" t="str">
        <f t="shared" si="40"/>
        <v>PASS</v>
      </c>
      <c r="R1211" s="44" t="s">
        <v>1587</v>
      </c>
      <c r="S1211" s="44"/>
    </row>
    <row r="1212" spans="1:19" x14ac:dyDescent="0.3">
      <c r="A1212" s="44" t="s">
        <v>2448</v>
      </c>
      <c r="B1212" s="44" t="s">
        <v>86</v>
      </c>
      <c r="C1212" s="44" t="s">
        <v>29</v>
      </c>
      <c r="D1212" s="44" t="s">
        <v>436</v>
      </c>
      <c r="E1212" s="44" t="s">
        <v>1478</v>
      </c>
      <c r="F1212" s="44" t="s">
        <v>1529</v>
      </c>
      <c r="G1212" s="44" t="s">
        <v>2043</v>
      </c>
      <c r="H1212" s="44" t="s">
        <v>1124</v>
      </c>
      <c r="I1212" s="44" t="s">
        <v>1127</v>
      </c>
      <c r="J1212" s="44">
        <v>157</v>
      </c>
      <c r="K1212" s="44" t="s">
        <v>2227</v>
      </c>
      <c r="L1212" s="44"/>
      <c r="M1212" s="44" t="s">
        <v>2033</v>
      </c>
      <c r="N1212" s="45">
        <v>-48</v>
      </c>
      <c r="O1212" s="46">
        <f t="shared" si="39"/>
        <v>-4.8000000000000001E-2</v>
      </c>
      <c r="P1212" s="47">
        <f>DGKC!H124</f>
        <v>-4.8000000000000001E-2</v>
      </c>
      <c r="Q1212" s="44" t="str">
        <f t="shared" si="40"/>
        <v>PASS</v>
      </c>
      <c r="R1212" s="44" t="s">
        <v>1587</v>
      </c>
      <c r="S1212" s="44"/>
    </row>
    <row r="1213" spans="1:19" x14ac:dyDescent="0.3">
      <c r="A1213" s="44" t="s">
        <v>2449</v>
      </c>
      <c r="B1213" s="44" t="s">
        <v>86</v>
      </c>
      <c r="C1213" s="44" t="s">
        <v>20</v>
      </c>
      <c r="D1213" s="44" t="s">
        <v>439</v>
      </c>
      <c r="E1213" s="44" t="s">
        <v>1130</v>
      </c>
      <c r="F1213" s="44" t="s">
        <v>1535</v>
      </c>
      <c r="G1213" s="44" t="s">
        <v>2031</v>
      </c>
      <c r="H1213" s="44" t="s">
        <v>1105</v>
      </c>
      <c r="I1213" s="44" t="s">
        <v>1127</v>
      </c>
      <c r="J1213" s="44">
        <v>155</v>
      </c>
      <c r="K1213" s="44" t="s">
        <v>2195</v>
      </c>
      <c r="L1213" s="44"/>
      <c r="M1213" s="44" t="s">
        <v>441</v>
      </c>
      <c r="N1213" s="44">
        <v>10</v>
      </c>
      <c r="O1213" s="44">
        <f t="shared" ref="O1213:O1242" si="41">N1213</f>
        <v>10</v>
      </c>
      <c r="P1213" s="48">
        <f>DGKC!D127</f>
        <v>10</v>
      </c>
      <c r="Q1213" s="44" t="str">
        <f t="shared" si="40"/>
        <v>PASS</v>
      </c>
      <c r="R1213" s="44" t="s">
        <v>1587</v>
      </c>
      <c r="S1213" s="44" t="s">
        <v>1537</v>
      </c>
    </row>
    <row r="1214" spans="1:19" x14ac:dyDescent="0.3">
      <c r="A1214" s="44" t="s">
        <v>2450</v>
      </c>
      <c r="B1214" s="44" t="s">
        <v>86</v>
      </c>
      <c r="C1214" s="44" t="s">
        <v>26</v>
      </c>
      <c r="D1214" s="44" t="s">
        <v>439</v>
      </c>
      <c r="E1214" s="44" t="s">
        <v>1130</v>
      </c>
      <c r="F1214" s="44" t="s">
        <v>1535</v>
      </c>
      <c r="G1214" s="44" t="s">
        <v>2035</v>
      </c>
      <c r="H1214" s="44" t="s">
        <v>1113</v>
      </c>
      <c r="I1214" s="44" t="s">
        <v>1127</v>
      </c>
      <c r="J1214" s="44">
        <v>177</v>
      </c>
      <c r="K1214" s="44" t="s">
        <v>2377</v>
      </c>
      <c r="L1214" s="44"/>
      <c r="M1214" s="44" t="s">
        <v>441</v>
      </c>
      <c r="N1214" s="44">
        <v>10</v>
      </c>
      <c r="O1214" s="44">
        <f t="shared" si="41"/>
        <v>10</v>
      </c>
      <c r="P1214" s="48">
        <f>DGKC!E127</f>
        <v>10</v>
      </c>
      <c r="Q1214" s="44" t="str">
        <f t="shared" si="40"/>
        <v>PASS</v>
      </c>
      <c r="R1214" s="44" t="s">
        <v>1587</v>
      </c>
      <c r="S1214" s="44" t="s">
        <v>1537</v>
      </c>
    </row>
    <row r="1215" spans="1:19" x14ac:dyDescent="0.3">
      <c r="A1215" s="44" t="s">
        <v>2451</v>
      </c>
      <c r="B1215" s="44" t="s">
        <v>86</v>
      </c>
      <c r="C1215" s="44" t="s">
        <v>27</v>
      </c>
      <c r="D1215" s="44" t="s">
        <v>439</v>
      </c>
      <c r="E1215" s="44" t="s">
        <v>1130</v>
      </c>
      <c r="F1215" s="44" t="s">
        <v>1535</v>
      </c>
      <c r="G1215" s="44" t="s">
        <v>2038</v>
      </c>
      <c r="H1215" s="44" t="s">
        <v>1117</v>
      </c>
      <c r="I1215" s="44" t="s">
        <v>1127</v>
      </c>
      <c r="J1215" s="44">
        <v>202</v>
      </c>
      <c r="K1215" s="44" t="s">
        <v>2452</v>
      </c>
      <c r="L1215" s="44"/>
      <c r="M1215" s="44" t="s">
        <v>441</v>
      </c>
      <c r="N1215" s="44">
        <v>10</v>
      </c>
      <c r="O1215" s="44">
        <f t="shared" si="41"/>
        <v>10</v>
      </c>
      <c r="P1215" s="48">
        <f>DGKC!F127</f>
        <v>10</v>
      </c>
      <c r="Q1215" s="44" t="str">
        <f t="shared" si="40"/>
        <v>PASS</v>
      </c>
      <c r="R1215" s="44" t="s">
        <v>1587</v>
      </c>
      <c r="S1215" s="44" t="s">
        <v>1537</v>
      </c>
    </row>
    <row r="1216" spans="1:19" x14ac:dyDescent="0.3">
      <c r="A1216" s="44" t="s">
        <v>2453</v>
      </c>
      <c r="B1216" s="44" t="s">
        <v>86</v>
      </c>
      <c r="C1216" s="44" t="s">
        <v>28</v>
      </c>
      <c r="D1216" s="44" t="s">
        <v>439</v>
      </c>
      <c r="E1216" s="44" t="s">
        <v>1130</v>
      </c>
      <c r="F1216" s="44" t="s">
        <v>1535</v>
      </c>
      <c r="G1216" s="44" t="s">
        <v>2041</v>
      </c>
      <c r="H1216" s="44" t="s">
        <v>1120</v>
      </c>
      <c r="I1216" s="44" t="s">
        <v>1127</v>
      </c>
      <c r="J1216" s="44">
        <v>205</v>
      </c>
      <c r="K1216" s="44" t="s">
        <v>2454</v>
      </c>
      <c r="L1216" s="44"/>
      <c r="M1216" s="44" t="s">
        <v>441</v>
      </c>
      <c r="N1216" s="44">
        <v>10</v>
      </c>
      <c r="O1216" s="44">
        <f t="shared" si="41"/>
        <v>10</v>
      </c>
      <c r="P1216" s="48">
        <f>DGKC!G127</f>
        <v>10</v>
      </c>
      <c r="Q1216" s="44" t="str">
        <f t="shared" si="40"/>
        <v>PASS</v>
      </c>
      <c r="R1216" s="44" t="s">
        <v>1587</v>
      </c>
      <c r="S1216" s="44" t="s">
        <v>1537</v>
      </c>
    </row>
    <row r="1217" spans="1:19" x14ac:dyDescent="0.3">
      <c r="A1217" s="44" t="s">
        <v>2455</v>
      </c>
      <c r="B1217" s="44" t="s">
        <v>86</v>
      </c>
      <c r="C1217" s="44" t="s">
        <v>29</v>
      </c>
      <c r="D1217" s="44" t="s">
        <v>439</v>
      </c>
      <c r="E1217" s="44" t="s">
        <v>1130</v>
      </c>
      <c r="F1217" s="44" t="s">
        <v>1535</v>
      </c>
      <c r="G1217" s="44" t="s">
        <v>2043</v>
      </c>
      <c r="H1217" s="44" t="s">
        <v>1124</v>
      </c>
      <c r="I1217" s="44" t="s">
        <v>1127</v>
      </c>
      <c r="J1217" s="44">
        <v>210</v>
      </c>
      <c r="K1217" s="44" t="s">
        <v>2456</v>
      </c>
      <c r="L1217" s="44"/>
      <c r="M1217" s="44" t="s">
        <v>441</v>
      </c>
      <c r="N1217" s="44">
        <v>10</v>
      </c>
      <c r="O1217" s="44">
        <f t="shared" si="41"/>
        <v>10</v>
      </c>
      <c r="P1217" s="48">
        <f>DGKC!H127</f>
        <v>10</v>
      </c>
      <c r="Q1217" s="44" t="str">
        <f t="shared" si="40"/>
        <v>PASS</v>
      </c>
      <c r="R1217" s="44" t="s">
        <v>1587</v>
      </c>
      <c r="S1217" s="44" t="s">
        <v>1537</v>
      </c>
    </row>
    <row r="1218" spans="1:19" x14ac:dyDescent="0.3">
      <c r="A1218" s="44" t="s">
        <v>2457</v>
      </c>
      <c r="B1218" s="44" t="s">
        <v>86</v>
      </c>
      <c r="C1218" s="44" t="s">
        <v>20</v>
      </c>
      <c r="D1218" s="44" t="s">
        <v>445</v>
      </c>
      <c r="E1218" s="44" t="s">
        <v>1130</v>
      </c>
      <c r="F1218" s="44" t="s">
        <v>1543</v>
      </c>
      <c r="G1218" s="44" t="s">
        <v>2031</v>
      </c>
      <c r="H1218" s="44" t="s">
        <v>1105</v>
      </c>
      <c r="I1218" s="44" t="s">
        <v>1127</v>
      </c>
      <c r="J1218" s="44">
        <v>155</v>
      </c>
      <c r="K1218" s="44" t="s">
        <v>2195</v>
      </c>
      <c r="L1218" s="44"/>
      <c r="M1218" s="44" t="s">
        <v>444</v>
      </c>
      <c r="N1218" s="44">
        <v>438.11911800000001</v>
      </c>
      <c r="O1218" s="44">
        <f t="shared" si="41"/>
        <v>438.11911800000001</v>
      </c>
      <c r="P1218" s="46">
        <f>DGKC!D129</f>
        <v>438.11911800000001</v>
      </c>
      <c r="Q1218" s="44" t="str">
        <f t="shared" si="40"/>
        <v>PASS</v>
      </c>
      <c r="R1218" s="44" t="s">
        <v>1587</v>
      </c>
      <c r="S1218" s="44" t="s">
        <v>1537</v>
      </c>
    </row>
    <row r="1219" spans="1:19" x14ac:dyDescent="0.3">
      <c r="A1219" s="44" t="s">
        <v>2458</v>
      </c>
      <c r="B1219" s="44" t="s">
        <v>86</v>
      </c>
      <c r="C1219" s="44" t="s">
        <v>26</v>
      </c>
      <c r="D1219" s="44" t="s">
        <v>445</v>
      </c>
      <c r="E1219" s="44" t="s">
        <v>1130</v>
      </c>
      <c r="F1219" s="44" t="s">
        <v>1543</v>
      </c>
      <c r="G1219" s="44" t="s">
        <v>2035</v>
      </c>
      <c r="H1219" s="44" t="s">
        <v>1113</v>
      </c>
      <c r="I1219" s="44" t="s">
        <v>1127</v>
      </c>
      <c r="J1219" s="44">
        <v>177</v>
      </c>
      <c r="K1219" s="44" t="s">
        <v>2377</v>
      </c>
      <c r="L1219" s="44"/>
      <c r="M1219" s="44" t="s">
        <v>444</v>
      </c>
      <c r="N1219" s="44">
        <v>438.11911800000001</v>
      </c>
      <c r="O1219" s="44">
        <f t="shared" si="41"/>
        <v>438.11911800000001</v>
      </c>
      <c r="P1219" s="46">
        <f>DGKC!E129</f>
        <v>438.11911800000001</v>
      </c>
      <c r="Q1219" s="44" t="str">
        <f t="shared" si="40"/>
        <v>PASS</v>
      </c>
      <c r="R1219" s="44" t="s">
        <v>1587</v>
      </c>
      <c r="S1219" s="44" t="s">
        <v>1537</v>
      </c>
    </row>
    <row r="1220" spans="1:19" x14ac:dyDescent="0.3">
      <c r="A1220" s="44" t="s">
        <v>2459</v>
      </c>
      <c r="B1220" s="44" t="s">
        <v>86</v>
      </c>
      <c r="C1220" s="44" t="s">
        <v>27</v>
      </c>
      <c r="D1220" s="44" t="s">
        <v>445</v>
      </c>
      <c r="E1220" s="44" t="s">
        <v>1130</v>
      </c>
      <c r="F1220" s="44" t="s">
        <v>1543</v>
      </c>
      <c r="G1220" s="44" t="s">
        <v>2038</v>
      </c>
      <c r="H1220" s="44" t="s">
        <v>1117</v>
      </c>
      <c r="I1220" s="44" t="s">
        <v>1127</v>
      </c>
      <c r="J1220" s="44">
        <v>202</v>
      </c>
      <c r="K1220" s="44" t="s">
        <v>2452</v>
      </c>
      <c r="L1220" s="44"/>
      <c r="M1220" s="44" t="s">
        <v>444</v>
      </c>
      <c r="N1220" s="44">
        <v>438.11911800000001</v>
      </c>
      <c r="O1220" s="44">
        <f t="shared" si="41"/>
        <v>438.11911800000001</v>
      </c>
      <c r="P1220" s="46">
        <f>DGKC!F129</f>
        <v>438.11911800000001</v>
      </c>
      <c r="Q1220" s="44" t="str">
        <f t="shared" si="40"/>
        <v>PASS</v>
      </c>
      <c r="R1220" s="44" t="s">
        <v>1587</v>
      </c>
      <c r="S1220" s="44" t="s">
        <v>1537</v>
      </c>
    </row>
    <row r="1221" spans="1:19" x14ac:dyDescent="0.3">
      <c r="A1221" s="44" t="s">
        <v>2460</v>
      </c>
      <c r="B1221" s="44" t="s">
        <v>86</v>
      </c>
      <c r="C1221" s="44" t="s">
        <v>28</v>
      </c>
      <c r="D1221" s="44" t="s">
        <v>445</v>
      </c>
      <c r="E1221" s="44" t="s">
        <v>1130</v>
      </c>
      <c r="F1221" s="44" t="s">
        <v>1543</v>
      </c>
      <c r="G1221" s="44" t="s">
        <v>2041</v>
      </c>
      <c r="H1221" s="44" t="s">
        <v>1120</v>
      </c>
      <c r="I1221" s="44" t="s">
        <v>1127</v>
      </c>
      <c r="J1221" s="44">
        <v>205</v>
      </c>
      <c r="K1221" s="44" t="s">
        <v>2454</v>
      </c>
      <c r="L1221" s="44"/>
      <c r="M1221" s="44" t="s">
        <v>444</v>
      </c>
      <c r="N1221" s="44">
        <v>438.11911800000001</v>
      </c>
      <c r="O1221" s="44">
        <f t="shared" si="41"/>
        <v>438.11911800000001</v>
      </c>
      <c r="P1221" s="46">
        <f>DGKC!G129</f>
        <v>438.11911800000001</v>
      </c>
      <c r="Q1221" s="44" t="str">
        <f t="shared" si="40"/>
        <v>PASS</v>
      </c>
      <c r="R1221" s="44" t="s">
        <v>1587</v>
      </c>
      <c r="S1221" s="44" t="s">
        <v>1537</v>
      </c>
    </row>
    <row r="1222" spans="1:19" x14ac:dyDescent="0.3">
      <c r="A1222" s="44" t="s">
        <v>2461</v>
      </c>
      <c r="B1222" s="44" t="s">
        <v>86</v>
      </c>
      <c r="C1222" s="44" t="s">
        <v>29</v>
      </c>
      <c r="D1222" s="44" t="s">
        <v>445</v>
      </c>
      <c r="E1222" s="44" t="s">
        <v>1130</v>
      </c>
      <c r="F1222" s="44" t="s">
        <v>1543</v>
      </c>
      <c r="G1222" s="44" t="s">
        <v>2043</v>
      </c>
      <c r="H1222" s="44" t="s">
        <v>1124</v>
      </c>
      <c r="I1222" s="44" t="s">
        <v>1127</v>
      </c>
      <c r="J1222" s="44">
        <v>210</v>
      </c>
      <c r="K1222" s="44" t="s">
        <v>2456</v>
      </c>
      <c r="L1222" s="44"/>
      <c r="M1222" s="44" t="s">
        <v>444</v>
      </c>
      <c r="N1222" s="44">
        <v>438.11911800000001</v>
      </c>
      <c r="O1222" s="44">
        <f t="shared" si="41"/>
        <v>438.11911800000001</v>
      </c>
      <c r="P1222" s="46">
        <f>DGKC!H129</f>
        <v>438.11911800000001</v>
      </c>
      <c r="Q1222" s="44" t="str">
        <f t="shared" si="40"/>
        <v>PASS</v>
      </c>
      <c r="R1222" s="44" t="s">
        <v>1587</v>
      </c>
      <c r="S1222" s="44" t="s">
        <v>1537</v>
      </c>
    </row>
    <row r="1223" spans="1:19" x14ac:dyDescent="0.3">
      <c r="A1223" s="44" t="s">
        <v>2462</v>
      </c>
      <c r="B1223" s="44" t="s">
        <v>86</v>
      </c>
      <c r="C1223" s="44" t="s">
        <v>20</v>
      </c>
      <c r="D1223" s="44" t="s">
        <v>1549</v>
      </c>
      <c r="E1223" s="44" t="s">
        <v>1130</v>
      </c>
      <c r="F1223" s="44" t="s">
        <v>1550</v>
      </c>
      <c r="G1223" s="44" t="s">
        <v>1551</v>
      </c>
      <c r="H1223" s="44" t="s">
        <v>1552</v>
      </c>
      <c r="I1223" s="44" t="s">
        <v>1553</v>
      </c>
      <c r="J1223" s="44"/>
      <c r="K1223" s="44"/>
      <c r="L1223" s="44"/>
      <c r="M1223" s="44" t="s">
        <v>441</v>
      </c>
      <c r="N1223" s="44">
        <v>117.92</v>
      </c>
      <c r="O1223" s="44">
        <f t="shared" si="41"/>
        <v>117.92</v>
      </c>
      <c r="P1223" s="48">
        <f>DGKC!D130</f>
        <v>117.92</v>
      </c>
      <c r="Q1223" s="44" t="str">
        <f t="shared" si="40"/>
        <v>PASS</v>
      </c>
      <c r="R1223" s="44" t="s">
        <v>1587</v>
      </c>
      <c r="S1223" s="44" t="s">
        <v>1554</v>
      </c>
    </row>
    <row r="1224" spans="1:19" x14ac:dyDescent="0.3">
      <c r="A1224" s="44" t="s">
        <v>2463</v>
      </c>
      <c r="B1224" s="44" t="s">
        <v>86</v>
      </c>
      <c r="C1224" s="44" t="s">
        <v>26</v>
      </c>
      <c r="D1224" s="44" t="s">
        <v>1549</v>
      </c>
      <c r="E1224" s="44" t="s">
        <v>1130</v>
      </c>
      <c r="F1224" s="44" t="s">
        <v>1550</v>
      </c>
      <c r="G1224" s="44" t="s">
        <v>1551</v>
      </c>
      <c r="H1224" s="44" t="s">
        <v>1552</v>
      </c>
      <c r="I1224" s="44" t="s">
        <v>1556</v>
      </c>
      <c r="J1224" s="44"/>
      <c r="K1224" s="44"/>
      <c r="L1224" s="44"/>
      <c r="M1224" s="44" t="s">
        <v>441</v>
      </c>
      <c r="N1224" s="44">
        <v>62.5</v>
      </c>
      <c r="O1224" s="44">
        <f t="shared" si="41"/>
        <v>62.5</v>
      </c>
      <c r="P1224" s="48">
        <f>DGKC!E130</f>
        <v>62.5</v>
      </c>
      <c r="Q1224" s="44" t="str">
        <f t="shared" si="40"/>
        <v>PASS</v>
      </c>
      <c r="R1224" s="44" t="s">
        <v>1587</v>
      </c>
      <c r="S1224" s="44" t="s">
        <v>1554</v>
      </c>
    </row>
    <row r="1225" spans="1:19" x14ac:dyDescent="0.3">
      <c r="A1225" s="44" t="s">
        <v>2464</v>
      </c>
      <c r="B1225" s="44" t="s">
        <v>86</v>
      </c>
      <c r="C1225" s="44" t="s">
        <v>27</v>
      </c>
      <c r="D1225" s="44" t="s">
        <v>1549</v>
      </c>
      <c r="E1225" s="44" t="s">
        <v>1130</v>
      </c>
      <c r="F1225" s="44" t="s">
        <v>1550</v>
      </c>
      <c r="G1225" s="44" t="s">
        <v>1551</v>
      </c>
      <c r="H1225" s="44" t="s">
        <v>1552</v>
      </c>
      <c r="I1225" s="44" t="s">
        <v>1558</v>
      </c>
      <c r="J1225" s="44"/>
      <c r="K1225" s="44"/>
      <c r="L1225" s="44"/>
      <c r="M1225" s="44" t="s">
        <v>441</v>
      </c>
      <c r="N1225" s="44">
        <v>51.3</v>
      </c>
      <c r="O1225" s="44">
        <f t="shared" si="41"/>
        <v>51.3</v>
      </c>
      <c r="P1225" s="48">
        <f>DGKC!F130</f>
        <v>51.3</v>
      </c>
      <c r="Q1225" s="44" t="str">
        <f t="shared" si="40"/>
        <v>PASS</v>
      </c>
      <c r="R1225" s="44" t="s">
        <v>1587</v>
      </c>
      <c r="S1225" s="44" t="s">
        <v>1554</v>
      </c>
    </row>
    <row r="1226" spans="1:19" x14ac:dyDescent="0.3">
      <c r="A1226" s="44" t="s">
        <v>2465</v>
      </c>
      <c r="B1226" s="44" t="s">
        <v>86</v>
      </c>
      <c r="C1226" s="44" t="s">
        <v>28</v>
      </c>
      <c r="D1226" s="44" t="s">
        <v>1549</v>
      </c>
      <c r="E1226" s="44" t="s">
        <v>1130</v>
      </c>
      <c r="F1226" s="44" t="s">
        <v>1550</v>
      </c>
      <c r="G1226" s="44" t="s">
        <v>1551</v>
      </c>
      <c r="H1226" s="44" t="s">
        <v>1552</v>
      </c>
      <c r="I1226" s="44" t="s">
        <v>1560</v>
      </c>
      <c r="J1226" s="44"/>
      <c r="K1226" s="44"/>
      <c r="L1226" s="44"/>
      <c r="M1226" s="44" t="s">
        <v>441</v>
      </c>
      <c r="N1226" s="44">
        <v>90.27</v>
      </c>
      <c r="O1226" s="44">
        <f t="shared" si="41"/>
        <v>90.27</v>
      </c>
      <c r="P1226" s="48">
        <f>DGKC!G130</f>
        <v>90.27</v>
      </c>
      <c r="Q1226" s="44" t="str">
        <f t="shared" si="40"/>
        <v>PASS</v>
      </c>
      <c r="R1226" s="44" t="s">
        <v>1587</v>
      </c>
      <c r="S1226" s="44" t="s">
        <v>1554</v>
      </c>
    </row>
    <row r="1227" spans="1:19" x14ac:dyDescent="0.3">
      <c r="A1227" s="44" t="s">
        <v>2466</v>
      </c>
      <c r="B1227" s="44" t="s">
        <v>86</v>
      </c>
      <c r="C1227" s="44" t="s">
        <v>29</v>
      </c>
      <c r="D1227" s="44" t="s">
        <v>1549</v>
      </c>
      <c r="E1227" s="44" t="s">
        <v>1130</v>
      </c>
      <c r="F1227" s="44" t="s">
        <v>1550</v>
      </c>
      <c r="G1227" s="44" t="s">
        <v>1551</v>
      </c>
      <c r="H1227" s="44" t="s">
        <v>1552</v>
      </c>
      <c r="I1227" s="44" t="s">
        <v>1562</v>
      </c>
      <c r="J1227" s="44"/>
      <c r="K1227" s="44"/>
      <c r="L1227" s="44"/>
      <c r="M1227" s="44" t="s">
        <v>441</v>
      </c>
      <c r="N1227" s="44">
        <v>165.56</v>
      </c>
      <c r="O1227" s="44">
        <f t="shared" si="41"/>
        <v>165.56</v>
      </c>
      <c r="P1227" s="48">
        <f>DGKC!H130</f>
        <v>165.56</v>
      </c>
      <c r="Q1227" s="44" t="str">
        <f t="shared" si="40"/>
        <v>PASS</v>
      </c>
      <c r="R1227" s="44" t="s">
        <v>1587</v>
      </c>
      <c r="S1227" s="44" t="s">
        <v>1554</v>
      </c>
    </row>
    <row r="1228" spans="1:19" x14ac:dyDescent="0.3">
      <c r="A1228" s="44" t="s">
        <v>2467</v>
      </c>
      <c r="B1228" s="44" t="s">
        <v>86</v>
      </c>
      <c r="C1228" s="44" t="s">
        <v>20</v>
      </c>
      <c r="D1228" s="44" t="s">
        <v>449</v>
      </c>
      <c r="E1228" s="44" t="s">
        <v>1130</v>
      </c>
      <c r="F1228" s="44" t="s">
        <v>1564</v>
      </c>
      <c r="G1228" s="44" t="s">
        <v>2043</v>
      </c>
      <c r="H1228" s="44" t="s">
        <v>1124</v>
      </c>
      <c r="I1228" s="44" t="s">
        <v>1106</v>
      </c>
      <c r="J1228" s="44">
        <v>108</v>
      </c>
      <c r="K1228" s="44" t="s">
        <v>2468</v>
      </c>
      <c r="L1228" s="44"/>
      <c r="M1228" s="44" t="s">
        <v>441</v>
      </c>
      <c r="N1228" s="44">
        <v>1</v>
      </c>
      <c r="O1228" s="44">
        <f t="shared" si="41"/>
        <v>1</v>
      </c>
      <c r="P1228" s="48">
        <f>DGKC!D131</f>
        <v>1</v>
      </c>
      <c r="Q1228" s="44" t="str">
        <f t="shared" si="40"/>
        <v>PASS</v>
      </c>
      <c r="R1228" s="44" t="s">
        <v>1587</v>
      </c>
      <c r="S1228" s="44" t="s">
        <v>1537</v>
      </c>
    </row>
    <row r="1229" spans="1:19" x14ac:dyDescent="0.3">
      <c r="A1229" s="44" t="s">
        <v>2469</v>
      </c>
      <c r="B1229" s="44" t="s">
        <v>86</v>
      </c>
      <c r="C1229" s="44" t="s">
        <v>26</v>
      </c>
      <c r="D1229" s="44" t="s">
        <v>449</v>
      </c>
      <c r="E1229" s="44" t="s">
        <v>1130</v>
      </c>
      <c r="F1229" s="44" t="s">
        <v>1564</v>
      </c>
      <c r="G1229" s="44" t="s">
        <v>2043</v>
      </c>
      <c r="H1229" s="44" t="s">
        <v>1124</v>
      </c>
      <c r="I1229" s="44" t="s">
        <v>1106</v>
      </c>
      <c r="J1229" s="44">
        <v>108</v>
      </c>
      <c r="K1229" s="44" t="s">
        <v>2468</v>
      </c>
      <c r="L1229" s="44"/>
      <c r="M1229" s="44" t="s">
        <v>441</v>
      </c>
      <c r="N1229" s="44">
        <v>1</v>
      </c>
      <c r="O1229" s="44">
        <f t="shared" si="41"/>
        <v>1</v>
      </c>
      <c r="P1229" s="48">
        <f>DGKC!E131</f>
        <v>1</v>
      </c>
      <c r="Q1229" s="44" t="str">
        <f t="shared" si="40"/>
        <v>PASS</v>
      </c>
      <c r="R1229" s="44" t="s">
        <v>1587</v>
      </c>
      <c r="S1229" s="44" t="s">
        <v>1537</v>
      </c>
    </row>
    <row r="1230" spans="1:19" x14ac:dyDescent="0.3">
      <c r="A1230" s="44" t="s">
        <v>2470</v>
      </c>
      <c r="B1230" s="44" t="s">
        <v>86</v>
      </c>
      <c r="C1230" s="44" t="s">
        <v>27</v>
      </c>
      <c r="D1230" s="44" t="s">
        <v>449</v>
      </c>
      <c r="E1230" s="44" t="s">
        <v>1130</v>
      </c>
      <c r="F1230" s="44" t="s">
        <v>1564</v>
      </c>
      <c r="G1230" s="44" t="s">
        <v>2043</v>
      </c>
      <c r="H1230" s="44" t="s">
        <v>1124</v>
      </c>
      <c r="I1230" s="44" t="s">
        <v>1106</v>
      </c>
      <c r="J1230" s="44">
        <v>108</v>
      </c>
      <c r="K1230" s="44" t="s">
        <v>2468</v>
      </c>
      <c r="L1230" s="44"/>
      <c r="M1230" s="44" t="s">
        <v>441</v>
      </c>
      <c r="N1230" s="44">
        <v>0</v>
      </c>
      <c r="O1230" s="44">
        <f t="shared" si="41"/>
        <v>0</v>
      </c>
      <c r="P1230" s="48">
        <f>DGKC!F131</f>
        <v>0</v>
      </c>
      <c r="Q1230" s="44" t="str">
        <f t="shared" si="40"/>
        <v>PASS</v>
      </c>
      <c r="R1230" s="44" t="s">
        <v>1587</v>
      </c>
      <c r="S1230" s="44" t="s">
        <v>1537</v>
      </c>
    </row>
    <row r="1231" spans="1:19" x14ac:dyDescent="0.3">
      <c r="A1231" s="44" t="s">
        <v>2471</v>
      </c>
      <c r="B1231" s="44" t="s">
        <v>86</v>
      </c>
      <c r="C1231" s="44" t="s">
        <v>28</v>
      </c>
      <c r="D1231" s="44" t="s">
        <v>449</v>
      </c>
      <c r="E1231" s="44" t="s">
        <v>1130</v>
      </c>
      <c r="F1231" s="44" t="s">
        <v>1564</v>
      </c>
      <c r="G1231" s="44" t="s">
        <v>2043</v>
      </c>
      <c r="H1231" s="44" t="s">
        <v>1124</v>
      </c>
      <c r="I1231" s="44" t="s">
        <v>1106</v>
      </c>
      <c r="J1231" s="44">
        <v>108</v>
      </c>
      <c r="K1231" s="44" t="s">
        <v>2468</v>
      </c>
      <c r="L1231" s="44"/>
      <c r="M1231" s="44" t="s">
        <v>441</v>
      </c>
      <c r="N1231" s="44">
        <v>0</v>
      </c>
      <c r="O1231" s="44">
        <f t="shared" si="41"/>
        <v>0</v>
      </c>
      <c r="P1231" s="48">
        <f>DGKC!G131</f>
        <v>0</v>
      </c>
      <c r="Q1231" s="44" t="str">
        <f t="shared" si="40"/>
        <v>PASS</v>
      </c>
      <c r="R1231" s="44" t="s">
        <v>1587</v>
      </c>
      <c r="S1231" s="44" t="s">
        <v>1537</v>
      </c>
    </row>
    <row r="1232" spans="1:19" x14ac:dyDescent="0.3">
      <c r="A1232" s="44" t="s">
        <v>2472</v>
      </c>
      <c r="B1232" s="44" t="s">
        <v>86</v>
      </c>
      <c r="C1232" s="44" t="s">
        <v>29</v>
      </c>
      <c r="D1232" s="44" t="s">
        <v>449</v>
      </c>
      <c r="E1232" s="44" t="s">
        <v>1130</v>
      </c>
      <c r="F1232" s="44" t="s">
        <v>1564</v>
      </c>
      <c r="G1232" s="44" t="s">
        <v>2043</v>
      </c>
      <c r="H1232" s="44" t="s">
        <v>1124</v>
      </c>
      <c r="I1232" s="44" t="s">
        <v>1127</v>
      </c>
      <c r="J1232" s="44">
        <v>108</v>
      </c>
      <c r="K1232" s="44" t="s">
        <v>2468</v>
      </c>
      <c r="L1232" s="44"/>
      <c r="M1232" s="44" t="s">
        <v>441</v>
      </c>
      <c r="N1232" s="44">
        <v>2</v>
      </c>
      <c r="O1232" s="44">
        <f t="shared" si="41"/>
        <v>2</v>
      </c>
      <c r="P1232" s="48">
        <f>DGKC!H131</f>
        <v>2</v>
      </c>
      <c r="Q1232" s="44" t="str">
        <f t="shared" si="40"/>
        <v>PASS</v>
      </c>
      <c r="R1232" s="44" t="s">
        <v>1587</v>
      </c>
      <c r="S1232" s="44" t="s">
        <v>1537</v>
      </c>
    </row>
    <row r="1233" spans="1:19" x14ac:dyDescent="0.3">
      <c r="A1233" s="44" t="s">
        <v>2473</v>
      </c>
      <c r="B1233" s="44" t="s">
        <v>86</v>
      </c>
      <c r="C1233" s="44" t="s">
        <v>20</v>
      </c>
      <c r="D1233" s="44" t="s">
        <v>1570</v>
      </c>
      <c r="E1233" s="44" t="s">
        <v>1381</v>
      </c>
      <c r="F1233" s="44" t="s">
        <v>1571</v>
      </c>
      <c r="G1233" s="44" t="s">
        <v>2031</v>
      </c>
      <c r="H1233" s="44" t="s">
        <v>1105</v>
      </c>
      <c r="I1233" s="44" t="s">
        <v>1127</v>
      </c>
      <c r="J1233" s="44">
        <v>155</v>
      </c>
      <c r="K1233" s="44" t="s">
        <v>1475</v>
      </c>
      <c r="L1233" s="44"/>
      <c r="M1233" s="44" t="s">
        <v>441</v>
      </c>
      <c r="N1233" s="44">
        <v>8.49</v>
      </c>
      <c r="O1233" s="44">
        <f t="shared" si="41"/>
        <v>8.49</v>
      </c>
      <c r="P1233" s="48">
        <f>DGKC!D132</f>
        <v>8.49</v>
      </c>
      <c r="Q1233" s="44" t="str">
        <f t="shared" si="40"/>
        <v>PASS</v>
      </c>
      <c r="R1233" s="44" t="s">
        <v>1587</v>
      </c>
      <c r="S1233" s="44" t="s">
        <v>1537</v>
      </c>
    </row>
    <row r="1234" spans="1:19" x14ac:dyDescent="0.3">
      <c r="A1234" s="44" t="s">
        <v>2474</v>
      </c>
      <c r="B1234" s="44" t="s">
        <v>86</v>
      </c>
      <c r="C1234" s="44" t="s">
        <v>26</v>
      </c>
      <c r="D1234" s="44" t="s">
        <v>1570</v>
      </c>
      <c r="E1234" s="44" t="s">
        <v>1381</v>
      </c>
      <c r="F1234" s="44" t="s">
        <v>1571</v>
      </c>
      <c r="G1234" s="44" t="s">
        <v>2035</v>
      </c>
      <c r="H1234" s="44" t="s">
        <v>1113</v>
      </c>
      <c r="I1234" s="44" t="s">
        <v>1127</v>
      </c>
      <c r="J1234" s="44">
        <v>177</v>
      </c>
      <c r="K1234" s="44" t="s">
        <v>2292</v>
      </c>
      <c r="L1234" s="44"/>
      <c r="M1234" s="44" t="s">
        <v>441</v>
      </c>
      <c r="N1234" s="44">
        <v>6.78</v>
      </c>
      <c r="O1234" s="44">
        <f t="shared" si="41"/>
        <v>6.78</v>
      </c>
      <c r="P1234" s="48">
        <f>DGKC!E132</f>
        <v>6.78</v>
      </c>
      <c r="Q1234" s="44" t="str">
        <f t="shared" si="40"/>
        <v>PASS</v>
      </c>
      <c r="R1234" s="44" t="s">
        <v>1587</v>
      </c>
      <c r="S1234" s="44" t="s">
        <v>1537</v>
      </c>
    </row>
    <row r="1235" spans="1:19" x14ac:dyDescent="0.3">
      <c r="A1235" s="44" t="s">
        <v>2475</v>
      </c>
      <c r="B1235" s="44" t="s">
        <v>86</v>
      </c>
      <c r="C1235" s="44" t="s">
        <v>27</v>
      </c>
      <c r="D1235" s="44" t="s">
        <v>1570</v>
      </c>
      <c r="E1235" s="44" t="s">
        <v>1381</v>
      </c>
      <c r="F1235" s="44" t="s">
        <v>1571</v>
      </c>
      <c r="G1235" s="44" t="s">
        <v>2038</v>
      </c>
      <c r="H1235" s="44" t="s">
        <v>1117</v>
      </c>
      <c r="I1235" s="44" t="s">
        <v>1127</v>
      </c>
      <c r="J1235" s="44">
        <v>202</v>
      </c>
      <c r="K1235" s="44" t="s">
        <v>2065</v>
      </c>
      <c r="L1235" s="44"/>
      <c r="M1235" s="44" t="s">
        <v>441</v>
      </c>
      <c r="N1235" s="44">
        <v>-8.3000000000000007</v>
      </c>
      <c r="O1235" s="44">
        <f t="shared" si="41"/>
        <v>-8.3000000000000007</v>
      </c>
      <c r="P1235" s="48">
        <f>DGKC!F132</f>
        <v>-8.3000000000000007</v>
      </c>
      <c r="Q1235" s="44" t="str">
        <f t="shared" si="40"/>
        <v>PASS</v>
      </c>
      <c r="R1235" s="44" t="s">
        <v>1587</v>
      </c>
      <c r="S1235" s="44" t="s">
        <v>1537</v>
      </c>
    </row>
    <row r="1236" spans="1:19" x14ac:dyDescent="0.3">
      <c r="A1236" s="44" t="s">
        <v>2476</v>
      </c>
      <c r="B1236" s="44" t="s">
        <v>86</v>
      </c>
      <c r="C1236" s="44" t="s">
        <v>28</v>
      </c>
      <c r="D1236" s="44" t="s">
        <v>1570</v>
      </c>
      <c r="E1236" s="44" t="s">
        <v>1381</v>
      </c>
      <c r="F1236" s="44" t="s">
        <v>1571</v>
      </c>
      <c r="G1236" s="44" t="s">
        <v>2041</v>
      </c>
      <c r="H1236" s="44" t="s">
        <v>1120</v>
      </c>
      <c r="I1236" s="44" t="s">
        <v>1127</v>
      </c>
      <c r="J1236" s="44">
        <v>205</v>
      </c>
      <c r="K1236" s="44" t="s">
        <v>2065</v>
      </c>
      <c r="L1236" s="44"/>
      <c r="M1236" s="44" t="s">
        <v>441</v>
      </c>
      <c r="N1236" s="44">
        <v>1.24</v>
      </c>
      <c r="O1236" s="44">
        <f t="shared" si="41"/>
        <v>1.24</v>
      </c>
      <c r="P1236" s="48">
        <f>DGKC!G132</f>
        <v>1.24</v>
      </c>
      <c r="Q1236" s="44" t="str">
        <f t="shared" si="40"/>
        <v>PASS</v>
      </c>
      <c r="R1236" s="44" t="s">
        <v>1587</v>
      </c>
      <c r="S1236" s="44" t="s">
        <v>1537</v>
      </c>
    </row>
    <row r="1237" spans="1:19" x14ac:dyDescent="0.3">
      <c r="A1237" s="44" t="s">
        <v>2477</v>
      </c>
      <c r="B1237" s="44" t="s">
        <v>86</v>
      </c>
      <c r="C1237" s="44" t="s">
        <v>29</v>
      </c>
      <c r="D1237" s="44" t="s">
        <v>1570</v>
      </c>
      <c r="E1237" s="44" t="s">
        <v>1381</v>
      </c>
      <c r="F1237" s="44" t="s">
        <v>1571</v>
      </c>
      <c r="G1237" s="44" t="s">
        <v>2043</v>
      </c>
      <c r="H1237" s="44" t="s">
        <v>1124</v>
      </c>
      <c r="I1237" s="44" t="s">
        <v>1127</v>
      </c>
      <c r="J1237" s="44">
        <v>210</v>
      </c>
      <c r="K1237" s="44" t="s">
        <v>2195</v>
      </c>
      <c r="L1237" s="44"/>
      <c r="M1237" s="44" t="s">
        <v>441</v>
      </c>
      <c r="N1237" s="44">
        <v>19.8</v>
      </c>
      <c r="O1237" s="44">
        <f t="shared" si="41"/>
        <v>19.8</v>
      </c>
      <c r="P1237" s="48">
        <f>DGKC!H132</f>
        <v>19.8</v>
      </c>
      <c r="Q1237" s="44" t="str">
        <f t="shared" si="40"/>
        <v>PASS</v>
      </c>
      <c r="R1237" s="44" t="s">
        <v>1587</v>
      </c>
      <c r="S1237" s="44" t="s">
        <v>1537</v>
      </c>
    </row>
    <row r="1238" spans="1:19" x14ac:dyDescent="0.3">
      <c r="A1238" s="44" t="s">
        <v>2478</v>
      </c>
      <c r="B1238" s="44" t="s">
        <v>86</v>
      </c>
      <c r="C1238" s="44" t="s">
        <v>20</v>
      </c>
      <c r="D1238" s="44" t="s">
        <v>1577</v>
      </c>
      <c r="E1238" s="44" t="s">
        <v>1130</v>
      </c>
      <c r="F1238" s="44" t="s">
        <v>1578</v>
      </c>
      <c r="G1238" s="44" t="s">
        <v>2043</v>
      </c>
      <c r="H1238" s="44" t="s">
        <v>1124</v>
      </c>
      <c r="I1238" s="44" t="s">
        <v>1106</v>
      </c>
      <c r="J1238" s="44">
        <v>108</v>
      </c>
      <c r="K1238" s="44" t="s">
        <v>2468</v>
      </c>
      <c r="L1238" s="44"/>
      <c r="M1238" s="44" t="s">
        <v>457</v>
      </c>
      <c r="N1238" s="44">
        <v>1</v>
      </c>
      <c r="O1238" s="44">
        <f t="shared" si="41"/>
        <v>1</v>
      </c>
      <c r="P1238" s="48">
        <f>DGKC!D134</f>
        <v>1</v>
      </c>
      <c r="Q1238" s="44" t="str">
        <f t="shared" si="40"/>
        <v>PASS</v>
      </c>
      <c r="R1238" s="44" t="s">
        <v>1587</v>
      </c>
      <c r="S1238" s="44" t="s">
        <v>1537</v>
      </c>
    </row>
    <row r="1239" spans="1:19" x14ac:dyDescent="0.3">
      <c r="A1239" s="44" t="s">
        <v>2479</v>
      </c>
      <c r="B1239" s="44" t="s">
        <v>86</v>
      </c>
      <c r="C1239" s="44" t="s">
        <v>26</v>
      </c>
      <c r="D1239" s="44" t="s">
        <v>1577</v>
      </c>
      <c r="E1239" s="44" t="s">
        <v>1130</v>
      </c>
      <c r="F1239" s="44" t="s">
        <v>1578</v>
      </c>
      <c r="G1239" s="44" t="s">
        <v>2043</v>
      </c>
      <c r="H1239" s="44" t="s">
        <v>1124</v>
      </c>
      <c r="I1239" s="44" t="s">
        <v>1106</v>
      </c>
      <c r="J1239" s="44">
        <v>108</v>
      </c>
      <c r="K1239" s="44" t="s">
        <v>2468</v>
      </c>
      <c r="L1239" s="44"/>
      <c r="M1239" s="44" t="s">
        <v>457</v>
      </c>
      <c r="N1239" s="44">
        <v>1</v>
      </c>
      <c r="O1239" s="44">
        <f t="shared" si="41"/>
        <v>1</v>
      </c>
      <c r="P1239" s="48">
        <f>DGKC!E134</f>
        <v>1</v>
      </c>
      <c r="Q1239" s="44" t="str">
        <f t="shared" si="40"/>
        <v>PASS</v>
      </c>
      <c r="R1239" s="44" t="s">
        <v>1587</v>
      </c>
      <c r="S1239" s="44" t="s">
        <v>1537</v>
      </c>
    </row>
    <row r="1240" spans="1:19" x14ac:dyDescent="0.3">
      <c r="A1240" s="44" t="s">
        <v>2480</v>
      </c>
      <c r="B1240" s="44" t="s">
        <v>86</v>
      </c>
      <c r="C1240" s="44" t="s">
        <v>27</v>
      </c>
      <c r="D1240" s="44" t="s">
        <v>1577</v>
      </c>
      <c r="E1240" s="44" t="s">
        <v>1130</v>
      </c>
      <c r="F1240" s="44" t="s">
        <v>1578</v>
      </c>
      <c r="G1240" s="44" t="s">
        <v>2043</v>
      </c>
      <c r="H1240" s="44" t="s">
        <v>1124</v>
      </c>
      <c r="I1240" s="44" t="s">
        <v>1106</v>
      </c>
      <c r="J1240" s="44">
        <v>108</v>
      </c>
      <c r="K1240" s="44" t="s">
        <v>2468</v>
      </c>
      <c r="L1240" s="44"/>
      <c r="M1240" s="44" t="s">
        <v>457</v>
      </c>
      <c r="N1240" s="44">
        <v>1</v>
      </c>
      <c r="O1240" s="44">
        <f t="shared" si="41"/>
        <v>1</v>
      </c>
      <c r="P1240" s="48">
        <f>DGKC!F134</f>
        <v>1</v>
      </c>
      <c r="Q1240" s="44" t="str">
        <f t="shared" si="40"/>
        <v>PASS</v>
      </c>
      <c r="R1240" s="44" t="s">
        <v>1587</v>
      </c>
      <c r="S1240" s="44" t="s">
        <v>1537</v>
      </c>
    </row>
    <row r="1241" spans="1:19" x14ac:dyDescent="0.3">
      <c r="A1241" s="44" t="s">
        <v>2481</v>
      </c>
      <c r="B1241" s="44" t="s">
        <v>86</v>
      </c>
      <c r="C1241" s="44" t="s">
        <v>28</v>
      </c>
      <c r="D1241" s="44" t="s">
        <v>1577</v>
      </c>
      <c r="E1241" s="44" t="s">
        <v>1130</v>
      </c>
      <c r="F1241" s="44" t="s">
        <v>1578</v>
      </c>
      <c r="G1241" s="44" t="s">
        <v>2043</v>
      </c>
      <c r="H1241" s="44" t="s">
        <v>1124</v>
      </c>
      <c r="I1241" s="44" t="s">
        <v>1106</v>
      </c>
      <c r="J1241" s="44">
        <v>108</v>
      </c>
      <c r="K1241" s="44" t="s">
        <v>2468</v>
      </c>
      <c r="L1241" s="44"/>
      <c r="M1241" s="44" t="s">
        <v>457</v>
      </c>
      <c r="N1241" s="44">
        <v>1</v>
      </c>
      <c r="O1241" s="44">
        <f t="shared" si="41"/>
        <v>1</v>
      </c>
      <c r="P1241" s="48">
        <f>DGKC!G134</f>
        <v>1</v>
      </c>
      <c r="Q1241" s="44" t="str">
        <f t="shared" si="40"/>
        <v>PASS</v>
      </c>
      <c r="R1241" s="44" t="s">
        <v>1587</v>
      </c>
      <c r="S1241" s="44" t="s">
        <v>1537</v>
      </c>
    </row>
    <row r="1242" spans="1:19" x14ac:dyDescent="0.3">
      <c r="A1242" s="44" t="s">
        <v>2482</v>
      </c>
      <c r="B1242" s="44" t="s">
        <v>86</v>
      </c>
      <c r="C1242" s="44" t="s">
        <v>29</v>
      </c>
      <c r="D1242" s="44" t="s">
        <v>1577</v>
      </c>
      <c r="E1242" s="44" t="s">
        <v>1130</v>
      </c>
      <c r="F1242" s="44" t="s">
        <v>1578</v>
      </c>
      <c r="G1242" s="44" t="s">
        <v>2043</v>
      </c>
      <c r="H1242" s="44" t="s">
        <v>1124</v>
      </c>
      <c r="I1242" s="44" t="s">
        <v>1127</v>
      </c>
      <c r="J1242" s="44">
        <v>108</v>
      </c>
      <c r="K1242" s="44" t="s">
        <v>2468</v>
      </c>
      <c r="L1242" s="44"/>
      <c r="M1242" s="44" t="s">
        <v>457</v>
      </c>
      <c r="N1242" s="44">
        <v>1</v>
      </c>
      <c r="O1242" s="44">
        <f t="shared" si="41"/>
        <v>1</v>
      </c>
      <c r="P1242" s="48">
        <f>DGKC!H134</f>
        <v>1</v>
      </c>
      <c r="Q1242" s="44" t="str">
        <f t="shared" si="40"/>
        <v>PASS</v>
      </c>
      <c r="R1242" s="44" t="s">
        <v>1587</v>
      </c>
      <c r="S1242" s="44" t="s">
        <v>1537</v>
      </c>
    </row>
    <row r="1243" spans="1:19" x14ac:dyDescent="0.3">
      <c r="A1243" s="44" t="s">
        <v>2483</v>
      </c>
      <c r="B1243" s="44" t="s">
        <v>106</v>
      </c>
      <c r="C1243" s="44" t="s">
        <v>965</v>
      </c>
      <c r="D1243" s="44" t="s">
        <v>243</v>
      </c>
      <c r="E1243" s="44" t="s">
        <v>1035</v>
      </c>
      <c r="F1243" s="44" t="s">
        <v>1103</v>
      </c>
      <c r="G1243" s="44" t="s">
        <v>1584</v>
      </c>
      <c r="H1243" s="44" t="s">
        <v>1105</v>
      </c>
      <c r="I1243" s="44" t="s">
        <v>1106</v>
      </c>
      <c r="J1243" s="44">
        <v>163</v>
      </c>
      <c r="K1243" s="44" t="s">
        <v>2484</v>
      </c>
      <c r="L1243" s="44" t="s">
        <v>1179</v>
      </c>
      <c r="M1243" s="44" t="s">
        <v>2033</v>
      </c>
      <c r="N1243" s="45">
        <v>44297941</v>
      </c>
      <c r="O1243" s="46">
        <f t="shared" ref="O1243:O1306" si="42">N1243/1000</f>
        <v>44297.940999999999</v>
      </c>
      <c r="P1243" s="47">
        <f>MLCF!C20</f>
        <v>44297.940999999999</v>
      </c>
      <c r="Q1243" s="44" t="str">
        <f t="shared" si="40"/>
        <v>PASS</v>
      </c>
      <c r="R1243" s="44" t="s">
        <v>1587</v>
      </c>
      <c r="S1243" s="44"/>
    </row>
    <row r="1244" spans="1:19" x14ac:dyDescent="0.3">
      <c r="A1244" s="44" t="s">
        <v>2485</v>
      </c>
      <c r="B1244" s="44" t="s">
        <v>106</v>
      </c>
      <c r="C1244" s="44" t="s">
        <v>20</v>
      </c>
      <c r="D1244" s="44" t="s">
        <v>243</v>
      </c>
      <c r="E1244" s="44" t="s">
        <v>1035</v>
      </c>
      <c r="F1244" s="44" t="s">
        <v>1103</v>
      </c>
      <c r="G1244" s="44" t="s">
        <v>1589</v>
      </c>
      <c r="H1244" s="44" t="s">
        <v>1113</v>
      </c>
      <c r="I1244" s="44" t="s">
        <v>1106</v>
      </c>
      <c r="J1244" s="44">
        <v>184</v>
      </c>
      <c r="K1244" s="44" t="s">
        <v>2230</v>
      </c>
      <c r="L1244" s="44" t="s">
        <v>1179</v>
      </c>
      <c r="M1244" s="44" t="s">
        <v>2033</v>
      </c>
      <c r="N1244" s="45">
        <v>44215539</v>
      </c>
      <c r="O1244" s="46">
        <f t="shared" si="42"/>
        <v>44215.538999999997</v>
      </c>
      <c r="P1244" s="47">
        <f>MLCF!D20</f>
        <v>44215.538999999997</v>
      </c>
      <c r="Q1244" s="44" t="str">
        <f t="shared" si="40"/>
        <v>PASS</v>
      </c>
      <c r="R1244" s="44" t="s">
        <v>1587</v>
      </c>
      <c r="S1244" s="44"/>
    </row>
    <row r="1245" spans="1:19" x14ac:dyDescent="0.3">
      <c r="A1245" s="44" t="s">
        <v>2486</v>
      </c>
      <c r="B1245" s="44" t="s">
        <v>106</v>
      </c>
      <c r="C1245" s="44" t="s">
        <v>26</v>
      </c>
      <c r="D1245" s="44" t="s">
        <v>243</v>
      </c>
      <c r="E1245" s="44" t="s">
        <v>1035</v>
      </c>
      <c r="F1245" s="44" t="s">
        <v>1103</v>
      </c>
      <c r="G1245" s="44" t="s">
        <v>1592</v>
      </c>
      <c r="H1245" s="44" t="s">
        <v>1117</v>
      </c>
      <c r="I1245" s="44" t="s">
        <v>1106</v>
      </c>
      <c r="J1245" s="44">
        <v>98</v>
      </c>
      <c r="K1245" s="44" t="s">
        <v>2487</v>
      </c>
      <c r="L1245" s="44"/>
      <c r="M1245" s="44" t="s">
        <v>2033</v>
      </c>
      <c r="N1245" s="45">
        <v>56784840</v>
      </c>
      <c r="O1245" s="46">
        <f t="shared" si="42"/>
        <v>56784.84</v>
      </c>
      <c r="P1245" s="47">
        <f>MLCF!E20</f>
        <v>56784.84</v>
      </c>
      <c r="Q1245" s="44" t="str">
        <f t="shared" si="40"/>
        <v>PASS</v>
      </c>
      <c r="R1245" s="44" t="s">
        <v>1587</v>
      </c>
      <c r="S1245" s="44"/>
    </row>
    <row r="1246" spans="1:19" x14ac:dyDescent="0.3">
      <c r="A1246" s="44" t="s">
        <v>2488</v>
      </c>
      <c r="B1246" s="44" t="s">
        <v>106</v>
      </c>
      <c r="C1246" s="44" t="s">
        <v>27</v>
      </c>
      <c r="D1246" s="44" t="s">
        <v>243</v>
      </c>
      <c r="E1246" s="44" t="s">
        <v>1035</v>
      </c>
      <c r="F1246" s="44" t="s">
        <v>1103</v>
      </c>
      <c r="G1246" s="44" t="s">
        <v>1595</v>
      </c>
      <c r="H1246" s="44" t="s">
        <v>1120</v>
      </c>
      <c r="I1246" s="44" t="s">
        <v>1106</v>
      </c>
      <c r="J1246" s="44">
        <v>190</v>
      </c>
      <c r="K1246" s="44" t="s">
        <v>2489</v>
      </c>
      <c r="L1246" s="44" t="s">
        <v>1179</v>
      </c>
      <c r="M1246" s="44" t="s">
        <v>2033</v>
      </c>
      <c r="N1246" s="45">
        <v>62354608</v>
      </c>
      <c r="O1246" s="46">
        <f t="shared" si="42"/>
        <v>62354.608</v>
      </c>
      <c r="P1246" s="47">
        <f>MLCF!F20</f>
        <v>62354.608</v>
      </c>
      <c r="Q1246" s="44" t="str">
        <f t="shared" si="40"/>
        <v>PASS</v>
      </c>
      <c r="R1246" s="44" t="s">
        <v>1587</v>
      </c>
      <c r="S1246" s="44"/>
    </row>
    <row r="1247" spans="1:19" x14ac:dyDescent="0.3">
      <c r="A1247" s="44" t="s">
        <v>2490</v>
      </c>
      <c r="B1247" s="44" t="s">
        <v>106</v>
      </c>
      <c r="C1247" s="44" t="s">
        <v>28</v>
      </c>
      <c r="D1247" s="44" t="s">
        <v>243</v>
      </c>
      <c r="E1247" s="44" t="s">
        <v>1035</v>
      </c>
      <c r="F1247" s="44" t="s">
        <v>1103</v>
      </c>
      <c r="G1247" s="44" t="s">
        <v>1598</v>
      </c>
      <c r="H1247" s="44" t="s">
        <v>1124</v>
      </c>
      <c r="I1247" s="44" t="s">
        <v>1106</v>
      </c>
      <c r="J1247" s="44">
        <v>202</v>
      </c>
      <c r="K1247" s="44" t="s">
        <v>2452</v>
      </c>
      <c r="L1247" s="44" t="s">
        <v>1157</v>
      </c>
      <c r="M1247" s="44" t="s">
        <v>2033</v>
      </c>
      <c r="N1247" s="45">
        <v>65995598</v>
      </c>
      <c r="O1247" s="46">
        <f t="shared" si="42"/>
        <v>65995.597999999998</v>
      </c>
      <c r="P1247" s="47">
        <f>MLCF!G20</f>
        <v>65995.597999999998</v>
      </c>
      <c r="Q1247" s="44" t="str">
        <f t="shared" si="40"/>
        <v>PASS</v>
      </c>
      <c r="R1247" s="44" t="s">
        <v>1587</v>
      </c>
      <c r="S1247" s="44"/>
    </row>
    <row r="1248" spans="1:19" x14ac:dyDescent="0.3">
      <c r="A1248" s="44" t="s">
        <v>2491</v>
      </c>
      <c r="B1248" s="44" t="s">
        <v>106</v>
      </c>
      <c r="C1248" s="44" t="s">
        <v>29</v>
      </c>
      <c r="D1248" s="44" t="s">
        <v>243</v>
      </c>
      <c r="E1248" s="44" t="s">
        <v>1035</v>
      </c>
      <c r="F1248" s="44" t="s">
        <v>1103</v>
      </c>
      <c r="G1248" s="44" t="s">
        <v>1598</v>
      </c>
      <c r="H1248" s="44" t="s">
        <v>1124</v>
      </c>
      <c r="I1248" s="44" t="s">
        <v>1127</v>
      </c>
      <c r="J1248" s="44">
        <v>202</v>
      </c>
      <c r="K1248" s="44" t="s">
        <v>2452</v>
      </c>
      <c r="L1248" s="44" t="s">
        <v>1157</v>
      </c>
      <c r="M1248" s="44" t="s">
        <v>2033</v>
      </c>
      <c r="N1248" s="45">
        <v>62836212</v>
      </c>
      <c r="O1248" s="46">
        <f t="shared" si="42"/>
        <v>62836.212</v>
      </c>
      <c r="P1248" s="47">
        <f>MLCF!H20</f>
        <v>62836.212</v>
      </c>
      <c r="Q1248" s="44" t="str">
        <f t="shared" si="40"/>
        <v>PASS</v>
      </c>
      <c r="R1248" s="44" t="s">
        <v>1587</v>
      </c>
      <c r="S1248" s="44"/>
    </row>
    <row r="1249" spans="1:19" x14ac:dyDescent="0.3">
      <c r="A1249" s="44" t="s">
        <v>2492</v>
      </c>
      <c r="B1249" s="44" t="s">
        <v>106</v>
      </c>
      <c r="C1249" s="44" t="s">
        <v>965</v>
      </c>
      <c r="D1249" s="44" t="s">
        <v>1129</v>
      </c>
      <c r="E1249" s="44" t="s">
        <v>1130</v>
      </c>
      <c r="F1249" s="44" t="s">
        <v>2493</v>
      </c>
      <c r="G1249" s="44" t="s">
        <v>1584</v>
      </c>
      <c r="H1249" s="44" t="s">
        <v>1105</v>
      </c>
      <c r="I1249" s="44" t="s">
        <v>1106</v>
      </c>
      <c r="J1249" s="44">
        <v>203</v>
      </c>
      <c r="K1249" s="44" t="s">
        <v>2452</v>
      </c>
      <c r="L1249" s="44"/>
      <c r="M1249" s="44" t="s">
        <v>2033</v>
      </c>
      <c r="N1249" s="45">
        <v>871386</v>
      </c>
      <c r="O1249" s="46">
        <f t="shared" si="42"/>
        <v>871.38599999999997</v>
      </c>
      <c r="P1249" s="47">
        <f>MLCF!C21</f>
        <v>871.38599999999997</v>
      </c>
      <c r="Q1249" s="44" t="str">
        <f t="shared" si="40"/>
        <v>PASS</v>
      </c>
      <c r="R1249" s="44" t="s">
        <v>1587</v>
      </c>
      <c r="S1249" s="44"/>
    </row>
    <row r="1250" spans="1:19" x14ac:dyDescent="0.3">
      <c r="A1250" s="44" t="s">
        <v>2494</v>
      </c>
      <c r="B1250" s="44" t="s">
        <v>106</v>
      </c>
      <c r="C1250" s="44" t="s">
        <v>20</v>
      </c>
      <c r="D1250" s="44" t="s">
        <v>1129</v>
      </c>
      <c r="E1250" s="44" t="s">
        <v>1130</v>
      </c>
      <c r="F1250" s="44" t="s">
        <v>2493</v>
      </c>
      <c r="G1250" s="44" t="s">
        <v>1589</v>
      </c>
      <c r="H1250" s="44" t="s">
        <v>1113</v>
      </c>
      <c r="I1250" s="44" t="s">
        <v>1106</v>
      </c>
      <c r="J1250" s="44">
        <v>226</v>
      </c>
      <c r="K1250" s="44" t="s">
        <v>1842</v>
      </c>
      <c r="L1250" s="44"/>
      <c r="M1250" s="44" t="s">
        <v>2033</v>
      </c>
      <c r="N1250" s="45">
        <v>2854293</v>
      </c>
      <c r="O1250" s="46">
        <f t="shared" si="42"/>
        <v>2854.2930000000001</v>
      </c>
      <c r="P1250" s="47">
        <f>MLCF!D21</f>
        <v>2854.2930000000001</v>
      </c>
      <c r="Q1250" s="44" t="str">
        <f t="shared" si="40"/>
        <v>PASS</v>
      </c>
      <c r="R1250" s="44" t="s">
        <v>1587</v>
      </c>
      <c r="S1250" s="44"/>
    </row>
    <row r="1251" spans="1:19" x14ac:dyDescent="0.3">
      <c r="A1251" s="44" t="s">
        <v>2495</v>
      </c>
      <c r="B1251" s="44" t="s">
        <v>106</v>
      </c>
      <c r="C1251" s="44" t="s">
        <v>26</v>
      </c>
      <c r="D1251" s="44" t="s">
        <v>1129</v>
      </c>
      <c r="E1251" s="44" t="s">
        <v>1130</v>
      </c>
      <c r="F1251" s="44" t="s">
        <v>2493</v>
      </c>
      <c r="G1251" s="44" t="s">
        <v>1589</v>
      </c>
      <c r="H1251" s="44" t="s">
        <v>1113</v>
      </c>
      <c r="I1251" s="44" t="s">
        <v>1127</v>
      </c>
      <c r="J1251" s="44">
        <v>226</v>
      </c>
      <c r="K1251" s="44" t="s">
        <v>1842</v>
      </c>
      <c r="L1251" s="44"/>
      <c r="M1251" s="44" t="s">
        <v>2033</v>
      </c>
      <c r="N1251" s="45">
        <v>15352800</v>
      </c>
      <c r="O1251" s="46">
        <f t="shared" si="42"/>
        <v>15352.8</v>
      </c>
      <c r="P1251" s="47">
        <f>MLCF!E21</f>
        <v>15352.8</v>
      </c>
      <c r="Q1251" s="44" t="str">
        <f t="shared" si="40"/>
        <v>PASS</v>
      </c>
      <c r="R1251" s="44" t="s">
        <v>1587</v>
      </c>
      <c r="S1251" s="44"/>
    </row>
    <row r="1252" spans="1:19" x14ac:dyDescent="0.3">
      <c r="A1252" s="44" t="s">
        <v>2496</v>
      </c>
      <c r="B1252" s="44" t="s">
        <v>106</v>
      </c>
      <c r="C1252" s="44" t="s">
        <v>27</v>
      </c>
      <c r="D1252" s="44" t="s">
        <v>1129</v>
      </c>
      <c r="E1252" s="44" t="s">
        <v>1130</v>
      </c>
      <c r="F1252" s="44" t="s">
        <v>2493</v>
      </c>
      <c r="G1252" s="44" t="s">
        <v>1595</v>
      </c>
      <c r="H1252" s="44" t="s">
        <v>1120</v>
      </c>
      <c r="I1252" s="44" t="s">
        <v>1106</v>
      </c>
      <c r="J1252" s="44">
        <v>232</v>
      </c>
      <c r="K1252" s="44" t="s">
        <v>2497</v>
      </c>
      <c r="L1252" s="44"/>
      <c r="M1252" s="44" t="s">
        <v>2033</v>
      </c>
      <c r="N1252" s="45">
        <v>1676796</v>
      </c>
      <c r="O1252" s="46">
        <f t="shared" si="42"/>
        <v>1676.796</v>
      </c>
      <c r="P1252" s="47">
        <f>MLCF!F21</f>
        <v>1676.796</v>
      </c>
      <c r="Q1252" s="44" t="str">
        <f t="shared" si="40"/>
        <v>PASS</v>
      </c>
      <c r="R1252" s="44" t="s">
        <v>1587</v>
      </c>
      <c r="S1252" s="44"/>
    </row>
    <row r="1253" spans="1:19" x14ac:dyDescent="0.3">
      <c r="A1253" s="44" t="s">
        <v>2498</v>
      </c>
      <c r="B1253" s="44" t="s">
        <v>106</v>
      </c>
      <c r="C1253" s="44" t="s">
        <v>28</v>
      </c>
      <c r="D1253" s="44" t="s">
        <v>1129</v>
      </c>
      <c r="E1253" s="44" t="s">
        <v>1130</v>
      </c>
      <c r="F1253" s="44" t="s">
        <v>2499</v>
      </c>
      <c r="G1253" s="44" t="s">
        <v>1598</v>
      </c>
      <c r="H1253" s="44" t="s">
        <v>1124</v>
      </c>
      <c r="I1253" s="44" t="s">
        <v>1106</v>
      </c>
      <c r="J1253" s="44">
        <v>246</v>
      </c>
      <c r="K1253" s="44" t="s">
        <v>2500</v>
      </c>
      <c r="L1253" s="44"/>
      <c r="M1253" s="44" t="s">
        <v>2033</v>
      </c>
      <c r="N1253" s="45">
        <v>471174</v>
      </c>
      <c r="O1253" s="46">
        <f t="shared" si="42"/>
        <v>471.17399999999998</v>
      </c>
      <c r="P1253" s="47">
        <f>MLCF!G21</f>
        <v>471.17399999999998</v>
      </c>
      <c r="Q1253" s="44" t="str">
        <f t="shared" si="40"/>
        <v>PASS</v>
      </c>
      <c r="R1253" s="44" t="s">
        <v>1587</v>
      </c>
      <c r="S1253" s="44"/>
    </row>
    <row r="1254" spans="1:19" x14ac:dyDescent="0.3">
      <c r="A1254" s="44" t="s">
        <v>2501</v>
      </c>
      <c r="B1254" s="44" t="s">
        <v>106</v>
      </c>
      <c r="C1254" s="44" t="s">
        <v>29</v>
      </c>
      <c r="D1254" s="44" t="s">
        <v>1129</v>
      </c>
      <c r="E1254" s="44" t="s">
        <v>1130</v>
      </c>
      <c r="F1254" s="44" t="s">
        <v>2499</v>
      </c>
      <c r="G1254" s="44" t="s">
        <v>1598</v>
      </c>
      <c r="H1254" s="44" t="s">
        <v>1124</v>
      </c>
      <c r="I1254" s="44" t="s">
        <v>1127</v>
      </c>
      <c r="J1254" s="44">
        <v>246</v>
      </c>
      <c r="K1254" s="44" t="s">
        <v>2500</v>
      </c>
      <c r="L1254" s="44"/>
      <c r="M1254" s="44" t="s">
        <v>2033</v>
      </c>
      <c r="N1254" s="45">
        <v>125704</v>
      </c>
      <c r="O1254" s="46">
        <f t="shared" si="42"/>
        <v>125.70399999999999</v>
      </c>
      <c r="P1254" s="47">
        <f>MLCF!H21</f>
        <v>125.70399999999999</v>
      </c>
      <c r="Q1254" s="44" t="str">
        <f t="shared" si="40"/>
        <v>PASS</v>
      </c>
      <c r="R1254" s="44" t="s">
        <v>1587</v>
      </c>
      <c r="S1254" s="44"/>
    </row>
    <row r="1255" spans="1:19" x14ac:dyDescent="0.3">
      <c r="A1255" s="44" t="s">
        <v>2502</v>
      </c>
      <c r="B1255" s="44" t="s">
        <v>106</v>
      </c>
      <c r="C1255" s="44" t="s">
        <v>965</v>
      </c>
      <c r="D1255" s="44" t="s">
        <v>250</v>
      </c>
      <c r="E1255" s="44" t="s">
        <v>1035</v>
      </c>
      <c r="F1255" s="44"/>
      <c r="G1255" s="44" t="s">
        <v>1584</v>
      </c>
      <c r="H1255" s="44" t="s">
        <v>1105</v>
      </c>
      <c r="I1255" s="44" t="s">
        <v>1106</v>
      </c>
      <c r="J1255" s="44">
        <v>162</v>
      </c>
      <c r="K1255" s="44" t="s">
        <v>2503</v>
      </c>
      <c r="L1255" s="44"/>
      <c r="M1255" s="44" t="s">
        <v>2033</v>
      </c>
      <c r="N1255" s="45">
        <v>0</v>
      </c>
      <c r="O1255" s="46">
        <f t="shared" si="42"/>
        <v>0</v>
      </c>
      <c r="P1255" s="47">
        <f>MLCF!C23</f>
        <v>0</v>
      </c>
      <c r="Q1255" s="44" t="str">
        <f t="shared" si="40"/>
        <v>PASS</v>
      </c>
      <c r="R1255" s="44" t="s">
        <v>1587</v>
      </c>
      <c r="S1255" s="44"/>
    </row>
    <row r="1256" spans="1:19" x14ac:dyDescent="0.3">
      <c r="A1256" s="44" t="s">
        <v>2504</v>
      </c>
      <c r="B1256" s="44" t="s">
        <v>106</v>
      </c>
      <c r="C1256" s="44" t="s">
        <v>20</v>
      </c>
      <c r="D1256" s="44" t="s">
        <v>250</v>
      </c>
      <c r="E1256" s="44" t="s">
        <v>1035</v>
      </c>
      <c r="F1256" s="44"/>
      <c r="G1256" s="44" t="s">
        <v>1589</v>
      </c>
      <c r="H1256" s="44" t="s">
        <v>1113</v>
      </c>
      <c r="I1256" s="44" t="s">
        <v>1106</v>
      </c>
      <c r="J1256" s="44">
        <v>183</v>
      </c>
      <c r="K1256" s="44" t="s">
        <v>2201</v>
      </c>
      <c r="L1256" s="44"/>
      <c r="M1256" s="44" t="s">
        <v>2033</v>
      </c>
      <c r="N1256" s="45">
        <v>0</v>
      </c>
      <c r="O1256" s="46">
        <f t="shared" si="42"/>
        <v>0</v>
      </c>
      <c r="P1256" s="47">
        <f>MLCF!D23</f>
        <v>0</v>
      </c>
      <c r="Q1256" s="44" t="str">
        <f t="shared" si="40"/>
        <v>PASS</v>
      </c>
      <c r="R1256" s="44" t="s">
        <v>1587</v>
      </c>
      <c r="S1256" s="44"/>
    </row>
    <row r="1257" spans="1:19" x14ac:dyDescent="0.3">
      <c r="A1257" s="44" t="s">
        <v>2505</v>
      </c>
      <c r="B1257" s="44" t="s">
        <v>106</v>
      </c>
      <c r="C1257" s="44" t="s">
        <v>26</v>
      </c>
      <c r="D1257" s="44" t="s">
        <v>250</v>
      </c>
      <c r="E1257" s="44" t="s">
        <v>1035</v>
      </c>
      <c r="F1257" s="44"/>
      <c r="G1257" s="44" t="s">
        <v>1592</v>
      </c>
      <c r="H1257" s="44" t="s">
        <v>1117</v>
      </c>
      <c r="I1257" s="44" t="s">
        <v>1106</v>
      </c>
      <c r="J1257" s="44">
        <v>98</v>
      </c>
      <c r="K1257" s="44" t="s">
        <v>2487</v>
      </c>
      <c r="L1257" s="44"/>
      <c r="M1257" s="44" t="s">
        <v>2033</v>
      </c>
      <c r="N1257" s="45">
        <v>0</v>
      </c>
      <c r="O1257" s="46">
        <f t="shared" si="42"/>
        <v>0</v>
      </c>
      <c r="P1257" s="47">
        <f>MLCF!E23</f>
        <v>0</v>
      </c>
      <c r="Q1257" s="44" t="str">
        <f t="shared" ref="Q1257:Q1320" si="43">IF(ABS(O1257-P1257)&lt;0.000001,"PASS","FAIL")</f>
        <v>PASS</v>
      </c>
      <c r="R1257" s="44" t="s">
        <v>1587</v>
      </c>
      <c r="S1257" s="44"/>
    </row>
    <row r="1258" spans="1:19" x14ac:dyDescent="0.3">
      <c r="A1258" s="44" t="s">
        <v>2506</v>
      </c>
      <c r="B1258" s="44" t="s">
        <v>106</v>
      </c>
      <c r="C1258" s="44" t="s">
        <v>27</v>
      </c>
      <c r="D1258" s="44" t="s">
        <v>250</v>
      </c>
      <c r="E1258" s="44" t="s">
        <v>1035</v>
      </c>
      <c r="F1258" s="44"/>
      <c r="G1258" s="44" t="s">
        <v>1595</v>
      </c>
      <c r="H1258" s="44" t="s">
        <v>1120</v>
      </c>
      <c r="I1258" s="44" t="s">
        <v>1106</v>
      </c>
      <c r="J1258" s="44">
        <v>189</v>
      </c>
      <c r="K1258" s="44" t="s">
        <v>2055</v>
      </c>
      <c r="L1258" s="44"/>
      <c r="M1258" s="44" t="s">
        <v>2033</v>
      </c>
      <c r="N1258" s="45">
        <v>0</v>
      </c>
      <c r="O1258" s="46">
        <f t="shared" si="42"/>
        <v>0</v>
      </c>
      <c r="P1258" s="47">
        <f>MLCF!F23</f>
        <v>0</v>
      </c>
      <c r="Q1258" s="44" t="str">
        <f t="shared" si="43"/>
        <v>PASS</v>
      </c>
      <c r="R1258" s="44" t="s">
        <v>1587</v>
      </c>
      <c r="S1258" s="44"/>
    </row>
    <row r="1259" spans="1:19" x14ac:dyDescent="0.3">
      <c r="A1259" s="44" t="s">
        <v>2507</v>
      </c>
      <c r="B1259" s="44" t="s">
        <v>106</v>
      </c>
      <c r="C1259" s="44" t="s">
        <v>28</v>
      </c>
      <c r="D1259" s="44" t="s">
        <v>250</v>
      </c>
      <c r="E1259" s="44" t="s">
        <v>1035</v>
      </c>
      <c r="F1259" s="44"/>
      <c r="G1259" s="44" t="s">
        <v>1598</v>
      </c>
      <c r="H1259" s="44" t="s">
        <v>1124</v>
      </c>
      <c r="I1259" s="44" t="s">
        <v>1106</v>
      </c>
      <c r="J1259" s="44">
        <v>201</v>
      </c>
      <c r="K1259" s="44" t="s">
        <v>2380</v>
      </c>
      <c r="L1259" s="44"/>
      <c r="M1259" s="44" t="s">
        <v>2033</v>
      </c>
      <c r="N1259" s="45">
        <v>0</v>
      </c>
      <c r="O1259" s="46">
        <f t="shared" si="42"/>
        <v>0</v>
      </c>
      <c r="P1259" s="47">
        <f>MLCF!G23</f>
        <v>0</v>
      </c>
      <c r="Q1259" s="44" t="str">
        <f t="shared" si="43"/>
        <v>PASS</v>
      </c>
      <c r="R1259" s="44" t="s">
        <v>1587</v>
      </c>
      <c r="S1259" s="44"/>
    </row>
    <row r="1260" spans="1:19" x14ac:dyDescent="0.3">
      <c r="A1260" s="44" t="s">
        <v>2508</v>
      </c>
      <c r="B1260" s="44" t="s">
        <v>106</v>
      </c>
      <c r="C1260" s="44" t="s">
        <v>29</v>
      </c>
      <c r="D1260" s="44" t="s">
        <v>250</v>
      </c>
      <c r="E1260" s="44" t="s">
        <v>1035</v>
      </c>
      <c r="F1260" s="44"/>
      <c r="G1260" s="44" t="s">
        <v>1598</v>
      </c>
      <c r="H1260" s="44" t="s">
        <v>1124</v>
      </c>
      <c r="I1260" s="44" t="s">
        <v>1127</v>
      </c>
      <c r="J1260" s="44">
        <v>201</v>
      </c>
      <c r="K1260" s="44" t="s">
        <v>2380</v>
      </c>
      <c r="L1260" s="44"/>
      <c r="M1260" s="44" t="s">
        <v>2033</v>
      </c>
      <c r="N1260" s="45">
        <v>0</v>
      </c>
      <c r="O1260" s="46">
        <f t="shared" si="42"/>
        <v>0</v>
      </c>
      <c r="P1260" s="47">
        <f>MLCF!H23</f>
        <v>0</v>
      </c>
      <c r="Q1260" s="44" t="str">
        <f t="shared" si="43"/>
        <v>PASS</v>
      </c>
      <c r="R1260" s="44" t="s">
        <v>1587</v>
      </c>
      <c r="S1260" s="44"/>
    </row>
    <row r="1261" spans="1:19" x14ac:dyDescent="0.3">
      <c r="A1261" s="44" t="s">
        <v>2509</v>
      </c>
      <c r="B1261" s="44" t="s">
        <v>106</v>
      </c>
      <c r="C1261" s="44" t="s">
        <v>965</v>
      </c>
      <c r="D1261" s="44" t="s">
        <v>252</v>
      </c>
      <c r="E1261" s="44" t="s">
        <v>1035</v>
      </c>
      <c r="F1261" s="44" t="s">
        <v>252</v>
      </c>
      <c r="G1261" s="44" t="s">
        <v>1584</v>
      </c>
      <c r="H1261" s="44" t="s">
        <v>1105</v>
      </c>
      <c r="I1261" s="44" t="s">
        <v>1106</v>
      </c>
      <c r="J1261" s="44">
        <v>163</v>
      </c>
      <c r="K1261" s="44" t="s">
        <v>2484</v>
      </c>
      <c r="L1261" s="44" t="s">
        <v>1186</v>
      </c>
      <c r="M1261" s="44" t="s">
        <v>2033</v>
      </c>
      <c r="N1261" s="45">
        <v>9023</v>
      </c>
      <c r="O1261" s="46">
        <f t="shared" si="42"/>
        <v>9.0229999999999997</v>
      </c>
      <c r="P1261" s="47">
        <f>MLCF!C24</f>
        <v>9.0229999999999997</v>
      </c>
      <c r="Q1261" s="44" t="str">
        <f t="shared" si="43"/>
        <v>PASS</v>
      </c>
      <c r="R1261" s="44" t="s">
        <v>1587</v>
      </c>
      <c r="S1261" s="44"/>
    </row>
    <row r="1262" spans="1:19" x14ac:dyDescent="0.3">
      <c r="A1262" s="44" t="s">
        <v>2510</v>
      </c>
      <c r="B1262" s="44" t="s">
        <v>106</v>
      </c>
      <c r="C1262" s="44" t="s">
        <v>20</v>
      </c>
      <c r="D1262" s="44" t="s">
        <v>252</v>
      </c>
      <c r="E1262" s="44" t="s">
        <v>1035</v>
      </c>
      <c r="F1262" s="44" t="s">
        <v>252</v>
      </c>
      <c r="G1262" s="44" t="s">
        <v>1589</v>
      </c>
      <c r="H1262" s="44" t="s">
        <v>1113</v>
      </c>
      <c r="I1262" s="44" t="s">
        <v>1106</v>
      </c>
      <c r="J1262" s="44">
        <v>184</v>
      </c>
      <c r="K1262" s="44" t="s">
        <v>2230</v>
      </c>
      <c r="L1262" s="44" t="s">
        <v>1186</v>
      </c>
      <c r="M1262" s="44" t="s">
        <v>2033</v>
      </c>
      <c r="N1262" s="45">
        <v>6017</v>
      </c>
      <c r="O1262" s="46">
        <f t="shared" si="42"/>
        <v>6.0170000000000003</v>
      </c>
      <c r="P1262" s="47">
        <f>MLCF!D24</f>
        <v>6.0170000000000003</v>
      </c>
      <c r="Q1262" s="44" t="str">
        <f t="shared" si="43"/>
        <v>PASS</v>
      </c>
      <c r="R1262" s="44" t="s">
        <v>1587</v>
      </c>
      <c r="S1262" s="44"/>
    </row>
    <row r="1263" spans="1:19" x14ac:dyDescent="0.3">
      <c r="A1263" s="44" t="s">
        <v>2511</v>
      </c>
      <c r="B1263" s="44" t="s">
        <v>106</v>
      </c>
      <c r="C1263" s="44" t="s">
        <v>26</v>
      </c>
      <c r="D1263" s="44" t="s">
        <v>252</v>
      </c>
      <c r="E1263" s="44" t="s">
        <v>1035</v>
      </c>
      <c r="F1263" s="44" t="s">
        <v>252</v>
      </c>
      <c r="G1263" s="44" t="s">
        <v>1592</v>
      </c>
      <c r="H1263" s="44" t="s">
        <v>1117</v>
      </c>
      <c r="I1263" s="44" t="s">
        <v>1106</v>
      </c>
      <c r="J1263" s="44">
        <v>98</v>
      </c>
      <c r="K1263" s="44" t="s">
        <v>2487</v>
      </c>
      <c r="L1263" s="44"/>
      <c r="M1263" s="44" t="s">
        <v>2033</v>
      </c>
      <c r="N1263" s="45">
        <v>10415</v>
      </c>
      <c r="O1263" s="46">
        <f t="shared" si="42"/>
        <v>10.414999999999999</v>
      </c>
      <c r="P1263" s="47">
        <f>MLCF!E24</f>
        <v>10.414999999999999</v>
      </c>
      <c r="Q1263" s="44" t="str">
        <f t="shared" si="43"/>
        <v>PASS</v>
      </c>
      <c r="R1263" s="44" t="s">
        <v>1587</v>
      </c>
      <c r="S1263" s="44"/>
    </row>
    <row r="1264" spans="1:19" x14ac:dyDescent="0.3">
      <c r="A1264" s="44" t="s">
        <v>2512</v>
      </c>
      <c r="B1264" s="44" t="s">
        <v>106</v>
      </c>
      <c r="C1264" s="44" t="s">
        <v>27</v>
      </c>
      <c r="D1264" s="44" t="s">
        <v>252</v>
      </c>
      <c r="E1264" s="44" t="s">
        <v>1035</v>
      </c>
      <c r="F1264" s="44" t="s">
        <v>252</v>
      </c>
      <c r="G1264" s="44" t="s">
        <v>1595</v>
      </c>
      <c r="H1264" s="44" t="s">
        <v>1120</v>
      </c>
      <c r="I1264" s="44" t="s">
        <v>1106</v>
      </c>
      <c r="J1264" s="44">
        <v>190</v>
      </c>
      <c r="K1264" s="44" t="s">
        <v>2489</v>
      </c>
      <c r="L1264" s="44" t="s">
        <v>1186</v>
      </c>
      <c r="M1264" s="44" t="s">
        <v>2033</v>
      </c>
      <c r="N1264" s="45">
        <v>6946</v>
      </c>
      <c r="O1264" s="46">
        <f t="shared" si="42"/>
        <v>6.9459999999999997</v>
      </c>
      <c r="P1264" s="47">
        <f>MLCF!F24</f>
        <v>6.9459999999999997</v>
      </c>
      <c r="Q1264" s="44" t="str">
        <f t="shared" si="43"/>
        <v>PASS</v>
      </c>
      <c r="R1264" s="44" t="s">
        <v>1587</v>
      </c>
      <c r="S1264" s="44"/>
    </row>
    <row r="1265" spans="1:19" x14ac:dyDescent="0.3">
      <c r="A1265" s="44" t="s">
        <v>2513</v>
      </c>
      <c r="B1265" s="44" t="s">
        <v>106</v>
      </c>
      <c r="C1265" s="44" t="s">
        <v>28</v>
      </c>
      <c r="D1265" s="44" t="s">
        <v>252</v>
      </c>
      <c r="E1265" s="44" t="s">
        <v>1035</v>
      </c>
      <c r="F1265" s="44" t="s">
        <v>252</v>
      </c>
      <c r="G1265" s="44" t="s">
        <v>1598</v>
      </c>
      <c r="H1265" s="44" t="s">
        <v>1124</v>
      </c>
      <c r="I1265" s="44" t="s">
        <v>1106</v>
      </c>
      <c r="J1265" s="44">
        <v>202</v>
      </c>
      <c r="K1265" s="44" t="s">
        <v>2452</v>
      </c>
      <c r="L1265" s="44" t="s">
        <v>1179</v>
      </c>
      <c r="M1265" s="44" t="s">
        <v>2033</v>
      </c>
      <c r="N1265" s="45">
        <v>84810</v>
      </c>
      <c r="O1265" s="46">
        <f t="shared" si="42"/>
        <v>84.81</v>
      </c>
      <c r="P1265" s="47">
        <f>MLCF!G24</f>
        <v>84.81</v>
      </c>
      <c r="Q1265" s="44" t="str">
        <f t="shared" si="43"/>
        <v>PASS</v>
      </c>
      <c r="R1265" s="44" t="s">
        <v>1587</v>
      </c>
      <c r="S1265" s="44"/>
    </row>
    <row r="1266" spans="1:19" x14ac:dyDescent="0.3">
      <c r="A1266" s="44" t="s">
        <v>2514</v>
      </c>
      <c r="B1266" s="44" t="s">
        <v>106</v>
      </c>
      <c r="C1266" s="44" t="s">
        <v>29</v>
      </c>
      <c r="D1266" s="44" t="s">
        <v>252</v>
      </c>
      <c r="E1266" s="44" t="s">
        <v>1035</v>
      </c>
      <c r="F1266" s="44" t="s">
        <v>252</v>
      </c>
      <c r="G1266" s="44" t="s">
        <v>1598</v>
      </c>
      <c r="H1266" s="44" t="s">
        <v>1124</v>
      </c>
      <c r="I1266" s="44" t="s">
        <v>1127</v>
      </c>
      <c r="J1266" s="44">
        <v>202</v>
      </c>
      <c r="K1266" s="44" t="s">
        <v>2452</v>
      </c>
      <c r="L1266" s="44" t="s">
        <v>1179</v>
      </c>
      <c r="M1266" s="44" t="s">
        <v>2033</v>
      </c>
      <c r="N1266" s="45">
        <v>62426</v>
      </c>
      <c r="O1266" s="46">
        <f t="shared" si="42"/>
        <v>62.426000000000002</v>
      </c>
      <c r="P1266" s="47">
        <f>MLCF!H24</f>
        <v>62.426000000000002</v>
      </c>
      <c r="Q1266" s="44" t="str">
        <f t="shared" si="43"/>
        <v>PASS</v>
      </c>
      <c r="R1266" s="44" t="s">
        <v>1587</v>
      </c>
      <c r="S1266" s="44"/>
    </row>
    <row r="1267" spans="1:19" x14ac:dyDescent="0.3">
      <c r="A1267" s="44" t="s">
        <v>2515</v>
      </c>
      <c r="B1267" s="44" t="s">
        <v>106</v>
      </c>
      <c r="C1267" s="44" t="s">
        <v>965</v>
      </c>
      <c r="D1267" s="44" t="s">
        <v>254</v>
      </c>
      <c r="E1267" s="44" t="s">
        <v>1035</v>
      </c>
      <c r="F1267" s="44"/>
      <c r="G1267" s="44" t="s">
        <v>1584</v>
      </c>
      <c r="H1267" s="44" t="s">
        <v>1105</v>
      </c>
      <c r="I1267" s="44" t="s">
        <v>1106</v>
      </c>
      <c r="J1267" s="44">
        <v>162</v>
      </c>
      <c r="K1267" s="44" t="s">
        <v>2503</v>
      </c>
      <c r="L1267" s="44"/>
      <c r="M1267" s="44" t="s">
        <v>2033</v>
      </c>
      <c r="N1267" s="45">
        <v>0</v>
      </c>
      <c r="O1267" s="46">
        <f t="shared" si="42"/>
        <v>0</v>
      </c>
      <c r="P1267" s="47">
        <f>MLCF!C25</f>
        <v>0</v>
      </c>
      <c r="Q1267" s="44" t="str">
        <f t="shared" si="43"/>
        <v>PASS</v>
      </c>
      <c r="R1267" s="44" t="s">
        <v>1587</v>
      </c>
      <c r="S1267" s="44"/>
    </row>
    <row r="1268" spans="1:19" x14ac:dyDescent="0.3">
      <c r="A1268" s="44" t="s">
        <v>2516</v>
      </c>
      <c r="B1268" s="44" t="s">
        <v>106</v>
      </c>
      <c r="C1268" s="44" t="s">
        <v>20</v>
      </c>
      <c r="D1268" s="44" t="s">
        <v>254</v>
      </c>
      <c r="E1268" s="44" t="s">
        <v>1035</v>
      </c>
      <c r="F1268" s="44"/>
      <c r="G1268" s="44" t="s">
        <v>1589</v>
      </c>
      <c r="H1268" s="44" t="s">
        <v>1113</v>
      </c>
      <c r="I1268" s="44" t="s">
        <v>1106</v>
      </c>
      <c r="J1268" s="44">
        <v>183</v>
      </c>
      <c r="K1268" s="44" t="s">
        <v>2201</v>
      </c>
      <c r="L1268" s="44"/>
      <c r="M1268" s="44" t="s">
        <v>2033</v>
      </c>
      <c r="N1268" s="45">
        <v>0</v>
      </c>
      <c r="O1268" s="46">
        <f t="shared" si="42"/>
        <v>0</v>
      </c>
      <c r="P1268" s="47">
        <f>MLCF!D25</f>
        <v>0</v>
      </c>
      <c r="Q1268" s="44" t="str">
        <f t="shared" si="43"/>
        <v>PASS</v>
      </c>
      <c r="R1268" s="44" t="s">
        <v>1587</v>
      </c>
      <c r="S1268" s="44"/>
    </row>
    <row r="1269" spans="1:19" x14ac:dyDescent="0.3">
      <c r="A1269" s="44" t="s">
        <v>2517</v>
      </c>
      <c r="B1269" s="44" t="s">
        <v>106</v>
      </c>
      <c r="C1269" s="44" t="s">
        <v>26</v>
      </c>
      <c r="D1269" s="44" t="s">
        <v>254</v>
      </c>
      <c r="E1269" s="44" t="s">
        <v>1035</v>
      </c>
      <c r="F1269" s="44"/>
      <c r="G1269" s="44" t="s">
        <v>1592</v>
      </c>
      <c r="H1269" s="44" t="s">
        <v>1117</v>
      </c>
      <c r="I1269" s="44" t="s">
        <v>1106</v>
      </c>
      <c r="J1269" s="44">
        <v>98</v>
      </c>
      <c r="K1269" s="44" t="s">
        <v>2487</v>
      </c>
      <c r="L1269" s="44"/>
      <c r="M1269" s="44" t="s">
        <v>2033</v>
      </c>
      <c r="N1269" s="45">
        <v>0</v>
      </c>
      <c r="O1269" s="46">
        <f t="shared" si="42"/>
        <v>0</v>
      </c>
      <c r="P1269" s="47">
        <f>MLCF!E25</f>
        <v>0</v>
      </c>
      <c r="Q1269" s="44" t="str">
        <f t="shared" si="43"/>
        <v>PASS</v>
      </c>
      <c r="R1269" s="44" t="s">
        <v>1587</v>
      </c>
      <c r="S1269" s="44"/>
    </row>
    <row r="1270" spans="1:19" x14ac:dyDescent="0.3">
      <c r="A1270" s="44" t="s">
        <v>2518</v>
      </c>
      <c r="B1270" s="44" t="s">
        <v>106</v>
      </c>
      <c r="C1270" s="44" t="s">
        <v>27</v>
      </c>
      <c r="D1270" s="44" t="s">
        <v>254</v>
      </c>
      <c r="E1270" s="44" t="s">
        <v>1035</v>
      </c>
      <c r="F1270" s="44"/>
      <c r="G1270" s="44" t="s">
        <v>1595</v>
      </c>
      <c r="H1270" s="44" t="s">
        <v>1120</v>
      </c>
      <c r="I1270" s="44" t="s">
        <v>1106</v>
      </c>
      <c r="J1270" s="44">
        <v>189</v>
      </c>
      <c r="K1270" s="44" t="s">
        <v>2055</v>
      </c>
      <c r="L1270" s="44"/>
      <c r="M1270" s="44" t="s">
        <v>2033</v>
      </c>
      <c r="N1270" s="45">
        <v>0</v>
      </c>
      <c r="O1270" s="46">
        <f t="shared" si="42"/>
        <v>0</v>
      </c>
      <c r="P1270" s="47">
        <f>MLCF!F25</f>
        <v>0</v>
      </c>
      <c r="Q1270" s="44" t="str">
        <f t="shared" si="43"/>
        <v>PASS</v>
      </c>
      <c r="R1270" s="44" t="s">
        <v>1587</v>
      </c>
      <c r="S1270" s="44"/>
    </row>
    <row r="1271" spans="1:19" x14ac:dyDescent="0.3">
      <c r="A1271" s="44" t="s">
        <v>2519</v>
      </c>
      <c r="B1271" s="44" t="s">
        <v>106</v>
      </c>
      <c r="C1271" s="44" t="s">
        <v>28</v>
      </c>
      <c r="D1271" s="44" t="s">
        <v>254</v>
      </c>
      <c r="E1271" s="44" t="s">
        <v>1035</v>
      </c>
      <c r="F1271" s="44"/>
      <c r="G1271" s="44" t="s">
        <v>1598</v>
      </c>
      <c r="H1271" s="44" t="s">
        <v>1124</v>
      </c>
      <c r="I1271" s="44" t="s">
        <v>1106</v>
      </c>
      <c r="J1271" s="44">
        <v>201</v>
      </c>
      <c r="K1271" s="44" t="s">
        <v>2380</v>
      </c>
      <c r="L1271" s="44"/>
      <c r="M1271" s="44" t="s">
        <v>2033</v>
      </c>
      <c r="N1271" s="45">
        <v>0</v>
      </c>
      <c r="O1271" s="46">
        <f t="shared" si="42"/>
        <v>0</v>
      </c>
      <c r="P1271" s="47">
        <f>MLCF!G25</f>
        <v>0</v>
      </c>
      <c r="Q1271" s="44" t="str">
        <f t="shared" si="43"/>
        <v>PASS</v>
      </c>
      <c r="R1271" s="44" t="s">
        <v>1587</v>
      </c>
      <c r="S1271" s="44"/>
    </row>
    <row r="1272" spans="1:19" x14ac:dyDescent="0.3">
      <c r="A1272" s="44" t="s">
        <v>2520</v>
      </c>
      <c r="B1272" s="44" t="s">
        <v>106</v>
      </c>
      <c r="C1272" s="44" t="s">
        <v>29</v>
      </c>
      <c r="D1272" s="44" t="s">
        <v>254</v>
      </c>
      <c r="E1272" s="44" t="s">
        <v>1035</v>
      </c>
      <c r="F1272" s="44"/>
      <c r="G1272" s="44" t="s">
        <v>1598</v>
      </c>
      <c r="H1272" s="44" t="s">
        <v>1124</v>
      </c>
      <c r="I1272" s="44" t="s">
        <v>1127</v>
      </c>
      <c r="J1272" s="44">
        <v>201</v>
      </c>
      <c r="K1272" s="44" t="s">
        <v>2380</v>
      </c>
      <c r="L1272" s="44"/>
      <c r="M1272" s="44" t="s">
        <v>2033</v>
      </c>
      <c r="N1272" s="45">
        <v>0</v>
      </c>
      <c r="O1272" s="46">
        <f t="shared" si="42"/>
        <v>0</v>
      </c>
      <c r="P1272" s="47">
        <f>MLCF!H25</f>
        <v>0</v>
      </c>
      <c r="Q1272" s="44" t="str">
        <f t="shared" si="43"/>
        <v>PASS</v>
      </c>
      <c r="R1272" s="44" t="s">
        <v>1587</v>
      </c>
      <c r="S1272" s="44"/>
    </row>
    <row r="1273" spans="1:19" x14ac:dyDescent="0.3">
      <c r="A1273" s="44" t="s">
        <v>2521</v>
      </c>
      <c r="B1273" s="44" t="s">
        <v>106</v>
      </c>
      <c r="C1273" s="44" t="s">
        <v>965</v>
      </c>
      <c r="D1273" s="44" t="s">
        <v>256</v>
      </c>
      <c r="E1273" s="44" t="s">
        <v>1035</v>
      </c>
      <c r="F1273" s="44" t="s">
        <v>2522</v>
      </c>
      <c r="G1273" s="44" t="s">
        <v>1584</v>
      </c>
      <c r="H1273" s="44" t="s">
        <v>1105</v>
      </c>
      <c r="I1273" s="44" t="s">
        <v>1106</v>
      </c>
      <c r="J1273" s="44">
        <v>163</v>
      </c>
      <c r="K1273" s="44" t="s">
        <v>2484</v>
      </c>
      <c r="L1273" s="44" t="s">
        <v>1194</v>
      </c>
      <c r="M1273" s="44" t="s">
        <v>2033</v>
      </c>
      <c r="N1273" s="45">
        <v>5020000</v>
      </c>
      <c r="O1273" s="46">
        <f t="shared" si="42"/>
        <v>5020</v>
      </c>
      <c r="P1273" s="47">
        <f>MLCF!C26</f>
        <v>5020</v>
      </c>
      <c r="Q1273" s="44" t="str">
        <f t="shared" si="43"/>
        <v>PASS</v>
      </c>
      <c r="R1273" s="44" t="s">
        <v>1587</v>
      </c>
      <c r="S1273" s="44"/>
    </row>
    <row r="1274" spans="1:19" x14ac:dyDescent="0.3">
      <c r="A1274" s="44" t="s">
        <v>2523</v>
      </c>
      <c r="B1274" s="44" t="s">
        <v>106</v>
      </c>
      <c r="C1274" s="44" t="s">
        <v>20</v>
      </c>
      <c r="D1274" s="44" t="s">
        <v>256</v>
      </c>
      <c r="E1274" s="44" t="s">
        <v>1035</v>
      </c>
      <c r="F1274" s="44" t="s">
        <v>2522</v>
      </c>
      <c r="G1274" s="44" t="s">
        <v>1589</v>
      </c>
      <c r="H1274" s="44" t="s">
        <v>1113</v>
      </c>
      <c r="I1274" s="44" t="s">
        <v>1106</v>
      </c>
      <c r="J1274" s="44">
        <v>184</v>
      </c>
      <c r="K1274" s="44" t="s">
        <v>2230</v>
      </c>
      <c r="L1274" s="44" t="s">
        <v>1194</v>
      </c>
      <c r="M1274" s="44" t="s">
        <v>2033</v>
      </c>
      <c r="N1274" s="45">
        <v>5020000</v>
      </c>
      <c r="O1274" s="46">
        <f t="shared" si="42"/>
        <v>5020</v>
      </c>
      <c r="P1274" s="47">
        <f>MLCF!D26</f>
        <v>5020</v>
      </c>
      <c r="Q1274" s="44" t="str">
        <f t="shared" si="43"/>
        <v>PASS</v>
      </c>
      <c r="R1274" s="44" t="s">
        <v>1587</v>
      </c>
      <c r="S1274" s="44"/>
    </row>
    <row r="1275" spans="1:19" x14ac:dyDescent="0.3">
      <c r="A1275" s="44" t="s">
        <v>2524</v>
      </c>
      <c r="B1275" s="44" t="s">
        <v>106</v>
      </c>
      <c r="C1275" s="44" t="s">
        <v>26</v>
      </c>
      <c r="D1275" s="44" t="s">
        <v>256</v>
      </c>
      <c r="E1275" s="44" t="s">
        <v>1035</v>
      </c>
      <c r="F1275" s="44" t="s">
        <v>2522</v>
      </c>
      <c r="G1275" s="44" t="s">
        <v>1592</v>
      </c>
      <c r="H1275" s="44" t="s">
        <v>1117</v>
      </c>
      <c r="I1275" s="44" t="s">
        <v>1106</v>
      </c>
      <c r="J1275" s="44">
        <v>98</v>
      </c>
      <c r="K1275" s="44" t="s">
        <v>2487</v>
      </c>
      <c r="L1275" s="44"/>
      <c r="M1275" s="44" t="s">
        <v>2033</v>
      </c>
      <c r="N1275" s="45">
        <v>5020000</v>
      </c>
      <c r="O1275" s="46">
        <f t="shared" si="42"/>
        <v>5020</v>
      </c>
      <c r="P1275" s="47">
        <f>MLCF!E26</f>
        <v>5020</v>
      </c>
      <c r="Q1275" s="44" t="str">
        <f t="shared" si="43"/>
        <v>PASS</v>
      </c>
      <c r="R1275" s="44" t="s">
        <v>1587</v>
      </c>
      <c r="S1275" s="44"/>
    </row>
    <row r="1276" spans="1:19" x14ac:dyDescent="0.3">
      <c r="A1276" s="44" t="s">
        <v>2525</v>
      </c>
      <c r="B1276" s="44" t="s">
        <v>106</v>
      </c>
      <c r="C1276" s="44" t="s">
        <v>27</v>
      </c>
      <c r="D1276" s="44" t="s">
        <v>256</v>
      </c>
      <c r="E1276" s="44" t="s">
        <v>1035</v>
      </c>
      <c r="F1276" s="44" t="s">
        <v>2086</v>
      </c>
      <c r="G1276" s="44" t="s">
        <v>1595</v>
      </c>
      <c r="H1276" s="44" t="s">
        <v>1120</v>
      </c>
      <c r="I1276" s="44" t="s">
        <v>1106</v>
      </c>
      <c r="J1276" s="44">
        <v>190</v>
      </c>
      <c r="K1276" s="44" t="s">
        <v>2489</v>
      </c>
      <c r="L1276" s="44" t="s">
        <v>1194</v>
      </c>
      <c r="M1276" s="44" t="s">
        <v>2033</v>
      </c>
      <c r="N1276" s="45">
        <v>5030000</v>
      </c>
      <c r="O1276" s="46">
        <f t="shared" si="42"/>
        <v>5030</v>
      </c>
      <c r="P1276" s="47">
        <f>MLCF!F26</f>
        <v>5030</v>
      </c>
      <c r="Q1276" s="44" t="str">
        <f t="shared" si="43"/>
        <v>PASS</v>
      </c>
      <c r="R1276" s="44" t="s">
        <v>1587</v>
      </c>
      <c r="S1276" s="44"/>
    </row>
    <row r="1277" spans="1:19" x14ac:dyDescent="0.3">
      <c r="A1277" s="44" t="s">
        <v>2526</v>
      </c>
      <c r="B1277" s="44" t="s">
        <v>106</v>
      </c>
      <c r="C1277" s="44" t="s">
        <v>28</v>
      </c>
      <c r="D1277" s="44" t="s">
        <v>256</v>
      </c>
      <c r="E1277" s="44" t="s">
        <v>1035</v>
      </c>
      <c r="F1277" s="44" t="s">
        <v>2086</v>
      </c>
      <c r="G1277" s="44" t="s">
        <v>1598</v>
      </c>
      <c r="H1277" s="44" t="s">
        <v>1124</v>
      </c>
      <c r="I1277" s="44" t="s">
        <v>1106</v>
      </c>
      <c r="J1277" s="44">
        <v>202</v>
      </c>
      <c r="K1277" s="44" t="s">
        <v>2452</v>
      </c>
      <c r="L1277" s="44" t="s">
        <v>1186</v>
      </c>
      <c r="M1277" s="44" t="s">
        <v>2033</v>
      </c>
      <c r="N1277" s="45">
        <v>6322000</v>
      </c>
      <c r="O1277" s="46">
        <f t="shared" si="42"/>
        <v>6322</v>
      </c>
      <c r="P1277" s="47">
        <f>MLCF!G26</f>
        <v>6322</v>
      </c>
      <c r="Q1277" s="44" t="str">
        <f t="shared" si="43"/>
        <v>PASS</v>
      </c>
      <c r="R1277" s="44" t="s">
        <v>1587</v>
      </c>
      <c r="S1277" s="44"/>
    </row>
    <row r="1278" spans="1:19" x14ac:dyDescent="0.3">
      <c r="A1278" s="44" t="s">
        <v>2527</v>
      </c>
      <c r="B1278" s="44" t="s">
        <v>106</v>
      </c>
      <c r="C1278" s="44" t="s">
        <v>29</v>
      </c>
      <c r="D1278" s="44" t="s">
        <v>256</v>
      </c>
      <c r="E1278" s="44" t="s">
        <v>1035</v>
      </c>
      <c r="F1278" s="44" t="s">
        <v>2086</v>
      </c>
      <c r="G1278" s="44" t="s">
        <v>1598</v>
      </c>
      <c r="H1278" s="44" t="s">
        <v>1124</v>
      </c>
      <c r="I1278" s="44" t="s">
        <v>1127</v>
      </c>
      <c r="J1278" s="44">
        <v>202</v>
      </c>
      <c r="K1278" s="44" t="s">
        <v>2452</v>
      </c>
      <c r="L1278" s="44" t="s">
        <v>1186</v>
      </c>
      <c r="M1278" s="44" t="s">
        <v>2033</v>
      </c>
      <c r="N1278" s="45">
        <v>20371110</v>
      </c>
      <c r="O1278" s="46">
        <f t="shared" si="42"/>
        <v>20371.11</v>
      </c>
      <c r="P1278" s="47">
        <f>MLCF!H26</f>
        <v>20371.11</v>
      </c>
      <c r="Q1278" s="44" t="str">
        <f t="shared" si="43"/>
        <v>PASS</v>
      </c>
      <c r="R1278" s="44" t="s">
        <v>1587</v>
      </c>
      <c r="S1278" s="44"/>
    </row>
    <row r="1279" spans="1:19" x14ac:dyDescent="0.3">
      <c r="A1279" s="44" t="s">
        <v>2528</v>
      </c>
      <c r="B1279" s="44" t="s">
        <v>106</v>
      </c>
      <c r="C1279" s="44" t="s">
        <v>965</v>
      </c>
      <c r="D1279" s="44" t="s">
        <v>258</v>
      </c>
      <c r="E1279" s="44" t="s">
        <v>1035</v>
      </c>
      <c r="F1279" s="44" t="s">
        <v>2529</v>
      </c>
      <c r="G1279" s="44" t="s">
        <v>1584</v>
      </c>
      <c r="H1279" s="44" t="s">
        <v>1105</v>
      </c>
      <c r="I1279" s="44" t="s">
        <v>1106</v>
      </c>
      <c r="J1279" s="44">
        <v>163</v>
      </c>
      <c r="K1279" s="44" t="s">
        <v>2484</v>
      </c>
      <c r="L1279" s="44" t="s">
        <v>1208</v>
      </c>
      <c r="M1279" s="44" t="s">
        <v>2033</v>
      </c>
      <c r="N1279" s="45">
        <v>75616</v>
      </c>
      <c r="O1279" s="46">
        <f t="shared" si="42"/>
        <v>75.616</v>
      </c>
      <c r="P1279" s="47">
        <f>MLCF!C27</f>
        <v>75.616</v>
      </c>
      <c r="Q1279" s="44" t="str">
        <f t="shared" si="43"/>
        <v>PASS</v>
      </c>
      <c r="R1279" s="44" t="s">
        <v>1587</v>
      </c>
      <c r="S1279" s="44"/>
    </row>
    <row r="1280" spans="1:19" x14ac:dyDescent="0.3">
      <c r="A1280" s="44" t="s">
        <v>2530</v>
      </c>
      <c r="B1280" s="44" t="s">
        <v>106</v>
      </c>
      <c r="C1280" s="44" t="s">
        <v>20</v>
      </c>
      <c r="D1280" s="44" t="s">
        <v>258</v>
      </c>
      <c r="E1280" s="44" t="s">
        <v>1035</v>
      </c>
      <c r="F1280" s="44" t="s">
        <v>2529</v>
      </c>
      <c r="G1280" s="44" t="s">
        <v>1589</v>
      </c>
      <c r="H1280" s="44" t="s">
        <v>1113</v>
      </c>
      <c r="I1280" s="44" t="s">
        <v>1106</v>
      </c>
      <c r="J1280" s="44">
        <v>184</v>
      </c>
      <c r="K1280" s="44" t="s">
        <v>2230</v>
      </c>
      <c r="L1280" s="44" t="s">
        <v>1208</v>
      </c>
      <c r="M1280" s="44" t="s">
        <v>2033</v>
      </c>
      <c r="N1280" s="45">
        <v>74306</v>
      </c>
      <c r="O1280" s="46">
        <f t="shared" si="42"/>
        <v>74.305999999999997</v>
      </c>
      <c r="P1280" s="47">
        <f>MLCF!D27</f>
        <v>74.305999999999997</v>
      </c>
      <c r="Q1280" s="44" t="str">
        <f t="shared" si="43"/>
        <v>PASS</v>
      </c>
      <c r="R1280" s="44" t="s">
        <v>1587</v>
      </c>
      <c r="S1280" s="44"/>
    </row>
    <row r="1281" spans="1:19" x14ac:dyDescent="0.3">
      <c r="A1281" s="44" t="s">
        <v>2531</v>
      </c>
      <c r="B1281" s="44" t="s">
        <v>106</v>
      </c>
      <c r="C1281" s="44" t="s">
        <v>26</v>
      </c>
      <c r="D1281" s="44" t="s">
        <v>258</v>
      </c>
      <c r="E1281" s="44" t="s">
        <v>1035</v>
      </c>
      <c r="F1281" s="44" t="s">
        <v>2529</v>
      </c>
      <c r="G1281" s="44" t="s">
        <v>1592</v>
      </c>
      <c r="H1281" s="44" t="s">
        <v>1117</v>
      </c>
      <c r="I1281" s="44" t="s">
        <v>1106</v>
      </c>
      <c r="J1281" s="44">
        <v>98</v>
      </c>
      <c r="K1281" s="44" t="s">
        <v>2487</v>
      </c>
      <c r="L1281" s="44"/>
      <c r="M1281" s="44" t="s">
        <v>2033</v>
      </c>
      <c r="N1281" s="45">
        <v>76966</v>
      </c>
      <c r="O1281" s="46">
        <f t="shared" si="42"/>
        <v>76.965999999999994</v>
      </c>
      <c r="P1281" s="47">
        <f>MLCF!E27</f>
        <v>76.965999999999994</v>
      </c>
      <c r="Q1281" s="44" t="str">
        <f t="shared" si="43"/>
        <v>PASS</v>
      </c>
      <c r="R1281" s="44" t="s">
        <v>1587</v>
      </c>
      <c r="S1281" s="44"/>
    </row>
    <row r="1282" spans="1:19" x14ac:dyDescent="0.3">
      <c r="A1282" s="44" t="s">
        <v>2532</v>
      </c>
      <c r="B1282" s="44" t="s">
        <v>106</v>
      </c>
      <c r="C1282" s="44" t="s">
        <v>27</v>
      </c>
      <c r="D1282" s="44" t="s">
        <v>258</v>
      </c>
      <c r="E1282" s="44" t="s">
        <v>1035</v>
      </c>
      <c r="F1282" s="44" t="s">
        <v>2529</v>
      </c>
      <c r="G1282" s="44" t="s">
        <v>1595</v>
      </c>
      <c r="H1282" s="44" t="s">
        <v>1120</v>
      </c>
      <c r="I1282" s="44" t="s">
        <v>1106</v>
      </c>
      <c r="J1282" s="44">
        <v>190</v>
      </c>
      <c r="K1282" s="44" t="s">
        <v>2489</v>
      </c>
      <c r="L1282" s="44" t="s">
        <v>1208</v>
      </c>
      <c r="M1282" s="44" t="s">
        <v>2033</v>
      </c>
      <c r="N1282" s="45">
        <v>76490</v>
      </c>
      <c r="O1282" s="46">
        <f t="shared" si="42"/>
        <v>76.489999999999995</v>
      </c>
      <c r="P1282" s="47">
        <f>MLCF!F27</f>
        <v>76.489999999999995</v>
      </c>
      <c r="Q1282" s="44" t="str">
        <f t="shared" si="43"/>
        <v>PASS</v>
      </c>
      <c r="R1282" s="44" t="s">
        <v>1587</v>
      </c>
      <c r="S1282" s="44"/>
    </row>
    <row r="1283" spans="1:19" x14ac:dyDescent="0.3">
      <c r="A1283" s="44" t="s">
        <v>2533</v>
      </c>
      <c r="B1283" s="44" t="s">
        <v>106</v>
      </c>
      <c r="C1283" s="44" t="s">
        <v>28</v>
      </c>
      <c r="D1283" s="44" t="s">
        <v>258</v>
      </c>
      <c r="E1283" s="44" t="s">
        <v>1035</v>
      </c>
      <c r="F1283" s="44" t="s">
        <v>2529</v>
      </c>
      <c r="G1283" s="44" t="s">
        <v>1598</v>
      </c>
      <c r="H1283" s="44" t="s">
        <v>1124</v>
      </c>
      <c r="I1283" s="44" t="s">
        <v>1106</v>
      </c>
      <c r="J1283" s="44">
        <v>202</v>
      </c>
      <c r="K1283" s="44" t="s">
        <v>2452</v>
      </c>
      <c r="L1283" s="44" t="s">
        <v>1202</v>
      </c>
      <c r="M1283" s="44" t="s">
        <v>2033</v>
      </c>
      <c r="N1283" s="45">
        <v>95437</v>
      </c>
      <c r="O1283" s="46">
        <f t="shared" si="42"/>
        <v>95.436999999999998</v>
      </c>
      <c r="P1283" s="47">
        <f>MLCF!G27</f>
        <v>95.436999999999998</v>
      </c>
      <c r="Q1283" s="44" t="str">
        <f t="shared" si="43"/>
        <v>PASS</v>
      </c>
      <c r="R1283" s="44" t="s">
        <v>1587</v>
      </c>
      <c r="S1283" s="44"/>
    </row>
    <row r="1284" spans="1:19" x14ac:dyDescent="0.3">
      <c r="A1284" s="44" t="s">
        <v>2534</v>
      </c>
      <c r="B1284" s="44" t="s">
        <v>106</v>
      </c>
      <c r="C1284" s="44" t="s">
        <v>29</v>
      </c>
      <c r="D1284" s="44" t="s">
        <v>258</v>
      </c>
      <c r="E1284" s="44" t="s">
        <v>1035</v>
      </c>
      <c r="F1284" s="44" t="s">
        <v>2529</v>
      </c>
      <c r="G1284" s="44" t="s">
        <v>1598</v>
      </c>
      <c r="H1284" s="44" t="s">
        <v>1124</v>
      </c>
      <c r="I1284" s="44" t="s">
        <v>1127</v>
      </c>
      <c r="J1284" s="44">
        <v>202</v>
      </c>
      <c r="K1284" s="44" t="s">
        <v>2452</v>
      </c>
      <c r="L1284" s="44" t="s">
        <v>1202</v>
      </c>
      <c r="M1284" s="44" t="s">
        <v>2033</v>
      </c>
      <c r="N1284" s="45">
        <v>83919</v>
      </c>
      <c r="O1284" s="46">
        <f t="shared" si="42"/>
        <v>83.918999999999997</v>
      </c>
      <c r="P1284" s="47">
        <f>MLCF!H27</f>
        <v>83.918999999999997</v>
      </c>
      <c r="Q1284" s="44" t="str">
        <f t="shared" si="43"/>
        <v>PASS</v>
      </c>
      <c r="R1284" s="44" t="s">
        <v>1587</v>
      </c>
      <c r="S1284" s="44"/>
    </row>
    <row r="1285" spans="1:19" x14ac:dyDescent="0.3">
      <c r="A1285" s="44" t="s">
        <v>2535</v>
      </c>
      <c r="B1285" s="44" t="s">
        <v>106</v>
      </c>
      <c r="C1285" s="44" t="s">
        <v>965</v>
      </c>
      <c r="D1285" s="44" t="s">
        <v>263</v>
      </c>
      <c r="E1285" s="44" t="s">
        <v>1035</v>
      </c>
      <c r="F1285" s="44" t="s">
        <v>2096</v>
      </c>
      <c r="G1285" s="44" t="s">
        <v>1584</v>
      </c>
      <c r="H1285" s="44" t="s">
        <v>1105</v>
      </c>
      <c r="I1285" s="44" t="s">
        <v>1106</v>
      </c>
      <c r="J1285" s="44">
        <v>163</v>
      </c>
      <c r="K1285" s="44" t="s">
        <v>2484</v>
      </c>
      <c r="L1285" s="44" t="s">
        <v>1210</v>
      </c>
      <c r="M1285" s="44" t="s">
        <v>2033</v>
      </c>
      <c r="N1285" s="45">
        <v>8395610</v>
      </c>
      <c r="O1285" s="46">
        <f t="shared" si="42"/>
        <v>8395.61</v>
      </c>
      <c r="P1285" s="47">
        <f>MLCF!C30</f>
        <v>8395.61</v>
      </c>
      <c r="Q1285" s="44" t="str">
        <f t="shared" si="43"/>
        <v>PASS</v>
      </c>
      <c r="R1285" s="44" t="s">
        <v>1587</v>
      </c>
      <c r="S1285" s="44"/>
    </row>
    <row r="1286" spans="1:19" x14ac:dyDescent="0.3">
      <c r="A1286" s="44" t="s">
        <v>2536</v>
      </c>
      <c r="B1286" s="44" t="s">
        <v>106</v>
      </c>
      <c r="C1286" s="44" t="s">
        <v>20</v>
      </c>
      <c r="D1286" s="44" t="s">
        <v>263</v>
      </c>
      <c r="E1286" s="44" t="s">
        <v>1035</v>
      </c>
      <c r="F1286" s="44" t="s">
        <v>2096</v>
      </c>
      <c r="G1286" s="44" t="s">
        <v>1589</v>
      </c>
      <c r="H1286" s="44" t="s">
        <v>1113</v>
      </c>
      <c r="I1286" s="44" t="s">
        <v>1106</v>
      </c>
      <c r="J1286" s="44">
        <v>184</v>
      </c>
      <c r="K1286" s="44" t="s">
        <v>2230</v>
      </c>
      <c r="L1286" s="44" t="s">
        <v>1210</v>
      </c>
      <c r="M1286" s="44" t="s">
        <v>2033</v>
      </c>
      <c r="N1286" s="45">
        <v>9738717</v>
      </c>
      <c r="O1286" s="46">
        <f t="shared" si="42"/>
        <v>9738.7170000000006</v>
      </c>
      <c r="P1286" s="47">
        <f>MLCF!D30</f>
        <v>9738.7170000000006</v>
      </c>
      <c r="Q1286" s="44" t="str">
        <f t="shared" si="43"/>
        <v>PASS</v>
      </c>
      <c r="R1286" s="44" t="s">
        <v>1587</v>
      </c>
      <c r="S1286" s="44"/>
    </row>
    <row r="1287" spans="1:19" x14ac:dyDescent="0.3">
      <c r="A1287" s="44" t="s">
        <v>2537</v>
      </c>
      <c r="B1287" s="44" t="s">
        <v>106</v>
      </c>
      <c r="C1287" s="44" t="s">
        <v>26</v>
      </c>
      <c r="D1287" s="44" t="s">
        <v>263</v>
      </c>
      <c r="E1287" s="44" t="s">
        <v>1035</v>
      </c>
      <c r="F1287" s="44" t="s">
        <v>2096</v>
      </c>
      <c r="G1287" s="44" t="s">
        <v>1592</v>
      </c>
      <c r="H1287" s="44" t="s">
        <v>1117</v>
      </c>
      <c r="I1287" s="44" t="s">
        <v>1106</v>
      </c>
      <c r="J1287" s="44">
        <v>98</v>
      </c>
      <c r="K1287" s="44" t="s">
        <v>2487</v>
      </c>
      <c r="L1287" s="44"/>
      <c r="M1287" s="44" t="s">
        <v>2033</v>
      </c>
      <c r="N1287" s="45">
        <v>12853605</v>
      </c>
      <c r="O1287" s="46">
        <f t="shared" si="42"/>
        <v>12853.605</v>
      </c>
      <c r="P1287" s="47">
        <f>MLCF!E30</f>
        <v>12853.605</v>
      </c>
      <c r="Q1287" s="44" t="str">
        <f t="shared" si="43"/>
        <v>PASS</v>
      </c>
      <c r="R1287" s="44" t="s">
        <v>1587</v>
      </c>
      <c r="S1287" s="44"/>
    </row>
    <row r="1288" spans="1:19" x14ac:dyDescent="0.3">
      <c r="A1288" s="44" t="s">
        <v>2538</v>
      </c>
      <c r="B1288" s="44" t="s">
        <v>106</v>
      </c>
      <c r="C1288" s="44" t="s">
        <v>27</v>
      </c>
      <c r="D1288" s="44" t="s">
        <v>263</v>
      </c>
      <c r="E1288" s="44" t="s">
        <v>1035</v>
      </c>
      <c r="F1288" s="44" t="s">
        <v>2096</v>
      </c>
      <c r="G1288" s="44" t="s">
        <v>1595</v>
      </c>
      <c r="H1288" s="44" t="s">
        <v>1120</v>
      </c>
      <c r="I1288" s="44" t="s">
        <v>1106</v>
      </c>
      <c r="J1288" s="44">
        <v>190</v>
      </c>
      <c r="K1288" s="44" t="s">
        <v>2489</v>
      </c>
      <c r="L1288" s="44" t="s">
        <v>1210</v>
      </c>
      <c r="M1288" s="44" t="s">
        <v>2033</v>
      </c>
      <c r="N1288" s="45">
        <v>9925855</v>
      </c>
      <c r="O1288" s="46">
        <f t="shared" si="42"/>
        <v>9925.8549999999996</v>
      </c>
      <c r="P1288" s="47">
        <f>MLCF!F30</f>
        <v>9925.8549999999996</v>
      </c>
      <c r="Q1288" s="44" t="str">
        <f t="shared" si="43"/>
        <v>PASS</v>
      </c>
      <c r="R1288" s="44" t="s">
        <v>1587</v>
      </c>
      <c r="S1288" s="44" t="s">
        <v>1114</v>
      </c>
    </row>
    <row r="1289" spans="1:19" x14ac:dyDescent="0.3">
      <c r="A1289" s="44" t="s">
        <v>2539</v>
      </c>
      <c r="B1289" s="44" t="s">
        <v>106</v>
      </c>
      <c r="C1289" s="44" t="s">
        <v>28</v>
      </c>
      <c r="D1289" s="44" t="s">
        <v>263</v>
      </c>
      <c r="E1289" s="44" t="s">
        <v>1035</v>
      </c>
      <c r="F1289" s="44" t="s">
        <v>2096</v>
      </c>
      <c r="G1289" s="44" t="s">
        <v>1598</v>
      </c>
      <c r="H1289" s="44" t="s">
        <v>1124</v>
      </c>
      <c r="I1289" s="44" t="s">
        <v>1106</v>
      </c>
      <c r="J1289" s="44">
        <v>202</v>
      </c>
      <c r="K1289" s="44" t="s">
        <v>2452</v>
      </c>
      <c r="L1289" s="44" t="s">
        <v>1208</v>
      </c>
      <c r="M1289" s="44" t="s">
        <v>2033</v>
      </c>
      <c r="N1289" s="45">
        <v>12277288</v>
      </c>
      <c r="O1289" s="46">
        <f t="shared" si="42"/>
        <v>12277.288</v>
      </c>
      <c r="P1289" s="47">
        <f>MLCF!G30</f>
        <v>12277.288</v>
      </c>
      <c r="Q1289" s="44" t="str">
        <f t="shared" si="43"/>
        <v>PASS</v>
      </c>
      <c r="R1289" s="44" t="s">
        <v>1587</v>
      </c>
      <c r="S1289" s="44"/>
    </row>
    <row r="1290" spans="1:19" x14ac:dyDescent="0.3">
      <c r="A1290" s="44" t="s">
        <v>2540</v>
      </c>
      <c r="B1290" s="44" t="s">
        <v>106</v>
      </c>
      <c r="C1290" s="44" t="s">
        <v>29</v>
      </c>
      <c r="D1290" s="44" t="s">
        <v>263</v>
      </c>
      <c r="E1290" s="44" t="s">
        <v>1035</v>
      </c>
      <c r="F1290" s="44" t="s">
        <v>2096</v>
      </c>
      <c r="G1290" s="44" t="s">
        <v>1598</v>
      </c>
      <c r="H1290" s="44" t="s">
        <v>1124</v>
      </c>
      <c r="I1290" s="44" t="s">
        <v>1127</v>
      </c>
      <c r="J1290" s="44">
        <v>202</v>
      </c>
      <c r="K1290" s="44" t="s">
        <v>2452</v>
      </c>
      <c r="L1290" s="44" t="s">
        <v>1208</v>
      </c>
      <c r="M1290" s="44" t="s">
        <v>2033</v>
      </c>
      <c r="N1290" s="45">
        <v>12461312</v>
      </c>
      <c r="O1290" s="46">
        <f t="shared" si="42"/>
        <v>12461.312</v>
      </c>
      <c r="P1290" s="47">
        <f>MLCF!H30</f>
        <v>12461.312</v>
      </c>
      <c r="Q1290" s="44" t="str">
        <f t="shared" si="43"/>
        <v>PASS</v>
      </c>
      <c r="R1290" s="44" t="s">
        <v>1587</v>
      </c>
      <c r="S1290" s="44"/>
    </row>
    <row r="1291" spans="1:19" x14ac:dyDescent="0.3">
      <c r="A1291" s="44" t="s">
        <v>2541</v>
      </c>
      <c r="B1291" s="44" t="s">
        <v>106</v>
      </c>
      <c r="C1291" s="44" t="s">
        <v>965</v>
      </c>
      <c r="D1291" s="44" t="s">
        <v>265</v>
      </c>
      <c r="E1291" s="44" t="s">
        <v>1035</v>
      </c>
      <c r="F1291" s="44" t="s">
        <v>265</v>
      </c>
      <c r="G1291" s="44" t="s">
        <v>1584</v>
      </c>
      <c r="H1291" s="44" t="s">
        <v>1105</v>
      </c>
      <c r="I1291" s="44" t="s">
        <v>1106</v>
      </c>
      <c r="J1291" s="44">
        <v>163</v>
      </c>
      <c r="K1291" s="44" t="s">
        <v>2484</v>
      </c>
      <c r="L1291" s="44" t="s">
        <v>1768</v>
      </c>
      <c r="M1291" s="44" t="s">
        <v>2033</v>
      </c>
      <c r="N1291" s="45">
        <v>1779404</v>
      </c>
      <c r="O1291" s="46">
        <f t="shared" si="42"/>
        <v>1779.404</v>
      </c>
      <c r="P1291" s="47">
        <f>MLCF!C31</f>
        <v>1779.404</v>
      </c>
      <c r="Q1291" s="44" t="str">
        <f t="shared" si="43"/>
        <v>PASS</v>
      </c>
      <c r="R1291" s="44" t="s">
        <v>1587</v>
      </c>
      <c r="S1291" s="44"/>
    </row>
    <row r="1292" spans="1:19" x14ac:dyDescent="0.3">
      <c r="A1292" s="44" t="s">
        <v>2542</v>
      </c>
      <c r="B1292" s="44" t="s">
        <v>106</v>
      </c>
      <c r="C1292" s="44" t="s">
        <v>20</v>
      </c>
      <c r="D1292" s="44" t="s">
        <v>265</v>
      </c>
      <c r="E1292" s="44" t="s">
        <v>1035</v>
      </c>
      <c r="F1292" s="44" t="s">
        <v>265</v>
      </c>
      <c r="G1292" s="44" t="s">
        <v>1589</v>
      </c>
      <c r="H1292" s="44" t="s">
        <v>1113</v>
      </c>
      <c r="I1292" s="44" t="s">
        <v>1106</v>
      </c>
      <c r="J1292" s="44">
        <v>184</v>
      </c>
      <c r="K1292" s="44" t="s">
        <v>2230</v>
      </c>
      <c r="L1292" s="44" t="s">
        <v>1768</v>
      </c>
      <c r="M1292" s="44" t="s">
        <v>2033</v>
      </c>
      <c r="N1292" s="45">
        <v>2150183</v>
      </c>
      <c r="O1292" s="46">
        <f t="shared" si="42"/>
        <v>2150.183</v>
      </c>
      <c r="P1292" s="47">
        <f>MLCF!D31</f>
        <v>2150.183</v>
      </c>
      <c r="Q1292" s="44" t="str">
        <f t="shared" si="43"/>
        <v>PASS</v>
      </c>
      <c r="R1292" s="44" t="s">
        <v>1587</v>
      </c>
      <c r="S1292" s="44"/>
    </row>
    <row r="1293" spans="1:19" x14ac:dyDescent="0.3">
      <c r="A1293" s="44" t="s">
        <v>2543</v>
      </c>
      <c r="B1293" s="44" t="s">
        <v>106</v>
      </c>
      <c r="C1293" s="44" t="s">
        <v>26</v>
      </c>
      <c r="D1293" s="44" t="s">
        <v>265</v>
      </c>
      <c r="E1293" s="44" t="s">
        <v>1035</v>
      </c>
      <c r="F1293" s="44" t="s">
        <v>265</v>
      </c>
      <c r="G1293" s="44" t="s">
        <v>1592</v>
      </c>
      <c r="H1293" s="44" t="s">
        <v>1117</v>
      </c>
      <c r="I1293" s="44" t="s">
        <v>1106</v>
      </c>
      <c r="J1293" s="44">
        <v>98</v>
      </c>
      <c r="K1293" s="44" t="s">
        <v>2487</v>
      </c>
      <c r="L1293" s="44"/>
      <c r="M1293" s="44" t="s">
        <v>2033</v>
      </c>
      <c r="N1293" s="45">
        <v>2695621</v>
      </c>
      <c r="O1293" s="46">
        <f t="shared" si="42"/>
        <v>2695.6210000000001</v>
      </c>
      <c r="P1293" s="47">
        <f>MLCF!E31</f>
        <v>2695.6210000000001</v>
      </c>
      <c r="Q1293" s="44" t="str">
        <f t="shared" si="43"/>
        <v>PASS</v>
      </c>
      <c r="R1293" s="44" t="s">
        <v>1587</v>
      </c>
      <c r="S1293" s="44"/>
    </row>
    <row r="1294" spans="1:19" x14ac:dyDescent="0.3">
      <c r="A1294" s="44" t="s">
        <v>2544</v>
      </c>
      <c r="B1294" s="44" t="s">
        <v>106</v>
      </c>
      <c r="C1294" s="44" t="s">
        <v>27</v>
      </c>
      <c r="D1294" s="44" t="s">
        <v>265</v>
      </c>
      <c r="E1294" s="44" t="s">
        <v>1035</v>
      </c>
      <c r="F1294" s="44" t="s">
        <v>265</v>
      </c>
      <c r="G1294" s="44" t="s">
        <v>1595</v>
      </c>
      <c r="H1294" s="44" t="s">
        <v>1120</v>
      </c>
      <c r="I1294" s="44" t="s">
        <v>1106</v>
      </c>
      <c r="J1294" s="44">
        <v>190</v>
      </c>
      <c r="K1294" s="44" t="s">
        <v>2489</v>
      </c>
      <c r="L1294" s="44" t="s">
        <v>1768</v>
      </c>
      <c r="M1294" s="44" t="s">
        <v>2033</v>
      </c>
      <c r="N1294" s="45">
        <v>3874605</v>
      </c>
      <c r="O1294" s="46">
        <f t="shared" si="42"/>
        <v>3874.605</v>
      </c>
      <c r="P1294" s="47">
        <f>MLCF!F31</f>
        <v>3874.605</v>
      </c>
      <c r="Q1294" s="44" t="str">
        <f t="shared" si="43"/>
        <v>PASS</v>
      </c>
      <c r="R1294" s="44" t="s">
        <v>1587</v>
      </c>
      <c r="S1294" s="44"/>
    </row>
    <row r="1295" spans="1:19" x14ac:dyDescent="0.3">
      <c r="A1295" s="44" t="s">
        <v>2545</v>
      </c>
      <c r="B1295" s="44" t="s">
        <v>106</v>
      </c>
      <c r="C1295" s="44" t="s">
        <v>28</v>
      </c>
      <c r="D1295" s="44" t="s">
        <v>265</v>
      </c>
      <c r="E1295" s="44" t="s">
        <v>1035</v>
      </c>
      <c r="F1295" s="44" t="s">
        <v>265</v>
      </c>
      <c r="G1295" s="44" t="s">
        <v>1598</v>
      </c>
      <c r="H1295" s="44" t="s">
        <v>1124</v>
      </c>
      <c r="I1295" s="44" t="s">
        <v>1106</v>
      </c>
      <c r="J1295" s="44">
        <v>202</v>
      </c>
      <c r="K1295" s="44" t="s">
        <v>2452</v>
      </c>
      <c r="L1295" s="44" t="s">
        <v>1210</v>
      </c>
      <c r="M1295" s="44" t="s">
        <v>2033</v>
      </c>
      <c r="N1295" s="45">
        <v>3256553</v>
      </c>
      <c r="O1295" s="46">
        <f t="shared" si="42"/>
        <v>3256.5529999999999</v>
      </c>
      <c r="P1295" s="47">
        <f>MLCF!G31</f>
        <v>3256.5529999999999</v>
      </c>
      <c r="Q1295" s="44" t="str">
        <f t="shared" si="43"/>
        <v>PASS</v>
      </c>
      <c r="R1295" s="44" t="s">
        <v>1587</v>
      </c>
      <c r="S1295" s="44"/>
    </row>
    <row r="1296" spans="1:19" x14ac:dyDescent="0.3">
      <c r="A1296" s="44" t="s">
        <v>2546</v>
      </c>
      <c r="B1296" s="44" t="s">
        <v>106</v>
      </c>
      <c r="C1296" s="44" t="s">
        <v>29</v>
      </c>
      <c r="D1296" s="44" t="s">
        <v>265</v>
      </c>
      <c r="E1296" s="44" t="s">
        <v>1035</v>
      </c>
      <c r="F1296" s="44" t="s">
        <v>265</v>
      </c>
      <c r="G1296" s="44" t="s">
        <v>1598</v>
      </c>
      <c r="H1296" s="44" t="s">
        <v>1124</v>
      </c>
      <c r="I1296" s="44" t="s">
        <v>1127</v>
      </c>
      <c r="J1296" s="44">
        <v>202</v>
      </c>
      <c r="K1296" s="44" t="s">
        <v>2452</v>
      </c>
      <c r="L1296" s="44" t="s">
        <v>1210</v>
      </c>
      <c r="M1296" s="44" t="s">
        <v>2033</v>
      </c>
      <c r="N1296" s="45">
        <v>4442989</v>
      </c>
      <c r="O1296" s="46">
        <f t="shared" si="42"/>
        <v>4442.9889999999996</v>
      </c>
      <c r="P1296" s="47">
        <f>MLCF!H31</f>
        <v>4442.9889999999996</v>
      </c>
      <c r="Q1296" s="44" t="str">
        <f t="shared" si="43"/>
        <v>PASS</v>
      </c>
      <c r="R1296" s="44" t="s">
        <v>1587</v>
      </c>
      <c r="S1296" s="44"/>
    </row>
    <row r="1297" spans="1:19" x14ac:dyDescent="0.3">
      <c r="A1297" s="44" t="s">
        <v>2547</v>
      </c>
      <c r="B1297" s="44" t="s">
        <v>106</v>
      </c>
      <c r="C1297" s="44" t="s">
        <v>965</v>
      </c>
      <c r="D1297" s="44" t="s">
        <v>267</v>
      </c>
      <c r="E1297" s="44" t="s">
        <v>1035</v>
      </c>
      <c r="F1297" s="44" t="s">
        <v>267</v>
      </c>
      <c r="G1297" s="44" t="s">
        <v>1584</v>
      </c>
      <c r="H1297" s="44" t="s">
        <v>1105</v>
      </c>
      <c r="I1297" s="44" t="s">
        <v>1106</v>
      </c>
      <c r="J1297" s="44">
        <v>163</v>
      </c>
      <c r="K1297" s="44" t="s">
        <v>2484</v>
      </c>
      <c r="L1297" s="44" t="s">
        <v>2122</v>
      </c>
      <c r="M1297" s="44" t="s">
        <v>2033</v>
      </c>
      <c r="N1297" s="45">
        <v>3052130</v>
      </c>
      <c r="O1297" s="46">
        <f t="shared" si="42"/>
        <v>3052.13</v>
      </c>
      <c r="P1297" s="47">
        <f>MLCF!C32</f>
        <v>3052.13</v>
      </c>
      <c r="Q1297" s="44" t="str">
        <f t="shared" si="43"/>
        <v>PASS</v>
      </c>
      <c r="R1297" s="44" t="s">
        <v>1587</v>
      </c>
      <c r="S1297" s="44"/>
    </row>
    <row r="1298" spans="1:19" x14ac:dyDescent="0.3">
      <c r="A1298" s="44" t="s">
        <v>2548</v>
      </c>
      <c r="B1298" s="44" t="s">
        <v>106</v>
      </c>
      <c r="C1298" s="44" t="s">
        <v>20</v>
      </c>
      <c r="D1298" s="44" t="s">
        <v>267</v>
      </c>
      <c r="E1298" s="44" t="s">
        <v>1035</v>
      </c>
      <c r="F1298" s="44" t="s">
        <v>267</v>
      </c>
      <c r="G1298" s="44" t="s">
        <v>1589</v>
      </c>
      <c r="H1298" s="44" t="s">
        <v>1113</v>
      </c>
      <c r="I1298" s="44" t="s">
        <v>1106</v>
      </c>
      <c r="J1298" s="44">
        <v>184</v>
      </c>
      <c r="K1298" s="44" t="s">
        <v>2230</v>
      </c>
      <c r="L1298" s="44" t="s">
        <v>2122</v>
      </c>
      <c r="M1298" s="44" t="s">
        <v>2033</v>
      </c>
      <c r="N1298" s="45">
        <v>1679704</v>
      </c>
      <c r="O1298" s="46">
        <f t="shared" si="42"/>
        <v>1679.704</v>
      </c>
      <c r="P1298" s="47">
        <f>MLCF!D32</f>
        <v>1679.704</v>
      </c>
      <c r="Q1298" s="44" t="str">
        <f t="shared" si="43"/>
        <v>PASS</v>
      </c>
      <c r="R1298" s="44" t="s">
        <v>1587</v>
      </c>
      <c r="S1298" s="44"/>
    </row>
    <row r="1299" spans="1:19" x14ac:dyDescent="0.3">
      <c r="A1299" s="44" t="s">
        <v>2549</v>
      </c>
      <c r="B1299" s="44" t="s">
        <v>106</v>
      </c>
      <c r="C1299" s="44" t="s">
        <v>26</v>
      </c>
      <c r="D1299" s="44" t="s">
        <v>267</v>
      </c>
      <c r="E1299" s="44" t="s">
        <v>1035</v>
      </c>
      <c r="F1299" s="44" t="s">
        <v>267</v>
      </c>
      <c r="G1299" s="44" t="s">
        <v>1592</v>
      </c>
      <c r="H1299" s="44" t="s">
        <v>1117</v>
      </c>
      <c r="I1299" s="44" t="s">
        <v>1106</v>
      </c>
      <c r="J1299" s="44">
        <v>98</v>
      </c>
      <c r="K1299" s="44" t="s">
        <v>2487</v>
      </c>
      <c r="L1299" s="44"/>
      <c r="M1299" s="44" t="s">
        <v>2033</v>
      </c>
      <c r="N1299" s="45">
        <v>2066212</v>
      </c>
      <c r="O1299" s="46">
        <f t="shared" si="42"/>
        <v>2066.212</v>
      </c>
      <c r="P1299" s="47">
        <f>MLCF!E32</f>
        <v>2066.212</v>
      </c>
      <c r="Q1299" s="44" t="str">
        <f t="shared" si="43"/>
        <v>PASS</v>
      </c>
      <c r="R1299" s="44" t="s">
        <v>1587</v>
      </c>
      <c r="S1299" s="44"/>
    </row>
    <row r="1300" spans="1:19" x14ac:dyDescent="0.3">
      <c r="A1300" s="44" t="s">
        <v>2550</v>
      </c>
      <c r="B1300" s="44" t="s">
        <v>106</v>
      </c>
      <c r="C1300" s="44" t="s">
        <v>27</v>
      </c>
      <c r="D1300" s="44" t="s">
        <v>267</v>
      </c>
      <c r="E1300" s="44" t="s">
        <v>1035</v>
      </c>
      <c r="F1300" s="44" t="s">
        <v>267</v>
      </c>
      <c r="G1300" s="44" t="s">
        <v>1595</v>
      </c>
      <c r="H1300" s="44" t="s">
        <v>1120</v>
      </c>
      <c r="I1300" s="44" t="s">
        <v>1106</v>
      </c>
      <c r="J1300" s="44">
        <v>190</v>
      </c>
      <c r="K1300" s="44" t="s">
        <v>2489</v>
      </c>
      <c r="L1300" s="44" t="s">
        <v>2122</v>
      </c>
      <c r="M1300" s="44" t="s">
        <v>2033</v>
      </c>
      <c r="N1300" s="45">
        <v>2600985</v>
      </c>
      <c r="O1300" s="46">
        <f t="shared" si="42"/>
        <v>2600.9850000000001</v>
      </c>
      <c r="P1300" s="47">
        <f>MLCF!F32</f>
        <v>2600.9850000000001</v>
      </c>
      <c r="Q1300" s="44" t="str">
        <f t="shared" si="43"/>
        <v>PASS</v>
      </c>
      <c r="R1300" s="44" t="s">
        <v>1587</v>
      </c>
      <c r="S1300" s="44" t="s">
        <v>1114</v>
      </c>
    </row>
    <row r="1301" spans="1:19" x14ac:dyDescent="0.3">
      <c r="A1301" s="44" t="s">
        <v>2551</v>
      </c>
      <c r="B1301" s="44" t="s">
        <v>106</v>
      </c>
      <c r="C1301" s="44" t="s">
        <v>28</v>
      </c>
      <c r="D1301" s="44" t="s">
        <v>267</v>
      </c>
      <c r="E1301" s="44" t="s">
        <v>1035</v>
      </c>
      <c r="F1301" s="44" t="s">
        <v>267</v>
      </c>
      <c r="G1301" s="44" t="s">
        <v>1598</v>
      </c>
      <c r="H1301" s="44" t="s">
        <v>1124</v>
      </c>
      <c r="I1301" s="44" t="s">
        <v>1106</v>
      </c>
      <c r="J1301" s="44">
        <v>202</v>
      </c>
      <c r="K1301" s="44" t="s">
        <v>2452</v>
      </c>
      <c r="L1301" s="44" t="s">
        <v>1768</v>
      </c>
      <c r="M1301" s="44" t="s">
        <v>2033</v>
      </c>
      <c r="N1301" s="45">
        <v>4188745</v>
      </c>
      <c r="O1301" s="46">
        <f t="shared" si="42"/>
        <v>4188.7449999999999</v>
      </c>
      <c r="P1301" s="47">
        <f>MLCF!G32</f>
        <v>4188.7449999999999</v>
      </c>
      <c r="Q1301" s="44" t="str">
        <f t="shared" si="43"/>
        <v>PASS</v>
      </c>
      <c r="R1301" s="44" t="s">
        <v>1587</v>
      </c>
      <c r="S1301" s="44"/>
    </row>
    <row r="1302" spans="1:19" x14ac:dyDescent="0.3">
      <c r="A1302" s="44" t="s">
        <v>2552</v>
      </c>
      <c r="B1302" s="44" t="s">
        <v>106</v>
      </c>
      <c r="C1302" s="44" t="s">
        <v>29</v>
      </c>
      <c r="D1302" s="44" t="s">
        <v>267</v>
      </c>
      <c r="E1302" s="44" t="s">
        <v>1035</v>
      </c>
      <c r="F1302" s="44" t="s">
        <v>267</v>
      </c>
      <c r="G1302" s="44" t="s">
        <v>1598</v>
      </c>
      <c r="H1302" s="44" t="s">
        <v>1124</v>
      </c>
      <c r="I1302" s="44" t="s">
        <v>1127</v>
      </c>
      <c r="J1302" s="44">
        <v>202</v>
      </c>
      <c r="K1302" s="44" t="s">
        <v>2452</v>
      </c>
      <c r="L1302" s="44" t="s">
        <v>1768</v>
      </c>
      <c r="M1302" s="44" t="s">
        <v>2033</v>
      </c>
      <c r="N1302" s="45">
        <v>4610182</v>
      </c>
      <c r="O1302" s="46">
        <f t="shared" si="42"/>
        <v>4610.1819999999998</v>
      </c>
      <c r="P1302" s="47">
        <f>MLCF!H32</f>
        <v>4610.1819999999998</v>
      </c>
      <c r="Q1302" s="44" t="str">
        <f t="shared" si="43"/>
        <v>PASS</v>
      </c>
      <c r="R1302" s="44" t="s">
        <v>1587</v>
      </c>
      <c r="S1302" s="44"/>
    </row>
    <row r="1303" spans="1:19" x14ac:dyDescent="0.3">
      <c r="A1303" s="44" t="s">
        <v>2553</v>
      </c>
      <c r="B1303" s="44" t="s">
        <v>106</v>
      </c>
      <c r="C1303" s="44" t="s">
        <v>965</v>
      </c>
      <c r="D1303" s="44" t="s">
        <v>269</v>
      </c>
      <c r="E1303" s="44" t="s">
        <v>1035</v>
      </c>
      <c r="F1303" s="44" t="s">
        <v>2554</v>
      </c>
      <c r="G1303" s="44" t="s">
        <v>1584</v>
      </c>
      <c r="H1303" s="44" t="s">
        <v>1105</v>
      </c>
      <c r="I1303" s="44" t="s">
        <v>1106</v>
      </c>
      <c r="J1303" s="44">
        <v>163</v>
      </c>
      <c r="K1303" s="44" t="s">
        <v>2484</v>
      </c>
      <c r="L1303" s="44" t="s">
        <v>2555</v>
      </c>
      <c r="M1303" s="44" t="s">
        <v>2033</v>
      </c>
      <c r="N1303" s="45">
        <v>75245</v>
      </c>
      <c r="O1303" s="46">
        <f t="shared" si="42"/>
        <v>75.245000000000005</v>
      </c>
      <c r="P1303" s="47">
        <f>MLCF!C33</f>
        <v>75.245000000000005</v>
      </c>
      <c r="Q1303" s="44" t="str">
        <f t="shared" si="43"/>
        <v>PASS</v>
      </c>
      <c r="R1303" s="44" t="s">
        <v>1587</v>
      </c>
      <c r="S1303" s="44"/>
    </row>
    <row r="1304" spans="1:19" x14ac:dyDescent="0.3">
      <c r="A1304" s="44" t="s">
        <v>2556</v>
      </c>
      <c r="B1304" s="44" t="s">
        <v>106</v>
      </c>
      <c r="C1304" s="44" t="s">
        <v>20</v>
      </c>
      <c r="D1304" s="44" t="s">
        <v>269</v>
      </c>
      <c r="E1304" s="44" t="s">
        <v>1035</v>
      </c>
      <c r="F1304" s="44" t="s">
        <v>2554</v>
      </c>
      <c r="G1304" s="44" t="s">
        <v>1589</v>
      </c>
      <c r="H1304" s="44" t="s">
        <v>1113</v>
      </c>
      <c r="I1304" s="44" t="s">
        <v>1106</v>
      </c>
      <c r="J1304" s="44">
        <v>184</v>
      </c>
      <c r="K1304" s="44" t="s">
        <v>2230</v>
      </c>
      <c r="L1304" s="44" t="s">
        <v>2555</v>
      </c>
      <c r="M1304" s="44" t="s">
        <v>2033</v>
      </c>
      <c r="N1304" s="45">
        <v>149148</v>
      </c>
      <c r="O1304" s="46">
        <f t="shared" si="42"/>
        <v>149.148</v>
      </c>
      <c r="P1304" s="47">
        <f>MLCF!D33</f>
        <v>149.148</v>
      </c>
      <c r="Q1304" s="44" t="str">
        <f t="shared" si="43"/>
        <v>PASS</v>
      </c>
      <c r="R1304" s="44" t="s">
        <v>1587</v>
      </c>
      <c r="S1304" s="44"/>
    </row>
    <row r="1305" spans="1:19" x14ac:dyDescent="0.3">
      <c r="A1305" s="44" t="s">
        <v>2557</v>
      </c>
      <c r="B1305" s="44" t="s">
        <v>106</v>
      </c>
      <c r="C1305" s="44" t="s">
        <v>26</v>
      </c>
      <c r="D1305" s="44" t="s">
        <v>269</v>
      </c>
      <c r="E1305" s="44" t="s">
        <v>1035</v>
      </c>
      <c r="F1305" s="44" t="s">
        <v>2554</v>
      </c>
      <c r="G1305" s="44" t="s">
        <v>1592</v>
      </c>
      <c r="H1305" s="44" t="s">
        <v>1117</v>
      </c>
      <c r="I1305" s="44" t="s">
        <v>1106</v>
      </c>
      <c r="J1305" s="44">
        <v>98</v>
      </c>
      <c r="K1305" s="44" t="s">
        <v>2487</v>
      </c>
      <c r="L1305" s="44"/>
      <c r="M1305" s="44" t="s">
        <v>2033</v>
      </c>
      <c r="N1305" s="45">
        <v>198346</v>
      </c>
      <c r="O1305" s="46">
        <f t="shared" si="42"/>
        <v>198.346</v>
      </c>
      <c r="P1305" s="47">
        <f>MLCF!E33</f>
        <v>198.346</v>
      </c>
      <c r="Q1305" s="44" t="str">
        <f t="shared" si="43"/>
        <v>PASS</v>
      </c>
      <c r="R1305" s="44" t="s">
        <v>1587</v>
      </c>
      <c r="S1305" s="44"/>
    </row>
    <row r="1306" spans="1:19" x14ac:dyDescent="0.3">
      <c r="A1306" s="44" t="s">
        <v>2558</v>
      </c>
      <c r="B1306" s="44" t="s">
        <v>106</v>
      </c>
      <c r="C1306" s="44" t="s">
        <v>27</v>
      </c>
      <c r="D1306" s="44" t="s">
        <v>269</v>
      </c>
      <c r="E1306" s="44" t="s">
        <v>1035</v>
      </c>
      <c r="F1306" s="44" t="s">
        <v>1200</v>
      </c>
      <c r="G1306" s="44" t="s">
        <v>1595</v>
      </c>
      <c r="H1306" s="44" t="s">
        <v>1120</v>
      </c>
      <c r="I1306" s="44" t="s">
        <v>1106</v>
      </c>
      <c r="J1306" s="44">
        <v>190</v>
      </c>
      <c r="K1306" s="44" t="s">
        <v>2489</v>
      </c>
      <c r="L1306" s="44" t="s">
        <v>2555</v>
      </c>
      <c r="M1306" s="44" t="s">
        <v>2033</v>
      </c>
      <c r="N1306" s="45">
        <v>3689556</v>
      </c>
      <c r="O1306" s="46">
        <f t="shared" si="42"/>
        <v>3689.556</v>
      </c>
      <c r="P1306" s="47">
        <f>MLCF!F33</f>
        <v>3689.556</v>
      </c>
      <c r="Q1306" s="44" t="str">
        <f t="shared" si="43"/>
        <v>PASS</v>
      </c>
      <c r="R1306" s="44" t="s">
        <v>1587</v>
      </c>
      <c r="S1306" s="44"/>
    </row>
    <row r="1307" spans="1:19" x14ac:dyDescent="0.3">
      <c r="A1307" s="44" t="s">
        <v>2559</v>
      </c>
      <c r="B1307" s="44" t="s">
        <v>106</v>
      </c>
      <c r="C1307" s="44" t="s">
        <v>28</v>
      </c>
      <c r="D1307" s="44" t="s">
        <v>269</v>
      </c>
      <c r="E1307" s="44" t="s">
        <v>1035</v>
      </c>
      <c r="F1307" s="44" t="s">
        <v>1200</v>
      </c>
      <c r="G1307" s="44" t="s">
        <v>1598</v>
      </c>
      <c r="H1307" s="44" t="s">
        <v>1124</v>
      </c>
      <c r="I1307" s="44" t="s">
        <v>1106</v>
      </c>
      <c r="J1307" s="44">
        <v>202</v>
      </c>
      <c r="K1307" s="44" t="s">
        <v>2452</v>
      </c>
      <c r="L1307" s="44" t="s">
        <v>2560</v>
      </c>
      <c r="M1307" s="44" t="s">
        <v>2033</v>
      </c>
      <c r="N1307" s="45">
        <v>4220262</v>
      </c>
      <c r="O1307" s="46">
        <f t="shared" ref="O1307:O1370" si="44">N1307/1000</f>
        <v>4220.2619999999997</v>
      </c>
      <c r="P1307" s="47">
        <f>MLCF!G33</f>
        <v>4220.2619999999997</v>
      </c>
      <c r="Q1307" s="44" t="str">
        <f t="shared" si="43"/>
        <v>PASS</v>
      </c>
      <c r="R1307" s="44" t="s">
        <v>1587</v>
      </c>
      <c r="S1307" s="44"/>
    </row>
    <row r="1308" spans="1:19" x14ac:dyDescent="0.3">
      <c r="A1308" s="44" t="s">
        <v>2561</v>
      </c>
      <c r="B1308" s="44" t="s">
        <v>106</v>
      </c>
      <c r="C1308" s="44" t="s">
        <v>29</v>
      </c>
      <c r="D1308" s="44" t="s">
        <v>269</v>
      </c>
      <c r="E1308" s="44" t="s">
        <v>1035</v>
      </c>
      <c r="F1308" s="44" t="s">
        <v>1200</v>
      </c>
      <c r="G1308" s="44" t="s">
        <v>1598</v>
      </c>
      <c r="H1308" s="44" t="s">
        <v>1124</v>
      </c>
      <c r="I1308" s="44" t="s">
        <v>1127</v>
      </c>
      <c r="J1308" s="44">
        <v>202</v>
      </c>
      <c r="K1308" s="44" t="s">
        <v>2452</v>
      </c>
      <c r="L1308" s="44" t="s">
        <v>2560</v>
      </c>
      <c r="M1308" s="44" t="s">
        <v>2033</v>
      </c>
      <c r="N1308" s="45">
        <v>11102413</v>
      </c>
      <c r="O1308" s="46">
        <f t="shared" si="44"/>
        <v>11102.413</v>
      </c>
      <c r="P1308" s="47">
        <f>MLCF!H33</f>
        <v>11102.413</v>
      </c>
      <c r="Q1308" s="44" t="str">
        <f t="shared" si="43"/>
        <v>PASS</v>
      </c>
      <c r="R1308" s="44" t="s">
        <v>1587</v>
      </c>
      <c r="S1308" s="44"/>
    </row>
    <row r="1309" spans="1:19" x14ac:dyDescent="0.3">
      <c r="A1309" s="44" t="s">
        <v>2562</v>
      </c>
      <c r="B1309" s="44" t="s">
        <v>106</v>
      </c>
      <c r="C1309" s="44" t="s">
        <v>965</v>
      </c>
      <c r="D1309" s="44" t="s">
        <v>271</v>
      </c>
      <c r="E1309" s="44" t="s">
        <v>1035</v>
      </c>
      <c r="F1309" s="44" t="s">
        <v>271</v>
      </c>
      <c r="G1309" s="44" t="s">
        <v>1584</v>
      </c>
      <c r="H1309" s="44" t="s">
        <v>1105</v>
      </c>
      <c r="I1309" s="44" t="s">
        <v>1106</v>
      </c>
      <c r="J1309" s="44">
        <v>163</v>
      </c>
      <c r="K1309" s="44" t="s">
        <v>2484</v>
      </c>
      <c r="L1309" s="44" t="s">
        <v>2563</v>
      </c>
      <c r="M1309" s="44" t="s">
        <v>2033</v>
      </c>
      <c r="N1309" s="45">
        <v>1046267</v>
      </c>
      <c r="O1309" s="46">
        <f t="shared" si="44"/>
        <v>1046.2670000000001</v>
      </c>
      <c r="P1309" s="47">
        <f>MLCF!C34</f>
        <v>1046.2670000000001</v>
      </c>
      <c r="Q1309" s="44" t="str">
        <f t="shared" si="43"/>
        <v>PASS</v>
      </c>
      <c r="R1309" s="44" t="s">
        <v>1587</v>
      </c>
      <c r="S1309" s="44"/>
    </row>
    <row r="1310" spans="1:19" x14ac:dyDescent="0.3">
      <c r="A1310" s="44" t="s">
        <v>2564</v>
      </c>
      <c r="B1310" s="44" t="s">
        <v>106</v>
      </c>
      <c r="C1310" s="44" t="s">
        <v>20</v>
      </c>
      <c r="D1310" s="44" t="s">
        <v>271</v>
      </c>
      <c r="E1310" s="44" t="s">
        <v>1035</v>
      </c>
      <c r="F1310" s="44" t="s">
        <v>271</v>
      </c>
      <c r="G1310" s="44" t="s">
        <v>1589</v>
      </c>
      <c r="H1310" s="44" t="s">
        <v>1113</v>
      </c>
      <c r="I1310" s="44" t="s">
        <v>1106</v>
      </c>
      <c r="J1310" s="44">
        <v>184</v>
      </c>
      <c r="K1310" s="44" t="s">
        <v>2230</v>
      </c>
      <c r="L1310" s="44" t="s">
        <v>2563</v>
      </c>
      <c r="M1310" s="44" t="s">
        <v>2033</v>
      </c>
      <c r="N1310" s="45">
        <v>490329</v>
      </c>
      <c r="O1310" s="46">
        <f t="shared" si="44"/>
        <v>490.32900000000001</v>
      </c>
      <c r="P1310" s="47">
        <f>MLCF!D34</f>
        <v>490.32900000000001</v>
      </c>
      <c r="Q1310" s="44" t="str">
        <f t="shared" si="43"/>
        <v>PASS</v>
      </c>
      <c r="R1310" s="44" t="s">
        <v>1587</v>
      </c>
      <c r="S1310" s="44"/>
    </row>
    <row r="1311" spans="1:19" x14ac:dyDescent="0.3">
      <c r="A1311" s="44" t="s">
        <v>2565</v>
      </c>
      <c r="B1311" s="44" t="s">
        <v>106</v>
      </c>
      <c r="C1311" s="44" t="s">
        <v>26</v>
      </c>
      <c r="D1311" s="44" t="s">
        <v>271</v>
      </c>
      <c r="E1311" s="44" t="s">
        <v>1035</v>
      </c>
      <c r="F1311" s="44" t="s">
        <v>271</v>
      </c>
      <c r="G1311" s="44" t="s">
        <v>1592</v>
      </c>
      <c r="H1311" s="44" t="s">
        <v>1117</v>
      </c>
      <c r="I1311" s="44" t="s">
        <v>1106</v>
      </c>
      <c r="J1311" s="44">
        <v>98</v>
      </c>
      <c r="K1311" s="44" t="s">
        <v>2487</v>
      </c>
      <c r="L1311" s="44"/>
      <c r="M1311" s="44" t="s">
        <v>2033</v>
      </c>
      <c r="N1311" s="45">
        <v>793576</v>
      </c>
      <c r="O1311" s="46">
        <f t="shared" si="44"/>
        <v>793.57600000000002</v>
      </c>
      <c r="P1311" s="47">
        <f>MLCF!E34</f>
        <v>793.57600000000002</v>
      </c>
      <c r="Q1311" s="44" t="str">
        <f t="shared" si="43"/>
        <v>PASS</v>
      </c>
      <c r="R1311" s="44" t="s">
        <v>1587</v>
      </c>
      <c r="S1311" s="44"/>
    </row>
    <row r="1312" spans="1:19" x14ac:dyDescent="0.3">
      <c r="A1312" s="44" t="s">
        <v>2566</v>
      </c>
      <c r="B1312" s="44" t="s">
        <v>106</v>
      </c>
      <c r="C1312" s="44" t="s">
        <v>27</v>
      </c>
      <c r="D1312" s="44" t="s">
        <v>271</v>
      </c>
      <c r="E1312" s="44" t="s">
        <v>1035</v>
      </c>
      <c r="F1312" s="44" t="s">
        <v>271</v>
      </c>
      <c r="G1312" s="44" t="s">
        <v>1595</v>
      </c>
      <c r="H1312" s="44" t="s">
        <v>1120</v>
      </c>
      <c r="I1312" s="44" t="s">
        <v>1106</v>
      </c>
      <c r="J1312" s="44">
        <v>190</v>
      </c>
      <c r="K1312" s="44" t="s">
        <v>2489</v>
      </c>
      <c r="L1312" s="44" t="s">
        <v>2563</v>
      </c>
      <c r="M1312" s="44" t="s">
        <v>2033</v>
      </c>
      <c r="N1312" s="45">
        <v>740707</v>
      </c>
      <c r="O1312" s="46">
        <f t="shared" si="44"/>
        <v>740.70699999999999</v>
      </c>
      <c r="P1312" s="47">
        <f>MLCF!F34</f>
        <v>740.70699999999999</v>
      </c>
      <c r="Q1312" s="44" t="str">
        <f t="shared" si="43"/>
        <v>PASS</v>
      </c>
      <c r="R1312" s="44" t="s">
        <v>1587</v>
      </c>
      <c r="S1312" s="44"/>
    </row>
    <row r="1313" spans="1:19" x14ac:dyDescent="0.3">
      <c r="A1313" s="44" t="s">
        <v>2567</v>
      </c>
      <c r="B1313" s="44" t="s">
        <v>106</v>
      </c>
      <c r="C1313" s="44" t="s">
        <v>28</v>
      </c>
      <c r="D1313" s="44" t="s">
        <v>271</v>
      </c>
      <c r="E1313" s="44" t="s">
        <v>1035</v>
      </c>
      <c r="F1313" s="44" t="s">
        <v>271</v>
      </c>
      <c r="G1313" s="44" t="s">
        <v>1598</v>
      </c>
      <c r="H1313" s="44" t="s">
        <v>1124</v>
      </c>
      <c r="I1313" s="44" t="s">
        <v>1106</v>
      </c>
      <c r="J1313" s="44">
        <v>202</v>
      </c>
      <c r="K1313" s="44" t="s">
        <v>2452</v>
      </c>
      <c r="L1313" s="44" t="s">
        <v>2568</v>
      </c>
      <c r="M1313" s="44" t="s">
        <v>2033</v>
      </c>
      <c r="N1313" s="45">
        <v>1133412</v>
      </c>
      <c r="O1313" s="46">
        <f t="shared" si="44"/>
        <v>1133.412</v>
      </c>
      <c r="P1313" s="47">
        <f>MLCF!G34</f>
        <v>1133.412</v>
      </c>
      <c r="Q1313" s="44" t="str">
        <f t="shared" si="43"/>
        <v>PASS</v>
      </c>
      <c r="R1313" s="44" t="s">
        <v>1587</v>
      </c>
      <c r="S1313" s="44"/>
    </row>
    <row r="1314" spans="1:19" x14ac:dyDescent="0.3">
      <c r="A1314" s="44" t="s">
        <v>2569</v>
      </c>
      <c r="B1314" s="44" t="s">
        <v>106</v>
      </c>
      <c r="C1314" s="44" t="s">
        <v>29</v>
      </c>
      <c r="D1314" s="44" t="s">
        <v>271</v>
      </c>
      <c r="E1314" s="44" t="s">
        <v>1035</v>
      </c>
      <c r="F1314" s="44" t="s">
        <v>271</v>
      </c>
      <c r="G1314" s="44" t="s">
        <v>1598</v>
      </c>
      <c r="H1314" s="44" t="s">
        <v>1124</v>
      </c>
      <c r="I1314" s="44" t="s">
        <v>1127</v>
      </c>
      <c r="J1314" s="44">
        <v>202</v>
      </c>
      <c r="K1314" s="44" t="s">
        <v>2452</v>
      </c>
      <c r="L1314" s="44" t="s">
        <v>2568</v>
      </c>
      <c r="M1314" s="44" t="s">
        <v>2033</v>
      </c>
      <c r="N1314" s="45">
        <v>1615481</v>
      </c>
      <c r="O1314" s="46">
        <f t="shared" si="44"/>
        <v>1615.481</v>
      </c>
      <c r="P1314" s="47">
        <f>MLCF!H34</f>
        <v>1615.481</v>
      </c>
      <c r="Q1314" s="44" t="str">
        <f t="shared" si="43"/>
        <v>PASS</v>
      </c>
      <c r="R1314" s="44" t="s">
        <v>1587</v>
      </c>
      <c r="S1314" s="44"/>
    </row>
    <row r="1315" spans="1:19" x14ac:dyDescent="0.3">
      <c r="A1315" s="44" t="s">
        <v>2570</v>
      </c>
      <c r="B1315" s="44" t="s">
        <v>106</v>
      </c>
      <c r="C1315" s="44" t="s">
        <v>965</v>
      </c>
      <c r="D1315" s="44" t="s">
        <v>273</v>
      </c>
      <c r="E1315" s="44" t="s">
        <v>1035</v>
      </c>
      <c r="F1315" s="44" t="s">
        <v>2571</v>
      </c>
      <c r="G1315" s="44" t="s">
        <v>1584</v>
      </c>
      <c r="H1315" s="44" t="s">
        <v>1105</v>
      </c>
      <c r="I1315" s="44" t="s">
        <v>1106</v>
      </c>
      <c r="J1315" s="44">
        <v>163</v>
      </c>
      <c r="K1315" s="44" t="s">
        <v>2484</v>
      </c>
      <c r="L1315" s="44" t="s">
        <v>2572</v>
      </c>
      <c r="M1315" s="44" t="s">
        <v>2033</v>
      </c>
      <c r="N1315" s="45">
        <v>2258535</v>
      </c>
      <c r="O1315" s="46">
        <f t="shared" si="44"/>
        <v>2258.5349999999999</v>
      </c>
      <c r="P1315" s="47">
        <f>MLCF!C35</f>
        <v>2258.5349999999999</v>
      </c>
      <c r="Q1315" s="44" t="str">
        <f t="shared" si="43"/>
        <v>PASS</v>
      </c>
      <c r="R1315" s="44" t="s">
        <v>1587</v>
      </c>
      <c r="S1315" s="44"/>
    </row>
    <row r="1316" spans="1:19" x14ac:dyDescent="0.3">
      <c r="A1316" s="44" t="s">
        <v>2573</v>
      </c>
      <c r="B1316" s="44" t="s">
        <v>106</v>
      </c>
      <c r="C1316" s="44" t="s">
        <v>20</v>
      </c>
      <c r="D1316" s="44" t="s">
        <v>273</v>
      </c>
      <c r="E1316" s="44" t="s">
        <v>1035</v>
      </c>
      <c r="F1316" s="44" t="s">
        <v>2571</v>
      </c>
      <c r="G1316" s="44" t="s">
        <v>1589</v>
      </c>
      <c r="H1316" s="44" t="s">
        <v>1113</v>
      </c>
      <c r="I1316" s="44" t="s">
        <v>1106</v>
      </c>
      <c r="J1316" s="44">
        <v>184</v>
      </c>
      <c r="K1316" s="44" t="s">
        <v>2230</v>
      </c>
      <c r="L1316" s="44" t="s">
        <v>2572</v>
      </c>
      <c r="M1316" s="44" t="s">
        <v>2033</v>
      </c>
      <c r="N1316" s="45">
        <v>2715335</v>
      </c>
      <c r="O1316" s="46">
        <f t="shared" si="44"/>
        <v>2715.335</v>
      </c>
      <c r="P1316" s="47">
        <f>MLCF!D35</f>
        <v>2715.335</v>
      </c>
      <c r="Q1316" s="44" t="str">
        <f t="shared" si="43"/>
        <v>PASS</v>
      </c>
      <c r="R1316" s="44" t="s">
        <v>1587</v>
      </c>
      <c r="S1316" s="44"/>
    </row>
    <row r="1317" spans="1:19" x14ac:dyDescent="0.3">
      <c r="A1317" s="44" t="s">
        <v>2574</v>
      </c>
      <c r="B1317" s="44" t="s">
        <v>106</v>
      </c>
      <c r="C1317" s="44" t="s">
        <v>26</v>
      </c>
      <c r="D1317" s="44" t="s">
        <v>273</v>
      </c>
      <c r="E1317" s="44" t="s">
        <v>1035</v>
      </c>
      <c r="F1317" s="44" t="s">
        <v>2571</v>
      </c>
      <c r="G1317" s="44" t="s">
        <v>1592</v>
      </c>
      <c r="H1317" s="44" t="s">
        <v>1117</v>
      </c>
      <c r="I1317" s="44" t="s">
        <v>1106</v>
      </c>
      <c r="J1317" s="44">
        <v>98</v>
      </c>
      <c r="K1317" s="44" t="s">
        <v>2487</v>
      </c>
      <c r="L1317" s="44"/>
      <c r="M1317" s="44" t="s">
        <v>2033</v>
      </c>
      <c r="N1317" s="45">
        <v>1714629</v>
      </c>
      <c r="O1317" s="46">
        <f t="shared" si="44"/>
        <v>1714.6289999999999</v>
      </c>
      <c r="P1317" s="47">
        <f>MLCF!E35</f>
        <v>1714.6289999999999</v>
      </c>
      <c r="Q1317" s="44" t="str">
        <f t="shared" si="43"/>
        <v>PASS</v>
      </c>
      <c r="R1317" s="44" t="s">
        <v>1587</v>
      </c>
      <c r="S1317" s="44"/>
    </row>
    <row r="1318" spans="1:19" x14ac:dyDescent="0.3">
      <c r="A1318" s="44" t="s">
        <v>2575</v>
      </c>
      <c r="B1318" s="44" t="s">
        <v>106</v>
      </c>
      <c r="C1318" s="44" t="s">
        <v>27</v>
      </c>
      <c r="D1318" s="44" t="s">
        <v>273</v>
      </c>
      <c r="E1318" s="44" t="s">
        <v>1035</v>
      </c>
      <c r="F1318" s="44" t="s">
        <v>2576</v>
      </c>
      <c r="G1318" s="44" t="s">
        <v>1595</v>
      </c>
      <c r="H1318" s="44" t="s">
        <v>1120</v>
      </c>
      <c r="I1318" s="44" t="s">
        <v>1106</v>
      </c>
      <c r="J1318" s="44">
        <v>190</v>
      </c>
      <c r="K1318" s="44" t="s">
        <v>2489</v>
      </c>
      <c r="L1318" s="44" t="s">
        <v>2572</v>
      </c>
      <c r="M1318" s="44" t="s">
        <v>2033</v>
      </c>
      <c r="N1318" s="45">
        <v>1407959</v>
      </c>
      <c r="O1318" s="46">
        <f t="shared" si="44"/>
        <v>1407.9590000000001</v>
      </c>
      <c r="P1318" s="47">
        <f>MLCF!F35</f>
        <v>1407.9590000000001</v>
      </c>
      <c r="Q1318" s="44" t="str">
        <f t="shared" si="43"/>
        <v>PASS</v>
      </c>
      <c r="R1318" s="44" t="s">
        <v>1587</v>
      </c>
      <c r="S1318" s="44"/>
    </row>
    <row r="1319" spans="1:19" x14ac:dyDescent="0.3">
      <c r="A1319" s="44" t="s">
        <v>2577</v>
      </c>
      <c r="B1319" s="44" t="s">
        <v>106</v>
      </c>
      <c r="C1319" s="44" t="s">
        <v>28</v>
      </c>
      <c r="D1319" s="44" t="s">
        <v>273</v>
      </c>
      <c r="E1319" s="44" t="s">
        <v>1035</v>
      </c>
      <c r="F1319" s="44" t="s">
        <v>2576</v>
      </c>
      <c r="G1319" s="44" t="s">
        <v>1598</v>
      </c>
      <c r="H1319" s="44" t="s">
        <v>1124</v>
      </c>
      <c r="I1319" s="44" t="s">
        <v>1106</v>
      </c>
      <c r="J1319" s="44">
        <v>202</v>
      </c>
      <c r="K1319" s="44" t="s">
        <v>2452</v>
      </c>
      <c r="L1319" s="44" t="s">
        <v>1139</v>
      </c>
      <c r="M1319" s="44" t="s">
        <v>2033</v>
      </c>
      <c r="N1319" s="45">
        <v>1791577</v>
      </c>
      <c r="O1319" s="46">
        <f t="shared" si="44"/>
        <v>1791.577</v>
      </c>
      <c r="P1319" s="47">
        <f>MLCF!G35</f>
        <v>1791.577</v>
      </c>
      <c r="Q1319" s="44" t="str">
        <f t="shared" si="43"/>
        <v>PASS</v>
      </c>
      <c r="R1319" s="44" t="s">
        <v>1587</v>
      </c>
      <c r="S1319" s="44"/>
    </row>
    <row r="1320" spans="1:19" x14ac:dyDescent="0.3">
      <c r="A1320" s="44" t="s">
        <v>2578</v>
      </c>
      <c r="B1320" s="44" t="s">
        <v>106</v>
      </c>
      <c r="C1320" s="44" t="s">
        <v>29</v>
      </c>
      <c r="D1320" s="44" t="s">
        <v>273</v>
      </c>
      <c r="E1320" s="44" t="s">
        <v>1035</v>
      </c>
      <c r="F1320" s="44" t="s">
        <v>2576</v>
      </c>
      <c r="G1320" s="44" t="s">
        <v>1598</v>
      </c>
      <c r="H1320" s="44" t="s">
        <v>1124</v>
      </c>
      <c r="I1320" s="44" t="s">
        <v>1127</v>
      </c>
      <c r="J1320" s="44">
        <v>202</v>
      </c>
      <c r="K1320" s="44" t="s">
        <v>2452</v>
      </c>
      <c r="L1320" s="44" t="s">
        <v>1139</v>
      </c>
      <c r="M1320" s="44" t="s">
        <v>2033</v>
      </c>
      <c r="N1320" s="45">
        <v>1520227</v>
      </c>
      <c r="O1320" s="46">
        <f t="shared" si="44"/>
        <v>1520.2270000000001</v>
      </c>
      <c r="P1320" s="47">
        <f>MLCF!H35</f>
        <v>1520.2270000000001</v>
      </c>
      <c r="Q1320" s="44" t="str">
        <f t="shared" si="43"/>
        <v>PASS</v>
      </c>
      <c r="R1320" s="44" t="s">
        <v>1587</v>
      </c>
      <c r="S1320" s="44"/>
    </row>
    <row r="1321" spans="1:19" x14ac:dyDescent="0.3">
      <c r="A1321" s="44" t="s">
        <v>2579</v>
      </c>
      <c r="B1321" s="44" t="s">
        <v>106</v>
      </c>
      <c r="C1321" s="44" t="s">
        <v>965</v>
      </c>
      <c r="D1321" s="44" t="s">
        <v>280</v>
      </c>
      <c r="E1321" s="44" t="s">
        <v>1035</v>
      </c>
      <c r="F1321" s="44" t="s">
        <v>1685</v>
      </c>
      <c r="G1321" s="44" t="s">
        <v>1584</v>
      </c>
      <c r="H1321" s="44" t="s">
        <v>1105</v>
      </c>
      <c r="I1321" s="44" t="s">
        <v>1106</v>
      </c>
      <c r="J1321" s="44">
        <v>162</v>
      </c>
      <c r="K1321" s="44" t="s">
        <v>2503</v>
      </c>
      <c r="L1321" s="44" t="s">
        <v>1585</v>
      </c>
      <c r="M1321" s="44" t="s">
        <v>2033</v>
      </c>
      <c r="N1321" s="45">
        <v>10983462</v>
      </c>
      <c r="O1321" s="46">
        <f t="shared" si="44"/>
        <v>10983.462</v>
      </c>
      <c r="P1321" s="47">
        <f>MLCF!C39</f>
        <v>10983.462</v>
      </c>
      <c r="Q1321" s="44" t="str">
        <f t="shared" ref="Q1321:Q1384" si="45">IF(ABS(O1321-P1321)&lt;0.000001,"PASS","FAIL")</f>
        <v>PASS</v>
      </c>
      <c r="R1321" s="44" t="s">
        <v>1587</v>
      </c>
      <c r="S1321" s="44"/>
    </row>
    <row r="1322" spans="1:19" x14ac:dyDescent="0.3">
      <c r="A1322" s="44" t="s">
        <v>2580</v>
      </c>
      <c r="B1322" s="44" t="s">
        <v>106</v>
      </c>
      <c r="C1322" s="44" t="s">
        <v>20</v>
      </c>
      <c r="D1322" s="44" t="s">
        <v>280</v>
      </c>
      <c r="E1322" s="44" t="s">
        <v>1035</v>
      </c>
      <c r="F1322" s="44" t="s">
        <v>1685</v>
      </c>
      <c r="G1322" s="44" t="s">
        <v>1589</v>
      </c>
      <c r="H1322" s="44" t="s">
        <v>1113</v>
      </c>
      <c r="I1322" s="44" t="s">
        <v>1106</v>
      </c>
      <c r="J1322" s="44">
        <v>183</v>
      </c>
      <c r="K1322" s="44" t="s">
        <v>2201</v>
      </c>
      <c r="L1322" s="44" t="s">
        <v>1585</v>
      </c>
      <c r="M1322" s="44" t="s">
        <v>2033</v>
      </c>
      <c r="N1322" s="45">
        <v>10983462</v>
      </c>
      <c r="O1322" s="46">
        <f t="shared" si="44"/>
        <v>10983.462</v>
      </c>
      <c r="P1322" s="47">
        <f>MLCF!D39</f>
        <v>10983.462</v>
      </c>
      <c r="Q1322" s="44" t="str">
        <f t="shared" si="45"/>
        <v>PASS</v>
      </c>
      <c r="R1322" s="44" t="s">
        <v>1587</v>
      </c>
      <c r="S1322" s="44"/>
    </row>
    <row r="1323" spans="1:19" x14ac:dyDescent="0.3">
      <c r="A1323" s="44" t="s">
        <v>2581</v>
      </c>
      <c r="B1323" s="44" t="s">
        <v>106</v>
      </c>
      <c r="C1323" s="44" t="s">
        <v>26</v>
      </c>
      <c r="D1323" s="44" t="s">
        <v>280</v>
      </c>
      <c r="E1323" s="44" t="s">
        <v>1035</v>
      </c>
      <c r="F1323" s="44" t="s">
        <v>1685</v>
      </c>
      <c r="G1323" s="44" t="s">
        <v>1592</v>
      </c>
      <c r="H1323" s="44" t="s">
        <v>1117</v>
      </c>
      <c r="I1323" s="44" t="s">
        <v>1106</v>
      </c>
      <c r="J1323" s="44">
        <v>98</v>
      </c>
      <c r="K1323" s="44" t="s">
        <v>2487</v>
      </c>
      <c r="L1323" s="44"/>
      <c r="M1323" s="44" t="s">
        <v>2033</v>
      </c>
      <c r="N1323" s="45">
        <v>10983462</v>
      </c>
      <c r="O1323" s="46">
        <f t="shared" si="44"/>
        <v>10983.462</v>
      </c>
      <c r="P1323" s="47">
        <f>MLCF!E39</f>
        <v>10983.462</v>
      </c>
      <c r="Q1323" s="44" t="str">
        <f t="shared" si="45"/>
        <v>PASS</v>
      </c>
      <c r="R1323" s="44" t="s">
        <v>1587</v>
      </c>
      <c r="S1323" s="44"/>
    </row>
    <row r="1324" spans="1:19" x14ac:dyDescent="0.3">
      <c r="A1324" s="44" t="s">
        <v>2582</v>
      </c>
      <c r="B1324" s="44" t="s">
        <v>106</v>
      </c>
      <c r="C1324" s="44" t="s">
        <v>27</v>
      </c>
      <c r="D1324" s="44" t="s">
        <v>280</v>
      </c>
      <c r="E1324" s="44" t="s">
        <v>1035</v>
      </c>
      <c r="F1324" s="44" t="s">
        <v>2583</v>
      </c>
      <c r="G1324" s="44" t="s">
        <v>1595</v>
      </c>
      <c r="H1324" s="44" t="s">
        <v>1120</v>
      </c>
      <c r="I1324" s="44" t="s">
        <v>1106</v>
      </c>
      <c r="J1324" s="44">
        <v>189</v>
      </c>
      <c r="K1324" s="44" t="s">
        <v>2055</v>
      </c>
      <c r="L1324" s="44" t="s">
        <v>1585</v>
      </c>
      <c r="M1324" s="44" t="s">
        <v>2033</v>
      </c>
      <c r="N1324" s="45">
        <v>10733462</v>
      </c>
      <c r="O1324" s="46">
        <f t="shared" si="44"/>
        <v>10733.462</v>
      </c>
      <c r="P1324" s="47">
        <f>MLCF!F39</f>
        <v>10733.462</v>
      </c>
      <c r="Q1324" s="44" t="str">
        <f t="shared" si="45"/>
        <v>PASS</v>
      </c>
      <c r="R1324" s="44" t="s">
        <v>1587</v>
      </c>
      <c r="S1324" s="44"/>
    </row>
    <row r="1325" spans="1:19" x14ac:dyDescent="0.3">
      <c r="A1325" s="44" t="s">
        <v>2584</v>
      </c>
      <c r="B1325" s="44" t="s">
        <v>106</v>
      </c>
      <c r="C1325" s="44" t="s">
        <v>28</v>
      </c>
      <c r="D1325" s="44" t="s">
        <v>280</v>
      </c>
      <c r="E1325" s="44" t="s">
        <v>1035</v>
      </c>
      <c r="F1325" s="44" t="s">
        <v>2136</v>
      </c>
      <c r="G1325" s="44" t="s">
        <v>1598</v>
      </c>
      <c r="H1325" s="44" t="s">
        <v>1124</v>
      </c>
      <c r="I1325" s="44" t="s">
        <v>1106</v>
      </c>
      <c r="J1325" s="44">
        <v>201</v>
      </c>
      <c r="K1325" s="44" t="s">
        <v>2380</v>
      </c>
      <c r="L1325" s="44" t="s">
        <v>1585</v>
      </c>
      <c r="M1325" s="44" t="s">
        <v>2033</v>
      </c>
      <c r="N1325" s="45">
        <v>10475626</v>
      </c>
      <c r="O1325" s="46">
        <f t="shared" si="44"/>
        <v>10475.626</v>
      </c>
      <c r="P1325" s="47">
        <f>MLCF!G39</f>
        <v>10475.626</v>
      </c>
      <c r="Q1325" s="44" t="str">
        <f t="shared" si="45"/>
        <v>PASS</v>
      </c>
      <c r="R1325" s="44" t="s">
        <v>1587</v>
      </c>
      <c r="S1325" s="44"/>
    </row>
    <row r="1326" spans="1:19" x14ac:dyDescent="0.3">
      <c r="A1326" s="44" t="s">
        <v>2585</v>
      </c>
      <c r="B1326" s="44" t="s">
        <v>106</v>
      </c>
      <c r="C1326" s="44" t="s">
        <v>29</v>
      </c>
      <c r="D1326" s="44" t="s">
        <v>280</v>
      </c>
      <c r="E1326" s="44" t="s">
        <v>1035</v>
      </c>
      <c r="F1326" s="44" t="s">
        <v>2136</v>
      </c>
      <c r="G1326" s="44" t="s">
        <v>1598</v>
      </c>
      <c r="H1326" s="44" t="s">
        <v>1124</v>
      </c>
      <c r="I1326" s="44" t="s">
        <v>1127</v>
      </c>
      <c r="J1326" s="44">
        <v>201</v>
      </c>
      <c r="K1326" s="44" t="s">
        <v>2380</v>
      </c>
      <c r="L1326" s="44" t="s">
        <v>1585</v>
      </c>
      <c r="M1326" s="44" t="s">
        <v>2033</v>
      </c>
      <c r="N1326" s="45">
        <v>10475626</v>
      </c>
      <c r="O1326" s="46">
        <f t="shared" si="44"/>
        <v>10475.626</v>
      </c>
      <c r="P1326" s="47">
        <f>MLCF!H39</f>
        <v>10475.626</v>
      </c>
      <c r="Q1326" s="44" t="str">
        <f t="shared" si="45"/>
        <v>PASS</v>
      </c>
      <c r="R1326" s="44" t="s">
        <v>1587</v>
      </c>
      <c r="S1326" s="44"/>
    </row>
    <row r="1327" spans="1:19" x14ac:dyDescent="0.3">
      <c r="A1327" s="44" t="s">
        <v>2586</v>
      </c>
      <c r="B1327" s="44" t="s">
        <v>106</v>
      </c>
      <c r="C1327" s="44" t="s">
        <v>965</v>
      </c>
      <c r="D1327" s="44" t="s">
        <v>282</v>
      </c>
      <c r="E1327" s="44" t="s">
        <v>1035</v>
      </c>
      <c r="F1327" s="44" t="s">
        <v>2587</v>
      </c>
      <c r="G1327" s="44" t="s">
        <v>1584</v>
      </c>
      <c r="H1327" s="44" t="s">
        <v>1105</v>
      </c>
      <c r="I1327" s="44" t="s">
        <v>1106</v>
      </c>
      <c r="J1327" s="44">
        <v>162</v>
      </c>
      <c r="K1327" s="44" t="s">
        <v>2503</v>
      </c>
      <c r="L1327" s="44"/>
      <c r="M1327" s="44" t="s">
        <v>2033</v>
      </c>
      <c r="N1327" s="45">
        <v>20337369</v>
      </c>
      <c r="O1327" s="46">
        <f t="shared" si="44"/>
        <v>20337.368999999999</v>
      </c>
      <c r="P1327" s="47">
        <f>MLCF!C40</f>
        <v>20337.368999999999</v>
      </c>
      <c r="Q1327" s="44" t="str">
        <f t="shared" si="45"/>
        <v>PASS</v>
      </c>
      <c r="R1327" s="44" t="s">
        <v>1587</v>
      </c>
      <c r="S1327" s="44"/>
    </row>
    <row r="1328" spans="1:19" x14ac:dyDescent="0.3">
      <c r="A1328" s="44" t="s">
        <v>2588</v>
      </c>
      <c r="B1328" s="44" t="s">
        <v>106</v>
      </c>
      <c r="C1328" s="44" t="s">
        <v>20</v>
      </c>
      <c r="D1328" s="44" t="s">
        <v>282</v>
      </c>
      <c r="E1328" s="44" t="s">
        <v>1035</v>
      </c>
      <c r="F1328" s="44" t="s">
        <v>2587</v>
      </c>
      <c r="G1328" s="44" t="s">
        <v>1589</v>
      </c>
      <c r="H1328" s="44" t="s">
        <v>1113</v>
      </c>
      <c r="I1328" s="44" t="s">
        <v>1106</v>
      </c>
      <c r="J1328" s="44">
        <v>183</v>
      </c>
      <c r="K1328" s="44" t="s">
        <v>2201</v>
      </c>
      <c r="L1328" s="44"/>
      <c r="M1328" s="44" t="s">
        <v>2033</v>
      </c>
      <c r="N1328" s="45">
        <v>26559079</v>
      </c>
      <c r="O1328" s="46">
        <f t="shared" si="44"/>
        <v>26559.079000000002</v>
      </c>
      <c r="P1328" s="47">
        <f>MLCF!D40</f>
        <v>26559.079000000002</v>
      </c>
      <c r="Q1328" s="44" t="str">
        <f t="shared" si="45"/>
        <v>PASS</v>
      </c>
      <c r="R1328" s="44" t="s">
        <v>1587</v>
      </c>
      <c r="S1328" s="44"/>
    </row>
    <row r="1329" spans="1:19" x14ac:dyDescent="0.3">
      <c r="A1329" s="44" t="s">
        <v>2589</v>
      </c>
      <c r="B1329" s="44" t="s">
        <v>106</v>
      </c>
      <c r="C1329" s="44" t="s">
        <v>26</v>
      </c>
      <c r="D1329" s="44" t="s">
        <v>282</v>
      </c>
      <c r="E1329" s="44" t="s">
        <v>1035</v>
      </c>
      <c r="F1329" s="44" t="s">
        <v>2587</v>
      </c>
      <c r="G1329" s="44" t="s">
        <v>1592</v>
      </c>
      <c r="H1329" s="44" t="s">
        <v>1117</v>
      </c>
      <c r="I1329" s="44" t="s">
        <v>1106</v>
      </c>
      <c r="J1329" s="44">
        <v>98</v>
      </c>
      <c r="K1329" s="44" t="s">
        <v>2487</v>
      </c>
      <c r="L1329" s="44"/>
      <c r="M1329" s="44" t="s">
        <v>2033</v>
      </c>
      <c r="N1329" s="45">
        <v>29575553</v>
      </c>
      <c r="O1329" s="46">
        <f t="shared" si="44"/>
        <v>29575.553</v>
      </c>
      <c r="P1329" s="47">
        <f>MLCF!E40</f>
        <v>29575.553</v>
      </c>
      <c r="Q1329" s="44" t="str">
        <f t="shared" si="45"/>
        <v>PASS</v>
      </c>
      <c r="R1329" s="44" t="s">
        <v>1587</v>
      </c>
      <c r="S1329" s="44"/>
    </row>
    <row r="1330" spans="1:19" x14ac:dyDescent="0.3">
      <c r="A1330" s="44" t="s">
        <v>2590</v>
      </c>
      <c r="B1330" s="44" t="s">
        <v>106</v>
      </c>
      <c r="C1330" s="44" t="s">
        <v>27</v>
      </c>
      <c r="D1330" s="44" t="s">
        <v>282</v>
      </c>
      <c r="E1330" s="44" t="s">
        <v>1035</v>
      </c>
      <c r="F1330" s="44" t="s">
        <v>2591</v>
      </c>
      <c r="G1330" s="44" t="s">
        <v>1595</v>
      </c>
      <c r="H1330" s="44" t="s">
        <v>1120</v>
      </c>
      <c r="I1330" s="44" t="s">
        <v>1106</v>
      </c>
      <c r="J1330" s="44">
        <v>189</v>
      </c>
      <c r="K1330" s="44" t="s">
        <v>2055</v>
      </c>
      <c r="L1330" s="44" t="s">
        <v>1241</v>
      </c>
      <c r="M1330" s="44" t="s">
        <v>2033</v>
      </c>
      <c r="N1330" s="45">
        <v>34179652</v>
      </c>
      <c r="O1330" s="46">
        <f t="shared" si="44"/>
        <v>34179.652000000002</v>
      </c>
      <c r="P1330" s="47">
        <f>MLCF!F40</f>
        <v>34179.652000000002</v>
      </c>
      <c r="Q1330" s="44" t="str">
        <f t="shared" si="45"/>
        <v>PASS</v>
      </c>
      <c r="R1330" s="44" t="s">
        <v>1587</v>
      </c>
      <c r="S1330" s="44"/>
    </row>
    <row r="1331" spans="1:19" x14ac:dyDescent="0.3">
      <c r="A1331" s="44" t="s">
        <v>2592</v>
      </c>
      <c r="B1331" s="44" t="s">
        <v>106</v>
      </c>
      <c r="C1331" s="44" t="s">
        <v>28</v>
      </c>
      <c r="D1331" s="44" t="s">
        <v>282</v>
      </c>
      <c r="E1331" s="44" t="s">
        <v>1035</v>
      </c>
      <c r="F1331" s="44" t="s">
        <v>2591</v>
      </c>
      <c r="G1331" s="44" t="s">
        <v>1598</v>
      </c>
      <c r="H1331" s="44" t="s">
        <v>1124</v>
      </c>
      <c r="I1331" s="44" t="s">
        <v>1106</v>
      </c>
      <c r="J1331" s="44">
        <v>201</v>
      </c>
      <c r="K1331" s="44" t="s">
        <v>2380</v>
      </c>
      <c r="L1331" s="44" t="s">
        <v>1241</v>
      </c>
      <c r="M1331" s="44" t="s">
        <v>2033</v>
      </c>
      <c r="N1331" s="45">
        <v>42140282</v>
      </c>
      <c r="O1331" s="46">
        <f t="shared" si="44"/>
        <v>42140.281999999999</v>
      </c>
      <c r="P1331" s="47">
        <f>MLCF!G40</f>
        <v>42140.281999999999</v>
      </c>
      <c r="Q1331" s="44" t="str">
        <f t="shared" si="45"/>
        <v>PASS</v>
      </c>
      <c r="R1331" s="44" t="s">
        <v>1587</v>
      </c>
      <c r="S1331" s="44"/>
    </row>
    <row r="1332" spans="1:19" x14ac:dyDescent="0.3">
      <c r="A1332" s="44" t="s">
        <v>2593</v>
      </c>
      <c r="B1332" s="44" t="s">
        <v>106</v>
      </c>
      <c r="C1332" s="44" t="s">
        <v>29</v>
      </c>
      <c r="D1332" s="44" t="s">
        <v>282</v>
      </c>
      <c r="E1332" s="44" t="s">
        <v>1035</v>
      </c>
      <c r="F1332" s="44" t="s">
        <v>2591</v>
      </c>
      <c r="G1332" s="44" t="s">
        <v>1598</v>
      </c>
      <c r="H1332" s="44" t="s">
        <v>1124</v>
      </c>
      <c r="I1332" s="44" t="s">
        <v>1127</v>
      </c>
      <c r="J1332" s="44">
        <v>201</v>
      </c>
      <c r="K1332" s="44" t="s">
        <v>2380</v>
      </c>
      <c r="L1332" s="44" t="s">
        <v>1241</v>
      </c>
      <c r="M1332" s="44" t="s">
        <v>2033</v>
      </c>
      <c r="N1332" s="45">
        <v>60985966</v>
      </c>
      <c r="O1332" s="46">
        <f t="shared" si="44"/>
        <v>60985.966</v>
      </c>
      <c r="P1332" s="47">
        <f>MLCF!H40</f>
        <v>60985.966</v>
      </c>
      <c r="Q1332" s="44" t="str">
        <f t="shared" si="45"/>
        <v>PASS</v>
      </c>
      <c r="R1332" s="44" t="s">
        <v>1587</v>
      </c>
      <c r="S1332" s="44"/>
    </row>
    <row r="1333" spans="1:19" x14ac:dyDescent="0.3">
      <c r="A1333" s="44" t="s">
        <v>2594</v>
      </c>
      <c r="B1333" s="44" t="s">
        <v>106</v>
      </c>
      <c r="C1333" s="44" t="s">
        <v>965</v>
      </c>
      <c r="D1333" s="44" t="s">
        <v>287</v>
      </c>
      <c r="E1333" s="44" t="s">
        <v>1035</v>
      </c>
      <c r="F1333" s="44" t="s">
        <v>2595</v>
      </c>
      <c r="G1333" s="44" t="s">
        <v>1584</v>
      </c>
      <c r="H1333" s="44" t="s">
        <v>1105</v>
      </c>
      <c r="I1333" s="44" t="s">
        <v>1106</v>
      </c>
      <c r="J1333" s="44">
        <v>162</v>
      </c>
      <c r="K1333" s="44" t="s">
        <v>2503</v>
      </c>
      <c r="L1333" s="44" t="s">
        <v>1294</v>
      </c>
      <c r="M1333" s="44" t="s">
        <v>2033</v>
      </c>
      <c r="N1333" s="45">
        <v>15173102</v>
      </c>
      <c r="O1333" s="46">
        <f t="shared" si="44"/>
        <v>15173.102000000001</v>
      </c>
      <c r="P1333" s="47">
        <f>MLCF!C43</f>
        <v>15173.102000000001</v>
      </c>
      <c r="Q1333" s="44" t="str">
        <f t="shared" si="45"/>
        <v>PASS</v>
      </c>
      <c r="R1333" s="44" t="s">
        <v>1587</v>
      </c>
      <c r="S1333" s="44"/>
    </row>
    <row r="1334" spans="1:19" x14ac:dyDescent="0.3">
      <c r="A1334" s="44" t="s">
        <v>2596</v>
      </c>
      <c r="B1334" s="44" t="s">
        <v>106</v>
      </c>
      <c r="C1334" s="44" t="s">
        <v>20</v>
      </c>
      <c r="D1334" s="44" t="s">
        <v>287</v>
      </c>
      <c r="E1334" s="44" t="s">
        <v>1035</v>
      </c>
      <c r="F1334" s="44" t="s">
        <v>2597</v>
      </c>
      <c r="G1334" s="44" t="s">
        <v>1589</v>
      </c>
      <c r="H1334" s="44" t="s">
        <v>1113</v>
      </c>
      <c r="I1334" s="44" t="s">
        <v>1106</v>
      </c>
      <c r="J1334" s="44">
        <v>183</v>
      </c>
      <c r="K1334" s="44" t="s">
        <v>2201</v>
      </c>
      <c r="L1334" s="44" t="s">
        <v>1294</v>
      </c>
      <c r="M1334" s="44" t="s">
        <v>2033</v>
      </c>
      <c r="N1334" s="45">
        <v>12636749</v>
      </c>
      <c r="O1334" s="46">
        <f t="shared" si="44"/>
        <v>12636.749</v>
      </c>
      <c r="P1334" s="47">
        <f>MLCF!D43</f>
        <v>12636.749</v>
      </c>
      <c r="Q1334" s="44" t="str">
        <f t="shared" si="45"/>
        <v>PASS</v>
      </c>
      <c r="R1334" s="44" t="s">
        <v>1587</v>
      </c>
      <c r="S1334" s="44"/>
    </row>
    <row r="1335" spans="1:19" x14ac:dyDescent="0.3">
      <c r="A1335" s="44" t="s">
        <v>2598</v>
      </c>
      <c r="B1335" s="44" t="s">
        <v>106</v>
      </c>
      <c r="C1335" s="44" t="s">
        <v>26</v>
      </c>
      <c r="D1335" s="44" t="s">
        <v>287</v>
      </c>
      <c r="E1335" s="44" t="s">
        <v>1035</v>
      </c>
      <c r="F1335" s="44" t="s">
        <v>2597</v>
      </c>
      <c r="G1335" s="44" t="s">
        <v>1592</v>
      </c>
      <c r="H1335" s="44" t="s">
        <v>1117</v>
      </c>
      <c r="I1335" s="44" t="s">
        <v>1106</v>
      </c>
      <c r="J1335" s="44">
        <v>98</v>
      </c>
      <c r="K1335" s="44" t="s">
        <v>2487</v>
      </c>
      <c r="L1335" s="44"/>
      <c r="M1335" s="44" t="s">
        <v>2033</v>
      </c>
      <c r="N1335" s="45">
        <v>18747868</v>
      </c>
      <c r="O1335" s="46">
        <f t="shared" si="44"/>
        <v>18747.867999999999</v>
      </c>
      <c r="P1335" s="47">
        <f>MLCF!E43</f>
        <v>18747.867999999999</v>
      </c>
      <c r="Q1335" s="44" t="str">
        <f t="shared" si="45"/>
        <v>PASS</v>
      </c>
      <c r="R1335" s="44" t="s">
        <v>1587</v>
      </c>
      <c r="S1335" s="44"/>
    </row>
    <row r="1336" spans="1:19" x14ac:dyDescent="0.3">
      <c r="A1336" s="44" t="s">
        <v>2599</v>
      </c>
      <c r="B1336" s="44" t="s">
        <v>106</v>
      </c>
      <c r="C1336" s="44" t="s">
        <v>27</v>
      </c>
      <c r="D1336" s="44" t="s">
        <v>287</v>
      </c>
      <c r="E1336" s="44" t="s">
        <v>1035</v>
      </c>
      <c r="F1336" s="44" t="s">
        <v>2600</v>
      </c>
      <c r="G1336" s="44" t="s">
        <v>1595</v>
      </c>
      <c r="H1336" s="44" t="s">
        <v>1120</v>
      </c>
      <c r="I1336" s="44" t="s">
        <v>1106</v>
      </c>
      <c r="J1336" s="44">
        <v>189</v>
      </c>
      <c r="K1336" s="44" t="s">
        <v>2055</v>
      </c>
      <c r="L1336" s="44" t="s">
        <v>1294</v>
      </c>
      <c r="M1336" s="44" t="s">
        <v>2033</v>
      </c>
      <c r="N1336" s="45">
        <v>17233337</v>
      </c>
      <c r="O1336" s="46">
        <f t="shared" si="44"/>
        <v>17233.337</v>
      </c>
      <c r="P1336" s="47">
        <f>MLCF!F43</f>
        <v>17233.337</v>
      </c>
      <c r="Q1336" s="44" t="str">
        <f t="shared" si="45"/>
        <v>PASS</v>
      </c>
      <c r="R1336" s="44" t="s">
        <v>1587</v>
      </c>
      <c r="S1336" s="44"/>
    </row>
    <row r="1337" spans="1:19" x14ac:dyDescent="0.3">
      <c r="A1337" s="44" t="s">
        <v>2601</v>
      </c>
      <c r="B1337" s="44" t="s">
        <v>106</v>
      </c>
      <c r="C1337" s="44" t="s">
        <v>28</v>
      </c>
      <c r="D1337" s="44" t="s">
        <v>287</v>
      </c>
      <c r="E1337" s="44" t="s">
        <v>1035</v>
      </c>
      <c r="F1337" s="44" t="s">
        <v>2600</v>
      </c>
      <c r="G1337" s="44" t="s">
        <v>1598</v>
      </c>
      <c r="H1337" s="44" t="s">
        <v>1124</v>
      </c>
      <c r="I1337" s="44" t="s">
        <v>1106</v>
      </c>
      <c r="J1337" s="44">
        <v>201</v>
      </c>
      <c r="K1337" s="44" t="s">
        <v>2380</v>
      </c>
      <c r="L1337" s="44" t="s">
        <v>1294</v>
      </c>
      <c r="M1337" s="44" t="s">
        <v>2033</v>
      </c>
      <c r="N1337" s="45">
        <v>14285786</v>
      </c>
      <c r="O1337" s="46">
        <f t="shared" si="44"/>
        <v>14285.786</v>
      </c>
      <c r="P1337" s="47">
        <f>MLCF!G43</f>
        <v>14285.786</v>
      </c>
      <c r="Q1337" s="44" t="str">
        <f t="shared" si="45"/>
        <v>PASS</v>
      </c>
      <c r="R1337" s="44" t="s">
        <v>1587</v>
      </c>
      <c r="S1337" s="44"/>
    </row>
    <row r="1338" spans="1:19" x14ac:dyDescent="0.3">
      <c r="A1338" s="44" t="s">
        <v>2602</v>
      </c>
      <c r="B1338" s="44" t="s">
        <v>106</v>
      </c>
      <c r="C1338" s="44" t="s">
        <v>29</v>
      </c>
      <c r="D1338" s="44" t="s">
        <v>287</v>
      </c>
      <c r="E1338" s="44" t="s">
        <v>1035</v>
      </c>
      <c r="F1338" s="44" t="s">
        <v>2600</v>
      </c>
      <c r="G1338" s="44" t="s">
        <v>1598</v>
      </c>
      <c r="H1338" s="44" t="s">
        <v>1124</v>
      </c>
      <c r="I1338" s="44" t="s">
        <v>1127</v>
      </c>
      <c r="J1338" s="44">
        <v>201</v>
      </c>
      <c r="K1338" s="44" t="s">
        <v>2380</v>
      </c>
      <c r="L1338" s="44" t="s">
        <v>1294</v>
      </c>
      <c r="M1338" s="44" t="s">
        <v>2033</v>
      </c>
      <c r="N1338" s="45">
        <v>9781639</v>
      </c>
      <c r="O1338" s="46">
        <f t="shared" si="44"/>
        <v>9781.6389999999992</v>
      </c>
      <c r="P1338" s="47">
        <f>MLCF!H43</f>
        <v>9781.6389999999992</v>
      </c>
      <c r="Q1338" s="44" t="str">
        <f t="shared" si="45"/>
        <v>PASS</v>
      </c>
      <c r="R1338" s="44" t="s">
        <v>1587</v>
      </c>
      <c r="S1338" s="44"/>
    </row>
    <row r="1339" spans="1:19" x14ac:dyDescent="0.3">
      <c r="A1339" s="44" t="s">
        <v>2603</v>
      </c>
      <c r="B1339" s="44" t="s">
        <v>106</v>
      </c>
      <c r="C1339" s="44" t="s">
        <v>965</v>
      </c>
      <c r="D1339" s="44" t="s">
        <v>289</v>
      </c>
      <c r="E1339" s="44" t="s">
        <v>1035</v>
      </c>
      <c r="F1339" s="44"/>
      <c r="G1339" s="44" t="s">
        <v>1584</v>
      </c>
      <c r="H1339" s="44" t="s">
        <v>1105</v>
      </c>
      <c r="I1339" s="44" t="s">
        <v>1106</v>
      </c>
      <c r="J1339" s="44">
        <v>162</v>
      </c>
      <c r="K1339" s="44" t="s">
        <v>2503</v>
      </c>
      <c r="L1339" s="44"/>
      <c r="M1339" s="44" t="s">
        <v>2033</v>
      </c>
      <c r="N1339" s="45">
        <v>0</v>
      </c>
      <c r="O1339" s="46">
        <f t="shared" si="44"/>
        <v>0</v>
      </c>
      <c r="P1339" s="47">
        <f>MLCF!C44</f>
        <v>0</v>
      </c>
      <c r="Q1339" s="44" t="str">
        <f t="shared" si="45"/>
        <v>PASS</v>
      </c>
      <c r="R1339" s="44" t="s">
        <v>1587</v>
      </c>
      <c r="S1339" s="44"/>
    </row>
    <row r="1340" spans="1:19" x14ac:dyDescent="0.3">
      <c r="A1340" s="44" t="s">
        <v>2604</v>
      </c>
      <c r="B1340" s="44" t="s">
        <v>106</v>
      </c>
      <c r="C1340" s="44" t="s">
        <v>20</v>
      </c>
      <c r="D1340" s="44" t="s">
        <v>289</v>
      </c>
      <c r="E1340" s="44" t="s">
        <v>1035</v>
      </c>
      <c r="F1340" s="44" t="s">
        <v>2605</v>
      </c>
      <c r="G1340" s="44" t="s">
        <v>1589</v>
      </c>
      <c r="H1340" s="44" t="s">
        <v>1113</v>
      </c>
      <c r="I1340" s="44" t="s">
        <v>1106</v>
      </c>
      <c r="J1340" s="44">
        <v>183</v>
      </c>
      <c r="K1340" s="44" t="s">
        <v>2201</v>
      </c>
      <c r="L1340" s="44" t="s">
        <v>1315</v>
      </c>
      <c r="M1340" s="44" t="s">
        <v>2033</v>
      </c>
      <c r="N1340" s="45">
        <v>0</v>
      </c>
      <c r="O1340" s="46">
        <f t="shared" si="44"/>
        <v>0</v>
      </c>
      <c r="P1340" s="47">
        <f>MLCF!D44</f>
        <v>0</v>
      </c>
      <c r="Q1340" s="44" t="str">
        <f t="shared" si="45"/>
        <v>PASS</v>
      </c>
      <c r="R1340" s="44" t="s">
        <v>1587</v>
      </c>
      <c r="S1340" s="44"/>
    </row>
    <row r="1341" spans="1:19" x14ac:dyDescent="0.3">
      <c r="A1341" s="44" t="s">
        <v>2606</v>
      </c>
      <c r="B1341" s="44" t="s">
        <v>106</v>
      </c>
      <c r="C1341" s="44" t="s">
        <v>26</v>
      </c>
      <c r="D1341" s="44" t="s">
        <v>289</v>
      </c>
      <c r="E1341" s="44" t="s">
        <v>1035</v>
      </c>
      <c r="F1341" s="44" t="s">
        <v>2605</v>
      </c>
      <c r="G1341" s="44" t="s">
        <v>1592</v>
      </c>
      <c r="H1341" s="44" t="s">
        <v>1117</v>
      </c>
      <c r="I1341" s="44" t="s">
        <v>1106</v>
      </c>
      <c r="J1341" s="44">
        <v>98</v>
      </c>
      <c r="K1341" s="44" t="s">
        <v>2487</v>
      </c>
      <c r="L1341" s="44"/>
      <c r="M1341" s="44" t="s">
        <v>2033</v>
      </c>
      <c r="N1341" s="45">
        <v>27136</v>
      </c>
      <c r="O1341" s="46">
        <f t="shared" si="44"/>
        <v>27.135999999999999</v>
      </c>
      <c r="P1341" s="47">
        <f>MLCF!E44</f>
        <v>27.135999999999999</v>
      </c>
      <c r="Q1341" s="44" t="str">
        <f t="shared" si="45"/>
        <v>PASS</v>
      </c>
      <c r="R1341" s="44" t="s">
        <v>1587</v>
      </c>
      <c r="S1341" s="44"/>
    </row>
    <row r="1342" spans="1:19" x14ac:dyDescent="0.3">
      <c r="A1342" s="44" t="s">
        <v>2607</v>
      </c>
      <c r="B1342" s="44" t="s">
        <v>106</v>
      </c>
      <c r="C1342" s="44" t="s">
        <v>27</v>
      </c>
      <c r="D1342" s="44" t="s">
        <v>289</v>
      </c>
      <c r="E1342" s="44" t="s">
        <v>1035</v>
      </c>
      <c r="F1342" s="44" t="s">
        <v>2608</v>
      </c>
      <c r="G1342" s="44" t="s">
        <v>1595</v>
      </c>
      <c r="H1342" s="44" t="s">
        <v>1120</v>
      </c>
      <c r="I1342" s="44" t="s">
        <v>1106</v>
      </c>
      <c r="J1342" s="44">
        <v>189</v>
      </c>
      <c r="K1342" s="44" t="s">
        <v>2055</v>
      </c>
      <c r="L1342" s="44" t="s">
        <v>1315</v>
      </c>
      <c r="M1342" s="44" t="s">
        <v>2033</v>
      </c>
      <c r="N1342" s="45">
        <v>31408</v>
      </c>
      <c r="O1342" s="46">
        <f t="shared" si="44"/>
        <v>31.408000000000001</v>
      </c>
      <c r="P1342" s="47">
        <f>MLCF!F44</f>
        <v>31.408000000000001</v>
      </c>
      <c r="Q1342" s="44" t="str">
        <f t="shared" si="45"/>
        <v>PASS</v>
      </c>
      <c r="R1342" s="44" t="s">
        <v>1587</v>
      </c>
      <c r="S1342" s="44"/>
    </row>
    <row r="1343" spans="1:19" x14ac:dyDescent="0.3">
      <c r="A1343" s="44" t="s">
        <v>2609</v>
      </c>
      <c r="B1343" s="44" t="s">
        <v>106</v>
      </c>
      <c r="C1343" s="44" t="s">
        <v>28</v>
      </c>
      <c r="D1343" s="44" t="s">
        <v>289</v>
      </c>
      <c r="E1343" s="44" t="s">
        <v>1035</v>
      </c>
      <c r="F1343" s="44" t="s">
        <v>2608</v>
      </c>
      <c r="G1343" s="44" t="s">
        <v>1598</v>
      </c>
      <c r="H1343" s="44" t="s">
        <v>1124</v>
      </c>
      <c r="I1343" s="44" t="s">
        <v>1106</v>
      </c>
      <c r="J1343" s="44">
        <v>201</v>
      </c>
      <c r="K1343" s="44" t="s">
        <v>2380</v>
      </c>
      <c r="L1343" s="44" t="s">
        <v>1315</v>
      </c>
      <c r="M1343" s="44" t="s">
        <v>2033</v>
      </c>
      <c r="N1343" s="45">
        <v>34670</v>
      </c>
      <c r="O1343" s="46">
        <f t="shared" si="44"/>
        <v>34.67</v>
      </c>
      <c r="P1343" s="47">
        <f>MLCF!G44</f>
        <v>34.67</v>
      </c>
      <c r="Q1343" s="44" t="str">
        <f t="shared" si="45"/>
        <v>PASS</v>
      </c>
      <c r="R1343" s="44" t="s">
        <v>1587</v>
      </c>
      <c r="S1343" s="44"/>
    </row>
    <row r="1344" spans="1:19" x14ac:dyDescent="0.3">
      <c r="A1344" s="44" t="s">
        <v>2610</v>
      </c>
      <c r="B1344" s="44" t="s">
        <v>106</v>
      </c>
      <c r="C1344" s="44" t="s">
        <v>29</v>
      </c>
      <c r="D1344" s="44" t="s">
        <v>289</v>
      </c>
      <c r="E1344" s="44" t="s">
        <v>1035</v>
      </c>
      <c r="F1344" s="44" t="s">
        <v>2608</v>
      </c>
      <c r="G1344" s="44" t="s">
        <v>1598</v>
      </c>
      <c r="H1344" s="44" t="s">
        <v>1124</v>
      </c>
      <c r="I1344" s="44" t="s">
        <v>1127</v>
      </c>
      <c r="J1344" s="44">
        <v>201</v>
      </c>
      <c r="K1344" s="44" t="s">
        <v>2380</v>
      </c>
      <c r="L1344" s="44" t="s">
        <v>1315</v>
      </c>
      <c r="M1344" s="44" t="s">
        <v>2033</v>
      </c>
      <c r="N1344" s="45">
        <v>28495</v>
      </c>
      <c r="O1344" s="46">
        <f t="shared" si="44"/>
        <v>28.495000000000001</v>
      </c>
      <c r="P1344" s="47">
        <f>MLCF!H44</f>
        <v>28.495000000000001</v>
      </c>
      <c r="Q1344" s="44" t="str">
        <f t="shared" si="45"/>
        <v>PASS</v>
      </c>
      <c r="R1344" s="44" t="s">
        <v>1587</v>
      </c>
      <c r="S1344" s="44"/>
    </row>
    <row r="1345" spans="1:19" x14ac:dyDescent="0.3">
      <c r="A1345" s="44" t="s">
        <v>2611</v>
      </c>
      <c r="B1345" s="44" t="s">
        <v>106</v>
      </c>
      <c r="C1345" s="44" t="s">
        <v>965</v>
      </c>
      <c r="D1345" s="44" t="s">
        <v>291</v>
      </c>
      <c r="E1345" s="44" t="s">
        <v>1035</v>
      </c>
      <c r="F1345" s="44" t="s">
        <v>1254</v>
      </c>
      <c r="G1345" s="44" t="s">
        <v>1584</v>
      </c>
      <c r="H1345" s="44" t="s">
        <v>1105</v>
      </c>
      <c r="I1345" s="44" t="s">
        <v>1106</v>
      </c>
      <c r="J1345" s="44">
        <v>162</v>
      </c>
      <c r="K1345" s="44" t="s">
        <v>2503</v>
      </c>
      <c r="L1345" s="44" t="s">
        <v>1277</v>
      </c>
      <c r="M1345" s="44" t="s">
        <v>2033</v>
      </c>
      <c r="N1345" s="45">
        <v>0</v>
      </c>
      <c r="O1345" s="46">
        <f t="shared" si="44"/>
        <v>0</v>
      </c>
      <c r="P1345" s="47">
        <f>MLCF!C45</f>
        <v>0</v>
      </c>
      <c r="Q1345" s="44" t="str">
        <f t="shared" si="45"/>
        <v>PASS</v>
      </c>
      <c r="R1345" s="44" t="s">
        <v>1587</v>
      </c>
      <c r="S1345" s="44"/>
    </row>
    <row r="1346" spans="1:19" x14ac:dyDescent="0.3">
      <c r="A1346" s="44" t="s">
        <v>2612</v>
      </c>
      <c r="B1346" s="44" t="s">
        <v>106</v>
      </c>
      <c r="C1346" s="44" t="s">
        <v>20</v>
      </c>
      <c r="D1346" s="44" t="s">
        <v>291</v>
      </c>
      <c r="E1346" s="44" t="s">
        <v>1035</v>
      </c>
      <c r="F1346" s="44" t="s">
        <v>1254</v>
      </c>
      <c r="G1346" s="44" t="s">
        <v>1589</v>
      </c>
      <c r="H1346" s="44" t="s">
        <v>1113</v>
      </c>
      <c r="I1346" s="44" t="s">
        <v>1106</v>
      </c>
      <c r="J1346" s="44">
        <v>183</v>
      </c>
      <c r="K1346" s="44" t="s">
        <v>2201</v>
      </c>
      <c r="L1346" s="44" t="s">
        <v>1277</v>
      </c>
      <c r="M1346" s="44" t="s">
        <v>2033</v>
      </c>
      <c r="N1346" s="45">
        <v>49569</v>
      </c>
      <c r="O1346" s="46">
        <f t="shared" si="44"/>
        <v>49.569000000000003</v>
      </c>
      <c r="P1346" s="47">
        <f>MLCF!D45</f>
        <v>49.569000000000003</v>
      </c>
      <c r="Q1346" s="44" t="str">
        <f t="shared" si="45"/>
        <v>PASS</v>
      </c>
      <c r="R1346" s="44" t="s">
        <v>1587</v>
      </c>
      <c r="S1346" s="44"/>
    </row>
    <row r="1347" spans="1:19" x14ac:dyDescent="0.3">
      <c r="A1347" s="44" t="s">
        <v>2613</v>
      </c>
      <c r="B1347" s="44" t="s">
        <v>106</v>
      </c>
      <c r="C1347" s="44" t="s">
        <v>26</v>
      </c>
      <c r="D1347" s="44" t="s">
        <v>291</v>
      </c>
      <c r="E1347" s="44" t="s">
        <v>1035</v>
      </c>
      <c r="F1347" s="44" t="s">
        <v>1254</v>
      </c>
      <c r="G1347" s="44" t="s">
        <v>1592</v>
      </c>
      <c r="H1347" s="44" t="s">
        <v>1117</v>
      </c>
      <c r="I1347" s="44" t="s">
        <v>1106</v>
      </c>
      <c r="J1347" s="44">
        <v>98</v>
      </c>
      <c r="K1347" s="44" t="s">
        <v>2487</v>
      </c>
      <c r="L1347" s="44"/>
      <c r="M1347" s="44" t="s">
        <v>2033</v>
      </c>
      <c r="N1347" s="45">
        <v>786758</v>
      </c>
      <c r="O1347" s="46">
        <f t="shared" si="44"/>
        <v>786.75800000000004</v>
      </c>
      <c r="P1347" s="47">
        <f>MLCF!E45</f>
        <v>786.75800000000004</v>
      </c>
      <c r="Q1347" s="44" t="str">
        <f t="shared" si="45"/>
        <v>PASS</v>
      </c>
      <c r="R1347" s="44" t="s">
        <v>1587</v>
      </c>
      <c r="S1347" s="44"/>
    </row>
    <row r="1348" spans="1:19" x14ac:dyDescent="0.3">
      <c r="A1348" s="44" t="s">
        <v>2614</v>
      </c>
      <c r="B1348" s="44" t="s">
        <v>106</v>
      </c>
      <c r="C1348" s="44" t="s">
        <v>27</v>
      </c>
      <c r="D1348" s="44" t="s">
        <v>291</v>
      </c>
      <c r="E1348" s="44" t="s">
        <v>1035</v>
      </c>
      <c r="F1348" s="44" t="s">
        <v>2164</v>
      </c>
      <c r="G1348" s="44" t="s">
        <v>1595</v>
      </c>
      <c r="H1348" s="44" t="s">
        <v>1120</v>
      </c>
      <c r="I1348" s="44" t="s">
        <v>1106</v>
      </c>
      <c r="J1348" s="44">
        <v>189</v>
      </c>
      <c r="K1348" s="44" t="s">
        <v>2055</v>
      </c>
      <c r="L1348" s="44" t="s">
        <v>1277</v>
      </c>
      <c r="M1348" s="44" t="s">
        <v>2033</v>
      </c>
      <c r="N1348" s="45">
        <v>605926</v>
      </c>
      <c r="O1348" s="46">
        <f t="shared" si="44"/>
        <v>605.92600000000004</v>
      </c>
      <c r="P1348" s="47">
        <f>MLCF!F45</f>
        <v>605.92600000000004</v>
      </c>
      <c r="Q1348" s="44" t="str">
        <f t="shared" si="45"/>
        <v>PASS</v>
      </c>
      <c r="R1348" s="44" t="s">
        <v>1587</v>
      </c>
      <c r="S1348" s="44"/>
    </row>
    <row r="1349" spans="1:19" x14ac:dyDescent="0.3">
      <c r="A1349" s="44" t="s">
        <v>2615</v>
      </c>
      <c r="B1349" s="44" t="s">
        <v>106</v>
      </c>
      <c r="C1349" s="44" t="s">
        <v>28</v>
      </c>
      <c r="D1349" s="44" t="s">
        <v>291</v>
      </c>
      <c r="E1349" s="44" t="s">
        <v>1035</v>
      </c>
      <c r="F1349" s="44" t="s">
        <v>2164</v>
      </c>
      <c r="G1349" s="44" t="s">
        <v>1598</v>
      </c>
      <c r="H1349" s="44" t="s">
        <v>1124</v>
      </c>
      <c r="I1349" s="44" t="s">
        <v>1106</v>
      </c>
      <c r="J1349" s="44">
        <v>201</v>
      </c>
      <c r="K1349" s="44" t="s">
        <v>2380</v>
      </c>
      <c r="L1349" s="44" t="s">
        <v>1277</v>
      </c>
      <c r="M1349" s="44" t="s">
        <v>2033</v>
      </c>
      <c r="N1349" s="45">
        <v>450487</v>
      </c>
      <c r="O1349" s="46">
        <f t="shared" si="44"/>
        <v>450.48700000000002</v>
      </c>
      <c r="P1349" s="47">
        <f>MLCF!G45</f>
        <v>450.48700000000002</v>
      </c>
      <c r="Q1349" s="44" t="str">
        <f t="shared" si="45"/>
        <v>PASS</v>
      </c>
      <c r="R1349" s="44" t="s">
        <v>1587</v>
      </c>
      <c r="S1349" s="44"/>
    </row>
    <row r="1350" spans="1:19" x14ac:dyDescent="0.3">
      <c r="A1350" s="44" t="s">
        <v>2616</v>
      </c>
      <c r="B1350" s="44" t="s">
        <v>106</v>
      </c>
      <c r="C1350" s="44" t="s">
        <v>29</v>
      </c>
      <c r="D1350" s="44" t="s">
        <v>291</v>
      </c>
      <c r="E1350" s="44" t="s">
        <v>1035</v>
      </c>
      <c r="F1350" s="44" t="s">
        <v>2164</v>
      </c>
      <c r="G1350" s="44" t="s">
        <v>1598</v>
      </c>
      <c r="H1350" s="44" t="s">
        <v>1124</v>
      </c>
      <c r="I1350" s="44" t="s">
        <v>1127</v>
      </c>
      <c r="J1350" s="44">
        <v>201</v>
      </c>
      <c r="K1350" s="44" t="s">
        <v>2380</v>
      </c>
      <c r="L1350" s="44" t="s">
        <v>1277</v>
      </c>
      <c r="M1350" s="44" t="s">
        <v>2033</v>
      </c>
      <c r="N1350" s="45">
        <v>322304</v>
      </c>
      <c r="O1350" s="46">
        <f t="shared" si="44"/>
        <v>322.30399999999997</v>
      </c>
      <c r="P1350" s="47">
        <f>MLCF!H45</f>
        <v>322.30399999999997</v>
      </c>
      <c r="Q1350" s="44" t="str">
        <f t="shared" si="45"/>
        <v>PASS</v>
      </c>
      <c r="R1350" s="44" t="s">
        <v>1587</v>
      </c>
      <c r="S1350" s="44"/>
    </row>
    <row r="1351" spans="1:19" x14ac:dyDescent="0.3">
      <c r="A1351" s="44" t="s">
        <v>2617</v>
      </c>
      <c r="B1351" s="44" t="s">
        <v>106</v>
      </c>
      <c r="C1351" s="44" t="s">
        <v>965</v>
      </c>
      <c r="D1351" s="44" t="s">
        <v>293</v>
      </c>
      <c r="E1351" s="44" t="s">
        <v>1035</v>
      </c>
      <c r="F1351" s="44" t="s">
        <v>2171</v>
      </c>
      <c r="G1351" s="44" t="s">
        <v>1584</v>
      </c>
      <c r="H1351" s="44" t="s">
        <v>1105</v>
      </c>
      <c r="I1351" s="44" t="s">
        <v>1106</v>
      </c>
      <c r="J1351" s="44">
        <v>162</v>
      </c>
      <c r="K1351" s="44" t="s">
        <v>2503</v>
      </c>
      <c r="L1351" s="44" t="s">
        <v>1306</v>
      </c>
      <c r="M1351" s="44" t="s">
        <v>2033</v>
      </c>
      <c r="N1351" s="45">
        <v>3379440</v>
      </c>
      <c r="O1351" s="46">
        <f t="shared" si="44"/>
        <v>3379.44</v>
      </c>
      <c r="P1351" s="47">
        <f>MLCF!C46</f>
        <v>3379.44</v>
      </c>
      <c r="Q1351" s="44" t="str">
        <f t="shared" si="45"/>
        <v>PASS</v>
      </c>
      <c r="R1351" s="44" t="s">
        <v>1587</v>
      </c>
      <c r="S1351" s="44"/>
    </row>
    <row r="1352" spans="1:19" x14ac:dyDescent="0.3">
      <c r="A1352" s="44" t="s">
        <v>2618</v>
      </c>
      <c r="B1352" s="44" t="s">
        <v>106</v>
      </c>
      <c r="C1352" s="44" t="s">
        <v>20</v>
      </c>
      <c r="D1352" s="44" t="s">
        <v>293</v>
      </c>
      <c r="E1352" s="44" t="s">
        <v>1035</v>
      </c>
      <c r="F1352" s="44" t="s">
        <v>2171</v>
      </c>
      <c r="G1352" s="44" t="s">
        <v>1589</v>
      </c>
      <c r="H1352" s="44" t="s">
        <v>1113</v>
      </c>
      <c r="I1352" s="44" t="s">
        <v>1106</v>
      </c>
      <c r="J1352" s="44">
        <v>183</v>
      </c>
      <c r="K1352" s="44" t="s">
        <v>2201</v>
      </c>
      <c r="L1352" s="44" t="s">
        <v>1306</v>
      </c>
      <c r="M1352" s="44" t="s">
        <v>2033</v>
      </c>
      <c r="N1352" s="45">
        <v>3889907</v>
      </c>
      <c r="O1352" s="46">
        <f t="shared" si="44"/>
        <v>3889.9070000000002</v>
      </c>
      <c r="P1352" s="47">
        <f>MLCF!D46</f>
        <v>3889.9070000000002</v>
      </c>
      <c r="Q1352" s="44" t="str">
        <f t="shared" si="45"/>
        <v>PASS</v>
      </c>
      <c r="R1352" s="44" t="s">
        <v>1587</v>
      </c>
      <c r="S1352" s="44"/>
    </row>
    <row r="1353" spans="1:19" x14ac:dyDescent="0.3">
      <c r="A1353" s="44" t="s">
        <v>2619</v>
      </c>
      <c r="B1353" s="44" t="s">
        <v>106</v>
      </c>
      <c r="C1353" s="44" t="s">
        <v>26</v>
      </c>
      <c r="D1353" s="44" t="s">
        <v>293</v>
      </c>
      <c r="E1353" s="44" t="s">
        <v>1035</v>
      </c>
      <c r="F1353" s="44" t="s">
        <v>2171</v>
      </c>
      <c r="G1353" s="44" t="s">
        <v>1592</v>
      </c>
      <c r="H1353" s="44" t="s">
        <v>1117</v>
      </c>
      <c r="I1353" s="44" t="s">
        <v>1106</v>
      </c>
      <c r="J1353" s="44">
        <v>98</v>
      </c>
      <c r="K1353" s="44" t="s">
        <v>2487</v>
      </c>
      <c r="L1353" s="44"/>
      <c r="M1353" s="44" t="s">
        <v>2033</v>
      </c>
      <c r="N1353" s="45">
        <v>5656499</v>
      </c>
      <c r="O1353" s="46">
        <f t="shared" si="44"/>
        <v>5656.4989999999998</v>
      </c>
      <c r="P1353" s="47">
        <f>MLCF!E46</f>
        <v>5656.4989999999998</v>
      </c>
      <c r="Q1353" s="44" t="str">
        <f t="shared" si="45"/>
        <v>PASS</v>
      </c>
      <c r="R1353" s="44" t="s">
        <v>1587</v>
      </c>
      <c r="S1353" s="44"/>
    </row>
    <row r="1354" spans="1:19" x14ac:dyDescent="0.3">
      <c r="A1354" s="44" t="s">
        <v>2620</v>
      </c>
      <c r="B1354" s="44" t="s">
        <v>106</v>
      </c>
      <c r="C1354" s="44" t="s">
        <v>27</v>
      </c>
      <c r="D1354" s="44" t="s">
        <v>293</v>
      </c>
      <c r="E1354" s="44" t="s">
        <v>1035</v>
      </c>
      <c r="F1354" s="44" t="s">
        <v>2171</v>
      </c>
      <c r="G1354" s="44" t="s">
        <v>1595</v>
      </c>
      <c r="H1354" s="44" t="s">
        <v>1120</v>
      </c>
      <c r="I1354" s="44" t="s">
        <v>1106</v>
      </c>
      <c r="J1354" s="44">
        <v>189</v>
      </c>
      <c r="K1354" s="44" t="s">
        <v>2055</v>
      </c>
      <c r="L1354" s="44" t="s">
        <v>1125</v>
      </c>
      <c r="M1354" s="44" t="s">
        <v>2033</v>
      </c>
      <c r="N1354" s="45">
        <v>8669211</v>
      </c>
      <c r="O1354" s="46">
        <f t="shared" si="44"/>
        <v>8669.2109999999993</v>
      </c>
      <c r="P1354" s="47">
        <f>MLCF!F46</f>
        <v>8669.2109999999993</v>
      </c>
      <c r="Q1354" s="44" t="str">
        <f t="shared" si="45"/>
        <v>PASS</v>
      </c>
      <c r="R1354" s="44" t="s">
        <v>1587</v>
      </c>
      <c r="S1354" s="44"/>
    </row>
    <row r="1355" spans="1:19" x14ac:dyDescent="0.3">
      <c r="A1355" s="44" t="s">
        <v>2621</v>
      </c>
      <c r="B1355" s="44" t="s">
        <v>106</v>
      </c>
      <c r="C1355" s="44" t="s">
        <v>28</v>
      </c>
      <c r="D1355" s="44" t="s">
        <v>293</v>
      </c>
      <c r="E1355" s="44" t="s">
        <v>1035</v>
      </c>
      <c r="F1355" s="44" t="s">
        <v>2622</v>
      </c>
      <c r="G1355" s="44" t="s">
        <v>1598</v>
      </c>
      <c r="H1355" s="44" t="s">
        <v>1124</v>
      </c>
      <c r="I1355" s="44" t="s">
        <v>1106</v>
      </c>
      <c r="J1355" s="44">
        <v>201</v>
      </c>
      <c r="K1355" s="44" t="s">
        <v>2380</v>
      </c>
      <c r="L1355" s="44" t="s">
        <v>1125</v>
      </c>
      <c r="M1355" s="44" t="s">
        <v>2033</v>
      </c>
      <c r="N1355" s="45">
        <v>13044290</v>
      </c>
      <c r="O1355" s="46">
        <f t="shared" si="44"/>
        <v>13044.29</v>
      </c>
      <c r="P1355" s="47">
        <f>MLCF!G46</f>
        <v>13044.29</v>
      </c>
      <c r="Q1355" s="44" t="str">
        <f t="shared" si="45"/>
        <v>PASS</v>
      </c>
      <c r="R1355" s="44" t="s">
        <v>1587</v>
      </c>
      <c r="S1355" s="44"/>
    </row>
    <row r="1356" spans="1:19" x14ac:dyDescent="0.3">
      <c r="A1356" s="44" t="s">
        <v>2623</v>
      </c>
      <c r="B1356" s="44" t="s">
        <v>106</v>
      </c>
      <c r="C1356" s="44" t="s">
        <v>29</v>
      </c>
      <c r="D1356" s="44" t="s">
        <v>293</v>
      </c>
      <c r="E1356" s="44" t="s">
        <v>1035</v>
      </c>
      <c r="F1356" s="44" t="s">
        <v>2622</v>
      </c>
      <c r="G1356" s="44" t="s">
        <v>1598</v>
      </c>
      <c r="H1356" s="44" t="s">
        <v>1124</v>
      </c>
      <c r="I1356" s="44" t="s">
        <v>1127</v>
      </c>
      <c r="J1356" s="44">
        <v>201</v>
      </c>
      <c r="K1356" s="44" t="s">
        <v>2380</v>
      </c>
      <c r="L1356" s="44" t="s">
        <v>1125</v>
      </c>
      <c r="M1356" s="44" t="s">
        <v>2033</v>
      </c>
      <c r="N1356" s="45">
        <v>13822898</v>
      </c>
      <c r="O1356" s="46">
        <f t="shared" si="44"/>
        <v>13822.897999999999</v>
      </c>
      <c r="P1356" s="47">
        <f>MLCF!H46</f>
        <v>13822.897999999999</v>
      </c>
      <c r="Q1356" s="44" t="str">
        <f t="shared" si="45"/>
        <v>PASS</v>
      </c>
      <c r="R1356" s="44" t="s">
        <v>1587</v>
      </c>
      <c r="S1356" s="44"/>
    </row>
    <row r="1357" spans="1:19" x14ac:dyDescent="0.3">
      <c r="A1357" s="44" t="s">
        <v>2624</v>
      </c>
      <c r="B1357" s="44" t="s">
        <v>106</v>
      </c>
      <c r="C1357" s="44" t="s">
        <v>965</v>
      </c>
      <c r="D1357" s="44" t="s">
        <v>295</v>
      </c>
      <c r="E1357" s="44" t="s">
        <v>1035</v>
      </c>
      <c r="F1357" s="44" t="s">
        <v>2625</v>
      </c>
      <c r="G1357" s="44" t="s">
        <v>1584</v>
      </c>
      <c r="H1357" s="44" t="s">
        <v>1105</v>
      </c>
      <c r="I1357" s="44" t="s">
        <v>1106</v>
      </c>
      <c r="J1357" s="44">
        <v>162</v>
      </c>
      <c r="K1357" s="44" t="s">
        <v>2503</v>
      </c>
      <c r="L1357" s="44" t="s">
        <v>1315</v>
      </c>
      <c r="M1357" s="44" t="s">
        <v>2033</v>
      </c>
      <c r="N1357" s="45">
        <v>822623</v>
      </c>
      <c r="O1357" s="46">
        <f t="shared" si="44"/>
        <v>822.62300000000005</v>
      </c>
      <c r="P1357" s="47">
        <f>MLCF!C47</f>
        <v>822.62300000000005</v>
      </c>
      <c r="Q1357" s="44" t="str">
        <f t="shared" si="45"/>
        <v>PASS</v>
      </c>
      <c r="R1357" s="44" t="s">
        <v>1587</v>
      </c>
      <c r="S1357" s="44"/>
    </row>
    <row r="1358" spans="1:19" x14ac:dyDescent="0.3">
      <c r="A1358" s="44" t="s">
        <v>2626</v>
      </c>
      <c r="B1358" s="44" t="s">
        <v>106</v>
      </c>
      <c r="C1358" s="44" t="s">
        <v>20</v>
      </c>
      <c r="D1358" s="44" t="s">
        <v>295</v>
      </c>
      <c r="E1358" s="44" t="s">
        <v>1035</v>
      </c>
      <c r="F1358" s="44" t="s">
        <v>2625</v>
      </c>
      <c r="G1358" s="44" t="s">
        <v>1589</v>
      </c>
      <c r="H1358" s="44" t="s">
        <v>1113</v>
      </c>
      <c r="I1358" s="44" t="s">
        <v>1106</v>
      </c>
      <c r="J1358" s="44">
        <v>183</v>
      </c>
      <c r="K1358" s="44" t="s">
        <v>2201</v>
      </c>
      <c r="L1358" s="44"/>
      <c r="M1358" s="44" t="s">
        <v>2033</v>
      </c>
      <c r="N1358" s="45">
        <v>671064</v>
      </c>
      <c r="O1358" s="46">
        <f t="shared" si="44"/>
        <v>671.06399999999996</v>
      </c>
      <c r="P1358" s="47">
        <f>MLCF!D47</f>
        <v>671.06399999999996</v>
      </c>
      <c r="Q1358" s="44" t="str">
        <f t="shared" si="45"/>
        <v>PASS</v>
      </c>
      <c r="R1358" s="44" t="s">
        <v>1587</v>
      </c>
      <c r="S1358" s="44"/>
    </row>
    <row r="1359" spans="1:19" x14ac:dyDescent="0.3">
      <c r="A1359" s="44" t="s">
        <v>2627</v>
      </c>
      <c r="B1359" s="44" t="s">
        <v>106</v>
      </c>
      <c r="C1359" s="44" t="s">
        <v>26</v>
      </c>
      <c r="D1359" s="44" t="s">
        <v>295</v>
      </c>
      <c r="E1359" s="44" t="s">
        <v>1035</v>
      </c>
      <c r="F1359" s="44" t="s">
        <v>2628</v>
      </c>
      <c r="G1359" s="44" t="s">
        <v>1592</v>
      </c>
      <c r="H1359" s="44" t="s">
        <v>1117</v>
      </c>
      <c r="I1359" s="44" t="s">
        <v>1106</v>
      </c>
      <c r="J1359" s="44">
        <v>98</v>
      </c>
      <c r="K1359" s="44" t="s">
        <v>2487</v>
      </c>
      <c r="L1359" s="44"/>
      <c r="M1359" s="44" t="s">
        <v>2033</v>
      </c>
      <c r="N1359" s="45">
        <v>243543</v>
      </c>
      <c r="O1359" s="46">
        <f t="shared" si="44"/>
        <v>243.54300000000001</v>
      </c>
      <c r="P1359" s="47">
        <f>MLCF!E47</f>
        <v>243.54300000000001</v>
      </c>
      <c r="Q1359" s="44" t="str">
        <f t="shared" si="45"/>
        <v>PASS</v>
      </c>
      <c r="R1359" s="44" t="s">
        <v>1587</v>
      </c>
      <c r="S1359" s="44"/>
    </row>
    <row r="1360" spans="1:19" x14ac:dyDescent="0.3">
      <c r="A1360" s="44" t="s">
        <v>2629</v>
      </c>
      <c r="B1360" s="44" t="s">
        <v>106</v>
      </c>
      <c r="C1360" s="44" t="s">
        <v>27</v>
      </c>
      <c r="D1360" s="44" t="s">
        <v>295</v>
      </c>
      <c r="E1360" s="44" t="s">
        <v>1035</v>
      </c>
      <c r="F1360" s="44" t="s">
        <v>2630</v>
      </c>
      <c r="G1360" s="44" t="s">
        <v>1595</v>
      </c>
      <c r="H1360" s="44" t="s">
        <v>1120</v>
      </c>
      <c r="I1360" s="44" t="s">
        <v>1106</v>
      </c>
      <c r="J1360" s="44">
        <v>189</v>
      </c>
      <c r="K1360" s="44" t="s">
        <v>2055</v>
      </c>
      <c r="L1360" s="44" t="s">
        <v>1108</v>
      </c>
      <c r="M1360" s="44" t="s">
        <v>2033</v>
      </c>
      <c r="N1360" s="45">
        <v>2039694</v>
      </c>
      <c r="O1360" s="46">
        <f t="shared" si="44"/>
        <v>2039.694</v>
      </c>
      <c r="P1360" s="47">
        <f>MLCF!F47</f>
        <v>2039.694</v>
      </c>
      <c r="Q1360" s="44" t="str">
        <f t="shared" si="45"/>
        <v>PASS</v>
      </c>
      <c r="R1360" s="44" t="s">
        <v>1587</v>
      </c>
      <c r="S1360" s="44"/>
    </row>
    <row r="1361" spans="1:19" x14ac:dyDescent="0.3">
      <c r="A1361" s="44" t="s">
        <v>2631</v>
      </c>
      <c r="B1361" s="44" t="s">
        <v>106</v>
      </c>
      <c r="C1361" s="44" t="s">
        <v>28</v>
      </c>
      <c r="D1361" s="44" t="s">
        <v>295</v>
      </c>
      <c r="E1361" s="44" t="s">
        <v>1035</v>
      </c>
      <c r="F1361" s="44" t="s">
        <v>2180</v>
      </c>
      <c r="G1361" s="44" t="s">
        <v>1598</v>
      </c>
      <c r="H1361" s="44" t="s">
        <v>1124</v>
      </c>
      <c r="I1361" s="44" t="s">
        <v>1106</v>
      </c>
      <c r="J1361" s="44">
        <v>201</v>
      </c>
      <c r="K1361" s="44" t="s">
        <v>2380</v>
      </c>
      <c r="L1361" s="44" t="s">
        <v>1121</v>
      </c>
      <c r="M1361" s="44" t="s">
        <v>2033</v>
      </c>
      <c r="N1361" s="45">
        <v>336741</v>
      </c>
      <c r="O1361" s="46">
        <f t="shared" si="44"/>
        <v>336.74099999999999</v>
      </c>
      <c r="P1361" s="47">
        <f>MLCF!G47</f>
        <v>336.74099999999999</v>
      </c>
      <c r="Q1361" s="44" t="str">
        <f t="shared" si="45"/>
        <v>PASS</v>
      </c>
      <c r="R1361" s="44" t="s">
        <v>1587</v>
      </c>
      <c r="S1361" s="44"/>
    </row>
    <row r="1362" spans="1:19" x14ac:dyDescent="0.3">
      <c r="A1362" s="44" t="s">
        <v>2632</v>
      </c>
      <c r="B1362" s="44" t="s">
        <v>106</v>
      </c>
      <c r="C1362" s="44" t="s">
        <v>29</v>
      </c>
      <c r="D1362" s="44" t="s">
        <v>295</v>
      </c>
      <c r="E1362" s="44" t="s">
        <v>1035</v>
      </c>
      <c r="F1362" s="44" t="s">
        <v>2180</v>
      </c>
      <c r="G1362" s="44" t="s">
        <v>1598</v>
      </c>
      <c r="H1362" s="44" t="s">
        <v>1124</v>
      </c>
      <c r="I1362" s="44" t="s">
        <v>1127</v>
      </c>
      <c r="J1362" s="44">
        <v>201</v>
      </c>
      <c r="K1362" s="44" t="s">
        <v>2380</v>
      </c>
      <c r="L1362" s="44" t="s">
        <v>1121</v>
      </c>
      <c r="M1362" s="44" t="s">
        <v>2033</v>
      </c>
      <c r="N1362" s="45">
        <v>358852</v>
      </c>
      <c r="O1362" s="46">
        <f t="shared" si="44"/>
        <v>358.85199999999998</v>
      </c>
      <c r="P1362" s="47">
        <f>MLCF!H47</f>
        <v>358.85199999999998</v>
      </c>
      <c r="Q1362" s="44" t="str">
        <f t="shared" si="45"/>
        <v>PASS</v>
      </c>
      <c r="R1362" s="44" t="s">
        <v>1587</v>
      </c>
      <c r="S1362" s="44"/>
    </row>
    <row r="1363" spans="1:19" x14ac:dyDescent="0.3">
      <c r="A1363" s="44" t="s">
        <v>2633</v>
      </c>
      <c r="B1363" s="44" t="s">
        <v>106</v>
      </c>
      <c r="C1363" s="44" t="s">
        <v>965</v>
      </c>
      <c r="D1363" s="44" t="s">
        <v>300</v>
      </c>
      <c r="E1363" s="44" t="s">
        <v>1035</v>
      </c>
      <c r="F1363" s="44" t="s">
        <v>300</v>
      </c>
      <c r="G1363" s="44" t="s">
        <v>1584</v>
      </c>
      <c r="H1363" s="44" t="s">
        <v>1105</v>
      </c>
      <c r="I1363" s="44" t="s">
        <v>1106</v>
      </c>
      <c r="J1363" s="44">
        <v>162</v>
      </c>
      <c r="K1363" s="44" t="s">
        <v>2503</v>
      </c>
      <c r="L1363" s="44" t="s">
        <v>1148</v>
      </c>
      <c r="M1363" s="44" t="s">
        <v>2033</v>
      </c>
      <c r="N1363" s="45">
        <v>7951221</v>
      </c>
      <c r="O1363" s="46">
        <f t="shared" si="44"/>
        <v>7951.2209999999995</v>
      </c>
      <c r="P1363" s="47">
        <f>MLCF!C50</f>
        <v>7951.2209999999995</v>
      </c>
      <c r="Q1363" s="44" t="str">
        <f t="shared" si="45"/>
        <v>PASS</v>
      </c>
      <c r="R1363" s="44" t="s">
        <v>1587</v>
      </c>
      <c r="S1363" s="44"/>
    </row>
    <row r="1364" spans="1:19" x14ac:dyDescent="0.3">
      <c r="A1364" s="44" t="s">
        <v>2634</v>
      </c>
      <c r="B1364" s="44" t="s">
        <v>106</v>
      </c>
      <c r="C1364" s="44" t="s">
        <v>20</v>
      </c>
      <c r="D1364" s="44" t="s">
        <v>300</v>
      </c>
      <c r="E1364" s="44" t="s">
        <v>1035</v>
      </c>
      <c r="F1364" s="44" t="s">
        <v>300</v>
      </c>
      <c r="G1364" s="44" t="s">
        <v>1589</v>
      </c>
      <c r="H1364" s="44" t="s">
        <v>1113</v>
      </c>
      <c r="I1364" s="44" t="s">
        <v>1106</v>
      </c>
      <c r="J1364" s="44">
        <v>183</v>
      </c>
      <c r="K1364" s="44" t="s">
        <v>2201</v>
      </c>
      <c r="L1364" s="44" t="s">
        <v>1148</v>
      </c>
      <c r="M1364" s="44" t="s">
        <v>2033</v>
      </c>
      <c r="N1364" s="45">
        <v>7511637</v>
      </c>
      <c r="O1364" s="46">
        <f t="shared" si="44"/>
        <v>7511.6369999999997</v>
      </c>
      <c r="P1364" s="47">
        <f>MLCF!D50</f>
        <v>7511.6369999999997</v>
      </c>
      <c r="Q1364" s="44" t="str">
        <f t="shared" si="45"/>
        <v>PASS</v>
      </c>
      <c r="R1364" s="44" t="s">
        <v>1587</v>
      </c>
      <c r="S1364" s="44"/>
    </row>
    <row r="1365" spans="1:19" x14ac:dyDescent="0.3">
      <c r="A1365" s="44" t="s">
        <v>2635</v>
      </c>
      <c r="B1365" s="44" t="s">
        <v>106</v>
      </c>
      <c r="C1365" s="44" t="s">
        <v>26</v>
      </c>
      <c r="D1365" s="44" t="s">
        <v>300</v>
      </c>
      <c r="E1365" s="44" t="s">
        <v>1035</v>
      </c>
      <c r="F1365" s="44" t="s">
        <v>300</v>
      </c>
      <c r="G1365" s="44" t="s">
        <v>1592</v>
      </c>
      <c r="H1365" s="44" t="s">
        <v>1117</v>
      </c>
      <c r="I1365" s="44" t="s">
        <v>1106</v>
      </c>
      <c r="J1365" s="44">
        <v>98</v>
      </c>
      <c r="K1365" s="44" t="s">
        <v>2487</v>
      </c>
      <c r="L1365" s="44"/>
      <c r="M1365" s="44" t="s">
        <v>2033</v>
      </c>
      <c r="N1365" s="45">
        <v>9117414</v>
      </c>
      <c r="O1365" s="46">
        <f t="shared" si="44"/>
        <v>9117.4140000000007</v>
      </c>
      <c r="P1365" s="47">
        <f>MLCF!E50</f>
        <v>9117.4140000000007</v>
      </c>
      <c r="Q1365" s="44" t="str">
        <f t="shared" si="45"/>
        <v>PASS</v>
      </c>
      <c r="R1365" s="44" t="s">
        <v>1587</v>
      </c>
      <c r="S1365" s="44"/>
    </row>
    <row r="1366" spans="1:19" x14ac:dyDescent="0.3">
      <c r="A1366" s="44" t="s">
        <v>2636</v>
      </c>
      <c r="B1366" s="44" t="s">
        <v>106</v>
      </c>
      <c r="C1366" s="44" t="s">
        <v>27</v>
      </c>
      <c r="D1366" s="44" t="s">
        <v>300</v>
      </c>
      <c r="E1366" s="44" t="s">
        <v>1035</v>
      </c>
      <c r="F1366" s="44" t="s">
        <v>300</v>
      </c>
      <c r="G1366" s="44" t="s">
        <v>1595</v>
      </c>
      <c r="H1366" s="44" t="s">
        <v>1120</v>
      </c>
      <c r="I1366" s="44" t="s">
        <v>1106</v>
      </c>
      <c r="J1366" s="44">
        <v>189</v>
      </c>
      <c r="K1366" s="44" t="s">
        <v>2055</v>
      </c>
      <c r="L1366" s="44" t="s">
        <v>1148</v>
      </c>
      <c r="M1366" s="44" t="s">
        <v>2033</v>
      </c>
      <c r="N1366" s="45">
        <v>12518180</v>
      </c>
      <c r="O1366" s="46">
        <f t="shared" si="44"/>
        <v>12518.18</v>
      </c>
      <c r="P1366" s="47">
        <f>MLCF!F50</f>
        <v>12518.18</v>
      </c>
      <c r="Q1366" s="44" t="str">
        <f t="shared" si="45"/>
        <v>PASS</v>
      </c>
      <c r="R1366" s="44" t="s">
        <v>1587</v>
      </c>
      <c r="S1366" s="44"/>
    </row>
    <row r="1367" spans="1:19" x14ac:dyDescent="0.3">
      <c r="A1367" s="44" t="s">
        <v>2637</v>
      </c>
      <c r="B1367" s="44" t="s">
        <v>106</v>
      </c>
      <c r="C1367" s="44" t="s">
        <v>28</v>
      </c>
      <c r="D1367" s="44" t="s">
        <v>300</v>
      </c>
      <c r="E1367" s="44" t="s">
        <v>1035</v>
      </c>
      <c r="F1367" s="44" t="s">
        <v>300</v>
      </c>
      <c r="G1367" s="44" t="s">
        <v>1598</v>
      </c>
      <c r="H1367" s="44" t="s">
        <v>1124</v>
      </c>
      <c r="I1367" s="44" t="s">
        <v>1106</v>
      </c>
      <c r="J1367" s="44">
        <v>201</v>
      </c>
      <c r="K1367" s="44" t="s">
        <v>2380</v>
      </c>
      <c r="L1367" s="44" t="s">
        <v>1108</v>
      </c>
      <c r="M1367" s="44" t="s">
        <v>2033</v>
      </c>
      <c r="N1367" s="45">
        <v>12482233</v>
      </c>
      <c r="O1367" s="46">
        <f t="shared" si="44"/>
        <v>12482.233</v>
      </c>
      <c r="P1367" s="47">
        <f>MLCF!G50</f>
        <v>12482.233</v>
      </c>
      <c r="Q1367" s="44" t="str">
        <f t="shared" si="45"/>
        <v>PASS</v>
      </c>
      <c r="R1367" s="44" t="s">
        <v>1587</v>
      </c>
      <c r="S1367" s="44"/>
    </row>
    <row r="1368" spans="1:19" x14ac:dyDescent="0.3">
      <c r="A1368" s="44" t="s">
        <v>2638</v>
      </c>
      <c r="B1368" s="44" t="s">
        <v>106</v>
      </c>
      <c r="C1368" s="44" t="s">
        <v>29</v>
      </c>
      <c r="D1368" s="44" t="s">
        <v>300</v>
      </c>
      <c r="E1368" s="44" t="s">
        <v>1035</v>
      </c>
      <c r="F1368" s="44" t="s">
        <v>300</v>
      </c>
      <c r="G1368" s="44" t="s">
        <v>1598</v>
      </c>
      <c r="H1368" s="44" t="s">
        <v>1124</v>
      </c>
      <c r="I1368" s="44" t="s">
        <v>1127</v>
      </c>
      <c r="J1368" s="44">
        <v>201</v>
      </c>
      <c r="K1368" s="44" t="s">
        <v>2380</v>
      </c>
      <c r="L1368" s="44" t="s">
        <v>1108</v>
      </c>
      <c r="M1368" s="44" t="s">
        <v>2033</v>
      </c>
      <c r="N1368" s="45">
        <v>17926267</v>
      </c>
      <c r="O1368" s="46">
        <f t="shared" si="44"/>
        <v>17926.267</v>
      </c>
      <c r="P1368" s="47">
        <f>MLCF!H50</f>
        <v>17926.267</v>
      </c>
      <c r="Q1368" s="44" t="str">
        <f t="shared" si="45"/>
        <v>PASS</v>
      </c>
      <c r="R1368" s="44" t="s">
        <v>1587</v>
      </c>
      <c r="S1368" s="44"/>
    </row>
    <row r="1369" spans="1:19" x14ac:dyDescent="0.3">
      <c r="A1369" s="44" t="s">
        <v>2639</v>
      </c>
      <c r="B1369" s="44" t="s">
        <v>106</v>
      </c>
      <c r="C1369" s="44" t="s">
        <v>965</v>
      </c>
      <c r="D1369" s="44" t="s">
        <v>1284</v>
      </c>
      <c r="E1369" s="44" t="s">
        <v>1130</v>
      </c>
      <c r="F1369" s="44" t="s">
        <v>2640</v>
      </c>
      <c r="G1369" s="44" t="s">
        <v>1584</v>
      </c>
      <c r="H1369" s="44" t="s">
        <v>1105</v>
      </c>
      <c r="I1369" s="44" t="s">
        <v>1106</v>
      </c>
      <c r="J1369" s="44">
        <v>198</v>
      </c>
      <c r="K1369" s="44" t="s">
        <v>2641</v>
      </c>
      <c r="L1369" s="44"/>
      <c r="M1369" s="44" t="s">
        <v>2033</v>
      </c>
      <c r="N1369" s="45">
        <v>4173943</v>
      </c>
      <c r="O1369" s="46">
        <f t="shared" si="44"/>
        <v>4173.9430000000002</v>
      </c>
      <c r="P1369" s="47">
        <f>MLCF!C51</f>
        <v>4173.9430000000002</v>
      </c>
      <c r="Q1369" s="44" t="str">
        <f t="shared" si="45"/>
        <v>PASS</v>
      </c>
      <c r="R1369" s="44" t="s">
        <v>1587</v>
      </c>
      <c r="S1369" s="44" t="s">
        <v>2642</v>
      </c>
    </row>
    <row r="1370" spans="1:19" x14ac:dyDescent="0.3">
      <c r="A1370" s="44" t="s">
        <v>2643</v>
      </c>
      <c r="B1370" s="44" t="s">
        <v>106</v>
      </c>
      <c r="C1370" s="44" t="s">
        <v>20</v>
      </c>
      <c r="D1370" s="44" t="s">
        <v>1284</v>
      </c>
      <c r="E1370" s="44" t="s">
        <v>1130</v>
      </c>
      <c r="F1370" s="44" t="s">
        <v>2640</v>
      </c>
      <c r="G1370" s="44" t="s">
        <v>1589</v>
      </c>
      <c r="H1370" s="44" t="s">
        <v>1113</v>
      </c>
      <c r="I1370" s="44" t="s">
        <v>1106</v>
      </c>
      <c r="J1370" s="44">
        <v>220</v>
      </c>
      <c r="K1370" s="44" t="s">
        <v>2644</v>
      </c>
      <c r="L1370" s="44"/>
      <c r="M1370" s="44" t="s">
        <v>2033</v>
      </c>
      <c r="N1370" s="45">
        <v>3576632</v>
      </c>
      <c r="O1370" s="46">
        <f t="shared" si="44"/>
        <v>3576.6320000000001</v>
      </c>
      <c r="P1370" s="47">
        <f>MLCF!D51</f>
        <v>3576.6320000000001</v>
      </c>
      <c r="Q1370" s="44" t="str">
        <f t="shared" si="45"/>
        <v>PASS</v>
      </c>
      <c r="R1370" s="44" t="s">
        <v>1587</v>
      </c>
      <c r="S1370" s="44" t="s">
        <v>2642</v>
      </c>
    </row>
    <row r="1371" spans="1:19" x14ac:dyDescent="0.3">
      <c r="A1371" s="44" t="s">
        <v>2645</v>
      </c>
      <c r="B1371" s="44" t="s">
        <v>106</v>
      </c>
      <c r="C1371" s="44" t="s">
        <v>26</v>
      </c>
      <c r="D1371" s="44" t="s">
        <v>1284</v>
      </c>
      <c r="E1371" s="44" t="s">
        <v>1130</v>
      </c>
      <c r="F1371" s="44" t="s">
        <v>2640</v>
      </c>
      <c r="G1371" s="44" t="s">
        <v>1592</v>
      </c>
      <c r="H1371" s="44" t="s">
        <v>1117</v>
      </c>
      <c r="I1371" s="44" t="s">
        <v>1106</v>
      </c>
      <c r="J1371" s="44">
        <v>116</v>
      </c>
      <c r="K1371" s="44" t="s">
        <v>1107</v>
      </c>
      <c r="L1371" s="44"/>
      <c r="M1371" s="44" t="s">
        <v>2033</v>
      </c>
      <c r="N1371" s="45">
        <v>4108307</v>
      </c>
      <c r="O1371" s="46">
        <f t="shared" ref="O1371:O1434" si="46">N1371/1000</f>
        <v>4108.3069999999998</v>
      </c>
      <c r="P1371" s="47">
        <f>MLCF!E51</f>
        <v>4108.3069999999998</v>
      </c>
      <c r="Q1371" s="44" t="str">
        <f t="shared" si="45"/>
        <v>PASS</v>
      </c>
      <c r="R1371" s="44" t="s">
        <v>1587</v>
      </c>
      <c r="S1371" s="44" t="s">
        <v>2642</v>
      </c>
    </row>
    <row r="1372" spans="1:19" x14ac:dyDescent="0.3">
      <c r="A1372" s="44" t="s">
        <v>2646</v>
      </c>
      <c r="B1372" s="44" t="s">
        <v>106</v>
      </c>
      <c r="C1372" s="44" t="s">
        <v>27</v>
      </c>
      <c r="D1372" s="44" t="s">
        <v>1284</v>
      </c>
      <c r="E1372" s="44" t="s">
        <v>1130</v>
      </c>
      <c r="F1372" s="44" t="s">
        <v>2640</v>
      </c>
      <c r="G1372" s="44" t="s">
        <v>1595</v>
      </c>
      <c r="H1372" s="44" t="s">
        <v>1120</v>
      </c>
      <c r="I1372" s="44" t="s">
        <v>1106</v>
      </c>
      <c r="J1372" s="44">
        <v>226</v>
      </c>
      <c r="K1372" s="44" t="s">
        <v>1842</v>
      </c>
      <c r="L1372" s="44"/>
      <c r="M1372" s="44" t="s">
        <v>2033</v>
      </c>
      <c r="N1372" s="45">
        <v>6676221</v>
      </c>
      <c r="O1372" s="46">
        <f t="shared" si="46"/>
        <v>6676.2209999999995</v>
      </c>
      <c r="P1372" s="47">
        <f>MLCF!F51</f>
        <v>6676.2209999999995</v>
      </c>
      <c r="Q1372" s="44" t="str">
        <f t="shared" si="45"/>
        <v>PASS</v>
      </c>
      <c r="R1372" s="44" t="s">
        <v>1587</v>
      </c>
      <c r="S1372" s="44" t="s">
        <v>2642</v>
      </c>
    </row>
    <row r="1373" spans="1:19" x14ac:dyDescent="0.3">
      <c r="A1373" s="44" t="s">
        <v>2647</v>
      </c>
      <c r="B1373" s="44" t="s">
        <v>106</v>
      </c>
      <c r="C1373" s="44" t="s">
        <v>28</v>
      </c>
      <c r="D1373" s="44" t="s">
        <v>1284</v>
      </c>
      <c r="E1373" s="44" t="s">
        <v>1130</v>
      </c>
      <c r="F1373" s="44" t="s">
        <v>2640</v>
      </c>
      <c r="G1373" s="44" t="s">
        <v>1598</v>
      </c>
      <c r="H1373" s="44" t="s">
        <v>1124</v>
      </c>
      <c r="I1373" s="44" t="s">
        <v>1106</v>
      </c>
      <c r="J1373" s="44">
        <v>240</v>
      </c>
      <c r="K1373" s="44" t="s">
        <v>1951</v>
      </c>
      <c r="L1373" s="44"/>
      <c r="M1373" s="44" t="s">
        <v>2033</v>
      </c>
      <c r="N1373" s="45">
        <v>5396605</v>
      </c>
      <c r="O1373" s="46">
        <f t="shared" si="46"/>
        <v>5396.6049999999996</v>
      </c>
      <c r="P1373" s="47">
        <f>MLCF!G51</f>
        <v>5396.6050000000005</v>
      </c>
      <c r="Q1373" s="44" t="str">
        <f t="shared" si="45"/>
        <v>PASS</v>
      </c>
      <c r="R1373" s="44" t="s">
        <v>1587</v>
      </c>
      <c r="S1373" s="44" t="s">
        <v>2642</v>
      </c>
    </row>
    <row r="1374" spans="1:19" x14ac:dyDescent="0.3">
      <c r="A1374" s="44" t="s">
        <v>2648</v>
      </c>
      <c r="B1374" s="44" t="s">
        <v>106</v>
      </c>
      <c r="C1374" s="44" t="s">
        <v>29</v>
      </c>
      <c r="D1374" s="44" t="s">
        <v>1284</v>
      </c>
      <c r="E1374" s="44" t="s">
        <v>1130</v>
      </c>
      <c r="F1374" s="44" t="s">
        <v>2640</v>
      </c>
      <c r="G1374" s="44" t="s">
        <v>1598</v>
      </c>
      <c r="H1374" s="44" t="s">
        <v>1124</v>
      </c>
      <c r="I1374" s="44" t="s">
        <v>1127</v>
      </c>
      <c r="J1374" s="44">
        <v>240</v>
      </c>
      <c r="K1374" s="44" t="s">
        <v>1951</v>
      </c>
      <c r="L1374" s="44"/>
      <c r="M1374" s="44" t="s">
        <v>2033</v>
      </c>
      <c r="N1374" s="45">
        <v>7322783</v>
      </c>
      <c r="O1374" s="46">
        <f t="shared" si="46"/>
        <v>7322.7830000000004</v>
      </c>
      <c r="P1374" s="47">
        <f>MLCF!H51</f>
        <v>7322.7829999999994</v>
      </c>
      <c r="Q1374" s="44" t="str">
        <f t="shared" si="45"/>
        <v>PASS</v>
      </c>
      <c r="R1374" s="44" t="s">
        <v>1587</v>
      </c>
      <c r="S1374" s="44" t="s">
        <v>2642</v>
      </c>
    </row>
    <row r="1375" spans="1:19" x14ac:dyDescent="0.3">
      <c r="A1375" s="44" t="s">
        <v>2649</v>
      </c>
      <c r="B1375" s="44" t="s">
        <v>106</v>
      </c>
      <c r="C1375" s="44" t="s">
        <v>965</v>
      </c>
      <c r="D1375" s="44" t="s">
        <v>304</v>
      </c>
      <c r="E1375" s="44" t="s">
        <v>1035</v>
      </c>
      <c r="F1375" s="44"/>
      <c r="G1375" s="44" t="s">
        <v>1584</v>
      </c>
      <c r="H1375" s="44" t="s">
        <v>1105</v>
      </c>
      <c r="I1375" s="44" t="s">
        <v>1106</v>
      </c>
      <c r="J1375" s="44">
        <v>162</v>
      </c>
      <c r="K1375" s="44" t="s">
        <v>2503</v>
      </c>
      <c r="L1375" s="44"/>
      <c r="M1375" s="44" t="s">
        <v>2033</v>
      </c>
      <c r="N1375" s="45">
        <v>0</v>
      </c>
      <c r="O1375" s="46">
        <f t="shared" si="46"/>
        <v>0</v>
      </c>
      <c r="P1375" s="47">
        <f>MLCF!C52</f>
        <v>0</v>
      </c>
      <c r="Q1375" s="44" t="str">
        <f t="shared" si="45"/>
        <v>PASS</v>
      </c>
      <c r="R1375" s="44" t="s">
        <v>1587</v>
      </c>
      <c r="S1375" s="44"/>
    </row>
    <row r="1376" spans="1:19" x14ac:dyDescent="0.3">
      <c r="A1376" s="44" t="s">
        <v>2650</v>
      </c>
      <c r="B1376" s="44" t="s">
        <v>106</v>
      </c>
      <c r="C1376" s="44" t="s">
        <v>20</v>
      </c>
      <c r="D1376" s="44" t="s">
        <v>304</v>
      </c>
      <c r="E1376" s="44" t="s">
        <v>1035</v>
      </c>
      <c r="F1376" s="44"/>
      <c r="G1376" s="44" t="s">
        <v>1589</v>
      </c>
      <c r="H1376" s="44" t="s">
        <v>1113</v>
      </c>
      <c r="I1376" s="44" t="s">
        <v>1106</v>
      </c>
      <c r="J1376" s="44">
        <v>183</v>
      </c>
      <c r="K1376" s="44" t="s">
        <v>2201</v>
      </c>
      <c r="L1376" s="44"/>
      <c r="M1376" s="44" t="s">
        <v>2033</v>
      </c>
      <c r="N1376" s="45">
        <v>0</v>
      </c>
      <c r="O1376" s="46">
        <f t="shared" si="46"/>
        <v>0</v>
      </c>
      <c r="P1376" s="47">
        <f>MLCF!D52</f>
        <v>0</v>
      </c>
      <c r="Q1376" s="44" t="str">
        <f t="shared" si="45"/>
        <v>PASS</v>
      </c>
      <c r="R1376" s="44" t="s">
        <v>1587</v>
      </c>
      <c r="S1376" s="44"/>
    </row>
    <row r="1377" spans="1:19" x14ac:dyDescent="0.3">
      <c r="A1377" s="44" t="s">
        <v>2651</v>
      </c>
      <c r="B1377" s="44" t="s">
        <v>106</v>
      </c>
      <c r="C1377" s="44" t="s">
        <v>26</v>
      </c>
      <c r="D1377" s="44" t="s">
        <v>304</v>
      </c>
      <c r="E1377" s="44" t="s">
        <v>1035</v>
      </c>
      <c r="F1377" s="44"/>
      <c r="G1377" s="44" t="s">
        <v>1592</v>
      </c>
      <c r="H1377" s="44" t="s">
        <v>1117</v>
      </c>
      <c r="I1377" s="44" t="s">
        <v>1106</v>
      </c>
      <c r="J1377" s="44">
        <v>98</v>
      </c>
      <c r="K1377" s="44" t="s">
        <v>2487</v>
      </c>
      <c r="L1377" s="44"/>
      <c r="M1377" s="44" t="s">
        <v>2033</v>
      </c>
      <c r="N1377" s="45">
        <v>0</v>
      </c>
      <c r="O1377" s="46">
        <f t="shared" si="46"/>
        <v>0</v>
      </c>
      <c r="P1377" s="47">
        <f>MLCF!E52</f>
        <v>0</v>
      </c>
      <c r="Q1377" s="44" t="str">
        <f t="shared" si="45"/>
        <v>PASS</v>
      </c>
      <c r="R1377" s="44" t="s">
        <v>1587</v>
      </c>
      <c r="S1377" s="44"/>
    </row>
    <row r="1378" spans="1:19" x14ac:dyDescent="0.3">
      <c r="A1378" s="44" t="s">
        <v>2652</v>
      </c>
      <c r="B1378" s="44" t="s">
        <v>106</v>
      </c>
      <c r="C1378" s="44" t="s">
        <v>27</v>
      </c>
      <c r="D1378" s="44" t="s">
        <v>304</v>
      </c>
      <c r="E1378" s="44" t="s">
        <v>1035</v>
      </c>
      <c r="F1378" s="44"/>
      <c r="G1378" s="44" t="s">
        <v>1595</v>
      </c>
      <c r="H1378" s="44" t="s">
        <v>1120</v>
      </c>
      <c r="I1378" s="44" t="s">
        <v>1106</v>
      </c>
      <c r="J1378" s="44">
        <v>189</v>
      </c>
      <c r="K1378" s="44" t="s">
        <v>2055</v>
      </c>
      <c r="L1378" s="44"/>
      <c r="M1378" s="44" t="s">
        <v>2033</v>
      </c>
      <c r="N1378" s="45">
        <v>0</v>
      </c>
      <c r="O1378" s="46">
        <f t="shared" si="46"/>
        <v>0</v>
      </c>
      <c r="P1378" s="47">
        <f>MLCF!F52</f>
        <v>0</v>
      </c>
      <c r="Q1378" s="44" t="str">
        <f t="shared" si="45"/>
        <v>PASS</v>
      </c>
      <c r="R1378" s="44" t="s">
        <v>1587</v>
      </c>
      <c r="S1378" s="44"/>
    </row>
    <row r="1379" spans="1:19" x14ac:dyDescent="0.3">
      <c r="A1379" s="44" t="s">
        <v>2653</v>
      </c>
      <c r="B1379" s="44" t="s">
        <v>106</v>
      </c>
      <c r="C1379" s="44" t="s">
        <v>28</v>
      </c>
      <c r="D1379" s="44" t="s">
        <v>304</v>
      </c>
      <c r="E1379" s="44" t="s">
        <v>1035</v>
      </c>
      <c r="F1379" s="44"/>
      <c r="G1379" s="44" t="s">
        <v>1598</v>
      </c>
      <c r="H1379" s="44" t="s">
        <v>1124</v>
      </c>
      <c r="I1379" s="44" t="s">
        <v>1106</v>
      </c>
      <c r="J1379" s="44">
        <v>201</v>
      </c>
      <c r="K1379" s="44" t="s">
        <v>2380</v>
      </c>
      <c r="L1379" s="44"/>
      <c r="M1379" s="44" t="s">
        <v>2033</v>
      </c>
      <c r="N1379" s="45">
        <v>0</v>
      </c>
      <c r="O1379" s="46">
        <f t="shared" si="46"/>
        <v>0</v>
      </c>
      <c r="P1379" s="47">
        <f>MLCF!G52</f>
        <v>0</v>
      </c>
      <c r="Q1379" s="44" t="str">
        <f t="shared" si="45"/>
        <v>PASS</v>
      </c>
      <c r="R1379" s="44" t="s">
        <v>1587</v>
      </c>
      <c r="S1379" s="44"/>
    </row>
    <row r="1380" spans="1:19" x14ac:dyDescent="0.3">
      <c r="A1380" s="44" t="s">
        <v>2654</v>
      </c>
      <c r="B1380" s="44" t="s">
        <v>106</v>
      </c>
      <c r="C1380" s="44" t="s">
        <v>29</v>
      </c>
      <c r="D1380" s="44" t="s">
        <v>304</v>
      </c>
      <c r="E1380" s="44" t="s">
        <v>1035</v>
      </c>
      <c r="F1380" s="44"/>
      <c r="G1380" s="44" t="s">
        <v>1598</v>
      </c>
      <c r="H1380" s="44" t="s">
        <v>1124</v>
      </c>
      <c r="I1380" s="44" t="s">
        <v>1127</v>
      </c>
      <c r="J1380" s="44">
        <v>201</v>
      </c>
      <c r="K1380" s="44" t="s">
        <v>2380</v>
      </c>
      <c r="L1380" s="44"/>
      <c r="M1380" s="44" t="s">
        <v>2033</v>
      </c>
      <c r="N1380" s="45">
        <v>0</v>
      </c>
      <c r="O1380" s="46">
        <f t="shared" si="46"/>
        <v>0</v>
      </c>
      <c r="P1380" s="47">
        <f>MLCF!H52</f>
        <v>0</v>
      </c>
      <c r="Q1380" s="44" t="str">
        <f t="shared" si="45"/>
        <v>PASS</v>
      </c>
      <c r="R1380" s="44" t="s">
        <v>1587</v>
      </c>
      <c r="S1380" s="44"/>
    </row>
    <row r="1381" spans="1:19" x14ac:dyDescent="0.3">
      <c r="A1381" s="44" t="s">
        <v>2655</v>
      </c>
      <c r="B1381" s="44" t="s">
        <v>106</v>
      </c>
      <c r="C1381" s="44" t="s">
        <v>965</v>
      </c>
      <c r="D1381" s="44" t="s">
        <v>306</v>
      </c>
      <c r="E1381" s="44" t="s">
        <v>1035</v>
      </c>
      <c r="F1381" s="44" t="s">
        <v>1302</v>
      </c>
      <c r="G1381" s="44" t="s">
        <v>1584</v>
      </c>
      <c r="H1381" s="44" t="s">
        <v>1105</v>
      </c>
      <c r="I1381" s="44" t="s">
        <v>1106</v>
      </c>
      <c r="J1381" s="44">
        <v>162</v>
      </c>
      <c r="K1381" s="44" t="s">
        <v>2503</v>
      </c>
      <c r="L1381" s="44" t="s">
        <v>1161</v>
      </c>
      <c r="M1381" s="44" t="s">
        <v>2033</v>
      </c>
      <c r="N1381" s="45">
        <v>547189</v>
      </c>
      <c r="O1381" s="46">
        <f t="shared" si="46"/>
        <v>547.18899999999996</v>
      </c>
      <c r="P1381" s="47">
        <f>MLCF!C53</f>
        <v>547.18899999999996</v>
      </c>
      <c r="Q1381" s="44" t="str">
        <f t="shared" si="45"/>
        <v>PASS</v>
      </c>
      <c r="R1381" s="44" t="s">
        <v>1587</v>
      </c>
      <c r="S1381" s="44"/>
    </row>
    <row r="1382" spans="1:19" x14ac:dyDescent="0.3">
      <c r="A1382" s="44" t="s">
        <v>2656</v>
      </c>
      <c r="B1382" s="44" t="s">
        <v>106</v>
      </c>
      <c r="C1382" s="44" t="s">
        <v>20</v>
      </c>
      <c r="D1382" s="44" t="s">
        <v>306</v>
      </c>
      <c r="E1382" s="44" t="s">
        <v>1035</v>
      </c>
      <c r="F1382" s="44" t="s">
        <v>1302</v>
      </c>
      <c r="G1382" s="44" t="s">
        <v>1589</v>
      </c>
      <c r="H1382" s="44" t="s">
        <v>1113</v>
      </c>
      <c r="I1382" s="44" t="s">
        <v>1106</v>
      </c>
      <c r="J1382" s="44">
        <v>183</v>
      </c>
      <c r="K1382" s="44" t="s">
        <v>2201</v>
      </c>
      <c r="L1382" s="44" t="s">
        <v>1161</v>
      </c>
      <c r="M1382" s="44" t="s">
        <v>2033</v>
      </c>
      <c r="N1382" s="45">
        <v>260953</v>
      </c>
      <c r="O1382" s="46">
        <f t="shared" si="46"/>
        <v>260.95299999999997</v>
      </c>
      <c r="P1382" s="47">
        <f>MLCF!D53</f>
        <v>260.95299999999997</v>
      </c>
      <c r="Q1382" s="44" t="str">
        <f t="shared" si="45"/>
        <v>PASS</v>
      </c>
      <c r="R1382" s="44" t="s">
        <v>1587</v>
      </c>
      <c r="S1382" s="44"/>
    </row>
    <row r="1383" spans="1:19" x14ac:dyDescent="0.3">
      <c r="A1383" s="44" t="s">
        <v>2657</v>
      </c>
      <c r="B1383" s="44" t="s">
        <v>106</v>
      </c>
      <c r="C1383" s="44" t="s">
        <v>26</v>
      </c>
      <c r="D1383" s="44" t="s">
        <v>306</v>
      </c>
      <c r="E1383" s="44" t="s">
        <v>1035</v>
      </c>
      <c r="F1383" s="44" t="s">
        <v>1302</v>
      </c>
      <c r="G1383" s="44" t="s">
        <v>1592</v>
      </c>
      <c r="H1383" s="44" t="s">
        <v>1117</v>
      </c>
      <c r="I1383" s="44" t="s">
        <v>1106</v>
      </c>
      <c r="J1383" s="44">
        <v>98</v>
      </c>
      <c r="K1383" s="44" t="s">
        <v>2487</v>
      </c>
      <c r="L1383" s="44"/>
      <c r="M1383" s="44" t="s">
        <v>2033</v>
      </c>
      <c r="N1383" s="45">
        <v>665122</v>
      </c>
      <c r="O1383" s="46">
        <f t="shared" si="46"/>
        <v>665.12199999999996</v>
      </c>
      <c r="P1383" s="47">
        <f>MLCF!E53</f>
        <v>665.12199999999996</v>
      </c>
      <c r="Q1383" s="44" t="str">
        <f t="shared" si="45"/>
        <v>PASS</v>
      </c>
      <c r="R1383" s="44" t="s">
        <v>1587</v>
      </c>
      <c r="S1383" s="44"/>
    </row>
    <row r="1384" spans="1:19" x14ac:dyDescent="0.3">
      <c r="A1384" s="44" t="s">
        <v>2658</v>
      </c>
      <c r="B1384" s="44" t="s">
        <v>106</v>
      </c>
      <c r="C1384" s="44" t="s">
        <v>27</v>
      </c>
      <c r="D1384" s="44" t="s">
        <v>306</v>
      </c>
      <c r="E1384" s="44" t="s">
        <v>1035</v>
      </c>
      <c r="F1384" s="44" t="s">
        <v>1302</v>
      </c>
      <c r="G1384" s="44" t="s">
        <v>1595</v>
      </c>
      <c r="H1384" s="44" t="s">
        <v>1120</v>
      </c>
      <c r="I1384" s="44" t="s">
        <v>1106</v>
      </c>
      <c r="J1384" s="44">
        <v>189</v>
      </c>
      <c r="K1384" s="44" t="s">
        <v>2055</v>
      </c>
      <c r="L1384" s="44" t="s">
        <v>1161</v>
      </c>
      <c r="M1384" s="44" t="s">
        <v>2033</v>
      </c>
      <c r="N1384" s="45">
        <v>880039</v>
      </c>
      <c r="O1384" s="46">
        <f t="shared" si="46"/>
        <v>880.03899999999999</v>
      </c>
      <c r="P1384" s="47">
        <f>MLCF!F53</f>
        <v>880.03899999999999</v>
      </c>
      <c r="Q1384" s="44" t="str">
        <f t="shared" si="45"/>
        <v>PASS</v>
      </c>
      <c r="R1384" s="44" t="s">
        <v>1587</v>
      </c>
      <c r="S1384" s="44"/>
    </row>
    <row r="1385" spans="1:19" x14ac:dyDescent="0.3">
      <c r="A1385" s="44" t="s">
        <v>2659</v>
      </c>
      <c r="B1385" s="44" t="s">
        <v>106</v>
      </c>
      <c r="C1385" s="44" t="s">
        <v>28</v>
      </c>
      <c r="D1385" s="44" t="s">
        <v>306</v>
      </c>
      <c r="E1385" s="44" t="s">
        <v>1035</v>
      </c>
      <c r="F1385" s="44" t="s">
        <v>1302</v>
      </c>
      <c r="G1385" s="44" t="s">
        <v>1598</v>
      </c>
      <c r="H1385" s="44" t="s">
        <v>1124</v>
      </c>
      <c r="I1385" s="44" t="s">
        <v>1106</v>
      </c>
      <c r="J1385" s="44">
        <v>201</v>
      </c>
      <c r="K1385" s="44" t="s">
        <v>2380</v>
      </c>
      <c r="L1385" s="44" t="s">
        <v>1148</v>
      </c>
      <c r="M1385" s="44" t="s">
        <v>2033</v>
      </c>
      <c r="N1385" s="45">
        <v>865945</v>
      </c>
      <c r="O1385" s="46">
        <f t="shared" si="46"/>
        <v>865.94500000000005</v>
      </c>
      <c r="P1385" s="47">
        <f>MLCF!G53</f>
        <v>865.94500000000005</v>
      </c>
      <c r="Q1385" s="44" t="str">
        <f t="shared" ref="Q1385:Q1448" si="47">IF(ABS(O1385-P1385)&lt;0.000001,"PASS","FAIL")</f>
        <v>PASS</v>
      </c>
      <c r="R1385" s="44" t="s">
        <v>1587</v>
      </c>
      <c r="S1385" s="44"/>
    </row>
    <row r="1386" spans="1:19" x14ac:dyDescent="0.3">
      <c r="A1386" s="44" t="s">
        <v>2660</v>
      </c>
      <c r="B1386" s="44" t="s">
        <v>106</v>
      </c>
      <c r="C1386" s="44" t="s">
        <v>29</v>
      </c>
      <c r="D1386" s="44" t="s">
        <v>306</v>
      </c>
      <c r="E1386" s="44" t="s">
        <v>1035</v>
      </c>
      <c r="F1386" s="44" t="s">
        <v>1302</v>
      </c>
      <c r="G1386" s="44" t="s">
        <v>1598</v>
      </c>
      <c r="H1386" s="44" t="s">
        <v>1124</v>
      </c>
      <c r="I1386" s="44" t="s">
        <v>1127</v>
      </c>
      <c r="J1386" s="44">
        <v>201</v>
      </c>
      <c r="K1386" s="44" t="s">
        <v>2380</v>
      </c>
      <c r="L1386" s="44" t="s">
        <v>1148</v>
      </c>
      <c r="M1386" s="44" t="s">
        <v>2033</v>
      </c>
      <c r="N1386" s="45">
        <v>320434</v>
      </c>
      <c r="O1386" s="46">
        <f t="shared" si="46"/>
        <v>320.43400000000003</v>
      </c>
      <c r="P1386" s="47">
        <f>MLCF!H53</f>
        <v>320.43400000000003</v>
      </c>
      <c r="Q1386" s="44" t="str">
        <f t="shared" si="47"/>
        <v>PASS</v>
      </c>
      <c r="R1386" s="44" t="s">
        <v>1587</v>
      </c>
      <c r="S1386" s="44"/>
    </row>
    <row r="1387" spans="1:19" x14ac:dyDescent="0.3">
      <c r="A1387" s="44" t="s">
        <v>2661</v>
      </c>
      <c r="B1387" s="44" t="s">
        <v>106</v>
      </c>
      <c r="C1387" s="44" t="s">
        <v>965</v>
      </c>
      <c r="D1387" s="44" t="s">
        <v>308</v>
      </c>
      <c r="E1387" s="44" t="s">
        <v>1035</v>
      </c>
      <c r="F1387" s="44" t="s">
        <v>1767</v>
      </c>
      <c r="G1387" s="44" t="s">
        <v>1584</v>
      </c>
      <c r="H1387" s="44" t="s">
        <v>1105</v>
      </c>
      <c r="I1387" s="44" t="s">
        <v>1106</v>
      </c>
      <c r="J1387" s="44">
        <v>162</v>
      </c>
      <c r="K1387" s="44" t="s">
        <v>2503</v>
      </c>
      <c r="L1387" s="44" t="s">
        <v>1155</v>
      </c>
      <c r="M1387" s="44" t="s">
        <v>2033</v>
      </c>
      <c r="N1387" s="45">
        <v>6642312</v>
      </c>
      <c r="O1387" s="46">
        <f t="shared" si="46"/>
        <v>6642.3119999999999</v>
      </c>
      <c r="P1387" s="47">
        <f>MLCF!C54</f>
        <v>6642.3119999999999</v>
      </c>
      <c r="Q1387" s="44" t="str">
        <f t="shared" si="47"/>
        <v>PASS</v>
      </c>
      <c r="R1387" s="44" t="s">
        <v>1587</v>
      </c>
      <c r="S1387" s="44"/>
    </row>
    <row r="1388" spans="1:19" x14ac:dyDescent="0.3">
      <c r="A1388" s="44" t="s">
        <v>2662</v>
      </c>
      <c r="B1388" s="44" t="s">
        <v>106</v>
      </c>
      <c r="C1388" s="44" t="s">
        <v>20</v>
      </c>
      <c r="D1388" s="44" t="s">
        <v>308</v>
      </c>
      <c r="E1388" s="44" t="s">
        <v>1035</v>
      </c>
      <c r="F1388" s="44" t="s">
        <v>1767</v>
      </c>
      <c r="G1388" s="44" t="s">
        <v>1589</v>
      </c>
      <c r="H1388" s="44" t="s">
        <v>1113</v>
      </c>
      <c r="I1388" s="44" t="s">
        <v>1106</v>
      </c>
      <c r="J1388" s="44">
        <v>183</v>
      </c>
      <c r="K1388" s="44" t="s">
        <v>2201</v>
      </c>
      <c r="L1388" s="44" t="s">
        <v>1155</v>
      </c>
      <c r="M1388" s="44" t="s">
        <v>2033</v>
      </c>
      <c r="N1388" s="45">
        <v>1894115</v>
      </c>
      <c r="O1388" s="46">
        <f t="shared" si="46"/>
        <v>1894.115</v>
      </c>
      <c r="P1388" s="47">
        <f>MLCF!D54</f>
        <v>1894.115</v>
      </c>
      <c r="Q1388" s="44" t="str">
        <f t="shared" si="47"/>
        <v>PASS</v>
      </c>
      <c r="R1388" s="44" t="s">
        <v>1587</v>
      </c>
      <c r="S1388" s="44"/>
    </row>
    <row r="1389" spans="1:19" x14ac:dyDescent="0.3">
      <c r="A1389" s="44" t="s">
        <v>2663</v>
      </c>
      <c r="B1389" s="44" t="s">
        <v>106</v>
      </c>
      <c r="C1389" s="44" t="s">
        <v>26</v>
      </c>
      <c r="D1389" s="44" t="s">
        <v>308</v>
      </c>
      <c r="E1389" s="44" t="s">
        <v>1035</v>
      </c>
      <c r="F1389" s="44" t="s">
        <v>1767</v>
      </c>
      <c r="G1389" s="44" t="s">
        <v>1592</v>
      </c>
      <c r="H1389" s="44" t="s">
        <v>1117</v>
      </c>
      <c r="I1389" s="44" t="s">
        <v>1106</v>
      </c>
      <c r="J1389" s="44">
        <v>98</v>
      </c>
      <c r="K1389" s="44" t="s">
        <v>2487</v>
      </c>
      <c r="L1389" s="44"/>
      <c r="M1389" s="44" t="s">
        <v>2033</v>
      </c>
      <c r="N1389" s="45">
        <v>3572073</v>
      </c>
      <c r="O1389" s="46">
        <f t="shared" si="46"/>
        <v>3572.0729999999999</v>
      </c>
      <c r="P1389" s="47">
        <f>MLCF!E54</f>
        <v>3572.0729999999999</v>
      </c>
      <c r="Q1389" s="44" t="str">
        <f t="shared" si="47"/>
        <v>PASS</v>
      </c>
      <c r="R1389" s="44" t="s">
        <v>1587</v>
      </c>
      <c r="S1389" s="44"/>
    </row>
    <row r="1390" spans="1:19" x14ac:dyDescent="0.3">
      <c r="A1390" s="44" t="s">
        <v>2664</v>
      </c>
      <c r="B1390" s="44" t="s">
        <v>106</v>
      </c>
      <c r="C1390" s="44" t="s">
        <v>27</v>
      </c>
      <c r="D1390" s="44" t="s">
        <v>308</v>
      </c>
      <c r="E1390" s="44" t="s">
        <v>1035</v>
      </c>
      <c r="F1390" s="44" t="s">
        <v>2217</v>
      </c>
      <c r="G1390" s="44" t="s">
        <v>1595</v>
      </c>
      <c r="H1390" s="44" t="s">
        <v>1120</v>
      </c>
      <c r="I1390" s="44" t="s">
        <v>1106</v>
      </c>
      <c r="J1390" s="44">
        <v>189</v>
      </c>
      <c r="K1390" s="44" t="s">
        <v>2055</v>
      </c>
      <c r="L1390" s="44" t="s">
        <v>1155</v>
      </c>
      <c r="M1390" s="44" t="s">
        <v>2033</v>
      </c>
      <c r="N1390" s="45">
        <v>0</v>
      </c>
      <c r="O1390" s="46">
        <f t="shared" si="46"/>
        <v>0</v>
      </c>
      <c r="P1390" s="47">
        <f>MLCF!F54</f>
        <v>0</v>
      </c>
      <c r="Q1390" s="44" t="str">
        <f t="shared" si="47"/>
        <v>PASS</v>
      </c>
      <c r="R1390" s="44" t="s">
        <v>1587</v>
      </c>
      <c r="S1390" s="44"/>
    </row>
    <row r="1391" spans="1:19" x14ac:dyDescent="0.3">
      <c r="A1391" s="44" t="s">
        <v>2665</v>
      </c>
      <c r="B1391" s="44" t="s">
        <v>106</v>
      </c>
      <c r="C1391" s="44" t="s">
        <v>28</v>
      </c>
      <c r="D1391" s="44" t="s">
        <v>308</v>
      </c>
      <c r="E1391" s="44" t="s">
        <v>1035</v>
      </c>
      <c r="F1391" s="44" t="s">
        <v>2217</v>
      </c>
      <c r="G1391" s="44" t="s">
        <v>1598</v>
      </c>
      <c r="H1391" s="44" t="s">
        <v>1124</v>
      </c>
      <c r="I1391" s="44" t="s">
        <v>1106</v>
      </c>
      <c r="J1391" s="44">
        <v>201</v>
      </c>
      <c r="K1391" s="44" t="s">
        <v>2380</v>
      </c>
      <c r="L1391" s="44" t="s">
        <v>1161</v>
      </c>
      <c r="M1391" s="44" t="s">
        <v>2033</v>
      </c>
      <c r="N1391" s="45">
        <v>1645316</v>
      </c>
      <c r="O1391" s="46">
        <f t="shared" si="46"/>
        <v>1645.316</v>
      </c>
      <c r="P1391" s="47">
        <f>MLCF!G54</f>
        <v>1645.316</v>
      </c>
      <c r="Q1391" s="44" t="str">
        <f t="shared" si="47"/>
        <v>PASS</v>
      </c>
      <c r="R1391" s="44" t="s">
        <v>1587</v>
      </c>
      <c r="S1391" s="44"/>
    </row>
    <row r="1392" spans="1:19" x14ac:dyDescent="0.3">
      <c r="A1392" s="44" t="s">
        <v>2666</v>
      </c>
      <c r="B1392" s="44" t="s">
        <v>106</v>
      </c>
      <c r="C1392" s="44" t="s">
        <v>29</v>
      </c>
      <c r="D1392" s="44" t="s">
        <v>308</v>
      </c>
      <c r="E1392" s="44" t="s">
        <v>1035</v>
      </c>
      <c r="F1392" s="44" t="s">
        <v>2217</v>
      </c>
      <c r="G1392" s="44" t="s">
        <v>1598</v>
      </c>
      <c r="H1392" s="44" t="s">
        <v>1124</v>
      </c>
      <c r="I1392" s="44" t="s">
        <v>1127</v>
      </c>
      <c r="J1392" s="44">
        <v>201</v>
      </c>
      <c r="K1392" s="44" t="s">
        <v>2380</v>
      </c>
      <c r="L1392" s="44" t="s">
        <v>1161</v>
      </c>
      <c r="M1392" s="44" t="s">
        <v>2033</v>
      </c>
      <c r="N1392" s="45">
        <v>822285</v>
      </c>
      <c r="O1392" s="46">
        <f t="shared" si="46"/>
        <v>822.28499999999997</v>
      </c>
      <c r="P1392" s="47">
        <f>MLCF!H54</f>
        <v>822.28499999999997</v>
      </c>
      <c r="Q1392" s="44" t="str">
        <f t="shared" si="47"/>
        <v>PASS</v>
      </c>
      <c r="R1392" s="44" t="s">
        <v>1587</v>
      </c>
      <c r="S1392" s="44"/>
    </row>
    <row r="1393" spans="1:19" x14ac:dyDescent="0.3">
      <c r="A1393" s="44" t="s">
        <v>2667</v>
      </c>
      <c r="B1393" s="44" t="s">
        <v>106</v>
      </c>
      <c r="C1393" s="44" t="s">
        <v>965</v>
      </c>
      <c r="D1393" s="44" t="s">
        <v>310</v>
      </c>
      <c r="E1393" s="44" t="s">
        <v>1035</v>
      </c>
      <c r="F1393" s="44" t="s">
        <v>2668</v>
      </c>
      <c r="G1393" s="44" t="s">
        <v>1584</v>
      </c>
      <c r="H1393" s="44" t="s">
        <v>1105</v>
      </c>
      <c r="I1393" s="44" t="s">
        <v>1106</v>
      </c>
      <c r="J1393" s="44">
        <v>162</v>
      </c>
      <c r="K1393" s="44" t="s">
        <v>2503</v>
      </c>
      <c r="L1393" s="44"/>
      <c r="M1393" s="44" t="s">
        <v>2033</v>
      </c>
      <c r="N1393" s="45">
        <v>125000</v>
      </c>
      <c r="O1393" s="46">
        <f t="shared" si="46"/>
        <v>125</v>
      </c>
      <c r="P1393" s="47">
        <f>MLCF!C55</f>
        <v>125</v>
      </c>
      <c r="Q1393" s="44" t="str">
        <f t="shared" si="47"/>
        <v>PASS</v>
      </c>
      <c r="R1393" s="44" t="s">
        <v>1587</v>
      </c>
      <c r="S1393" s="44"/>
    </row>
    <row r="1394" spans="1:19" x14ac:dyDescent="0.3">
      <c r="A1394" s="44" t="s">
        <v>2669</v>
      </c>
      <c r="B1394" s="44" t="s">
        <v>106</v>
      </c>
      <c r="C1394" s="44" t="s">
        <v>20</v>
      </c>
      <c r="D1394" s="44" t="s">
        <v>310</v>
      </c>
      <c r="E1394" s="44" t="s">
        <v>1035</v>
      </c>
      <c r="F1394" s="44" t="s">
        <v>2668</v>
      </c>
      <c r="G1394" s="44" t="s">
        <v>1589</v>
      </c>
      <c r="H1394" s="44" t="s">
        <v>1113</v>
      </c>
      <c r="I1394" s="44" t="s">
        <v>1106</v>
      </c>
      <c r="J1394" s="44">
        <v>183</v>
      </c>
      <c r="K1394" s="44" t="s">
        <v>2201</v>
      </c>
      <c r="L1394" s="44"/>
      <c r="M1394" s="44" t="s">
        <v>2033</v>
      </c>
      <c r="N1394" s="45">
        <v>1704612</v>
      </c>
      <c r="O1394" s="46">
        <f t="shared" si="46"/>
        <v>1704.6120000000001</v>
      </c>
      <c r="P1394" s="47">
        <f>MLCF!D55</f>
        <v>1704.6120000000001</v>
      </c>
      <c r="Q1394" s="44" t="str">
        <f t="shared" si="47"/>
        <v>PASS</v>
      </c>
      <c r="R1394" s="44" t="s">
        <v>1587</v>
      </c>
      <c r="S1394" s="44"/>
    </row>
    <row r="1395" spans="1:19" x14ac:dyDescent="0.3">
      <c r="A1395" s="44" t="s">
        <v>2670</v>
      </c>
      <c r="B1395" s="44" t="s">
        <v>106</v>
      </c>
      <c r="C1395" s="44" t="s">
        <v>26</v>
      </c>
      <c r="D1395" s="44" t="s">
        <v>310</v>
      </c>
      <c r="E1395" s="44" t="s">
        <v>1035</v>
      </c>
      <c r="F1395" s="44" t="s">
        <v>2668</v>
      </c>
      <c r="G1395" s="44" t="s">
        <v>1592</v>
      </c>
      <c r="H1395" s="44" t="s">
        <v>1117</v>
      </c>
      <c r="I1395" s="44" t="s">
        <v>1106</v>
      </c>
      <c r="J1395" s="44">
        <v>98</v>
      </c>
      <c r="K1395" s="44" t="s">
        <v>2487</v>
      </c>
      <c r="L1395" s="44"/>
      <c r="M1395" s="44" t="s">
        <v>2033</v>
      </c>
      <c r="N1395" s="45">
        <v>2619800</v>
      </c>
      <c r="O1395" s="46">
        <f t="shared" si="46"/>
        <v>2619.8000000000002</v>
      </c>
      <c r="P1395" s="47">
        <f>MLCF!E55</f>
        <v>2619.8000000000002</v>
      </c>
      <c r="Q1395" s="44" t="str">
        <f t="shared" si="47"/>
        <v>PASS</v>
      </c>
      <c r="R1395" s="44" t="s">
        <v>1587</v>
      </c>
      <c r="S1395" s="44"/>
    </row>
    <row r="1396" spans="1:19" x14ac:dyDescent="0.3">
      <c r="A1396" s="44" t="s">
        <v>2671</v>
      </c>
      <c r="B1396" s="44" t="s">
        <v>106</v>
      </c>
      <c r="C1396" s="44" t="s">
        <v>27</v>
      </c>
      <c r="D1396" s="44" t="s">
        <v>310</v>
      </c>
      <c r="E1396" s="44" t="s">
        <v>1035</v>
      </c>
      <c r="F1396" s="44" t="s">
        <v>2668</v>
      </c>
      <c r="G1396" s="44" t="s">
        <v>1595</v>
      </c>
      <c r="H1396" s="44" t="s">
        <v>1120</v>
      </c>
      <c r="I1396" s="44" t="s">
        <v>1106</v>
      </c>
      <c r="J1396" s="44">
        <v>189</v>
      </c>
      <c r="K1396" s="44" t="s">
        <v>2055</v>
      </c>
      <c r="L1396" s="44"/>
      <c r="M1396" s="44" t="s">
        <v>2033</v>
      </c>
      <c r="N1396" s="45">
        <v>2599401</v>
      </c>
      <c r="O1396" s="46">
        <f t="shared" si="46"/>
        <v>2599.4009999999998</v>
      </c>
      <c r="P1396" s="47">
        <f>MLCF!F55</f>
        <v>2599.4009999999998</v>
      </c>
      <c r="Q1396" s="44" t="str">
        <f t="shared" si="47"/>
        <v>PASS</v>
      </c>
      <c r="R1396" s="44" t="s">
        <v>1587</v>
      </c>
      <c r="S1396" s="44"/>
    </row>
    <row r="1397" spans="1:19" x14ac:dyDescent="0.3">
      <c r="A1397" s="44" t="s">
        <v>2672</v>
      </c>
      <c r="B1397" s="44" t="s">
        <v>106</v>
      </c>
      <c r="C1397" s="44" t="s">
        <v>28</v>
      </c>
      <c r="D1397" s="44" t="s">
        <v>310</v>
      </c>
      <c r="E1397" s="44" t="s">
        <v>1035</v>
      </c>
      <c r="F1397" s="44" t="s">
        <v>2668</v>
      </c>
      <c r="G1397" s="44" t="s">
        <v>1598</v>
      </c>
      <c r="H1397" s="44" t="s">
        <v>1124</v>
      </c>
      <c r="I1397" s="44" t="s">
        <v>1106</v>
      </c>
      <c r="J1397" s="44">
        <v>201</v>
      </c>
      <c r="K1397" s="44" t="s">
        <v>2380</v>
      </c>
      <c r="L1397" s="44"/>
      <c r="M1397" s="44" t="s">
        <v>2033</v>
      </c>
      <c r="N1397" s="45">
        <v>3407702</v>
      </c>
      <c r="O1397" s="46">
        <f t="shared" si="46"/>
        <v>3407.7020000000002</v>
      </c>
      <c r="P1397" s="47">
        <f>MLCF!G55</f>
        <v>3407.7020000000002</v>
      </c>
      <c r="Q1397" s="44" t="str">
        <f t="shared" si="47"/>
        <v>PASS</v>
      </c>
      <c r="R1397" s="44" t="s">
        <v>1587</v>
      </c>
      <c r="S1397" s="44"/>
    </row>
    <row r="1398" spans="1:19" x14ac:dyDescent="0.3">
      <c r="A1398" s="44" t="s">
        <v>2673</v>
      </c>
      <c r="B1398" s="44" t="s">
        <v>106</v>
      </c>
      <c r="C1398" s="44" t="s">
        <v>29</v>
      </c>
      <c r="D1398" s="44" t="s">
        <v>310</v>
      </c>
      <c r="E1398" s="44" t="s">
        <v>1035</v>
      </c>
      <c r="F1398" s="44" t="s">
        <v>2668</v>
      </c>
      <c r="G1398" s="44" t="s">
        <v>1598</v>
      </c>
      <c r="H1398" s="44" t="s">
        <v>1124</v>
      </c>
      <c r="I1398" s="44" t="s">
        <v>1127</v>
      </c>
      <c r="J1398" s="44">
        <v>201</v>
      </c>
      <c r="K1398" s="44" t="s">
        <v>2380</v>
      </c>
      <c r="L1398" s="44"/>
      <c r="M1398" s="44" t="s">
        <v>2033</v>
      </c>
      <c r="N1398" s="45">
        <v>3933328</v>
      </c>
      <c r="O1398" s="46">
        <f t="shared" si="46"/>
        <v>3933.328</v>
      </c>
      <c r="P1398" s="47">
        <f>MLCF!H55</f>
        <v>3933.328</v>
      </c>
      <c r="Q1398" s="44" t="str">
        <f t="shared" si="47"/>
        <v>PASS</v>
      </c>
      <c r="R1398" s="44" t="s">
        <v>1587</v>
      </c>
      <c r="S1398" s="44"/>
    </row>
    <row r="1399" spans="1:19" x14ac:dyDescent="0.3">
      <c r="A1399" s="44" t="s">
        <v>2674</v>
      </c>
      <c r="B1399" s="44" t="s">
        <v>106</v>
      </c>
      <c r="C1399" s="44" t="s">
        <v>965</v>
      </c>
      <c r="D1399" s="44" t="s">
        <v>312</v>
      </c>
      <c r="E1399" s="44" t="s">
        <v>1035</v>
      </c>
      <c r="F1399" s="44"/>
      <c r="G1399" s="44" t="s">
        <v>1584</v>
      </c>
      <c r="H1399" s="44" t="s">
        <v>1105</v>
      </c>
      <c r="I1399" s="44" t="s">
        <v>1106</v>
      </c>
      <c r="J1399" s="44">
        <v>162</v>
      </c>
      <c r="K1399" s="44" t="s">
        <v>2503</v>
      </c>
      <c r="L1399" s="44"/>
      <c r="M1399" s="44" t="s">
        <v>2033</v>
      </c>
      <c r="N1399" s="45">
        <v>0</v>
      </c>
      <c r="O1399" s="46">
        <f t="shared" si="46"/>
        <v>0</v>
      </c>
      <c r="P1399" s="47">
        <f>MLCF!C56</f>
        <v>0</v>
      </c>
      <c r="Q1399" s="44" t="str">
        <f t="shared" si="47"/>
        <v>PASS</v>
      </c>
      <c r="R1399" s="44" t="s">
        <v>1587</v>
      </c>
      <c r="S1399" s="44"/>
    </row>
    <row r="1400" spans="1:19" x14ac:dyDescent="0.3">
      <c r="A1400" s="44" t="s">
        <v>2675</v>
      </c>
      <c r="B1400" s="44" t="s">
        <v>106</v>
      </c>
      <c r="C1400" s="44" t="s">
        <v>20</v>
      </c>
      <c r="D1400" s="44" t="s">
        <v>312</v>
      </c>
      <c r="E1400" s="44" t="s">
        <v>1035</v>
      </c>
      <c r="F1400" s="44" t="s">
        <v>2676</v>
      </c>
      <c r="G1400" s="44" t="s">
        <v>1589</v>
      </c>
      <c r="H1400" s="44" t="s">
        <v>1113</v>
      </c>
      <c r="I1400" s="44" t="s">
        <v>1106</v>
      </c>
      <c r="J1400" s="44">
        <v>183</v>
      </c>
      <c r="K1400" s="44" t="s">
        <v>2201</v>
      </c>
      <c r="L1400" s="44" t="s">
        <v>1315</v>
      </c>
      <c r="M1400" s="44" t="s">
        <v>2033</v>
      </c>
      <c r="N1400" s="45">
        <v>0</v>
      </c>
      <c r="O1400" s="46">
        <f t="shared" si="46"/>
        <v>0</v>
      </c>
      <c r="P1400" s="47">
        <f>MLCF!D56</f>
        <v>0</v>
      </c>
      <c r="Q1400" s="44" t="str">
        <f t="shared" si="47"/>
        <v>PASS</v>
      </c>
      <c r="R1400" s="44" t="s">
        <v>1587</v>
      </c>
      <c r="S1400" s="44"/>
    </row>
    <row r="1401" spans="1:19" x14ac:dyDescent="0.3">
      <c r="A1401" s="44" t="s">
        <v>2677</v>
      </c>
      <c r="B1401" s="44" t="s">
        <v>106</v>
      </c>
      <c r="C1401" s="44" t="s">
        <v>26</v>
      </c>
      <c r="D1401" s="44" t="s">
        <v>312</v>
      </c>
      <c r="E1401" s="44" t="s">
        <v>1035</v>
      </c>
      <c r="F1401" s="44" t="s">
        <v>2676</v>
      </c>
      <c r="G1401" s="44" t="s">
        <v>1592</v>
      </c>
      <c r="H1401" s="44" t="s">
        <v>1117</v>
      </c>
      <c r="I1401" s="44" t="s">
        <v>1106</v>
      </c>
      <c r="J1401" s="44">
        <v>98</v>
      </c>
      <c r="K1401" s="44" t="s">
        <v>2487</v>
      </c>
      <c r="L1401" s="44"/>
      <c r="M1401" s="44" t="s">
        <v>2033</v>
      </c>
      <c r="N1401" s="45">
        <v>6837</v>
      </c>
      <c r="O1401" s="46">
        <f t="shared" si="46"/>
        <v>6.8369999999999997</v>
      </c>
      <c r="P1401" s="47">
        <f>MLCF!E56</f>
        <v>6.8369999999999997</v>
      </c>
      <c r="Q1401" s="44" t="str">
        <f t="shared" si="47"/>
        <v>PASS</v>
      </c>
      <c r="R1401" s="44" t="s">
        <v>1587</v>
      </c>
      <c r="S1401" s="44"/>
    </row>
    <row r="1402" spans="1:19" x14ac:dyDescent="0.3">
      <c r="A1402" s="44" t="s">
        <v>2678</v>
      </c>
      <c r="B1402" s="44" t="s">
        <v>106</v>
      </c>
      <c r="C1402" s="44" t="s">
        <v>27</v>
      </c>
      <c r="D1402" s="44" t="s">
        <v>312</v>
      </c>
      <c r="E1402" s="44" t="s">
        <v>1035</v>
      </c>
      <c r="F1402" s="44" t="s">
        <v>2679</v>
      </c>
      <c r="G1402" s="44" t="s">
        <v>1595</v>
      </c>
      <c r="H1402" s="44" t="s">
        <v>1120</v>
      </c>
      <c r="I1402" s="44" t="s">
        <v>1106</v>
      </c>
      <c r="J1402" s="44">
        <v>189</v>
      </c>
      <c r="K1402" s="44" t="s">
        <v>2055</v>
      </c>
      <c r="L1402" s="44" t="s">
        <v>1315</v>
      </c>
      <c r="M1402" s="44" t="s">
        <v>2033</v>
      </c>
      <c r="N1402" s="45">
        <v>10257</v>
      </c>
      <c r="O1402" s="46">
        <f t="shared" si="46"/>
        <v>10.257</v>
      </c>
      <c r="P1402" s="47">
        <f>MLCF!F56</f>
        <v>10.257</v>
      </c>
      <c r="Q1402" s="44" t="str">
        <f t="shared" si="47"/>
        <v>PASS</v>
      </c>
      <c r="R1402" s="44" t="s">
        <v>1587</v>
      </c>
      <c r="S1402" s="44"/>
    </row>
    <row r="1403" spans="1:19" x14ac:dyDescent="0.3">
      <c r="A1403" s="44" t="s">
        <v>2680</v>
      </c>
      <c r="B1403" s="44" t="s">
        <v>106</v>
      </c>
      <c r="C1403" s="44" t="s">
        <v>28</v>
      </c>
      <c r="D1403" s="44" t="s">
        <v>312</v>
      </c>
      <c r="E1403" s="44" t="s">
        <v>1035</v>
      </c>
      <c r="F1403" s="44" t="s">
        <v>2679</v>
      </c>
      <c r="G1403" s="44" t="s">
        <v>1598</v>
      </c>
      <c r="H1403" s="44" t="s">
        <v>1124</v>
      </c>
      <c r="I1403" s="44" t="s">
        <v>1106</v>
      </c>
      <c r="J1403" s="44">
        <v>201</v>
      </c>
      <c r="K1403" s="44" t="s">
        <v>2380</v>
      </c>
      <c r="L1403" s="44" t="s">
        <v>1315</v>
      </c>
      <c r="M1403" s="44" t="s">
        <v>2033</v>
      </c>
      <c r="N1403" s="45">
        <v>13909</v>
      </c>
      <c r="O1403" s="46">
        <f t="shared" si="46"/>
        <v>13.909000000000001</v>
      </c>
      <c r="P1403" s="47">
        <f>MLCF!G56</f>
        <v>13.909000000000001</v>
      </c>
      <c r="Q1403" s="44" t="str">
        <f t="shared" si="47"/>
        <v>PASS</v>
      </c>
      <c r="R1403" s="44" t="s">
        <v>1587</v>
      </c>
      <c r="S1403" s="44"/>
    </row>
    <row r="1404" spans="1:19" x14ac:dyDescent="0.3">
      <c r="A1404" s="44" t="s">
        <v>2681</v>
      </c>
      <c r="B1404" s="44" t="s">
        <v>106</v>
      </c>
      <c r="C1404" s="44" t="s">
        <v>29</v>
      </c>
      <c r="D1404" s="44" t="s">
        <v>312</v>
      </c>
      <c r="E1404" s="44" t="s">
        <v>1035</v>
      </c>
      <c r="F1404" s="44" t="s">
        <v>2679</v>
      </c>
      <c r="G1404" s="44" t="s">
        <v>1598</v>
      </c>
      <c r="H1404" s="44" t="s">
        <v>1124</v>
      </c>
      <c r="I1404" s="44" t="s">
        <v>1127</v>
      </c>
      <c r="J1404" s="44">
        <v>201</v>
      </c>
      <c r="K1404" s="44" t="s">
        <v>2380</v>
      </c>
      <c r="L1404" s="44" t="s">
        <v>1315</v>
      </c>
      <c r="M1404" s="44" t="s">
        <v>2033</v>
      </c>
      <c r="N1404" s="45">
        <v>14323</v>
      </c>
      <c r="O1404" s="46">
        <f t="shared" si="46"/>
        <v>14.323</v>
      </c>
      <c r="P1404" s="47">
        <f>MLCF!H56</f>
        <v>14.323</v>
      </c>
      <c r="Q1404" s="44" t="str">
        <f t="shared" si="47"/>
        <v>PASS</v>
      </c>
      <c r="R1404" s="44" t="s">
        <v>1587</v>
      </c>
      <c r="S1404" s="44"/>
    </row>
    <row r="1405" spans="1:19" x14ac:dyDescent="0.3">
      <c r="A1405" s="44" t="s">
        <v>2682</v>
      </c>
      <c r="B1405" s="44" t="s">
        <v>106</v>
      </c>
      <c r="C1405" s="44" t="s">
        <v>965</v>
      </c>
      <c r="D1405" s="44" t="s">
        <v>314</v>
      </c>
      <c r="E1405" s="44" t="s">
        <v>1035</v>
      </c>
      <c r="F1405" s="44" t="s">
        <v>2683</v>
      </c>
      <c r="G1405" s="44" t="s">
        <v>1584</v>
      </c>
      <c r="H1405" s="44" t="s">
        <v>1105</v>
      </c>
      <c r="I1405" s="44" t="s">
        <v>1106</v>
      </c>
      <c r="J1405" s="44">
        <v>162</v>
      </c>
      <c r="K1405" s="44" t="s">
        <v>2503</v>
      </c>
      <c r="L1405" s="44" t="s">
        <v>1277</v>
      </c>
      <c r="M1405" s="44" t="s">
        <v>2033</v>
      </c>
      <c r="N1405" s="45">
        <v>0</v>
      </c>
      <c r="O1405" s="46">
        <f t="shared" si="46"/>
        <v>0</v>
      </c>
      <c r="P1405" s="47">
        <f>MLCF!C57</f>
        <v>0</v>
      </c>
      <c r="Q1405" s="44" t="str">
        <f t="shared" si="47"/>
        <v>PASS</v>
      </c>
      <c r="R1405" s="44" t="s">
        <v>1587</v>
      </c>
      <c r="S1405" s="44"/>
    </row>
    <row r="1406" spans="1:19" x14ac:dyDescent="0.3">
      <c r="A1406" s="44" t="s">
        <v>2684</v>
      </c>
      <c r="B1406" s="44" t="s">
        <v>106</v>
      </c>
      <c r="C1406" s="44" t="s">
        <v>20</v>
      </c>
      <c r="D1406" s="44" t="s">
        <v>314</v>
      </c>
      <c r="E1406" s="44" t="s">
        <v>1035</v>
      </c>
      <c r="F1406" s="44" t="s">
        <v>2683</v>
      </c>
      <c r="G1406" s="44" t="s">
        <v>1589</v>
      </c>
      <c r="H1406" s="44" t="s">
        <v>1113</v>
      </c>
      <c r="I1406" s="44" t="s">
        <v>1106</v>
      </c>
      <c r="J1406" s="44">
        <v>183</v>
      </c>
      <c r="K1406" s="44" t="s">
        <v>2201</v>
      </c>
      <c r="L1406" s="44" t="s">
        <v>1277</v>
      </c>
      <c r="M1406" s="44" t="s">
        <v>2033</v>
      </c>
      <c r="N1406" s="45">
        <v>49997</v>
      </c>
      <c r="O1406" s="46">
        <f t="shared" si="46"/>
        <v>49.997</v>
      </c>
      <c r="P1406" s="47">
        <f>MLCF!D57</f>
        <v>49.997</v>
      </c>
      <c r="Q1406" s="44" t="str">
        <f t="shared" si="47"/>
        <v>PASS</v>
      </c>
      <c r="R1406" s="44" t="s">
        <v>1587</v>
      </c>
      <c r="S1406" s="44"/>
    </row>
    <row r="1407" spans="1:19" x14ac:dyDescent="0.3">
      <c r="A1407" s="44" t="s">
        <v>2685</v>
      </c>
      <c r="B1407" s="44" t="s">
        <v>106</v>
      </c>
      <c r="C1407" s="44" t="s">
        <v>26</v>
      </c>
      <c r="D1407" s="44" t="s">
        <v>314</v>
      </c>
      <c r="E1407" s="44" t="s">
        <v>1035</v>
      </c>
      <c r="F1407" s="44" t="s">
        <v>2683</v>
      </c>
      <c r="G1407" s="44" t="s">
        <v>1592</v>
      </c>
      <c r="H1407" s="44" t="s">
        <v>1117</v>
      </c>
      <c r="I1407" s="44" t="s">
        <v>1106</v>
      </c>
      <c r="J1407" s="44">
        <v>98</v>
      </c>
      <c r="K1407" s="44" t="s">
        <v>2487</v>
      </c>
      <c r="L1407" s="44"/>
      <c r="M1407" s="44" t="s">
        <v>2033</v>
      </c>
      <c r="N1407" s="45">
        <v>184576</v>
      </c>
      <c r="O1407" s="46">
        <f t="shared" si="46"/>
        <v>184.57599999999999</v>
      </c>
      <c r="P1407" s="47">
        <f>MLCF!E57</f>
        <v>184.57599999999999</v>
      </c>
      <c r="Q1407" s="44" t="str">
        <f t="shared" si="47"/>
        <v>PASS</v>
      </c>
      <c r="R1407" s="44" t="s">
        <v>1587</v>
      </c>
      <c r="S1407" s="44"/>
    </row>
    <row r="1408" spans="1:19" x14ac:dyDescent="0.3">
      <c r="A1408" s="44" t="s">
        <v>2686</v>
      </c>
      <c r="B1408" s="44" t="s">
        <v>106</v>
      </c>
      <c r="C1408" s="44" t="s">
        <v>27</v>
      </c>
      <c r="D1408" s="44" t="s">
        <v>314</v>
      </c>
      <c r="E1408" s="44" t="s">
        <v>1035</v>
      </c>
      <c r="F1408" s="44" t="s">
        <v>2687</v>
      </c>
      <c r="G1408" s="44" t="s">
        <v>1595</v>
      </c>
      <c r="H1408" s="44" t="s">
        <v>1120</v>
      </c>
      <c r="I1408" s="44" t="s">
        <v>1106</v>
      </c>
      <c r="J1408" s="44">
        <v>189</v>
      </c>
      <c r="K1408" s="44" t="s">
        <v>2055</v>
      </c>
      <c r="L1408" s="44" t="s">
        <v>1277</v>
      </c>
      <c r="M1408" s="44" t="s">
        <v>2033</v>
      </c>
      <c r="N1408" s="45">
        <v>179766</v>
      </c>
      <c r="O1408" s="46">
        <f t="shared" si="46"/>
        <v>179.76599999999999</v>
      </c>
      <c r="P1408" s="47">
        <f>MLCF!F57</f>
        <v>179.76599999999999</v>
      </c>
      <c r="Q1408" s="44" t="str">
        <f t="shared" si="47"/>
        <v>PASS</v>
      </c>
      <c r="R1408" s="44" t="s">
        <v>1587</v>
      </c>
      <c r="S1408" s="44"/>
    </row>
    <row r="1409" spans="1:19" x14ac:dyDescent="0.3">
      <c r="A1409" s="44" t="s">
        <v>2688</v>
      </c>
      <c r="B1409" s="44" t="s">
        <v>106</v>
      </c>
      <c r="C1409" s="44" t="s">
        <v>28</v>
      </c>
      <c r="D1409" s="44" t="s">
        <v>314</v>
      </c>
      <c r="E1409" s="44" t="s">
        <v>1035</v>
      </c>
      <c r="F1409" s="44" t="s">
        <v>2687</v>
      </c>
      <c r="G1409" s="44" t="s">
        <v>1598</v>
      </c>
      <c r="H1409" s="44" t="s">
        <v>1124</v>
      </c>
      <c r="I1409" s="44" t="s">
        <v>1106</v>
      </c>
      <c r="J1409" s="44">
        <v>201</v>
      </c>
      <c r="K1409" s="44" t="s">
        <v>2380</v>
      </c>
      <c r="L1409" s="44" t="s">
        <v>1277</v>
      </c>
      <c r="M1409" s="44" t="s">
        <v>2033</v>
      </c>
      <c r="N1409" s="45">
        <v>155439</v>
      </c>
      <c r="O1409" s="46">
        <f t="shared" si="46"/>
        <v>155.43899999999999</v>
      </c>
      <c r="P1409" s="47">
        <f>MLCF!G57</f>
        <v>155.43899999999999</v>
      </c>
      <c r="Q1409" s="44" t="str">
        <f t="shared" si="47"/>
        <v>PASS</v>
      </c>
      <c r="R1409" s="44" t="s">
        <v>1587</v>
      </c>
      <c r="S1409" s="44"/>
    </row>
    <row r="1410" spans="1:19" x14ac:dyDescent="0.3">
      <c r="A1410" s="44" t="s">
        <v>2689</v>
      </c>
      <c r="B1410" s="44" t="s">
        <v>106</v>
      </c>
      <c r="C1410" s="44" t="s">
        <v>29</v>
      </c>
      <c r="D1410" s="44" t="s">
        <v>314</v>
      </c>
      <c r="E1410" s="44" t="s">
        <v>1035</v>
      </c>
      <c r="F1410" s="44" t="s">
        <v>2687</v>
      </c>
      <c r="G1410" s="44" t="s">
        <v>1598</v>
      </c>
      <c r="H1410" s="44" t="s">
        <v>1124</v>
      </c>
      <c r="I1410" s="44" t="s">
        <v>1127</v>
      </c>
      <c r="J1410" s="44">
        <v>201</v>
      </c>
      <c r="K1410" s="44" t="s">
        <v>2380</v>
      </c>
      <c r="L1410" s="44" t="s">
        <v>1277</v>
      </c>
      <c r="M1410" s="44" t="s">
        <v>2033</v>
      </c>
      <c r="N1410" s="45">
        <v>128183</v>
      </c>
      <c r="O1410" s="46">
        <f t="shared" si="46"/>
        <v>128.18299999999999</v>
      </c>
      <c r="P1410" s="47">
        <f>MLCF!H57</f>
        <v>128.18299999999999</v>
      </c>
      <c r="Q1410" s="44" t="str">
        <f t="shared" si="47"/>
        <v>PASS</v>
      </c>
      <c r="R1410" s="44" t="s">
        <v>1587</v>
      </c>
      <c r="S1410" s="44"/>
    </row>
    <row r="1411" spans="1:19" x14ac:dyDescent="0.3">
      <c r="A1411" s="44" t="s">
        <v>2690</v>
      </c>
      <c r="B1411" s="44" t="s">
        <v>106</v>
      </c>
      <c r="C1411" s="44" t="s">
        <v>965</v>
      </c>
      <c r="D1411" s="44" t="s">
        <v>316</v>
      </c>
      <c r="E1411" s="44" t="s">
        <v>1035</v>
      </c>
      <c r="F1411" s="44" t="s">
        <v>1798</v>
      </c>
      <c r="G1411" s="44" t="s">
        <v>1584</v>
      </c>
      <c r="H1411" s="44" t="s">
        <v>1105</v>
      </c>
      <c r="I1411" s="44" t="s">
        <v>1106</v>
      </c>
      <c r="J1411" s="44">
        <v>162</v>
      </c>
      <c r="K1411" s="44" t="s">
        <v>2503</v>
      </c>
      <c r="L1411" s="44"/>
      <c r="M1411" s="44" t="s">
        <v>2033</v>
      </c>
      <c r="N1411" s="45">
        <v>48053</v>
      </c>
      <c r="O1411" s="46">
        <f t="shared" si="46"/>
        <v>48.052999999999997</v>
      </c>
      <c r="P1411" s="47">
        <f>MLCF!C58</f>
        <v>48.052999999999997</v>
      </c>
      <c r="Q1411" s="44" t="str">
        <f t="shared" si="47"/>
        <v>PASS</v>
      </c>
      <c r="R1411" s="44" t="s">
        <v>1587</v>
      </c>
      <c r="S1411" s="44"/>
    </row>
    <row r="1412" spans="1:19" x14ac:dyDescent="0.3">
      <c r="A1412" s="44" t="s">
        <v>2691</v>
      </c>
      <c r="B1412" s="44" t="s">
        <v>106</v>
      </c>
      <c r="C1412" s="44" t="s">
        <v>20</v>
      </c>
      <c r="D1412" s="44" t="s">
        <v>316</v>
      </c>
      <c r="E1412" s="44" t="s">
        <v>1035</v>
      </c>
      <c r="F1412" s="44" t="s">
        <v>1798</v>
      </c>
      <c r="G1412" s="44" t="s">
        <v>1589</v>
      </c>
      <c r="H1412" s="44" t="s">
        <v>1113</v>
      </c>
      <c r="I1412" s="44" t="s">
        <v>1106</v>
      </c>
      <c r="J1412" s="44">
        <v>183</v>
      </c>
      <c r="K1412" s="44" t="s">
        <v>2201</v>
      </c>
      <c r="L1412" s="44"/>
      <c r="M1412" s="44" t="s">
        <v>2033</v>
      </c>
      <c r="N1412" s="45">
        <v>28134</v>
      </c>
      <c r="O1412" s="46">
        <f t="shared" si="46"/>
        <v>28.134</v>
      </c>
      <c r="P1412" s="47">
        <f>MLCF!D58</f>
        <v>28.134</v>
      </c>
      <c r="Q1412" s="44" t="str">
        <f t="shared" si="47"/>
        <v>PASS</v>
      </c>
      <c r="R1412" s="44" t="s">
        <v>1587</v>
      </c>
      <c r="S1412" s="44"/>
    </row>
    <row r="1413" spans="1:19" x14ac:dyDescent="0.3">
      <c r="A1413" s="44" t="s">
        <v>2692</v>
      </c>
      <c r="B1413" s="44" t="s">
        <v>106</v>
      </c>
      <c r="C1413" s="44" t="s">
        <v>26</v>
      </c>
      <c r="D1413" s="44" t="s">
        <v>316</v>
      </c>
      <c r="E1413" s="44" t="s">
        <v>1035</v>
      </c>
      <c r="F1413" s="44" t="s">
        <v>1798</v>
      </c>
      <c r="G1413" s="44" t="s">
        <v>1592</v>
      </c>
      <c r="H1413" s="44" t="s">
        <v>1117</v>
      </c>
      <c r="I1413" s="44" t="s">
        <v>1106</v>
      </c>
      <c r="J1413" s="44">
        <v>98</v>
      </c>
      <c r="K1413" s="44" t="s">
        <v>2487</v>
      </c>
      <c r="L1413" s="44"/>
      <c r="M1413" s="44" t="s">
        <v>2033</v>
      </c>
      <c r="N1413" s="45">
        <v>27569</v>
      </c>
      <c r="O1413" s="46">
        <f t="shared" si="46"/>
        <v>27.568999999999999</v>
      </c>
      <c r="P1413" s="47">
        <f>MLCF!E58</f>
        <v>27.568999999999999</v>
      </c>
      <c r="Q1413" s="44" t="str">
        <f t="shared" si="47"/>
        <v>PASS</v>
      </c>
      <c r="R1413" s="44" t="s">
        <v>1587</v>
      </c>
      <c r="S1413" s="44"/>
    </row>
    <row r="1414" spans="1:19" x14ac:dyDescent="0.3">
      <c r="A1414" s="44" t="s">
        <v>2693</v>
      </c>
      <c r="B1414" s="44" t="s">
        <v>106</v>
      </c>
      <c r="C1414" s="44" t="s">
        <v>27</v>
      </c>
      <c r="D1414" s="44" t="s">
        <v>316</v>
      </c>
      <c r="E1414" s="44" t="s">
        <v>1035</v>
      </c>
      <c r="F1414" s="44" t="s">
        <v>1798</v>
      </c>
      <c r="G1414" s="44" t="s">
        <v>1595</v>
      </c>
      <c r="H1414" s="44" t="s">
        <v>1120</v>
      </c>
      <c r="I1414" s="44" t="s">
        <v>1106</v>
      </c>
      <c r="J1414" s="44">
        <v>189</v>
      </c>
      <c r="K1414" s="44" t="s">
        <v>2055</v>
      </c>
      <c r="L1414" s="44"/>
      <c r="M1414" s="44" t="s">
        <v>2033</v>
      </c>
      <c r="N1414" s="45">
        <v>27378</v>
      </c>
      <c r="O1414" s="46">
        <f t="shared" si="46"/>
        <v>27.378</v>
      </c>
      <c r="P1414" s="47">
        <f>MLCF!F58</f>
        <v>27.378</v>
      </c>
      <c r="Q1414" s="44" t="str">
        <f t="shared" si="47"/>
        <v>PASS</v>
      </c>
      <c r="R1414" s="44" t="s">
        <v>1587</v>
      </c>
      <c r="S1414" s="44"/>
    </row>
    <row r="1415" spans="1:19" x14ac:dyDescent="0.3">
      <c r="A1415" s="44" t="s">
        <v>2694</v>
      </c>
      <c r="B1415" s="44" t="s">
        <v>106</v>
      </c>
      <c r="C1415" s="44" t="s">
        <v>28</v>
      </c>
      <c r="D1415" s="44" t="s">
        <v>316</v>
      </c>
      <c r="E1415" s="44" t="s">
        <v>1035</v>
      </c>
      <c r="F1415" s="44" t="s">
        <v>1798</v>
      </c>
      <c r="G1415" s="44" t="s">
        <v>1598</v>
      </c>
      <c r="H1415" s="44" t="s">
        <v>1124</v>
      </c>
      <c r="I1415" s="44" t="s">
        <v>1106</v>
      </c>
      <c r="J1415" s="44">
        <v>201</v>
      </c>
      <c r="K1415" s="44" t="s">
        <v>2380</v>
      </c>
      <c r="L1415" s="44"/>
      <c r="M1415" s="44" t="s">
        <v>2033</v>
      </c>
      <c r="N1415" s="45">
        <v>27256</v>
      </c>
      <c r="O1415" s="46">
        <f t="shared" si="46"/>
        <v>27.256</v>
      </c>
      <c r="P1415" s="47">
        <f>MLCF!G58</f>
        <v>27.256</v>
      </c>
      <c r="Q1415" s="44" t="str">
        <f t="shared" si="47"/>
        <v>PASS</v>
      </c>
      <c r="R1415" s="44" t="s">
        <v>1587</v>
      </c>
      <c r="S1415" s="44"/>
    </row>
    <row r="1416" spans="1:19" x14ac:dyDescent="0.3">
      <c r="A1416" s="44" t="s">
        <v>2695</v>
      </c>
      <c r="B1416" s="44" t="s">
        <v>106</v>
      </c>
      <c r="C1416" s="44" t="s">
        <v>29</v>
      </c>
      <c r="D1416" s="44" t="s">
        <v>316</v>
      </c>
      <c r="E1416" s="44" t="s">
        <v>1035</v>
      </c>
      <c r="F1416" s="44" t="s">
        <v>1798</v>
      </c>
      <c r="G1416" s="44" t="s">
        <v>1598</v>
      </c>
      <c r="H1416" s="44" t="s">
        <v>1124</v>
      </c>
      <c r="I1416" s="44" t="s">
        <v>1127</v>
      </c>
      <c r="J1416" s="44">
        <v>201</v>
      </c>
      <c r="K1416" s="44" t="s">
        <v>2380</v>
      </c>
      <c r="L1416" s="44"/>
      <c r="M1416" s="44" t="s">
        <v>2033</v>
      </c>
      <c r="N1416" s="45">
        <v>26877</v>
      </c>
      <c r="O1416" s="46">
        <f t="shared" si="46"/>
        <v>26.876999999999999</v>
      </c>
      <c r="P1416" s="47">
        <f>MLCF!H58</f>
        <v>26.876999999999999</v>
      </c>
      <c r="Q1416" s="44" t="str">
        <f t="shared" si="47"/>
        <v>PASS</v>
      </c>
      <c r="R1416" s="44" t="s">
        <v>1587</v>
      </c>
      <c r="S1416" s="44"/>
    </row>
    <row r="1417" spans="1:19" x14ac:dyDescent="0.3">
      <c r="A1417" s="44" t="s">
        <v>2696</v>
      </c>
      <c r="B1417" s="44" t="s">
        <v>106</v>
      </c>
      <c r="C1417" s="44" t="s">
        <v>965</v>
      </c>
      <c r="D1417" s="44" t="s">
        <v>318</v>
      </c>
      <c r="E1417" s="44" t="s">
        <v>1035</v>
      </c>
      <c r="F1417" s="44"/>
      <c r="G1417" s="44" t="s">
        <v>1584</v>
      </c>
      <c r="H1417" s="44" t="s">
        <v>1105</v>
      </c>
      <c r="I1417" s="44" t="s">
        <v>1106</v>
      </c>
      <c r="J1417" s="44">
        <v>162</v>
      </c>
      <c r="K1417" s="44" t="s">
        <v>2503</v>
      </c>
      <c r="L1417" s="44"/>
      <c r="M1417" s="44" t="s">
        <v>2033</v>
      </c>
      <c r="N1417" s="45">
        <v>0</v>
      </c>
      <c r="O1417" s="46">
        <f t="shared" si="46"/>
        <v>0</v>
      </c>
      <c r="P1417" s="47">
        <f>MLCF!C59</f>
        <v>0</v>
      </c>
      <c r="Q1417" s="44" t="str">
        <f t="shared" si="47"/>
        <v>PASS</v>
      </c>
      <c r="R1417" s="44" t="s">
        <v>1587</v>
      </c>
      <c r="S1417" s="44"/>
    </row>
    <row r="1418" spans="1:19" x14ac:dyDescent="0.3">
      <c r="A1418" s="44" t="s">
        <v>2697</v>
      </c>
      <c r="B1418" s="44" t="s">
        <v>106</v>
      </c>
      <c r="C1418" s="44" t="s">
        <v>20</v>
      </c>
      <c r="D1418" s="44" t="s">
        <v>318</v>
      </c>
      <c r="E1418" s="44" t="s">
        <v>1035</v>
      </c>
      <c r="F1418" s="44"/>
      <c r="G1418" s="44" t="s">
        <v>1589</v>
      </c>
      <c r="H1418" s="44" t="s">
        <v>1113</v>
      </c>
      <c r="I1418" s="44" t="s">
        <v>1106</v>
      </c>
      <c r="J1418" s="44">
        <v>183</v>
      </c>
      <c r="K1418" s="44" t="s">
        <v>2201</v>
      </c>
      <c r="L1418" s="44"/>
      <c r="M1418" s="44" t="s">
        <v>2033</v>
      </c>
      <c r="N1418" s="45">
        <v>0</v>
      </c>
      <c r="O1418" s="46">
        <f t="shared" si="46"/>
        <v>0</v>
      </c>
      <c r="P1418" s="47">
        <f>MLCF!D59</f>
        <v>0</v>
      </c>
      <c r="Q1418" s="44" t="str">
        <f t="shared" si="47"/>
        <v>PASS</v>
      </c>
      <c r="R1418" s="44" t="s">
        <v>1587</v>
      </c>
      <c r="S1418" s="44"/>
    </row>
    <row r="1419" spans="1:19" x14ac:dyDescent="0.3">
      <c r="A1419" s="44" t="s">
        <v>2698</v>
      </c>
      <c r="B1419" s="44" t="s">
        <v>106</v>
      </c>
      <c r="C1419" s="44" t="s">
        <v>26</v>
      </c>
      <c r="D1419" s="44" t="s">
        <v>318</v>
      </c>
      <c r="E1419" s="44" t="s">
        <v>1035</v>
      </c>
      <c r="F1419" s="44"/>
      <c r="G1419" s="44" t="s">
        <v>1592</v>
      </c>
      <c r="H1419" s="44" t="s">
        <v>1117</v>
      </c>
      <c r="I1419" s="44" t="s">
        <v>1106</v>
      </c>
      <c r="J1419" s="44">
        <v>98</v>
      </c>
      <c r="K1419" s="44" t="s">
        <v>2487</v>
      </c>
      <c r="L1419" s="44"/>
      <c r="M1419" s="44" t="s">
        <v>2033</v>
      </c>
      <c r="N1419" s="45">
        <v>0</v>
      </c>
      <c r="O1419" s="46">
        <f t="shared" si="46"/>
        <v>0</v>
      </c>
      <c r="P1419" s="47">
        <f>MLCF!E59</f>
        <v>0</v>
      </c>
      <c r="Q1419" s="44" t="str">
        <f t="shared" si="47"/>
        <v>PASS</v>
      </c>
      <c r="R1419" s="44" t="s">
        <v>1587</v>
      </c>
      <c r="S1419" s="44"/>
    </row>
    <row r="1420" spans="1:19" x14ac:dyDescent="0.3">
      <c r="A1420" s="44" t="s">
        <v>2699</v>
      </c>
      <c r="B1420" s="44" t="s">
        <v>106</v>
      </c>
      <c r="C1420" s="44" t="s">
        <v>27</v>
      </c>
      <c r="D1420" s="44" t="s">
        <v>318</v>
      </c>
      <c r="E1420" s="44" t="s">
        <v>1035</v>
      </c>
      <c r="F1420" s="44"/>
      <c r="G1420" s="44" t="s">
        <v>1595</v>
      </c>
      <c r="H1420" s="44" t="s">
        <v>1120</v>
      </c>
      <c r="I1420" s="44" t="s">
        <v>1106</v>
      </c>
      <c r="J1420" s="44">
        <v>189</v>
      </c>
      <c r="K1420" s="44" t="s">
        <v>2055</v>
      </c>
      <c r="L1420" s="44"/>
      <c r="M1420" s="44" t="s">
        <v>2033</v>
      </c>
      <c r="N1420" s="45">
        <v>0</v>
      </c>
      <c r="O1420" s="46">
        <f t="shared" si="46"/>
        <v>0</v>
      </c>
      <c r="P1420" s="47">
        <f>MLCF!F59</f>
        <v>0</v>
      </c>
      <c r="Q1420" s="44" t="str">
        <f t="shared" si="47"/>
        <v>PASS</v>
      </c>
      <c r="R1420" s="44" t="s">
        <v>1587</v>
      </c>
      <c r="S1420" s="44"/>
    </row>
    <row r="1421" spans="1:19" x14ac:dyDescent="0.3">
      <c r="A1421" s="44" t="s">
        <v>2700</v>
      </c>
      <c r="B1421" s="44" t="s">
        <v>106</v>
      </c>
      <c r="C1421" s="44" t="s">
        <v>28</v>
      </c>
      <c r="D1421" s="44" t="s">
        <v>318</v>
      </c>
      <c r="E1421" s="44" t="s">
        <v>1035</v>
      </c>
      <c r="F1421" s="44" t="s">
        <v>2701</v>
      </c>
      <c r="G1421" s="44" t="s">
        <v>1598</v>
      </c>
      <c r="H1421" s="44" t="s">
        <v>1124</v>
      </c>
      <c r="I1421" s="44" t="s">
        <v>1106</v>
      </c>
      <c r="J1421" s="44">
        <v>201</v>
      </c>
      <c r="K1421" s="44" t="s">
        <v>2380</v>
      </c>
      <c r="L1421" s="44" t="s">
        <v>2702</v>
      </c>
      <c r="M1421" s="44" t="s">
        <v>2033</v>
      </c>
      <c r="N1421" s="45">
        <v>0</v>
      </c>
      <c r="O1421" s="46">
        <f t="shared" si="46"/>
        <v>0</v>
      </c>
      <c r="P1421" s="47">
        <f>MLCF!G59</f>
        <v>0</v>
      </c>
      <c r="Q1421" s="44" t="str">
        <f t="shared" si="47"/>
        <v>PASS</v>
      </c>
      <c r="R1421" s="44" t="s">
        <v>1587</v>
      </c>
      <c r="S1421" s="44"/>
    </row>
    <row r="1422" spans="1:19" x14ac:dyDescent="0.3">
      <c r="A1422" s="44" t="s">
        <v>2703</v>
      </c>
      <c r="B1422" s="44" t="s">
        <v>106</v>
      </c>
      <c r="C1422" s="44" t="s">
        <v>29</v>
      </c>
      <c r="D1422" s="44" t="s">
        <v>318</v>
      </c>
      <c r="E1422" s="44" t="s">
        <v>1035</v>
      </c>
      <c r="F1422" s="44" t="s">
        <v>2701</v>
      </c>
      <c r="G1422" s="44" t="s">
        <v>1598</v>
      </c>
      <c r="H1422" s="44" t="s">
        <v>1124</v>
      </c>
      <c r="I1422" s="44" t="s">
        <v>1127</v>
      </c>
      <c r="J1422" s="44">
        <v>201</v>
      </c>
      <c r="K1422" s="44" t="s">
        <v>2380</v>
      </c>
      <c r="L1422" s="44" t="s">
        <v>2702</v>
      </c>
      <c r="M1422" s="44" t="s">
        <v>2033</v>
      </c>
      <c r="N1422" s="45">
        <v>158794</v>
      </c>
      <c r="O1422" s="46">
        <f t="shared" si="46"/>
        <v>158.79400000000001</v>
      </c>
      <c r="P1422" s="47">
        <f>MLCF!H59</f>
        <v>158.79400000000001</v>
      </c>
      <c r="Q1422" s="44" t="str">
        <f t="shared" si="47"/>
        <v>PASS</v>
      </c>
      <c r="R1422" s="44" t="s">
        <v>1587</v>
      </c>
      <c r="S1422" s="44"/>
    </row>
    <row r="1423" spans="1:19" x14ac:dyDescent="0.3">
      <c r="A1423" s="44" t="s">
        <v>2704</v>
      </c>
      <c r="B1423" s="44" t="s">
        <v>106</v>
      </c>
      <c r="C1423" s="44" t="s">
        <v>965</v>
      </c>
      <c r="D1423" s="44" t="s">
        <v>320</v>
      </c>
      <c r="E1423" s="44" t="s">
        <v>1035</v>
      </c>
      <c r="F1423" s="44"/>
      <c r="G1423" s="44" t="s">
        <v>1584</v>
      </c>
      <c r="H1423" s="44" t="s">
        <v>1105</v>
      </c>
      <c r="I1423" s="44" t="s">
        <v>1106</v>
      </c>
      <c r="J1423" s="44">
        <v>162</v>
      </c>
      <c r="K1423" s="44" t="s">
        <v>2503</v>
      </c>
      <c r="L1423" s="44"/>
      <c r="M1423" s="44" t="s">
        <v>2033</v>
      </c>
      <c r="N1423" s="45">
        <v>0</v>
      </c>
      <c r="O1423" s="46">
        <f t="shared" si="46"/>
        <v>0</v>
      </c>
      <c r="P1423" s="47">
        <f>MLCF!C60</f>
        <v>0</v>
      </c>
      <c r="Q1423" s="44" t="str">
        <f t="shared" si="47"/>
        <v>PASS</v>
      </c>
      <c r="R1423" s="44" t="s">
        <v>1587</v>
      </c>
      <c r="S1423" s="44"/>
    </row>
    <row r="1424" spans="1:19" x14ac:dyDescent="0.3">
      <c r="A1424" s="44" t="s">
        <v>2705</v>
      </c>
      <c r="B1424" s="44" t="s">
        <v>106</v>
      </c>
      <c r="C1424" s="44" t="s">
        <v>20</v>
      </c>
      <c r="D1424" s="44" t="s">
        <v>320</v>
      </c>
      <c r="E1424" s="44" t="s">
        <v>1035</v>
      </c>
      <c r="F1424" s="44"/>
      <c r="G1424" s="44" t="s">
        <v>1589</v>
      </c>
      <c r="H1424" s="44" t="s">
        <v>1113</v>
      </c>
      <c r="I1424" s="44" t="s">
        <v>1106</v>
      </c>
      <c r="J1424" s="44">
        <v>183</v>
      </c>
      <c r="K1424" s="44" t="s">
        <v>2201</v>
      </c>
      <c r="L1424" s="44"/>
      <c r="M1424" s="44" t="s">
        <v>2033</v>
      </c>
      <c r="N1424" s="45">
        <v>0</v>
      </c>
      <c r="O1424" s="46">
        <f t="shared" si="46"/>
        <v>0</v>
      </c>
      <c r="P1424" s="47">
        <f>MLCF!D60</f>
        <v>0</v>
      </c>
      <c r="Q1424" s="44" t="str">
        <f t="shared" si="47"/>
        <v>PASS</v>
      </c>
      <c r="R1424" s="44" t="s">
        <v>1587</v>
      </c>
      <c r="S1424" s="44"/>
    </row>
    <row r="1425" spans="1:19" x14ac:dyDescent="0.3">
      <c r="A1425" s="44" t="s">
        <v>2706</v>
      </c>
      <c r="B1425" s="44" t="s">
        <v>106</v>
      </c>
      <c r="C1425" s="44" t="s">
        <v>26</v>
      </c>
      <c r="D1425" s="44" t="s">
        <v>320</v>
      </c>
      <c r="E1425" s="44" t="s">
        <v>1035</v>
      </c>
      <c r="F1425" s="44"/>
      <c r="G1425" s="44" t="s">
        <v>1592</v>
      </c>
      <c r="H1425" s="44" t="s">
        <v>1117</v>
      </c>
      <c r="I1425" s="44" t="s">
        <v>1106</v>
      </c>
      <c r="J1425" s="44">
        <v>98</v>
      </c>
      <c r="K1425" s="44" t="s">
        <v>2487</v>
      </c>
      <c r="L1425" s="44"/>
      <c r="M1425" s="44" t="s">
        <v>2033</v>
      </c>
      <c r="N1425" s="45">
        <v>0</v>
      </c>
      <c r="O1425" s="46">
        <f t="shared" si="46"/>
        <v>0</v>
      </c>
      <c r="P1425" s="47">
        <f>MLCF!E60</f>
        <v>0</v>
      </c>
      <c r="Q1425" s="44" t="str">
        <f t="shared" si="47"/>
        <v>PASS</v>
      </c>
      <c r="R1425" s="44" t="s">
        <v>1587</v>
      </c>
      <c r="S1425" s="44"/>
    </row>
    <row r="1426" spans="1:19" x14ac:dyDescent="0.3">
      <c r="A1426" s="44" t="s">
        <v>2707</v>
      </c>
      <c r="B1426" s="44" t="s">
        <v>106</v>
      </c>
      <c r="C1426" s="44" t="s">
        <v>27</v>
      </c>
      <c r="D1426" s="44" t="s">
        <v>320</v>
      </c>
      <c r="E1426" s="44" t="s">
        <v>1035</v>
      </c>
      <c r="F1426" s="44"/>
      <c r="G1426" s="44" t="s">
        <v>1595</v>
      </c>
      <c r="H1426" s="44" t="s">
        <v>1120</v>
      </c>
      <c r="I1426" s="44" t="s">
        <v>1106</v>
      </c>
      <c r="J1426" s="44">
        <v>189</v>
      </c>
      <c r="K1426" s="44" t="s">
        <v>2055</v>
      </c>
      <c r="L1426" s="44"/>
      <c r="M1426" s="44" t="s">
        <v>2033</v>
      </c>
      <c r="N1426" s="45">
        <v>0</v>
      </c>
      <c r="O1426" s="46">
        <f t="shared" si="46"/>
        <v>0</v>
      </c>
      <c r="P1426" s="47">
        <f>MLCF!F60</f>
        <v>0</v>
      </c>
      <c r="Q1426" s="44" t="str">
        <f t="shared" si="47"/>
        <v>PASS</v>
      </c>
      <c r="R1426" s="44" t="s">
        <v>1587</v>
      </c>
      <c r="S1426" s="44"/>
    </row>
    <row r="1427" spans="1:19" x14ac:dyDescent="0.3">
      <c r="A1427" s="44" t="s">
        <v>2708</v>
      </c>
      <c r="B1427" s="44" t="s">
        <v>106</v>
      </c>
      <c r="C1427" s="44" t="s">
        <v>28</v>
      </c>
      <c r="D1427" s="44" t="s">
        <v>320</v>
      </c>
      <c r="E1427" s="44" t="s">
        <v>1035</v>
      </c>
      <c r="F1427" s="44"/>
      <c r="G1427" s="44" t="s">
        <v>1598</v>
      </c>
      <c r="H1427" s="44" t="s">
        <v>1124</v>
      </c>
      <c r="I1427" s="44" t="s">
        <v>1106</v>
      </c>
      <c r="J1427" s="44">
        <v>201</v>
      </c>
      <c r="K1427" s="44" t="s">
        <v>2380</v>
      </c>
      <c r="L1427" s="44"/>
      <c r="M1427" s="44" t="s">
        <v>2033</v>
      </c>
      <c r="N1427" s="45">
        <v>0</v>
      </c>
      <c r="O1427" s="46">
        <f t="shared" si="46"/>
        <v>0</v>
      </c>
      <c r="P1427" s="47">
        <f>MLCF!G60</f>
        <v>0</v>
      </c>
      <c r="Q1427" s="44" t="str">
        <f t="shared" si="47"/>
        <v>PASS</v>
      </c>
      <c r="R1427" s="44" t="s">
        <v>1587</v>
      </c>
      <c r="S1427" s="44"/>
    </row>
    <row r="1428" spans="1:19" x14ac:dyDescent="0.3">
      <c r="A1428" s="44" t="s">
        <v>2709</v>
      </c>
      <c r="B1428" s="44" t="s">
        <v>106</v>
      </c>
      <c r="C1428" s="44" t="s">
        <v>29</v>
      </c>
      <c r="D1428" s="44" t="s">
        <v>320</v>
      </c>
      <c r="E1428" s="44" t="s">
        <v>1035</v>
      </c>
      <c r="F1428" s="44"/>
      <c r="G1428" s="44" t="s">
        <v>1598</v>
      </c>
      <c r="H1428" s="44" t="s">
        <v>1124</v>
      </c>
      <c r="I1428" s="44" t="s">
        <v>1127</v>
      </c>
      <c r="J1428" s="44">
        <v>201</v>
      </c>
      <c r="K1428" s="44" t="s">
        <v>2380</v>
      </c>
      <c r="L1428" s="44"/>
      <c r="M1428" s="44" t="s">
        <v>2033</v>
      </c>
      <c r="N1428" s="45">
        <v>0</v>
      </c>
      <c r="O1428" s="46">
        <f t="shared" si="46"/>
        <v>0</v>
      </c>
      <c r="P1428" s="47">
        <f>MLCF!H60</f>
        <v>0</v>
      </c>
      <c r="Q1428" s="44" t="str">
        <f t="shared" si="47"/>
        <v>PASS</v>
      </c>
      <c r="R1428" s="44" t="s">
        <v>1587</v>
      </c>
      <c r="S1428" s="44"/>
    </row>
    <row r="1429" spans="1:19" x14ac:dyDescent="0.3">
      <c r="A1429" s="44" t="s">
        <v>2710</v>
      </c>
      <c r="B1429" s="44" t="s">
        <v>106</v>
      </c>
      <c r="C1429" s="44" t="s">
        <v>965</v>
      </c>
      <c r="D1429" s="44" t="s">
        <v>345</v>
      </c>
      <c r="E1429" s="44" t="s">
        <v>1035</v>
      </c>
      <c r="F1429" s="44"/>
      <c r="G1429" s="44" t="s">
        <v>1584</v>
      </c>
      <c r="H1429" s="44" t="s">
        <v>1105</v>
      </c>
      <c r="I1429" s="44" t="s">
        <v>1106</v>
      </c>
      <c r="J1429" s="44">
        <v>163</v>
      </c>
      <c r="K1429" s="44" t="s">
        <v>2484</v>
      </c>
      <c r="L1429" s="44"/>
      <c r="M1429" s="44" t="s">
        <v>2033</v>
      </c>
      <c r="N1429" s="45">
        <v>66009771</v>
      </c>
      <c r="O1429" s="46">
        <f t="shared" si="46"/>
        <v>66009.770999999993</v>
      </c>
      <c r="P1429" s="47">
        <f>MLCF!C75</f>
        <v>66009.770999999993</v>
      </c>
      <c r="Q1429" s="44" t="str">
        <f t="shared" si="47"/>
        <v>PASS</v>
      </c>
      <c r="R1429" s="44" t="s">
        <v>1587</v>
      </c>
      <c r="S1429" s="44"/>
    </row>
    <row r="1430" spans="1:19" x14ac:dyDescent="0.3">
      <c r="A1430" s="44" t="s">
        <v>2711</v>
      </c>
      <c r="B1430" s="44" t="s">
        <v>106</v>
      </c>
      <c r="C1430" s="44" t="s">
        <v>20</v>
      </c>
      <c r="D1430" s="44" t="s">
        <v>345</v>
      </c>
      <c r="E1430" s="44" t="s">
        <v>1035</v>
      </c>
      <c r="F1430" s="44"/>
      <c r="G1430" s="44" t="s">
        <v>1589</v>
      </c>
      <c r="H1430" s="44" t="s">
        <v>1113</v>
      </c>
      <c r="I1430" s="44" t="s">
        <v>1106</v>
      </c>
      <c r="J1430" s="44">
        <v>184</v>
      </c>
      <c r="K1430" s="44" t="s">
        <v>2230</v>
      </c>
      <c r="L1430" s="44"/>
      <c r="M1430" s="44" t="s">
        <v>2033</v>
      </c>
      <c r="N1430" s="45">
        <v>66239278</v>
      </c>
      <c r="O1430" s="46">
        <f t="shared" si="46"/>
        <v>66239.278000000006</v>
      </c>
      <c r="P1430" s="47">
        <f>MLCF!D75</f>
        <v>66239.278000000006</v>
      </c>
      <c r="Q1430" s="44" t="str">
        <f t="shared" si="47"/>
        <v>PASS</v>
      </c>
      <c r="R1430" s="44" t="s">
        <v>1587</v>
      </c>
      <c r="S1430" s="44"/>
    </row>
    <row r="1431" spans="1:19" x14ac:dyDescent="0.3">
      <c r="A1431" s="44" t="s">
        <v>2712</v>
      </c>
      <c r="B1431" s="44" t="s">
        <v>106</v>
      </c>
      <c r="C1431" s="44" t="s">
        <v>26</v>
      </c>
      <c r="D1431" s="44" t="s">
        <v>345</v>
      </c>
      <c r="E1431" s="44" t="s">
        <v>1035</v>
      </c>
      <c r="F1431" s="44"/>
      <c r="G1431" s="44" t="s">
        <v>1592</v>
      </c>
      <c r="H1431" s="44" t="s">
        <v>1117</v>
      </c>
      <c r="I1431" s="44" t="s">
        <v>1106</v>
      </c>
      <c r="J1431" s="44">
        <v>98</v>
      </c>
      <c r="K1431" s="44" t="s">
        <v>2487</v>
      </c>
      <c r="L1431" s="44"/>
      <c r="M1431" s="44" t="s">
        <v>2033</v>
      </c>
      <c r="N1431" s="45">
        <v>82214210</v>
      </c>
      <c r="O1431" s="46">
        <f t="shared" si="46"/>
        <v>82214.210000000006</v>
      </c>
      <c r="P1431" s="47">
        <f>MLCF!E75</f>
        <v>82214.210000000006</v>
      </c>
      <c r="Q1431" s="44" t="str">
        <f t="shared" si="47"/>
        <v>PASS</v>
      </c>
      <c r="R1431" s="44" t="s">
        <v>1587</v>
      </c>
      <c r="S1431" s="44"/>
    </row>
    <row r="1432" spans="1:19" x14ac:dyDescent="0.3">
      <c r="A1432" s="44" t="s">
        <v>2713</v>
      </c>
      <c r="B1432" s="44" t="s">
        <v>106</v>
      </c>
      <c r="C1432" s="44" t="s">
        <v>27</v>
      </c>
      <c r="D1432" s="44" t="s">
        <v>345</v>
      </c>
      <c r="E1432" s="44" t="s">
        <v>1035</v>
      </c>
      <c r="F1432" s="44"/>
      <c r="G1432" s="44" t="s">
        <v>1595</v>
      </c>
      <c r="H1432" s="44" t="s">
        <v>1120</v>
      </c>
      <c r="I1432" s="44" t="s">
        <v>1106</v>
      </c>
      <c r="J1432" s="44">
        <v>190</v>
      </c>
      <c r="K1432" s="44" t="s">
        <v>2489</v>
      </c>
      <c r="L1432" s="44"/>
      <c r="M1432" s="44" t="s">
        <v>2033</v>
      </c>
      <c r="N1432" s="45">
        <v>89707711</v>
      </c>
      <c r="O1432" s="46">
        <f t="shared" si="46"/>
        <v>89707.710999999996</v>
      </c>
      <c r="P1432" s="47">
        <f>MLCF!F75</f>
        <v>89707.710999999996</v>
      </c>
      <c r="Q1432" s="44" t="str">
        <f t="shared" si="47"/>
        <v>PASS</v>
      </c>
      <c r="R1432" s="44" t="s">
        <v>1587</v>
      </c>
      <c r="S1432" s="44"/>
    </row>
    <row r="1433" spans="1:19" x14ac:dyDescent="0.3">
      <c r="A1433" s="44" t="s">
        <v>2714</v>
      </c>
      <c r="B1433" s="44" t="s">
        <v>106</v>
      </c>
      <c r="C1433" s="44" t="s">
        <v>28</v>
      </c>
      <c r="D1433" s="44" t="s">
        <v>345</v>
      </c>
      <c r="E1433" s="44" t="s">
        <v>1035</v>
      </c>
      <c r="F1433" s="44"/>
      <c r="G1433" s="44" t="s">
        <v>1598</v>
      </c>
      <c r="H1433" s="44" t="s">
        <v>1124</v>
      </c>
      <c r="I1433" s="44" t="s">
        <v>1106</v>
      </c>
      <c r="J1433" s="44">
        <v>202</v>
      </c>
      <c r="K1433" s="44" t="s">
        <v>2452</v>
      </c>
      <c r="L1433" s="44"/>
      <c r="M1433" s="44" t="s">
        <v>2033</v>
      </c>
      <c r="N1433" s="45">
        <v>99365682</v>
      </c>
      <c r="O1433" s="46">
        <f t="shared" si="46"/>
        <v>99365.682000000001</v>
      </c>
      <c r="P1433" s="47">
        <f>MLCF!G75</f>
        <v>99365.682000000001</v>
      </c>
      <c r="Q1433" s="44" t="str">
        <f t="shared" si="47"/>
        <v>PASS</v>
      </c>
      <c r="R1433" s="44" t="s">
        <v>1587</v>
      </c>
      <c r="S1433" s="44"/>
    </row>
    <row r="1434" spans="1:19" x14ac:dyDescent="0.3">
      <c r="A1434" s="44" t="s">
        <v>2715</v>
      </c>
      <c r="B1434" s="44" t="s">
        <v>106</v>
      </c>
      <c r="C1434" s="44" t="s">
        <v>29</v>
      </c>
      <c r="D1434" s="44" t="s">
        <v>345</v>
      </c>
      <c r="E1434" s="44" t="s">
        <v>1035</v>
      </c>
      <c r="F1434" s="44"/>
      <c r="G1434" s="44" t="s">
        <v>1598</v>
      </c>
      <c r="H1434" s="44" t="s">
        <v>1124</v>
      </c>
      <c r="I1434" s="44" t="s">
        <v>1127</v>
      </c>
      <c r="J1434" s="44">
        <v>202</v>
      </c>
      <c r="K1434" s="44" t="s">
        <v>2452</v>
      </c>
      <c r="L1434" s="44"/>
      <c r="M1434" s="44" t="s">
        <v>2033</v>
      </c>
      <c r="N1434" s="45">
        <v>119106271</v>
      </c>
      <c r="O1434" s="46">
        <f t="shared" si="46"/>
        <v>119106.27099999999</v>
      </c>
      <c r="P1434" s="47">
        <f>MLCF!H75</f>
        <v>119106.27099999999</v>
      </c>
      <c r="Q1434" s="44" t="str">
        <f t="shared" si="47"/>
        <v>PASS</v>
      </c>
      <c r="R1434" s="44" t="s">
        <v>1587</v>
      </c>
      <c r="S1434" s="44"/>
    </row>
    <row r="1435" spans="1:19" x14ac:dyDescent="0.3">
      <c r="A1435" s="44" t="s">
        <v>2716</v>
      </c>
      <c r="B1435" s="44" t="s">
        <v>106</v>
      </c>
      <c r="C1435" s="44" t="s">
        <v>965</v>
      </c>
      <c r="D1435" s="44" t="s">
        <v>347</v>
      </c>
      <c r="E1435" s="44" t="s">
        <v>1035</v>
      </c>
      <c r="F1435" s="44"/>
      <c r="G1435" s="44" t="s">
        <v>1584</v>
      </c>
      <c r="H1435" s="44" t="s">
        <v>1105</v>
      </c>
      <c r="I1435" s="44" t="s">
        <v>1106</v>
      </c>
      <c r="J1435" s="44">
        <v>162</v>
      </c>
      <c r="K1435" s="44" t="s">
        <v>2503</v>
      </c>
      <c r="L1435" s="44"/>
      <c r="M1435" s="44" t="s">
        <v>2033</v>
      </c>
      <c r="N1435" s="45">
        <v>31320831</v>
      </c>
      <c r="O1435" s="46">
        <f t="shared" ref="O1435:O1498" si="48">N1435/1000</f>
        <v>31320.830999999998</v>
      </c>
      <c r="P1435" s="47">
        <f>MLCF!C76</f>
        <v>31320.830999999998</v>
      </c>
      <c r="Q1435" s="44" t="str">
        <f t="shared" si="47"/>
        <v>PASS</v>
      </c>
      <c r="R1435" s="44" t="s">
        <v>1587</v>
      </c>
      <c r="S1435" s="44"/>
    </row>
    <row r="1436" spans="1:19" x14ac:dyDescent="0.3">
      <c r="A1436" s="44" t="s">
        <v>2717</v>
      </c>
      <c r="B1436" s="44" t="s">
        <v>106</v>
      </c>
      <c r="C1436" s="44" t="s">
        <v>20</v>
      </c>
      <c r="D1436" s="44" t="s">
        <v>347</v>
      </c>
      <c r="E1436" s="44" t="s">
        <v>1035</v>
      </c>
      <c r="F1436" s="44"/>
      <c r="G1436" s="44" t="s">
        <v>1589</v>
      </c>
      <c r="H1436" s="44" t="s">
        <v>1113</v>
      </c>
      <c r="I1436" s="44" t="s">
        <v>1106</v>
      </c>
      <c r="J1436" s="44">
        <v>183</v>
      </c>
      <c r="K1436" s="44" t="s">
        <v>2201</v>
      </c>
      <c r="L1436" s="44"/>
      <c r="M1436" s="44" t="s">
        <v>2033</v>
      </c>
      <c r="N1436" s="45">
        <v>37542541</v>
      </c>
      <c r="O1436" s="46">
        <f t="shared" si="48"/>
        <v>37542.540999999997</v>
      </c>
      <c r="P1436" s="47">
        <f>MLCF!D76</f>
        <v>37542.540999999997</v>
      </c>
      <c r="Q1436" s="44" t="str">
        <f t="shared" si="47"/>
        <v>PASS</v>
      </c>
      <c r="R1436" s="44" t="s">
        <v>1587</v>
      </c>
      <c r="S1436" s="44"/>
    </row>
    <row r="1437" spans="1:19" x14ac:dyDescent="0.3">
      <c r="A1437" s="44" t="s">
        <v>2718</v>
      </c>
      <c r="B1437" s="44" t="s">
        <v>106</v>
      </c>
      <c r="C1437" s="44" t="s">
        <v>26</v>
      </c>
      <c r="D1437" s="44" t="s">
        <v>347</v>
      </c>
      <c r="E1437" s="44" t="s">
        <v>1035</v>
      </c>
      <c r="F1437" s="44"/>
      <c r="G1437" s="44" t="s">
        <v>1592</v>
      </c>
      <c r="H1437" s="44" t="s">
        <v>1117</v>
      </c>
      <c r="I1437" s="44" t="s">
        <v>1106</v>
      </c>
      <c r="J1437" s="44">
        <v>98</v>
      </c>
      <c r="K1437" s="44" t="s">
        <v>2487</v>
      </c>
      <c r="L1437" s="44"/>
      <c r="M1437" s="44" t="s">
        <v>2033</v>
      </c>
      <c r="N1437" s="45">
        <v>40559015</v>
      </c>
      <c r="O1437" s="46">
        <f t="shared" si="48"/>
        <v>40559.014999999999</v>
      </c>
      <c r="P1437" s="47">
        <f>MLCF!E76</f>
        <v>40559.014999999999</v>
      </c>
      <c r="Q1437" s="44" t="str">
        <f t="shared" si="47"/>
        <v>PASS</v>
      </c>
      <c r="R1437" s="44" t="s">
        <v>1587</v>
      </c>
      <c r="S1437" s="44"/>
    </row>
    <row r="1438" spans="1:19" x14ac:dyDescent="0.3">
      <c r="A1438" s="44" t="s">
        <v>2719</v>
      </c>
      <c r="B1438" s="44" t="s">
        <v>106</v>
      </c>
      <c r="C1438" s="44" t="s">
        <v>27</v>
      </c>
      <c r="D1438" s="44" t="s">
        <v>347</v>
      </c>
      <c r="E1438" s="44" t="s">
        <v>1035</v>
      </c>
      <c r="F1438" s="44"/>
      <c r="G1438" s="44" t="s">
        <v>1595</v>
      </c>
      <c r="H1438" s="44" t="s">
        <v>1120</v>
      </c>
      <c r="I1438" s="44" t="s">
        <v>1106</v>
      </c>
      <c r="J1438" s="44">
        <v>189</v>
      </c>
      <c r="K1438" s="44" t="s">
        <v>2055</v>
      </c>
      <c r="L1438" s="44"/>
      <c r="M1438" s="44" t="s">
        <v>2033</v>
      </c>
      <c r="N1438" s="45">
        <v>44913114</v>
      </c>
      <c r="O1438" s="46">
        <f t="shared" si="48"/>
        <v>44913.114000000001</v>
      </c>
      <c r="P1438" s="47">
        <f>MLCF!F76</f>
        <v>44913.114000000001</v>
      </c>
      <c r="Q1438" s="44" t="str">
        <f t="shared" si="47"/>
        <v>PASS</v>
      </c>
      <c r="R1438" s="44" t="s">
        <v>1587</v>
      </c>
      <c r="S1438" s="44"/>
    </row>
    <row r="1439" spans="1:19" x14ac:dyDescent="0.3">
      <c r="A1439" s="44" t="s">
        <v>2720</v>
      </c>
      <c r="B1439" s="44" t="s">
        <v>106</v>
      </c>
      <c r="C1439" s="44" t="s">
        <v>28</v>
      </c>
      <c r="D1439" s="44" t="s">
        <v>347</v>
      </c>
      <c r="E1439" s="44" t="s">
        <v>1035</v>
      </c>
      <c r="F1439" s="44"/>
      <c r="G1439" s="44" t="s">
        <v>1598</v>
      </c>
      <c r="H1439" s="44" t="s">
        <v>1124</v>
      </c>
      <c r="I1439" s="44" t="s">
        <v>1106</v>
      </c>
      <c r="J1439" s="44">
        <v>201</v>
      </c>
      <c r="K1439" s="44" t="s">
        <v>2380</v>
      </c>
      <c r="L1439" s="44"/>
      <c r="M1439" s="44" t="s">
        <v>2033</v>
      </c>
      <c r="N1439" s="45">
        <v>52615908</v>
      </c>
      <c r="O1439" s="46">
        <f t="shared" si="48"/>
        <v>52615.908000000003</v>
      </c>
      <c r="P1439" s="47">
        <f>MLCF!G76</f>
        <v>52615.908000000003</v>
      </c>
      <c r="Q1439" s="44" t="str">
        <f t="shared" si="47"/>
        <v>PASS</v>
      </c>
      <c r="R1439" s="44" t="s">
        <v>1587</v>
      </c>
      <c r="S1439" s="44"/>
    </row>
    <row r="1440" spans="1:19" x14ac:dyDescent="0.3">
      <c r="A1440" s="44" t="s">
        <v>2721</v>
      </c>
      <c r="B1440" s="44" t="s">
        <v>106</v>
      </c>
      <c r="C1440" s="44" t="s">
        <v>29</v>
      </c>
      <c r="D1440" s="44" t="s">
        <v>347</v>
      </c>
      <c r="E1440" s="44" t="s">
        <v>1035</v>
      </c>
      <c r="F1440" s="44"/>
      <c r="G1440" s="44" t="s">
        <v>1598</v>
      </c>
      <c r="H1440" s="44" t="s">
        <v>1124</v>
      </c>
      <c r="I1440" s="44" t="s">
        <v>1127</v>
      </c>
      <c r="J1440" s="44">
        <v>201</v>
      </c>
      <c r="K1440" s="44" t="s">
        <v>2380</v>
      </c>
      <c r="L1440" s="44"/>
      <c r="M1440" s="44" t="s">
        <v>2033</v>
      </c>
      <c r="N1440" s="45">
        <v>71461592</v>
      </c>
      <c r="O1440" s="46">
        <f t="shared" si="48"/>
        <v>71461.592000000004</v>
      </c>
      <c r="P1440" s="47">
        <f>MLCF!H76</f>
        <v>71461.592000000004</v>
      </c>
      <c r="Q1440" s="44" t="str">
        <f t="shared" si="47"/>
        <v>PASS</v>
      </c>
      <c r="R1440" s="44" t="s">
        <v>1587</v>
      </c>
      <c r="S1440" s="44"/>
    </row>
    <row r="1441" spans="1:19" x14ac:dyDescent="0.3">
      <c r="A1441" s="44" t="s">
        <v>2722</v>
      </c>
      <c r="B1441" s="44" t="s">
        <v>106</v>
      </c>
      <c r="C1441" s="44" t="s">
        <v>965</v>
      </c>
      <c r="D1441" s="44" t="s">
        <v>349</v>
      </c>
      <c r="E1441" s="44" t="s">
        <v>1035</v>
      </c>
      <c r="F1441" s="44"/>
      <c r="G1441" s="44" t="s">
        <v>1584</v>
      </c>
      <c r="H1441" s="44" t="s">
        <v>1105</v>
      </c>
      <c r="I1441" s="44" t="s">
        <v>1106</v>
      </c>
      <c r="J1441" s="44">
        <v>163</v>
      </c>
      <c r="K1441" s="44" t="s">
        <v>2503</v>
      </c>
      <c r="L1441" s="44"/>
      <c r="M1441" s="44" t="s">
        <v>2033</v>
      </c>
      <c r="N1441" s="45">
        <v>16607191</v>
      </c>
      <c r="O1441" s="46">
        <f t="shared" si="48"/>
        <v>16607.190999999999</v>
      </c>
      <c r="P1441" s="47">
        <f>MLCF!C77</f>
        <v>16607.190999999999</v>
      </c>
      <c r="Q1441" s="44" t="str">
        <f t="shared" si="47"/>
        <v>PASS</v>
      </c>
      <c r="R1441" s="44" t="s">
        <v>1587</v>
      </c>
      <c r="S1441" s="44"/>
    </row>
    <row r="1442" spans="1:19" x14ac:dyDescent="0.3">
      <c r="A1442" s="44" t="s">
        <v>2723</v>
      </c>
      <c r="B1442" s="44" t="s">
        <v>106</v>
      </c>
      <c r="C1442" s="44" t="s">
        <v>20</v>
      </c>
      <c r="D1442" s="44" t="s">
        <v>349</v>
      </c>
      <c r="E1442" s="44" t="s">
        <v>1035</v>
      </c>
      <c r="F1442" s="44"/>
      <c r="G1442" s="44" t="s">
        <v>1589</v>
      </c>
      <c r="H1442" s="44" t="s">
        <v>1113</v>
      </c>
      <c r="I1442" s="44" t="s">
        <v>1106</v>
      </c>
      <c r="J1442" s="44">
        <v>184</v>
      </c>
      <c r="K1442" s="44" t="s">
        <v>2201</v>
      </c>
      <c r="L1442" s="44"/>
      <c r="M1442" s="44" t="s">
        <v>2033</v>
      </c>
      <c r="N1442" s="45">
        <v>16923416</v>
      </c>
      <c r="O1442" s="46">
        <f t="shared" si="48"/>
        <v>16923.416000000001</v>
      </c>
      <c r="P1442" s="47">
        <f>MLCF!D77</f>
        <v>16923.416000000001</v>
      </c>
      <c r="Q1442" s="44" t="str">
        <f t="shared" si="47"/>
        <v>PASS</v>
      </c>
      <c r="R1442" s="44" t="s">
        <v>1587</v>
      </c>
      <c r="S1442" s="44"/>
    </row>
    <row r="1443" spans="1:19" x14ac:dyDescent="0.3">
      <c r="A1443" s="44" t="s">
        <v>2724</v>
      </c>
      <c r="B1443" s="44" t="s">
        <v>106</v>
      </c>
      <c r="C1443" s="44" t="s">
        <v>26</v>
      </c>
      <c r="D1443" s="44" t="s">
        <v>349</v>
      </c>
      <c r="E1443" s="44" t="s">
        <v>1035</v>
      </c>
      <c r="F1443" s="44"/>
      <c r="G1443" s="44" t="s">
        <v>1592</v>
      </c>
      <c r="H1443" s="44" t="s">
        <v>1117</v>
      </c>
      <c r="I1443" s="44" t="s">
        <v>1106</v>
      </c>
      <c r="J1443" s="44">
        <v>98</v>
      </c>
      <c r="K1443" s="44" t="s">
        <v>2487</v>
      </c>
      <c r="L1443" s="44"/>
      <c r="M1443" s="44" t="s">
        <v>2033</v>
      </c>
      <c r="N1443" s="45">
        <v>20321989</v>
      </c>
      <c r="O1443" s="46">
        <f t="shared" si="48"/>
        <v>20321.989000000001</v>
      </c>
      <c r="P1443" s="47">
        <f>MLCF!E77</f>
        <v>20321.989000000001</v>
      </c>
      <c r="Q1443" s="44" t="str">
        <f t="shared" si="47"/>
        <v>PASS</v>
      </c>
      <c r="R1443" s="44" t="s">
        <v>1587</v>
      </c>
      <c r="S1443" s="44"/>
    </row>
    <row r="1444" spans="1:19" x14ac:dyDescent="0.3">
      <c r="A1444" s="44" t="s">
        <v>2725</v>
      </c>
      <c r="B1444" s="44" t="s">
        <v>106</v>
      </c>
      <c r="C1444" s="44" t="s">
        <v>27</v>
      </c>
      <c r="D1444" s="44" t="s">
        <v>349</v>
      </c>
      <c r="E1444" s="44" t="s">
        <v>1035</v>
      </c>
      <c r="F1444" s="44"/>
      <c r="G1444" s="44" t="s">
        <v>1595</v>
      </c>
      <c r="H1444" s="44" t="s">
        <v>1120</v>
      </c>
      <c r="I1444" s="44" t="s">
        <v>1106</v>
      </c>
      <c r="J1444" s="44">
        <v>190</v>
      </c>
      <c r="K1444" s="44" t="s">
        <v>2055</v>
      </c>
      <c r="L1444" s="44"/>
      <c r="M1444" s="44" t="s">
        <v>2033</v>
      </c>
      <c r="N1444" s="45">
        <v>22239667</v>
      </c>
      <c r="O1444" s="46">
        <f t="shared" si="48"/>
        <v>22239.667000000001</v>
      </c>
      <c r="P1444" s="47">
        <f>MLCF!F77</f>
        <v>22239.667000000001</v>
      </c>
      <c r="Q1444" s="44" t="str">
        <f t="shared" si="47"/>
        <v>PASS</v>
      </c>
      <c r="R1444" s="44" t="s">
        <v>1587</v>
      </c>
      <c r="S1444" s="44"/>
    </row>
    <row r="1445" spans="1:19" x14ac:dyDescent="0.3">
      <c r="A1445" s="44" t="s">
        <v>2726</v>
      </c>
      <c r="B1445" s="44" t="s">
        <v>106</v>
      </c>
      <c r="C1445" s="44" t="s">
        <v>28</v>
      </c>
      <c r="D1445" s="44" t="s">
        <v>349</v>
      </c>
      <c r="E1445" s="44" t="s">
        <v>1035</v>
      </c>
      <c r="F1445" s="44"/>
      <c r="G1445" s="44" t="s">
        <v>1598</v>
      </c>
      <c r="H1445" s="44" t="s">
        <v>1124</v>
      </c>
      <c r="I1445" s="44" t="s">
        <v>1106</v>
      </c>
      <c r="J1445" s="44">
        <v>202</v>
      </c>
      <c r="K1445" s="44" t="s">
        <v>2380</v>
      </c>
      <c r="L1445" s="44"/>
      <c r="M1445" s="44" t="s">
        <v>2033</v>
      </c>
      <c r="N1445" s="45">
        <v>26867837</v>
      </c>
      <c r="O1445" s="46">
        <f t="shared" si="48"/>
        <v>26867.837</v>
      </c>
      <c r="P1445" s="47">
        <f>MLCF!G77</f>
        <v>26867.837</v>
      </c>
      <c r="Q1445" s="44" t="str">
        <f t="shared" si="47"/>
        <v>PASS</v>
      </c>
      <c r="R1445" s="44" t="s">
        <v>1587</v>
      </c>
      <c r="S1445" s="44"/>
    </row>
    <row r="1446" spans="1:19" x14ac:dyDescent="0.3">
      <c r="A1446" s="44" t="s">
        <v>2727</v>
      </c>
      <c r="B1446" s="44" t="s">
        <v>106</v>
      </c>
      <c r="C1446" s="44" t="s">
        <v>29</v>
      </c>
      <c r="D1446" s="44" t="s">
        <v>349</v>
      </c>
      <c r="E1446" s="44" t="s">
        <v>1035</v>
      </c>
      <c r="F1446" s="44"/>
      <c r="G1446" s="44" t="s">
        <v>1598</v>
      </c>
      <c r="H1446" s="44" t="s">
        <v>1124</v>
      </c>
      <c r="I1446" s="44" t="s">
        <v>1127</v>
      </c>
      <c r="J1446" s="44">
        <v>202</v>
      </c>
      <c r="K1446" s="44" t="s">
        <v>2380</v>
      </c>
      <c r="L1446" s="44"/>
      <c r="M1446" s="44" t="s">
        <v>2033</v>
      </c>
      <c r="N1446" s="45">
        <v>35752604</v>
      </c>
      <c r="O1446" s="46">
        <f t="shared" si="48"/>
        <v>35752.603999999999</v>
      </c>
      <c r="P1446" s="47">
        <f>MLCF!H77</f>
        <v>35752.603999999999</v>
      </c>
      <c r="Q1446" s="44" t="str">
        <f t="shared" si="47"/>
        <v>PASS</v>
      </c>
      <c r="R1446" s="44" t="s">
        <v>1587</v>
      </c>
      <c r="S1446" s="44"/>
    </row>
    <row r="1447" spans="1:19" x14ac:dyDescent="0.3">
      <c r="A1447" s="44" t="s">
        <v>2728</v>
      </c>
      <c r="B1447" s="44" t="s">
        <v>106</v>
      </c>
      <c r="C1447" s="44" t="s">
        <v>965</v>
      </c>
      <c r="D1447" s="44" t="s">
        <v>351</v>
      </c>
      <c r="E1447" s="44" t="s">
        <v>1035</v>
      </c>
      <c r="F1447" s="44"/>
      <c r="G1447" s="44" t="s">
        <v>1584</v>
      </c>
      <c r="H1447" s="44" t="s">
        <v>1105</v>
      </c>
      <c r="I1447" s="44" t="s">
        <v>1106</v>
      </c>
      <c r="J1447" s="44">
        <v>162</v>
      </c>
      <c r="K1447" s="44" t="s">
        <v>2503</v>
      </c>
      <c r="L1447" s="44"/>
      <c r="M1447" s="44" t="s">
        <v>2033</v>
      </c>
      <c r="N1447" s="45">
        <v>15313775</v>
      </c>
      <c r="O1447" s="46">
        <f t="shared" si="48"/>
        <v>15313.775</v>
      </c>
      <c r="P1447" s="47">
        <f>MLCF!C78</f>
        <v>15313.775</v>
      </c>
      <c r="Q1447" s="44" t="str">
        <f t="shared" si="47"/>
        <v>PASS</v>
      </c>
      <c r="R1447" s="44" t="s">
        <v>1587</v>
      </c>
      <c r="S1447" s="44"/>
    </row>
    <row r="1448" spans="1:19" x14ac:dyDescent="0.3">
      <c r="A1448" s="44" t="s">
        <v>2729</v>
      </c>
      <c r="B1448" s="44" t="s">
        <v>106</v>
      </c>
      <c r="C1448" s="44" t="s">
        <v>20</v>
      </c>
      <c r="D1448" s="44" t="s">
        <v>351</v>
      </c>
      <c r="E1448" s="44" t="s">
        <v>1035</v>
      </c>
      <c r="F1448" s="44"/>
      <c r="G1448" s="44" t="s">
        <v>1589</v>
      </c>
      <c r="H1448" s="44" t="s">
        <v>1113</v>
      </c>
      <c r="I1448" s="44" t="s">
        <v>1106</v>
      </c>
      <c r="J1448" s="44">
        <v>183</v>
      </c>
      <c r="K1448" s="44" t="s">
        <v>2201</v>
      </c>
      <c r="L1448" s="44"/>
      <c r="M1448" s="44" t="s">
        <v>2033</v>
      </c>
      <c r="N1448" s="45">
        <v>11449448</v>
      </c>
      <c r="O1448" s="46">
        <f t="shared" si="48"/>
        <v>11449.448</v>
      </c>
      <c r="P1448" s="47">
        <f>MLCF!D78</f>
        <v>11449.448</v>
      </c>
      <c r="Q1448" s="44" t="str">
        <f t="shared" si="47"/>
        <v>PASS</v>
      </c>
      <c r="R1448" s="44" t="s">
        <v>1587</v>
      </c>
      <c r="S1448" s="44"/>
    </row>
    <row r="1449" spans="1:19" x14ac:dyDescent="0.3">
      <c r="A1449" s="44" t="s">
        <v>2730</v>
      </c>
      <c r="B1449" s="44" t="s">
        <v>106</v>
      </c>
      <c r="C1449" s="44" t="s">
        <v>26</v>
      </c>
      <c r="D1449" s="44" t="s">
        <v>351</v>
      </c>
      <c r="E1449" s="44" t="s">
        <v>1035</v>
      </c>
      <c r="F1449" s="44"/>
      <c r="G1449" s="44" t="s">
        <v>1592</v>
      </c>
      <c r="H1449" s="44" t="s">
        <v>1117</v>
      </c>
      <c r="I1449" s="44" t="s">
        <v>1106</v>
      </c>
      <c r="J1449" s="44">
        <v>98</v>
      </c>
      <c r="K1449" s="44" t="s">
        <v>2487</v>
      </c>
      <c r="L1449" s="44"/>
      <c r="M1449" s="44" t="s">
        <v>2033</v>
      </c>
      <c r="N1449" s="45">
        <v>16193391</v>
      </c>
      <c r="O1449" s="46">
        <f t="shared" si="48"/>
        <v>16193.391</v>
      </c>
      <c r="P1449" s="47">
        <f>MLCF!E78</f>
        <v>16193.391</v>
      </c>
      <c r="Q1449" s="44" t="str">
        <f t="shared" ref="Q1449:Q1512" si="49">IF(ABS(O1449-P1449)&lt;0.000001,"PASS","FAIL")</f>
        <v>PASS</v>
      </c>
      <c r="R1449" s="44" t="s">
        <v>1587</v>
      </c>
      <c r="S1449" s="44"/>
    </row>
    <row r="1450" spans="1:19" x14ac:dyDescent="0.3">
      <c r="A1450" s="44" t="s">
        <v>2731</v>
      </c>
      <c r="B1450" s="44" t="s">
        <v>106</v>
      </c>
      <c r="C1450" s="44" t="s">
        <v>27</v>
      </c>
      <c r="D1450" s="44" t="s">
        <v>351</v>
      </c>
      <c r="E1450" s="44" t="s">
        <v>1035</v>
      </c>
      <c r="F1450" s="44"/>
      <c r="G1450" s="44" t="s">
        <v>1595</v>
      </c>
      <c r="H1450" s="44" t="s">
        <v>1120</v>
      </c>
      <c r="I1450" s="44" t="s">
        <v>1106</v>
      </c>
      <c r="J1450" s="44">
        <v>189</v>
      </c>
      <c r="K1450" s="44" t="s">
        <v>2055</v>
      </c>
      <c r="L1450" s="44"/>
      <c r="M1450" s="44" t="s">
        <v>2033</v>
      </c>
      <c r="N1450" s="45">
        <v>16215021</v>
      </c>
      <c r="O1450" s="46">
        <f t="shared" si="48"/>
        <v>16215.021000000001</v>
      </c>
      <c r="P1450" s="47">
        <f>MLCF!F78</f>
        <v>16215.021000000001</v>
      </c>
      <c r="Q1450" s="44" t="str">
        <f t="shared" si="49"/>
        <v>PASS</v>
      </c>
      <c r="R1450" s="44" t="s">
        <v>1587</v>
      </c>
      <c r="S1450" s="44"/>
    </row>
    <row r="1451" spans="1:19" x14ac:dyDescent="0.3">
      <c r="A1451" s="44" t="s">
        <v>2732</v>
      </c>
      <c r="B1451" s="44" t="s">
        <v>106</v>
      </c>
      <c r="C1451" s="44" t="s">
        <v>28</v>
      </c>
      <c r="D1451" s="44" t="s">
        <v>351</v>
      </c>
      <c r="E1451" s="44" t="s">
        <v>1035</v>
      </c>
      <c r="F1451" s="44"/>
      <c r="G1451" s="44" t="s">
        <v>1598</v>
      </c>
      <c r="H1451" s="44" t="s">
        <v>1124</v>
      </c>
      <c r="I1451" s="44" t="s">
        <v>1106</v>
      </c>
      <c r="J1451" s="44">
        <v>201</v>
      </c>
      <c r="K1451" s="44" t="s">
        <v>2380</v>
      </c>
      <c r="L1451" s="44"/>
      <c r="M1451" s="44" t="s">
        <v>2033</v>
      </c>
      <c r="N1451" s="45">
        <v>18597800</v>
      </c>
      <c r="O1451" s="46">
        <f t="shared" si="48"/>
        <v>18597.8</v>
      </c>
      <c r="P1451" s="47">
        <f>MLCF!G78</f>
        <v>18597.8</v>
      </c>
      <c r="Q1451" s="44" t="str">
        <f t="shared" si="49"/>
        <v>PASS</v>
      </c>
      <c r="R1451" s="44" t="s">
        <v>1587</v>
      </c>
      <c r="S1451" s="44"/>
    </row>
    <row r="1452" spans="1:19" x14ac:dyDescent="0.3">
      <c r="A1452" s="44" t="s">
        <v>2733</v>
      </c>
      <c r="B1452" s="44" t="s">
        <v>106</v>
      </c>
      <c r="C1452" s="44" t="s">
        <v>29</v>
      </c>
      <c r="D1452" s="44" t="s">
        <v>351</v>
      </c>
      <c r="E1452" s="44" t="s">
        <v>1035</v>
      </c>
      <c r="F1452" s="44"/>
      <c r="G1452" s="44" t="s">
        <v>1598</v>
      </c>
      <c r="H1452" s="44" t="s">
        <v>1124</v>
      </c>
      <c r="I1452" s="44" t="s">
        <v>1127</v>
      </c>
      <c r="J1452" s="44">
        <v>201</v>
      </c>
      <c r="K1452" s="44" t="s">
        <v>2380</v>
      </c>
      <c r="L1452" s="44"/>
      <c r="M1452" s="44" t="s">
        <v>2033</v>
      </c>
      <c r="N1452" s="45">
        <v>23330491</v>
      </c>
      <c r="O1452" s="46">
        <f t="shared" si="48"/>
        <v>23330.491000000002</v>
      </c>
      <c r="P1452" s="47">
        <f>MLCF!H78</f>
        <v>23330.491000000002</v>
      </c>
      <c r="Q1452" s="44" t="str">
        <f t="shared" si="49"/>
        <v>PASS</v>
      </c>
      <c r="R1452" s="44" t="s">
        <v>1587</v>
      </c>
      <c r="S1452" s="44"/>
    </row>
    <row r="1453" spans="1:19" x14ac:dyDescent="0.3">
      <c r="A1453" s="44" t="s">
        <v>2734</v>
      </c>
      <c r="B1453" s="44" t="s">
        <v>106</v>
      </c>
      <c r="C1453" s="44" t="s">
        <v>20</v>
      </c>
      <c r="D1453" s="44" t="s">
        <v>358</v>
      </c>
      <c r="E1453" s="44" t="s">
        <v>1381</v>
      </c>
      <c r="F1453" s="44" t="s">
        <v>2735</v>
      </c>
      <c r="G1453" s="44" t="s">
        <v>1589</v>
      </c>
      <c r="H1453" s="44" t="s">
        <v>1113</v>
      </c>
      <c r="I1453" s="44" t="s">
        <v>1106</v>
      </c>
      <c r="J1453" s="44">
        <v>185</v>
      </c>
      <c r="K1453" s="44" t="s">
        <v>2051</v>
      </c>
      <c r="L1453" s="44"/>
      <c r="M1453" s="44" t="s">
        <v>2033</v>
      </c>
      <c r="N1453" s="45">
        <v>35538301</v>
      </c>
      <c r="O1453" s="46">
        <f t="shared" si="48"/>
        <v>35538.300999999999</v>
      </c>
      <c r="P1453" s="47">
        <f>MLCF!D84</f>
        <v>35538.300999999999</v>
      </c>
      <c r="Q1453" s="44" t="str">
        <f t="shared" si="49"/>
        <v>PASS</v>
      </c>
      <c r="R1453" s="44" t="s">
        <v>1587</v>
      </c>
      <c r="S1453" s="44" t="s">
        <v>1114</v>
      </c>
    </row>
    <row r="1454" spans="1:19" x14ac:dyDescent="0.3">
      <c r="A1454" s="44" t="s">
        <v>2736</v>
      </c>
      <c r="B1454" s="44" t="s">
        <v>106</v>
      </c>
      <c r="C1454" s="44" t="s">
        <v>26</v>
      </c>
      <c r="D1454" s="44" t="s">
        <v>358</v>
      </c>
      <c r="E1454" s="44" t="s">
        <v>1381</v>
      </c>
      <c r="F1454" s="44" t="s">
        <v>2735</v>
      </c>
      <c r="G1454" s="44" t="s">
        <v>1592</v>
      </c>
      <c r="H1454" s="44" t="s">
        <v>1117</v>
      </c>
      <c r="I1454" s="44" t="s">
        <v>1106</v>
      </c>
      <c r="J1454" s="44">
        <v>99</v>
      </c>
      <c r="K1454" s="44" t="s">
        <v>2737</v>
      </c>
      <c r="L1454" s="44"/>
      <c r="M1454" s="44" t="s">
        <v>2033</v>
      </c>
      <c r="N1454" s="45">
        <v>48519622</v>
      </c>
      <c r="O1454" s="46">
        <f t="shared" si="48"/>
        <v>48519.622000000003</v>
      </c>
      <c r="P1454" s="47">
        <f>MLCF!E84</f>
        <v>48519.622000000003</v>
      </c>
      <c r="Q1454" s="44" t="str">
        <f t="shared" si="49"/>
        <v>PASS</v>
      </c>
      <c r="R1454" s="44" t="s">
        <v>1587</v>
      </c>
      <c r="S1454" s="44"/>
    </row>
    <row r="1455" spans="1:19" x14ac:dyDescent="0.3">
      <c r="A1455" s="44" t="s">
        <v>2738</v>
      </c>
      <c r="B1455" s="44" t="s">
        <v>106</v>
      </c>
      <c r="C1455" s="44" t="s">
        <v>27</v>
      </c>
      <c r="D1455" s="44" t="s">
        <v>358</v>
      </c>
      <c r="E1455" s="44" t="s">
        <v>1381</v>
      </c>
      <c r="F1455" s="44" t="s">
        <v>2291</v>
      </c>
      <c r="G1455" s="44" t="s">
        <v>1595</v>
      </c>
      <c r="H1455" s="44" t="s">
        <v>1120</v>
      </c>
      <c r="I1455" s="44" t="s">
        <v>1106</v>
      </c>
      <c r="J1455" s="44">
        <v>191</v>
      </c>
      <c r="K1455" s="44" t="s">
        <v>2739</v>
      </c>
      <c r="L1455" s="44"/>
      <c r="M1455" s="44" t="s">
        <v>2033</v>
      </c>
      <c r="N1455" s="45">
        <v>62075259</v>
      </c>
      <c r="O1455" s="46">
        <f t="shared" si="48"/>
        <v>62075.258999999998</v>
      </c>
      <c r="P1455" s="47">
        <f>MLCF!F84</f>
        <v>62075.258999999998</v>
      </c>
      <c r="Q1455" s="44" t="str">
        <f t="shared" si="49"/>
        <v>PASS</v>
      </c>
      <c r="R1455" s="44" t="s">
        <v>1587</v>
      </c>
      <c r="S1455" s="44"/>
    </row>
    <row r="1456" spans="1:19" x14ac:dyDescent="0.3">
      <c r="A1456" s="44" t="s">
        <v>2740</v>
      </c>
      <c r="B1456" s="44" t="s">
        <v>106</v>
      </c>
      <c r="C1456" s="44" t="s">
        <v>28</v>
      </c>
      <c r="D1456" s="44" t="s">
        <v>358</v>
      </c>
      <c r="E1456" s="44" t="s">
        <v>1381</v>
      </c>
      <c r="F1456" s="44" t="s">
        <v>2296</v>
      </c>
      <c r="G1456" s="44" t="s">
        <v>1598</v>
      </c>
      <c r="H1456" s="44" t="s">
        <v>1124</v>
      </c>
      <c r="I1456" s="44" t="s">
        <v>1106</v>
      </c>
      <c r="J1456" s="44">
        <v>203</v>
      </c>
      <c r="K1456" s="44" t="s">
        <v>2741</v>
      </c>
      <c r="L1456" s="44"/>
      <c r="M1456" s="44" t="s">
        <v>2033</v>
      </c>
      <c r="N1456" s="45">
        <v>66452348</v>
      </c>
      <c r="O1456" s="46">
        <f t="shared" si="48"/>
        <v>66452.347999999998</v>
      </c>
      <c r="P1456" s="47">
        <f>MLCF!G84</f>
        <v>66452.347999999998</v>
      </c>
      <c r="Q1456" s="44" t="str">
        <f t="shared" si="49"/>
        <v>PASS</v>
      </c>
      <c r="R1456" s="44" t="s">
        <v>1587</v>
      </c>
      <c r="S1456" s="44"/>
    </row>
    <row r="1457" spans="1:19" x14ac:dyDescent="0.3">
      <c r="A1457" s="44" t="s">
        <v>2742</v>
      </c>
      <c r="B1457" s="44" t="s">
        <v>106</v>
      </c>
      <c r="C1457" s="44" t="s">
        <v>29</v>
      </c>
      <c r="D1457" s="44" t="s">
        <v>358</v>
      </c>
      <c r="E1457" s="44" t="s">
        <v>1381</v>
      </c>
      <c r="F1457" s="44" t="s">
        <v>2296</v>
      </c>
      <c r="G1457" s="44" t="s">
        <v>1598</v>
      </c>
      <c r="H1457" s="44" t="s">
        <v>1124</v>
      </c>
      <c r="I1457" s="44" t="s">
        <v>1127</v>
      </c>
      <c r="J1457" s="44">
        <v>203</v>
      </c>
      <c r="K1457" s="44" t="s">
        <v>2741</v>
      </c>
      <c r="L1457" s="44"/>
      <c r="M1457" s="44" t="s">
        <v>2033</v>
      </c>
      <c r="N1457" s="45">
        <v>68942446</v>
      </c>
      <c r="O1457" s="46">
        <f t="shared" si="48"/>
        <v>68942.445999999996</v>
      </c>
      <c r="P1457" s="47">
        <f>MLCF!H84</f>
        <v>68942.445999999996</v>
      </c>
      <c r="Q1457" s="44" t="str">
        <f t="shared" si="49"/>
        <v>PASS</v>
      </c>
      <c r="R1457" s="44" t="s">
        <v>1587</v>
      </c>
      <c r="S1457" s="44"/>
    </row>
    <row r="1458" spans="1:19" x14ac:dyDescent="0.3">
      <c r="A1458" s="44" t="s">
        <v>2743</v>
      </c>
      <c r="B1458" s="44" t="s">
        <v>106</v>
      </c>
      <c r="C1458" s="44" t="s">
        <v>20</v>
      </c>
      <c r="D1458" s="44" t="s">
        <v>360</v>
      </c>
      <c r="E1458" s="44" t="s">
        <v>1381</v>
      </c>
      <c r="F1458" s="44" t="s">
        <v>360</v>
      </c>
      <c r="G1458" s="44" t="s">
        <v>1589</v>
      </c>
      <c r="H1458" s="44" t="s">
        <v>1113</v>
      </c>
      <c r="I1458" s="44" t="s">
        <v>1106</v>
      </c>
      <c r="J1458" s="44">
        <v>185</v>
      </c>
      <c r="K1458" s="44" t="s">
        <v>2051</v>
      </c>
      <c r="L1458" s="44"/>
      <c r="M1458" s="44" t="s">
        <v>2033</v>
      </c>
      <c r="N1458" s="45">
        <v>-28135419</v>
      </c>
      <c r="O1458" s="46">
        <f t="shared" si="48"/>
        <v>-28135.419000000002</v>
      </c>
      <c r="P1458" s="47">
        <f>MLCF!D85</f>
        <v>-28135.419000000002</v>
      </c>
      <c r="Q1458" s="44" t="str">
        <f t="shared" si="49"/>
        <v>PASS</v>
      </c>
      <c r="R1458" s="44" t="s">
        <v>1587</v>
      </c>
      <c r="S1458" s="44"/>
    </row>
    <row r="1459" spans="1:19" x14ac:dyDescent="0.3">
      <c r="A1459" s="44" t="s">
        <v>2744</v>
      </c>
      <c r="B1459" s="44" t="s">
        <v>106</v>
      </c>
      <c r="C1459" s="44" t="s">
        <v>26</v>
      </c>
      <c r="D1459" s="44" t="s">
        <v>360</v>
      </c>
      <c r="E1459" s="44" t="s">
        <v>1381</v>
      </c>
      <c r="F1459" s="44" t="s">
        <v>360</v>
      </c>
      <c r="G1459" s="44" t="s">
        <v>1592</v>
      </c>
      <c r="H1459" s="44" t="s">
        <v>1117</v>
      </c>
      <c r="I1459" s="44" t="s">
        <v>1106</v>
      </c>
      <c r="J1459" s="44">
        <v>99</v>
      </c>
      <c r="K1459" s="44" t="s">
        <v>2737</v>
      </c>
      <c r="L1459" s="44"/>
      <c r="M1459" s="44" t="s">
        <v>2033</v>
      </c>
      <c r="N1459" s="45">
        <v>-36244156</v>
      </c>
      <c r="O1459" s="46">
        <f t="shared" si="48"/>
        <v>-36244.156000000003</v>
      </c>
      <c r="P1459" s="47">
        <f>MLCF!E85</f>
        <v>-36244.156000000003</v>
      </c>
      <c r="Q1459" s="44" t="str">
        <f t="shared" si="49"/>
        <v>PASS</v>
      </c>
      <c r="R1459" s="44" t="s">
        <v>1587</v>
      </c>
      <c r="S1459" s="44"/>
    </row>
    <row r="1460" spans="1:19" x14ac:dyDescent="0.3">
      <c r="A1460" s="44" t="s">
        <v>2745</v>
      </c>
      <c r="B1460" s="44" t="s">
        <v>106</v>
      </c>
      <c r="C1460" s="44" t="s">
        <v>27</v>
      </c>
      <c r="D1460" s="44" t="s">
        <v>360</v>
      </c>
      <c r="E1460" s="44" t="s">
        <v>1381</v>
      </c>
      <c r="F1460" s="44" t="s">
        <v>360</v>
      </c>
      <c r="G1460" s="44" t="s">
        <v>1595</v>
      </c>
      <c r="H1460" s="44" t="s">
        <v>1120</v>
      </c>
      <c r="I1460" s="44" t="s">
        <v>1106</v>
      </c>
      <c r="J1460" s="44">
        <v>191</v>
      </c>
      <c r="K1460" s="44" t="s">
        <v>2739</v>
      </c>
      <c r="L1460" s="44"/>
      <c r="M1460" s="44" t="s">
        <v>2033</v>
      </c>
      <c r="N1460" s="45">
        <v>-43901906</v>
      </c>
      <c r="O1460" s="46">
        <f t="shared" si="48"/>
        <v>-43901.906000000003</v>
      </c>
      <c r="P1460" s="47">
        <f>MLCF!F85</f>
        <v>-43901.906000000003</v>
      </c>
      <c r="Q1460" s="44" t="str">
        <f t="shared" si="49"/>
        <v>PASS</v>
      </c>
      <c r="R1460" s="44" t="s">
        <v>1587</v>
      </c>
      <c r="S1460" s="44" t="s">
        <v>1114</v>
      </c>
    </row>
    <row r="1461" spans="1:19" x14ac:dyDescent="0.3">
      <c r="A1461" s="44" t="s">
        <v>2746</v>
      </c>
      <c r="B1461" s="44" t="s">
        <v>106</v>
      </c>
      <c r="C1461" s="44" t="s">
        <v>28</v>
      </c>
      <c r="D1461" s="44" t="s">
        <v>360</v>
      </c>
      <c r="E1461" s="44" t="s">
        <v>1381</v>
      </c>
      <c r="F1461" s="44" t="s">
        <v>360</v>
      </c>
      <c r="G1461" s="44" t="s">
        <v>1598</v>
      </c>
      <c r="H1461" s="44" t="s">
        <v>1124</v>
      </c>
      <c r="I1461" s="44" t="s">
        <v>1106</v>
      </c>
      <c r="J1461" s="44">
        <v>203</v>
      </c>
      <c r="K1461" s="44" t="s">
        <v>2741</v>
      </c>
      <c r="L1461" s="44"/>
      <c r="M1461" s="44" t="s">
        <v>2033</v>
      </c>
      <c r="N1461" s="45">
        <v>-45488064</v>
      </c>
      <c r="O1461" s="46">
        <f t="shared" si="48"/>
        <v>-45488.063999999998</v>
      </c>
      <c r="P1461" s="47">
        <f>MLCF!G85</f>
        <v>-45488.063999999998</v>
      </c>
      <c r="Q1461" s="44" t="str">
        <f t="shared" si="49"/>
        <v>PASS</v>
      </c>
      <c r="R1461" s="44" t="s">
        <v>1587</v>
      </c>
      <c r="S1461" s="44"/>
    </row>
    <row r="1462" spans="1:19" x14ac:dyDescent="0.3">
      <c r="A1462" s="44" t="s">
        <v>2747</v>
      </c>
      <c r="B1462" s="44" t="s">
        <v>106</v>
      </c>
      <c r="C1462" s="44" t="s">
        <v>29</v>
      </c>
      <c r="D1462" s="44" t="s">
        <v>360</v>
      </c>
      <c r="E1462" s="44" t="s">
        <v>1381</v>
      </c>
      <c r="F1462" s="44" t="s">
        <v>360</v>
      </c>
      <c r="G1462" s="44" t="s">
        <v>1598</v>
      </c>
      <c r="H1462" s="44" t="s">
        <v>1124</v>
      </c>
      <c r="I1462" s="44" t="s">
        <v>1127</v>
      </c>
      <c r="J1462" s="44">
        <v>203</v>
      </c>
      <c r="K1462" s="44" t="s">
        <v>2741</v>
      </c>
      <c r="L1462" s="44"/>
      <c r="M1462" s="44" t="s">
        <v>2033</v>
      </c>
      <c r="N1462" s="45">
        <v>-45195630</v>
      </c>
      <c r="O1462" s="46">
        <f t="shared" si="48"/>
        <v>-45195.63</v>
      </c>
      <c r="P1462" s="47">
        <f>MLCF!H85</f>
        <v>-45195.63</v>
      </c>
      <c r="Q1462" s="44" t="str">
        <f t="shared" si="49"/>
        <v>PASS</v>
      </c>
      <c r="R1462" s="44" t="s">
        <v>1587</v>
      </c>
      <c r="S1462" s="44"/>
    </row>
    <row r="1463" spans="1:19" x14ac:dyDescent="0.3">
      <c r="A1463" s="44" t="s">
        <v>2748</v>
      </c>
      <c r="B1463" s="44" t="s">
        <v>106</v>
      </c>
      <c r="C1463" s="44" t="s">
        <v>20</v>
      </c>
      <c r="D1463" s="44" t="s">
        <v>364</v>
      </c>
      <c r="E1463" s="44" t="s">
        <v>1381</v>
      </c>
      <c r="F1463" s="44" t="s">
        <v>1856</v>
      </c>
      <c r="G1463" s="44" t="s">
        <v>1589</v>
      </c>
      <c r="H1463" s="44" t="s">
        <v>1113</v>
      </c>
      <c r="I1463" s="44" t="s">
        <v>1106</v>
      </c>
      <c r="J1463" s="44">
        <v>185</v>
      </c>
      <c r="K1463" s="44" t="s">
        <v>2051</v>
      </c>
      <c r="L1463" s="44"/>
      <c r="M1463" s="44" t="s">
        <v>2033</v>
      </c>
      <c r="N1463" s="45">
        <v>-1013852</v>
      </c>
      <c r="O1463" s="46">
        <f t="shared" si="48"/>
        <v>-1013.852</v>
      </c>
      <c r="P1463" s="47">
        <f>MLCF!D87</f>
        <v>-1013.852</v>
      </c>
      <c r="Q1463" s="44" t="str">
        <f t="shared" si="49"/>
        <v>PASS</v>
      </c>
      <c r="R1463" s="44" t="s">
        <v>1587</v>
      </c>
      <c r="S1463" s="44" t="s">
        <v>1114</v>
      </c>
    </row>
    <row r="1464" spans="1:19" x14ac:dyDescent="0.3">
      <c r="A1464" s="44" t="s">
        <v>2749</v>
      </c>
      <c r="B1464" s="44" t="s">
        <v>106</v>
      </c>
      <c r="C1464" s="44" t="s">
        <v>26</v>
      </c>
      <c r="D1464" s="44" t="s">
        <v>364</v>
      </c>
      <c r="E1464" s="44" t="s">
        <v>1381</v>
      </c>
      <c r="F1464" s="44" t="s">
        <v>1856</v>
      </c>
      <c r="G1464" s="44" t="s">
        <v>1592</v>
      </c>
      <c r="H1464" s="44" t="s">
        <v>1117</v>
      </c>
      <c r="I1464" s="44" t="s">
        <v>1106</v>
      </c>
      <c r="J1464" s="44">
        <v>99</v>
      </c>
      <c r="K1464" s="44" t="s">
        <v>2737</v>
      </c>
      <c r="L1464" s="44"/>
      <c r="M1464" s="44" t="s">
        <v>2033</v>
      </c>
      <c r="N1464" s="45">
        <v>-1483876</v>
      </c>
      <c r="O1464" s="46">
        <f t="shared" si="48"/>
        <v>-1483.876</v>
      </c>
      <c r="P1464" s="47">
        <f>MLCF!E87</f>
        <v>-1483.876</v>
      </c>
      <c r="Q1464" s="44" t="str">
        <f t="shared" si="49"/>
        <v>PASS</v>
      </c>
      <c r="R1464" s="44" t="s">
        <v>1587</v>
      </c>
      <c r="S1464" s="44"/>
    </row>
    <row r="1465" spans="1:19" x14ac:dyDescent="0.3">
      <c r="A1465" s="44" t="s">
        <v>2750</v>
      </c>
      <c r="B1465" s="44" t="s">
        <v>106</v>
      </c>
      <c r="C1465" s="44" t="s">
        <v>27</v>
      </c>
      <c r="D1465" s="44" t="s">
        <v>364</v>
      </c>
      <c r="E1465" s="44" t="s">
        <v>1381</v>
      </c>
      <c r="F1465" s="44" t="s">
        <v>364</v>
      </c>
      <c r="G1465" s="44" t="s">
        <v>1595</v>
      </c>
      <c r="H1465" s="44" t="s">
        <v>1120</v>
      </c>
      <c r="I1465" s="44" t="s">
        <v>1106</v>
      </c>
      <c r="J1465" s="44">
        <v>191</v>
      </c>
      <c r="K1465" s="44" t="s">
        <v>2739</v>
      </c>
      <c r="L1465" s="44"/>
      <c r="M1465" s="44" t="s">
        <v>2033</v>
      </c>
      <c r="N1465" s="45">
        <v>-3751096</v>
      </c>
      <c r="O1465" s="46">
        <f t="shared" si="48"/>
        <v>-3751.096</v>
      </c>
      <c r="P1465" s="47">
        <f>MLCF!F87</f>
        <v>-3751.096</v>
      </c>
      <c r="Q1465" s="44" t="str">
        <f t="shared" si="49"/>
        <v>PASS</v>
      </c>
      <c r="R1465" s="44" t="s">
        <v>1587</v>
      </c>
      <c r="S1465" s="44" t="s">
        <v>1114</v>
      </c>
    </row>
    <row r="1466" spans="1:19" x14ac:dyDescent="0.3">
      <c r="A1466" s="44" t="s">
        <v>2751</v>
      </c>
      <c r="B1466" s="44" t="s">
        <v>106</v>
      </c>
      <c r="C1466" s="44" t="s">
        <v>28</v>
      </c>
      <c r="D1466" s="44" t="s">
        <v>364</v>
      </c>
      <c r="E1466" s="44" t="s">
        <v>1381</v>
      </c>
      <c r="F1466" s="44" t="s">
        <v>364</v>
      </c>
      <c r="G1466" s="44" t="s">
        <v>1598</v>
      </c>
      <c r="H1466" s="44" t="s">
        <v>1124</v>
      </c>
      <c r="I1466" s="44" t="s">
        <v>1106</v>
      </c>
      <c r="J1466" s="44">
        <v>203</v>
      </c>
      <c r="K1466" s="44" t="s">
        <v>2741</v>
      </c>
      <c r="L1466" s="44"/>
      <c r="M1466" s="44" t="s">
        <v>2033</v>
      </c>
      <c r="N1466" s="45">
        <v>-5471808</v>
      </c>
      <c r="O1466" s="46">
        <f t="shared" si="48"/>
        <v>-5471.808</v>
      </c>
      <c r="P1466" s="47">
        <f>MLCF!G87</f>
        <v>-5471.808</v>
      </c>
      <c r="Q1466" s="44" t="str">
        <f t="shared" si="49"/>
        <v>PASS</v>
      </c>
      <c r="R1466" s="44" t="s">
        <v>1587</v>
      </c>
      <c r="S1466" s="44"/>
    </row>
    <row r="1467" spans="1:19" x14ac:dyDescent="0.3">
      <c r="A1467" s="44" t="s">
        <v>2752</v>
      </c>
      <c r="B1467" s="44" t="s">
        <v>106</v>
      </c>
      <c r="C1467" s="44" t="s">
        <v>29</v>
      </c>
      <c r="D1467" s="44" t="s">
        <v>364</v>
      </c>
      <c r="E1467" s="44" t="s">
        <v>1381</v>
      </c>
      <c r="F1467" s="44" t="s">
        <v>364</v>
      </c>
      <c r="G1467" s="44" t="s">
        <v>1598</v>
      </c>
      <c r="H1467" s="44" t="s">
        <v>1124</v>
      </c>
      <c r="I1467" s="44" t="s">
        <v>1127</v>
      </c>
      <c r="J1467" s="44">
        <v>203</v>
      </c>
      <c r="K1467" s="44" t="s">
        <v>2741</v>
      </c>
      <c r="L1467" s="44"/>
      <c r="M1467" s="44" t="s">
        <v>2033</v>
      </c>
      <c r="N1467" s="45">
        <v>-4123754</v>
      </c>
      <c r="O1467" s="46">
        <f t="shared" si="48"/>
        <v>-4123.7539999999999</v>
      </c>
      <c r="P1467" s="47">
        <f>MLCF!H87</f>
        <v>-4123.7539999999999</v>
      </c>
      <c r="Q1467" s="44" t="str">
        <f t="shared" si="49"/>
        <v>PASS</v>
      </c>
      <c r="R1467" s="44" t="s">
        <v>1587</v>
      </c>
      <c r="S1467" s="44"/>
    </row>
    <row r="1468" spans="1:19" x14ac:dyDescent="0.3">
      <c r="A1468" s="44" t="s">
        <v>2753</v>
      </c>
      <c r="B1468" s="44" t="s">
        <v>106</v>
      </c>
      <c r="C1468" s="44" t="s">
        <v>20</v>
      </c>
      <c r="D1468" s="44" t="s">
        <v>366</v>
      </c>
      <c r="E1468" s="44" t="s">
        <v>1381</v>
      </c>
      <c r="F1468" s="44" t="s">
        <v>366</v>
      </c>
      <c r="G1468" s="44" t="s">
        <v>1589</v>
      </c>
      <c r="H1468" s="44" t="s">
        <v>1113</v>
      </c>
      <c r="I1468" s="44" t="s">
        <v>1106</v>
      </c>
      <c r="J1468" s="44">
        <v>185</v>
      </c>
      <c r="K1468" s="44" t="s">
        <v>2051</v>
      </c>
      <c r="L1468" s="44"/>
      <c r="M1468" s="44" t="s">
        <v>2033</v>
      </c>
      <c r="N1468" s="45">
        <v>-813489</v>
      </c>
      <c r="O1468" s="46">
        <f t="shared" si="48"/>
        <v>-813.48900000000003</v>
      </c>
      <c r="P1468" s="47">
        <f>MLCF!D88</f>
        <v>-813.48900000000003</v>
      </c>
      <c r="Q1468" s="44" t="str">
        <f t="shared" si="49"/>
        <v>PASS</v>
      </c>
      <c r="R1468" s="44" t="s">
        <v>1587</v>
      </c>
      <c r="S1468" s="44" t="s">
        <v>1114</v>
      </c>
    </row>
    <row r="1469" spans="1:19" x14ac:dyDescent="0.3">
      <c r="A1469" s="44" t="s">
        <v>2754</v>
      </c>
      <c r="B1469" s="44" t="s">
        <v>106</v>
      </c>
      <c r="C1469" s="44" t="s">
        <v>26</v>
      </c>
      <c r="D1469" s="44" t="s">
        <v>366</v>
      </c>
      <c r="E1469" s="44" t="s">
        <v>1381</v>
      </c>
      <c r="F1469" s="44" t="s">
        <v>366</v>
      </c>
      <c r="G1469" s="44" t="s">
        <v>1592</v>
      </c>
      <c r="H1469" s="44" t="s">
        <v>1117</v>
      </c>
      <c r="I1469" s="44" t="s">
        <v>1106</v>
      </c>
      <c r="J1469" s="44">
        <v>99</v>
      </c>
      <c r="K1469" s="44" t="s">
        <v>2737</v>
      </c>
      <c r="L1469" s="44"/>
      <c r="M1469" s="44" t="s">
        <v>2033</v>
      </c>
      <c r="N1469" s="45">
        <v>-971453</v>
      </c>
      <c r="O1469" s="46">
        <f t="shared" si="48"/>
        <v>-971.45299999999997</v>
      </c>
      <c r="P1469" s="47">
        <f>MLCF!E88</f>
        <v>-971.45299999999997</v>
      </c>
      <c r="Q1469" s="44" t="str">
        <f t="shared" si="49"/>
        <v>PASS</v>
      </c>
      <c r="R1469" s="44" t="s">
        <v>1587</v>
      </c>
      <c r="S1469" s="44"/>
    </row>
    <row r="1470" spans="1:19" x14ac:dyDescent="0.3">
      <c r="A1470" s="44" t="s">
        <v>2755</v>
      </c>
      <c r="B1470" s="44" t="s">
        <v>106</v>
      </c>
      <c r="C1470" s="44" t="s">
        <v>27</v>
      </c>
      <c r="D1470" s="44" t="s">
        <v>366</v>
      </c>
      <c r="E1470" s="44" t="s">
        <v>1381</v>
      </c>
      <c r="F1470" s="44" t="s">
        <v>366</v>
      </c>
      <c r="G1470" s="44" t="s">
        <v>1595</v>
      </c>
      <c r="H1470" s="44" t="s">
        <v>1120</v>
      </c>
      <c r="I1470" s="44" t="s">
        <v>1106</v>
      </c>
      <c r="J1470" s="44">
        <v>191</v>
      </c>
      <c r="K1470" s="44" t="s">
        <v>2739</v>
      </c>
      <c r="L1470" s="44"/>
      <c r="M1470" s="44" t="s">
        <v>2033</v>
      </c>
      <c r="N1470" s="45">
        <v>-1380607</v>
      </c>
      <c r="O1470" s="46">
        <f t="shared" si="48"/>
        <v>-1380.607</v>
      </c>
      <c r="P1470" s="47">
        <f>MLCF!F88</f>
        <v>-1380.607</v>
      </c>
      <c r="Q1470" s="44" t="str">
        <f t="shared" si="49"/>
        <v>PASS</v>
      </c>
      <c r="R1470" s="44" t="s">
        <v>1587</v>
      </c>
      <c r="S1470" s="44"/>
    </row>
    <row r="1471" spans="1:19" x14ac:dyDescent="0.3">
      <c r="A1471" s="44" t="s">
        <v>2756</v>
      </c>
      <c r="B1471" s="44" t="s">
        <v>106</v>
      </c>
      <c r="C1471" s="44" t="s">
        <v>28</v>
      </c>
      <c r="D1471" s="44" t="s">
        <v>366</v>
      </c>
      <c r="E1471" s="44" t="s">
        <v>1381</v>
      </c>
      <c r="F1471" s="44" t="s">
        <v>366</v>
      </c>
      <c r="G1471" s="44" t="s">
        <v>1598</v>
      </c>
      <c r="H1471" s="44" t="s">
        <v>1124</v>
      </c>
      <c r="I1471" s="44" t="s">
        <v>1106</v>
      </c>
      <c r="J1471" s="44">
        <v>203</v>
      </c>
      <c r="K1471" s="44" t="s">
        <v>2741</v>
      </c>
      <c r="L1471" s="44"/>
      <c r="M1471" s="44" t="s">
        <v>2033</v>
      </c>
      <c r="N1471" s="45">
        <v>-1852148</v>
      </c>
      <c r="O1471" s="46">
        <f t="shared" si="48"/>
        <v>-1852.1479999999999</v>
      </c>
      <c r="P1471" s="47">
        <f>MLCF!G88</f>
        <v>-1852.1479999999999</v>
      </c>
      <c r="Q1471" s="44" t="str">
        <f t="shared" si="49"/>
        <v>PASS</v>
      </c>
      <c r="R1471" s="44" t="s">
        <v>1587</v>
      </c>
      <c r="S1471" s="44"/>
    </row>
    <row r="1472" spans="1:19" x14ac:dyDescent="0.3">
      <c r="A1472" s="44" t="s">
        <v>2757</v>
      </c>
      <c r="B1472" s="44" t="s">
        <v>106</v>
      </c>
      <c r="C1472" s="44" t="s">
        <v>29</v>
      </c>
      <c r="D1472" s="44" t="s">
        <v>366</v>
      </c>
      <c r="E1472" s="44" t="s">
        <v>1381</v>
      </c>
      <c r="F1472" s="44" t="s">
        <v>366</v>
      </c>
      <c r="G1472" s="44" t="s">
        <v>1598</v>
      </c>
      <c r="H1472" s="44" t="s">
        <v>1124</v>
      </c>
      <c r="I1472" s="44" t="s">
        <v>1127</v>
      </c>
      <c r="J1472" s="44">
        <v>203</v>
      </c>
      <c r="K1472" s="44" t="s">
        <v>2741</v>
      </c>
      <c r="L1472" s="44"/>
      <c r="M1472" s="44" t="s">
        <v>2033</v>
      </c>
      <c r="N1472" s="45">
        <v>-2176320</v>
      </c>
      <c r="O1472" s="46">
        <f t="shared" si="48"/>
        <v>-2176.3200000000002</v>
      </c>
      <c r="P1472" s="47">
        <f>MLCF!H88</f>
        <v>-2176.3200000000002</v>
      </c>
      <c r="Q1472" s="44" t="str">
        <f t="shared" si="49"/>
        <v>PASS</v>
      </c>
      <c r="R1472" s="44" t="s">
        <v>1587</v>
      </c>
      <c r="S1472" s="44"/>
    </row>
    <row r="1473" spans="1:19" x14ac:dyDescent="0.3">
      <c r="A1473" s="44" t="s">
        <v>2758</v>
      </c>
      <c r="B1473" s="44" t="s">
        <v>106</v>
      </c>
      <c r="C1473" s="44" t="s">
        <v>20</v>
      </c>
      <c r="D1473" s="44" t="s">
        <v>368</v>
      </c>
      <c r="E1473" s="44" t="s">
        <v>1381</v>
      </c>
      <c r="F1473" s="44"/>
      <c r="G1473" s="44" t="s">
        <v>1589</v>
      </c>
      <c r="H1473" s="44" t="s">
        <v>1113</v>
      </c>
      <c r="I1473" s="44" t="s">
        <v>1106</v>
      </c>
      <c r="J1473" s="44">
        <v>185</v>
      </c>
      <c r="K1473" s="44" t="s">
        <v>2051</v>
      </c>
      <c r="L1473" s="44"/>
      <c r="M1473" s="44" t="s">
        <v>2033</v>
      </c>
      <c r="N1473" s="45">
        <v>0</v>
      </c>
      <c r="O1473" s="46">
        <f t="shared" si="48"/>
        <v>0</v>
      </c>
      <c r="P1473" s="47">
        <f>MLCF!D89</f>
        <v>0</v>
      </c>
      <c r="Q1473" s="44" t="str">
        <f t="shared" si="49"/>
        <v>PASS</v>
      </c>
      <c r="R1473" s="44" t="s">
        <v>1587</v>
      </c>
      <c r="S1473" s="44"/>
    </row>
    <row r="1474" spans="1:19" x14ac:dyDescent="0.3">
      <c r="A1474" s="44" t="s">
        <v>2759</v>
      </c>
      <c r="B1474" s="44" t="s">
        <v>106</v>
      </c>
      <c r="C1474" s="44" t="s">
        <v>26</v>
      </c>
      <c r="D1474" s="44" t="s">
        <v>368</v>
      </c>
      <c r="E1474" s="44" t="s">
        <v>1381</v>
      </c>
      <c r="F1474" s="44" t="s">
        <v>2316</v>
      </c>
      <c r="G1474" s="44" t="s">
        <v>1592</v>
      </c>
      <c r="H1474" s="44" t="s">
        <v>1117</v>
      </c>
      <c r="I1474" s="44" t="s">
        <v>1106</v>
      </c>
      <c r="J1474" s="44">
        <v>99</v>
      </c>
      <c r="K1474" s="44" t="s">
        <v>2737</v>
      </c>
      <c r="L1474" s="44"/>
      <c r="M1474" s="44" t="s">
        <v>2033</v>
      </c>
      <c r="N1474" s="45">
        <v>-209920</v>
      </c>
      <c r="O1474" s="46">
        <f t="shared" si="48"/>
        <v>-209.92</v>
      </c>
      <c r="P1474" s="47">
        <f>MLCF!E89</f>
        <v>-209.92</v>
      </c>
      <c r="Q1474" s="44" t="str">
        <f t="shared" si="49"/>
        <v>PASS</v>
      </c>
      <c r="R1474" s="44" t="s">
        <v>1587</v>
      </c>
      <c r="S1474" s="44"/>
    </row>
    <row r="1475" spans="1:19" x14ac:dyDescent="0.3">
      <c r="A1475" s="44" t="s">
        <v>2760</v>
      </c>
      <c r="B1475" s="44" t="s">
        <v>106</v>
      </c>
      <c r="C1475" s="44" t="s">
        <v>27</v>
      </c>
      <c r="D1475" s="44" t="s">
        <v>368</v>
      </c>
      <c r="E1475" s="44" t="s">
        <v>1381</v>
      </c>
      <c r="F1475" s="44" t="s">
        <v>2316</v>
      </c>
      <c r="G1475" s="44" t="s">
        <v>1595</v>
      </c>
      <c r="H1475" s="44" t="s">
        <v>1120</v>
      </c>
      <c r="I1475" s="44" t="s">
        <v>1106</v>
      </c>
      <c r="J1475" s="44">
        <v>191</v>
      </c>
      <c r="K1475" s="44" t="s">
        <v>2739</v>
      </c>
      <c r="L1475" s="44"/>
      <c r="M1475" s="44" t="s">
        <v>2033</v>
      </c>
      <c r="N1475" s="45">
        <v>-191421</v>
      </c>
      <c r="O1475" s="46">
        <f t="shared" si="48"/>
        <v>-191.42099999999999</v>
      </c>
      <c r="P1475" s="47">
        <f>MLCF!F89</f>
        <v>-191.42099999999999</v>
      </c>
      <c r="Q1475" s="44" t="str">
        <f t="shared" si="49"/>
        <v>PASS</v>
      </c>
      <c r="R1475" s="44" t="s">
        <v>1587</v>
      </c>
      <c r="S1475" s="44"/>
    </row>
    <row r="1476" spans="1:19" x14ac:dyDescent="0.3">
      <c r="A1476" s="44" t="s">
        <v>2761</v>
      </c>
      <c r="B1476" s="44" t="s">
        <v>106</v>
      </c>
      <c r="C1476" s="44" t="s">
        <v>28</v>
      </c>
      <c r="D1476" s="44" t="s">
        <v>368</v>
      </c>
      <c r="E1476" s="44" t="s">
        <v>1381</v>
      </c>
      <c r="F1476" s="44" t="s">
        <v>2316</v>
      </c>
      <c r="G1476" s="44" t="s">
        <v>1598</v>
      </c>
      <c r="H1476" s="44" t="s">
        <v>1124</v>
      </c>
      <c r="I1476" s="44" t="s">
        <v>1106</v>
      </c>
      <c r="J1476" s="44">
        <v>203</v>
      </c>
      <c r="K1476" s="44" t="s">
        <v>2741</v>
      </c>
      <c r="L1476" s="44"/>
      <c r="M1476" s="44" t="s">
        <v>2033</v>
      </c>
      <c r="N1476" s="45">
        <v>-357191</v>
      </c>
      <c r="O1476" s="46">
        <f t="shared" si="48"/>
        <v>-357.19099999999997</v>
      </c>
      <c r="P1476" s="47">
        <f>MLCF!G89</f>
        <v>-357.19099999999997</v>
      </c>
      <c r="Q1476" s="44" t="str">
        <f t="shared" si="49"/>
        <v>PASS</v>
      </c>
      <c r="R1476" s="44" t="s">
        <v>1587</v>
      </c>
      <c r="S1476" s="44"/>
    </row>
    <row r="1477" spans="1:19" x14ac:dyDescent="0.3">
      <c r="A1477" s="44" t="s">
        <v>2762</v>
      </c>
      <c r="B1477" s="44" t="s">
        <v>106</v>
      </c>
      <c r="C1477" s="44" t="s">
        <v>29</v>
      </c>
      <c r="D1477" s="44" t="s">
        <v>368</v>
      </c>
      <c r="E1477" s="44" t="s">
        <v>1381</v>
      </c>
      <c r="F1477" s="44" t="s">
        <v>2316</v>
      </c>
      <c r="G1477" s="44" t="s">
        <v>1598</v>
      </c>
      <c r="H1477" s="44" t="s">
        <v>1124</v>
      </c>
      <c r="I1477" s="44" t="s">
        <v>1127</v>
      </c>
      <c r="J1477" s="44">
        <v>203</v>
      </c>
      <c r="K1477" s="44" t="s">
        <v>2741</v>
      </c>
      <c r="L1477" s="44"/>
      <c r="M1477" s="44" t="s">
        <v>2033</v>
      </c>
      <c r="N1477" s="45">
        <v>-514430</v>
      </c>
      <c r="O1477" s="46">
        <f t="shared" si="48"/>
        <v>-514.42999999999995</v>
      </c>
      <c r="P1477" s="47">
        <f>MLCF!H89</f>
        <v>-514.42999999999995</v>
      </c>
      <c r="Q1477" s="44" t="str">
        <f t="shared" si="49"/>
        <v>PASS</v>
      </c>
      <c r="R1477" s="44" t="s">
        <v>1587</v>
      </c>
      <c r="S1477" s="44"/>
    </row>
    <row r="1478" spans="1:19" x14ac:dyDescent="0.3">
      <c r="A1478" s="44" t="s">
        <v>2763</v>
      </c>
      <c r="B1478" s="44" t="s">
        <v>106</v>
      </c>
      <c r="C1478" s="44" t="s">
        <v>20</v>
      </c>
      <c r="D1478" s="44" t="s">
        <v>370</v>
      </c>
      <c r="E1478" s="44" t="s">
        <v>1381</v>
      </c>
      <c r="F1478" s="44" t="s">
        <v>2764</v>
      </c>
      <c r="G1478" s="44" t="s">
        <v>1589</v>
      </c>
      <c r="H1478" s="44" t="s">
        <v>1113</v>
      </c>
      <c r="I1478" s="44" t="s">
        <v>1106</v>
      </c>
      <c r="J1478" s="44">
        <v>185</v>
      </c>
      <c r="K1478" s="44" t="s">
        <v>2051</v>
      </c>
      <c r="L1478" s="44"/>
      <c r="M1478" s="44" t="s">
        <v>2033</v>
      </c>
      <c r="N1478" s="45">
        <v>-524142</v>
      </c>
      <c r="O1478" s="46">
        <f t="shared" si="48"/>
        <v>-524.14200000000005</v>
      </c>
      <c r="P1478" s="47">
        <f>MLCF!D90</f>
        <v>-524.14200000000005</v>
      </c>
      <c r="Q1478" s="44" t="str">
        <f t="shared" si="49"/>
        <v>PASS</v>
      </c>
      <c r="R1478" s="44" t="s">
        <v>1587</v>
      </c>
      <c r="S1478" s="44" t="s">
        <v>1114</v>
      </c>
    </row>
    <row r="1479" spans="1:19" x14ac:dyDescent="0.3">
      <c r="A1479" s="44" t="s">
        <v>2765</v>
      </c>
      <c r="B1479" s="44" t="s">
        <v>106</v>
      </c>
      <c r="C1479" s="44" t="s">
        <v>26</v>
      </c>
      <c r="D1479" s="44" t="s">
        <v>370</v>
      </c>
      <c r="E1479" s="44" t="s">
        <v>1381</v>
      </c>
      <c r="F1479" s="44" t="s">
        <v>2764</v>
      </c>
      <c r="G1479" s="44" t="s">
        <v>1592</v>
      </c>
      <c r="H1479" s="44" t="s">
        <v>1117</v>
      </c>
      <c r="I1479" s="44" t="s">
        <v>1106</v>
      </c>
      <c r="J1479" s="44">
        <v>99</v>
      </c>
      <c r="K1479" s="44" t="s">
        <v>2737</v>
      </c>
      <c r="L1479" s="44"/>
      <c r="M1479" s="44" t="s">
        <v>2033</v>
      </c>
      <c r="N1479" s="45">
        <v>-742280</v>
      </c>
      <c r="O1479" s="46">
        <f t="shared" si="48"/>
        <v>-742.28</v>
      </c>
      <c r="P1479" s="47">
        <f>MLCF!E90</f>
        <v>-742.28</v>
      </c>
      <c r="Q1479" s="44" t="str">
        <f t="shared" si="49"/>
        <v>PASS</v>
      </c>
      <c r="R1479" s="44" t="s">
        <v>1587</v>
      </c>
      <c r="S1479" s="44" t="s">
        <v>1114</v>
      </c>
    </row>
    <row r="1480" spans="1:19" x14ac:dyDescent="0.3">
      <c r="A1480" s="44" t="s">
        <v>2766</v>
      </c>
      <c r="B1480" s="44" t="s">
        <v>106</v>
      </c>
      <c r="C1480" s="44" t="s">
        <v>27</v>
      </c>
      <c r="D1480" s="44" t="s">
        <v>370</v>
      </c>
      <c r="E1480" s="44" t="s">
        <v>1381</v>
      </c>
      <c r="F1480" s="44" t="s">
        <v>1411</v>
      </c>
      <c r="G1480" s="44" t="s">
        <v>1595</v>
      </c>
      <c r="H1480" s="44" t="s">
        <v>1120</v>
      </c>
      <c r="I1480" s="44" t="s">
        <v>1106</v>
      </c>
      <c r="J1480" s="44">
        <v>191</v>
      </c>
      <c r="K1480" s="44" t="s">
        <v>2739</v>
      </c>
      <c r="L1480" s="44"/>
      <c r="M1480" s="44" t="s">
        <v>2033</v>
      </c>
      <c r="N1480" s="45">
        <v>-995460</v>
      </c>
      <c r="O1480" s="46">
        <f t="shared" si="48"/>
        <v>-995.46</v>
      </c>
      <c r="P1480" s="47">
        <f>MLCF!F90</f>
        <v>-995.46</v>
      </c>
      <c r="Q1480" s="44" t="str">
        <f t="shared" si="49"/>
        <v>PASS</v>
      </c>
      <c r="R1480" s="44" t="s">
        <v>1587</v>
      </c>
      <c r="S1480" s="44"/>
    </row>
    <row r="1481" spans="1:19" x14ac:dyDescent="0.3">
      <c r="A1481" s="44" t="s">
        <v>2767</v>
      </c>
      <c r="B1481" s="44" t="s">
        <v>106</v>
      </c>
      <c r="C1481" s="44" t="s">
        <v>28</v>
      </c>
      <c r="D1481" s="44" t="s">
        <v>370</v>
      </c>
      <c r="E1481" s="44" t="s">
        <v>1381</v>
      </c>
      <c r="F1481" s="44" t="s">
        <v>1411</v>
      </c>
      <c r="G1481" s="44" t="s">
        <v>1598</v>
      </c>
      <c r="H1481" s="44" t="s">
        <v>1124</v>
      </c>
      <c r="I1481" s="44" t="s">
        <v>1106</v>
      </c>
      <c r="J1481" s="44">
        <v>203</v>
      </c>
      <c r="K1481" s="44" t="s">
        <v>2741</v>
      </c>
      <c r="L1481" s="44"/>
      <c r="M1481" s="44" t="s">
        <v>2033</v>
      </c>
      <c r="N1481" s="45">
        <v>-569545</v>
      </c>
      <c r="O1481" s="46">
        <f t="shared" si="48"/>
        <v>-569.54499999999996</v>
      </c>
      <c r="P1481" s="47">
        <f>MLCF!G90</f>
        <v>-569.54499999999996</v>
      </c>
      <c r="Q1481" s="44" t="str">
        <f t="shared" si="49"/>
        <v>PASS</v>
      </c>
      <c r="R1481" s="44" t="s">
        <v>1587</v>
      </c>
      <c r="S1481" s="44"/>
    </row>
    <row r="1482" spans="1:19" x14ac:dyDescent="0.3">
      <c r="A1482" s="44" t="s">
        <v>2768</v>
      </c>
      <c r="B1482" s="44" t="s">
        <v>106</v>
      </c>
      <c r="C1482" s="44" t="s">
        <v>29</v>
      </c>
      <c r="D1482" s="44" t="s">
        <v>370</v>
      </c>
      <c r="E1482" s="44" t="s">
        <v>1381</v>
      </c>
      <c r="F1482" s="44" t="s">
        <v>1411</v>
      </c>
      <c r="G1482" s="44" t="s">
        <v>1598</v>
      </c>
      <c r="H1482" s="44" t="s">
        <v>1124</v>
      </c>
      <c r="I1482" s="44" t="s">
        <v>1127</v>
      </c>
      <c r="J1482" s="44">
        <v>203</v>
      </c>
      <c r="K1482" s="44" t="s">
        <v>2741</v>
      </c>
      <c r="L1482" s="44"/>
      <c r="M1482" s="44" t="s">
        <v>2033</v>
      </c>
      <c r="N1482" s="45">
        <v>-1207018</v>
      </c>
      <c r="O1482" s="46">
        <f t="shared" si="48"/>
        <v>-1207.018</v>
      </c>
      <c r="P1482" s="47">
        <f>MLCF!H90</f>
        <v>-1207.018</v>
      </c>
      <c r="Q1482" s="44" t="str">
        <f t="shared" si="49"/>
        <v>PASS</v>
      </c>
      <c r="R1482" s="44" t="s">
        <v>1587</v>
      </c>
      <c r="S1482" s="44"/>
    </row>
    <row r="1483" spans="1:19" x14ac:dyDescent="0.3">
      <c r="A1483" s="44" t="s">
        <v>2769</v>
      </c>
      <c r="B1483" s="44" t="s">
        <v>106</v>
      </c>
      <c r="C1483" s="44" t="s">
        <v>20</v>
      </c>
      <c r="D1483" s="44" t="s">
        <v>374</v>
      </c>
      <c r="E1483" s="44" t="s">
        <v>1381</v>
      </c>
      <c r="F1483" s="44" t="s">
        <v>374</v>
      </c>
      <c r="G1483" s="44" t="s">
        <v>1589</v>
      </c>
      <c r="H1483" s="44" t="s">
        <v>1113</v>
      </c>
      <c r="I1483" s="44" t="s">
        <v>1106</v>
      </c>
      <c r="J1483" s="44">
        <v>185</v>
      </c>
      <c r="K1483" s="44" t="s">
        <v>2051</v>
      </c>
      <c r="L1483" s="44"/>
      <c r="M1483" s="44" t="s">
        <v>2033</v>
      </c>
      <c r="N1483" s="45">
        <v>3732132</v>
      </c>
      <c r="O1483" s="46">
        <f t="shared" si="48"/>
        <v>3732.1320000000001</v>
      </c>
      <c r="P1483" s="47">
        <f>MLCF!D92</f>
        <v>3732.1320000000001</v>
      </c>
      <c r="Q1483" s="44" t="str">
        <f t="shared" si="49"/>
        <v>PASS</v>
      </c>
      <c r="R1483" s="44" t="s">
        <v>1587</v>
      </c>
      <c r="S1483" s="44"/>
    </row>
    <row r="1484" spans="1:19" x14ac:dyDescent="0.3">
      <c r="A1484" s="44" t="s">
        <v>2770</v>
      </c>
      <c r="B1484" s="44" t="s">
        <v>106</v>
      </c>
      <c r="C1484" s="44" t="s">
        <v>26</v>
      </c>
      <c r="D1484" s="44" t="s">
        <v>374</v>
      </c>
      <c r="E1484" s="44" t="s">
        <v>1381</v>
      </c>
      <c r="F1484" s="44" t="s">
        <v>374</v>
      </c>
      <c r="G1484" s="44" t="s">
        <v>1592</v>
      </c>
      <c r="H1484" s="44" t="s">
        <v>1117</v>
      </c>
      <c r="I1484" s="44" t="s">
        <v>1106</v>
      </c>
      <c r="J1484" s="44">
        <v>99</v>
      </c>
      <c r="K1484" s="44" t="s">
        <v>2737</v>
      </c>
      <c r="L1484" s="44"/>
      <c r="M1484" s="44" t="s">
        <v>2033</v>
      </c>
      <c r="N1484" s="45">
        <v>56601</v>
      </c>
      <c r="O1484" s="46">
        <f t="shared" si="48"/>
        <v>56.600999999999999</v>
      </c>
      <c r="P1484" s="47">
        <f>MLCF!E92</f>
        <v>56.600999999999999</v>
      </c>
      <c r="Q1484" s="44" t="str">
        <f t="shared" si="49"/>
        <v>PASS</v>
      </c>
      <c r="R1484" s="44" t="s">
        <v>1587</v>
      </c>
      <c r="S1484" s="44"/>
    </row>
    <row r="1485" spans="1:19" x14ac:dyDescent="0.3">
      <c r="A1485" s="44" t="s">
        <v>2771</v>
      </c>
      <c r="B1485" s="44" t="s">
        <v>106</v>
      </c>
      <c r="C1485" s="44" t="s">
        <v>27</v>
      </c>
      <c r="D1485" s="44" t="s">
        <v>374</v>
      </c>
      <c r="E1485" s="44" t="s">
        <v>1381</v>
      </c>
      <c r="F1485" s="44" t="s">
        <v>374</v>
      </c>
      <c r="G1485" s="44" t="s">
        <v>1595</v>
      </c>
      <c r="H1485" s="44" t="s">
        <v>1120</v>
      </c>
      <c r="I1485" s="44" t="s">
        <v>1106</v>
      </c>
      <c r="J1485" s="44">
        <v>191</v>
      </c>
      <c r="K1485" s="44" t="s">
        <v>2739</v>
      </c>
      <c r="L1485" s="44"/>
      <c r="M1485" s="44" t="s">
        <v>2033</v>
      </c>
      <c r="N1485" s="45">
        <v>146646</v>
      </c>
      <c r="O1485" s="46">
        <f t="shared" si="48"/>
        <v>146.64599999999999</v>
      </c>
      <c r="P1485" s="47">
        <f>MLCF!F92</f>
        <v>146.64599999999999</v>
      </c>
      <c r="Q1485" s="44" t="str">
        <f t="shared" si="49"/>
        <v>PASS</v>
      </c>
      <c r="R1485" s="44" t="s">
        <v>1587</v>
      </c>
      <c r="S1485" s="44"/>
    </row>
    <row r="1486" spans="1:19" x14ac:dyDescent="0.3">
      <c r="A1486" s="44" t="s">
        <v>2772</v>
      </c>
      <c r="B1486" s="44" t="s">
        <v>106</v>
      </c>
      <c r="C1486" s="44" t="s">
        <v>28</v>
      </c>
      <c r="D1486" s="44" t="s">
        <v>374</v>
      </c>
      <c r="E1486" s="44" t="s">
        <v>1381</v>
      </c>
      <c r="F1486" s="44" t="s">
        <v>374</v>
      </c>
      <c r="G1486" s="44" t="s">
        <v>1598</v>
      </c>
      <c r="H1486" s="44" t="s">
        <v>1124</v>
      </c>
      <c r="I1486" s="44" t="s">
        <v>1106</v>
      </c>
      <c r="J1486" s="44">
        <v>203</v>
      </c>
      <c r="K1486" s="44" t="s">
        <v>2741</v>
      </c>
      <c r="L1486" s="44"/>
      <c r="M1486" s="44" t="s">
        <v>2033</v>
      </c>
      <c r="N1486" s="45">
        <v>238451</v>
      </c>
      <c r="O1486" s="46">
        <f t="shared" si="48"/>
        <v>238.45099999999999</v>
      </c>
      <c r="P1486" s="47">
        <f>MLCF!G92</f>
        <v>238.45099999999999</v>
      </c>
      <c r="Q1486" s="44" t="str">
        <f t="shared" si="49"/>
        <v>PASS</v>
      </c>
      <c r="R1486" s="44" t="s">
        <v>1587</v>
      </c>
      <c r="S1486" s="44" t="s">
        <v>1114</v>
      </c>
    </row>
    <row r="1487" spans="1:19" x14ac:dyDescent="0.3">
      <c r="A1487" s="44" t="s">
        <v>2773</v>
      </c>
      <c r="B1487" s="44" t="s">
        <v>106</v>
      </c>
      <c r="C1487" s="44" t="s">
        <v>29</v>
      </c>
      <c r="D1487" s="44" t="s">
        <v>374</v>
      </c>
      <c r="E1487" s="44" t="s">
        <v>1381</v>
      </c>
      <c r="F1487" s="44" t="s">
        <v>374</v>
      </c>
      <c r="G1487" s="44" t="s">
        <v>1598</v>
      </c>
      <c r="H1487" s="44" t="s">
        <v>1124</v>
      </c>
      <c r="I1487" s="44" t="s">
        <v>1127</v>
      </c>
      <c r="J1487" s="44">
        <v>203</v>
      </c>
      <c r="K1487" s="44" t="s">
        <v>2741</v>
      </c>
      <c r="L1487" s="44"/>
      <c r="M1487" s="44" t="s">
        <v>2033</v>
      </c>
      <c r="N1487" s="45">
        <v>8462656</v>
      </c>
      <c r="O1487" s="46">
        <f t="shared" si="48"/>
        <v>8462.6560000000009</v>
      </c>
      <c r="P1487" s="47">
        <f>MLCF!H92</f>
        <v>8462.6560000000009</v>
      </c>
      <c r="Q1487" s="44" t="str">
        <f t="shared" si="49"/>
        <v>PASS</v>
      </c>
      <c r="R1487" s="44" t="s">
        <v>1587</v>
      </c>
      <c r="S1487" s="44"/>
    </row>
    <row r="1488" spans="1:19" x14ac:dyDescent="0.3">
      <c r="A1488" s="44" t="s">
        <v>2774</v>
      </c>
      <c r="B1488" s="44" t="s">
        <v>106</v>
      </c>
      <c r="C1488" s="44" t="s">
        <v>20</v>
      </c>
      <c r="D1488" s="44" t="s">
        <v>376</v>
      </c>
      <c r="E1488" s="44" t="s">
        <v>1381</v>
      </c>
      <c r="F1488" s="44"/>
      <c r="G1488" s="44" t="s">
        <v>1589</v>
      </c>
      <c r="H1488" s="44" t="s">
        <v>1113</v>
      </c>
      <c r="I1488" s="44" t="s">
        <v>1106</v>
      </c>
      <c r="J1488" s="44">
        <v>185</v>
      </c>
      <c r="K1488" s="44" t="s">
        <v>2051</v>
      </c>
      <c r="L1488" s="44"/>
      <c r="M1488" s="44" t="s">
        <v>2033</v>
      </c>
      <c r="N1488" s="45">
        <v>0</v>
      </c>
      <c r="O1488" s="46">
        <f t="shared" si="48"/>
        <v>0</v>
      </c>
      <c r="P1488" s="47">
        <f>MLCF!D93</f>
        <v>0</v>
      </c>
      <c r="Q1488" s="44" t="str">
        <f t="shared" si="49"/>
        <v>PASS</v>
      </c>
      <c r="R1488" s="44" t="s">
        <v>1587</v>
      </c>
      <c r="S1488" s="44"/>
    </row>
    <row r="1489" spans="1:19" x14ac:dyDescent="0.3">
      <c r="A1489" s="44" t="s">
        <v>2775</v>
      </c>
      <c r="B1489" s="44" t="s">
        <v>106</v>
      </c>
      <c r="C1489" s="44" t="s">
        <v>26</v>
      </c>
      <c r="D1489" s="44" t="s">
        <v>376</v>
      </c>
      <c r="E1489" s="44" t="s">
        <v>1381</v>
      </c>
      <c r="F1489" s="44"/>
      <c r="G1489" s="44" t="s">
        <v>1592</v>
      </c>
      <c r="H1489" s="44" t="s">
        <v>1117</v>
      </c>
      <c r="I1489" s="44" t="s">
        <v>1106</v>
      </c>
      <c r="J1489" s="44">
        <v>99</v>
      </c>
      <c r="K1489" s="44" t="s">
        <v>2737</v>
      </c>
      <c r="L1489" s="44"/>
      <c r="M1489" s="44" t="s">
        <v>2033</v>
      </c>
      <c r="N1489" s="45">
        <v>0</v>
      </c>
      <c r="O1489" s="46">
        <f t="shared" si="48"/>
        <v>0</v>
      </c>
      <c r="P1489" s="47">
        <f>MLCF!E93</f>
        <v>0</v>
      </c>
      <c r="Q1489" s="44" t="str">
        <f t="shared" si="49"/>
        <v>PASS</v>
      </c>
      <c r="R1489" s="44" t="s">
        <v>1587</v>
      </c>
      <c r="S1489" s="44"/>
    </row>
    <row r="1490" spans="1:19" x14ac:dyDescent="0.3">
      <c r="A1490" s="44" t="s">
        <v>2776</v>
      </c>
      <c r="B1490" s="44" t="s">
        <v>106</v>
      </c>
      <c r="C1490" s="44" t="s">
        <v>27</v>
      </c>
      <c r="D1490" s="44" t="s">
        <v>376</v>
      </c>
      <c r="E1490" s="44" t="s">
        <v>1381</v>
      </c>
      <c r="F1490" s="44"/>
      <c r="G1490" s="44" t="s">
        <v>1595</v>
      </c>
      <c r="H1490" s="44" t="s">
        <v>1120</v>
      </c>
      <c r="I1490" s="44" t="s">
        <v>1106</v>
      </c>
      <c r="J1490" s="44">
        <v>191</v>
      </c>
      <c r="K1490" s="44" t="s">
        <v>2739</v>
      </c>
      <c r="L1490" s="44"/>
      <c r="M1490" s="44" t="s">
        <v>2033</v>
      </c>
      <c r="N1490" s="45">
        <v>0</v>
      </c>
      <c r="O1490" s="46">
        <f t="shared" si="48"/>
        <v>0</v>
      </c>
      <c r="P1490" s="47">
        <f>MLCF!F93</f>
        <v>0</v>
      </c>
      <c r="Q1490" s="44" t="str">
        <f t="shared" si="49"/>
        <v>PASS</v>
      </c>
      <c r="R1490" s="44" t="s">
        <v>1587</v>
      </c>
      <c r="S1490" s="44"/>
    </row>
    <row r="1491" spans="1:19" x14ac:dyDescent="0.3">
      <c r="A1491" s="44" t="s">
        <v>2777</v>
      </c>
      <c r="B1491" s="44" t="s">
        <v>106</v>
      </c>
      <c r="C1491" s="44" t="s">
        <v>28</v>
      </c>
      <c r="D1491" s="44" t="s">
        <v>376</v>
      </c>
      <c r="E1491" s="44" t="s">
        <v>1381</v>
      </c>
      <c r="F1491" s="44" t="s">
        <v>2778</v>
      </c>
      <c r="G1491" s="44" t="s">
        <v>1598</v>
      </c>
      <c r="H1491" s="44" t="s">
        <v>1124</v>
      </c>
      <c r="I1491" s="44" t="s">
        <v>1106</v>
      </c>
      <c r="J1491" s="44">
        <v>203</v>
      </c>
      <c r="K1491" s="44" t="s">
        <v>2741</v>
      </c>
      <c r="L1491" s="44"/>
      <c r="M1491" s="44" t="s">
        <v>2033</v>
      </c>
      <c r="N1491" s="45">
        <v>117691</v>
      </c>
      <c r="O1491" s="46">
        <f t="shared" si="48"/>
        <v>117.691</v>
      </c>
      <c r="P1491" s="47">
        <f>MLCF!G93</f>
        <v>117.691</v>
      </c>
      <c r="Q1491" s="44" t="str">
        <f t="shared" si="49"/>
        <v>PASS</v>
      </c>
      <c r="R1491" s="44" t="s">
        <v>1587</v>
      </c>
      <c r="S1491" s="44"/>
    </row>
    <row r="1492" spans="1:19" x14ac:dyDescent="0.3">
      <c r="A1492" s="44" t="s">
        <v>2779</v>
      </c>
      <c r="B1492" s="44" t="s">
        <v>106</v>
      </c>
      <c r="C1492" s="44" t="s">
        <v>29</v>
      </c>
      <c r="D1492" s="44" t="s">
        <v>376</v>
      </c>
      <c r="E1492" s="44" t="s">
        <v>1381</v>
      </c>
      <c r="F1492" s="44" t="s">
        <v>2778</v>
      </c>
      <c r="G1492" s="44" t="s">
        <v>1598</v>
      </c>
      <c r="H1492" s="44" t="s">
        <v>1124</v>
      </c>
      <c r="I1492" s="44" t="s">
        <v>1127</v>
      </c>
      <c r="J1492" s="44">
        <v>203</v>
      </c>
      <c r="K1492" s="44" t="s">
        <v>2741</v>
      </c>
      <c r="L1492" s="44"/>
      <c r="M1492" s="44" t="s">
        <v>2033</v>
      </c>
      <c r="N1492" s="45">
        <v>1031075</v>
      </c>
      <c r="O1492" s="46">
        <f t="shared" si="48"/>
        <v>1031.075</v>
      </c>
      <c r="P1492" s="47">
        <f>MLCF!H93</f>
        <v>1031.075</v>
      </c>
      <c r="Q1492" s="44" t="str">
        <f t="shared" si="49"/>
        <v>PASS</v>
      </c>
      <c r="R1492" s="44" t="s">
        <v>1587</v>
      </c>
      <c r="S1492" s="44"/>
    </row>
    <row r="1493" spans="1:19" x14ac:dyDescent="0.3">
      <c r="A1493" s="44" t="s">
        <v>2780</v>
      </c>
      <c r="B1493" s="44" t="s">
        <v>106</v>
      </c>
      <c r="C1493" s="44" t="s">
        <v>20</v>
      </c>
      <c r="D1493" s="44" t="s">
        <v>378</v>
      </c>
      <c r="E1493" s="44" t="s">
        <v>1381</v>
      </c>
      <c r="F1493" s="44"/>
      <c r="G1493" s="44" t="s">
        <v>1589</v>
      </c>
      <c r="H1493" s="44" t="s">
        <v>1113</v>
      </c>
      <c r="I1493" s="44" t="s">
        <v>1106</v>
      </c>
      <c r="J1493" s="44">
        <v>185</v>
      </c>
      <c r="K1493" s="44" t="s">
        <v>2051</v>
      </c>
      <c r="L1493" s="44"/>
      <c r="M1493" s="44" t="s">
        <v>2033</v>
      </c>
      <c r="N1493" s="45">
        <v>0</v>
      </c>
      <c r="O1493" s="46">
        <f t="shared" si="48"/>
        <v>0</v>
      </c>
      <c r="P1493" s="47">
        <f>MLCF!D94</f>
        <v>0</v>
      </c>
      <c r="Q1493" s="44" t="str">
        <f t="shared" si="49"/>
        <v>PASS</v>
      </c>
      <c r="R1493" s="44" t="s">
        <v>1587</v>
      </c>
      <c r="S1493" s="44"/>
    </row>
    <row r="1494" spans="1:19" x14ac:dyDescent="0.3">
      <c r="A1494" s="44" t="s">
        <v>2781</v>
      </c>
      <c r="B1494" s="44" t="s">
        <v>106</v>
      </c>
      <c r="C1494" s="44" t="s">
        <v>26</v>
      </c>
      <c r="D1494" s="44" t="s">
        <v>378</v>
      </c>
      <c r="E1494" s="44" t="s">
        <v>1381</v>
      </c>
      <c r="F1494" s="44"/>
      <c r="G1494" s="44" t="s">
        <v>1592</v>
      </c>
      <c r="H1494" s="44" t="s">
        <v>1117</v>
      </c>
      <c r="I1494" s="44" t="s">
        <v>1106</v>
      </c>
      <c r="J1494" s="44">
        <v>99</v>
      </c>
      <c r="K1494" s="44" t="s">
        <v>2737</v>
      </c>
      <c r="L1494" s="44"/>
      <c r="M1494" s="44" t="s">
        <v>2033</v>
      </c>
      <c r="N1494" s="45">
        <v>0</v>
      </c>
      <c r="O1494" s="46">
        <f t="shared" si="48"/>
        <v>0</v>
      </c>
      <c r="P1494" s="47">
        <f>MLCF!E94</f>
        <v>0</v>
      </c>
      <c r="Q1494" s="44" t="str">
        <f t="shared" si="49"/>
        <v>PASS</v>
      </c>
      <c r="R1494" s="44" t="s">
        <v>1587</v>
      </c>
      <c r="S1494" s="44"/>
    </row>
    <row r="1495" spans="1:19" x14ac:dyDescent="0.3">
      <c r="A1495" s="44" t="s">
        <v>2782</v>
      </c>
      <c r="B1495" s="44" t="s">
        <v>106</v>
      </c>
      <c r="C1495" s="44" t="s">
        <v>27</v>
      </c>
      <c r="D1495" s="44" t="s">
        <v>378</v>
      </c>
      <c r="E1495" s="44" t="s">
        <v>1381</v>
      </c>
      <c r="F1495" s="44"/>
      <c r="G1495" s="44" t="s">
        <v>1595</v>
      </c>
      <c r="H1495" s="44" t="s">
        <v>1120</v>
      </c>
      <c r="I1495" s="44" t="s">
        <v>1106</v>
      </c>
      <c r="J1495" s="44">
        <v>191</v>
      </c>
      <c r="K1495" s="44" t="s">
        <v>2739</v>
      </c>
      <c r="L1495" s="44"/>
      <c r="M1495" s="44" t="s">
        <v>2033</v>
      </c>
      <c r="N1495" s="45">
        <v>0</v>
      </c>
      <c r="O1495" s="46">
        <f t="shared" si="48"/>
        <v>0</v>
      </c>
      <c r="P1495" s="47">
        <f>MLCF!F94</f>
        <v>0</v>
      </c>
      <c r="Q1495" s="44" t="str">
        <f t="shared" si="49"/>
        <v>PASS</v>
      </c>
      <c r="R1495" s="44" t="s">
        <v>1587</v>
      </c>
      <c r="S1495" s="44"/>
    </row>
    <row r="1496" spans="1:19" x14ac:dyDescent="0.3">
      <c r="A1496" s="44" t="s">
        <v>2783</v>
      </c>
      <c r="B1496" s="44" t="s">
        <v>106</v>
      </c>
      <c r="C1496" s="44" t="s">
        <v>28</v>
      </c>
      <c r="D1496" s="44" t="s">
        <v>378</v>
      </c>
      <c r="E1496" s="44" t="s">
        <v>1381</v>
      </c>
      <c r="F1496" s="44"/>
      <c r="G1496" s="44" t="s">
        <v>1598</v>
      </c>
      <c r="H1496" s="44" t="s">
        <v>1124</v>
      </c>
      <c r="I1496" s="44" t="s">
        <v>1106</v>
      </c>
      <c r="J1496" s="44">
        <v>203</v>
      </c>
      <c r="K1496" s="44" t="s">
        <v>2741</v>
      </c>
      <c r="L1496" s="44"/>
      <c r="M1496" s="44" t="s">
        <v>2033</v>
      </c>
      <c r="N1496" s="45">
        <v>0</v>
      </c>
      <c r="O1496" s="46">
        <f t="shared" si="48"/>
        <v>0</v>
      </c>
      <c r="P1496" s="47">
        <f>MLCF!G94</f>
        <v>0</v>
      </c>
      <c r="Q1496" s="44" t="str">
        <f t="shared" si="49"/>
        <v>PASS</v>
      </c>
      <c r="R1496" s="44" t="s">
        <v>1587</v>
      </c>
      <c r="S1496" s="44"/>
    </row>
    <row r="1497" spans="1:19" x14ac:dyDescent="0.3">
      <c r="A1497" s="44" t="s">
        <v>2784</v>
      </c>
      <c r="B1497" s="44" t="s">
        <v>106</v>
      </c>
      <c r="C1497" s="44" t="s">
        <v>29</v>
      </c>
      <c r="D1497" s="44" t="s">
        <v>378</v>
      </c>
      <c r="E1497" s="44" t="s">
        <v>1381</v>
      </c>
      <c r="F1497" s="44"/>
      <c r="G1497" s="44" t="s">
        <v>1598</v>
      </c>
      <c r="H1497" s="44" t="s">
        <v>1124</v>
      </c>
      <c r="I1497" s="44" t="s">
        <v>1127</v>
      </c>
      <c r="J1497" s="44">
        <v>203</v>
      </c>
      <c r="K1497" s="44" t="s">
        <v>2741</v>
      </c>
      <c r="L1497" s="44"/>
      <c r="M1497" s="44" t="s">
        <v>2033</v>
      </c>
      <c r="N1497" s="45">
        <v>0</v>
      </c>
      <c r="O1497" s="46">
        <f t="shared" si="48"/>
        <v>0</v>
      </c>
      <c r="P1497" s="47">
        <f>MLCF!H94</f>
        <v>0</v>
      </c>
      <c r="Q1497" s="44" t="str">
        <f t="shared" si="49"/>
        <v>PASS</v>
      </c>
      <c r="R1497" s="44" t="s">
        <v>1587</v>
      </c>
      <c r="S1497" s="44"/>
    </row>
    <row r="1498" spans="1:19" x14ac:dyDescent="0.3">
      <c r="A1498" s="44" t="s">
        <v>2785</v>
      </c>
      <c r="B1498" s="44" t="s">
        <v>106</v>
      </c>
      <c r="C1498" s="44" t="s">
        <v>20</v>
      </c>
      <c r="D1498" s="44" t="s">
        <v>380</v>
      </c>
      <c r="E1498" s="44" t="s">
        <v>1381</v>
      </c>
      <c r="F1498" s="44" t="s">
        <v>380</v>
      </c>
      <c r="G1498" s="44" t="s">
        <v>1589</v>
      </c>
      <c r="H1498" s="44" t="s">
        <v>1113</v>
      </c>
      <c r="I1498" s="44" t="s">
        <v>1106</v>
      </c>
      <c r="J1498" s="44">
        <v>185</v>
      </c>
      <c r="K1498" s="44" t="s">
        <v>2051</v>
      </c>
      <c r="L1498" s="44"/>
      <c r="M1498" s="44" t="s">
        <v>2033</v>
      </c>
      <c r="N1498" s="45">
        <v>-1493930</v>
      </c>
      <c r="O1498" s="46">
        <f t="shared" si="48"/>
        <v>-1493.93</v>
      </c>
      <c r="P1498" s="47">
        <f>MLCF!D95</f>
        <v>-1493.93</v>
      </c>
      <c r="Q1498" s="44" t="str">
        <f t="shared" si="49"/>
        <v>PASS</v>
      </c>
      <c r="R1498" s="44" t="s">
        <v>1587</v>
      </c>
      <c r="S1498" s="44"/>
    </row>
    <row r="1499" spans="1:19" x14ac:dyDescent="0.3">
      <c r="A1499" s="44" t="s">
        <v>2786</v>
      </c>
      <c r="B1499" s="44" t="s">
        <v>106</v>
      </c>
      <c r="C1499" s="44" t="s">
        <v>26</v>
      </c>
      <c r="D1499" s="44" t="s">
        <v>380</v>
      </c>
      <c r="E1499" s="44" t="s">
        <v>1381</v>
      </c>
      <c r="F1499" s="44" t="s">
        <v>380</v>
      </c>
      <c r="G1499" s="44" t="s">
        <v>1592</v>
      </c>
      <c r="H1499" s="44" t="s">
        <v>1117</v>
      </c>
      <c r="I1499" s="44" t="s">
        <v>1106</v>
      </c>
      <c r="J1499" s="44">
        <v>99</v>
      </c>
      <c r="K1499" s="44" t="s">
        <v>2737</v>
      </c>
      <c r="L1499" s="44"/>
      <c r="M1499" s="44" t="s">
        <v>2033</v>
      </c>
      <c r="N1499" s="45">
        <v>-1741026</v>
      </c>
      <c r="O1499" s="46">
        <f t="shared" ref="O1499:O1552" si="50">N1499/1000</f>
        <v>-1741.0260000000001</v>
      </c>
      <c r="P1499" s="47">
        <f>MLCF!E95</f>
        <v>-1741.0260000000001</v>
      </c>
      <c r="Q1499" s="44" t="str">
        <f t="shared" si="49"/>
        <v>PASS</v>
      </c>
      <c r="R1499" s="44" t="s">
        <v>1587</v>
      </c>
      <c r="S1499" s="44"/>
    </row>
    <row r="1500" spans="1:19" x14ac:dyDescent="0.3">
      <c r="A1500" s="44" t="s">
        <v>2787</v>
      </c>
      <c r="B1500" s="44" t="s">
        <v>106</v>
      </c>
      <c r="C1500" s="44" t="s">
        <v>27</v>
      </c>
      <c r="D1500" s="44" t="s">
        <v>380</v>
      </c>
      <c r="E1500" s="44" t="s">
        <v>1381</v>
      </c>
      <c r="F1500" s="44" t="s">
        <v>380</v>
      </c>
      <c r="G1500" s="44" t="s">
        <v>1595</v>
      </c>
      <c r="H1500" s="44" t="s">
        <v>1120</v>
      </c>
      <c r="I1500" s="44" t="s">
        <v>1106</v>
      </c>
      <c r="J1500" s="44">
        <v>191</v>
      </c>
      <c r="K1500" s="44" t="s">
        <v>2739</v>
      </c>
      <c r="L1500" s="44"/>
      <c r="M1500" s="44" t="s">
        <v>2033</v>
      </c>
      <c r="N1500" s="45">
        <v>-2750748</v>
      </c>
      <c r="O1500" s="46">
        <f t="shared" si="50"/>
        <v>-2750.748</v>
      </c>
      <c r="P1500" s="47">
        <f>MLCF!F95</f>
        <v>-2750.748</v>
      </c>
      <c r="Q1500" s="44" t="str">
        <f t="shared" si="49"/>
        <v>PASS</v>
      </c>
      <c r="R1500" s="44" t="s">
        <v>1587</v>
      </c>
      <c r="S1500" s="44"/>
    </row>
    <row r="1501" spans="1:19" x14ac:dyDescent="0.3">
      <c r="A1501" s="44" t="s">
        <v>2788</v>
      </c>
      <c r="B1501" s="44" t="s">
        <v>106</v>
      </c>
      <c r="C1501" s="44" t="s">
        <v>28</v>
      </c>
      <c r="D1501" s="44" t="s">
        <v>380</v>
      </c>
      <c r="E1501" s="44" t="s">
        <v>1381</v>
      </c>
      <c r="F1501" s="44" t="s">
        <v>380</v>
      </c>
      <c r="G1501" s="44" t="s">
        <v>1598</v>
      </c>
      <c r="H1501" s="44" t="s">
        <v>1124</v>
      </c>
      <c r="I1501" s="44" t="s">
        <v>1106</v>
      </c>
      <c r="J1501" s="44">
        <v>203</v>
      </c>
      <c r="K1501" s="44" t="s">
        <v>2741</v>
      </c>
      <c r="L1501" s="44"/>
      <c r="M1501" s="44" t="s">
        <v>2033</v>
      </c>
      <c r="N1501" s="45">
        <v>-4138286</v>
      </c>
      <c r="O1501" s="46">
        <f t="shared" si="50"/>
        <v>-4138.2860000000001</v>
      </c>
      <c r="P1501" s="47">
        <f>MLCF!G95</f>
        <v>-4138.2860000000001</v>
      </c>
      <c r="Q1501" s="44" t="str">
        <f t="shared" si="49"/>
        <v>PASS</v>
      </c>
      <c r="R1501" s="44" t="s">
        <v>1587</v>
      </c>
      <c r="S1501" s="44"/>
    </row>
    <row r="1502" spans="1:19" x14ac:dyDescent="0.3">
      <c r="A1502" s="44" t="s">
        <v>2789</v>
      </c>
      <c r="B1502" s="44" t="s">
        <v>106</v>
      </c>
      <c r="C1502" s="44" t="s">
        <v>29</v>
      </c>
      <c r="D1502" s="44" t="s">
        <v>380</v>
      </c>
      <c r="E1502" s="44" t="s">
        <v>1381</v>
      </c>
      <c r="F1502" s="44" t="s">
        <v>380</v>
      </c>
      <c r="G1502" s="44" t="s">
        <v>1598</v>
      </c>
      <c r="H1502" s="44" t="s">
        <v>1124</v>
      </c>
      <c r="I1502" s="44" t="s">
        <v>1127</v>
      </c>
      <c r="J1502" s="44">
        <v>203</v>
      </c>
      <c r="K1502" s="44" t="s">
        <v>2741</v>
      </c>
      <c r="L1502" s="44"/>
      <c r="M1502" s="44" t="s">
        <v>2033</v>
      </c>
      <c r="N1502" s="45">
        <v>-3554788</v>
      </c>
      <c r="O1502" s="46">
        <f t="shared" si="50"/>
        <v>-3554.788</v>
      </c>
      <c r="P1502" s="47">
        <f>MLCF!H95</f>
        <v>-3554.788</v>
      </c>
      <c r="Q1502" s="44" t="str">
        <f t="shared" si="49"/>
        <v>PASS</v>
      </c>
      <c r="R1502" s="44" t="s">
        <v>1587</v>
      </c>
      <c r="S1502" s="44"/>
    </row>
    <row r="1503" spans="1:19" x14ac:dyDescent="0.3">
      <c r="A1503" s="44" t="s">
        <v>2790</v>
      </c>
      <c r="B1503" s="44" t="s">
        <v>106</v>
      </c>
      <c r="C1503" s="44" t="s">
        <v>20</v>
      </c>
      <c r="D1503" s="44" t="s">
        <v>384</v>
      </c>
      <c r="E1503" s="44" t="s">
        <v>1381</v>
      </c>
      <c r="F1503" s="44"/>
      <c r="G1503" s="44" t="s">
        <v>1589</v>
      </c>
      <c r="H1503" s="44" t="s">
        <v>1113</v>
      </c>
      <c r="I1503" s="44" t="s">
        <v>1106</v>
      </c>
      <c r="J1503" s="44">
        <v>185</v>
      </c>
      <c r="K1503" s="44" t="s">
        <v>2051</v>
      </c>
      <c r="L1503" s="44"/>
      <c r="M1503" s="44" t="s">
        <v>2033</v>
      </c>
      <c r="N1503" s="45">
        <v>0</v>
      </c>
      <c r="O1503" s="46">
        <f t="shared" si="50"/>
        <v>0</v>
      </c>
      <c r="P1503" s="47">
        <f>MLCF!D97</f>
        <v>0</v>
      </c>
      <c r="Q1503" s="44" t="str">
        <f t="shared" si="49"/>
        <v>PASS</v>
      </c>
      <c r="R1503" s="44" t="s">
        <v>1587</v>
      </c>
      <c r="S1503" s="44"/>
    </row>
    <row r="1504" spans="1:19" x14ac:dyDescent="0.3">
      <c r="A1504" s="44" t="s">
        <v>2791</v>
      </c>
      <c r="B1504" s="44" t="s">
        <v>106</v>
      </c>
      <c r="C1504" s="44" t="s">
        <v>26</v>
      </c>
      <c r="D1504" s="44" t="s">
        <v>384</v>
      </c>
      <c r="E1504" s="44" t="s">
        <v>1381</v>
      </c>
      <c r="F1504" s="44"/>
      <c r="G1504" s="44" t="s">
        <v>1592</v>
      </c>
      <c r="H1504" s="44" t="s">
        <v>1117</v>
      </c>
      <c r="I1504" s="44" t="s">
        <v>1106</v>
      </c>
      <c r="J1504" s="44">
        <v>99</v>
      </c>
      <c r="K1504" s="44" t="s">
        <v>2737</v>
      </c>
      <c r="L1504" s="44"/>
      <c r="M1504" s="44" t="s">
        <v>2033</v>
      </c>
      <c r="N1504" s="45">
        <v>0</v>
      </c>
      <c r="O1504" s="46">
        <f t="shared" si="50"/>
        <v>0</v>
      </c>
      <c r="P1504" s="47">
        <f>MLCF!E97</f>
        <v>0</v>
      </c>
      <c r="Q1504" s="44" t="str">
        <f t="shared" si="49"/>
        <v>PASS</v>
      </c>
      <c r="R1504" s="44" t="s">
        <v>1587</v>
      </c>
      <c r="S1504" s="44"/>
    </row>
    <row r="1505" spans="1:19" x14ac:dyDescent="0.3">
      <c r="A1505" s="44" t="s">
        <v>2792</v>
      </c>
      <c r="B1505" s="44" t="s">
        <v>106</v>
      </c>
      <c r="C1505" s="44" t="s">
        <v>27</v>
      </c>
      <c r="D1505" s="44" t="s">
        <v>384</v>
      </c>
      <c r="E1505" s="44" t="s">
        <v>1381</v>
      </c>
      <c r="F1505" s="44" t="s">
        <v>2793</v>
      </c>
      <c r="G1505" s="44" t="s">
        <v>1595</v>
      </c>
      <c r="H1505" s="44" t="s">
        <v>1120</v>
      </c>
      <c r="I1505" s="44" t="s">
        <v>1106</v>
      </c>
      <c r="J1505" s="44">
        <v>191</v>
      </c>
      <c r="K1505" s="44" t="s">
        <v>2739</v>
      </c>
      <c r="L1505" s="44"/>
      <c r="M1505" s="44" t="s">
        <v>2033</v>
      </c>
      <c r="N1505" s="45">
        <v>-12192</v>
      </c>
      <c r="O1505" s="46">
        <f t="shared" si="50"/>
        <v>-12.192</v>
      </c>
      <c r="P1505" s="47">
        <f>MLCF!F97</f>
        <v>-12.192</v>
      </c>
      <c r="Q1505" s="44" t="str">
        <f t="shared" si="49"/>
        <v>PASS</v>
      </c>
      <c r="R1505" s="44" t="s">
        <v>1587</v>
      </c>
      <c r="S1505" s="44"/>
    </row>
    <row r="1506" spans="1:19" x14ac:dyDescent="0.3">
      <c r="A1506" s="44" t="s">
        <v>2794</v>
      </c>
      <c r="B1506" s="44" t="s">
        <v>106</v>
      </c>
      <c r="C1506" s="44" t="s">
        <v>28</v>
      </c>
      <c r="D1506" s="44" t="s">
        <v>384</v>
      </c>
      <c r="E1506" s="44" t="s">
        <v>1381</v>
      </c>
      <c r="F1506" s="44" t="s">
        <v>2795</v>
      </c>
      <c r="G1506" s="44" t="s">
        <v>1598</v>
      </c>
      <c r="H1506" s="44" t="s">
        <v>1124</v>
      </c>
      <c r="I1506" s="44" t="s">
        <v>1106</v>
      </c>
      <c r="J1506" s="44">
        <v>203</v>
      </c>
      <c r="K1506" s="44" t="s">
        <v>2741</v>
      </c>
      <c r="L1506" s="44"/>
      <c r="M1506" s="44" t="s">
        <v>2033</v>
      </c>
      <c r="N1506" s="45">
        <v>-45804</v>
      </c>
      <c r="O1506" s="46">
        <f t="shared" si="50"/>
        <v>-45.804000000000002</v>
      </c>
      <c r="P1506" s="47">
        <f>MLCF!G97</f>
        <v>-45.804000000000002</v>
      </c>
      <c r="Q1506" s="44" t="str">
        <f t="shared" si="49"/>
        <v>PASS</v>
      </c>
      <c r="R1506" s="44" t="s">
        <v>1587</v>
      </c>
      <c r="S1506" s="44"/>
    </row>
    <row r="1507" spans="1:19" x14ac:dyDescent="0.3">
      <c r="A1507" s="44" t="s">
        <v>2796</v>
      </c>
      <c r="B1507" s="44" t="s">
        <v>106</v>
      </c>
      <c r="C1507" s="44" t="s">
        <v>29</v>
      </c>
      <c r="D1507" s="44" t="s">
        <v>384</v>
      </c>
      <c r="E1507" s="44" t="s">
        <v>1381</v>
      </c>
      <c r="F1507" s="44" t="s">
        <v>2795</v>
      </c>
      <c r="G1507" s="44" t="s">
        <v>1598</v>
      </c>
      <c r="H1507" s="44" t="s">
        <v>1124</v>
      </c>
      <c r="I1507" s="44" t="s">
        <v>1127</v>
      </c>
      <c r="J1507" s="44">
        <v>203</v>
      </c>
      <c r="K1507" s="44" t="s">
        <v>2741</v>
      </c>
      <c r="L1507" s="44"/>
      <c r="M1507" s="44" t="s">
        <v>2033</v>
      </c>
      <c r="N1507" s="45">
        <v>-38972</v>
      </c>
      <c r="O1507" s="46">
        <f t="shared" si="50"/>
        <v>-38.972000000000001</v>
      </c>
      <c r="P1507" s="47">
        <f>MLCF!H97</f>
        <v>-38.972000000000001</v>
      </c>
      <c r="Q1507" s="44" t="str">
        <f t="shared" si="49"/>
        <v>PASS</v>
      </c>
      <c r="R1507" s="44" t="s">
        <v>1587</v>
      </c>
      <c r="S1507" s="44"/>
    </row>
    <row r="1508" spans="1:19" x14ac:dyDescent="0.3">
      <c r="A1508" s="44" t="s">
        <v>2797</v>
      </c>
      <c r="B1508" s="44" t="s">
        <v>106</v>
      </c>
      <c r="C1508" s="44" t="s">
        <v>20</v>
      </c>
      <c r="D1508" s="44" t="s">
        <v>386</v>
      </c>
      <c r="E1508" s="44" t="s">
        <v>1381</v>
      </c>
      <c r="F1508" s="44" t="s">
        <v>1443</v>
      </c>
      <c r="G1508" s="44" t="s">
        <v>1589</v>
      </c>
      <c r="H1508" s="44" t="s">
        <v>1113</v>
      </c>
      <c r="I1508" s="44" t="s">
        <v>1106</v>
      </c>
      <c r="J1508" s="44">
        <v>185</v>
      </c>
      <c r="K1508" s="44" t="s">
        <v>2051</v>
      </c>
      <c r="L1508" s="44"/>
      <c r="M1508" s="44" t="s">
        <v>2033</v>
      </c>
      <c r="N1508" s="45">
        <v>-1035492</v>
      </c>
      <c r="O1508" s="46">
        <f t="shared" si="50"/>
        <v>-1035.492</v>
      </c>
      <c r="P1508" s="47">
        <f>MLCF!D98</f>
        <v>-1035.492</v>
      </c>
      <c r="Q1508" s="44" t="str">
        <f t="shared" si="49"/>
        <v>PASS</v>
      </c>
      <c r="R1508" s="44" t="s">
        <v>1587</v>
      </c>
      <c r="S1508" s="44"/>
    </row>
    <row r="1509" spans="1:19" x14ac:dyDescent="0.3">
      <c r="A1509" s="44" t="s">
        <v>2798</v>
      </c>
      <c r="B1509" s="44" t="s">
        <v>106</v>
      </c>
      <c r="C1509" s="44" t="s">
        <v>26</v>
      </c>
      <c r="D1509" s="44" t="s">
        <v>386</v>
      </c>
      <c r="E1509" s="44" t="s">
        <v>1381</v>
      </c>
      <c r="F1509" s="44" t="s">
        <v>1443</v>
      </c>
      <c r="G1509" s="44" t="s">
        <v>1592</v>
      </c>
      <c r="H1509" s="44" t="s">
        <v>1117</v>
      </c>
      <c r="I1509" s="44" t="s">
        <v>1106</v>
      </c>
      <c r="J1509" s="44">
        <v>99</v>
      </c>
      <c r="K1509" s="44" t="s">
        <v>2737</v>
      </c>
      <c r="L1509" s="44"/>
      <c r="M1509" s="44" t="s">
        <v>2033</v>
      </c>
      <c r="N1509" s="45">
        <v>-3557172</v>
      </c>
      <c r="O1509" s="46">
        <f t="shared" si="50"/>
        <v>-3557.172</v>
      </c>
      <c r="P1509" s="47">
        <f>MLCF!E98</f>
        <v>-3557.172</v>
      </c>
      <c r="Q1509" s="44" t="str">
        <f t="shared" si="49"/>
        <v>PASS</v>
      </c>
      <c r="R1509" s="44" t="s">
        <v>1587</v>
      </c>
      <c r="S1509" s="44"/>
    </row>
    <row r="1510" spans="1:19" x14ac:dyDescent="0.3">
      <c r="A1510" s="44" t="s">
        <v>2799</v>
      </c>
      <c r="B1510" s="44" t="s">
        <v>106</v>
      </c>
      <c r="C1510" s="44" t="s">
        <v>27</v>
      </c>
      <c r="D1510" s="44" t="s">
        <v>386</v>
      </c>
      <c r="E1510" s="44" t="s">
        <v>1381</v>
      </c>
      <c r="F1510" s="44" t="s">
        <v>386</v>
      </c>
      <c r="G1510" s="44" t="s">
        <v>1595</v>
      </c>
      <c r="H1510" s="44" t="s">
        <v>1120</v>
      </c>
      <c r="I1510" s="44" t="s">
        <v>1106</v>
      </c>
      <c r="J1510" s="44">
        <v>191</v>
      </c>
      <c r="K1510" s="44" t="s">
        <v>2739</v>
      </c>
      <c r="L1510" s="44"/>
      <c r="M1510" s="44" t="s">
        <v>2033</v>
      </c>
      <c r="N1510" s="45">
        <v>-4746806</v>
      </c>
      <c r="O1510" s="46">
        <f t="shared" si="50"/>
        <v>-4746.8059999999996</v>
      </c>
      <c r="P1510" s="47">
        <f>MLCF!F98</f>
        <v>-4746.8059999999996</v>
      </c>
      <c r="Q1510" s="44" t="str">
        <f t="shared" si="49"/>
        <v>PASS</v>
      </c>
      <c r="R1510" s="44" t="s">
        <v>1587</v>
      </c>
      <c r="S1510" s="44" t="s">
        <v>1114</v>
      </c>
    </row>
    <row r="1511" spans="1:19" x14ac:dyDescent="0.3">
      <c r="A1511" s="44" t="s">
        <v>2800</v>
      </c>
      <c r="B1511" s="44" t="s">
        <v>106</v>
      </c>
      <c r="C1511" s="44" t="s">
        <v>28</v>
      </c>
      <c r="D1511" s="44" t="s">
        <v>386</v>
      </c>
      <c r="E1511" s="44" t="s">
        <v>1381</v>
      </c>
      <c r="F1511" s="44" t="s">
        <v>386</v>
      </c>
      <c r="G1511" s="44" t="s">
        <v>1598</v>
      </c>
      <c r="H1511" s="44" t="s">
        <v>1124</v>
      </c>
      <c r="I1511" s="44" t="s">
        <v>1106</v>
      </c>
      <c r="J1511" s="44">
        <v>203</v>
      </c>
      <c r="K1511" s="44" t="s">
        <v>2741</v>
      </c>
      <c r="L1511" s="44"/>
      <c r="M1511" s="44" t="s">
        <v>2033</v>
      </c>
      <c r="N1511" s="45">
        <v>-3613117</v>
      </c>
      <c r="O1511" s="46">
        <f t="shared" si="50"/>
        <v>-3613.1170000000002</v>
      </c>
      <c r="P1511" s="47">
        <f>MLCF!G98</f>
        <v>-3613.1170000000002</v>
      </c>
      <c r="Q1511" s="44" t="str">
        <f t="shared" si="49"/>
        <v>PASS</v>
      </c>
      <c r="R1511" s="44" t="s">
        <v>1587</v>
      </c>
      <c r="S1511" s="44"/>
    </row>
    <row r="1512" spans="1:19" x14ac:dyDescent="0.3">
      <c r="A1512" s="44" t="s">
        <v>2801</v>
      </c>
      <c r="B1512" s="44" t="s">
        <v>106</v>
      </c>
      <c r="C1512" s="44" t="s">
        <v>29</v>
      </c>
      <c r="D1512" s="44" t="s">
        <v>386</v>
      </c>
      <c r="E1512" s="44" t="s">
        <v>1381</v>
      </c>
      <c r="F1512" s="44" t="s">
        <v>386</v>
      </c>
      <c r="G1512" s="44" t="s">
        <v>1598</v>
      </c>
      <c r="H1512" s="44" t="s">
        <v>1124</v>
      </c>
      <c r="I1512" s="44" t="s">
        <v>1127</v>
      </c>
      <c r="J1512" s="44">
        <v>203</v>
      </c>
      <c r="K1512" s="44" t="s">
        <v>2741</v>
      </c>
      <c r="L1512" s="44"/>
      <c r="M1512" s="44" t="s">
        <v>2033</v>
      </c>
      <c r="N1512" s="45">
        <v>-4588891</v>
      </c>
      <c r="O1512" s="46">
        <f t="shared" si="50"/>
        <v>-4588.8909999999996</v>
      </c>
      <c r="P1512" s="47">
        <f>MLCF!H98</f>
        <v>-4588.8909999999996</v>
      </c>
      <c r="Q1512" s="44" t="str">
        <f t="shared" si="49"/>
        <v>PASS</v>
      </c>
      <c r="R1512" s="44" t="s">
        <v>1587</v>
      </c>
      <c r="S1512" s="44"/>
    </row>
    <row r="1513" spans="1:19" x14ac:dyDescent="0.3">
      <c r="A1513" s="44" t="s">
        <v>2802</v>
      </c>
      <c r="B1513" s="44" t="s">
        <v>106</v>
      </c>
      <c r="C1513" s="44" t="s">
        <v>20</v>
      </c>
      <c r="D1513" s="44" t="s">
        <v>390</v>
      </c>
      <c r="E1513" s="44" t="s">
        <v>1381</v>
      </c>
      <c r="F1513" s="44" t="s">
        <v>362</v>
      </c>
      <c r="G1513" s="44" t="s">
        <v>1589</v>
      </c>
      <c r="H1513" s="44" t="s">
        <v>1113</v>
      </c>
      <c r="I1513" s="44" t="s">
        <v>1106</v>
      </c>
      <c r="J1513" s="44">
        <v>185</v>
      </c>
      <c r="K1513" s="44" t="s">
        <v>2051</v>
      </c>
      <c r="L1513" s="44"/>
      <c r="M1513" s="44" t="s">
        <v>2033</v>
      </c>
      <c r="N1513" s="45">
        <v>7402882</v>
      </c>
      <c r="O1513" s="46">
        <f t="shared" si="50"/>
        <v>7402.8819999999996</v>
      </c>
      <c r="P1513" s="47">
        <f>MLCF!D100</f>
        <v>7402.8819999999996</v>
      </c>
      <c r="Q1513" s="44" t="str">
        <f t="shared" ref="Q1513:Q1552" si="51">IF(ABS(O1513-P1513)&lt;0.000001,"PASS","FAIL")</f>
        <v>PASS</v>
      </c>
      <c r="R1513" s="44" t="s">
        <v>1587</v>
      </c>
      <c r="S1513" s="44"/>
    </row>
    <row r="1514" spans="1:19" x14ac:dyDescent="0.3">
      <c r="A1514" s="44" t="s">
        <v>2803</v>
      </c>
      <c r="B1514" s="44" t="s">
        <v>106</v>
      </c>
      <c r="C1514" s="44" t="s">
        <v>26</v>
      </c>
      <c r="D1514" s="44" t="s">
        <v>390</v>
      </c>
      <c r="E1514" s="44" t="s">
        <v>1381</v>
      </c>
      <c r="F1514" s="44" t="s">
        <v>362</v>
      </c>
      <c r="G1514" s="44" t="s">
        <v>1592</v>
      </c>
      <c r="H1514" s="44" t="s">
        <v>1117</v>
      </c>
      <c r="I1514" s="44" t="s">
        <v>1106</v>
      </c>
      <c r="J1514" s="44">
        <v>99</v>
      </c>
      <c r="K1514" s="44" t="s">
        <v>2737</v>
      </c>
      <c r="L1514" s="44"/>
      <c r="M1514" s="44" t="s">
        <v>2033</v>
      </c>
      <c r="N1514" s="45">
        <v>12275466</v>
      </c>
      <c r="O1514" s="46">
        <f t="shared" si="50"/>
        <v>12275.466</v>
      </c>
      <c r="P1514" s="47">
        <f>MLCF!E100</f>
        <v>12275.466</v>
      </c>
      <c r="Q1514" s="44" t="str">
        <f t="shared" si="51"/>
        <v>PASS</v>
      </c>
      <c r="R1514" s="44" t="s">
        <v>1587</v>
      </c>
      <c r="S1514" s="44"/>
    </row>
    <row r="1515" spans="1:19" x14ac:dyDescent="0.3">
      <c r="A1515" s="44" t="s">
        <v>2804</v>
      </c>
      <c r="B1515" s="44" t="s">
        <v>106</v>
      </c>
      <c r="C1515" s="44" t="s">
        <v>27</v>
      </c>
      <c r="D1515" s="44" t="s">
        <v>390</v>
      </c>
      <c r="E1515" s="44" t="s">
        <v>1381</v>
      </c>
      <c r="F1515" s="44" t="s">
        <v>362</v>
      </c>
      <c r="G1515" s="44" t="s">
        <v>1595</v>
      </c>
      <c r="H1515" s="44" t="s">
        <v>1120</v>
      </c>
      <c r="I1515" s="44" t="s">
        <v>1106</v>
      </c>
      <c r="J1515" s="44">
        <v>191</v>
      </c>
      <c r="K1515" s="44" t="s">
        <v>2739</v>
      </c>
      <c r="L1515" s="44"/>
      <c r="M1515" s="44" t="s">
        <v>2033</v>
      </c>
      <c r="N1515" s="45">
        <v>18173353</v>
      </c>
      <c r="O1515" s="46">
        <f t="shared" si="50"/>
        <v>18173.352999999999</v>
      </c>
      <c r="P1515" s="47">
        <f>MLCF!F100</f>
        <v>18173.352999999999</v>
      </c>
      <c r="Q1515" s="44" t="str">
        <f t="shared" si="51"/>
        <v>PASS</v>
      </c>
      <c r="R1515" s="44" t="s">
        <v>1587</v>
      </c>
      <c r="S1515" s="44"/>
    </row>
    <row r="1516" spans="1:19" x14ac:dyDescent="0.3">
      <c r="A1516" s="44" t="s">
        <v>2805</v>
      </c>
      <c r="B1516" s="44" t="s">
        <v>106</v>
      </c>
      <c r="C1516" s="44" t="s">
        <v>28</v>
      </c>
      <c r="D1516" s="44" t="s">
        <v>390</v>
      </c>
      <c r="E1516" s="44" t="s">
        <v>1381</v>
      </c>
      <c r="F1516" s="44" t="s">
        <v>362</v>
      </c>
      <c r="G1516" s="44" t="s">
        <v>1598</v>
      </c>
      <c r="H1516" s="44" t="s">
        <v>1124</v>
      </c>
      <c r="I1516" s="44" t="s">
        <v>1106</v>
      </c>
      <c r="J1516" s="44">
        <v>203</v>
      </c>
      <c r="K1516" s="44" t="s">
        <v>2741</v>
      </c>
      <c r="L1516" s="44"/>
      <c r="M1516" s="44" t="s">
        <v>2033</v>
      </c>
      <c r="N1516" s="45">
        <v>20964284</v>
      </c>
      <c r="O1516" s="46">
        <f t="shared" si="50"/>
        <v>20964.284</v>
      </c>
      <c r="P1516" s="47">
        <f>MLCF!G100</f>
        <v>20964.284</v>
      </c>
      <c r="Q1516" s="44" t="str">
        <f t="shared" si="51"/>
        <v>PASS</v>
      </c>
      <c r="R1516" s="44" t="s">
        <v>1587</v>
      </c>
      <c r="S1516" s="44"/>
    </row>
    <row r="1517" spans="1:19" x14ac:dyDescent="0.3">
      <c r="A1517" s="44" t="s">
        <v>2806</v>
      </c>
      <c r="B1517" s="44" t="s">
        <v>106</v>
      </c>
      <c r="C1517" s="44" t="s">
        <v>29</v>
      </c>
      <c r="D1517" s="44" t="s">
        <v>390</v>
      </c>
      <c r="E1517" s="44" t="s">
        <v>1381</v>
      </c>
      <c r="F1517" s="44" t="s">
        <v>362</v>
      </c>
      <c r="G1517" s="44" t="s">
        <v>1598</v>
      </c>
      <c r="H1517" s="44" t="s">
        <v>1124</v>
      </c>
      <c r="I1517" s="44" t="s">
        <v>1127</v>
      </c>
      <c r="J1517" s="44">
        <v>203</v>
      </c>
      <c r="K1517" s="44" t="s">
        <v>2741</v>
      </c>
      <c r="L1517" s="44"/>
      <c r="M1517" s="44" t="s">
        <v>2033</v>
      </c>
      <c r="N1517" s="45">
        <v>23746816</v>
      </c>
      <c r="O1517" s="46">
        <f t="shared" si="50"/>
        <v>23746.815999999999</v>
      </c>
      <c r="P1517" s="47">
        <f>MLCF!H100</f>
        <v>23746.815999999999</v>
      </c>
      <c r="Q1517" s="44" t="str">
        <f t="shared" si="51"/>
        <v>PASS</v>
      </c>
      <c r="R1517" s="44" t="s">
        <v>1587</v>
      </c>
      <c r="S1517" s="44"/>
    </row>
    <row r="1518" spans="1:19" x14ac:dyDescent="0.3">
      <c r="A1518" s="44" t="s">
        <v>2807</v>
      </c>
      <c r="B1518" s="44" t="s">
        <v>106</v>
      </c>
      <c r="C1518" s="44" t="s">
        <v>20</v>
      </c>
      <c r="D1518" s="44" t="s">
        <v>392</v>
      </c>
      <c r="E1518" s="44" t="s">
        <v>1381</v>
      </c>
      <c r="F1518" s="44" t="s">
        <v>1455</v>
      </c>
      <c r="G1518" s="44" t="s">
        <v>1589</v>
      </c>
      <c r="H1518" s="44" t="s">
        <v>1113</v>
      </c>
      <c r="I1518" s="44" t="s">
        <v>1106</v>
      </c>
      <c r="J1518" s="44">
        <v>185</v>
      </c>
      <c r="K1518" s="44" t="s">
        <v>2051</v>
      </c>
      <c r="L1518" s="44"/>
      <c r="M1518" s="44" t="s">
        <v>2033</v>
      </c>
      <c r="N1518" s="45">
        <v>7289601</v>
      </c>
      <c r="O1518" s="46">
        <f t="shared" si="50"/>
        <v>7289.6009999999997</v>
      </c>
      <c r="P1518" s="47">
        <f>MLCF!D101</f>
        <v>7289.6009999999997</v>
      </c>
      <c r="Q1518" s="44" t="str">
        <f t="shared" si="51"/>
        <v>PASS</v>
      </c>
      <c r="R1518" s="44" t="s">
        <v>1587</v>
      </c>
      <c r="S1518" s="44"/>
    </row>
    <row r="1519" spans="1:19" x14ac:dyDescent="0.3">
      <c r="A1519" s="44" t="s">
        <v>2808</v>
      </c>
      <c r="B1519" s="44" t="s">
        <v>106</v>
      </c>
      <c r="C1519" s="44" t="s">
        <v>26</v>
      </c>
      <c r="D1519" s="44" t="s">
        <v>392</v>
      </c>
      <c r="E1519" s="44" t="s">
        <v>1381</v>
      </c>
      <c r="F1519" s="44" t="s">
        <v>1455</v>
      </c>
      <c r="G1519" s="44" t="s">
        <v>1592</v>
      </c>
      <c r="H1519" s="44" t="s">
        <v>1117</v>
      </c>
      <c r="I1519" s="44" t="s">
        <v>1106</v>
      </c>
      <c r="J1519" s="44">
        <v>99</v>
      </c>
      <c r="K1519" s="44" t="s">
        <v>2737</v>
      </c>
      <c r="L1519" s="44"/>
      <c r="M1519" s="44" t="s">
        <v>2033</v>
      </c>
      <c r="N1519" s="45">
        <v>7183512</v>
      </c>
      <c r="O1519" s="46">
        <f t="shared" si="50"/>
        <v>7183.5119999999997</v>
      </c>
      <c r="P1519" s="47">
        <f>MLCF!E101</f>
        <v>7183.5119999999997</v>
      </c>
      <c r="Q1519" s="44" t="str">
        <f t="shared" si="51"/>
        <v>PASS</v>
      </c>
      <c r="R1519" s="44" t="s">
        <v>1587</v>
      </c>
      <c r="S1519" s="44"/>
    </row>
    <row r="1520" spans="1:19" x14ac:dyDescent="0.3">
      <c r="A1520" s="44" t="s">
        <v>2809</v>
      </c>
      <c r="B1520" s="44" t="s">
        <v>106</v>
      </c>
      <c r="C1520" s="44" t="s">
        <v>27</v>
      </c>
      <c r="D1520" s="44" t="s">
        <v>392</v>
      </c>
      <c r="E1520" s="44" t="s">
        <v>1381</v>
      </c>
      <c r="F1520" s="44" t="s">
        <v>2810</v>
      </c>
      <c r="G1520" s="44" t="s">
        <v>1595</v>
      </c>
      <c r="H1520" s="44" t="s">
        <v>1120</v>
      </c>
      <c r="I1520" s="44" t="s">
        <v>1106</v>
      </c>
      <c r="J1520" s="44">
        <v>191</v>
      </c>
      <c r="K1520" s="44" t="s">
        <v>2739</v>
      </c>
      <c r="L1520" s="44"/>
      <c r="M1520" s="44" t="s">
        <v>2033</v>
      </c>
      <c r="N1520" s="45">
        <v>9250667</v>
      </c>
      <c r="O1520" s="46">
        <f t="shared" si="50"/>
        <v>9250.6669999999995</v>
      </c>
      <c r="P1520" s="47">
        <f>MLCF!F101</f>
        <v>9250.6669999999995</v>
      </c>
      <c r="Q1520" s="44" t="str">
        <f t="shared" si="51"/>
        <v>PASS</v>
      </c>
      <c r="R1520" s="44" t="s">
        <v>1587</v>
      </c>
      <c r="S1520" s="44"/>
    </row>
    <row r="1521" spans="1:19" x14ac:dyDescent="0.3">
      <c r="A1521" s="44" t="s">
        <v>2811</v>
      </c>
      <c r="B1521" s="44" t="s">
        <v>106</v>
      </c>
      <c r="C1521" s="44" t="s">
        <v>28</v>
      </c>
      <c r="D1521" s="44" t="s">
        <v>392</v>
      </c>
      <c r="E1521" s="44" t="s">
        <v>1381</v>
      </c>
      <c r="F1521" s="44" t="s">
        <v>2810</v>
      </c>
      <c r="G1521" s="44" t="s">
        <v>1598</v>
      </c>
      <c r="H1521" s="44" t="s">
        <v>1124</v>
      </c>
      <c r="I1521" s="44" t="s">
        <v>1106</v>
      </c>
      <c r="J1521" s="44">
        <v>203</v>
      </c>
      <c r="K1521" s="44" t="s">
        <v>2741</v>
      </c>
      <c r="L1521" s="44"/>
      <c r="M1521" s="44" t="s">
        <v>2033</v>
      </c>
      <c r="N1521" s="45">
        <v>8931448</v>
      </c>
      <c r="O1521" s="46">
        <f t="shared" si="50"/>
        <v>8931.4480000000003</v>
      </c>
      <c r="P1521" s="47">
        <f>MLCF!G101</f>
        <v>8931.4480000000003</v>
      </c>
      <c r="Q1521" s="44" t="str">
        <f t="shared" si="51"/>
        <v>PASS</v>
      </c>
      <c r="R1521" s="44" t="s">
        <v>1587</v>
      </c>
      <c r="S1521" s="44"/>
    </row>
    <row r="1522" spans="1:19" x14ac:dyDescent="0.3">
      <c r="A1522" s="44" t="s">
        <v>2812</v>
      </c>
      <c r="B1522" s="44" t="s">
        <v>106</v>
      </c>
      <c r="C1522" s="44" t="s">
        <v>29</v>
      </c>
      <c r="D1522" s="44" t="s">
        <v>392</v>
      </c>
      <c r="E1522" s="44" t="s">
        <v>1381</v>
      </c>
      <c r="F1522" s="44" t="s">
        <v>2810</v>
      </c>
      <c r="G1522" s="44" t="s">
        <v>1598</v>
      </c>
      <c r="H1522" s="44" t="s">
        <v>1124</v>
      </c>
      <c r="I1522" s="44" t="s">
        <v>1127</v>
      </c>
      <c r="J1522" s="44">
        <v>203</v>
      </c>
      <c r="K1522" s="44" t="s">
        <v>2741</v>
      </c>
      <c r="L1522" s="44"/>
      <c r="M1522" s="44" t="s">
        <v>2033</v>
      </c>
      <c r="N1522" s="45">
        <v>21664237</v>
      </c>
      <c r="O1522" s="46">
        <f t="shared" si="50"/>
        <v>21664.237000000001</v>
      </c>
      <c r="P1522" s="47">
        <f>MLCF!H101</f>
        <v>21664.237000000001</v>
      </c>
      <c r="Q1522" s="44" t="str">
        <f t="shared" si="51"/>
        <v>PASS</v>
      </c>
      <c r="R1522" s="44" t="s">
        <v>1587</v>
      </c>
      <c r="S1522" s="44"/>
    </row>
    <row r="1523" spans="1:19" x14ac:dyDescent="0.3">
      <c r="A1523" s="44" t="s">
        <v>2813</v>
      </c>
      <c r="B1523" s="44" t="s">
        <v>106</v>
      </c>
      <c r="C1523" s="44" t="s">
        <v>20</v>
      </c>
      <c r="D1523" s="44" t="s">
        <v>394</v>
      </c>
      <c r="E1523" s="44" t="s">
        <v>1381</v>
      </c>
      <c r="F1523" s="44" t="s">
        <v>1462</v>
      </c>
      <c r="G1523" s="44" t="s">
        <v>1589</v>
      </c>
      <c r="H1523" s="44" t="s">
        <v>1113</v>
      </c>
      <c r="I1523" s="44" t="s">
        <v>1106</v>
      </c>
      <c r="J1523" s="44">
        <v>185</v>
      </c>
      <c r="K1523" s="44" t="s">
        <v>2051</v>
      </c>
      <c r="L1523" s="44"/>
      <c r="M1523" s="44" t="s">
        <v>2033</v>
      </c>
      <c r="N1523" s="45">
        <v>6254109</v>
      </c>
      <c r="O1523" s="46">
        <f t="shared" si="50"/>
        <v>6254.1090000000004</v>
      </c>
      <c r="P1523" s="47">
        <f>MLCF!D102</f>
        <v>6254.1090000000004</v>
      </c>
      <c r="Q1523" s="44" t="str">
        <f t="shared" si="51"/>
        <v>PASS</v>
      </c>
      <c r="R1523" s="44" t="s">
        <v>1587</v>
      </c>
      <c r="S1523" s="44"/>
    </row>
    <row r="1524" spans="1:19" x14ac:dyDescent="0.3">
      <c r="A1524" s="44" t="s">
        <v>2814</v>
      </c>
      <c r="B1524" s="44" t="s">
        <v>106</v>
      </c>
      <c r="C1524" s="44" t="s">
        <v>26</v>
      </c>
      <c r="D1524" s="44" t="s">
        <v>394</v>
      </c>
      <c r="E1524" s="44" t="s">
        <v>1381</v>
      </c>
      <c r="F1524" s="44" t="s">
        <v>1462</v>
      </c>
      <c r="G1524" s="44" t="s">
        <v>1592</v>
      </c>
      <c r="H1524" s="44" t="s">
        <v>1117</v>
      </c>
      <c r="I1524" s="44" t="s">
        <v>1106</v>
      </c>
      <c r="J1524" s="44">
        <v>99</v>
      </c>
      <c r="K1524" s="44" t="s">
        <v>2737</v>
      </c>
      <c r="L1524" s="44"/>
      <c r="M1524" s="44" t="s">
        <v>2033</v>
      </c>
      <c r="N1524" s="45">
        <v>3626340</v>
      </c>
      <c r="O1524" s="46">
        <f t="shared" si="50"/>
        <v>3626.34</v>
      </c>
      <c r="P1524" s="47">
        <f>MLCF!E102</f>
        <v>3626.34</v>
      </c>
      <c r="Q1524" s="44" t="str">
        <f t="shared" si="51"/>
        <v>PASS</v>
      </c>
      <c r="R1524" s="44" t="s">
        <v>1587</v>
      </c>
      <c r="S1524" s="44"/>
    </row>
    <row r="1525" spans="1:19" x14ac:dyDescent="0.3">
      <c r="A1525" s="44" t="s">
        <v>2815</v>
      </c>
      <c r="B1525" s="44" t="s">
        <v>106</v>
      </c>
      <c r="C1525" s="44" t="s">
        <v>27</v>
      </c>
      <c r="D1525" s="44" t="s">
        <v>394</v>
      </c>
      <c r="E1525" s="44" t="s">
        <v>1381</v>
      </c>
      <c r="F1525" s="44" t="s">
        <v>2368</v>
      </c>
      <c r="G1525" s="44" t="s">
        <v>1595</v>
      </c>
      <c r="H1525" s="44" t="s">
        <v>1120</v>
      </c>
      <c r="I1525" s="44" t="s">
        <v>1106</v>
      </c>
      <c r="J1525" s="44">
        <v>191</v>
      </c>
      <c r="K1525" s="44" t="s">
        <v>2739</v>
      </c>
      <c r="L1525" s="44"/>
      <c r="M1525" s="44" t="s">
        <v>2033</v>
      </c>
      <c r="N1525" s="45">
        <v>4491669</v>
      </c>
      <c r="O1525" s="46">
        <f t="shared" si="50"/>
        <v>4491.6689999999999</v>
      </c>
      <c r="P1525" s="47">
        <f>MLCF!F102</f>
        <v>4491.6689999999999</v>
      </c>
      <c r="Q1525" s="44" t="str">
        <f t="shared" si="51"/>
        <v>PASS</v>
      </c>
      <c r="R1525" s="44" t="s">
        <v>1587</v>
      </c>
      <c r="S1525" s="44"/>
    </row>
    <row r="1526" spans="1:19" x14ac:dyDescent="0.3">
      <c r="A1526" s="44" t="s">
        <v>2816</v>
      </c>
      <c r="B1526" s="44" t="s">
        <v>106</v>
      </c>
      <c r="C1526" s="44" t="s">
        <v>28</v>
      </c>
      <c r="D1526" s="44" t="s">
        <v>394</v>
      </c>
      <c r="E1526" s="44" t="s">
        <v>1381</v>
      </c>
      <c r="F1526" s="44" t="s">
        <v>2368</v>
      </c>
      <c r="G1526" s="44" t="s">
        <v>1598</v>
      </c>
      <c r="H1526" s="44" t="s">
        <v>1124</v>
      </c>
      <c r="I1526" s="44" t="s">
        <v>1106</v>
      </c>
      <c r="J1526" s="44">
        <v>203</v>
      </c>
      <c r="K1526" s="44" t="s">
        <v>2741</v>
      </c>
      <c r="L1526" s="44"/>
      <c r="M1526" s="44" t="s">
        <v>2033</v>
      </c>
      <c r="N1526" s="45">
        <v>5272527</v>
      </c>
      <c r="O1526" s="46">
        <f t="shared" si="50"/>
        <v>5272.527</v>
      </c>
      <c r="P1526" s="47">
        <f>MLCF!G102</f>
        <v>5272.527</v>
      </c>
      <c r="Q1526" s="44" t="str">
        <f t="shared" si="51"/>
        <v>PASS</v>
      </c>
      <c r="R1526" s="44" t="s">
        <v>1587</v>
      </c>
      <c r="S1526" s="44"/>
    </row>
    <row r="1527" spans="1:19" x14ac:dyDescent="0.3">
      <c r="A1527" s="44" t="s">
        <v>2817</v>
      </c>
      <c r="B1527" s="44" t="s">
        <v>106</v>
      </c>
      <c r="C1527" s="44" t="s">
        <v>29</v>
      </c>
      <c r="D1527" s="44" t="s">
        <v>394</v>
      </c>
      <c r="E1527" s="44" t="s">
        <v>1381</v>
      </c>
      <c r="F1527" s="44" t="s">
        <v>2368</v>
      </c>
      <c r="G1527" s="44" t="s">
        <v>1598</v>
      </c>
      <c r="H1527" s="44" t="s">
        <v>1124</v>
      </c>
      <c r="I1527" s="44" t="s">
        <v>1127</v>
      </c>
      <c r="J1527" s="44">
        <v>203</v>
      </c>
      <c r="K1527" s="44" t="s">
        <v>2741</v>
      </c>
      <c r="L1527" s="44"/>
      <c r="M1527" s="44" t="s">
        <v>2033</v>
      </c>
      <c r="N1527" s="45">
        <v>17036374</v>
      </c>
      <c r="O1527" s="46">
        <f t="shared" si="50"/>
        <v>17036.374</v>
      </c>
      <c r="P1527" s="47">
        <f>MLCF!H102</f>
        <v>17036.374</v>
      </c>
      <c r="Q1527" s="44" t="str">
        <f t="shared" si="51"/>
        <v>PASS</v>
      </c>
      <c r="R1527" s="44" t="s">
        <v>1587</v>
      </c>
      <c r="S1527" s="44"/>
    </row>
    <row r="1528" spans="1:19" x14ac:dyDescent="0.3">
      <c r="A1528" s="44" t="s">
        <v>2818</v>
      </c>
      <c r="B1528" s="44" t="s">
        <v>106</v>
      </c>
      <c r="C1528" s="44" t="s">
        <v>20</v>
      </c>
      <c r="D1528" s="44" t="s">
        <v>398</v>
      </c>
      <c r="E1528" s="44" t="s">
        <v>1130</v>
      </c>
      <c r="F1528" s="44" t="s">
        <v>2819</v>
      </c>
      <c r="G1528" s="44" t="s">
        <v>1589</v>
      </c>
      <c r="H1528" s="44" t="s">
        <v>1113</v>
      </c>
      <c r="I1528" s="44" t="s">
        <v>1106</v>
      </c>
      <c r="J1528" s="44">
        <v>242</v>
      </c>
      <c r="K1528" s="44" t="s">
        <v>2820</v>
      </c>
      <c r="L1528" s="44"/>
      <c r="M1528" s="44" t="s">
        <v>2033</v>
      </c>
      <c r="N1528" s="45">
        <v>46652</v>
      </c>
      <c r="O1528" s="46">
        <f t="shared" si="50"/>
        <v>46.652000000000001</v>
      </c>
      <c r="P1528" s="47">
        <f>MLCF!D105</f>
        <v>46.652000000000001</v>
      </c>
      <c r="Q1528" s="44" t="str">
        <f t="shared" si="51"/>
        <v>PASS</v>
      </c>
      <c r="R1528" s="44" t="s">
        <v>1587</v>
      </c>
      <c r="S1528" s="44"/>
    </row>
    <row r="1529" spans="1:19" x14ac:dyDescent="0.3">
      <c r="A1529" s="44" t="s">
        <v>2821</v>
      </c>
      <c r="B1529" s="44" t="s">
        <v>106</v>
      </c>
      <c r="C1529" s="44" t="s">
        <v>26</v>
      </c>
      <c r="D1529" s="44" t="s">
        <v>398</v>
      </c>
      <c r="E1529" s="44" t="s">
        <v>1130</v>
      </c>
      <c r="F1529" s="44" t="s">
        <v>2819</v>
      </c>
      <c r="G1529" s="44" t="s">
        <v>1589</v>
      </c>
      <c r="H1529" s="44" t="s">
        <v>1113</v>
      </c>
      <c r="I1529" s="44" t="s">
        <v>1127</v>
      </c>
      <c r="J1529" s="44">
        <v>242</v>
      </c>
      <c r="K1529" s="44" t="s">
        <v>2820</v>
      </c>
      <c r="L1529" s="44"/>
      <c r="M1529" s="44" t="s">
        <v>2033</v>
      </c>
      <c r="N1529" s="45">
        <v>51001</v>
      </c>
      <c r="O1529" s="46">
        <f t="shared" si="50"/>
        <v>51.000999999999998</v>
      </c>
      <c r="P1529" s="47">
        <f>MLCF!E105</f>
        <v>51.000999999999998</v>
      </c>
      <c r="Q1529" s="44" t="str">
        <f t="shared" si="51"/>
        <v>PASS</v>
      </c>
      <c r="R1529" s="44" t="s">
        <v>1587</v>
      </c>
      <c r="S1529" s="44"/>
    </row>
    <row r="1530" spans="1:19" x14ac:dyDescent="0.3">
      <c r="A1530" s="44" t="s">
        <v>2822</v>
      </c>
      <c r="B1530" s="44" t="s">
        <v>106</v>
      </c>
      <c r="C1530" s="44" t="s">
        <v>27</v>
      </c>
      <c r="D1530" s="44" t="s">
        <v>398</v>
      </c>
      <c r="E1530" s="44" t="s">
        <v>1130</v>
      </c>
      <c r="F1530" s="44" t="s">
        <v>2819</v>
      </c>
      <c r="G1530" s="44" t="s">
        <v>1595</v>
      </c>
      <c r="H1530" s="44" t="s">
        <v>1120</v>
      </c>
      <c r="I1530" s="44" t="s">
        <v>1106</v>
      </c>
      <c r="J1530" s="44">
        <v>250</v>
      </c>
      <c r="K1530" s="44" t="s">
        <v>2823</v>
      </c>
      <c r="L1530" s="44"/>
      <c r="M1530" s="44" t="s">
        <v>2033</v>
      </c>
      <c r="N1530" s="45">
        <v>67573</v>
      </c>
      <c r="O1530" s="46">
        <f t="shared" si="50"/>
        <v>67.572999999999993</v>
      </c>
      <c r="P1530" s="47">
        <f>MLCF!F105</f>
        <v>67.572999999999993</v>
      </c>
      <c r="Q1530" s="44" t="str">
        <f t="shared" si="51"/>
        <v>PASS</v>
      </c>
      <c r="R1530" s="44" t="s">
        <v>1587</v>
      </c>
      <c r="S1530" s="44"/>
    </row>
    <row r="1531" spans="1:19" x14ac:dyDescent="0.3">
      <c r="A1531" s="44" t="s">
        <v>2824</v>
      </c>
      <c r="B1531" s="44" t="s">
        <v>106</v>
      </c>
      <c r="C1531" s="44" t="s">
        <v>28</v>
      </c>
      <c r="D1531" s="44" t="s">
        <v>398</v>
      </c>
      <c r="E1531" s="44" t="s">
        <v>1130</v>
      </c>
      <c r="F1531" s="44" t="s">
        <v>2819</v>
      </c>
      <c r="G1531" s="44" t="s">
        <v>1598</v>
      </c>
      <c r="H1531" s="44" t="s">
        <v>1124</v>
      </c>
      <c r="I1531" s="44" t="s">
        <v>1106</v>
      </c>
      <c r="J1531" s="44">
        <v>265</v>
      </c>
      <c r="K1531" s="44" t="s">
        <v>1943</v>
      </c>
      <c r="L1531" s="44"/>
      <c r="M1531" s="44" t="s">
        <v>2033</v>
      </c>
      <c r="N1531" s="45">
        <v>82866</v>
      </c>
      <c r="O1531" s="46">
        <f t="shared" si="50"/>
        <v>82.866</v>
      </c>
      <c r="P1531" s="47">
        <f>MLCF!G105</f>
        <v>82.866</v>
      </c>
      <c r="Q1531" s="44" t="str">
        <f t="shared" si="51"/>
        <v>PASS</v>
      </c>
      <c r="R1531" s="44" t="s">
        <v>1587</v>
      </c>
      <c r="S1531" s="44"/>
    </row>
    <row r="1532" spans="1:19" x14ac:dyDescent="0.3">
      <c r="A1532" s="44" t="s">
        <v>2825</v>
      </c>
      <c r="B1532" s="44" t="s">
        <v>106</v>
      </c>
      <c r="C1532" s="44" t="s">
        <v>29</v>
      </c>
      <c r="D1532" s="44" t="s">
        <v>398</v>
      </c>
      <c r="E1532" s="44" t="s">
        <v>1130</v>
      </c>
      <c r="F1532" s="44" t="s">
        <v>2819</v>
      </c>
      <c r="G1532" s="44" t="s">
        <v>1598</v>
      </c>
      <c r="H1532" s="44" t="s">
        <v>1124</v>
      </c>
      <c r="I1532" s="44" t="s">
        <v>1127</v>
      </c>
      <c r="J1532" s="44">
        <v>265</v>
      </c>
      <c r="K1532" s="44" t="s">
        <v>1943</v>
      </c>
      <c r="L1532" s="44"/>
      <c r="M1532" s="44" t="s">
        <v>2033</v>
      </c>
      <c r="N1532" s="45">
        <v>140834</v>
      </c>
      <c r="O1532" s="46">
        <f t="shared" si="50"/>
        <v>140.834</v>
      </c>
      <c r="P1532" s="47">
        <f>MLCF!H105</f>
        <v>140.834</v>
      </c>
      <c r="Q1532" s="44" t="str">
        <f t="shared" si="51"/>
        <v>PASS</v>
      </c>
      <c r="R1532" s="44" t="s">
        <v>1587</v>
      </c>
      <c r="S1532" s="44"/>
    </row>
    <row r="1533" spans="1:19" x14ac:dyDescent="0.3">
      <c r="A1533" s="44" t="s">
        <v>2826</v>
      </c>
      <c r="B1533" s="44" t="s">
        <v>106</v>
      </c>
      <c r="C1533" s="44" t="s">
        <v>20</v>
      </c>
      <c r="D1533" s="44" t="s">
        <v>402</v>
      </c>
      <c r="E1533" s="44" t="s">
        <v>1478</v>
      </c>
      <c r="F1533" s="44" t="s">
        <v>2827</v>
      </c>
      <c r="G1533" s="44" t="s">
        <v>1589</v>
      </c>
      <c r="H1533" s="44" t="s">
        <v>1113</v>
      </c>
      <c r="I1533" s="44" t="s">
        <v>1106</v>
      </c>
      <c r="J1533" s="44">
        <v>187</v>
      </c>
      <c r="K1533" s="44" t="s">
        <v>2053</v>
      </c>
      <c r="L1533" s="44"/>
      <c r="M1533" s="44" t="s">
        <v>2033</v>
      </c>
      <c r="N1533" s="45">
        <v>3287702</v>
      </c>
      <c r="O1533" s="46">
        <f t="shared" si="50"/>
        <v>3287.7020000000002</v>
      </c>
      <c r="P1533" s="47">
        <f>MLCF!D107</f>
        <v>3287.7020000000002</v>
      </c>
      <c r="Q1533" s="44" t="str">
        <f t="shared" si="51"/>
        <v>PASS</v>
      </c>
      <c r="R1533" s="44" t="s">
        <v>1587</v>
      </c>
      <c r="S1533" s="44"/>
    </row>
    <row r="1534" spans="1:19" x14ac:dyDescent="0.3">
      <c r="A1534" s="44" t="s">
        <v>2828</v>
      </c>
      <c r="B1534" s="44" t="s">
        <v>106</v>
      </c>
      <c r="C1534" s="44" t="s">
        <v>26</v>
      </c>
      <c r="D1534" s="44" t="s">
        <v>402</v>
      </c>
      <c r="E1534" s="44" t="s">
        <v>1478</v>
      </c>
      <c r="F1534" s="44" t="s">
        <v>2827</v>
      </c>
      <c r="G1534" s="44" t="s">
        <v>1589</v>
      </c>
      <c r="H1534" s="44" t="s">
        <v>1113</v>
      </c>
      <c r="I1534" s="44" t="s">
        <v>1127</v>
      </c>
      <c r="J1534" s="44">
        <v>187</v>
      </c>
      <c r="K1534" s="44" t="s">
        <v>2053</v>
      </c>
      <c r="L1534" s="44"/>
      <c r="M1534" s="44" t="s">
        <v>2033</v>
      </c>
      <c r="N1534" s="45">
        <v>3233977</v>
      </c>
      <c r="O1534" s="46">
        <f t="shared" si="50"/>
        <v>3233.9769999999999</v>
      </c>
      <c r="P1534" s="47">
        <f>MLCF!E107</f>
        <v>3233.9769999999999</v>
      </c>
      <c r="Q1534" s="44" t="str">
        <f t="shared" si="51"/>
        <v>PASS</v>
      </c>
      <c r="R1534" s="44" t="s">
        <v>1587</v>
      </c>
      <c r="S1534" s="44"/>
    </row>
    <row r="1535" spans="1:19" x14ac:dyDescent="0.3">
      <c r="A1535" s="44" t="s">
        <v>2829</v>
      </c>
      <c r="B1535" s="44" t="s">
        <v>106</v>
      </c>
      <c r="C1535" s="44" t="s">
        <v>27</v>
      </c>
      <c r="D1535" s="44" t="s">
        <v>402</v>
      </c>
      <c r="E1535" s="44" t="s">
        <v>1478</v>
      </c>
      <c r="F1535" s="44" t="s">
        <v>2830</v>
      </c>
      <c r="G1535" s="44" t="s">
        <v>1595</v>
      </c>
      <c r="H1535" s="44" t="s">
        <v>1120</v>
      </c>
      <c r="I1535" s="44" t="s">
        <v>1106</v>
      </c>
      <c r="J1535" s="44">
        <v>252</v>
      </c>
      <c r="K1535" s="44" t="s">
        <v>2831</v>
      </c>
      <c r="L1535" s="44"/>
      <c r="M1535" s="44" t="s">
        <v>2033</v>
      </c>
      <c r="N1535" s="45">
        <v>3475349</v>
      </c>
      <c r="O1535" s="46">
        <f t="shared" si="50"/>
        <v>3475.3490000000002</v>
      </c>
      <c r="P1535" s="47">
        <f>MLCF!F107</f>
        <v>3475.3490000000002</v>
      </c>
      <c r="Q1535" s="44" t="str">
        <f t="shared" si="51"/>
        <v>PASS</v>
      </c>
      <c r="R1535" s="44" t="s">
        <v>1587</v>
      </c>
      <c r="S1535" s="44"/>
    </row>
    <row r="1536" spans="1:19" x14ac:dyDescent="0.3">
      <c r="A1536" s="44" t="s">
        <v>2832</v>
      </c>
      <c r="B1536" s="44" t="s">
        <v>106</v>
      </c>
      <c r="C1536" s="44" t="s">
        <v>28</v>
      </c>
      <c r="D1536" s="44" t="s">
        <v>402</v>
      </c>
      <c r="E1536" s="44" t="s">
        <v>1478</v>
      </c>
      <c r="F1536" s="44" t="s">
        <v>2833</v>
      </c>
      <c r="G1536" s="44" t="s">
        <v>1598</v>
      </c>
      <c r="H1536" s="44" t="s">
        <v>1124</v>
      </c>
      <c r="I1536" s="44" t="s">
        <v>1106</v>
      </c>
      <c r="J1536" s="44">
        <v>268</v>
      </c>
      <c r="K1536" s="44" t="s">
        <v>1934</v>
      </c>
      <c r="L1536" s="44"/>
      <c r="M1536" s="44" t="s">
        <v>2033</v>
      </c>
      <c r="N1536" s="45">
        <v>4520347</v>
      </c>
      <c r="O1536" s="46">
        <f t="shared" si="50"/>
        <v>4520.3469999999998</v>
      </c>
      <c r="P1536" s="47">
        <f>MLCF!G107</f>
        <v>4520.3469999999998</v>
      </c>
      <c r="Q1536" s="44" t="str">
        <f t="shared" si="51"/>
        <v>PASS</v>
      </c>
      <c r="R1536" s="44" t="s">
        <v>1587</v>
      </c>
      <c r="S1536" s="44"/>
    </row>
    <row r="1537" spans="1:19" x14ac:dyDescent="0.3">
      <c r="A1537" s="44" t="s">
        <v>2834</v>
      </c>
      <c r="B1537" s="44" t="s">
        <v>106</v>
      </c>
      <c r="C1537" s="44" t="s">
        <v>29</v>
      </c>
      <c r="D1537" s="44" t="s">
        <v>402</v>
      </c>
      <c r="E1537" s="44" t="s">
        <v>1478</v>
      </c>
      <c r="F1537" s="44" t="s">
        <v>2833</v>
      </c>
      <c r="G1537" s="44" t="s">
        <v>1598</v>
      </c>
      <c r="H1537" s="44" t="s">
        <v>1124</v>
      </c>
      <c r="I1537" s="44" t="s">
        <v>1127</v>
      </c>
      <c r="J1537" s="44">
        <v>268</v>
      </c>
      <c r="K1537" s="44" t="s">
        <v>1934</v>
      </c>
      <c r="L1537" s="44"/>
      <c r="M1537" s="44" t="s">
        <v>2033</v>
      </c>
      <c r="N1537" s="45">
        <v>4413300</v>
      </c>
      <c r="O1537" s="46">
        <f t="shared" si="50"/>
        <v>4413.3</v>
      </c>
      <c r="P1537" s="47">
        <f>MLCF!H107</f>
        <v>4413.3</v>
      </c>
      <c r="Q1537" s="44" t="str">
        <f t="shared" si="51"/>
        <v>PASS</v>
      </c>
      <c r="R1537" s="44" t="s">
        <v>1587</v>
      </c>
      <c r="S1537" s="44"/>
    </row>
    <row r="1538" spans="1:19" x14ac:dyDescent="0.3">
      <c r="A1538" s="44" t="s">
        <v>2835</v>
      </c>
      <c r="B1538" s="44" t="s">
        <v>106</v>
      </c>
      <c r="C1538" s="44" t="s">
        <v>20</v>
      </c>
      <c r="D1538" s="44" t="s">
        <v>418</v>
      </c>
      <c r="E1538" s="44" t="s">
        <v>1478</v>
      </c>
      <c r="F1538" s="44" t="s">
        <v>2836</v>
      </c>
      <c r="G1538" s="44" t="s">
        <v>1589</v>
      </c>
      <c r="H1538" s="44" t="s">
        <v>1113</v>
      </c>
      <c r="I1538" s="44" t="s">
        <v>1106</v>
      </c>
      <c r="J1538" s="44">
        <v>187</v>
      </c>
      <c r="K1538" s="44" t="s">
        <v>2053</v>
      </c>
      <c r="L1538" s="44"/>
      <c r="M1538" s="44" t="s">
        <v>2033</v>
      </c>
      <c r="N1538" s="45">
        <v>9013169</v>
      </c>
      <c r="O1538" s="46">
        <f t="shared" si="50"/>
        <v>9013.1689999999999</v>
      </c>
      <c r="P1538" s="47">
        <f>MLCF!D116</f>
        <v>9013.1689999999999</v>
      </c>
      <c r="Q1538" s="44" t="str">
        <f t="shared" si="51"/>
        <v>PASS</v>
      </c>
      <c r="R1538" s="44" t="s">
        <v>1587</v>
      </c>
      <c r="S1538" s="44" t="s">
        <v>1114</v>
      </c>
    </row>
    <row r="1539" spans="1:19" x14ac:dyDescent="0.3">
      <c r="A1539" s="44" t="s">
        <v>2837</v>
      </c>
      <c r="B1539" s="44" t="s">
        <v>106</v>
      </c>
      <c r="C1539" s="44" t="s">
        <v>26</v>
      </c>
      <c r="D1539" s="44" t="s">
        <v>418</v>
      </c>
      <c r="E1539" s="44" t="s">
        <v>1478</v>
      </c>
      <c r="F1539" s="44" t="s">
        <v>2836</v>
      </c>
      <c r="G1539" s="44" t="s">
        <v>1592</v>
      </c>
      <c r="H1539" s="44" t="s">
        <v>1117</v>
      </c>
      <c r="I1539" s="44" t="s">
        <v>1106</v>
      </c>
      <c r="J1539" s="44">
        <v>100</v>
      </c>
      <c r="K1539" s="44" t="s">
        <v>1107</v>
      </c>
      <c r="L1539" s="44"/>
      <c r="M1539" s="44" t="s">
        <v>2033</v>
      </c>
      <c r="N1539" s="45">
        <v>12905198</v>
      </c>
      <c r="O1539" s="46">
        <f t="shared" si="50"/>
        <v>12905.198</v>
      </c>
      <c r="P1539" s="47">
        <f>MLCF!E116</f>
        <v>12905.198</v>
      </c>
      <c r="Q1539" s="44" t="str">
        <f t="shared" si="51"/>
        <v>PASS</v>
      </c>
      <c r="R1539" s="44" t="s">
        <v>1587</v>
      </c>
      <c r="S1539" s="44" t="s">
        <v>1114</v>
      </c>
    </row>
    <row r="1540" spans="1:19" x14ac:dyDescent="0.3">
      <c r="A1540" s="44" t="s">
        <v>2838</v>
      </c>
      <c r="B1540" s="44" t="s">
        <v>106</v>
      </c>
      <c r="C1540" s="44" t="s">
        <v>27</v>
      </c>
      <c r="D1540" s="44" t="s">
        <v>418</v>
      </c>
      <c r="E1540" s="44" t="s">
        <v>1478</v>
      </c>
      <c r="F1540" s="44" t="s">
        <v>1487</v>
      </c>
      <c r="G1540" s="44" t="s">
        <v>1595</v>
      </c>
      <c r="H1540" s="44" t="s">
        <v>1120</v>
      </c>
      <c r="I1540" s="44" t="s">
        <v>1106</v>
      </c>
      <c r="J1540" s="44">
        <v>193</v>
      </c>
      <c r="K1540" s="44" t="s">
        <v>2839</v>
      </c>
      <c r="L1540" s="44"/>
      <c r="M1540" s="44" t="s">
        <v>2033</v>
      </c>
      <c r="N1540" s="45">
        <v>19906827</v>
      </c>
      <c r="O1540" s="46">
        <f t="shared" si="50"/>
        <v>19906.827000000001</v>
      </c>
      <c r="P1540" s="47">
        <f>MLCF!F116</f>
        <v>19906.827000000001</v>
      </c>
      <c r="Q1540" s="44" t="str">
        <f t="shared" si="51"/>
        <v>PASS</v>
      </c>
      <c r="R1540" s="44" t="s">
        <v>1587</v>
      </c>
      <c r="S1540" s="44" t="s">
        <v>1114</v>
      </c>
    </row>
    <row r="1541" spans="1:19" x14ac:dyDescent="0.3">
      <c r="A1541" s="44" t="s">
        <v>2840</v>
      </c>
      <c r="B1541" s="44" t="s">
        <v>106</v>
      </c>
      <c r="C1541" s="44" t="s">
        <v>28</v>
      </c>
      <c r="D1541" s="44" t="s">
        <v>418</v>
      </c>
      <c r="E1541" s="44" t="s">
        <v>1478</v>
      </c>
      <c r="F1541" s="44" t="s">
        <v>1487</v>
      </c>
      <c r="G1541" s="44" t="s">
        <v>1598</v>
      </c>
      <c r="H1541" s="44" t="s">
        <v>1124</v>
      </c>
      <c r="I1541" s="44" t="s">
        <v>1106</v>
      </c>
      <c r="J1541" s="44">
        <v>205</v>
      </c>
      <c r="K1541" s="44" t="s">
        <v>2454</v>
      </c>
      <c r="L1541" s="44"/>
      <c r="M1541" s="44" t="s">
        <v>2033</v>
      </c>
      <c r="N1541" s="45">
        <v>12810292</v>
      </c>
      <c r="O1541" s="46">
        <f t="shared" si="50"/>
        <v>12810.291999999999</v>
      </c>
      <c r="P1541" s="47">
        <f>MLCF!G116</f>
        <v>12810.291999999999</v>
      </c>
      <c r="Q1541" s="44" t="str">
        <f t="shared" si="51"/>
        <v>PASS</v>
      </c>
      <c r="R1541" s="44" t="s">
        <v>1587</v>
      </c>
      <c r="S1541" s="44"/>
    </row>
    <row r="1542" spans="1:19" x14ac:dyDescent="0.3">
      <c r="A1542" s="44" t="s">
        <v>2841</v>
      </c>
      <c r="B1542" s="44" t="s">
        <v>106</v>
      </c>
      <c r="C1542" s="44" t="s">
        <v>29</v>
      </c>
      <c r="D1542" s="44" t="s">
        <v>418</v>
      </c>
      <c r="E1542" s="44" t="s">
        <v>1478</v>
      </c>
      <c r="F1542" s="44" t="s">
        <v>1487</v>
      </c>
      <c r="G1542" s="44" t="s">
        <v>1598</v>
      </c>
      <c r="H1542" s="44" t="s">
        <v>1124</v>
      </c>
      <c r="I1542" s="44" t="s">
        <v>1127</v>
      </c>
      <c r="J1542" s="44">
        <v>205</v>
      </c>
      <c r="K1542" s="44" t="s">
        <v>2454</v>
      </c>
      <c r="L1542" s="44"/>
      <c r="M1542" s="44" t="s">
        <v>2033</v>
      </c>
      <c r="N1542" s="45">
        <v>23320309</v>
      </c>
      <c r="O1542" s="46">
        <f t="shared" si="50"/>
        <v>23320.309000000001</v>
      </c>
      <c r="P1542" s="47">
        <f>MLCF!H116</f>
        <v>23320.309000000001</v>
      </c>
      <c r="Q1542" s="44" t="str">
        <f t="shared" si="51"/>
        <v>PASS</v>
      </c>
      <c r="R1542" s="44" t="s">
        <v>1587</v>
      </c>
      <c r="S1542" s="44"/>
    </row>
    <row r="1543" spans="1:19" x14ac:dyDescent="0.3">
      <c r="A1543" s="44" t="s">
        <v>2842</v>
      </c>
      <c r="B1543" s="44" t="s">
        <v>106</v>
      </c>
      <c r="C1543" s="44" t="s">
        <v>20</v>
      </c>
      <c r="D1543" s="44" t="s">
        <v>420</v>
      </c>
      <c r="E1543" s="44" t="s">
        <v>1478</v>
      </c>
      <c r="F1543" s="44" t="s">
        <v>1493</v>
      </c>
      <c r="G1543" s="44" t="s">
        <v>1589</v>
      </c>
      <c r="H1543" s="44" t="s">
        <v>1113</v>
      </c>
      <c r="I1543" s="44" t="s">
        <v>1106</v>
      </c>
      <c r="J1543" s="44">
        <v>187</v>
      </c>
      <c r="K1543" s="44" t="s">
        <v>2053</v>
      </c>
      <c r="L1543" s="44"/>
      <c r="M1543" s="44" t="s">
        <v>2033</v>
      </c>
      <c r="N1543" s="45">
        <v>6551967</v>
      </c>
      <c r="O1543" s="46">
        <f t="shared" si="50"/>
        <v>6551.9669999999996</v>
      </c>
      <c r="P1543" s="47">
        <f>MLCF!D117</f>
        <v>6551.9669999999996</v>
      </c>
      <c r="Q1543" s="44" t="str">
        <f t="shared" si="51"/>
        <v>PASS</v>
      </c>
      <c r="R1543" s="44" t="s">
        <v>1587</v>
      </c>
      <c r="S1543" s="44"/>
    </row>
    <row r="1544" spans="1:19" x14ac:dyDescent="0.3">
      <c r="A1544" s="44" t="s">
        <v>2843</v>
      </c>
      <c r="B1544" s="44" t="s">
        <v>106</v>
      </c>
      <c r="C1544" s="44" t="s">
        <v>26</v>
      </c>
      <c r="D1544" s="44" t="s">
        <v>420</v>
      </c>
      <c r="E1544" s="44" t="s">
        <v>1478</v>
      </c>
      <c r="F1544" s="44" t="s">
        <v>1493</v>
      </c>
      <c r="G1544" s="44" t="s">
        <v>1592</v>
      </c>
      <c r="H1544" s="44" t="s">
        <v>1117</v>
      </c>
      <c r="I1544" s="44" t="s">
        <v>1106</v>
      </c>
      <c r="J1544" s="44">
        <v>100</v>
      </c>
      <c r="K1544" s="44" t="s">
        <v>1107</v>
      </c>
      <c r="L1544" s="44"/>
      <c r="M1544" s="44" t="s">
        <v>2033</v>
      </c>
      <c r="N1544" s="45">
        <v>8330107</v>
      </c>
      <c r="O1544" s="46">
        <f t="shared" si="50"/>
        <v>8330.107</v>
      </c>
      <c r="P1544" s="47">
        <f>MLCF!E117</f>
        <v>8330.107</v>
      </c>
      <c r="Q1544" s="44" t="str">
        <f t="shared" si="51"/>
        <v>PASS</v>
      </c>
      <c r="R1544" s="44" t="s">
        <v>1587</v>
      </c>
      <c r="S1544" s="44" t="s">
        <v>1114</v>
      </c>
    </row>
    <row r="1545" spans="1:19" x14ac:dyDescent="0.3">
      <c r="A1545" s="44" t="s">
        <v>2844</v>
      </c>
      <c r="B1545" s="44" t="s">
        <v>106</v>
      </c>
      <c r="C1545" s="44" t="s">
        <v>27</v>
      </c>
      <c r="D1545" s="44" t="s">
        <v>420</v>
      </c>
      <c r="E1545" s="44" t="s">
        <v>1478</v>
      </c>
      <c r="F1545" s="44" t="s">
        <v>2407</v>
      </c>
      <c r="G1545" s="44" t="s">
        <v>1595</v>
      </c>
      <c r="H1545" s="44" t="s">
        <v>1120</v>
      </c>
      <c r="I1545" s="44" t="s">
        <v>1106</v>
      </c>
      <c r="J1545" s="44">
        <v>193</v>
      </c>
      <c r="K1545" s="44" t="s">
        <v>2839</v>
      </c>
      <c r="L1545" s="44"/>
      <c r="M1545" s="44" t="s">
        <v>2033</v>
      </c>
      <c r="N1545" s="45">
        <v>20143665</v>
      </c>
      <c r="O1545" s="46">
        <f t="shared" si="50"/>
        <v>20143.665000000001</v>
      </c>
      <c r="P1545" s="47">
        <f>MLCF!F117</f>
        <v>20143.665000000001</v>
      </c>
      <c r="Q1545" s="44" t="str">
        <f t="shared" si="51"/>
        <v>PASS</v>
      </c>
      <c r="R1545" s="44" t="s">
        <v>1587</v>
      </c>
      <c r="S1545" s="44"/>
    </row>
    <row r="1546" spans="1:19" x14ac:dyDescent="0.3">
      <c r="A1546" s="44" t="s">
        <v>2845</v>
      </c>
      <c r="B1546" s="44" t="s">
        <v>106</v>
      </c>
      <c r="C1546" s="44" t="s">
        <v>28</v>
      </c>
      <c r="D1546" s="44" t="s">
        <v>420</v>
      </c>
      <c r="E1546" s="44" t="s">
        <v>1478</v>
      </c>
      <c r="F1546" s="44" t="s">
        <v>2407</v>
      </c>
      <c r="G1546" s="44" t="s">
        <v>1598</v>
      </c>
      <c r="H1546" s="44" t="s">
        <v>1124</v>
      </c>
      <c r="I1546" s="44" t="s">
        <v>1106</v>
      </c>
      <c r="J1546" s="44">
        <v>205</v>
      </c>
      <c r="K1546" s="44" t="s">
        <v>2454</v>
      </c>
      <c r="L1546" s="44"/>
      <c r="M1546" s="44" t="s">
        <v>2033</v>
      </c>
      <c r="N1546" s="45">
        <v>9496243</v>
      </c>
      <c r="O1546" s="46">
        <f t="shared" si="50"/>
        <v>9496.2430000000004</v>
      </c>
      <c r="P1546" s="47">
        <f>MLCF!G117</f>
        <v>9496.2430000000004</v>
      </c>
      <c r="Q1546" s="44" t="str">
        <f t="shared" si="51"/>
        <v>PASS</v>
      </c>
      <c r="R1546" s="44" t="s">
        <v>1587</v>
      </c>
      <c r="S1546" s="44"/>
    </row>
    <row r="1547" spans="1:19" x14ac:dyDescent="0.3">
      <c r="A1547" s="44" t="s">
        <v>2846</v>
      </c>
      <c r="B1547" s="44" t="s">
        <v>106</v>
      </c>
      <c r="C1547" s="44" t="s">
        <v>29</v>
      </c>
      <c r="D1547" s="44" t="s">
        <v>420</v>
      </c>
      <c r="E1547" s="44" t="s">
        <v>1478</v>
      </c>
      <c r="F1547" s="44" t="s">
        <v>2407</v>
      </c>
      <c r="G1547" s="44" t="s">
        <v>1598</v>
      </c>
      <c r="H1547" s="44" t="s">
        <v>1124</v>
      </c>
      <c r="I1547" s="44" t="s">
        <v>1127</v>
      </c>
      <c r="J1547" s="44">
        <v>205</v>
      </c>
      <c r="K1547" s="44" t="s">
        <v>2454</v>
      </c>
      <c r="L1547" s="44"/>
      <c r="M1547" s="44" t="s">
        <v>2033</v>
      </c>
      <c r="N1547" s="45">
        <v>19316637</v>
      </c>
      <c r="O1547" s="46">
        <f t="shared" si="50"/>
        <v>19316.636999999999</v>
      </c>
      <c r="P1547" s="47">
        <f>MLCF!H117</f>
        <v>19316.636999999999</v>
      </c>
      <c r="Q1547" s="44" t="str">
        <f t="shared" si="51"/>
        <v>PASS</v>
      </c>
      <c r="R1547" s="44" t="s">
        <v>1587</v>
      </c>
      <c r="S1547" s="44"/>
    </row>
    <row r="1548" spans="1:19" x14ac:dyDescent="0.3">
      <c r="A1548" s="44" t="s">
        <v>2847</v>
      </c>
      <c r="B1548" s="44" t="s">
        <v>106</v>
      </c>
      <c r="C1548" s="44" t="s">
        <v>20</v>
      </c>
      <c r="D1548" s="44" t="s">
        <v>422</v>
      </c>
      <c r="E1548" s="44" t="s">
        <v>1478</v>
      </c>
      <c r="F1548" s="44" t="s">
        <v>1499</v>
      </c>
      <c r="G1548" s="44" t="s">
        <v>1589</v>
      </c>
      <c r="H1548" s="44" t="s">
        <v>1113</v>
      </c>
      <c r="I1548" s="44" t="s">
        <v>1106</v>
      </c>
      <c r="J1548" s="44">
        <v>187</v>
      </c>
      <c r="K1548" s="44" t="s">
        <v>2053</v>
      </c>
      <c r="L1548" s="44"/>
      <c r="M1548" s="44" t="s">
        <v>2033</v>
      </c>
      <c r="N1548" s="45">
        <v>-1733621</v>
      </c>
      <c r="O1548" s="46">
        <f t="shared" si="50"/>
        <v>-1733.6210000000001</v>
      </c>
      <c r="P1548" s="47">
        <f>MLCF!D118</f>
        <v>-1733.6210000000001</v>
      </c>
      <c r="Q1548" s="44" t="str">
        <f t="shared" si="51"/>
        <v>PASS</v>
      </c>
      <c r="R1548" s="44" t="s">
        <v>1587</v>
      </c>
      <c r="S1548" s="44"/>
    </row>
    <row r="1549" spans="1:19" x14ac:dyDescent="0.3">
      <c r="A1549" s="44" t="s">
        <v>2848</v>
      </c>
      <c r="B1549" s="44" t="s">
        <v>106</v>
      </c>
      <c r="C1549" s="44" t="s">
        <v>26</v>
      </c>
      <c r="D1549" s="44" t="s">
        <v>422</v>
      </c>
      <c r="E1549" s="44" t="s">
        <v>1478</v>
      </c>
      <c r="F1549" s="44" t="s">
        <v>1499</v>
      </c>
      <c r="G1549" s="44" t="s">
        <v>1592</v>
      </c>
      <c r="H1549" s="44" t="s">
        <v>1117</v>
      </c>
      <c r="I1549" s="44" t="s">
        <v>1106</v>
      </c>
      <c r="J1549" s="44">
        <v>100</v>
      </c>
      <c r="K1549" s="44" t="s">
        <v>1107</v>
      </c>
      <c r="L1549" s="44"/>
      <c r="M1549" s="44" t="s">
        <v>2033</v>
      </c>
      <c r="N1549" s="45">
        <v>-1296781</v>
      </c>
      <c r="O1549" s="46">
        <f t="shared" si="50"/>
        <v>-1296.7809999999999</v>
      </c>
      <c r="P1549" s="47">
        <f>MLCF!E118</f>
        <v>-1296.7809999999999</v>
      </c>
      <c r="Q1549" s="44" t="str">
        <f t="shared" si="51"/>
        <v>PASS</v>
      </c>
      <c r="R1549" s="44" t="s">
        <v>1587</v>
      </c>
      <c r="S1549" s="44"/>
    </row>
    <row r="1550" spans="1:19" x14ac:dyDescent="0.3">
      <c r="A1550" s="44" t="s">
        <v>2849</v>
      </c>
      <c r="B1550" s="44" t="s">
        <v>106</v>
      </c>
      <c r="C1550" s="44" t="s">
        <v>27</v>
      </c>
      <c r="D1550" s="44" t="s">
        <v>422</v>
      </c>
      <c r="E1550" s="44" t="s">
        <v>1478</v>
      </c>
      <c r="F1550" s="44" t="s">
        <v>1499</v>
      </c>
      <c r="G1550" s="44" t="s">
        <v>1595</v>
      </c>
      <c r="H1550" s="44" t="s">
        <v>1120</v>
      </c>
      <c r="I1550" s="44" t="s">
        <v>1106</v>
      </c>
      <c r="J1550" s="44">
        <v>193</v>
      </c>
      <c r="K1550" s="44" t="s">
        <v>2839</v>
      </c>
      <c r="L1550" s="44"/>
      <c r="M1550" s="44" t="s">
        <v>2033</v>
      </c>
      <c r="N1550" s="45">
        <v>-2527786</v>
      </c>
      <c r="O1550" s="46">
        <f t="shared" si="50"/>
        <v>-2527.7860000000001</v>
      </c>
      <c r="P1550" s="47">
        <f>MLCF!F118</f>
        <v>-2527.7860000000001</v>
      </c>
      <c r="Q1550" s="44" t="str">
        <f t="shared" si="51"/>
        <v>PASS</v>
      </c>
      <c r="R1550" s="44" t="s">
        <v>1587</v>
      </c>
      <c r="S1550" s="44"/>
    </row>
    <row r="1551" spans="1:19" x14ac:dyDescent="0.3">
      <c r="A1551" s="44" t="s">
        <v>2850</v>
      </c>
      <c r="B1551" s="44" t="s">
        <v>106</v>
      </c>
      <c r="C1551" s="44" t="s">
        <v>28</v>
      </c>
      <c r="D1551" s="44" t="s">
        <v>422</v>
      </c>
      <c r="E1551" s="44" t="s">
        <v>1478</v>
      </c>
      <c r="F1551" s="44" t="s">
        <v>1499</v>
      </c>
      <c r="G1551" s="44" t="s">
        <v>1598</v>
      </c>
      <c r="H1551" s="44" t="s">
        <v>1124</v>
      </c>
      <c r="I1551" s="44" t="s">
        <v>1106</v>
      </c>
      <c r="J1551" s="44">
        <v>205</v>
      </c>
      <c r="K1551" s="44" t="s">
        <v>2454</v>
      </c>
      <c r="L1551" s="44"/>
      <c r="M1551" s="44" t="s">
        <v>2033</v>
      </c>
      <c r="N1551" s="45">
        <v>-4145538</v>
      </c>
      <c r="O1551" s="46">
        <f t="shared" si="50"/>
        <v>-4145.5379999999996</v>
      </c>
      <c r="P1551" s="47">
        <f>MLCF!G118</f>
        <v>-4145.5379999999996</v>
      </c>
      <c r="Q1551" s="44" t="str">
        <f t="shared" si="51"/>
        <v>PASS</v>
      </c>
      <c r="R1551" s="44" t="s">
        <v>1587</v>
      </c>
      <c r="S1551" s="44"/>
    </row>
    <row r="1552" spans="1:19" x14ac:dyDescent="0.3">
      <c r="A1552" s="44" t="s">
        <v>2851</v>
      </c>
      <c r="B1552" s="44" t="s">
        <v>106</v>
      </c>
      <c r="C1552" s="44" t="s">
        <v>29</v>
      </c>
      <c r="D1552" s="44" t="s">
        <v>422</v>
      </c>
      <c r="E1552" s="44" t="s">
        <v>1478</v>
      </c>
      <c r="F1552" s="44" t="s">
        <v>1499</v>
      </c>
      <c r="G1552" s="44" t="s">
        <v>1598</v>
      </c>
      <c r="H1552" s="44" t="s">
        <v>1124</v>
      </c>
      <c r="I1552" s="44" t="s">
        <v>1127</v>
      </c>
      <c r="J1552" s="44">
        <v>205</v>
      </c>
      <c r="K1552" s="44" t="s">
        <v>2454</v>
      </c>
      <c r="L1552" s="44"/>
      <c r="M1552" s="44" t="s">
        <v>2033</v>
      </c>
      <c r="N1552" s="45">
        <v>-4093012</v>
      </c>
      <c r="O1552" s="46">
        <f t="shared" si="50"/>
        <v>-4093.0120000000002</v>
      </c>
      <c r="P1552" s="47">
        <f>MLCF!H118</f>
        <v>-4093.0120000000002</v>
      </c>
      <c r="Q1552" s="44" t="str">
        <f t="shared" si="51"/>
        <v>PASS</v>
      </c>
      <c r="R1552" s="44" t="s">
        <v>1587</v>
      </c>
      <c r="S1552" s="44"/>
    </row>
    <row r="1553" spans="1:19" x14ac:dyDescent="0.3">
      <c r="A1553" s="44" t="s">
        <v>2852</v>
      </c>
      <c r="B1553" s="44" t="s">
        <v>106</v>
      </c>
      <c r="C1553" s="44" t="s">
        <v>20</v>
      </c>
      <c r="D1553" s="44" t="s">
        <v>424</v>
      </c>
      <c r="E1553" s="44" t="s">
        <v>1478</v>
      </c>
      <c r="F1553" s="44" t="s">
        <v>1505</v>
      </c>
      <c r="G1553" s="44" t="s">
        <v>1589</v>
      </c>
      <c r="H1553" s="44" t="s">
        <v>1113</v>
      </c>
      <c r="I1553" s="44" t="s">
        <v>1106</v>
      </c>
      <c r="J1553" s="44">
        <v>187</v>
      </c>
      <c r="K1553" s="44" t="s">
        <v>2053</v>
      </c>
      <c r="L1553" s="44"/>
      <c r="M1553" s="44" t="s">
        <v>427</v>
      </c>
      <c r="N1553" s="44" t="s">
        <v>823</v>
      </c>
      <c r="O1553" s="44" t="str">
        <f>N1553</f>
        <v>Financing</v>
      </c>
      <c r="P1553" s="44" t="str">
        <f>MLCF!D119</f>
        <v>Financing</v>
      </c>
      <c r="Q1553" s="44" t="str">
        <f>IF(O1553=P1553,"PASS","FAIL")</f>
        <v>PASS</v>
      </c>
      <c r="R1553" s="44" t="s">
        <v>1587</v>
      </c>
      <c r="S1553" s="44"/>
    </row>
    <row r="1554" spans="1:19" x14ac:dyDescent="0.3">
      <c r="A1554" s="44" t="s">
        <v>2853</v>
      </c>
      <c r="B1554" s="44" t="s">
        <v>106</v>
      </c>
      <c r="C1554" s="44" t="s">
        <v>26</v>
      </c>
      <c r="D1554" s="44" t="s">
        <v>424</v>
      </c>
      <c r="E1554" s="44" t="s">
        <v>1478</v>
      </c>
      <c r="F1554" s="44" t="s">
        <v>1505</v>
      </c>
      <c r="G1554" s="44" t="s">
        <v>1592</v>
      </c>
      <c r="H1554" s="44" t="s">
        <v>1117</v>
      </c>
      <c r="I1554" s="44" t="s">
        <v>1106</v>
      </c>
      <c r="J1554" s="44">
        <v>196</v>
      </c>
      <c r="K1554" s="44" t="s">
        <v>1107</v>
      </c>
      <c r="L1554" s="44"/>
      <c r="M1554" s="44" t="s">
        <v>427</v>
      </c>
      <c r="N1554" s="44" t="s">
        <v>823</v>
      </c>
      <c r="O1554" s="44" t="str">
        <f>N1554</f>
        <v>Financing</v>
      </c>
      <c r="P1554" s="44" t="str">
        <f>MLCF!E119</f>
        <v>Financing</v>
      </c>
      <c r="Q1554" s="44" t="str">
        <f>IF(O1554=P1554,"PASS","FAIL")</f>
        <v>PASS</v>
      </c>
      <c r="R1554" s="44" t="s">
        <v>1587</v>
      </c>
      <c r="S1554" s="44"/>
    </row>
    <row r="1555" spans="1:19" x14ac:dyDescent="0.3">
      <c r="A1555" s="44" t="s">
        <v>2854</v>
      </c>
      <c r="B1555" s="44" t="s">
        <v>106</v>
      </c>
      <c r="C1555" s="44" t="s">
        <v>27</v>
      </c>
      <c r="D1555" s="44" t="s">
        <v>424</v>
      </c>
      <c r="E1555" s="44" t="s">
        <v>1478</v>
      </c>
      <c r="F1555" s="44" t="s">
        <v>1505</v>
      </c>
      <c r="G1555" s="44" t="s">
        <v>1595</v>
      </c>
      <c r="H1555" s="44" t="s">
        <v>1120</v>
      </c>
      <c r="I1555" s="44" t="s">
        <v>1106</v>
      </c>
      <c r="J1555" s="44">
        <v>193</v>
      </c>
      <c r="K1555" s="44" t="s">
        <v>2839</v>
      </c>
      <c r="L1555" s="44"/>
      <c r="M1555" s="44" t="s">
        <v>427</v>
      </c>
      <c r="N1555" s="44" t="s">
        <v>823</v>
      </c>
      <c r="O1555" s="44" t="str">
        <f>N1555</f>
        <v>Financing</v>
      </c>
      <c r="P1555" s="44" t="str">
        <f>MLCF!F119</f>
        <v>Financing</v>
      </c>
      <c r="Q1555" s="44" t="str">
        <f>IF(O1555=P1555,"PASS","FAIL")</f>
        <v>PASS</v>
      </c>
      <c r="R1555" s="44" t="s">
        <v>1587</v>
      </c>
      <c r="S1555" s="44"/>
    </row>
    <row r="1556" spans="1:19" x14ac:dyDescent="0.3">
      <c r="A1556" s="44" t="s">
        <v>2855</v>
      </c>
      <c r="B1556" s="44" t="s">
        <v>106</v>
      </c>
      <c r="C1556" s="44" t="s">
        <v>28</v>
      </c>
      <c r="D1556" s="44" t="s">
        <v>424</v>
      </c>
      <c r="E1556" s="44" t="s">
        <v>1478</v>
      </c>
      <c r="F1556" s="44" t="s">
        <v>1505</v>
      </c>
      <c r="G1556" s="44" t="s">
        <v>1598</v>
      </c>
      <c r="H1556" s="44" t="s">
        <v>1124</v>
      </c>
      <c r="I1556" s="44" t="s">
        <v>1106</v>
      </c>
      <c r="J1556" s="44">
        <v>205</v>
      </c>
      <c r="K1556" s="44" t="s">
        <v>2454</v>
      </c>
      <c r="L1556" s="44"/>
      <c r="M1556" s="44" t="s">
        <v>427</v>
      </c>
      <c r="N1556" s="44" t="s">
        <v>823</v>
      </c>
      <c r="O1556" s="44" t="str">
        <f>N1556</f>
        <v>Financing</v>
      </c>
      <c r="P1556" s="44" t="str">
        <f>MLCF!G119</f>
        <v>Financing</v>
      </c>
      <c r="Q1556" s="44" t="str">
        <f>IF(O1556=P1556,"PASS","FAIL")</f>
        <v>PASS</v>
      </c>
      <c r="R1556" s="44" t="s">
        <v>1587</v>
      </c>
      <c r="S1556" s="44"/>
    </row>
    <row r="1557" spans="1:19" x14ac:dyDescent="0.3">
      <c r="A1557" s="44" t="s">
        <v>2856</v>
      </c>
      <c r="B1557" s="44" t="s">
        <v>106</v>
      </c>
      <c r="C1557" s="44" t="s">
        <v>29</v>
      </c>
      <c r="D1557" s="44" t="s">
        <v>424</v>
      </c>
      <c r="E1557" s="44" t="s">
        <v>1478</v>
      </c>
      <c r="F1557" s="44" t="s">
        <v>1505</v>
      </c>
      <c r="G1557" s="44" t="s">
        <v>1598</v>
      </c>
      <c r="H1557" s="44" t="s">
        <v>1124</v>
      </c>
      <c r="I1557" s="44" t="s">
        <v>1127</v>
      </c>
      <c r="J1557" s="44">
        <v>205</v>
      </c>
      <c r="K1557" s="44" t="s">
        <v>2454</v>
      </c>
      <c r="L1557" s="44"/>
      <c r="M1557" s="44" t="s">
        <v>427</v>
      </c>
      <c r="N1557" s="44" t="s">
        <v>823</v>
      </c>
      <c r="O1557" s="44" t="str">
        <f>N1557</f>
        <v>Financing</v>
      </c>
      <c r="P1557" s="44" t="str">
        <f>MLCF!H119</f>
        <v>Financing</v>
      </c>
      <c r="Q1557" s="44" t="str">
        <f>IF(O1557=P1557,"PASS","FAIL")</f>
        <v>PASS</v>
      </c>
      <c r="R1557" s="44" t="s">
        <v>1587</v>
      </c>
      <c r="S1557" s="44"/>
    </row>
    <row r="1558" spans="1:19" x14ac:dyDescent="0.3">
      <c r="A1558" s="44" t="s">
        <v>2857</v>
      </c>
      <c r="B1558" s="44" t="s">
        <v>106</v>
      </c>
      <c r="C1558" s="44" t="s">
        <v>20</v>
      </c>
      <c r="D1558" s="44" t="s">
        <v>430</v>
      </c>
      <c r="E1558" s="44" t="s">
        <v>1478</v>
      </c>
      <c r="F1558" s="44" t="s">
        <v>2858</v>
      </c>
      <c r="G1558" s="44" t="s">
        <v>1589</v>
      </c>
      <c r="H1558" s="44" t="s">
        <v>1113</v>
      </c>
      <c r="I1558" s="44" t="s">
        <v>1106</v>
      </c>
      <c r="J1558" s="44">
        <v>187</v>
      </c>
      <c r="K1558" s="44" t="s">
        <v>2053</v>
      </c>
      <c r="L1558" s="44"/>
      <c r="M1558" s="44" t="s">
        <v>2033</v>
      </c>
      <c r="N1558" s="45">
        <v>-3285300</v>
      </c>
      <c r="O1558" s="46">
        <f t="shared" ref="O1558:O1577" si="52">N1558/1000</f>
        <v>-3285.3</v>
      </c>
      <c r="P1558" s="47">
        <f>MLCF!D121</f>
        <v>-3285.3</v>
      </c>
      <c r="Q1558" s="44" t="str">
        <f t="shared" ref="Q1558:Q1621" si="53">IF(ABS(O1558-P1558)&lt;0.000001,"PASS","FAIL")</f>
        <v>PASS</v>
      </c>
      <c r="R1558" s="44" t="s">
        <v>1587</v>
      </c>
      <c r="S1558" s="44"/>
    </row>
    <row r="1559" spans="1:19" x14ac:dyDescent="0.3">
      <c r="A1559" s="44" t="s">
        <v>2859</v>
      </c>
      <c r="B1559" s="44" t="s">
        <v>106</v>
      </c>
      <c r="C1559" s="44" t="s">
        <v>26</v>
      </c>
      <c r="D1559" s="44" t="s">
        <v>430</v>
      </c>
      <c r="E1559" s="44" t="s">
        <v>1478</v>
      </c>
      <c r="F1559" s="44" t="s">
        <v>2858</v>
      </c>
      <c r="G1559" s="44" t="s">
        <v>1592</v>
      </c>
      <c r="H1559" s="44" t="s">
        <v>1117</v>
      </c>
      <c r="I1559" s="44" t="s">
        <v>1106</v>
      </c>
      <c r="J1559" s="44">
        <v>100</v>
      </c>
      <c r="K1559" s="44" t="s">
        <v>1107</v>
      </c>
      <c r="L1559" s="44"/>
      <c r="M1559" s="44" t="s">
        <v>2033</v>
      </c>
      <c r="N1559" s="45">
        <v>-15790494</v>
      </c>
      <c r="O1559" s="46">
        <f t="shared" si="52"/>
        <v>-15790.494000000001</v>
      </c>
      <c r="P1559" s="47">
        <f>MLCF!E121</f>
        <v>-15790.494000000001</v>
      </c>
      <c r="Q1559" s="44" t="str">
        <f t="shared" si="53"/>
        <v>PASS</v>
      </c>
      <c r="R1559" s="44" t="s">
        <v>1587</v>
      </c>
      <c r="S1559" s="44"/>
    </row>
    <row r="1560" spans="1:19" x14ac:dyDescent="0.3">
      <c r="A1560" s="44" t="s">
        <v>2860</v>
      </c>
      <c r="B1560" s="44" t="s">
        <v>106</v>
      </c>
      <c r="C1560" s="44" t="s">
        <v>27</v>
      </c>
      <c r="D1560" s="44" t="s">
        <v>430</v>
      </c>
      <c r="E1560" s="44" t="s">
        <v>1478</v>
      </c>
      <c r="F1560" s="44" t="s">
        <v>2421</v>
      </c>
      <c r="G1560" s="44" t="s">
        <v>1595</v>
      </c>
      <c r="H1560" s="44" t="s">
        <v>1120</v>
      </c>
      <c r="I1560" s="44" t="s">
        <v>1106</v>
      </c>
      <c r="J1560" s="44">
        <v>193</v>
      </c>
      <c r="K1560" s="44" t="s">
        <v>2839</v>
      </c>
      <c r="L1560" s="44"/>
      <c r="M1560" s="44" t="s">
        <v>2033</v>
      </c>
      <c r="N1560" s="45">
        <v>-9071126</v>
      </c>
      <c r="O1560" s="46">
        <f t="shared" si="52"/>
        <v>-9071.1260000000002</v>
      </c>
      <c r="P1560" s="47">
        <f>MLCF!F121</f>
        <v>-9071.1260000000002</v>
      </c>
      <c r="Q1560" s="44" t="str">
        <f t="shared" si="53"/>
        <v>PASS</v>
      </c>
      <c r="R1560" s="44" t="s">
        <v>1587</v>
      </c>
      <c r="S1560" s="44"/>
    </row>
    <row r="1561" spans="1:19" x14ac:dyDescent="0.3">
      <c r="A1561" s="44" t="s">
        <v>2861</v>
      </c>
      <c r="B1561" s="44" t="s">
        <v>106</v>
      </c>
      <c r="C1561" s="44" t="s">
        <v>28</v>
      </c>
      <c r="D1561" s="44" t="s">
        <v>430</v>
      </c>
      <c r="E1561" s="44" t="s">
        <v>1478</v>
      </c>
      <c r="F1561" s="44" t="s">
        <v>2421</v>
      </c>
      <c r="G1561" s="44" t="s">
        <v>1598</v>
      </c>
      <c r="H1561" s="44" t="s">
        <v>1124</v>
      </c>
      <c r="I1561" s="44" t="s">
        <v>1106</v>
      </c>
      <c r="J1561" s="44">
        <v>205</v>
      </c>
      <c r="K1561" s="44" t="s">
        <v>2454</v>
      </c>
      <c r="L1561" s="44"/>
      <c r="M1561" s="44" t="s">
        <v>2033</v>
      </c>
      <c r="N1561" s="45">
        <v>-3099319</v>
      </c>
      <c r="O1561" s="46">
        <f t="shared" si="52"/>
        <v>-3099.319</v>
      </c>
      <c r="P1561" s="47">
        <f>MLCF!G121</f>
        <v>-3099.319</v>
      </c>
      <c r="Q1561" s="44" t="str">
        <f t="shared" si="53"/>
        <v>PASS</v>
      </c>
      <c r="R1561" s="44" t="s">
        <v>1587</v>
      </c>
      <c r="S1561" s="44"/>
    </row>
    <row r="1562" spans="1:19" x14ac:dyDescent="0.3">
      <c r="A1562" s="44" t="s">
        <v>2862</v>
      </c>
      <c r="B1562" s="44" t="s">
        <v>106</v>
      </c>
      <c r="C1562" s="44" t="s">
        <v>29</v>
      </c>
      <c r="D1562" s="44" t="s">
        <v>430</v>
      </c>
      <c r="E1562" s="44" t="s">
        <v>1478</v>
      </c>
      <c r="F1562" s="44" t="s">
        <v>2421</v>
      </c>
      <c r="G1562" s="44" t="s">
        <v>1598</v>
      </c>
      <c r="H1562" s="44" t="s">
        <v>1124</v>
      </c>
      <c r="I1562" s="44" t="s">
        <v>1127</v>
      </c>
      <c r="J1562" s="44">
        <v>205</v>
      </c>
      <c r="K1562" s="44" t="s">
        <v>2454</v>
      </c>
      <c r="L1562" s="44"/>
      <c r="M1562" s="44" t="s">
        <v>2033</v>
      </c>
      <c r="N1562" s="45">
        <v>-423781</v>
      </c>
      <c r="O1562" s="46">
        <f t="shared" si="52"/>
        <v>-423.78100000000001</v>
      </c>
      <c r="P1562" s="47">
        <f>MLCF!H121</f>
        <v>-423.78100000000001</v>
      </c>
      <c r="Q1562" s="44" t="str">
        <f t="shared" si="53"/>
        <v>PASS</v>
      </c>
      <c r="R1562" s="44" t="s">
        <v>1587</v>
      </c>
      <c r="S1562" s="44"/>
    </row>
    <row r="1563" spans="1:19" x14ac:dyDescent="0.3">
      <c r="A1563" s="44" t="s">
        <v>2863</v>
      </c>
      <c r="B1563" s="44" t="s">
        <v>106</v>
      </c>
      <c r="C1563" s="44" t="s">
        <v>20</v>
      </c>
      <c r="D1563" s="44" t="s">
        <v>432</v>
      </c>
      <c r="E1563" s="44" t="s">
        <v>1478</v>
      </c>
      <c r="F1563" s="44" t="s">
        <v>2864</v>
      </c>
      <c r="G1563" s="44" t="s">
        <v>1589</v>
      </c>
      <c r="H1563" s="44" t="s">
        <v>1113</v>
      </c>
      <c r="I1563" s="44" t="s">
        <v>1106</v>
      </c>
      <c r="J1563" s="44">
        <v>187</v>
      </c>
      <c r="K1563" s="44" t="s">
        <v>2053</v>
      </c>
      <c r="L1563" s="44"/>
      <c r="M1563" s="44" t="s">
        <v>2033</v>
      </c>
      <c r="N1563" s="45">
        <v>251007</v>
      </c>
      <c r="O1563" s="46">
        <f t="shared" si="52"/>
        <v>251.00700000000001</v>
      </c>
      <c r="P1563" s="47">
        <f>MLCF!D122</f>
        <v>251.00700000000001</v>
      </c>
      <c r="Q1563" s="44" t="str">
        <f t="shared" si="53"/>
        <v>PASS</v>
      </c>
      <c r="R1563" s="44" t="s">
        <v>1587</v>
      </c>
      <c r="S1563" s="44"/>
    </row>
    <row r="1564" spans="1:19" x14ac:dyDescent="0.3">
      <c r="A1564" s="44" t="s">
        <v>2865</v>
      </c>
      <c r="B1564" s="44" t="s">
        <v>106</v>
      </c>
      <c r="C1564" s="44" t="s">
        <v>26</v>
      </c>
      <c r="D1564" s="44" t="s">
        <v>432</v>
      </c>
      <c r="E1564" s="44" t="s">
        <v>1478</v>
      </c>
      <c r="F1564" s="44" t="s">
        <v>1517</v>
      </c>
      <c r="G1564" s="44" t="s">
        <v>1592</v>
      </c>
      <c r="H1564" s="44" t="s">
        <v>1117</v>
      </c>
      <c r="I1564" s="44" t="s">
        <v>1106</v>
      </c>
      <c r="J1564" s="44">
        <v>100</v>
      </c>
      <c r="K1564" s="44" t="s">
        <v>1107</v>
      </c>
      <c r="L1564" s="44"/>
      <c r="M1564" s="44" t="s">
        <v>2033</v>
      </c>
      <c r="N1564" s="45">
        <v>-15819320</v>
      </c>
      <c r="O1564" s="46">
        <f t="shared" si="52"/>
        <v>-15819.32</v>
      </c>
      <c r="P1564" s="47">
        <f>MLCF!E122</f>
        <v>-15819.32</v>
      </c>
      <c r="Q1564" s="44" t="str">
        <f t="shared" si="53"/>
        <v>PASS</v>
      </c>
      <c r="R1564" s="44" t="s">
        <v>1587</v>
      </c>
      <c r="S1564" s="44"/>
    </row>
    <row r="1565" spans="1:19" x14ac:dyDescent="0.3">
      <c r="A1565" s="44" t="s">
        <v>2866</v>
      </c>
      <c r="B1565" s="44" t="s">
        <v>106</v>
      </c>
      <c r="C1565" s="44" t="s">
        <v>27</v>
      </c>
      <c r="D1565" s="44" t="s">
        <v>432</v>
      </c>
      <c r="E1565" s="44" t="s">
        <v>1478</v>
      </c>
      <c r="F1565" s="44" t="s">
        <v>2867</v>
      </c>
      <c r="G1565" s="44" t="s">
        <v>1595</v>
      </c>
      <c r="H1565" s="44" t="s">
        <v>1120</v>
      </c>
      <c r="I1565" s="44" t="s">
        <v>1106</v>
      </c>
      <c r="J1565" s="44">
        <v>193</v>
      </c>
      <c r="K1565" s="44" t="s">
        <v>2839</v>
      </c>
      <c r="L1565" s="44"/>
      <c r="M1565" s="44" t="s">
        <v>2033</v>
      </c>
      <c r="N1565" s="45">
        <v>-12174483</v>
      </c>
      <c r="O1565" s="46">
        <f t="shared" si="52"/>
        <v>-12174.483</v>
      </c>
      <c r="P1565" s="47">
        <f>MLCF!F122</f>
        <v>-12174.483</v>
      </c>
      <c r="Q1565" s="44" t="str">
        <f t="shared" si="53"/>
        <v>PASS</v>
      </c>
      <c r="R1565" s="44" t="s">
        <v>1587</v>
      </c>
      <c r="S1565" s="44"/>
    </row>
    <row r="1566" spans="1:19" x14ac:dyDescent="0.3">
      <c r="A1566" s="44" t="s">
        <v>2868</v>
      </c>
      <c r="B1566" s="44" t="s">
        <v>106</v>
      </c>
      <c r="C1566" s="44" t="s">
        <v>28</v>
      </c>
      <c r="D1566" s="44" t="s">
        <v>432</v>
      </c>
      <c r="E1566" s="44" t="s">
        <v>1478</v>
      </c>
      <c r="F1566" s="44" t="s">
        <v>2867</v>
      </c>
      <c r="G1566" s="44" t="s">
        <v>1598</v>
      </c>
      <c r="H1566" s="44" t="s">
        <v>1124</v>
      </c>
      <c r="I1566" s="44" t="s">
        <v>1106</v>
      </c>
      <c r="J1566" s="44">
        <v>205</v>
      </c>
      <c r="K1566" s="44" t="s">
        <v>2454</v>
      </c>
      <c r="L1566" s="44"/>
      <c r="M1566" s="44" t="s">
        <v>2033</v>
      </c>
      <c r="N1566" s="45">
        <v>-3030885</v>
      </c>
      <c r="O1566" s="46">
        <f t="shared" si="52"/>
        <v>-3030.8850000000002</v>
      </c>
      <c r="P1566" s="47">
        <f>MLCF!G122</f>
        <v>-3030.8850000000002</v>
      </c>
      <c r="Q1566" s="44" t="str">
        <f t="shared" si="53"/>
        <v>PASS</v>
      </c>
      <c r="R1566" s="44" t="s">
        <v>1587</v>
      </c>
      <c r="S1566" s="44"/>
    </row>
    <row r="1567" spans="1:19" x14ac:dyDescent="0.3">
      <c r="A1567" s="44" t="s">
        <v>2869</v>
      </c>
      <c r="B1567" s="44" t="s">
        <v>106</v>
      </c>
      <c r="C1567" s="44" t="s">
        <v>29</v>
      </c>
      <c r="D1567" s="44" t="s">
        <v>432</v>
      </c>
      <c r="E1567" s="44" t="s">
        <v>1478</v>
      </c>
      <c r="F1567" s="44" t="s">
        <v>2867</v>
      </c>
      <c r="G1567" s="44" t="s">
        <v>1598</v>
      </c>
      <c r="H1567" s="44" t="s">
        <v>1124</v>
      </c>
      <c r="I1567" s="44" t="s">
        <v>1127</v>
      </c>
      <c r="J1567" s="44">
        <v>205</v>
      </c>
      <c r="K1567" s="44" t="s">
        <v>2454</v>
      </c>
      <c r="L1567" s="44"/>
      <c r="M1567" s="44" t="s">
        <v>2033</v>
      </c>
      <c r="N1567" s="45">
        <v>-9999040</v>
      </c>
      <c r="O1567" s="46">
        <f t="shared" si="52"/>
        <v>-9999.0400000000009</v>
      </c>
      <c r="P1567" s="47">
        <f>MLCF!H122</f>
        <v>-9999.0400000000009</v>
      </c>
      <c r="Q1567" s="44" t="str">
        <f t="shared" si="53"/>
        <v>PASS</v>
      </c>
      <c r="R1567" s="44" t="s">
        <v>1587</v>
      </c>
      <c r="S1567" s="44"/>
    </row>
    <row r="1568" spans="1:19" x14ac:dyDescent="0.3">
      <c r="A1568" s="44" t="s">
        <v>2870</v>
      </c>
      <c r="B1568" s="44" t="s">
        <v>106</v>
      </c>
      <c r="C1568" s="44" t="s">
        <v>20</v>
      </c>
      <c r="D1568" s="44" t="s">
        <v>434</v>
      </c>
      <c r="E1568" s="44" t="s">
        <v>1478</v>
      </c>
      <c r="F1568" s="44" t="s">
        <v>2871</v>
      </c>
      <c r="G1568" s="44" t="s">
        <v>1589</v>
      </c>
      <c r="H1568" s="44" t="s">
        <v>1113</v>
      </c>
      <c r="I1568" s="44" t="s">
        <v>1106</v>
      </c>
      <c r="J1568" s="44">
        <v>187</v>
      </c>
      <c r="K1568" s="44" t="s">
        <v>2053</v>
      </c>
      <c r="L1568" s="44"/>
      <c r="M1568" s="44" t="s">
        <v>2033</v>
      </c>
      <c r="N1568" s="45">
        <v>-6732688</v>
      </c>
      <c r="O1568" s="46">
        <f t="shared" si="52"/>
        <v>-6732.6880000000001</v>
      </c>
      <c r="P1568" s="47">
        <f>MLCF!D123</f>
        <v>-6732.6880000000001</v>
      </c>
      <c r="Q1568" s="44" t="str">
        <f t="shared" si="53"/>
        <v>PASS</v>
      </c>
      <c r="R1568" s="44" t="s">
        <v>1587</v>
      </c>
      <c r="S1568" s="44"/>
    </row>
    <row r="1569" spans="1:19" x14ac:dyDescent="0.3">
      <c r="A1569" s="44" t="s">
        <v>2872</v>
      </c>
      <c r="B1569" s="44" t="s">
        <v>106</v>
      </c>
      <c r="C1569" s="44" t="s">
        <v>26</v>
      </c>
      <c r="D1569" s="44" t="s">
        <v>434</v>
      </c>
      <c r="E1569" s="44" t="s">
        <v>1478</v>
      </c>
      <c r="F1569" s="44" t="s">
        <v>1989</v>
      </c>
      <c r="G1569" s="44" t="s">
        <v>1592</v>
      </c>
      <c r="H1569" s="44" t="s">
        <v>1117</v>
      </c>
      <c r="I1569" s="44" t="s">
        <v>1106</v>
      </c>
      <c r="J1569" s="44">
        <v>100</v>
      </c>
      <c r="K1569" s="44" t="s">
        <v>1107</v>
      </c>
      <c r="L1569" s="44"/>
      <c r="M1569" s="44" t="s">
        <v>2033</v>
      </c>
      <c r="N1569" s="45">
        <v>6601516</v>
      </c>
      <c r="O1569" s="46">
        <f t="shared" si="52"/>
        <v>6601.5159999999996</v>
      </c>
      <c r="P1569" s="47">
        <f>MLCF!E123</f>
        <v>6601.5159999999996</v>
      </c>
      <c r="Q1569" s="44" t="str">
        <f t="shared" si="53"/>
        <v>PASS</v>
      </c>
      <c r="R1569" s="44" t="s">
        <v>1587</v>
      </c>
      <c r="S1569" s="44"/>
    </row>
    <row r="1570" spans="1:19" x14ac:dyDescent="0.3">
      <c r="A1570" s="44" t="s">
        <v>2873</v>
      </c>
      <c r="B1570" s="44" t="s">
        <v>106</v>
      </c>
      <c r="C1570" s="44" t="s">
        <v>27</v>
      </c>
      <c r="D1570" s="44" t="s">
        <v>434</v>
      </c>
      <c r="E1570" s="44" t="s">
        <v>1478</v>
      </c>
      <c r="F1570" s="44" t="s">
        <v>2438</v>
      </c>
      <c r="G1570" s="44" t="s">
        <v>1595</v>
      </c>
      <c r="H1570" s="44" t="s">
        <v>1120</v>
      </c>
      <c r="I1570" s="44" t="s">
        <v>1106</v>
      </c>
      <c r="J1570" s="44">
        <v>193</v>
      </c>
      <c r="K1570" s="44" t="s">
        <v>2839</v>
      </c>
      <c r="L1570" s="44"/>
      <c r="M1570" s="44" t="s">
        <v>2033</v>
      </c>
      <c r="N1570" s="45">
        <v>-6632403</v>
      </c>
      <c r="O1570" s="46">
        <f t="shared" si="52"/>
        <v>-6632.4030000000002</v>
      </c>
      <c r="P1570" s="47">
        <f>MLCF!F123</f>
        <v>-6632.4030000000002</v>
      </c>
      <c r="Q1570" s="44" t="str">
        <f t="shared" si="53"/>
        <v>PASS</v>
      </c>
      <c r="R1570" s="44" t="s">
        <v>1587</v>
      </c>
      <c r="S1570" s="44"/>
    </row>
    <row r="1571" spans="1:19" x14ac:dyDescent="0.3">
      <c r="A1571" s="44" t="s">
        <v>2874</v>
      </c>
      <c r="B1571" s="44" t="s">
        <v>106</v>
      </c>
      <c r="C1571" s="44" t="s">
        <v>28</v>
      </c>
      <c r="D1571" s="44" t="s">
        <v>434</v>
      </c>
      <c r="E1571" s="44" t="s">
        <v>1478</v>
      </c>
      <c r="F1571" s="44" t="s">
        <v>2438</v>
      </c>
      <c r="G1571" s="44" t="s">
        <v>1598</v>
      </c>
      <c r="H1571" s="44" t="s">
        <v>1124</v>
      </c>
      <c r="I1571" s="44" t="s">
        <v>1106</v>
      </c>
      <c r="J1571" s="44">
        <v>205</v>
      </c>
      <c r="K1571" s="44" t="s">
        <v>2454</v>
      </c>
      <c r="L1571" s="44"/>
      <c r="M1571" s="44" t="s">
        <v>2033</v>
      </c>
      <c r="N1571" s="45">
        <v>-7482362</v>
      </c>
      <c r="O1571" s="46">
        <f t="shared" si="52"/>
        <v>-7482.3620000000001</v>
      </c>
      <c r="P1571" s="47">
        <f>MLCF!G123</f>
        <v>-7482.3620000000001</v>
      </c>
      <c r="Q1571" s="44" t="str">
        <f t="shared" si="53"/>
        <v>PASS</v>
      </c>
      <c r="R1571" s="44" t="s">
        <v>1587</v>
      </c>
      <c r="S1571" s="44"/>
    </row>
    <row r="1572" spans="1:19" x14ac:dyDescent="0.3">
      <c r="A1572" s="44" t="s">
        <v>2875</v>
      </c>
      <c r="B1572" s="44" t="s">
        <v>106</v>
      </c>
      <c r="C1572" s="44" t="s">
        <v>29</v>
      </c>
      <c r="D1572" s="44" t="s">
        <v>434</v>
      </c>
      <c r="E1572" s="44" t="s">
        <v>1478</v>
      </c>
      <c r="F1572" s="44" t="s">
        <v>2438</v>
      </c>
      <c r="G1572" s="44" t="s">
        <v>1598</v>
      </c>
      <c r="H1572" s="44" t="s">
        <v>1124</v>
      </c>
      <c r="I1572" s="44" t="s">
        <v>1127</v>
      </c>
      <c r="J1572" s="44">
        <v>205</v>
      </c>
      <c r="K1572" s="44" t="s">
        <v>2454</v>
      </c>
      <c r="L1572" s="44"/>
      <c r="M1572" s="44" t="s">
        <v>2033</v>
      </c>
      <c r="N1572" s="45">
        <v>-7569161</v>
      </c>
      <c r="O1572" s="46">
        <f t="shared" si="52"/>
        <v>-7569.1610000000001</v>
      </c>
      <c r="P1572" s="47">
        <f>MLCF!H123</f>
        <v>-7569.1610000000001</v>
      </c>
      <c r="Q1572" s="44" t="str">
        <f t="shared" si="53"/>
        <v>PASS</v>
      </c>
      <c r="R1572" s="44" t="s">
        <v>1587</v>
      </c>
      <c r="S1572" s="44"/>
    </row>
    <row r="1573" spans="1:19" x14ac:dyDescent="0.3">
      <c r="A1573" s="44" t="s">
        <v>2876</v>
      </c>
      <c r="B1573" s="44" t="s">
        <v>106</v>
      </c>
      <c r="C1573" s="44" t="s">
        <v>20</v>
      </c>
      <c r="D1573" s="44" t="s">
        <v>436</v>
      </c>
      <c r="E1573" s="44" t="s">
        <v>1478</v>
      </c>
      <c r="F1573" s="44" t="s">
        <v>1529</v>
      </c>
      <c r="G1573" s="44" t="s">
        <v>1589</v>
      </c>
      <c r="H1573" s="44" t="s">
        <v>1113</v>
      </c>
      <c r="I1573" s="44" t="s">
        <v>1106</v>
      </c>
      <c r="J1573" s="44">
        <v>187</v>
      </c>
      <c r="K1573" s="44" t="s">
        <v>2053</v>
      </c>
      <c r="L1573" s="44"/>
      <c r="M1573" s="44" t="s">
        <v>2033</v>
      </c>
      <c r="N1573" s="45">
        <v>-19919</v>
      </c>
      <c r="O1573" s="46">
        <f t="shared" si="52"/>
        <v>-19.919</v>
      </c>
      <c r="P1573" s="47">
        <f>MLCF!D124</f>
        <v>-19.919</v>
      </c>
      <c r="Q1573" s="44" t="str">
        <f t="shared" si="53"/>
        <v>PASS</v>
      </c>
      <c r="R1573" s="44" t="s">
        <v>1587</v>
      </c>
      <c r="S1573" s="44"/>
    </row>
    <row r="1574" spans="1:19" x14ac:dyDescent="0.3">
      <c r="A1574" s="44" t="s">
        <v>2877</v>
      </c>
      <c r="B1574" s="44" t="s">
        <v>106</v>
      </c>
      <c r="C1574" s="44" t="s">
        <v>26</v>
      </c>
      <c r="D1574" s="44" t="s">
        <v>436</v>
      </c>
      <c r="E1574" s="44" t="s">
        <v>1478</v>
      </c>
      <c r="F1574" s="44" t="s">
        <v>1529</v>
      </c>
      <c r="G1574" s="44" t="s">
        <v>1592</v>
      </c>
      <c r="H1574" s="44" t="s">
        <v>1117</v>
      </c>
      <c r="I1574" s="44" t="s">
        <v>1106</v>
      </c>
      <c r="J1574" s="44">
        <v>100</v>
      </c>
      <c r="K1574" s="44" t="s">
        <v>1107</v>
      </c>
      <c r="L1574" s="44"/>
      <c r="M1574" s="44" t="s">
        <v>2033</v>
      </c>
      <c r="N1574" s="45">
        <v>-565</v>
      </c>
      <c r="O1574" s="46">
        <f t="shared" si="52"/>
        <v>-0.56499999999999995</v>
      </c>
      <c r="P1574" s="47">
        <f>MLCF!E124</f>
        <v>-0.56499999999999995</v>
      </c>
      <c r="Q1574" s="44" t="str">
        <f t="shared" si="53"/>
        <v>PASS</v>
      </c>
      <c r="R1574" s="44" t="s">
        <v>1587</v>
      </c>
      <c r="S1574" s="44"/>
    </row>
    <row r="1575" spans="1:19" x14ac:dyDescent="0.3">
      <c r="A1575" s="44" t="s">
        <v>2878</v>
      </c>
      <c r="B1575" s="44" t="s">
        <v>106</v>
      </c>
      <c r="C1575" s="44" t="s">
        <v>27</v>
      </c>
      <c r="D1575" s="44" t="s">
        <v>436</v>
      </c>
      <c r="E1575" s="44" t="s">
        <v>1478</v>
      </c>
      <c r="F1575" s="44" t="s">
        <v>1529</v>
      </c>
      <c r="G1575" s="44" t="s">
        <v>1595</v>
      </c>
      <c r="H1575" s="44" t="s">
        <v>1120</v>
      </c>
      <c r="I1575" s="44" t="s">
        <v>1106</v>
      </c>
      <c r="J1575" s="44">
        <v>193</v>
      </c>
      <c r="K1575" s="44" t="s">
        <v>2839</v>
      </c>
      <c r="L1575" s="44"/>
      <c r="M1575" s="44" t="s">
        <v>2033</v>
      </c>
      <c r="N1575" s="45">
        <v>-191</v>
      </c>
      <c r="O1575" s="46">
        <f t="shared" si="52"/>
        <v>-0.191</v>
      </c>
      <c r="P1575" s="47">
        <f>MLCF!F124</f>
        <v>-0.191</v>
      </c>
      <c r="Q1575" s="44" t="str">
        <f t="shared" si="53"/>
        <v>PASS</v>
      </c>
      <c r="R1575" s="44" t="s">
        <v>1587</v>
      </c>
      <c r="S1575" s="44"/>
    </row>
    <row r="1576" spans="1:19" x14ac:dyDescent="0.3">
      <c r="A1576" s="44" t="s">
        <v>2879</v>
      </c>
      <c r="B1576" s="44" t="s">
        <v>106</v>
      </c>
      <c r="C1576" s="44" t="s">
        <v>28</v>
      </c>
      <c r="D1576" s="44" t="s">
        <v>436</v>
      </c>
      <c r="E1576" s="44" t="s">
        <v>1478</v>
      </c>
      <c r="F1576" s="44" t="s">
        <v>1529</v>
      </c>
      <c r="G1576" s="44" t="s">
        <v>1598</v>
      </c>
      <c r="H1576" s="44" t="s">
        <v>1124</v>
      </c>
      <c r="I1576" s="44" t="s">
        <v>1106</v>
      </c>
      <c r="J1576" s="44">
        <v>205</v>
      </c>
      <c r="K1576" s="44" t="s">
        <v>2454</v>
      </c>
      <c r="L1576" s="44"/>
      <c r="M1576" s="44" t="s">
        <v>2033</v>
      </c>
      <c r="N1576" s="45">
        <v>-122</v>
      </c>
      <c r="O1576" s="46">
        <f t="shared" si="52"/>
        <v>-0.122</v>
      </c>
      <c r="P1576" s="47">
        <f>MLCF!G124</f>
        <v>-0.122</v>
      </c>
      <c r="Q1576" s="44" t="str">
        <f t="shared" si="53"/>
        <v>PASS</v>
      </c>
      <c r="R1576" s="44" t="s">
        <v>1587</v>
      </c>
      <c r="S1576" s="44"/>
    </row>
    <row r="1577" spans="1:19" x14ac:dyDescent="0.3">
      <c r="A1577" s="44" t="s">
        <v>2880</v>
      </c>
      <c r="B1577" s="44" t="s">
        <v>106</v>
      </c>
      <c r="C1577" s="44" t="s">
        <v>29</v>
      </c>
      <c r="D1577" s="44" t="s">
        <v>436</v>
      </c>
      <c r="E1577" s="44" t="s">
        <v>1478</v>
      </c>
      <c r="F1577" s="44" t="s">
        <v>1529</v>
      </c>
      <c r="G1577" s="44" t="s">
        <v>1598</v>
      </c>
      <c r="H1577" s="44" t="s">
        <v>1124</v>
      </c>
      <c r="I1577" s="44" t="s">
        <v>1127</v>
      </c>
      <c r="J1577" s="44">
        <v>205</v>
      </c>
      <c r="K1577" s="44" t="s">
        <v>2454</v>
      </c>
      <c r="L1577" s="44"/>
      <c r="M1577" s="44" t="s">
        <v>2033</v>
      </c>
      <c r="N1577" s="45">
        <v>-379</v>
      </c>
      <c r="O1577" s="46">
        <f t="shared" si="52"/>
        <v>-0.379</v>
      </c>
      <c r="P1577" s="47">
        <f>MLCF!H124</f>
        <v>-0.379</v>
      </c>
      <c r="Q1577" s="44" t="str">
        <f t="shared" si="53"/>
        <v>PASS</v>
      </c>
      <c r="R1577" s="44" t="s">
        <v>1587</v>
      </c>
      <c r="S1577" s="44"/>
    </row>
    <row r="1578" spans="1:19" x14ac:dyDescent="0.3">
      <c r="A1578" s="44" t="s">
        <v>2881</v>
      </c>
      <c r="B1578" s="44" t="s">
        <v>106</v>
      </c>
      <c r="C1578" s="44" t="s">
        <v>20</v>
      </c>
      <c r="D1578" s="44" t="s">
        <v>439</v>
      </c>
      <c r="E1578" s="44" t="s">
        <v>1130</v>
      </c>
      <c r="F1578" s="44" t="s">
        <v>1535</v>
      </c>
      <c r="G1578" s="44" t="s">
        <v>1584</v>
      </c>
      <c r="H1578" s="44" t="s">
        <v>1105</v>
      </c>
      <c r="I1578" s="44" t="s">
        <v>1127</v>
      </c>
      <c r="J1578" s="44">
        <v>222</v>
      </c>
      <c r="K1578" s="44" t="s">
        <v>2882</v>
      </c>
      <c r="L1578" s="44"/>
      <c r="M1578" s="44" t="s">
        <v>441</v>
      </c>
      <c r="N1578" s="44">
        <v>10</v>
      </c>
      <c r="O1578" s="44">
        <f t="shared" ref="O1578:O1607" si="54">N1578</f>
        <v>10</v>
      </c>
      <c r="P1578" s="48">
        <f>MLCF!D127</f>
        <v>10</v>
      </c>
      <c r="Q1578" s="44" t="str">
        <f t="shared" si="53"/>
        <v>PASS</v>
      </c>
      <c r="R1578" s="44" t="s">
        <v>1587</v>
      </c>
      <c r="S1578" s="44" t="s">
        <v>1537</v>
      </c>
    </row>
    <row r="1579" spans="1:19" x14ac:dyDescent="0.3">
      <c r="A1579" s="44" t="s">
        <v>2883</v>
      </c>
      <c r="B1579" s="44" t="s">
        <v>106</v>
      </c>
      <c r="C1579" s="44" t="s">
        <v>26</v>
      </c>
      <c r="D1579" s="44" t="s">
        <v>439</v>
      </c>
      <c r="E1579" s="44" t="s">
        <v>1130</v>
      </c>
      <c r="F1579" s="44" t="s">
        <v>1535</v>
      </c>
      <c r="G1579" s="44" t="s">
        <v>1589</v>
      </c>
      <c r="H1579" s="44" t="s">
        <v>1113</v>
      </c>
      <c r="I1579" s="44" t="s">
        <v>1127</v>
      </c>
      <c r="J1579" s="44">
        <v>244</v>
      </c>
      <c r="K1579" s="44" t="s">
        <v>1605</v>
      </c>
      <c r="L1579" s="44"/>
      <c r="M1579" s="44" t="s">
        <v>441</v>
      </c>
      <c r="N1579" s="44">
        <v>10</v>
      </c>
      <c r="O1579" s="44">
        <f t="shared" si="54"/>
        <v>10</v>
      </c>
      <c r="P1579" s="48">
        <f>MLCF!E127</f>
        <v>10</v>
      </c>
      <c r="Q1579" s="44" t="str">
        <f t="shared" si="53"/>
        <v>PASS</v>
      </c>
      <c r="R1579" s="44" t="s">
        <v>1587</v>
      </c>
      <c r="S1579" s="44" t="s">
        <v>1537</v>
      </c>
    </row>
    <row r="1580" spans="1:19" x14ac:dyDescent="0.3">
      <c r="A1580" s="44" t="s">
        <v>2884</v>
      </c>
      <c r="B1580" s="44" t="s">
        <v>106</v>
      </c>
      <c r="C1580" s="44" t="s">
        <v>27</v>
      </c>
      <c r="D1580" s="44" t="s">
        <v>439</v>
      </c>
      <c r="E1580" s="44" t="s">
        <v>1130</v>
      </c>
      <c r="F1580" s="44" t="s">
        <v>1535</v>
      </c>
      <c r="G1580" s="44" t="s">
        <v>1595</v>
      </c>
      <c r="H1580" s="44" t="s">
        <v>1120</v>
      </c>
      <c r="I1580" s="44" t="s">
        <v>1106</v>
      </c>
      <c r="J1580" s="44">
        <v>251</v>
      </c>
      <c r="K1580" s="44" t="s">
        <v>1609</v>
      </c>
      <c r="L1580" s="44"/>
      <c r="M1580" s="44" t="s">
        <v>441</v>
      </c>
      <c r="N1580" s="44">
        <v>10</v>
      </c>
      <c r="O1580" s="44">
        <f t="shared" si="54"/>
        <v>10</v>
      </c>
      <c r="P1580" s="48">
        <f>MLCF!F127</f>
        <v>10</v>
      </c>
      <c r="Q1580" s="44" t="str">
        <f t="shared" si="53"/>
        <v>PASS</v>
      </c>
      <c r="R1580" s="44" t="s">
        <v>1587</v>
      </c>
      <c r="S1580" s="44" t="s">
        <v>1537</v>
      </c>
    </row>
    <row r="1581" spans="1:19" x14ac:dyDescent="0.3">
      <c r="A1581" s="44" t="s">
        <v>2885</v>
      </c>
      <c r="B1581" s="44" t="s">
        <v>106</v>
      </c>
      <c r="C1581" s="44" t="s">
        <v>28</v>
      </c>
      <c r="D1581" s="44" t="s">
        <v>439</v>
      </c>
      <c r="E1581" s="44" t="s">
        <v>1130</v>
      </c>
      <c r="F1581" s="44" t="s">
        <v>1535</v>
      </c>
      <c r="G1581" s="44" t="s">
        <v>1595</v>
      </c>
      <c r="H1581" s="44" t="s">
        <v>1120</v>
      </c>
      <c r="I1581" s="44" t="s">
        <v>1127</v>
      </c>
      <c r="J1581" s="44">
        <v>251</v>
      </c>
      <c r="K1581" s="44" t="s">
        <v>1609</v>
      </c>
      <c r="L1581" s="44"/>
      <c r="M1581" s="44" t="s">
        <v>441</v>
      </c>
      <c r="N1581" s="44">
        <v>10</v>
      </c>
      <c r="O1581" s="44">
        <f t="shared" si="54"/>
        <v>10</v>
      </c>
      <c r="P1581" s="48">
        <f>MLCF!G127</f>
        <v>10</v>
      </c>
      <c r="Q1581" s="44" t="str">
        <f t="shared" si="53"/>
        <v>PASS</v>
      </c>
      <c r="R1581" s="44" t="s">
        <v>1587</v>
      </c>
      <c r="S1581" s="44" t="s">
        <v>1537</v>
      </c>
    </row>
    <row r="1582" spans="1:19" x14ac:dyDescent="0.3">
      <c r="A1582" s="44" t="s">
        <v>2886</v>
      </c>
      <c r="B1582" s="44" t="s">
        <v>106</v>
      </c>
      <c r="C1582" s="44" t="s">
        <v>29</v>
      </c>
      <c r="D1582" s="44" t="s">
        <v>439</v>
      </c>
      <c r="E1582" s="44" t="s">
        <v>1130</v>
      </c>
      <c r="F1582" s="44" t="s">
        <v>1535</v>
      </c>
      <c r="G1582" s="44" t="s">
        <v>1598</v>
      </c>
      <c r="H1582" s="44" t="s">
        <v>1124</v>
      </c>
      <c r="I1582" s="44" t="s">
        <v>1127</v>
      </c>
      <c r="J1582" s="44">
        <v>267</v>
      </c>
      <c r="K1582" s="44" t="s">
        <v>2887</v>
      </c>
      <c r="L1582" s="44"/>
      <c r="M1582" s="44" t="s">
        <v>441</v>
      </c>
      <c r="N1582" s="44">
        <v>10</v>
      </c>
      <c r="O1582" s="44">
        <f t="shared" si="54"/>
        <v>10</v>
      </c>
      <c r="P1582" s="48">
        <f>MLCF!H127</f>
        <v>10</v>
      </c>
      <c r="Q1582" s="44" t="str">
        <f t="shared" si="53"/>
        <v>PASS</v>
      </c>
      <c r="R1582" s="44" t="s">
        <v>1587</v>
      </c>
      <c r="S1582" s="44" t="s">
        <v>1537</v>
      </c>
    </row>
    <row r="1583" spans="1:19" x14ac:dyDescent="0.3">
      <c r="A1583" s="44" t="s">
        <v>2888</v>
      </c>
      <c r="B1583" s="44" t="s">
        <v>106</v>
      </c>
      <c r="C1583" s="44" t="s">
        <v>20</v>
      </c>
      <c r="D1583" s="44" t="s">
        <v>445</v>
      </c>
      <c r="E1583" s="44" t="s">
        <v>1130</v>
      </c>
      <c r="F1583" s="44" t="s">
        <v>1543</v>
      </c>
      <c r="G1583" s="44" t="s">
        <v>1584</v>
      </c>
      <c r="H1583" s="44" t="s">
        <v>1105</v>
      </c>
      <c r="I1583" s="44" t="s">
        <v>1127</v>
      </c>
      <c r="J1583" s="44">
        <v>222</v>
      </c>
      <c r="K1583" s="44" t="s">
        <v>2882</v>
      </c>
      <c r="L1583" s="44"/>
      <c r="M1583" s="44" t="s">
        <v>444</v>
      </c>
      <c r="N1583" s="44">
        <v>1098.346</v>
      </c>
      <c r="O1583" s="44">
        <f t="shared" si="54"/>
        <v>1098.346</v>
      </c>
      <c r="P1583" s="46">
        <f>MLCF!D129</f>
        <v>1098.346</v>
      </c>
      <c r="Q1583" s="44" t="str">
        <f t="shared" si="53"/>
        <v>PASS</v>
      </c>
      <c r="R1583" s="44" t="s">
        <v>1587</v>
      </c>
      <c r="S1583" s="44" t="s">
        <v>1537</v>
      </c>
    </row>
    <row r="1584" spans="1:19" x14ac:dyDescent="0.3">
      <c r="A1584" s="44" t="s">
        <v>2889</v>
      </c>
      <c r="B1584" s="44" t="s">
        <v>106</v>
      </c>
      <c r="C1584" s="44" t="s">
        <v>26</v>
      </c>
      <c r="D1584" s="44" t="s">
        <v>445</v>
      </c>
      <c r="E1584" s="44" t="s">
        <v>1130</v>
      </c>
      <c r="F1584" s="44" t="s">
        <v>1543</v>
      </c>
      <c r="G1584" s="44" t="s">
        <v>1589</v>
      </c>
      <c r="H1584" s="44" t="s">
        <v>1113</v>
      </c>
      <c r="I1584" s="44" t="s">
        <v>1127</v>
      </c>
      <c r="J1584" s="44">
        <v>244</v>
      </c>
      <c r="K1584" s="44" t="s">
        <v>1605</v>
      </c>
      <c r="L1584" s="44"/>
      <c r="M1584" s="44" t="s">
        <v>444</v>
      </c>
      <c r="N1584" s="44">
        <v>1097.5239999999999</v>
      </c>
      <c r="O1584" s="44">
        <f t="shared" si="54"/>
        <v>1097.5239999999999</v>
      </c>
      <c r="P1584" s="46">
        <f>MLCF!E129</f>
        <v>1097.5239999999999</v>
      </c>
      <c r="Q1584" s="44" t="str">
        <f t="shared" si="53"/>
        <v>PASS</v>
      </c>
      <c r="R1584" s="44" t="s">
        <v>1587</v>
      </c>
      <c r="S1584" s="44" t="s">
        <v>1537</v>
      </c>
    </row>
    <row r="1585" spans="1:19" x14ac:dyDescent="0.3">
      <c r="A1585" s="44" t="s">
        <v>2890</v>
      </c>
      <c r="B1585" s="44" t="s">
        <v>106</v>
      </c>
      <c r="C1585" s="44" t="s">
        <v>27</v>
      </c>
      <c r="D1585" s="44" t="s">
        <v>445</v>
      </c>
      <c r="E1585" s="44" t="s">
        <v>1130</v>
      </c>
      <c r="F1585" s="44" t="s">
        <v>1543</v>
      </c>
      <c r="G1585" s="44" t="s">
        <v>1592</v>
      </c>
      <c r="H1585" s="44" t="s">
        <v>1120</v>
      </c>
      <c r="I1585" s="44" t="s">
        <v>1106</v>
      </c>
      <c r="J1585" s="44">
        <v>129</v>
      </c>
      <c r="K1585" s="44" t="s">
        <v>1609</v>
      </c>
      <c r="L1585" s="44"/>
      <c r="M1585" s="44" t="s">
        <v>444</v>
      </c>
      <c r="N1585" s="44">
        <v>1073.405</v>
      </c>
      <c r="O1585" s="44">
        <f t="shared" si="54"/>
        <v>1073.405</v>
      </c>
      <c r="P1585" s="46">
        <f>MLCF!F129</f>
        <v>1073.405</v>
      </c>
      <c r="Q1585" s="44" t="str">
        <f t="shared" si="53"/>
        <v>PASS</v>
      </c>
      <c r="R1585" s="44" t="s">
        <v>1587</v>
      </c>
      <c r="S1585" s="44" t="s">
        <v>1537</v>
      </c>
    </row>
    <row r="1586" spans="1:19" x14ac:dyDescent="0.3">
      <c r="A1586" s="44" t="s">
        <v>2891</v>
      </c>
      <c r="B1586" s="44" t="s">
        <v>106</v>
      </c>
      <c r="C1586" s="44" t="s">
        <v>28</v>
      </c>
      <c r="D1586" s="44" t="s">
        <v>445</v>
      </c>
      <c r="E1586" s="44" t="s">
        <v>1130</v>
      </c>
      <c r="F1586" s="44" t="s">
        <v>1543</v>
      </c>
      <c r="G1586" s="44" t="s">
        <v>1595</v>
      </c>
      <c r="H1586" s="44" t="s">
        <v>1120</v>
      </c>
      <c r="I1586" s="44" t="s">
        <v>1127</v>
      </c>
      <c r="J1586" s="44">
        <v>251</v>
      </c>
      <c r="K1586" s="44" t="s">
        <v>1609</v>
      </c>
      <c r="L1586" s="44"/>
      <c r="M1586" s="44" t="s">
        <v>444</v>
      </c>
      <c r="N1586" s="44">
        <v>1058.9110000000001</v>
      </c>
      <c r="O1586" s="44">
        <f t="shared" si="54"/>
        <v>1058.9110000000001</v>
      </c>
      <c r="P1586" s="46">
        <f>MLCF!G129</f>
        <v>1058.9110000000001</v>
      </c>
      <c r="Q1586" s="44" t="str">
        <f t="shared" si="53"/>
        <v>PASS</v>
      </c>
      <c r="R1586" s="44" t="s">
        <v>1587</v>
      </c>
      <c r="S1586" s="44" t="s">
        <v>1537</v>
      </c>
    </row>
    <row r="1587" spans="1:19" x14ac:dyDescent="0.3">
      <c r="A1587" s="44" t="s">
        <v>2892</v>
      </c>
      <c r="B1587" s="44" t="s">
        <v>106</v>
      </c>
      <c r="C1587" s="44" t="s">
        <v>29</v>
      </c>
      <c r="D1587" s="44" t="s">
        <v>445</v>
      </c>
      <c r="E1587" s="44" t="s">
        <v>1130</v>
      </c>
      <c r="F1587" s="44" t="s">
        <v>1543</v>
      </c>
      <c r="G1587" s="44" t="s">
        <v>1598</v>
      </c>
      <c r="H1587" s="44" t="s">
        <v>1124</v>
      </c>
      <c r="I1587" s="44" t="s">
        <v>1127</v>
      </c>
      <c r="J1587" s="44">
        <v>267</v>
      </c>
      <c r="K1587" s="44" t="s">
        <v>2887</v>
      </c>
      <c r="L1587" s="44"/>
      <c r="M1587" s="44" t="s">
        <v>444</v>
      </c>
      <c r="N1587" s="44">
        <v>1047.5630000000001</v>
      </c>
      <c r="O1587" s="44">
        <f t="shared" si="54"/>
        <v>1047.5630000000001</v>
      </c>
      <c r="P1587" s="46">
        <f>MLCF!H129</f>
        <v>1047.5630000000001</v>
      </c>
      <c r="Q1587" s="44" t="str">
        <f t="shared" si="53"/>
        <v>PASS</v>
      </c>
      <c r="R1587" s="44" t="s">
        <v>1587</v>
      </c>
      <c r="S1587" s="44" t="s">
        <v>1537</v>
      </c>
    </row>
    <row r="1588" spans="1:19" x14ac:dyDescent="0.3">
      <c r="A1588" s="44" t="s">
        <v>2893</v>
      </c>
      <c r="B1588" s="44" t="s">
        <v>106</v>
      </c>
      <c r="C1588" s="44" t="s">
        <v>20</v>
      </c>
      <c r="D1588" s="44" t="s">
        <v>1549</v>
      </c>
      <c r="E1588" s="44" t="s">
        <v>1130</v>
      </c>
      <c r="F1588" s="44" t="s">
        <v>1550</v>
      </c>
      <c r="G1588" s="44" t="s">
        <v>1551</v>
      </c>
      <c r="H1588" s="44" t="s">
        <v>1552</v>
      </c>
      <c r="I1588" s="44" t="s">
        <v>1553</v>
      </c>
      <c r="J1588" s="44"/>
      <c r="K1588" s="44"/>
      <c r="L1588" s="44"/>
      <c r="M1588" s="44" t="s">
        <v>441</v>
      </c>
      <c r="N1588" s="44">
        <v>46.98</v>
      </c>
      <c r="O1588" s="44">
        <f t="shared" si="54"/>
        <v>46.98</v>
      </c>
      <c r="P1588" s="48">
        <f>MLCF!D130</f>
        <v>46.98</v>
      </c>
      <c r="Q1588" s="44" t="str">
        <f t="shared" si="53"/>
        <v>PASS</v>
      </c>
      <c r="R1588" s="44" t="s">
        <v>1587</v>
      </c>
      <c r="S1588" s="44" t="s">
        <v>1554</v>
      </c>
    </row>
    <row r="1589" spans="1:19" x14ac:dyDescent="0.3">
      <c r="A1589" s="44" t="s">
        <v>2894</v>
      </c>
      <c r="B1589" s="44" t="s">
        <v>106</v>
      </c>
      <c r="C1589" s="44" t="s">
        <v>26</v>
      </c>
      <c r="D1589" s="44" t="s">
        <v>1549</v>
      </c>
      <c r="E1589" s="44" t="s">
        <v>1130</v>
      </c>
      <c r="F1589" s="44" t="s">
        <v>1550</v>
      </c>
      <c r="G1589" s="44" t="s">
        <v>1551</v>
      </c>
      <c r="H1589" s="44" t="s">
        <v>1552</v>
      </c>
      <c r="I1589" s="44" t="s">
        <v>1556</v>
      </c>
      <c r="J1589" s="44"/>
      <c r="K1589" s="44"/>
      <c r="L1589" s="44"/>
      <c r="M1589" s="44" t="s">
        <v>441</v>
      </c>
      <c r="N1589" s="44">
        <v>27.35</v>
      </c>
      <c r="O1589" s="44">
        <f t="shared" si="54"/>
        <v>27.35</v>
      </c>
      <c r="P1589" s="48">
        <f>MLCF!E130</f>
        <v>27.35</v>
      </c>
      <c r="Q1589" s="44" t="str">
        <f t="shared" si="53"/>
        <v>PASS</v>
      </c>
      <c r="R1589" s="44" t="s">
        <v>1587</v>
      </c>
      <c r="S1589" s="44" t="s">
        <v>1554</v>
      </c>
    </row>
    <row r="1590" spans="1:19" x14ac:dyDescent="0.3">
      <c r="A1590" s="44" t="s">
        <v>2895</v>
      </c>
      <c r="B1590" s="44" t="s">
        <v>106</v>
      </c>
      <c r="C1590" s="44" t="s">
        <v>27</v>
      </c>
      <c r="D1590" s="44" t="s">
        <v>1549</v>
      </c>
      <c r="E1590" s="44" t="s">
        <v>1130</v>
      </c>
      <c r="F1590" s="44" t="s">
        <v>1550</v>
      </c>
      <c r="G1590" s="44" t="s">
        <v>1551</v>
      </c>
      <c r="H1590" s="44" t="s">
        <v>1552</v>
      </c>
      <c r="I1590" s="44" t="s">
        <v>1558</v>
      </c>
      <c r="J1590" s="44"/>
      <c r="K1590" s="44"/>
      <c r="L1590" s="44"/>
      <c r="M1590" s="44" t="s">
        <v>441</v>
      </c>
      <c r="N1590" s="44">
        <v>28.33</v>
      </c>
      <c r="O1590" s="44">
        <f t="shared" si="54"/>
        <v>28.33</v>
      </c>
      <c r="P1590" s="48">
        <f>MLCF!F130</f>
        <v>28.33</v>
      </c>
      <c r="Q1590" s="44" t="str">
        <f t="shared" si="53"/>
        <v>PASS</v>
      </c>
      <c r="R1590" s="44" t="s">
        <v>1587</v>
      </c>
      <c r="S1590" s="44" t="s">
        <v>1554</v>
      </c>
    </row>
    <row r="1591" spans="1:19" x14ac:dyDescent="0.3">
      <c r="A1591" s="44" t="s">
        <v>2896</v>
      </c>
      <c r="B1591" s="44" t="s">
        <v>106</v>
      </c>
      <c r="C1591" s="44" t="s">
        <v>28</v>
      </c>
      <c r="D1591" s="44" t="s">
        <v>1549</v>
      </c>
      <c r="E1591" s="44" t="s">
        <v>1130</v>
      </c>
      <c r="F1591" s="44" t="s">
        <v>1550</v>
      </c>
      <c r="G1591" s="44" t="s">
        <v>1551</v>
      </c>
      <c r="H1591" s="44" t="s">
        <v>1552</v>
      </c>
      <c r="I1591" s="44" t="s">
        <v>1560</v>
      </c>
      <c r="J1591" s="44"/>
      <c r="K1591" s="44"/>
      <c r="L1591" s="44"/>
      <c r="M1591" s="44" t="s">
        <v>441</v>
      </c>
      <c r="N1591" s="44">
        <v>38</v>
      </c>
      <c r="O1591" s="44">
        <f t="shared" si="54"/>
        <v>38</v>
      </c>
      <c r="P1591" s="48">
        <f>MLCF!G130</f>
        <v>38</v>
      </c>
      <c r="Q1591" s="44" t="str">
        <f t="shared" si="53"/>
        <v>PASS</v>
      </c>
      <c r="R1591" s="44" t="s">
        <v>1587</v>
      </c>
      <c r="S1591" s="44" t="s">
        <v>1554</v>
      </c>
    </row>
    <row r="1592" spans="1:19" x14ac:dyDescent="0.3">
      <c r="A1592" s="44" t="s">
        <v>2897</v>
      </c>
      <c r="B1592" s="44" t="s">
        <v>106</v>
      </c>
      <c r="C1592" s="44" t="s">
        <v>29</v>
      </c>
      <c r="D1592" s="44" t="s">
        <v>1549</v>
      </c>
      <c r="E1592" s="44" t="s">
        <v>1130</v>
      </c>
      <c r="F1592" s="44" t="s">
        <v>1550</v>
      </c>
      <c r="G1592" s="44" t="s">
        <v>1551</v>
      </c>
      <c r="H1592" s="44" t="s">
        <v>1552</v>
      </c>
      <c r="I1592" s="44" t="s">
        <v>1562</v>
      </c>
      <c r="J1592" s="44"/>
      <c r="K1592" s="44"/>
      <c r="L1592" s="44"/>
      <c r="M1592" s="44" t="s">
        <v>441</v>
      </c>
      <c r="N1592" s="44">
        <v>84.28</v>
      </c>
      <c r="O1592" s="44">
        <f t="shared" si="54"/>
        <v>84.28</v>
      </c>
      <c r="P1592" s="48">
        <f>MLCF!H130</f>
        <v>84.28</v>
      </c>
      <c r="Q1592" s="44" t="str">
        <f t="shared" si="53"/>
        <v>PASS</v>
      </c>
      <c r="R1592" s="44" t="s">
        <v>1587</v>
      </c>
      <c r="S1592" s="44" t="s">
        <v>1554</v>
      </c>
    </row>
    <row r="1593" spans="1:19" x14ac:dyDescent="0.3">
      <c r="A1593" s="44" t="s">
        <v>2898</v>
      </c>
      <c r="B1593" s="44" t="s">
        <v>106</v>
      </c>
      <c r="C1593" s="44" t="s">
        <v>20</v>
      </c>
      <c r="D1593" s="44" t="s">
        <v>449</v>
      </c>
      <c r="E1593" s="44" t="s">
        <v>1130</v>
      </c>
      <c r="F1593" s="44" t="s">
        <v>1564</v>
      </c>
      <c r="G1593" s="44" t="s">
        <v>1598</v>
      </c>
      <c r="H1593" s="44" t="s">
        <v>1124</v>
      </c>
      <c r="I1593" s="44" t="s">
        <v>1106</v>
      </c>
      <c r="J1593" s="44">
        <v>175</v>
      </c>
      <c r="K1593" s="44" t="s">
        <v>2899</v>
      </c>
      <c r="L1593" s="44"/>
      <c r="M1593" s="44" t="s">
        <v>441</v>
      </c>
      <c r="N1593" s="44">
        <v>0</v>
      </c>
      <c r="O1593" s="44">
        <f t="shared" si="54"/>
        <v>0</v>
      </c>
      <c r="P1593" s="48">
        <f>MLCF!D131</f>
        <v>0</v>
      </c>
      <c r="Q1593" s="44" t="str">
        <f t="shared" si="53"/>
        <v>PASS</v>
      </c>
      <c r="R1593" s="44" t="s">
        <v>1587</v>
      </c>
      <c r="S1593" s="44" t="s">
        <v>1537</v>
      </c>
    </row>
    <row r="1594" spans="1:19" x14ac:dyDescent="0.3">
      <c r="A1594" s="44" t="s">
        <v>2900</v>
      </c>
      <c r="B1594" s="44" t="s">
        <v>106</v>
      </c>
      <c r="C1594" s="44" t="s">
        <v>26</v>
      </c>
      <c r="D1594" s="44" t="s">
        <v>449</v>
      </c>
      <c r="E1594" s="44" t="s">
        <v>1130</v>
      </c>
      <c r="F1594" s="44" t="s">
        <v>1564</v>
      </c>
      <c r="G1594" s="44" t="s">
        <v>1598</v>
      </c>
      <c r="H1594" s="44" t="s">
        <v>1124</v>
      </c>
      <c r="I1594" s="44" t="s">
        <v>1106</v>
      </c>
      <c r="J1594" s="44">
        <v>175</v>
      </c>
      <c r="K1594" s="44" t="s">
        <v>2899</v>
      </c>
      <c r="L1594" s="44"/>
      <c r="M1594" s="44" t="s">
        <v>441</v>
      </c>
      <c r="N1594" s="44">
        <v>0</v>
      </c>
      <c r="O1594" s="44">
        <f t="shared" si="54"/>
        <v>0</v>
      </c>
      <c r="P1594" s="48">
        <f>MLCF!E131</f>
        <v>0</v>
      </c>
      <c r="Q1594" s="44" t="str">
        <f t="shared" si="53"/>
        <v>PASS</v>
      </c>
      <c r="R1594" s="44" t="s">
        <v>1587</v>
      </c>
      <c r="S1594" s="44" t="s">
        <v>1537</v>
      </c>
    </row>
    <row r="1595" spans="1:19" x14ac:dyDescent="0.3">
      <c r="A1595" s="44" t="s">
        <v>2901</v>
      </c>
      <c r="B1595" s="44" t="s">
        <v>106</v>
      </c>
      <c r="C1595" s="44" t="s">
        <v>27</v>
      </c>
      <c r="D1595" s="44" t="s">
        <v>449</v>
      </c>
      <c r="E1595" s="44" t="s">
        <v>1130</v>
      </c>
      <c r="F1595" s="44" t="s">
        <v>1564</v>
      </c>
      <c r="G1595" s="44" t="s">
        <v>1598</v>
      </c>
      <c r="H1595" s="44" t="s">
        <v>1124</v>
      </c>
      <c r="I1595" s="44" t="s">
        <v>1106</v>
      </c>
      <c r="J1595" s="44">
        <v>175</v>
      </c>
      <c r="K1595" s="44" t="s">
        <v>2899</v>
      </c>
      <c r="L1595" s="44"/>
      <c r="M1595" s="44" t="s">
        <v>441</v>
      </c>
      <c r="N1595" s="44">
        <v>0</v>
      </c>
      <c r="O1595" s="44">
        <f t="shared" si="54"/>
        <v>0</v>
      </c>
      <c r="P1595" s="48">
        <f>MLCF!F131</f>
        <v>0</v>
      </c>
      <c r="Q1595" s="44" t="str">
        <f t="shared" si="53"/>
        <v>PASS</v>
      </c>
      <c r="R1595" s="44" t="s">
        <v>1587</v>
      </c>
      <c r="S1595" s="44" t="s">
        <v>1537</v>
      </c>
    </row>
    <row r="1596" spans="1:19" x14ac:dyDescent="0.3">
      <c r="A1596" s="44" t="s">
        <v>2902</v>
      </c>
      <c r="B1596" s="44" t="s">
        <v>106</v>
      </c>
      <c r="C1596" s="44" t="s">
        <v>28</v>
      </c>
      <c r="D1596" s="44" t="s">
        <v>449</v>
      </c>
      <c r="E1596" s="44" t="s">
        <v>1130</v>
      </c>
      <c r="F1596" s="44" t="s">
        <v>1564</v>
      </c>
      <c r="G1596" s="44" t="s">
        <v>1598</v>
      </c>
      <c r="H1596" s="44" t="s">
        <v>1124</v>
      </c>
      <c r="I1596" s="44" t="s">
        <v>1106</v>
      </c>
      <c r="J1596" s="44">
        <v>175</v>
      </c>
      <c r="K1596" s="44" t="s">
        <v>2899</v>
      </c>
      <c r="L1596" s="44"/>
      <c r="M1596" s="44" t="s">
        <v>441</v>
      </c>
      <c r="N1596" s="44">
        <v>0</v>
      </c>
      <c r="O1596" s="44">
        <f t="shared" si="54"/>
        <v>0</v>
      </c>
      <c r="P1596" s="48">
        <f>MLCF!G131</f>
        <v>0</v>
      </c>
      <c r="Q1596" s="44" t="str">
        <f t="shared" si="53"/>
        <v>PASS</v>
      </c>
      <c r="R1596" s="44" t="s">
        <v>1587</v>
      </c>
      <c r="S1596" s="44" t="s">
        <v>1537</v>
      </c>
    </row>
    <row r="1597" spans="1:19" x14ac:dyDescent="0.3">
      <c r="A1597" s="44" t="s">
        <v>2903</v>
      </c>
      <c r="B1597" s="44" t="s">
        <v>106</v>
      </c>
      <c r="C1597" s="44" t="s">
        <v>29</v>
      </c>
      <c r="D1597" s="44" t="s">
        <v>449</v>
      </c>
      <c r="E1597" s="44" t="s">
        <v>1130</v>
      </c>
      <c r="F1597" s="44" t="s">
        <v>1564</v>
      </c>
      <c r="G1597" s="44" t="s">
        <v>1598</v>
      </c>
      <c r="H1597" s="44" t="s">
        <v>1124</v>
      </c>
      <c r="I1597" s="44" t="s">
        <v>1127</v>
      </c>
      <c r="J1597" s="44">
        <v>175</v>
      </c>
      <c r="K1597" s="44" t="s">
        <v>2899</v>
      </c>
      <c r="L1597" s="44"/>
      <c r="M1597" s="44" t="s">
        <v>441</v>
      </c>
      <c r="N1597" s="44">
        <v>0</v>
      </c>
      <c r="O1597" s="44">
        <f t="shared" si="54"/>
        <v>0</v>
      </c>
      <c r="P1597" s="48">
        <f>MLCF!H131</f>
        <v>0</v>
      </c>
      <c r="Q1597" s="44" t="str">
        <f t="shared" si="53"/>
        <v>PASS</v>
      </c>
      <c r="R1597" s="44" t="s">
        <v>1587</v>
      </c>
      <c r="S1597" s="44" t="s">
        <v>1537</v>
      </c>
    </row>
    <row r="1598" spans="1:19" x14ac:dyDescent="0.3">
      <c r="A1598" s="44" t="s">
        <v>2904</v>
      </c>
      <c r="B1598" s="44" t="s">
        <v>106</v>
      </c>
      <c r="C1598" s="44" t="s">
        <v>20</v>
      </c>
      <c r="D1598" s="44" t="s">
        <v>1570</v>
      </c>
      <c r="E1598" s="44" t="s">
        <v>1381</v>
      </c>
      <c r="F1598" s="44" t="s">
        <v>1571</v>
      </c>
      <c r="G1598" s="44" t="s">
        <v>1584</v>
      </c>
      <c r="H1598" s="44" t="s">
        <v>1105</v>
      </c>
      <c r="I1598" s="44" t="s">
        <v>1127</v>
      </c>
      <c r="J1598" s="44">
        <v>222</v>
      </c>
      <c r="K1598" s="44" t="s">
        <v>2905</v>
      </c>
      <c r="L1598" s="44"/>
      <c r="M1598" s="44" t="s">
        <v>441</v>
      </c>
      <c r="N1598" s="44">
        <v>5.69</v>
      </c>
      <c r="O1598" s="44">
        <f t="shared" si="54"/>
        <v>5.69</v>
      </c>
      <c r="P1598" s="48">
        <f>MLCF!D132</f>
        <v>5.69</v>
      </c>
      <c r="Q1598" s="44" t="str">
        <f t="shared" si="53"/>
        <v>PASS</v>
      </c>
      <c r="R1598" s="44" t="s">
        <v>1587</v>
      </c>
      <c r="S1598" s="44" t="s">
        <v>1537</v>
      </c>
    </row>
    <row r="1599" spans="1:19" x14ac:dyDescent="0.3">
      <c r="A1599" s="44" t="s">
        <v>2906</v>
      </c>
      <c r="B1599" s="44" t="s">
        <v>106</v>
      </c>
      <c r="C1599" s="44" t="s">
        <v>26</v>
      </c>
      <c r="D1599" s="44" t="s">
        <v>1570</v>
      </c>
      <c r="E1599" s="44" t="s">
        <v>1381</v>
      </c>
      <c r="F1599" s="44" t="s">
        <v>1571</v>
      </c>
      <c r="G1599" s="44" t="s">
        <v>1589</v>
      </c>
      <c r="H1599" s="44" t="s">
        <v>1113</v>
      </c>
      <c r="I1599" s="44" t="s">
        <v>1127</v>
      </c>
      <c r="J1599" s="44">
        <v>244</v>
      </c>
      <c r="K1599" s="44" t="s">
        <v>2051</v>
      </c>
      <c r="L1599" s="44"/>
      <c r="M1599" s="44" t="s">
        <v>441</v>
      </c>
      <c r="N1599" s="44">
        <v>3.3</v>
      </c>
      <c r="O1599" s="44">
        <f t="shared" si="54"/>
        <v>3.3</v>
      </c>
      <c r="P1599" s="48">
        <f>MLCF!E132</f>
        <v>3.3</v>
      </c>
      <c r="Q1599" s="44" t="str">
        <f t="shared" si="53"/>
        <v>PASS</v>
      </c>
      <c r="R1599" s="44" t="s">
        <v>1587</v>
      </c>
      <c r="S1599" s="44" t="s">
        <v>1537</v>
      </c>
    </row>
    <row r="1600" spans="1:19" x14ac:dyDescent="0.3">
      <c r="A1600" s="44" t="s">
        <v>2907</v>
      </c>
      <c r="B1600" s="44" t="s">
        <v>106</v>
      </c>
      <c r="C1600" s="44" t="s">
        <v>27</v>
      </c>
      <c r="D1600" s="44" t="s">
        <v>1570</v>
      </c>
      <c r="E1600" s="44" t="s">
        <v>1381</v>
      </c>
      <c r="F1600" s="44" t="s">
        <v>1571</v>
      </c>
      <c r="G1600" s="44" t="s">
        <v>1592</v>
      </c>
      <c r="H1600" s="44" t="s">
        <v>1117</v>
      </c>
      <c r="I1600" s="44" t="s">
        <v>1127</v>
      </c>
      <c r="J1600" s="44">
        <v>129</v>
      </c>
      <c r="K1600" s="44" t="s">
        <v>2737</v>
      </c>
      <c r="L1600" s="44"/>
      <c r="M1600" s="44" t="s">
        <v>441</v>
      </c>
      <c r="N1600" s="44">
        <v>4.18</v>
      </c>
      <c r="O1600" s="44">
        <f t="shared" si="54"/>
        <v>4.18</v>
      </c>
      <c r="P1600" s="48">
        <f>MLCF!F132</f>
        <v>4.18</v>
      </c>
      <c r="Q1600" s="44" t="str">
        <f t="shared" si="53"/>
        <v>PASS</v>
      </c>
      <c r="R1600" s="44" t="s">
        <v>1587</v>
      </c>
      <c r="S1600" s="44" t="s">
        <v>1537</v>
      </c>
    </row>
    <row r="1601" spans="1:19" x14ac:dyDescent="0.3">
      <c r="A1601" s="44" t="s">
        <v>2908</v>
      </c>
      <c r="B1601" s="44" t="s">
        <v>106</v>
      </c>
      <c r="C1601" s="44" t="s">
        <v>28</v>
      </c>
      <c r="D1601" s="44" t="s">
        <v>1570</v>
      </c>
      <c r="E1601" s="44" t="s">
        <v>1381</v>
      </c>
      <c r="F1601" s="44" t="s">
        <v>1571</v>
      </c>
      <c r="G1601" s="44" t="s">
        <v>1595</v>
      </c>
      <c r="H1601" s="44" t="s">
        <v>1120</v>
      </c>
      <c r="I1601" s="44" t="s">
        <v>1127</v>
      </c>
      <c r="J1601" s="44">
        <v>251</v>
      </c>
      <c r="K1601" s="44" t="s">
        <v>2739</v>
      </c>
      <c r="L1601" s="44"/>
      <c r="M1601" s="44" t="s">
        <v>441</v>
      </c>
      <c r="N1601" s="44">
        <v>4.9800000000000004</v>
      </c>
      <c r="O1601" s="44">
        <f t="shared" si="54"/>
        <v>4.9800000000000004</v>
      </c>
      <c r="P1601" s="48">
        <f>MLCF!G132</f>
        <v>4.9800000000000004</v>
      </c>
      <c r="Q1601" s="44" t="str">
        <f t="shared" si="53"/>
        <v>PASS</v>
      </c>
      <c r="R1601" s="44" t="s">
        <v>1587</v>
      </c>
      <c r="S1601" s="44" t="s">
        <v>1537</v>
      </c>
    </row>
    <row r="1602" spans="1:19" x14ac:dyDescent="0.3">
      <c r="A1602" s="44" t="s">
        <v>2909</v>
      </c>
      <c r="B1602" s="44" t="s">
        <v>106</v>
      </c>
      <c r="C1602" s="44" t="s">
        <v>29</v>
      </c>
      <c r="D1602" s="44" t="s">
        <v>1570</v>
      </c>
      <c r="E1602" s="44" t="s">
        <v>1381</v>
      </c>
      <c r="F1602" s="44" t="s">
        <v>1571</v>
      </c>
      <c r="G1602" s="44" t="s">
        <v>1598</v>
      </c>
      <c r="H1602" s="44" t="s">
        <v>1124</v>
      </c>
      <c r="I1602" s="44" t="s">
        <v>1127</v>
      </c>
      <c r="J1602" s="44">
        <v>267</v>
      </c>
      <c r="K1602" s="44" t="s">
        <v>2741</v>
      </c>
      <c r="L1602" s="44"/>
      <c r="M1602" s="44" t="s">
        <v>441</v>
      </c>
      <c r="N1602" s="44">
        <v>16.260000000000002</v>
      </c>
      <c r="O1602" s="44">
        <f t="shared" si="54"/>
        <v>16.260000000000002</v>
      </c>
      <c r="P1602" s="48">
        <f>MLCF!H132</f>
        <v>16.260000000000002</v>
      </c>
      <c r="Q1602" s="44" t="str">
        <f t="shared" si="53"/>
        <v>PASS</v>
      </c>
      <c r="R1602" s="44" t="s">
        <v>1587</v>
      </c>
      <c r="S1602" s="44" t="s">
        <v>1537</v>
      </c>
    </row>
    <row r="1603" spans="1:19" x14ac:dyDescent="0.3">
      <c r="A1603" s="44" t="s">
        <v>2910</v>
      </c>
      <c r="B1603" s="44" t="s">
        <v>106</v>
      </c>
      <c r="C1603" s="44" t="s">
        <v>20</v>
      </c>
      <c r="D1603" s="44" t="s">
        <v>1577</v>
      </c>
      <c r="E1603" s="44" t="s">
        <v>1130</v>
      </c>
      <c r="F1603" s="44" t="s">
        <v>1578</v>
      </c>
      <c r="G1603" s="44" t="s">
        <v>1598</v>
      </c>
      <c r="H1603" s="44" t="s">
        <v>1124</v>
      </c>
      <c r="I1603" s="44" t="s">
        <v>1106</v>
      </c>
      <c r="J1603" s="44">
        <v>175</v>
      </c>
      <c r="K1603" s="44" t="s">
        <v>2899</v>
      </c>
      <c r="L1603" s="44"/>
      <c r="M1603" s="44" t="s">
        <v>457</v>
      </c>
      <c r="N1603" s="44">
        <v>1</v>
      </c>
      <c r="O1603" s="44">
        <f t="shared" si="54"/>
        <v>1</v>
      </c>
      <c r="P1603" s="48">
        <f>MLCF!D134</f>
        <v>1</v>
      </c>
      <c r="Q1603" s="44" t="str">
        <f t="shared" si="53"/>
        <v>PASS</v>
      </c>
      <c r="R1603" s="44" t="s">
        <v>1587</v>
      </c>
      <c r="S1603" s="44" t="s">
        <v>1537</v>
      </c>
    </row>
    <row r="1604" spans="1:19" x14ac:dyDescent="0.3">
      <c r="A1604" s="44" t="s">
        <v>2911</v>
      </c>
      <c r="B1604" s="44" t="s">
        <v>106</v>
      </c>
      <c r="C1604" s="44" t="s">
        <v>26</v>
      </c>
      <c r="D1604" s="44" t="s">
        <v>1577</v>
      </c>
      <c r="E1604" s="44" t="s">
        <v>1130</v>
      </c>
      <c r="F1604" s="44" t="s">
        <v>1578</v>
      </c>
      <c r="G1604" s="44" t="s">
        <v>1598</v>
      </c>
      <c r="H1604" s="44" t="s">
        <v>1124</v>
      </c>
      <c r="I1604" s="44" t="s">
        <v>1106</v>
      </c>
      <c r="J1604" s="44">
        <v>175</v>
      </c>
      <c r="K1604" s="44" t="s">
        <v>2899</v>
      </c>
      <c r="L1604" s="44"/>
      <c r="M1604" s="44" t="s">
        <v>457</v>
      </c>
      <c r="N1604" s="44">
        <v>1</v>
      </c>
      <c r="O1604" s="44">
        <f t="shared" si="54"/>
        <v>1</v>
      </c>
      <c r="P1604" s="48">
        <f>MLCF!E134</f>
        <v>1</v>
      </c>
      <c r="Q1604" s="44" t="str">
        <f t="shared" si="53"/>
        <v>PASS</v>
      </c>
      <c r="R1604" s="44" t="s">
        <v>1587</v>
      </c>
      <c r="S1604" s="44" t="s">
        <v>1537</v>
      </c>
    </row>
    <row r="1605" spans="1:19" x14ac:dyDescent="0.3">
      <c r="A1605" s="44" t="s">
        <v>2912</v>
      </c>
      <c r="B1605" s="44" t="s">
        <v>106</v>
      </c>
      <c r="C1605" s="44" t="s">
        <v>27</v>
      </c>
      <c r="D1605" s="44" t="s">
        <v>1577</v>
      </c>
      <c r="E1605" s="44" t="s">
        <v>1130</v>
      </c>
      <c r="F1605" s="44" t="s">
        <v>1578</v>
      </c>
      <c r="G1605" s="44" t="s">
        <v>1598</v>
      </c>
      <c r="H1605" s="44" t="s">
        <v>1124</v>
      </c>
      <c r="I1605" s="44" t="s">
        <v>1106</v>
      </c>
      <c r="J1605" s="44">
        <v>175</v>
      </c>
      <c r="K1605" s="44" t="s">
        <v>2899</v>
      </c>
      <c r="L1605" s="44"/>
      <c r="M1605" s="44" t="s">
        <v>457</v>
      </c>
      <c r="N1605" s="44">
        <v>1</v>
      </c>
      <c r="O1605" s="44">
        <f t="shared" si="54"/>
        <v>1</v>
      </c>
      <c r="P1605" s="48">
        <f>MLCF!F134</f>
        <v>1</v>
      </c>
      <c r="Q1605" s="44" t="str">
        <f t="shared" si="53"/>
        <v>PASS</v>
      </c>
      <c r="R1605" s="44" t="s">
        <v>1587</v>
      </c>
      <c r="S1605" s="44" t="s">
        <v>1537</v>
      </c>
    </row>
    <row r="1606" spans="1:19" x14ac:dyDescent="0.3">
      <c r="A1606" s="44" t="s">
        <v>2913</v>
      </c>
      <c r="B1606" s="44" t="s">
        <v>106</v>
      </c>
      <c r="C1606" s="44" t="s">
        <v>28</v>
      </c>
      <c r="D1606" s="44" t="s">
        <v>1577</v>
      </c>
      <c r="E1606" s="44" t="s">
        <v>1130</v>
      </c>
      <c r="F1606" s="44" t="s">
        <v>1578</v>
      </c>
      <c r="G1606" s="44" t="s">
        <v>1598</v>
      </c>
      <c r="H1606" s="44" t="s">
        <v>1124</v>
      </c>
      <c r="I1606" s="44" t="s">
        <v>1106</v>
      </c>
      <c r="J1606" s="44">
        <v>175</v>
      </c>
      <c r="K1606" s="44" t="s">
        <v>2899</v>
      </c>
      <c r="L1606" s="44"/>
      <c r="M1606" s="44" t="s">
        <v>457</v>
      </c>
      <c r="N1606" s="44">
        <v>1</v>
      </c>
      <c r="O1606" s="44">
        <f t="shared" si="54"/>
        <v>1</v>
      </c>
      <c r="P1606" s="48">
        <f>MLCF!G134</f>
        <v>1</v>
      </c>
      <c r="Q1606" s="44" t="str">
        <f t="shared" si="53"/>
        <v>PASS</v>
      </c>
      <c r="R1606" s="44" t="s">
        <v>1587</v>
      </c>
      <c r="S1606" s="44" t="s">
        <v>1537</v>
      </c>
    </row>
    <row r="1607" spans="1:19" x14ac:dyDescent="0.3">
      <c r="A1607" s="44" t="s">
        <v>2914</v>
      </c>
      <c r="B1607" s="44" t="s">
        <v>106</v>
      </c>
      <c r="C1607" s="44" t="s">
        <v>29</v>
      </c>
      <c r="D1607" s="44" t="s">
        <v>1577</v>
      </c>
      <c r="E1607" s="44" t="s">
        <v>1130</v>
      </c>
      <c r="F1607" s="44" t="s">
        <v>1578</v>
      </c>
      <c r="G1607" s="44" t="s">
        <v>1598</v>
      </c>
      <c r="H1607" s="44" t="s">
        <v>1124</v>
      </c>
      <c r="I1607" s="44" t="s">
        <v>1127</v>
      </c>
      <c r="J1607" s="44">
        <v>175</v>
      </c>
      <c r="K1607" s="44" t="s">
        <v>2899</v>
      </c>
      <c r="L1607" s="44"/>
      <c r="M1607" s="44" t="s">
        <v>457</v>
      </c>
      <c r="N1607" s="44">
        <v>1</v>
      </c>
      <c r="O1607" s="44">
        <f t="shared" si="54"/>
        <v>1</v>
      </c>
      <c r="P1607" s="48">
        <f>MLCF!H134</f>
        <v>1</v>
      </c>
      <c r="Q1607" s="44" t="str">
        <f t="shared" si="53"/>
        <v>PASS</v>
      </c>
      <c r="R1607" s="44" t="s">
        <v>1587</v>
      </c>
      <c r="S1607" s="44" t="s">
        <v>1537</v>
      </c>
    </row>
    <row r="1608" spans="1:19" x14ac:dyDescent="0.3">
      <c r="A1608" s="44" t="s">
        <v>2915</v>
      </c>
      <c r="B1608" s="44" t="s">
        <v>114</v>
      </c>
      <c r="C1608" s="44" t="s">
        <v>965</v>
      </c>
      <c r="D1608" s="44" t="s">
        <v>243</v>
      </c>
      <c r="E1608" s="44" t="s">
        <v>1035</v>
      </c>
      <c r="F1608" s="44" t="s">
        <v>1103</v>
      </c>
      <c r="G1608" s="44" t="s">
        <v>2916</v>
      </c>
      <c r="H1608" s="44" t="s">
        <v>1105</v>
      </c>
      <c r="I1608" s="44" t="s">
        <v>1106</v>
      </c>
      <c r="J1608" s="44">
        <v>165</v>
      </c>
      <c r="K1608" s="44" t="s">
        <v>1107</v>
      </c>
      <c r="L1608" s="44" t="s">
        <v>1121</v>
      </c>
      <c r="M1608" s="44" t="s">
        <v>2033</v>
      </c>
      <c r="N1608" s="45">
        <v>22065172</v>
      </c>
      <c r="O1608" s="46">
        <f t="shared" ref="O1608:O1671" si="55">N1608/1000</f>
        <v>22065.171999999999</v>
      </c>
      <c r="P1608" s="47">
        <f>FCCL!C20</f>
        <v>22065.171999999999</v>
      </c>
      <c r="Q1608" s="44" t="str">
        <f t="shared" si="53"/>
        <v>PASS</v>
      </c>
      <c r="R1608" s="44" t="s">
        <v>1110</v>
      </c>
      <c r="S1608" s="44"/>
    </row>
    <row r="1609" spans="1:19" x14ac:dyDescent="0.3">
      <c r="A1609" s="44" t="s">
        <v>2917</v>
      </c>
      <c r="B1609" s="44" t="s">
        <v>114</v>
      </c>
      <c r="C1609" s="44" t="s">
        <v>20</v>
      </c>
      <c r="D1609" s="44" t="s">
        <v>243</v>
      </c>
      <c r="E1609" s="44" t="s">
        <v>1035</v>
      </c>
      <c r="F1609" s="44" t="s">
        <v>1103</v>
      </c>
      <c r="G1609" s="44" t="s">
        <v>2918</v>
      </c>
      <c r="H1609" s="44" t="s">
        <v>1113</v>
      </c>
      <c r="I1609" s="44" t="s">
        <v>1106</v>
      </c>
      <c r="J1609" s="44">
        <v>187</v>
      </c>
      <c r="K1609" s="44" t="s">
        <v>2232</v>
      </c>
      <c r="L1609" s="44" t="s">
        <v>1161</v>
      </c>
      <c r="M1609" s="44" t="s">
        <v>2033</v>
      </c>
      <c r="N1609" s="45">
        <v>21422215</v>
      </c>
      <c r="O1609" s="46">
        <f t="shared" si="55"/>
        <v>21422.215</v>
      </c>
      <c r="P1609" s="47">
        <f>FCCL!D20</f>
        <v>21422.215</v>
      </c>
      <c r="Q1609" s="44" t="str">
        <f t="shared" si="53"/>
        <v>PASS</v>
      </c>
      <c r="R1609" s="44" t="s">
        <v>1110</v>
      </c>
      <c r="S1609" s="44"/>
    </row>
    <row r="1610" spans="1:19" x14ac:dyDescent="0.3">
      <c r="A1610" s="44" t="s">
        <v>2919</v>
      </c>
      <c r="B1610" s="44" t="s">
        <v>114</v>
      </c>
      <c r="C1610" s="44" t="s">
        <v>26</v>
      </c>
      <c r="D1610" s="44" t="s">
        <v>243</v>
      </c>
      <c r="E1610" s="44" t="s">
        <v>1035</v>
      </c>
      <c r="F1610" s="44" t="s">
        <v>1103</v>
      </c>
      <c r="G1610" s="44" t="s">
        <v>2920</v>
      </c>
      <c r="H1610" s="44" t="s">
        <v>1117</v>
      </c>
      <c r="I1610" s="44" t="s">
        <v>1106</v>
      </c>
      <c r="J1610" s="44">
        <v>209</v>
      </c>
      <c r="K1610" s="44" t="s">
        <v>2921</v>
      </c>
      <c r="L1610" s="44" t="s">
        <v>1148</v>
      </c>
      <c r="M1610" s="44" t="s">
        <v>2033</v>
      </c>
      <c r="N1610" s="45">
        <v>74126315</v>
      </c>
      <c r="O1610" s="46">
        <f t="shared" si="55"/>
        <v>74126.315000000002</v>
      </c>
      <c r="P1610" s="47">
        <f>FCCL!E20</f>
        <v>74126.315000000002</v>
      </c>
      <c r="Q1610" s="44" t="str">
        <f t="shared" si="53"/>
        <v>PASS</v>
      </c>
      <c r="R1610" s="44" t="s">
        <v>1110</v>
      </c>
      <c r="S1610" s="44"/>
    </row>
    <row r="1611" spans="1:19" x14ac:dyDescent="0.3">
      <c r="A1611" s="44" t="s">
        <v>2922</v>
      </c>
      <c r="B1611" s="44" t="s">
        <v>114</v>
      </c>
      <c r="C1611" s="44" t="s">
        <v>27</v>
      </c>
      <c r="D1611" s="44" t="s">
        <v>243</v>
      </c>
      <c r="E1611" s="44" t="s">
        <v>1035</v>
      </c>
      <c r="F1611" s="44" t="s">
        <v>1103</v>
      </c>
      <c r="G1611" s="44" t="s">
        <v>2923</v>
      </c>
      <c r="H1611" s="44" t="s">
        <v>1120</v>
      </c>
      <c r="I1611" s="44" t="s">
        <v>1106</v>
      </c>
      <c r="J1611" s="44">
        <v>191</v>
      </c>
      <c r="K1611" s="44" t="s">
        <v>1107</v>
      </c>
      <c r="L1611" s="44" t="s">
        <v>1148</v>
      </c>
      <c r="M1611" s="44" t="s">
        <v>2033</v>
      </c>
      <c r="N1611" s="45">
        <v>104425181</v>
      </c>
      <c r="O1611" s="46">
        <f t="shared" si="55"/>
        <v>104425.181</v>
      </c>
      <c r="P1611" s="47">
        <f>FCCL!F20</f>
        <v>104425.181</v>
      </c>
      <c r="Q1611" s="44" t="str">
        <f t="shared" si="53"/>
        <v>PASS</v>
      </c>
      <c r="R1611" s="44" t="s">
        <v>1110</v>
      </c>
      <c r="S1611" s="44"/>
    </row>
    <row r="1612" spans="1:19" x14ac:dyDescent="0.3">
      <c r="A1612" s="44" t="s">
        <v>2924</v>
      </c>
      <c r="B1612" s="44" t="s">
        <v>114</v>
      </c>
      <c r="C1612" s="44" t="s">
        <v>28</v>
      </c>
      <c r="D1612" s="44" t="s">
        <v>243</v>
      </c>
      <c r="E1612" s="44" t="s">
        <v>1035</v>
      </c>
      <c r="F1612" s="44" t="s">
        <v>1103</v>
      </c>
      <c r="G1612" s="44" t="s">
        <v>2925</v>
      </c>
      <c r="H1612" s="44" t="s">
        <v>1124</v>
      </c>
      <c r="I1612" s="44" t="s">
        <v>1106</v>
      </c>
      <c r="J1612" s="44">
        <v>245</v>
      </c>
      <c r="K1612" s="44" t="s">
        <v>1107</v>
      </c>
      <c r="L1612" s="44" t="s">
        <v>1161</v>
      </c>
      <c r="M1612" s="44" t="s">
        <v>2033</v>
      </c>
      <c r="N1612" s="45">
        <v>110845663</v>
      </c>
      <c r="O1612" s="46">
        <f t="shared" si="55"/>
        <v>110845.663</v>
      </c>
      <c r="P1612" s="47">
        <f>FCCL!G20</f>
        <v>110845.663</v>
      </c>
      <c r="Q1612" s="44" t="str">
        <f t="shared" si="53"/>
        <v>PASS</v>
      </c>
      <c r="R1612" s="44" t="s">
        <v>1110</v>
      </c>
      <c r="S1612" s="44"/>
    </row>
    <row r="1613" spans="1:19" x14ac:dyDescent="0.3">
      <c r="A1613" s="44" t="s">
        <v>2926</v>
      </c>
      <c r="B1613" s="44" t="s">
        <v>114</v>
      </c>
      <c r="C1613" s="44" t="s">
        <v>29</v>
      </c>
      <c r="D1613" s="44" t="s">
        <v>243</v>
      </c>
      <c r="E1613" s="44" t="s">
        <v>1035</v>
      </c>
      <c r="F1613" s="44" t="s">
        <v>1103</v>
      </c>
      <c r="G1613" s="44" t="s">
        <v>2925</v>
      </c>
      <c r="H1613" s="44" t="s">
        <v>1124</v>
      </c>
      <c r="I1613" s="44" t="s">
        <v>1127</v>
      </c>
      <c r="J1613" s="44">
        <v>245</v>
      </c>
      <c r="K1613" s="44" t="s">
        <v>1107</v>
      </c>
      <c r="L1613" s="44" t="s">
        <v>1161</v>
      </c>
      <c r="M1613" s="44" t="s">
        <v>2033</v>
      </c>
      <c r="N1613" s="45">
        <v>109579089</v>
      </c>
      <c r="O1613" s="46">
        <f t="shared" si="55"/>
        <v>109579.08900000001</v>
      </c>
      <c r="P1613" s="47">
        <f>FCCL!H20</f>
        <v>109579.08900000001</v>
      </c>
      <c r="Q1613" s="44" t="str">
        <f t="shared" si="53"/>
        <v>PASS</v>
      </c>
      <c r="R1613" s="44" t="s">
        <v>1110</v>
      </c>
      <c r="S1613" s="44"/>
    </row>
    <row r="1614" spans="1:19" x14ac:dyDescent="0.3">
      <c r="A1614" s="44" t="s">
        <v>2927</v>
      </c>
      <c r="B1614" s="44" t="s">
        <v>114</v>
      </c>
      <c r="C1614" s="44" t="s">
        <v>965</v>
      </c>
      <c r="D1614" s="44" t="s">
        <v>1129</v>
      </c>
      <c r="E1614" s="44" t="s">
        <v>1130</v>
      </c>
      <c r="F1614" s="44" t="s">
        <v>2928</v>
      </c>
      <c r="G1614" s="44" t="s">
        <v>2916</v>
      </c>
      <c r="H1614" s="44" t="s">
        <v>1105</v>
      </c>
      <c r="I1614" s="44" t="s">
        <v>1106</v>
      </c>
      <c r="J1614" s="44">
        <v>193</v>
      </c>
      <c r="K1614" s="44" t="s">
        <v>2929</v>
      </c>
      <c r="L1614" s="44"/>
      <c r="M1614" s="44" t="s">
        <v>2033</v>
      </c>
      <c r="N1614" s="45">
        <v>2808</v>
      </c>
      <c r="O1614" s="46">
        <f t="shared" si="55"/>
        <v>2.8079999999999998</v>
      </c>
      <c r="P1614" s="47">
        <f>FCCL!C21</f>
        <v>2.8079999999999998</v>
      </c>
      <c r="Q1614" s="44" t="str">
        <f t="shared" si="53"/>
        <v>PASS</v>
      </c>
      <c r="R1614" s="44" t="s">
        <v>1110</v>
      </c>
      <c r="S1614" s="44"/>
    </row>
    <row r="1615" spans="1:19" x14ac:dyDescent="0.3">
      <c r="A1615" s="44" t="s">
        <v>2930</v>
      </c>
      <c r="B1615" s="44" t="s">
        <v>114</v>
      </c>
      <c r="C1615" s="44" t="s">
        <v>20</v>
      </c>
      <c r="D1615" s="44" t="s">
        <v>1129</v>
      </c>
      <c r="E1615" s="44" t="s">
        <v>1130</v>
      </c>
      <c r="F1615" s="44" t="s">
        <v>2928</v>
      </c>
      <c r="G1615" s="44" t="s">
        <v>2920</v>
      </c>
      <c r="H1615" s="44" t="s">
        <v>1117</v>
      </c>
      <c r="I1615" s="44" t="s">
        <v>1106</v>
      </c>
      <c r="J1615" s="44">
        <v>239</v>
      </c>
      <c r="K1615" s="44" t="s">
        <v>1846</v>
      </c>
      <c r="L1615" s="44"/>
      <c r="M1615" s="44" t="s">
        <v>2033</v>
      </c>
      <c r="N1615" s="45">
        <v>202087</v>
      </c>
      <c r="O1615" s="46">
        <f t="shared" si="55"/>
        <v>202.08699999999999</v>
      </c>
      <c r="P1615" s="47">
        <f>FCCL!D21</f>
        <v>202.08699999999999</v>
      </c>
      <c r="Q1615" s="44" t="str">
        <f t="shared" si="53"/>
        <v>PASS</v>
      </c>
      <c r="R1615" s="44" t="s">
        <v>1110</v>
      </c>
      <c r="S1615" s="44"/>
    </row>
    <row r="1616" spans="1:19" x14ac:dyDescent="0.3">
      <c r="A1616" s="44" t="s">
        <v>2931</v>
      </c>
      <c r="B1616" s="44" t="s">
        <v>114</v>
      </c>
      <c r="C1616" s="44" t="s">
        <v>26</v>
      </c>
      <c r="D1616" s="44" t="s">
        <v>1129</v>
      </c>
      <c r="E1616" s="44" t="s">
        <v>1130</v>
      </c>
      <c r="F1616" s="44" t="s">
        <v>2928</v>
      </c>
      <c r="G1616" s="44" t="s">
        <v>2920</v>
      </c>
      <c r="H1616" s="44" t="s">
        <v>1117</v>
      </c>
      <c r="I1616" s="44" t="s">
        <v>1106</v>
      </c>
      <c r="J1616" s="44">
        <v>241</v>
      </c>
      <c r="K1616" s="44" t="s">
        <v>1951</v>
      </c>
      <c r="L1616" s="44"/>
      <c r="M1616" s="44" t="s">
        <v>2033</v>
      </c>
      <c r="N1616" s="45">
        <v>29802170</v>
      </c>
      <c r="O1616" s="46">
        <f t="shared" si="55"/>
        <v>29802.17</v>
      </c>
      <c r="P1616" s="47">
        <f>FCCL!E21</f>
        <v>29802.17</v>
      </c>
      <c r="Q1616" s="44" t="str">
        <f t="shared" si="53"/>
        <v>PASS</v>
      </c>
      <c r="R1616" s="44" t="s">
        <v>1110</v>
      </c>
      <c r="S1616" s="44"/>
    </row>
    <row r="1617" spans="1:19" x14ac:dyDescent="0.3">
      <c r="A1617" s="44" t="s">
        <v>2932</v>
      </c>
      <c r="B1617" s="44" t="s">
        <v>114</v>
      </c>
      <c r="C1617" s="44" t="s">
        <v>27</v>
      </c>
      <c r="D1617" s="44" t="s">
        <v>1129</v>
      </c>
      <c r="E1617" s="44" t="s">
        <v>1130</v>
      </c>
      <c r="F1617" s="44" t="s">
        <v>2928</v>
      </c>
      <c r="G1617" s="44" t="s">
        <v>2923</v>
      </c>
      <c r="H1617" s="44" t="s">
        <v>1120</v>
      </c>
      <c r="I1617" s="44" t="s">
        <v>1106</v>
      </c>
      <c r="J1617" s="44">
        <v>219</v>
      </c>
      <c r="K1617" s="44" t="s">
        <v>2933</v>
      </c>
      <c r="L1617" s="44"/>
      <c r="M1617" s="44" t="s">
        <v>2033</v>
      </c>
      <c r="N1617" s="45">
        <v>34531172</v>
      </c>
      <c r="O1617" s="46">
        <f t="shared" si="55"/>
        <v>34531.171999999999</v>
      </c>
      <c r="P1617" s="47">
        <f>FCCL!F21</f>
        <v>34531.171999999999</v>
      </c>
      <c r="Q1617" s="44" t="str">
        <f t="shared" si="53"/>
        <v>PASS</v>
      </c>
      <c r="R1617" s="44" t="s">
        <v>1110</v>
      </c>
      <c r="S1617" s="44"/>
    </row>
    <row r="1618" spans="1:19" x14ac:dyDescent="0.3">
      <c r="A1618" s="44" t="s">
        <v>2934</v>
      </c>
      <c r="B1618" s="44" t="s">
        <v>114</v>
      </c>
      <c r="C1618" s="44" t="s">
        <v>28</v>
      </c>
      <c r="D1618" s="44" t="s">
        <v>1129</v>
      </c>
      <c r="E1618" s="44" t="s">
        <v>1130</v>
      </c>
      <c r="F1618" s="44" t="s">
        <v>2928</v>
      </c>
      <c r="G1618" s="44" t="s">
        <v>2925</v>
      </c>
      <c r="H1618" s="44" t="s">
        <v>1124</v>
      </c>
      <c r="I1618" s="44" t="s">
        <v>1106</v>
      </c>
      <c r="J1618" s="44">
        <v>273</v>
      </c>
      <c r="K1618" s="44" t="s">
        <v>1934</v>
      </c>
      <c r="L1618" s="44"/>
      <c r="M1618" s="44" t="s">
        <v>2033</v>
      </c>
      <c r="N1618" s="45">
        <v>700153</v>
      </c>
      <c r="O1618" s="46">
        <f t="shared" si="55"/>
        <v>700.15300000000002</v>
      </c>
      <c r="P1618" s="47">
        <f>FCCL!G21</f>
        <v>700.15300000000002</v>
      </c>
      <c r="Q1618" s="44" t="str">
        <f t="shared" si="53"/>
        <v>PASS</v>
      </c>
      <c r="R1618" s="44" t="s">
        <v>1110</v>
      </c>
      <c r="S1618" s="44"/>
    </row>
    <row r="1619" spans="1:19" x14ac:dyDescent="0.3">
      <c r="A1619" s="44" t="s">
        <v>2935</v>
      </c>
      <c r="B1619" s="44" t="s">
        <v>114</v>
      </c>
      <c r="C1619" s="44" t="s">
        <v>29</v>
      </c>
      <c r="D1619" s="44" t="s">
        <v>1129</v>
      </c>
      <c r="E1619" s="44" t="s">
        <v>1130</v>
      </c>
      <c r="F1619" s="44" t="s">
        <v>2928</v>
      </c>
      <c r="G1619" s="44" t="s">
        <v>2925</v>
      </c>
      <c r="H1619" s="44" t="s">
        <v>1124</v>
      </c>
      <c r="I1619" s="44" t="s">
        <v>1127</v>
      </c>
      <c r="J1619" s="44">
        <v>274</v>
      </c>
      <c r="K1619" s="44" t="s">
        <v>2936</v>
      </c>
      <c r="L1619" s="44"/>
      <c r="M1619" s="44" t="s">
        <v>2033</v>
      </c>
      <c r="N1619" s="45">
        <v>296574</v>
      </c>
      <c r="O1619" s="46">
        <f t="shared" si="55"/>
        <v>296.57400000000001</v>
      </c>
      <c r="P1619" s="47">
        <f>FCCL!H21</f>
        <v>296.57400000000001</v>
      </c>
      <c r="Q1619" s="44" t="str">
        <f t="shared" si="53"/>
        <v>PASS</v>
      </c>
      <c r="R1619" s="44" t="s">
        <v>1110</v>
      </c>
      <c r="S1619" s="44"/>
    </row>
    <row r="1620" spans="1:19" x14ac:dyDescent="0.3">
      <c r="A1620" s="44" t="s">
        <v>2937</v>
      </c>
      <c r="B1620" s="44" t="s">
        <v>114</v>
      </c>
      <c r="C1620" s="44" t="s">
        <v>965</v>
      </c>
      <c r="D1620" s="44" t="s">
        <v>250</v>
      </c>
      <c r="E1620" s="44" t="s">
        <v>1035</v>
      </c>
      <c r="F1620" s="44" t="s">
        <v>2938</v>
      </c>
      <c r="G1620" s="44" t="s">
        <v>2916</v>
      </c>
      <c r="H1620" s="44" t="s">
        <v>1105</v>
      </c>
      <c r="I1620" s="44" t="s">
        <v>1106</v>
      </c>
      <c r="J1620" s="44">
        <v>165</v>
      </c>
      <c r="K1620" s="44" t="s">
        <v>1107</v>
      </c>
      <c r="L1620" s="44" t="s">
        <v>1108</v>
      </c>
      <c r="M1620" s="44" t="s">
        <v>2033</v>
      </c>
      <c r="N1620" s="45">
        <v>60322</v>
      </c>
      <c r="O1620" s="46">
        <f t="shared" si="55"/>
        <v>60.322000000000003</v>
      </c>
      <c r="P1620" s="47">
        <f>FCCL!C23</f>
        <v>60.322000000000003</v>
      </c>
      <c r="Q1620" s="44" t="str">
        <f t="shared" si="53"/>
        <v>PASS</v>
      </c>
      <c r="R1620" s="44" t="s">
        <v>1110</v>
      </c>
      <c r="S1620" s="44"/>
    </row>
    <row r="1621" spans="1:19" x14ac:dyDescent="0.3">
      <c r="A1621" s="44" t="s">
        <v>2939</v>
      </c>
      <c r="B1621" s="44" t="s">
        <v>114</v>
      </c>
      <c r="C1621" s="44" t="s">
        <v>20</v>
      </c>
      <c r="D1621" s="44" t="s">
        <v>250</v>
      </c>
      <c r="E1621" s="44" t="s">
        <v>1035</v>
      </c>
      <c r="F1621" s="44" t="s">
        <v>2938</v>
      </c>
      <c r="G1621" s="44" t="s">
        <v>2918</v>
      </c>
      <c r="H1621" s="44" t="s">
        <v>1113</v>
      </c>
      <c r="I1621" s="44" t="s">
        <v>1106</v>
      </c>
      <c r="J1621" s="44">
        <v>187</v>
      </c>
      <c r="K1621" s="44" t="s">
        <v>2232</v>
      </c>
      <c r="L1621" s="44" t="s">
        <v>1155</v>
      </c>
      <c r="M1621" s="44" t="s">
        <v>2033</v>
      </c>
      <c r="N1621" s="45">
        <v>89334</v>
      </c>
      <c r="O1621" s="46">
        <f t="shared" si="55"/>
        <v>89.334000000000003</v>
      </c>
      <c r="P1621" s="47">
        <f>FCCL!D23</f>
        <v>89.334000000000003</v>
      </c>
      <c r="Q1621" s="44" t="str">
        <f t="shared" si="53"/>
        <v>PASS</v>
      </c>
      <c r="R1621" s="44" t="s">
        <v>1110</v>
      </c>
      <c r="S1621" s="44"/>
    </row>
    <row r="1622" spans="1:19" x14ac:dyDescent="0.3">
      <c r="A1622" s="44" t="s">
        <v>2940</v>
      </c>
      <c r="B1622" s="44" t="s">
        <v>114</v>
      </c>
      <c r="C1622" s="44" t="s">
        <v>26</v>
      </c>
      <c r="D1622" s="44" t="s">
        <v>250</v>
      </c>
      <c r="E1622" s="44" t="s">
        <v>1035</v>
      </c>
      <c r="F1622" s="44" t="s">
        <v>2938</v>
      </c>
      <c r="G1622" s="44" t="s">
        <v>2920</v>
      </c>
      <c r="H1622" s="44" t="s">
        <v>1117</v>
      </c>
      <c r="I1622" s="44" t="s">
        <v>1106</v>
      </c>
      <c r="J1622" s="44">
        <v>209</v>
      </c>
      <c r="K1622" s="44" t="s">
        <v>2921</v>
      </c>
      <c r="L1622" s="44" t="s">
        <v>1161</v>
      </c>
      <c r="M1622" s="44" t="s">
        <v>2033</v>
      </c>
      <c r="N1622" s="45">
        <v>132263</v>
      </c>
      <c r="O1622" s="46">
        <f t="shared" si="55"/>
        <v>132.26300000000001</v>
      </c>
      <c r="P1622" s="47">
        <f>FCCL!E23</f>
        <v>132.26300000000001</v>
      </c>
      <c r="Q1622" s="44" t="str">
        <f t="shared" ref="Q1622:Q1685" si="56">IF(ABS(O1622-P1622)&lt;0.000001,"PASS","FAIL")</f>
        <v>PASS</v>
      </c>
      <c r="R1622" s="44" t="s">
        <v>1110</v>
      </c>
      <c r="S1622" s="44"/>
    </row>
    <row r="1623" spans="1:19" x14ac:dyDescent="0.3">
      <c r="A1623" s="44" t="s">
        <v>2941</v>
      </c>
      <c r="B1623" s="44" t="s">
        <v>114</v>
      </c>
      <c r="C1623" s="44" t="s">
        <v>27</v>
      </c>
      <c r="D1623" s="44" t="s">
        <v>250</v>
      </c>
      <c r="E1623" s="44" t="s">
        <v>1035</v>
      </c>
      <c r="F1623" s="44" t="s">
        <v>2938</v>
      </c>
      <c r="G1623" s="44" t="s">
        <v>2923</v>
      </c>
      <c r="H1623" s="44" t="s">
        <v>1120</v>
      </c>
      <c r="I1623" s="44" t="s">
        <v>1106</v>
      </c>
      <c r="J1623" s="44">
        <v>191</v>
      </c>
      <c r="K1623" s="44" t="s">
        <v>1107</v>
      </c>
      <c r="L1623" s="44" t="s">
        <v>1161</v>
      </c>
      <c r="M1623" s="44" t="s">
        <v>2033</v>
      </c>
      <c r="N1623" s="45">
        <v>181380</v>
      </c>
      <c r="O1623" s="46">
        <f t="shared" si="55"/>
        <v>181.38</v>
      </c>
      <c r="P1623" s="47">
        <f>FCCL!F23</f>
        <v>181.38</v>
      </c>
      <c r="Q1623" s="44" t="str">
        <f t="shared" si="56"/>
        <v>PASS</v>
      </c>
      <c r="R1623" s="44" t="s">
        <v>1110</v>
      </c>
      <c r="S1623" s="44"/>
    </row>
    <row r="1624" spans="1:19" x14ac:dyDescent="0.3">
      <c r="A1624" s="44" t="s">
        <v>2942</v>
      </c>
      <c r="B1624" s="44" t="s">
        <v>114</v>
      </c>
      <c r="C1624" s="44" t="s">
        <v>28</v>
      </c>
      <c r="D1624" s="44" t="s">
        <v>250</v>
      </c>
      <c r="E1624" s="44" t="s">
        <v>1035</v>
      </c>
      <c r="F1624" s="44" t="s">
        <v>2938</v>
      </c>
      <c r="G1624" s="44" t="s">
        <v>2925</v>
      </c>
      <c r="H1624" s="44" t="s">
        <v>1124</v>
      </c>
      <c r="I1624" s="44" t="s">
        <v>1106</v>
      </c>
      <c r="J1624" s="44">
        <v>245</v>
      </c>
      <c r="K1624" s="44" t="s">
        <v>1107</v>
      </c>
      <c r="L1624" s="44" t="s">
        <v>1155</v>
      </c>
      <c r="M1624" s="44" t="s">
        <v>2033</v>
      </c>
      <c r="N1624" s="45">
        <v>131165</v>
      </c>
      <c r="O1624" s="46">
        <f t="shared" si="55"/>
        <v>131.16499999999999</v>
      </c>
      <c r="P1624" s="47">
        <f>FCCL!G23</f>
        <v>131.16499999999999</v>
      </c>
      <c r="Q1624" s="44" t="str">
        <f t="shared" si="56"/>
        <v>PASS</v>
      </c>
      <c r="R1624" s="44" t="s">
        <v>1110</v>
      </c>
      <c r="S1624" s="44"/>
    </row>
    <row r="1625" spans="1:19" x14ac:dyDescent="0.3">
      <c r="A1625" s="44" t="s">
        <v>2943</v>
      </c>
      <c r="B1625" s="44" t="s">
        <v>114</v>
      </c>
      <c r="C1625" s="44" t="s">
        <v>29</v>
      </c>
      <c r="D1625" s="44" t="s">
        <v>250</v>
      </c>
      <c r="E1625" s="44" t="s">
        <v>1035</v>
      </c>
      <c r="F1625" s="44" t="s">
        <v>2938</v>
      </c>
      <c r="G1625" s="44" t="s">
        <v>2925</v>
      </c>
      <c r="H1625" s="44" t="s">
        <v>1124</v>
      </c>
      <c r="I1625" s="44" t="s">
        <v>1127</v>
      </c>
      <c r="J1625" s="44">
        <v>245</v>
      </c>
      <c r="K1625" s="44" t="s">
        <v>1107</v>
      </c>
      <c r="L1625" s="44" t="s">
        <v>1155</v>
      </c>
      <c r="M1625" s="44" t="s">
        <v>2033</v>
      </c>
      <c r="N1625" s="45">
        <v>126445</v>
      </c>
      <c r="O1625" s="46">
        <f t="shared" si="55"/>
        <v>126.44499999999999</v>
      </c>
      <c r="P1625" s="47">
        <f>FCCL!H23</f>
        <v>126.44499999999999</v>
      </c>
      <c r="Q1625" s="44" t="str">
        <f t="shared" si="56"/>
        <v>PASS</v>
      </c>
      <c r="R1625" s="44" t="s">
        <v>1110</v>
      </c>
      <c r="S1625" s="44"/>
    </row>
    <row r="1626" spans="1:19" x14ac:dyDescent="0.3">
      <c r="A1626" s="44" t="s">
        <v>2944</v>
      </c>
      <c r="B1626" s="44" t="s">
        <v>114</v>
      </c>
      <c r="C1626" s="44" t="s">
        <v>965</v>
      </c>
      <c r="D1626" s="44" t="s">
        <v>252</v>
      </c>
      <c r="E1626" s="44" t="s">
        <v>1035</v>
      </c>
      <c r="F1626" s="44"/>
      <c r="G1626" s="44" t="s">
        <v>2916</v>
      </c>
      <c r="H1626" s="44" t="s">
        <v>1105</v>
      </c>
      <c r="I1626" s="44" t="s">
        <v>1106</v>
      </c>
      <c r="J1626" s="44">
        <v>164</v>
      </c>
      <c r="K1626" s="44" t="s">
        <v>2905</v>
      </c>
      <c r="L1626" s="44"/>
      <c r="M1626" s="44" t="s">
        <v>2033</v>
      </c>
      <c r="N1626" s="45">
        <v>0</v>
      </c>
      <c r="O1626" s="46">
        <f t="shared" si="55"/>
        <v>0</v>
      </c>
      <c r="P1626" s="47">
        <f>FCCL!C24</f>
        <v>0</v>
      </c>
      <c r="Q1626" s="44" t="str">
        <f t="shared" si="56"/>
        <v>PASS</v>
      </c>
      <c r="R1626" s="44" t="s">
        <v>1110</v>
      </c>
      <c r="S1626" s="44"/>
    </row>
    <row r="1627" spans="1:19" x14ac:dyDescent="0.3">
      <c r="A1627" s="44" t="s">
        <v>2945</v>
      </c>
      <c r="B1627" s="44" t="s">
        <v>114</v>
      </c>
      <c r="C1627" s="44" t="s">
        <v>20</v>
      </c>
      <c r="D1627" s="44" t="s">
        <v>252</v>
      </c>
      <c r="E1627" s="44" t="s">
        <v>1035</v>
      </c>
      <c r="F1627" s="44" t="s">
        <v>1147</v>
      </c>
      <c r="G1627" s="44" t="s">
        <v>2918</v>
      </c>
      <c r="H1627" s="44" t="s">
        <v>1113</v>
      </c>
      <c r="I1627" s="44" t="s">
        <v>1106</v>
      </c>
      <c r="J1627" s="44">
        <v>187</v>
      </c>
      <c r="K1627" s="44" t="s">
        <v>2232</v>
      </c>
      <c r="L1627" s="44" t="s">
        <v>1157</v>
      </c>
      <c r="M1627" s="44" t="s">
        <v>2033</v>
      </c>
      <c r="N1627" s="45">
        <v>0</v>
      </c>
      <c r="O1627" s="46">
        <f t="shared" si="55"/>
        <v>0</v>
      </c>
      <c r="P1627" s="47">
        <f>FCCL!D24</f>
        <v>0</v>
      </c>
      <c r="Q1627" s="44" t="str">
        <f t="shared" si="56"/>
        <v>PASS</v>
      </c>
      <c r="R1627" s="44" t="s">
        <v>1110</v>
      </c>
      <c r="S1627" s="44"/>
    </row>
    <row r="1628" spans="1:19" x14ac:dyDescent="0.3">
      <c r="A1628" s="44" t="s">
        <v>2946</v>
      </c>
      <c r="B1628" s="44" t="s">
        <v>114</v>
      </c>
      <c r="C1628" s="44" t="s">
        <v>26</v>
      </c>
      <c r="D1628" s="44" t="s">
        <v>252</v>
      </c>
      <c r="E1628" s="44" t="s">
        <v>1035</v>
      </c>
      <c r="F1628" s="44" t="s">
        <v>2947</v>
      </c>
      <c r="G1628" s="44" t="s">
        <v>2920</v>
      </c>
      <c r="H1628" s="44" t="s">
        <v>1117</v>
      </c>
      <c r="I1628" s="44" t="s">
        <v>1106</v>
      </c>
      <c r="J1628" s="44">
        <v>209</v>
      </c>
      <c r="K1628" s="44" t="s">
        <v>2921</v>
      </c>
      <c r="L1628" s="44" t="s">
        <v>1155</v>
      </c>
      <c r="M1628" s="44" t="s">
        <v>2033</v>
      </c>
      <c r="N1628" s="45">
        <v>11029756</v>
      </c>
      <c r="O1628" s="46">
        <f t="shared" si="55"/>
        <v>11029.755999999999</v>
      </c>
      <c r="P1628" s="47">
        <f>FCCL!E24</f>
        <v>11029.755999999999</v>
      </c>
      <c r="Q1628" s="44" t="str">
        <f t="shared" si="56"/>
        <v>PASS</v>
      </c>
      <c r="R1628" s="44" t="s">
        <v>1110</v>
      </c>
      <c r="S1628" s="44"/>
    </row>
    <row r="1629" spans="1:19" x14ac:dyDescent="0.3">
      <c r="A1629" s="44" t="s">
        <v>2948</v>
      </c>
      <c r="B1629" s="44" t="s">
        <v>114</v>
      </c>
      <c r="C1629" s="44" t="s">
        <v>27</v>
      </c>
      <c r="D1629" s="44" t="s">
        <v>252</v>
      </c>
      <c r="E1629" s="44" t="s">
        <v>1035</v>
      </c>
      <c r="F1629" s="44" t="s">
        <v>2947</v>
      </c>
      <c r="G1629" s="44" t="s">
        <v>2923</v>
      </c>
      <c r="H1629" s="44" t="s">
        <v>1120</v>
      </c>
      <c r="I1629" s="44" t="s">
        <v>1106</v>
      </c>
      <c r="J1629" s="44">
        <v>191</v>
      </c>
      <c r="K1629" s="44" t="s">
        <v>1107</v>
      </c>
      <c r="L1629" s="44" t="s">
        <v>1155</v>
      </c>
      <c r="M1629" s="44" t="s">
        <v>2033</v>
      </c>
      <c r="N1629" s="45">
        <v>10957737</v>
      </c>
      <c r="O1629" s="46">
        <f t="shared" si="55"/>
        <v>10957.736999999999</v>
      </c>
      <c r="P1629" s="47">
        <f>FCCL!F24</f>
        <v>10957.736999999999</v>
      </c>
      <c r="Q1629" s="44" t="str">
        <f t="shared" si="56"/>
        <v>PASS</v>
      </c>
      <c r="R1629" s="44" t="s">
        <v>1110</v>
      </c>
      <c r="S1629" s="44"/>
    </row>
    <row r="1630" spans="1:19" x14ac:dyDescent="0.3">
      <c r="A1630" s="44" t="s">
        <v>2949</v>
      </c>
      <c r="B1630" s="44" t="s">
        <v>114</v>
      </c>
      <c r="C1630" s="44" t="s">
        <v>28</v>
      </c>
      <c r="D1630" s="44" t="s">
        <v>252</v>
      </c>
      <c r="E1630" s="44" t="s">
        <v>1035</v>
      </c>
      <c r="F1630" s="44" t="s">
        <v>2947</v>
      </c>
      <c r="G1630" s="44" t="s">
        <v>2925</v>
      </c>
      <c r="H1630" s="44" t="s">
        <v>1124</v>
      </c>
      <c r="I1630" s="44" t="s">
        <v>1106</v>
      </c>
      <c r="J1630" s="44">
        <v>245</v>
      </c>
      <c r="K1630" s="44" t="s">
        <v>1107</v>
      </c>
      <c r="L1630" s="44" t="s">
        <v>1157</v>
      </c>
      <c r="M1630" s="44" t="s">
        <v>2033</v>
      </c>
      <c r="N1630" s="45">
        <v>10745700</v>
      </c>
      <c r="O1630" s="46">
        <f t="shared" si="55"/>
        <v>10745.7</v>
      </c>
      <c r="P1630" s="47">
        <f>FCCL!G24</f>
        <v>10745.7</v>
      </c>
      <c r="Q1630" s="44" t="str">
        <f t="shared" si="56"/>
        <v>PASS</v>
      </c>
      <c r="R1630" s="44" t="s">
        <v>1110</v>
      </c>
      <c r="S1630" s="44"/>
    </row>
    <row r="1631" spans="1:19" x14ac:dyDescent="0.3">
      <c r="A1631" s="44" t="s">
        <v>2950</v>
      </c>
      <c r="B1631" s="44" t="s">
        <v>114</v>
      </c>
      <c r="C1631" s="44" t="s">
        <v>29</v>
      </c>
      <c r="D1631" s="44" t="s">
        <v>252</v>
      </c>
      <c r="E1631" s="44" t="s">
        <v>1035</v>
      </c>
      <c r="F1631" s="44" t="s">
        <v>2947</v>
      </c>
      <c r="G1631" s="44" t="s">
        <v>2925</v>
      </c>
      <c r="H1631" s="44" t="s">
        <v>1124</v>
      </c>
      <c r="I1631" s="44" t="s">
        <v>1127</v>
      </c>
      <c r="J1631" s="44">
        <v>245</v>
      </c>
      <c r="K1631" s="44" t="s">
        <v>1107</v>
      </c>
      <c r="L1631" s="44" t="s">
        <v>1157</v>
      </c>
      <c r="M1631" s="44" t="s">
        <v>2033</v>
      </c>
      <c r="N1631" s="45">
        <v>10533667</v>
      </c>
      <c r="O1631" s="46">
        <f t="shared" si="55"/>
        <v>10533.666999999999</v>
      </c>
      <c r="P1631" s="47">
        <f>FCCL!H24</f>
        <v>10533.666999999999</v>
      </c>
      <c r="Q1631" s="44" t="str">
        <f t="shared" si="56"/>
        <v>PASS</v>
      </c>
      <c r="R1631" s="44" t="s">
        <v>1110</v>
      </c>
      <c r="S1631" s="44"/>
    </row>
    <row r="1632" spans="1:19" x14ac:dyDescent="0.3">
      <c r="A1632" s="44" t="s">
        <v>2951</v>
      </c>
      <c r="B1632" s="44" t="s">
        <v>114</v>
      </c>
      <c r="C1632" s="44" t="s">
        <v>965</v>
      </c>
      <c r="D1632" s="44" t="s">
        <v>254</v>
      </c>
      <c r="E1632" s="44" t="s">
        <v>1035</v>
      </c>
      <c r="F1632" s="44"/>
      <c r="G1632" s="44" t="s">
        <v>2916</v>
      </c>
      <c r="H1632" s="44" t="s">
        <v>1105</v>
      </c>
      <c r="I1632" s="44" t="s">
        <v>1106</v>
      </c>
      <c r="J1632" s="44">
        <v>164</v>
      </c>
      <c r="K1632" s="44" t="s">
        <v>2905</v>
      </c>
      <c r="L1632" s="44"/>
      <c r="M1632" s="44" t="s">
        <v>2033</v>
      </c>
      <c r="N1632" s="45">
        <v>0</v>
      </c>
      <c r="O1632" s="46">
        <f t="shared" si="55"/>
        <v>0</v>
      </c>
      <c r="P1632" s="47">
        <f>FCCL!C25</f>
        <v>0</v>
      </c>
      <c r="Q1632" s="44" t="str">
        <f t="shared" si="56"/>
        <v>PASS</v>
      </c>
      <c r="R1632" s="44" t="s">
        <v>1110</v>
      </c>
      <c r="S1632" s="44"/>
    </row>
    <row r="1633" spans="1:19" x14ac:dyDescent="0.3">
      <c r="A1633" s="44" t="s">
        <v>2952</v>
      </c>
      <c r="B1633" s="44" t="s">
        <v>114</v>
      </c>
      <c r="C1633" s="44" t="s">
        <v>20</v>
      </c>
      <c r="D1633" s="44" t="s">
        <v>254</v>
      </c>
      <c r="E1633" s="44" t="s">
        <v>1035</v>
      </c>
      <c r="F1633" s="44"/>
      <c r="G1633" s="44" t="s">
        <v>2918</v>
      </c>
      <c r="H1633" s="44" t="s">
        <v>1113</v>
      </c>
      <c r="I1633" s="44" t="s">
        <v>1106</v>
      </c>
      <c r="J1633" s="44">
        <v>186</v>
      </c>
      <c r="K1633" s="44" t="s">
        <v>2051</v>
      </c>
      <c r="L1633" s="44"/>
      <c r="M1633" s="44" t="s">
        <v>2033</v>
      </c>
      <c r="N1633" s="45">
        <v>0</v>
      </c>
      <c r="O1633" s="46">
        <f t="shared" si="55"/>
        <v>0</v>
      </c>
      <c r="P1633" s="47">
        <f>FCCL!D25</f>
        <v>0</v>
      </c>
      <c r="Q1633" s="44" t="str">
        <f t="shared" si="56"/>
        <v>PASS</v>
      </c>
      <c r="R1633" s="44" t="s">
        <v>1110</v>
      </c>
      <c r="S1633" s="44"/>
    </row>
    <row r="1634" spans="1:19" x14ac:dyDescent="0.3">
      <c r="A1634" s="44" t="s">
        <v>2953</v>
      </c>
      <c r="B1634" s="44" t="s">
        <v>114</v>
      </c>
      <c r="C1634" s="44" t="s">
        <v>26</v>
      </c>
      <c r="D1634" s="44" t="s">
        <v>254</v>
      </c>
      <c r="E1634" s="44" t="s">
        <v>1035</v>
      </c>
      <c r="F1634" s="44"/>
      <c r="G1634" s="44" t="s">
        <v>2920</v>
      </c>
      <c r="H1634" s="44" t="s">
        <v>1117</v>
      </c>
      <c r="I1634" s="44" t="s">
        <v>1106</v>
      </c>
      <c r="J1634" s="44">
        <v>208</v>
      </c>
      <c r="K1634" s="44" t="s">
        <v>2392</v>
      </c>
      <c r="L1634" s="44"/>
      <c r="M1634" s="44" t="s">
        <v>2033</v>
      </c>
      <c r="N1634" s="45">
        <v>0</v>
      </c>
      <c r="O1634" s="46">
        <f t="shared" si="55"/>
        <v>0</v>
      </c>
      <c r="P1634" s="47">
        <f>FCCL!E25</f>
        <v>0</v>
      </c>
      <c r="Q1634" s="44" t="str">
        <f t="shared" si="56"/>
        <v>PASS</v>
      </c>
      <c r="R1634" s="44" t="s">
        <v>1110</v>
      </c>
      <c r="S1634" s="44"/>
    </row>
    <row r="1635" spans="1:19" x14ac:dyDescent="0.3">
      <c r="A1635" s="44" t="s">
        <v>2954</v>
      </c>
      <c r="B1635" s="44" t="s">
        <v>114</v>
      </c>
      <c r="C1635" s="44" t="s">
        <v>27</v>
      </c>
      <c r="D1635" s="44" t="s">
        <v>254</v>
      </c>
      <c r="E1635" s="44" t="s">
        <v>1035</v>
      </c>
      <c r="F1635" s="44"/>
      <c r="G1635" s="44" t="s">
        <v>2923</v>
      </c>
      <c r="H1635" s="44" t="s">
        <v>1120</v>
      </c>
      <c r="I1635" s="44" t="s">
        <v>1106</v>
      </c>
      <c r="J1635" s="44">
        <v>190</v>
      </c>
      <c r="K1635" s="44" t="s">
        <v>2055</v>
      </c>
      <c r="L1635" s="44"/>
      <c r="M1635" s="44" t="s">
        <v>2033</v>
      </c>
      <c r="N1635" s="45">
        <v>0</v>
      </c>
      <c r="O1635" s="46">
        <f t="shared" si="55"/>
        <v>0</v>
      </c>
      <c r="P1635" s="47">
        <f>FCCL!F25</f>
        <v>0</v>
      </c>
      <c r="Q1635" s="44" t="str">
        <f t="shared" si="56"/>
        <v>PASS</v>
      </c>
      <c r="R1635" s="44" t="s">
        <v>1110</v>
      </c>
      <c r="S1635" s="44"/>
    </row>
    <row r="1636" spans="1:19" x14ac:dyDescent="0.3">
      <c r="A1636" s="44" t="s">
        <v>2955</v>
      </c>
      <c r="B1636" s="44" t="s">
        <v>114</v>
      </c>
      <c r="C1636" s="44" t="s">
        <v>28</v>
      </c>
      <c r="D1636" s="44" t="s">
        <v>254</v>
      </c>
      <c r="E1636" s="44" t="s">
        <v>1035</v>
      </c>
      <c r="F1636" s="44"/>
      <c r="G1636" s="44" t="s">
        <v>2925</v>
      </c>
      <c r="H1636" s="44" t="s">
        <v>1124</v>
      </c>
      <c r="I1636" s="44" t="s">
        <v>1106</v>
      </c>
      <c r="J1636" s="44">
        <v>244</v>
      </c>
      <c r="K1636" s="44" t="s">
        <v>1107</v>
      </c>
      <c r="L1636" s="44"/>
      <c r="M1636" s="44" t="s">
        <v>2033</v>
      </c>
      <c r="N1636" s="45">
        <v>0</v>
      </c>
      <c r="O1636" s="46">
        <f t="shared" si="55"/>
        <v>0</v>
      </c>
      <c r="P1636" s="47">
        <f>FCCL!G25</f>
        <v>0</v>
      </c>
      <c r="Q1636" s="44" t="str">
        <f t="shared" si="56"/>
        <v>PASS</v>
      </c>
      <c r="R1636" s="44" t="s">
        <v>1110</v>
      </c>
      <c r="S1636" s="44"/>
    </row>
    <row r="1637" spans="1:19" x14ac:dyDescent="0.3">
      <c r="A1637" s="44" t="s">
        <v>2956</v>
      </c>
      <c r="B1637" s="44" t="s">
        <v>114</v>
      </c>
      <c r="C1637" s="44" t="s">
        <v>29</v>
      </c>
      <c r="D1637" s="44" t="s">
        <v>254</v>
      </c>
      <c r="E1637" s="44" t="s">
        <v>1035</v>
      </c>
      <c r="F1637" s="44"/>
      <c r="G1637" s="44" t="s">
        <v>2925</v>
      </c>
      <c r="H1637" s="44" t="s">
        <v>1124</v>
      </c>
      <c r="I1637" s="44" t="s">
        <v>1127</v>
      </c>
      <c r="J1637" s="44">
        <v>244</v>
      </c>
      <c r="K1637" s="44" t="s">
        <v>1107</v>
      </c>
      <c r="L1637" s="44"/>
      <c r="M1637" s="44" t="s">
        <v>2033</v>
      </c>
      <c r="N1637" s="45">
        <v>0</v>
      </c>
      <c r="O1637" s="46">
        <f t="shared" si="55"/>
        <v>0</v>
      </c>
      <c r="P1637" s="47">
        <f>FCCL!H25</f>
        <v>0</v>
      </c>
      <c r="Q1637" s="44" t="str">
        <f t="shared" si="56"/>
        <v>PASS</v>
      </c>
      <c r="R1637" s="44" t="s">
        <v>1110</v>
      </c>
      <c r="S1637" s="44"/>
    </row>
    <row r="1638" spans="1:19" x14ac:dyDescent="0.3">
      <c r="A1638" s="44" t="s">
        <v>2957</v>
      </c>
      <c r="B1638" s="44" t="s">
        <v>114</v>
      </c>
      <c r="C1638" s="44" t="s">
        <v>965</v>
      </c>
      <c r="D1638" s="44" t="s">
        <v>256</v>
      </c>
      <c r="E1638" s="44" t="s">
        <v>1035</v>
      </c>
      <c r="F1638" s="44" t="s">
        <v>2522</v>
      </c>
      <c r="G1638" s="44" t="s">
        <v>2916</v>
      </c>
      <c r="H1638" s="44" t="s">
        <v>1105</v>
      </c>
      <c r="I1638" s="44" t="s">
        <v>1106</v>
      </c>
      <c r="J1638" s="44">
        <v>165</v>
      </c>
      <c r="K1638" s="44" t="s">
        <v>1107</v>
      </c>
      <c r="L1638" s="44" t="s">
        <v>1161</v>
      </c>
      <c r="M1638" s="44" t="s">
        <v>2033</v>
      </c>
      <c r="N1638" s="45">
        <v>0</v>
      </c>
      <c r="O1638" s="46">
        <f t="shared" si="55"/>
        <v>0</v>
      </c>
      <c r="P1638" s="47">
        <f>FCCL!C26</f>
        <v>0</v>
      </c>
      <c r="Q1638" s="44" t="str">
        <f t="shared" si="56"/>
        <v>PASS</v>
      </c>
      <c r="R1638" s="44" t="s">
        <v>1110</v>
      </c>
      <c r="S1638" s="44"/>
    </row>
    <row r="1639" spans="1:19" x14ac:dyDescent="0.3">
      <c r="A1639" s="44" t="s">
        <v>2958</v>
      </c>
      <c r="B1639" s="44" t="s">
        <v>114</v>
      </c>
      <c r="C1639" s="44" t="s">
        <v>20</v>
      </c>
      <c r="D1639" s="44" t="s">
        <v>256</v>
      </c>
      <c r="E1639" s="44" t="s">
        <v>1035</v>
      </c>
      <c r="F1639" s="44" t="s">
        <v>2959</v>
      </c>
      <c r="G1639" s="44" t="s">
        <v>2918</v>
      </c>
      <c r="H1639" s="44" t="s">
        <v>1113</v>
      </c>
      <c r="I1639" s="44" t="s">
        <v>1106</v>
      </c>
      <c r="J1639" s="44">
        <v>187</v>
      </c>
      <c r="K1639" s="44" t="s">
        <v>2232</v>
      </c>
      <c r="L1639" s="44" t="s">
        <v>1186</v>
      </c>
      <c r="M1639" s="44" t="s">
        <v>2033</v>
      </c>
      <c r="N1639" s="45">
        <v>15349</v>
      </c>
      <c r="O1639" s="46">
        <f t="shared" si="55"/>
        <v>15.349</v>
      </c>
      <c r="P1639" s="47">
        <f>FCCL!D26</f>
        <v>15.349</v>
      </c>
      <c r="Q1639" s="44" t="str">
        <f t="shared" si="56"/>
        <v>PASS</v>
      </c>
      <c r="R1639" s="44" t="s">
        <v>1110</v>
      </c>
      <c r="S1639" s="44"/>
    </row>
    <row r="1640" spans="1:19" x14ac:dyDescent="0.3">
      <c r="A1640" s="44" t="s">
        <v>2960</v>
      </c>
      <c r="B1640" s="44" t="s">
        <v>114</v>
      </c>
      <c r="C1640" s="44" t="s">
        <v>26</v>
      </c>
      <c r="D1640" s="44" t="s">
        <v>256</v>
      </c>
      <c r="E1640" s="44" t="s">
        <v>1035</v>
      </c>
      <c r="F1640" s="44" t="s">
        <v>2959</v>
      </c>
      <c r="G1640" s="44" t="s">
        <v>2920</v>
      </c>
      <c r="H1640" s="44" t="s">
        <v>1117</v>
      </c>
      <c r="I1640" s="44" t="s">
        <v>1106</v>
      </c>
      <c r="J1640" s="44">
        <v>209</v>
      </c>
      <c r="K1640" s="44" t="s">
        <v>2921</v>
      </c>
      <c r="L1640" s="44"/>
      <c r="M1640" s="44" t="s">
        <v>2033</v>
      </c>
      <c r="N1640" s="45">
        <v>66657</v>
      </c>
      <c r="O1640" s="46">
        <f t="shared" si="55"/>
        <v>66.656999999999996</v>
      </c>
      <c r="P1640" s="47">
        <f>FCCL!E26</f>
        <v>66.656999999999996</v>
      </c>
      <c r="Q1640" s="44" t="str">
        <f t="shared" si="56"/>
        <v>PASS</v>
      </c>
      <c r="R1640" s="44" t="s">
        <v>1110</v>
      </c>
      <c r="S1640" s="44"/>
    </row>
    <row r="1641" spans="1:19" x14ac:dyDescent="0.3">
      <c r="A1641" s="44" t="s">
        <v>2961</v>
      </c>
      <c r="B1641" s="44" t="s">
        <v>114</v>
      </c>
      <c r="C1641" s="44" t="s">
        <v>27</v>
      </c>
      <c r="D1641" s="44" t="s">
        <v>256</v>
      </c>
      <c r="E1641" s="44" t="s">
        <v>1035</v>
      </c>
      <c r="F1641" s="44"/>
      <c r="G1641" s="44" t="s">
        <v>2923</v>
      </c>
      <c r="H1641" s="44" t="s">
        <v>1120</v>
      </c>
      <c r="I1641" s="44" t="s">
        <v>1106</v>
      </c>
      <c r="J1641" s="44">
        <v>190</v>
      </c>
      <c r="K1641" s="44" t="s">
        <v>2055</v>
      </c>
      <c r="L1641" s="44"/>
      <c r="M1641" s="44" t="s">
        <v>2033</v>
      </c>
      <c r="N1641" s="45">
        <v>0</v>
      </c>
      <c r="O1641" s="46">
        <f t="shared" si="55"/>
        <v>0</v>
      </c>
      <c r="P1641" s="47">
        <f>FCCL!F26</f>
        <v>0</v>
      </c>
      <c r="Q1641" s="44" t="str">
        <f t="shared" si="56"/>
        <v>PASS</v>
      </c>
      <c r="R1641" s="44" t="s">
        <v>1110</v>
      </c>
      <c r="S1641" s="44"/>
    </row>
    <row r="1642" spans="1:19" x14ac:dyDescent="0.3">
      <c r="A1642" s="44" t="s">
        <v>2962</v>
      </c>
      <c r="B1642" s="44" t="s">
        <v>114</v>
      </c>
      <c r="C1642" s="44" t="s">
        <v>28</v>
      </c>
      <c r="D1642" s="44" t="s">
        <v>256</v>
      </c>
      <c r="E1642" s="44" t="s">
        <v>1035</v>
      </c>
      <c r="F1642" s="44"/>
      <c r="G1642" s="44" t="s">
        <v>2925</v>
      </c>
      <c r="H1642" s="44" t="s">
        <v>1124</v>
      </c>
      <c r="I1642" s="44" t="s">
        <v>1106</v>
      </c>
      <c r="J1642" s="44">
        <v>244</v>
      </c>
      <c r="K1642" s="44" t="s">
        <v>1107</v>
      </c>
      <c r="L1642" s="44"/>
      <c r="M1642" s="44" t="s">
        <v>2033</v>
      </c>
      <c r="N1642" s="45">
        <v>0</v>
      </c>
      <c r="O1642" s="46">
        <f t="shared" si="55"/>
        <v>0</v>
      </c>
      <c r="P1642" s="47">
        <f>FCCL!G26</f>
        <v>0</v>
      </c>
      <c r="Q1642" s="44" t="str">
        <f t="shared" si="56"/>
        <v>PASS</v>
      </c>
      <c r="R1642" s="44" t="s">
        <v>1110</v>
      </c>
      <c r="S1642" s="44"/>
    </row>
    <row r="1643" spans="1:19" x14ac:dyDescent="0.3">
      <c r="A1643" s="44" t="s">
        <v>2963</v>
      </c>
      <c r="B1643" s="44" t="s">
        <v>114</v>
      </c>
      <c r="C1643" s="44" t="s">
        <v>29</v>
      </c>
      <c r="D1643" s="44" t="s">
        <v>256</v>
      </c>
      <c r="E1643" s="44" t="s">
        <v>1035</v>
      </c>
      <c r="F1643" s="44"/>
      <c r="G1643" s="44" t="s">
        <v>2925</v>
      </c>
      <c r="H1643" s="44" t="s">
        <v>1124</v>
      </c>
      <c r="I1643" s="44" t="s">
        <v>1127</v>
      </c>
      <c r="J1643" s="44">
        <v>244</v>
      </c>
      <c r="K1643" s="44" t="s">
        <v>1107</v>
      </c>
      <c r="L1643" s="44"/>
      <c r="M1643" s="44" t="s">
        <v>2033</v>
      </c>
      <c r="N1643" s="45">
        <v>0</v>
      </c>
      <c r="O1643" s="46">
        <f t="shared" si="55"/>
        <v>0</v>
      </c>
      <c r="P1643" s="47">
        <f>FCCL!H26</f>
        <v>0</v>
      </c>
      <c r="Q1643" s="44" t="str">
        <f t="shared" si="56"/>
        <v>PASS</v>
      </c>
      <c r="R1643" s="44" t="s">
        <v>1110</v>
      </c>
      <c r="S1643" s="44"/>
    </row>
    <row r="1644" spans="1:19" x14ac:dyDescent="0.3">
      <c r="A1644" s="44" t="s">
        <v>2964</v>
      </c>
      <c r="B1644" s="44" t="s">
        <v>114</v>
      </c>
      <c r="C1644" s="44" t="s">
        <v>965</v>
      </c>
      <c r="D1644" s="44" t="s">
        <v>258</v>
      </c>
      <c r="E1644" s="44" t="s">
        <v>1035</v>
      </c>
      <c r="F1644" s="44" t="s">
        <v>2965</v>
      </c>
      <c r="G1644" s="44" t="s">
        <v>2916</v>
      </c>
      <c r="H1644" s="44" t="s">
        <v>1105</v>
      </c>
      <c r="I1644" s="44" t="s">
        <v>1106</v>
      </c>
      <c r="J1644" s="44">
        <v>165</v>
      </c>
      <c r="K1644" s="44" t="s">
        <v>1107</v>
      </c>
      <c r="L1644" s="44"/>
      <c r="M1644" s="44" t="s">
        <v>2033</v>
      </c>
      <c r="N1644" s="45">
        <v>99101</v>
      </c>
      <c r="O1644" s="46">
        <f t="shared" si="55"/>
        <v>99.100999999999999</v>
      </c>
      <c r="P1644" s="47">
        <f>FCCL!C27</f>
        <v>99.100999999999999</v>
      </c>
      <c r="Q1644" s="44" t="str">
        <f t="shared" si="56"/>
        <v>PASS</v>
      </c>
      <c r="R1644" s="44" t="s">
        <v>1110</v>
      </c>
      <c r="S1644" s="44"/>
    </row>
    <row r="1645" spans="1:19" x14ac:dyDescent="0.3">
      <c r="A1645" s="44" t="s">
        <v>2966</v>
      </c>
      <c r="B1645" s="44" t="s">
        <v>114</v>
      </c>
      <c r="C1645" s="44" t="s">
        <v>20</v>
      </c>
      <c r="D1645" s="44" t="s">
        <v>258</v>
      </c>
      <c r="E1645" s="44" t="s">
        <v>1035</v>
      </c>
      <c r="F1645" s="44" t="s">
        <v>1170</v>
      </c>
      <c r="G1645" s="44" t="s">
        <v>2918</v>
      </c>
      <c r="H1645" s="44" t="s">
        <v>1113</v>
      </c>
      <c r="I1645" s="44" t="s">
        <v>1106</v>
      </c>
      <c r="J1645" s="44">
        <v>187</v>
      </c>
      <c r="K1645" s="44" t="s">
        <v>2232</v>
      </c>
      <c r="L1645" s="44" t="s">
        <v>1179</v>
      </c>
      <c r="M1645" s="44" t="s">
        <v>2033</v>
      </c>
      <c r="N1645" s="45">
        <v>86601</v>
      </c>
      <c r="O1645" s="46">
        <f t="shared" si="55"/>
        <v>86.600999999999999</v>
      </c>
      <c r="P1645" s="47">
        <f>FCCL!D27</f>
        <v>86.600999999999999</v>
      </c>
      <c r="Q1645" s="44" t="str">
        <f t="shared" si="56"/>
        <v>PASS</v>
      </c>
      <c r="R1645" s="44" t="s">
        <v>1110</v>
      </c>
      <c r="S1645" s="44"/>
    </row>
    <row r="1646" spans="1:19" x14ac:dyDescent="0.3">
      <c r="A1646" s="44" t="s">
        <v>2967</v>
      </c>
      <c r="B1646" s="44" t="s">
        <v>114</v>
      </c>
      <c r="C1646" s="44" t="s">
        <v>26</v>
      </c>
      <c r="D1646" s="44" t="s">
        <v>258</v>
      </c>
      <c r="E1646" s="44" t="s">
        <v>1035</v>
      </c>
      <c r="F1646" s="44" t="s">
        <v>1170</v>
      </c>
      <c r="G1646" s="44" t="s">
        <v>2920</v>
      </c>
      <c r="H1646" s="44" t="s">
        <v>1117</v>
      </c>
      <c r="I1646" s="44" t="s">
        <v>1106</v>
      </c>
      <c r="J1646" s="44">
        <v>209</v>
      </c>
      <c r="K1646" s="44" t="s">
        <v>2921</v>
      </c>
      <c r="L1646" s="44"/>
      <c r="M1646" s="44" t="s">
        <v>2033</v>
      </c>
      <c r="N1646" s="45">
        <v>126274</v>
      </c>
      <c r="O1646" s="46">
        <f t="shared" si="55"/>
        <v>126.274</v>
      </c>
      <c r="P1646" s="47">
        <f>FCCL!E27</f>
        <v>126.274</v>
      </c>
      <c r="Q1646" s="44" t="str">
        <f t="shared" si="56"/>
        <v>PASS</v>
      </c>
      <c r="R1646" s="44" t="s">
        <v>1110</v>
      </c>
      <c r="S1646" s="44"/>
    </row>
    <row r="1647" spans="1:19" x14ac:dyDescent="0.3">
      <c r="A1647" s="44" t="s">
        <v>2968</v>
      </c>
      <c r="B1647" s="44" t="s">
        <v>114</v>
      </c>
      <c r="C1647" s="44" t="s">
        <v>27</v>
      </c>
      <c r="D1647" s="44" t="s">
        <v>258</v>
      </c>
      <c r="E1647" s="44" t="s">
        <v>1035</v>
      </c>
      <c r="F1647" s="44" t="s">
        <v>1170</v>
      </c>
      <c r="G1647" s="44" t="s">
        <v>2923</v>
      </c>
      <c r="H1647" s="44" t="s">
        <v>1120</v>
      </c>
      <c r="I1647" s="44" t="s">
        <v>1106</v>
      </c>
      <c r="J1647" s="44">
        <v>191</v>
      </c>
      <c r="K1647" s="44" t="s">
        <v>1107</v>
      </c>
      <c r="L1647" s="44"/>
      <c r="M1647" s="44" t="s">
        <v>2033</v>
      </c>
      <c r="N1647" s="45">
        <v>129700</v>
      </c>
      <c r="O1647" s="46">
        <f t="shared" si="55"/>
        <v>129.69999999999999</v>
      </c>
      <c r="P1647" s="47">
        <f>FCCL!F27</f>
        <v>129.69999999999999</v>
      </c>
      <c r="Q1647" s="44" t="str">
        <f t="shared" si="56"/>
        <v>PASS</v>
      </c>
      <c r="R1647" s="44" t="s">
        <v>1110</v>
      </c>
      <c r="S1647" s="44"/>
    </row>
    <row r="1648" spans="1:19" x14ac:dyDescent="0.3">
      <c r="A1648" s="44" t="s">
        <v>2969</v>
      </c>
      <c r="B1648" s="44" t="s">
        <v>114</v>
      </c>
      <c r="C1648" s="44" t="s">
        <v>28</v>
      </c>
      <c r="D1648" s="44" t="s">
        <v>258</v>
      </c>
      <c r="E1648" s="44" t="s">
        <v>1035</v>
      </c>
      <c r="F1648" s="44" t="s">
        <v>1170</v>
      </c>
      <c r="G1648" s="44" t="s">
        <v>2925</v>
      </c>
      <c r="H1648" s="44" t="s">
        <v>1124</v>
      </c>
      <c r="I1648" s="44" t="s">
        <v>1106</v>
      </c>
      <c r="J1648" s="44">
        <v>245</v>
      </c>
      <c r="K1648" s="44" t="s">
        <v>1107</v>
      </c>
      <c r="L1648" s="44"/>
      <c r="M1648" s="44" t="s">
        <v>2033</v>
      </c>
      <c r="N1648" s="45">
        <v>129700</v>
      </c>
      <c r="O1648" s="46">
        <f t="shared" si="55"/>
        <v>129.69999999999999</v>
      </c>
      <c r="P1648" s="47">
        <f>FCCL!G27</f>
        <v>129.69999999999999</v>
      </c>
      <c r="Q1648" s="44" t="str">
        <f t="shared" si="56"/>
        <v>PASS</v>
      </c>
      <c r="R1648" s="44" t="s">
        <v>1110</v>
      </c>
      <c r="S1648" s="44"/>
    </row>
    <row r="1649" spans="1:19" x14ac:dyDescent="0.3">
      <c r="A1649" s="44" t="s">
        <v>2970</v>
      </c>
      <c r="B1649" s="44" t="s">
        <v>114</v>
      </c>
      <c r="C1649" s="44" t="s">
        <v>29</v>
      </c>
      <c r="D1649" s="44" t="s">
        <v>258</v>
      </c>
      <c r="E1649" s="44" t="s">
        <v>1035</v>
      </c>
      <c r="F1649" s="44" t="s">
        <v>1170</v>
      </c>
      <c r="G1649" s="44" t="s">
        <v>2925</v>
      </c>
      <c r="H1649" s="44" t="s">
        <v>1124</v>
      </c>
      <c r="I1649" s="44" t="s">
        <v>1127</v>
      </c>
      <c r="J1649" s="44">
        <v>245</v>
      </c>
      <c r="K1649" s="44" t="s">
        <v>1107</v>
      </c>
      <c r="L1649" s="44"/>
      <c r="M1649" s="44" t="s">
        <v>2033</v>
      </c>
      <c r="N1649" s="45">
        <v>133425</v>
      </c>
      <c r="O1649" s="46">
        <f t="shared" si="55"/>
        <v>133.42500000000001</v>
      </c>
      <c r="P1649" s="47">
        <f>FCCL!H27</f>
        <v>133.42500000000001</v>
      </c>
      <c r="Q1649" s="44" t="str">
        <f t="shared" si="56"/>
        <v>PASS</v>
      </c>
      <c r="R1649" s="44" t="s">
        <v>1110</v>
      </c>
      <c r="S1649" s="44"/>
    </row>
    <row r="1650" spans="1:19" x14ac:dyDescent="0.3">
      <c r="A1650" s="44" t="s">
        <v>2971</v>
      </c>
      <c r="B1650" s="44" t="s">
        <v>114</v>
      </c>
      <c r="C1650" s="44" t="s">
        <v>965</v>
      </c>
      <c r="D1650" s="44" t="s">
        <v>263</v>
      </c>
      <c r="E1650" s="44" t="s">
        <v>1035</v>
      </c>
      <c r="F1650" s="44" t="s">
        <v>263</v>
      </c>
      <c r="G1650" s="44" t="s">
        <v>2916</v>
      </c>
      <c r="H1650" s="44" t="s">
        <v>1105</v>
      </c>
      <c r="I1650" s="44" t="s">
        <v>1106</v>
      </c>
      <c r="J1650" s="44">
        <v>165</v>
      </c>
      <c r="K1650" s="44" t="s">
        <v>1107</v>
      </c>
      <c r="L1650" s="44" t="s">
        <v>1155</v>
      </c>
      <c r="M1650" s="44" t="s">
        <v>2033</v>
      </c>
      <c r="N1650" s="45">
        <v>3505809</v>
      </c>
      <c r="O1650" s="46">
        <f t="shared" si="55"/>
        <v>3505.8090000000002</v>
      </c>
      <c r="P1650" s="47">
        <f>FCCL!C30</f>
        <v>3505.8090000000002</v>
      </c>
      <c r="Q1650" s="44" t="str">
        <f t="shared" si="56"/>
        <v>PASS</v>
      </c>
      <c r="R1650" s="44" t="s">
        <v>1110</v>
      </c>
      <c r="S1650" s="44"/>
    </row>
    <row r="1651" spans="1:19" x14ac:dyDescent="0.3">
      <c r="A1651" s="44" t="s">
        <v>2972</v>
      </c>
      <c r="B1651" s="44" t="s">
        <v>114</v>
      </c>
      <c r="C1651" s="44" t="s">
        <v>20</v>
      </c>
      <c r="D1651" s="44" t="s">
        <v>263</v>
      </c>
      <c r="E1651" s="44" t="s">
        <v>1035</v>
      </c>
      <c r="F1651" s="44" t="s">
        <v>2973</v>
      </c>
      <c r="G1651" s="44" t="s">
        <v>2918</v>
      </c>
      <c r="H1651" s="44" t="s">
        <v>1113</v>
      </c>
      <c r="I1651" s="44" t="s">
        <v>1106</v>
      </c>
      <c r="J1651" s="44">
        <v>187</v>
      </c>
      <c r="K1651" s="44" t="s">
        <v>2232</v>
      </c>
      <c r="L1651" s="44" t="s">
        <v>1194</v>
      </c>
      <c r="M1651" s="44" t="s">
        <v>2033</v>
      </c>
      <c r="N1651" s="45">
        <v>4250754</v>
      </c>
      <c r="O1651" s="46">
        <f t="shared" si="55"/>
        <v>4250.7539999999999</v>
      </c>
      <c r="P1651" s="47">
        <f>FCCL!D30</f>
        <v>4250.7539999999999</v>
      </c>
      <c r="Q1651" s="44" t="str">
        <f t="shared" si="56"/>
        <v>PASS</v>
      </c>
      <c r="R1651" s="44" t="s">
        <v>1110</v>
      </c>
      <c r="S1651" s="44"/>
    </row>
    <row r="1652" spans="1:19" x14ac:dyDescent="0.3">
      <c r="A1652" s="44" t="s">
        <v>2974</v>
      </c>
      <c r="B1652" s="44" t="s">
        <v>114</v>
      </c>
      <c r="C1652" s="44" t="s">
        <v>26</v>
      </c>
      <c r="D1652" s="44" t="s">
        <v>263</v>
      </c>
      <c r="E1652" s="44" t="s">
        <v>1035</v>
      </c>
      <c r="F1652" s="44" t="s">
        <v>263</v>
      </c>
      <c r="G1652" s="44" t="s">
        <v>2920</v>
      </c>
      <c r="H1652" s="44" t="s">
        <v>1117</v>
      </c>
      <c r="I1652" s="44" t="s">
        <v>1106</v>
      </c>
      <c r="J1652" s="44">
        <v>209</v>
      </c>
      <c r="K1652" s="44" t="s">
        <v>2921</v>
      </c>
      <c r="L1652" s="44" t="s">
        <v>1157</v>
      </c>
      <c r="M1652" s="44" t="s">
        <v>2033</v>
      </c>
      <c r="N1652" s="45">
        <v>11939147</v>
      </c>
      <c r="O1652" s="46">
        <f t="shared" si="55"/>
        <v>11939.147000000001</v>
      </c>
      <c r="P1652" s="47">
        <f>FCCL!E30</f>
        <v>11939.147000000001</v>
      </c>
      <c r="Q1652" s="44" t="str">
        <f t="shared" si="56"/>
        <v>PASS</v>
      </c>
      <c r="R1652" s="44" t="s">
        <v>1110</v>
      </c>
      <c r="S1652" s="44"/>
    </row>
    <row r="1653" spans="1:19" x14ac:dyDescent="0.3">
      <c r="A1653" s="44" t="s">
        <v>2975</v>
      </c>
      <c r="B1653" s="44" t="s">
        <v>114</v>
      </c>
      <c r="C1653" s="44" t="s">
        <v>27</v>
      </c>
      <c r="D1653" s="44" t="s">
        <v>263</v>
      </c>
      <c r="E1653" s="44" t="s">
        <v>1035</v>
      </c>
      <c r="F1653" s="44" t="s">
        <v>263</v>
      </c>
      <c r="G1653" s="44" t="s">
        <v>2923</v>
      </c>
      <c r="H1653" s="44" t="s">
        <v>1120</v>
      </c>
      <c r="I1653" s="44" t="s">
        <v>1106</v>
      </c>
      <c r="J1653" s="44">
        <v>191</v>
      </c>
      <c r="K1653" s="44" t="s">
        <v>1107</v>
      </c>
      <c r="L1653" s="44" t="s">
        <v>1157</v>
      </c>
      <c r="M1653" s="44" t="s">
        <v>2033</v>
      </c>
      <c r="N1653" s="45">
        <v>8011181</v>
      </c>
      <c r="O1653" s="46">
        <f t="shared" si="55"/>
        <v>8011.1809999999996</v>
      </c>
      <c r="P1653" s="47">
        <f>FCCL!F30</f>
        <v>8011.1809999999996</v>
      </c>
      <c r="Q1653" s="44" t="str">
        <f t="shared" si="56"/>
        <v>PASS</v>
      </c>
      <c r="R1653" s="44" t="s">
        <v>1110</v>
      </c>
      <c r="S1653" s="44"/>
    </row>
    <row r="1654" spans="1:19" x14ac:dyDescent="0.3">
      <c r="A1654" s="44" t="s">
        <v>2976</v>
      </c>
      <c r="B1654" s="44" t="s">
        <v>114</v>
      </c>
      <c r="C1654" s="44" t="s">
        <v>28</v>
      </c>
      <c r="D1654" s="44" t="s">
        <v>263</v>
      </c>
      <c r="E1654" s="44" t="s">
        <v>1035</v>
      </c>
      <c r="F1654" s="44" t="s">
        <v>263</v>
      </c>
      <c r="G1654" s="44" t="s">
        <v>2925</v>
      </c>
      <c r="H1654" s="44" t="s">
        <v>1124</v>
      </c>
      <c r="I1654" s="44" t="s">
        <v>1106</v>
      </c>
      <c r="J1654" s="44">
        <v>245</v>
      </c>
      <c r="K1654" s="44" t="s">
        <v>1107</v>
      </c>
      <c r="L1654" s="44" t="s">
        <v>1179</v>
      </c>
      <c r="M1654" s="44" t="s">
        <v>2033</v>
      </c>
      <c r="N1654" s="45">
        <v>9099130</v>
      </c>
      <c r="O1654" s="46">
        <f t="shared" si="55"/>
        <v>9099.1299999999992</v>
      </c>
      <c r="P1654" s="47">
        <f>FCCL!G30</f>
        <v>9099.1299999999992</v>
      </c>
      <c r="Q1654" s="44" t="str">
        <f t="shared" si="56"/>
        <v>PASS</v>
      </c>
      <c r="R1654" s="44" t="s">
        <v>1110</v>
      </c>
      <c r="S1654" s="44"/>
    </row>
    <row r="1655" spans="1:19" x14ac:dyDescent="0.3">
      <c r="A1655" s="44" t="s">
        <v>2977</v>
      </c>
      <c r="B1655" s="44" t="s">
        <v>114</v>
      </c>
      <c r="C1655" s="44" t="s">
        <v>29</v>
      </c>
      <c r="D1655" s="44" t="s">
        <v>263</v>
      </c>
      <c r="E1655" s="44" t="s">
        <v>1035</v>
      </c>
      <c r="F1655" s="44" t="s">
        <v>263</v>
      </c>
      <c r="G1655" s="44" t="s">
        <v>2925</v>
      </c>
      <c r="H1655" s="44" t="s">
        <v>1124</v>
      </c>
      <c r="I1655" s="44" t="s">
        <v>1127</v>
      </c>
      <c r="J1655" s="44">
        <v>245</v>
      </c>
      <c r="K1655" s="44" t="s">
        <v>1107</v>
      </c>
      <c r="L1655" s="44" t="s">
        <v>1179</v>
      </c>
      <c r="M1655" s="44" t="s">
        <v>2033</v>
      </c>
      <c r="N1655" s="45">
        <v>10377008</v>
      </c>
      <c r="O1655" s="46">
        <f t="shared" si="55"/>
        <v>10377.008</v>
      </c>
      <c r="P1655" s="47">
        <f>FCCL!H30</f>
        <v>10377.008</v>
      </c>
      <c r="Q1655" s="44" t="str">
        <f t="shared" si="56"/>
        <v>PASS</v>
      </c>
      <c r="R1655" s="44" t="s">
        <v>1110</v>
      </c>
      <c r="S1655" s="44"/>
    </row>
    <row r="1656" spans="1:19" x14ac:dyDescent="0.3">
      <c r="A1656" s="44" t="s">
        <v>2978</v>
      </c>
      <c r="B1656" s="44" t="s">
        <v>114</v>
      </c>
      <c r="C1656" s="44" t="s">
        <v>965</v>
      </c>
      <c r="D1656" s="44" t="s">
        <v>265</v>
      </c>
      <c r="E1656" s="44" t="s">
        <v>1035</v>
      </c>
      <c r="F1656" s="44" t="s">
        <v>2979</v>
      </c>
      <c r="G1656" s="44" t="s">
        <v>2916</v>
      </c>
      <c r="H1656" s="44" t="s">
        <v>1105</v>
      </c>
      <c r="I1656" s="44" t="s">
        <v>1106</v>
      </c>
      <c r="J1656" s="44">
        <v>165</v>
      </c>
      <c r="K1656" s="44" t="s">
        <v>1107</v>
      </c>
      <c r="L1656" s="44" t="s">
        <v>1157</v>
      </c>
      <c r="M1656" s="44" t="s">
        <v>2033</v>
      </c>
      <c r="N1656" s="45">
        <v>1187752</v>
      </c>
      <c r="O1656" s="46">
        <f t="shared" si="55"/>
        <v>1187.752</v>
      </c>
      <c r="P1656" s="47">
        <f>FCCL!C31</f>
        <v>1187.752</v>
      </c>
      <c r="Q1656" s="44" t="str">
        <f t="shared" si="56"/>
        <v>PASS</v>
      </c>
      <c r="R1656" s="44" t="s">
        <v>1110</v>
      </c>
      <c r="S1656" s="44"/>
    </row>
    <row r="1657" spans="1:19" x14ac:dyDescent="0.3">
      <c r="A1657" s="44" t="s">
        <v>2980</v>
      </c>
      <c r="B1657" s="44" t="s">
        <v>114</v>
      </c>
      <c r="C1657" s="44" t="s">
        <v>20</v>
      </c>
      <c r="D1657" s="44" t="s">
        <v>265</v>
      </c>
      <c r="E1657" s="44" t="s">
        <v>1035</v>
      </c>
      <c r="F1657" s="44" t="s">
        <v>2979</v>
      </c>
      <c r="G1657" s="44" t="s">
        <v>2918</v>
      </c>
      <c r="H1657" s="44" t="s">
        <v>1113</v>
      </c>
      <c r="I1657" s="44" t="s">
        <v>1106</v>
      </c>
      <c r="J1657" s="44">
        <v>187</v>
      </c>
      <c r="K1657" s="44" t="s">
        <v>2232</v>
      </c>
      <c r="L1657" s="44" t="s">
        <v>1202</v>
      </c>
      <c r="M1657" s="44" t="s">
        <v>2033</v>
      </c>
      <c r="N1657" s="45">
        <v>1189198</v>
      </c>
      <c r="O1657" s="46">
        <f t="shared" si="55"/>
        <v>1189.1980000000001</v>
      </c>
      <c r="P1657" s="47">
        <f>FCCL!D31</f>
        <v>1189.1980000000001</v>
      </c>
      <c r="Q1657" s="44" t="str">
        <f t="shared" si="56"/>
        <v>PASS</v>
      </c>
      <c r="R1657" s="44" t="s">
        <v>1110</v>
      </c>
      <c r="S1657" s="44"/>
    </row>
    <row r="1658" spans="1:19" x14ac:dyDescent="0.3">
      <c r="A1658" s="44" t="s">
        <v>2981</v>
      </c>
      <c r="B1658" s="44" t="s">
        <v>114</v>
      </c>
      <c r="C1658" s="44" t="s">
        <v>26</v>
      </c>
      <c r="D1658" s="44" t="s">
        <v>265</v>
      </c>
      <c r="E1658" s="44" t="s">
        <v>1035</v>
      </c>
      <c r="F1658" s="44" t="s">
        <v>2979</v>
      </c>
      <c r="G1658" s="44" t="s">
        <v>2920</v>
      </c>
      <c r="H1658" s="44" t="s">
        <v>1117</v>
      </c>
      <c r="I1658" s="44" t="s">
        <v>1106</v>
      </c>
      <c r="J1658" s="44">
        <v>209</v>
      </c>
      <c r="K1658" s="44" t="s">
        <v>2921</v>
      </c>
      <c r="L1658" s="44" t="s">
        <v>1179</v>
      </c>
      <c r="M1658" s="44" t="s">
        <v>2033</v>
      </c>
      <c r="N1658" s="45">
        <v>3697721</v>
      </c>
      <c r="O1658" s="46">
        <f t="shared" si="55"/>
        <v>3697.721</v>
      </c>
      <c r="P1658" s="47">
        <f>FCCL!E31</f>
        <v>3697.721</v>
      </c>
      <c r="Q1658" s="44" t="str">
        <f t="shared" si="56"/>
        <v>PASS</v>
      </c>
      <c r="R1658" s="44" t="s">
        <v>1110</v>
      </c>
      <c r="S1658" s="44"/>
    </row>
    <row r="1659" spans="1:19" x14ac:dyDescent="0.3">
      <c r="A1659" s="44" t="s">
        <v>2982</v>
      </c>
      <c r="B1659" s="44" t="s">
        <v>114</v>
      </c>
      <c r="C1659" s="44" t="s">
        <v>27</v>
      </c>
      <c r="D1659" s="44" t="s">
        <v>265</v>
      </c>
      <c r="E1659" s="44" t="s">
        <v>1035</v>
      </c>
      <c r="F1659" s="44" t="s">
        <v>2979</v>
      </c>
      <c r="G1659" s="44" t="s">
        <v>2923</v>
      </c>
      <c r="H1659" s="44" t="s">
        <v>1120</v>
      </c>
      <c r="I1659" s="44" t="s">
        <v>1106</v>
      </c>
      <c r="J1659" s="44">
        <v>191</v>
      </c>
      <c r="K1659" s="44" t="s">
        <v>1107</v>
      </c>
      <c r="L1659" s="44" t="s">
        <v>1179</v>
      </c>
      <c r="M1659" s="44" t="s">
        <v>2033</v>
      </c>
      <c r="N1659" s="45">
        <v>7112327</v>
      </c>
      <c r="O1659" s="46">
        <f t="shared" si="55"/>
        <v>7112.3270000000002</v>
      </c>
      <c r="P1659" s="47">
        <f>FCCL!F31</f>
        <v>7112.3270000000002</v>
      </c>
      <c r="Q1659" s="44" t="str">
        <f t="shared" si="56"/>
        <v>PASS</v>
      </c>
      <c r="R1659" s="44" t="s">
        <v>1110</v>
      </c>
      <c r="S1659" s="44"/>
    </row>
    <row r="1660" spans="1:19" x14ac:dyDescent="0.3">
      <c r="A1660" s="44" t="s">
        <v>2983</v>
      </c>
      <c r="B1660" s="44" t="s">
        <v>114</v>
      </c>
      <c r="C1660" s="44" t="s">
        <v>28</v>
      </c>
      <c r="D1660" s="44" t="s">
        <v>265</v>
      </c>
      <c r="E1660" s="44" t="s">
        <v>1035</v>
      </c>
      <c r="F1660" s="44" t="s">
        <v>2979</v>
      </c>
      <c r="G1660" s="44" t="s">
        <v>2925</v>
      </c>
      <c r="H1660" s="44" t="s">
        <v>1124</v>
      </c>
      <c r="I1660" s="44" t="s">
        <v>1106</v>
      </c>
      <c r="J1660" s="44">
        <v>245</v>
      </c>
      <c r="K1660" s="44" t="s">
        <v>1107</v>
      </c>
      <c r="L1660" s="44" t="s">
        <v>1186</v>
      </c>
      <c r="M1660" s="44" t="s">
        <v>2033</v>
      </c>
      <c r="N1660" s="45">
        <v>7495705</v>
      </c>
      <c r="O1660" s="46">
        <f t="shared" si="55"/>
        <v>7495.7049999999999</v>
      </c>
      <c r="P1660" s="47">
        <f>FCCL!G31</f>
        <v>7495.7049999999999</v>
      </c>
      <c r="Q1660" s="44" t="str">
        <f t="shared" si="56"/>
        <v>PASS</v>
      </c>
      <c r="R1660" s="44" t="s">
        <v>1110</v>
      </c>
      <c r="S1660" s="44"/>
    </row>
    <row r="1661" spans="1:19" x14ac:dyDescent="0.3">
      <c r="A1661" s="44" t="s">
        <v>2984</v>
      </c>
      <c r="B1661" s="44" t="s">
        <v>114</v>
      </c>
      <c r="C1661" s="44" t="s">
        <v>29</v>
      </c>
      <c r="D1661" s="44" t="s">
        <v>265</v>
      </c>
      <c r="E1661" s="44" t="s">
        <v>1035</v>
      </c>
      <c r="F1661" s="44" t="s">
        <v>2979</v>
      </c>
      <c r="G1661" s="44" t="s">
        <v>2925</v>
      </c>
      <c r="H1661" s="44" t="s">
        <v>1124</v>
      </c>
      <c r="I1661" s="44" t="s">
        <v>1127</v>
      </c>
      <c r="J1661" s="44">
        <v>245</v>
      </c>
      <c r="K1661" s="44" t="s">
        <v>1107</v>
      </c>
      <c r="L1661" s="44" t="s">
        <v>1186</v>
      </c>
      <c r="M1661" s="44" t="s">
        <v>2033</v>
      </c>
      <c r="N1661" s="45">
        <v>9337617</v>
      </c>
      <c r="O1661" s="46">
        <f t="shared" si="55"/>
        <v>9337.6170000000002</v>
      </c>
      <c r="P1661" s="47">
        <f>FCCL!H31</f>
        <v>9337.6170000000002</v>
      </c>
      <c r="Q1661" s="44" t="str">
        <f t="shared" si="56"/>
        <v>PASS</v>
      </c>
      <c r="R1661" s="44" t="s">
        <v>1110</v>
      </c>
      <c r="S1661" s="44"/>
    </row>
    <row r="1662" spans="1:19" x14ac:dyDescent="0.3">
      <c r="A1662" s="44" t="s">
        <v>2985</v>
      </c>
      <c r="B1662" s="44" t="s">
        <v>114</v>
      </c>
      <c r="C1662" s="44" t="s">
        <v>965</v>
      </c>
      <c r="D1662" s="44" t="s">
        <v>267</v>
      </c>
      <c r="E1662" s="44" t="s">
        <v>1035</v>
      </c>
      <c r="F1662" s="44" t="s">
        <v>267</v>
      </c>
      <c r="G1662" s="44" t="s">
        <v>2916</v>
      </c>
      <c r="H1662" s="44" t="s">
        <v>1105</v>
      </c>
      <c r="I1662" s="44" t="s">
        <v>1106</v>
      </c>
      <c r="J1662" s="44">
        <v>165</v>
      </c>
      <c r="K1662" s="44" t="s">
        <v>1107</v>
      </c>
      <c r="L1662" s="44" t="s">
        <v>1179</v>
      </c>
      <c r="M1662" s="44" t="s">
        <v>2033</v>
      </c>
      <c r="N1662" s="45">
        <v>1050640</v>
      </c>
      <c r="O1662" s="46">
        <f t="shared" si="55"/>
        <v>1050.6400000000001</v>
      </c>
      <c r="P1662" s="47">
        <f>FCCL!C32</f>
        <v>1050.6400000000001</v>
      </c>
      <c r="Q1662" s="44" t="str">
        <f t="shared" si="56"/>
        <v>PASS</v>
      </c>
      <c r="R1662" s="44" t="s">
        <v>1110</v>
      </c>
      <c r="S1662" s="44"/>
    </row>
    <row r="1663" spans="1:19" x14ac:dyDescent="0.3">
      <c r="A1663" s="44" t="s">
        <v>2986</v>
      </c>
      <c r="B1663" s="44" t="s">
        <v>114</v>
      </c>
      <c r="C1663" s="44" t="s">
        <v>20</v>
      </c>
      <c r="D1663" s="44" t="s">
        <v>267</v>
      </c>
      <c r="E1663" s="44" t="s">
        <v>1035</v>
      </c>
      <c r="F1663" s="44" t="s">
        <v>2987</v>
      </c>
      <c r="G1663" s="44" t="s">
        <v>2918</v>
      </c>
      <c r="H1663" s="44" t="s">
        <v>1113</v>
      </c>
      <c r="I1663" s="44" t="s">
        <v>1106</v>
      </c>
      <c r="J1663" s="44">
        <v>187</v>
      </c>
      <c r="K1663" s="44" t="s">
        <v>2232</v>
      </c>
      <c r="L1663" s="44" t="s">
        <v>1208</v>
      </c>
      <c r="M1663" s="44" t="s">
        <v>2033</v>
      </c>
      <c r="N1663" s="45">
        <v>1449600</v>
      </c>
      <c r="O1663" s="46">
        <f t="shared" si="55"/>
        <v>1449.6</v>
      </c>
      <c r="P1663" s="47">
        <f>FCCL!D32</f>
        <v>1449.6</v>
      </c>
      <c r="Q1663" s="44" t="str">
        <f t="shared" si="56"/>
        <v>PASS</v>
      </c>
      <c r="R1663" s="44" t="s">
        <v>1110</v>
      </c>
      <c r="S1663" s="44"/>
    </row>
    <row r="1664" spans="1:19" x14ac:dyDescent="0.3">
      <c r="A1664" s="44" t="s">
        <v>2988</v>
      </c>
      <c r="B1664" s="44" t="s">
        <v>114</v>
      </c>
      <c r="C1664" s="44" t="s">
        <v>26</v>
      </c>
      <c r="D1664" s="44" t="s">
        <v>267</v>
      </c>
      <c r="E1664" s="44" t="s">
        <v>1035</v>
      </c>
      <c r="F1664" s="44" t="s">
        <v>267</v>
      </c>
      <c r="G1664" s="44" t="s">
        <v>2920</v>
      </c>
      <c r="H1664" s="44" t="s">
        <v>1117</v>
      </c>
      <c r="I1664" s="44" t="s">
        <v>1106</v>
      </c>
      <c r="J1664" s="44">
        <v>209</v>
      </c>
      <c r="K1664" s="44" t="s">
        <v>2921</v>
      </c>
      <c r="L1664" s="44" t="s">
        <v>1186</v>
      </c>
      <c r="M1664" s="44" t="s">
        <v>2033</v>
      </c>
      <c r="N1664" s="45">
        <v>2412758</v>
      </c>
      <c r="O1664" s="46">
        <f t="shared" si="55"/>
        <v>2412.7579999999998</v>
      </c>
      <c r="P1664" s="47">
        <f>FCCL!E32</f>
        <v>2412.7579999999998</v>
      </c>
      <c r="Q1664" s="44" t="str">
        <f t="shared" si="56"/>
        <v>PASS</v>
      </c>
      <c r="R1664" s="44" t="s">
        <v>1110</v>
      </c>
      <c r="S1664" s="44"/>
    </row>
    <row r="1665" spans="1:19" x14ac:dyDescent="0.3">
      <c r="A1665" s="44" t="s">
        <v>2989</v>
      </c>
      <c r="B1665" s="44" t="s">
        <v>114</v>
      </c>
      <c r="C1665" s="44" t="s">
        <v>27</v>
      </c>
      <c r="D1665" s="44" t="s">
        <v>267</v>
      </c>
      <c r="E1665" s="44" t="s">
        <v>1035</v>
      </c>
      <c r="F1665" s="44" t="s">
        <v>267</v>
      </c>
      <c r="G1665" s="44" t="s">
        <v>2923</v>
      </c>
      <c r="H1665" s="44" t="s">
        <v>1120</v>
      </c>
      <c r="I1665" s="44" t="s">
        <v>1106</v>
      </c>
      <c r="J1665" s="44">
        <v>191</v>
      </c>
      <c r="K1665" s="44" t="s">
        <v>1107</v>
      </c>
      <c r="L1665" s="44" t="s">
        <v>1186</v>
      </c>
      <c r="M1665" s="44" t="s">
        <v>2033</v>
      </c>
      <c r="N1665" s="45">
        <v>3572445</v>
      </c>
      <c r="O1665" s="46">
        <f t="shared" si="55"/>
        <v>3572.4450000000002</v>
      </c>
      <c r="P1665" s="47">
        <f>FCCL!F32</f>
        <v>3572.4450000000002</v>
      </c>
      <c r="Q1665" s="44" t="str">
        <f t="shared" si="56"/>
        <v>PASS</v>
      </c>
      <c r="R1665" s="44" t="s">
        <v>1110</v>
      </c>
      <c r="S1665" s="44"/>
    </row>
    <row r="1666" spans="1:19" x14ac:dyDescent="0.3">
      <c r="A1666" s="44" t="s">
        <v>2990</v>
      </c>
      <c r="B1666" s="44" t="s">
        <v>114</v>
      </c>
      <c r="C1666" s="44" t="s">
        <v>28</v>
      </c>
      <c r="D1666" s="44" t="s">
        <v>267</v>
      </c>
      <c r="E1666" s="44" t="s">
        <v>1035</v>
      </c>
      <c r="F1666" s="44" t="s">
        <v>267</v>
      </c>
      <c r="G1666" s="44" t="s">
        <v>2925</v>
      </c>
      <c r="H1666" s="44" t="s">
        <v>1124</v>
      </c>
      <c r="I1666" s="44" t="s">
        <v>1106</v>
      </c>
      <c r="J1666" s="44">
        <v>245</v>
      </c>
      <c r="K1666" s="44" t="s">
        <v>1107</v>
      </c>
      <c r="L1666" s="44" t="s">
        <v>1194</v>
      </c>
      <c r="M1666" s="44" t="s">
        <v>2033</v>
      </c>
      <c r="N1666" s="45">
        <v>5545241</v>
      </c>
      <c r="O1666" s="46">
        <f t="shared" si="55"/>
        <v>5545.241</v>
      </c>
      <c r="P1666" s="47">
        <f>FCCL!G32</f>
        <v>5545.241</v>
      </c>
      <c r="Q1666" s="44" t="str">
        <f t="shared" si="56"/>
        <v>PASS</v>
      </c>
      <c r="R1666" s="44" t="s">
        <v>1110</v>
      </c>
      <c r="S1666" s="44"/>
    </row>
    <row r="1667" spans="1:19" x14ac:dyDescent="0.3">
      <c r="A1667" s="44" t="s">
        <v>2991</v>
      </c>
      <c r="B1667" s="44" t="s">
        <v>114</v>
      </c>
      <c r="C1667" s="44" t="s">
        <v>29</v>
      </c>
      <c r="D1667" s="44" t="s">
        <v>267</v>
      </c>
      <c r="E1667" s="44" t="s">
        <v>1035</v>
      </c>
      <c r="F1667" s="44" t="s">
        <v>267</v>
      </c>
      <c r="G1667" s="44" t="s">
        <v>2925</v>
      </c>
      <c r="H1667" s="44" t="s">
        <v>1124</v>
      </c>
      <c r="I1667" s="44" t="s">
        <v>1127</v>
      </c>
      <c r="J1667" s="44">
        <v>245</v>
      </c>
      <c r="K1667" s="44" t="s">
        <v>1107</v>
      </c>
      <c r="L1667" s="44" t="s">
        <v>1194</v>
      </c>
      <c r="M1667" s="44" t="s">
        <v>2033</v>
      </c>
      <c r="N1667" s="45">
        <v>6911322</v>
      </c>
      <c r="O1667" s="46">
        <f t="shared" si="55"/>
        <v>6911.3220000000001</v>
      </c>
      <c r="P1667" s="47">
        <f>FCCL!H32</f>
        <v>6911.3220000000001</v>
      </c>
      <c r="Q1667" s="44" t="str">
        <f t="shared" si="56"/>
        <v>PASS</v>
      </c>
      <c r="R1667" s="44" t="s">
        <v>1110</v>
      </c>
      <c r="S1667" s="44"/>
    </row>
    <row r="1668" spans="1:19" x14ac:dyDescent="0.3">
      <c r="A1668" s="44" t="s">
        <v>2992</v>
      </c>
      <c r="B1668" s="44" t="s">
        <v>114</v>
      </c>
      <c r="C1668" s="44" t="s">
        <v>965</v>
      </c>
      <c r="D1668" s="44" t="s">
        <v>269</v>
      </c>
      <c r="E1668" s="44" t="s">
        <v>1035</v>
      </c>
      <c r="F1668" s="44" t="s">
        <v>1200</v>
      </c>
      <c r="G1668" s="44" t="s">
        <v>2916</v>
      </c>
      <c r="H1668" s="44" t="s">
        <v>1105</v>
      </c>
      <c r="I1668" s="44" t="s">
        <v>1106</v>
      </c>
      <c r="J1668" s="44">
        <v>165</v>
      </c>
      <c r="K1668" s="44" t="s">
        <v>1107</v>
      </c>
      <c r="L1668" s="44" t="s">
        <v>1208</v>
      </c>
      <c r="M1668" s="44" t="s">
        <v>2033</v>
      </c>
      <c r="N1668" s="45">
        <v>0</v>
      </c>
      <c r="O1668" s="46">
        <f t="shared" si="55"/>
        <v>0</v>
      </c>
      <c r="P1668" s="47">
        <f>FCCL!C33</f>
        <v>0</v>
      </c>
      <c r="Q1668" s="44" t="str">
        <f t="shared" si="56"/>
        <v>PASS</v>
      </c>
      <c r="R1668" s="44" t="s">
        <v>1110</v>
      </c>
      <c r="S1668" s="44"/>
    </row>
    <row r="1669" spans="1:19" x14ac:dyDescent="0.3">
      <c r="A1669" s="44" t="s">
        <v>2993</v>
      </c>
      <c r="B1669" s="44" t="s">
        <v>114</v>
      </c>
      <c r="C1669" s="44" t="s">
        <v>20</v>
      </c>
      <c r="D1669" s="44" t="s">
        <v>269</v>
      </c>
      <c r="E1669" s="44" t="s">
        <v>1035</v>
      </c>
      <c r="F1669" s="44" t="s">
        <v>1200</v>
      </c>
      <c r="G1669" s="44" t="s">
        <v>2918</v>
      </c>
      <c r="H1669" s="44" t="s">
        <v>1113</v>
      </c>
      <c r="I1669" s="44" t="s">
        <v>1106</v>
      </c>
      <c r="J1669" s="44">
        <v>187</v>
      </c>
      <c r="K1669" s="44" t="s">
        <v>2232</v>
      </c>
      <c r="L1669" s="44" t="s">
        <v>2555</v>
      </c>
      <c r="M1669" s="44" t="s">
        <v>2033</v>
      </c>
      <c r="N1669" s="45">
        <v>4397699</v>
      </c>
      <c r="O1669" s="46">
        <f t="shared" si="55"/>
        <v>4397.6989999999996</v>
      </c>
      <c r="P1669" s="47">
        <f>FCCL!D33</f>
        <v>4397.6989999999996</v>
      </c>
      <c r="Q1669" s="44" t="str">
        <f t="shared" si="56"/>
        <v>PASS</v>
      </c>
      <c r="R1669" s="44" t="s">
        <v>1110</v>
      </c>
      <c r="S1669" s="44"/>
    </row>
    <row r="1670" spans="1:19" x14ac:dyDescent="0.3">
      <c r="A1670" s="44" t="s">
        <v>2994</v>
      </c>
      <c r="B1670" s="44" t="s">
        <v>114</v>
      </c>
      <c r="C1670" s="44" t="s">
        <v>26</v>
      </c>
      <c r="D1670" s="44" t="s">
        <v>269</v>
      </c>
      <c r="E1670" s="44" t="s">
        <v>1035</v>
      </c>
      <c r="F1670" s="44" t="s">
        <v>1200</v>
      </c>
      <c r="G1670" s="44" t="s">
        <v>2920</v>
      </c>
      <c r="H1670" s="44" t="s">
        <v>1117</v>
      </c>
      <c r="I1670" s="44" t="s">
        <v>1106</v>
      </c>
      <c r="J1670" s="44">
        <v>209</v>
      </c>
      <c r="K1670" s="44" t="s">
        <v>2921</v>
      </c>
      <c r="L1670" s="44" t="s">
        <v>1768</v>
      </c>
      <c r="M1670" s="44" t="s">
        <v>2033</v>
      </c>
      <c r="N1670" s="45">
        <v>3843010</v>
      </c>
      <c r="O1670" s="46">
        <f t="shared" si="55"/>
        <v>3843.01</v>
      </c>
      <c r="P1670" s="47">
        <f>FCCL!E33</f>
        <v>3843.01</v>
      </c>
      <c r="Q1670" s="44" t="str">
        <f t="shared" si="56"/>
        <v>PASS</v>
      </c>
      <c r="R1670" s="44" t="s">
        <v>1110</v>
      </c>
      <c r="S1670" s="44"/>
    </row>
    <row r="1671" spans="1:19" x14ac:dyDescent="0.3">
      <c r="A1671" s="44" t="s">
        <v>2995</v>
      </c>
      <c r="B1671" s="44" t="s">
        <v>114</v>
      </c>
      <c r="C1671" s="44" t="s">
        <v>27</v>
      </c>
      <c r="D1671" s="44" t="s">
        <v>269</v>
      </c>
      <c r="E1671" s="44" t="s">
        <v>1035</v>
      </c>
      <c r="F1671" s="44" t="s">
        <v>1200</v>
      </c>
      <c r="G1671" s="44" t="s">
        <v>2923</v>
      </c>
      <c r="H1671" s="44" t="s">
        <v>1120</v>
      </c>
      <c r="I1671" s="44" t="s">
        <v>1106</v>
      </c>
      <c r="J1671" s="44">
        <v>191</v>
      </c>
      <c r="K1671" s="44" t="s">
        <v>1107</v>
      </c>
      <c r="L1671" s="44" t="s">
        <v>1210</v>
      </c>
      <c r="M1671" s="44" t="s">
        <v>2033</v>
      </c>
      <c r="N1671" s="45">
        <v>250000</v>
      </c>
      <c r="O1671" s="46">
        <f t="shared" si="55"/>
        <v>250</v>
      </c>
      <c r="P1671" s="47">
        <f>FCCL!F33</f>
        <v>250</v>
      </c>
      <c r="Q1671" s="44" t="str">
        <f t="shared" si="56"/>
        <v>PASS</v>
      </c>
      <c r="R1671" s="44" t="s">
        <v>1110</v>
      </c>
      <c r="S1671" s="44"/>
    </row>
    <row r="1672" spans="1:19" x14ac:dyDescent="0.3">
      <c r="A1672" s="44" t="s">
        <v>2996</v>
      </c>
      <c r="B1672" s="44" t="s">
        <v>114</v>
      </c>
      <c r="C1672" s="44" t="s">
        <v>28</v>
      </c>
      <c r="D1672" s="44" t="s">
        <v>269</v>
      </c>
      <c r="E1672" s="44" t="s">
        <v>1035</v>
      </c>
      <c r="F1672" s="44" t="s">
        <v>1200</v>
      </c>
      <c r="G1672" s="44" t="s">
        <v>2925</v>
      </c>
      <c r="H1672" s="44" t="s">
        <v>1124</v>
      </c>
      <c r="I1672" s="44" t="s">
        <v>1106</v>
      </c>
      <c r="J1672" s="44">
        <v>245</v>
      </c>
      <c r="K1672" s="44" t="s">
        <v>1107</v>
      </c>
      <c r="L1672" s="44" t="s">
        <v>1768</v>
      </c>
      <c r="M1672" s="44" t="s">
        <v>2033</v>
      </c>
      <c r="N1672" s="45">
        <v>250000</v>
      </c>
      <c r="O1672" s="46">
        <f t="shared" ref="O1672:O1735" si="57">N1672/1000</f>
        <v>250</v>
      </c>
      <c r="P1672" s="47">
        <f>FCCL!G33</f>
        <v>250</v>
      </c>
      <c r="Q1672" s="44" t="str">
        <f t="shared" si="56"/>
        <v>PASS</v>
      </c>
      <c r="R1672" s="44" t="s">
        <v>1110</v>
      </c>
      <c r="S1672" s="44"/>
    </row>
    <row r="1673" spans="1:19" x14ac:dyDescent="0.3">
      <c r="A1673" s="44" t="s">
        <v>2997</v>
      </c>
      <c r="B1673" s="44" t="s">
        <v>114</v>
      </c>
      <c r="C1673" s="44" t="s">
        <v>29</v>
      </c>
      <c r="D1673" s="44" t="s">
        <v>269</v>
      </c>
      <c r="E1673" s="44" t="s">
        <v>1035</v>
      </c>
      <c r="F1673" s="44" t="s">
        <v>1200</v>
      </c>
      <c r="G1673" s="44" t="s">
        <v>2925</v>
      </c>
      <c r="H1673" s="44" t="s">
        <v>1124</v>
      </c>
      <c r="I1673" s="44" t="s">
        <v>1127</v>
      </c>
      <c r="J1673" s="44">
        <v>245</v>
      </c>
      <c r="K1673" s="44" t="s">
        <v>1107</v>
      </c>
      <c r="L1673" s="44" t="s">
        <v>1768</v>
      </c>
      <c r="M1673" s="44" t="s">
        <v>2033</v>
      </c>
      <c r="N1673" s="45">
        <v>9210100</v>
      </c>
      <c r="O1673" s="46">
        <f t="shared" si="57"/>
        <v>9210.1</v>
      </c>
      <c r="P1673" s="47">
        <f>FCCL!H33</f>
        <v>9210.1</v>
      </c>
      <c r="Q1673" s="44" t="str">
        <f t="shared" si="56"/>
        <v>PASS</v>
      </c>
      <c r="R1673" s="44" t="s">
        <v>1110</v>
      </c>
      <c r="S1673" s="44"/>
    </row>
    <row r="1674" spans="1:19" x14ac:dyDescent="0.3">
      <c r="A1674" s="44" t="s">
        <v>2998</v>
      </c>
      <c r="B1674" s="44" t="s">
        <v>114</v>
      </c>
      <c r="C1674" s="44" t="s">
        <v>965</v>
      </c>
      <c r="D1674" s="44" t="s">
        <v>271</v>
      </c>
      <c r="E1674" s="44" t="s">
        <v>1035</v>
      </c>
      <c r="F1674" s="44" t="s">
        <v>271</v>
      </c>
      <c r="G1674" s="44" t="s">
        <v>2916</v>
      </c>
      <c r="H1674" s="44" t="s">
        <v>1105</v>
      </c>
      <c r="I1674" s="44" t="s">
        <v>1106</v>
      </c>
      <c r="J1674" s="44">
        <v>165</v>
      </c>
      <c r="K1674" s="44" t="s">
        <v>1107</v>
      </c>
      <c r="L1674" s="44" t="s">
        <v>1210</v>
      </c>
      <c r="M1674" s="44" t="s">
        <v>2033</v>
      </c>
      <c r="N1674" s="45">
        <v>561174</v>
      </c>
      <c r="O1674" s="46">
        <f t="shared" si="57"/>
        <v>561.17399999999998</v>
      </c>
      <c r="P1674" s="47">
        <f>FCCL!C34</f>
        <v>561.17399999999998</v>
      </c>
      <c r="Q1674" s="44" t="str">
        <f t="shared" si="56"/>
        <v>PASS</v>
      </c>
      <c r="R1674" s="44" t="s">
        <v>1110</v>
      </c>
      <c r="S1674" s="44"/>
    </row>
    <row r="1675" spans="1:19" x14ac:dyDescent="0.3">
      <c r="A1675" s="44" t="s">
        <v>2999</v>
      </c>
      <c r="B1675" s="44" t="s">
        <v>114</v>
      </c>
      <c r="C1675" s="44" t="s">
        <v>20</v>
      </c>
      <c r="D1675" s="44" t="s">
        <v>271</v>
      </c>
      <c r="E1675" s="44" t="s">
        <v>1035</v>
      </c>
      <c r="F1675" s="44" t="s">
        <v>271</v>
      </c>
      <c r="G1675" s="44" t="s">
        <v>2918</v>
      </c>
      <c r="H1675" s="44" t="s">
        <v>1113</v>
      </c>
      <c r="I1675" s="44" t="s">
        <v>1106</v>
      </c>
      <c r="J1675" s="44">
        <v>187</v>
      </c>
      <c r="K1675" s="44" t="s">
        <v>2232</v>
      </c>
      <c r="L1675" s="44" t="s">
        <v>1139</v>
      </c>
      <c r="M1675" s="44" t="s">
        <v>2033</v>
      </c>
      <c r="N1675" s="45">
        <v>900778</v>
      </c>
      <c r="O1675" s="46">
        <f t="shared" si="57"/>
        <v>900.77800000000002</v>
      </c>
      <c r="P1675" s="47">
        <f>FCCL!D34</f>
        <v>900.77800000000002</v>
      </c>
      <c r="Q1675" s="44" t="str">
        <f t="shared" si="56"/>
        <v>PASS</v>
      </c>
      <c r="R1675" s="44" t="s">
        <v>1110</v>
      </c>
      <c r="S1675" s="44"/>
    </row>
    <row r="1676" spans="1:19" x14ac:dyDescent="0.3">
      <c r="A1676" s="44" t="s">
        <v>3000</v>
      </c>
      <c r="B1676" s="44" t="s">
        <v>114</v>
      </c>
      <c r="C1676" s="44" t="s">
        <v>26</v>
      </c>
      <c r="D1676" s="44" t="s">
        <v>271</v>
      </c>
      <c r="E1676" s="44" t="s">
        <v>1035</v>
      </c>
      <c r="F1676" s="44" t="s">
        <v>271</v>
      </c>
      <c r="G1676" s="44" t="s">
        <v>2920</v>
      </c>
      <c r="H1676" s="44" t="s">
        <v>1117</v>
      </c>
      <c r="I1676" s="44" t="s">
        <v>1106</v>
      </c>
      <c r="J1676" s="44">
        <v>209</v>
      </c>
      <c r="K1676" s="44" t="s">
        <v>2921</v>
      </c>
      <c r="L1676" s="44" t="s">
        <v>2122</v>
      </c>
      <c r="M1676" s="44" t="s">
        <v>2033</v>
      </c>
      <c r="N1676" s="45">
        <v>2306633</v>
      </c>
      <c r="O1676" s="46">
        <f t="shared" si="57"/>
        <v>2306.6329999999998</v>
      </c>
      <c r="P1676" s="47">
        <f>FCCL!E34</f>
        <v>2306.6329999999998</v>
      </c>
      <c r="Q1676" s="44" t="str">
        <f t="shared" si="56"/>
        <v>PASS</v>
      </c>
      <c r="R1676" s="44" t="s">
        <v>1110</v>
      </c>
      <c r="S1676" s="44"/>
    </row>
    <row r="1677" spans="1:19" x14ac:dyDescent="0.3">
      <c r="A1677" s="44" t="s">
        <v>3001</v>
      </c>
      <c r="B1677" s="44" t="s">
        <v>114</v>
      </c>
      <c r="C1677" s="44" t="s">
        <v>27</v>
      </c>
      <c r="D1677" s="44" t="s">
        <v>271</v>
      </c>
      <c r="E1677" s="44" t="s">
        <v>1035</v>
      </c>
      <c r="F1677" s="44" t="s">
        <v>271</v>
      </c>
      <c r="G1677" s="44" t="s">
        <v>2923</v>
      </c>
      <c r="H1677" s="44" t="s">
        <v>1120</v>
      </c>
      <c r="I1677" s="44" t="s">
        <v>1106</v>
      </c>
      <c r="J1677" s="44">
        <v>191</v>
      </c>
      <c r="K1677" s="44" t="s">
        <v>1107</v>
      </c>
      <c r="L1677" s="44" t="s">
        <v>1768</v>
      </c>
      <c r="M1677" s="44" t="s">
        <v>2033</v>
      </c>
      <c r="N1677" s="45">
        <v>970457</v>
      </c>
      <c r="O1677" s="46">
        <f t="shared" si="57"/>
        <v>970.45699999999999</v>
      </c>
      <c r="P1677" s="47">
        <f>FCCL!F34</f>
        <v>970.45699999999999</v>
      </c>
      <c r="Q1677" s="44" t="str">
        <f t="shared" si="56"/>
        <v>PASS</v>
      </c>
      <c r="R1677" s="44" t="s">
        <v>1110</v>
      </c>
      <c r="S1677" s="44"/>
    </row>
    <row r="1678" spans="1:19" x14ac:dyDescent="0.3">
      <c r="A1678" s="44" t="s">
        <v>3002</v>
      </c>
      <c r="B1678" s="44" t="s">
        <v>114</v>
      </c>
      <c r="C1678" s="44" t="s">
        <v>28</v>
      </c>
      <c r="D1678" s="44" t="s">
        <v>271</v>
      </c>
      <c r="E1678" s="44" t="s">
        <v>1035</v>
      </c>
      <c r="F1678" s="44" t="s">
        <v>271</v>
      </c>
      <c r="G1678" s="44" t="s">
        <v>2925</v>
      </c>
      <c r="H1678" s="44" t="s">
        <v>1124</v>
      </c>
      <c r="I1678" s="44" t="s">
        <v>1106</v>
      </c>
      <c r="J1678" s="44">
        <v>245</v>
      </c>
      <c r="K1678" s="44" t="s">
        <v>1107</v>
      </c>
      <c r="L1678" s="44" t="s">
        <v>2122</v>
      </c>
      <c r="M1678" s="44" t="s">
        <v>2033</v>
      </c>
      <c r="N1678" s="45">
        <v>2932984</v>
      </c>
      <c r="O1678" s="46">
        <f t="shared" si="57"/>
        <v>2932.9839999999999</v>
      </c>
      <c r="P1678" s="47">
        <f>FCCL!G34</f>
        <v>2932.9839999999999</v>
      </c>
      <c r="Q1678" s="44" t="str">
        <f t="shared" si="56"/>
        <v>PASS</v>
      </c>
      <c r="R1678" s="44" t="s">
        <v>1110</v>
      </c>
      <c r="S1678" s="44"/>
    </row>
    <row r="1679" spans="1:19" x14ac:dyDescent="0.3">
      <c r="A1679" s="44" t="s">
        <v>3003</v>
      </c>
      <c r="B1679" s="44" t="s">
        <v>114</v>
      </c>
      <c r="C1679" s="44" t="s">
        <v>29</v>
      </c>
      <c r="D1679" s="44" t="s">
        <v>271</v>
      </c>
      <c r="E1679" s="44" t="s">
        <v>1035</v>
      </c>
      <c r="F1679" s="44" t="s">
        <v>271</v>
      </c>
      <c r="G1679" s="44" t="s">
        <v>2925</v>
      </c>
      <c r="H1679" s="44" t="s">
        <v>1124</v>
      </c>
      <c r="I1679" s="44" t="s">
        <v>1127</v>
      </c>
      <c r="J1679" s="44">
        <v>245</v>
      </c>
      <c r="K1679" s="44" t="s">
        <v>1107</v>
      </c>
      <c r="L1679" s="44" t="s">
        <v>2122</v>
      </c>
      <c r="M1679" s="44" t="s">
        <v>2033</v>
      </c>
      <c r="N1679" s="45">
        <v>2665338</v>
      </c>
      <c r="O1679" s="46">
        <f t="shared" si="57"/>
        <v>2665.3380000000002</v>
      </c>
      <c r="P1679" s="47">
        <f>FCCL!H34</f>
        <v>2665.3380000000002</v>
      </c>
      <c r="Q1679" s="44" t="str">
        <f t="shared" si="56"/>
        <v>PASS</v>
      </c>
      <c r="R1679" s="44" t="s">
        <v>1110</v>
      </c>
      <c r="S1679" s="44"/>
    </row>
    <row r="1680" spans="1:19" x14ac:dyDescent="0.3">
      <c r="A1680" s="44" t="s">
        <v>3004</v>
      </c>
      <c r="B1680" s="44" t="s">
        <v>114</v>
      </c>
      <c r="C1680" s="44" t="s">
        <v>965</v>
      </c>
      <c r="D1680" s="44" t="s">
        <v>273</v>
      </c>
      <c r="E1680" s="44" t="s">
        <v>1035</v>
      </c>
      <c r="F1680" s="44" t="s">
        <v>3005</v>
      </c>
      <c r="G1680" s="44" t="s">
        <v>2916</v>
      </c>
      <c r="H1680" s="44" t="s">
        <v>1105</v>
      </c>
      <c r="I1680" s="44" t="s">
        <v>1106</v>
      </c>
      <c r="J1680" s="44">
        <v>165</v>
      </c>
      <c r="K1680" s="44" t="s">
        <v>1107</v>
      </c>
      <c r="L1680" s="44"/>
      <c r="M1680" s="44" t="s">
        <v>2033</v>
      </c>
      <c r="N1680" s="45">
        <v>677946</v>
      </c>
      <c r="O1680" s="46">
        <f t="shared" si="57"/>
        <v>677.94600000000003</v>
      </c>
      <c r="P1680" s="47">
        <f>FCCL!C35</f>
        <v>677.94600000000003</v>
      </c>
      <c r="Q1680" s="44" t="str">
        <f t="shared" si="56"/>
        <v>PASS</v>
      </c>
      <c r="R1680" s="44" t="s">
        <v>1110</v>
      </c>
      <c r="S1680" s="44"/>
    </row>
    <row r="1681" spans="1:19" x14ac:dyDescent="0.3">
      <c r="A1681" s="44" t="s">
        <v>3006</v>
      </c>
      <c r="B1681" s="44" t="s">
        <v>114</v>
      </c>
      <c r="C1681" s="44" t="s">
        <v>20</v>
      </c>
      <c r="D1681" s="44" t="s">
        <v>273</v>
      </c>
      <c r="E1681" s="44" t="s">
        <v>1035</v>
      </c>
      <c r="F1681" s="44" t="s">
        <v>3007</v>
      </c>
      <c r="G1681" s="44" t="s">
        <v>2918</v>
      </c>
      <c r="H1681" s="44" t="s">
        <v>1113</v>
      </c>
      <c r="I1681" s="44" t="s">
        <v>1106</v>
      </c>
      <c r="J1681" s="44">
        <v>187</v>
      </c>
      <c r="K1681" s="44" t="s">
        <v>2232</v>
      </c>
      <c r="L1681" s="44"/>
      <c r="M1681" s="44" t="s">
        <v>2033</v>
      </c>
      <c r="N1681" s="45">
        <v>250703</v>
      </c>
      <c r="O1681" s="46">
        <f t="shared" si="57"/>
        <v>250.703</v>
      </c>
      <c r="P1681" s="47">
        <f>FCCL!D35</f>
        <v>250.703</v>
      </c>
      <c r="Q1681" s="44" t="str">
        <f t="shared" si="56"/>
        <v>PASS</v>
      </c>
      <c r="R1681" s="44" t="s">
        <v>1110</v>
      </c>
      <c r="S1681" s="44"/>
    </row>
    <row r="1682" spans="1:19" x14ac:dyDescent="0.3">
      <c r="A1682" s="44" t="s">
        <v>3008</v>
      </c>
      <c r="B1682" s="44" t="s">
        <v>114</v>
      </c>
      <c r="C1682" s="44" t="s">
        <v>26</v>
      </c>
      <c r="D1682" s="44" t="s">
        <v>273</v>
      </c>
      <c r="E1682" s="44" t="s">
        <v>1035</v>
      </c>
      <c r="F1682" s="44" t="s">
        <v>3007</v>
      </c>
      <c r="G1682" s="44" t="s">
        <v>2920</v>
      </c>
      <c r="H1682" s="44" t="s">
        <v>1117</v>
      </c>
      <c r="I1682" s="44" t="s">
        <v>1106</v>
      </c>
      <c r="J1682" s="44">
        <v>209</v>
      </c>
      <c r="K1682" s="44" t="s">
        <v>2921</v>
      </c>
      <c r="L1682" s="44"/>
      <c r="M1682" s="44" t="s">
        <v>2033</v>
      </c>
      <c r="N1682" s="45">
        <v>4017543</v>
      </c>
      <c r="O1682" s="46">
        <f t="shared" si="57"/>
        <v>4017.5430000000001</v>
      </c>
      <c r="P1682" s="47">
        <f>FCCL!E35</f>
        <v>4017.5430000000001</v>
      </c>
      <c r="Q1682" s="44" t="str">
        <f t="shared" si="56"/>
        <v>PASS</v>
      </c>
      <c r="R1682" s="44" t="s">
        <v>1110</v>
      </c>
      <c r="S1682" s="44"/>
    </row>
    <row r="1683" spans="1:19" x14ac:dyDescent="0.3">
      <c r="A1683" s="44" t="s">
        <v>3009</v>
      </c>
      <c r="B1683" s="44" t="s">
        <v>114</v>
      </c>
      <c r="C1683" s="44" t="s">
        <v>27</v>
      </c>
      <c r="D1683" s="44" t="s">
        <v>273</v>
      </c>
      <c r="E1683" s="44" t="s">
        <v>1035</v>
      </c>
      <c r="F1683" s="44" t="s">
        <v>3007</v>
      </c>
      <c r="G1683" s="44" t="s">
        <v>2923</v>
      </c>
      <c r="H1683" s="44" t="s">
        <v>1120</v>
      </c>
      <c r="I1683" s="44" t="s">
        <v>1106</v>
      </c>
      <c r="J1683" s="44">
        <v>191</v>
      </c>
      <c r="K1683" s="44" t="s">
        <v>1107</v>
      </c>
      <c r="L1683" s="44"/>
      <c r="M1683" s="44" t="s">
        <v>2033</v>
      </c>
      <c r="N1683" s="45">
        <v>3218089</v>
      </c>
      <c r="O1683" s="46">
        <f t="shared" si="57"/>
        <v>3218.0889999999999</v>
      </c>
      <c r="P1683" s="47">
        <f>FCCL!F35</f>
        <v>3218.0889999999999</v>
      </c>
      <c r="Q1683" s="44" t="str">
        <f t="shared" si="56"/>
        <v>PASS</v>
      </c>
      <c r="R1683" s="44" t="s">
        <v>1110</v>
      </c>
      <c r="S1683" s="44"/>
    </row>
    <row r="1684" spans="1:19" x14ac:dyDescent="0.3">
      <c r="A1684" s="44" t="s">
        <v>3010</v>
      </c>
      <c r="B1684" s="44" t="s">
        <v>114</v>
      </c>
      <c r="C1684" s="44" t="s">
        <v>28</v>
      </c>
      <c r="D1684" s="44" t="s">
        <v>273</v>
      </c>
      <c r="E1684" s="44" t="s">
        <v>1035</v>
      </c>
      <c r="F1684" s="44" t="s">
        <v>3011</v>
      </c>
      <c r="G1684" s="44" t="s">
        <v>2925</v>
      </c>
      <c r="H1684" s="44" t="s">
        <v>1124</v>
      </c>
      <c r="I1684" s="44" t="s">
        <v>1106</v>
      </c>
      <c r="J1684" s="44">
        <v>245</v>
      </c>
      <c r="K1684" s="44" t="s">
        <v>1107</v>
      </c>
      <c r="L1684" s="44"/>
      <c r="M1684" s="44" t="s">
        <v>2033</v>
      </c>
      <c r="N1684" s="45">
        <v>461011</v>
      </c>
      <c r="O1684" s="46">
        <f t="shared" si="57"/>
        <v>461.01100000000002</v>
      </c>
      <c r="P1684" s="47">
        <f>FCCL!G35</f>
        <v>461.01100000000002</v>
      </c>
      <c r="Q1684" s="44" t="str">
        <f t="shared" si="56"/>
        <v>PASS</v>
      </c>
      <c r="R1684" s="44" t="s">
        <v>1110</v>
      </c>
      <c r="S1684" s="44"/>
    </row>
    <row r="1685" spans="1:19" x14ac:dyDescent="0.3">
      <c r="A1685" s="44" t="s">
        <v>3012</v>
      </c>
      <c r="B1685" s="44" t="s">
        <v>114</v>
      </c>
      <c r="C1685" s="44" t="s">
        <v>29</v>
      </c>
      <c r="D1685" s="44" t="s">
        <v>273</v>
      </c>
      <c r="E1685" s="44" t="s">
        <v>1035</v>
      </c>
      <c r="F1685" s="44" t="s">
        <v>3011</v>
      </c>
      <c r="G1685" s="44" t="s">
        <v>2925</v>
      </c>
      <c r="H1685" s="44" t="s">
        <v>1124</v>
      </c>
      <c r="I1685" s="44" t="s">
        <v>1127</v>
      </c>
      <c r="J1685" s="44">
        <v>245</v>
      </c>
      <c r="K1685" s="44" t="s">
        <v>1107</v>
      </c>
      <c r="L1685" s="44"/>
      <c r="M1685" s="44" t="s">
        <v>2033</v>
      </c>
      <c r="N1685" s="45">
        <v>1971180</v>
      </c>
      <c r="O1685" s="46">
        <f t="shared" si="57"/>
        <v>1971.18</v>
      </c>
      <c r="P1685" s="47">
        <f>FCCL!H35</f>
        <v>1971.18</v>
      </c>
      <c r="Q1685" s="44" t="str">
        <f t="shared" si="56"/>
        <v>PASS</v>
      </c>
      <c r="R1685" s="44" t="s">
        <v>1110</v>
      </c>
      <c r="S1685" s="44"/>
    </row>
    <row r="1686" spans="1:19" x14ac:dyDescent="0.3">
      <c r="A1686" s="44" t="s">
        <v>3013</v>
      </c>
      <c r="B1686" s="44" t="s">
        <v>114</v>
      </c>
      <c r="C1686" s="44" t="s">
        <v>965</v>
      </c>
      <c r="D1686" s="44" t="s">
        <v>280</v>
      </c>
      <c r="E1686" s="44" t="s">
        <v>1035</v>
      </c>
      <c r="F1686" s="44" t="s">
        <v>1689</v>
      </c>
      <c r="G1686" s="44" t="s">
        <v>2916</v>
      </c>
      <c r="H1686" s="44" t="s">
        <v>1105</v>
      </c>
      <c r="I1686" s="44" t="s">
        <v>1106</v>
      </c>
      <c r="J1686" s="44">
        <v>164</v>
      </c>
      <c r="K1686" s="44" t="s">
        <v>2905</v>
      </c>
      <c r="L1686" s="44" t="s">
        <v>1226</v>
      </c>
      <c r="M1686" s="44" t="s">
        <v>2033</v>
      </c>
      <c r="N1686" s="45">
        <v>13798150</v>
      </c>
      <c r="O1686" s="46">
        <f t="shared" si="57"/>
        <v>13798.15</v>
      </c>
      <c r="P1686" s="47">
        <f>FCCL!C39</f>
        <v>13798.15</v>
      </c>
      <c r="Q1686" s="44" t="str">
        <f t="shared" ref="Q1686:Q1749" si="58">IF(ABS(O1686-P1686)&lt;0.000001,"PASS","FAIL")</f>
        <v>PASS</v>
      </c>
      <c r="R1686" s="44" t="s">
        <v>1110</v>
      </c>
      <c r="S1686" s="44"/>
    </row>
    <row r="1687" spans="1:19" x14ac:dyDescent="0.3">
      <c r="A1687" s="44" t="s">
        <v>3014</v>
      </c>
      <c r="B1687" s="44" t="s">
        <v>114</v>
      </c>
      <c r="C1687" s="44" t="s">
        <v>20</v>
      </c>
      <c r="D1687" s="44" t="s">
        <v>280</v>
      </c>
      <c r="E1687" s="44" t="s">
        <v>1035</v>
      </c>
      <c r="F1687" s="44" t="s">
        <v>1689</v>
      </c>
      <c r="G1687" s="44" t="s">
        <v>2918</v>
      </c>
      <c r="H1687" s="44" t="s">
        <v>1113</v>
      </c>
      <c r="I1687" s="44" t="s">
        <v>1106</v>
      </c>
      <c r="J1687" s="44">
        <v>186</v>
      </c>
      <c r="K1687" s="44" t="s">
        <v>2051</v>
      </c>
      <c r="L1687" s="44" t="s">
        <v>1226</v>
      </c>
      <c r="M1687" s="44" t="s">
        <v>2033</v>
      </c>
      <c r="N1687" s="45">
        <v>13798150</v>
      </c>
      <c r="O1687" s="46">
        <f t="shared" si="57"/>
        <v>13798.15</v>
      </c>
      <c r="P1687" s="47">
        <f>FCCL!D39</f>
        <v>13798.15</v>
      </c>
      <c r="Q1687" s="44" t="str">
        <f t="shared" si="58"/>
        <v>PASS</v>
      </c>
      <c r="R1687" s="44" t="s">
        <v>1110</v>
      </c>
      <c r="S1687" s="44"/>
    </row>
    <row r="1688" spans="1:19" x14ac:dyDescent="0.3">
      <c r="A1688" s="44" t="s">
        <v>3015</v>
      </c>
      <c r="B1688" s="44" t="s">
        <v>114</v>
      </c>
      <c r="C1688" s="44" t="s">
        <v>26</v>
      </c>
      <c r="D1688" s="44" t="s">
        <v>280</v>
      </c>
      <c r="E1688" s="44" t="s">
        <v>1035</v>
      </c>
      <c r="F1688" s="44" t="s">
        <v>1689</v>
      </c>
      <c r="G1688" s="44" t="s">
        <v>2920</v>
      </c>
      <c r="H1688" s="44" t="s">
        <v>1117</v>
      </c>
      <c r="I1688" s="44" t="s">
        <v>1106</v>
      </c>
      <c r="J1688" s="44">
        <v>208</v>
      </c>
      <c r="K1688" s="44" t="s">
        <v>2392</v>
      </c>
      <c r="L1688" s="44" t="s">
        <v>1226</v>
      </c>
      <c r="M1688" s="44" t="s">
        <v>2033</v>
      </c>
      <c r="N1688" s="45">
        <v>21803090</v>
      </c>
      <c r="O1688" s="46">
        <f t="shared" si="57"/>
        <v>21803.09</v>
      </c>
      <c r="P1688" s="47">
        <f>FCCL!E39</f>
        <v>21803.09</v>
      </c>
      <c r="Q1688" s="44" t="str">
        <f t="shared" si="58"/>
        <v>PASS</v>
      </c>
      <c r="R1688" s="44" t="s">
        <v>1110</v>
      </c>
      <c r="S1688" s="44"/>
    </row>
    <row r="1689" spans="1:19" x14ac:dyDescent="0.3">
      <c r="A1689" s="44" t="s">
        <v>3016</v>
      </c>
      <c r="B1689" s="44" t="s">
        <v>114</v>
      </c>
      <c r="C1689" s="44" t="s">
        <v>27</v>
      </c>
      <c r="D1689" s="44" t="s">
        <v>280</v>
      </c>
      <c r="E1689" s="44" t="s">
        <v>1035</v>
      </c>
      <c r="F1689" s="44" t="s">
        <v>1689</v>
      </c>
      <c r="G1689" s="44" t="s">
        <v>2923</v>
      </c>
      <c r="H1689" s="44" t="s">
        <v>1120</v>
      </c>
      <c r="I1689" s="44" t="s">
        <v>1106</v>
      </c>
      <c r="J1689" s="44">
        <v>190</v>
      </c>
      <c r="K1689" s="44" t="s">
        <v>2055</v>
      </c>
      <c r="L1689" s="44" t="s">
        <v>1226</v>
      </c>
      <c r="M1689" s="44" t="s">
        <v>2033</v>
      </c>
      <c r="N1689" s="45">
        <v>24528476</v>
      </c>
      <c r="O1689" s="46">
        <f t="shared" si="57"/>
        <v>24528.475999999999</v>
      </c>
      <c r="P1689" s="47">
        <f>FCCL!F39</f>
        <v>24528.475999999999</v>
      </c>
      <c r="Q1689" s="44" t="str">
        <f t="shared" si="58"/>
        <v>PASS</v>
      </c>
      <c r="R1689" s="44" t="s">
        <v>1110</v>
      </c>
      <c r="S1689" s="44"/>
    </row>
    <row r="1690" spans="1:19" x14ac:dyDescent="0.3">
      <c r="A1690" s="44" t="s">
        <v>3017</v>
      </c>
      <c r="B1690" s="44" t="s">
        <v>114</v>
      </c>
      <c r="C1690" s="44" t="s">
        <v>28</v>
      </c>
      <c r="D1690" s="44" t="s">
        <v>280</v>
      </c>
      <c r="E1690" s="44" t="s">
        <v>1035</v>
      </c>
      <c r="F1690" s="44" t="s">
        <v>1689</v>
      </c>
      <c r="G1690" s="44" t="s">
        <v>2925</v>
      </c>
      <c r="H1690" s="44" t="s">
        <v>1124</v>
      </c>
      <c r="I1690" s="44" t="s">
        <v>1106</v>
      </c>
      <c r="J1690" s="44">
        <v>244</v>
      </c>
      <c r="K1690" s="44" t="s">
        <v>1107</v>
      </c>
      <c r="L1690" s="44" t="s">
        <v>1585</v>
      </c>
      <c r="M1690" s="44" t="s">
        <v>2033</v>
      </c>
      <c r="N1690" s="45">
        <v>24528476</v>
      </c>
      <c r="O1690" s="46">
        <f t="shared" si="57"/>
        <v>24528.475999999999</v>
      </c>
      <c r="P1690" s="47">
        <f>FCCL!G39</f>
        <v>24528.475999999999</v>
      </c>
      <c r="Q1690" s="44" t="str">
        <f t="shared" si="58"/>
        <v>PASS</v>
      </c>
      <c r="R1690" s="44" t="s">
        <v>1110</v>
      </c>
      <c r="S1690" s="44"/>
    </row>
    <row r="1691" spans="1:19" x14ac:dyDescent="0.3">
      <c r="A1691" s="44" t="s">
        <v>3018</v>
      </c>
      <c r="B1691" s="44" t="s">
        <v>114</v>
      </c>
      <c r="C1691" s="44" t="s">
        <v>29</v>
      </c>
      <c r="D1691" s="44" t="s">
        <v>280</v>
      </c>
      <c r="E1691" s="44" t="s">
        <v>1035</v>
      </c>
      <c r="F1691" s="44" t="s">
        <v>1689</v>
      </c>
      <c r="G1691" s="44" t="s">
        <v>2925</v>
      </c>
      <c r="H1691" s="44" t="s">
        <v>1124</v>
      </c>
      <c r="I1691" s="44" t="s">
        <v>1127</v>
      </c>
      <c r="J1691" s="44">
        <v>244</v>
      </c>
      <c r="K1691" s="44" t="s">
        <v>1107</v>
      </c>
      <c r="L1691" s="44" t="s">
        <v>1585</v>
      </c>
      <c r="M1691" s="44" t="s">
        <v>2033</v>
      </c>
      <c r="N1691" s="45">
        <v>24528476</v>
      </c>
      <c r="O1691" s="46">
        <f t="shared" si="57"/>
        <v>24528.475999999999</v>
      </c>
      <c r="P1691" s="47">
        <f>FCCL!H39</f>
        <v>24528.475999999999</v>
      </c>
      <c r="Q1691" s="44" t="str">
        <f t="shared" si="58"/>
        <v>PASS</v>
      </c>
      <c r="R1691" s="44" t="s">
        <v>1110</v>
      </c>
      <c r="S1691" s="44"/>
    </row>
    <row r="1692" spans="1:19" x14ac:dyDescent="0.3">
      <c r="A1692" s="44" t="s">
        <v>3019</v>
      </c>
      <c r="B1692" s="44" t="s">
        <v>114</v>
      </c>
      <c r="C1692" s="44" t="s">
        <v>965</v>
      </c>
      <c r="D1692" s="44" t="s">
        <v>282</v>
      </c>
      <c r="E1692" s="44" t="s">
        <v>1035</v>
      </c>
      <c r="F1692" s="44" t="s">
        <v>3020</v>
      </c>
      <c r="G1692" s="44" t="s">
        <v>2916</v>
      </c>
      <c r="H1692" s="44" t="s">
        <v>1105</v>
      </c>
      <c r="I1692" s="44" t="s">
        <v>1106</v>
      </c>
      <c r="J1692" s="44">
        <v>164</v>
      </c>
      <c r="K1692" s="44" t="s">
        <v>2905</v>
      </c>
      <c r="L1692" s="44"/>
      <c r="M1692" s="44" t="s">
        <v>2033</v>
      </c>
      <c r="N1692" s="45">
        <v>6006170</v>
      </c>
      <c r="O1692" s="46">
        <f t="shared" si="57"/>
        <v>6006.17</v>
      </c>
      <c r="P1692" s="47">
        <f>FCCL!C40</f>
        <v>6006.17</v>
      </c>
      <c r="Q1692" s="44" t="str">
        <f t="shared" si="58"/>
        <v>PASS</v>
      </c>
      <c r="R1692" s="44" t="s">
        <v>1110</v>
      </c>
      <c r="S1692" s="44"/>
    </row>
    <row r="1693" spans="1:19" x14ac:dyDescent="0.3">
      <c r="A1693" s="44" t="s">
        <v>3021</v>
      </c>
      <c r="B1693" s="44" t="s">
        <v>114</v>
      </c>
      <c r="C1693" s="44" t="s">
        <v>20</v>
      </c>
      <c r="D1693" s="44" t="s">
        <v>282</v>
      </c>
      <c r="E1693" s="44" t="s">
        <v>1035</v>
      </c>
      <c r="F1693" s="44" t="s">
        <v>3022</v>
      </c>
      <c r="G1693" s="44" t="s">
        <v>2918</v>
      </c>
      <c r="H1693" s="44" t="s">
        <v>1113</v>
      </c>
      <c r="I1693" s="44" t="s">
        <v>1106</v>
      </c>
      <c r="J1693" s="44">
        <v>186</v>
      </c>
      <c r="K1693" s="44" t="s">
        <v>2051</v>
      </c>
      <c r="L1693" s="44" t="s">
        <v>1585</v>
      </c>
      <c r="M1693" s="44" t="s">
        <v>2033</v>
      </c>
      <c r="N1693" s="45">
        <v>9477521</v>
      </c>
      <c r="O1693" s="46">
        <f t="shared" si="57"/>
        <v>9477.5210000000006</v>
      </c>
      <c r="P1693" s="47">
        <f>FCCL!D40</f>
        <v>9477.5210000000006</v>
      </c>
      <c r="Q1693" s="44" t="str">
        <f t="shared" si="58"/>
        <v>PASS</v>
      </c>
      <c r="R1693" s="44" t="s">
        <v>1110</v>
      </c>
      <c r="S1693" s="44"/>
    </row>
    <row r="1694" spans="1:19" x14ac:dyDescent="0.3">
      <c r="A1694" s="44" t="s">
        <v>3023</v>
      </c>
      <c r="B1694" s="44" t="s">
        <v>114</v>
      </c>
      <c r="C1694" s="44" t="s">
        <v>26</v>
      </c>
      <c r="D1694" s="44" t="s">
        <v>282</v>
      </c>
      <c r="E1694" s="44" t="s">
        <v>1035</v>
      </c>
      <c r="F1694" s="44" t="s">
        <v>3024</v>
      </c>
      <c r="G1694" s="44" t="s">
        <v>2920</v>
      </c>
      <c r="H1694" s="44" t="s">
        <v>1117</v>
      </c>
      <c r="I1694" s="44" t="s">
        <v>1106</v>
      </c>
      <c r="J1694" s="44">
        <v>208</v>
      </c>
      <c r="K1694" s="44" t="s">
        <v>2392</v>
      </c>
      <c r="L1694" s="44"/>
      <c r="M1694" s="44" t="s">
        <v>2033</v>
      </c>
      <c r="N1694" s="45">
        <v>35932966</v>
      </c>
      <c r="O1694" s="46">
        <f t="shared" si="57"/>
        <v>35932.966</v>
      </c>
      <c r="P1694" s="47">
        <f>FCCL!E40</f>
        <v>35932.966</v>
      </c>
      <c r="Q1694" s="44" t="str">
        <f t="shared" si="58"/>
        <v>PASS</v>
      </c>
      <c r="R1694" s="44" t="s">
        <v>1110</v>
      </c>
      <c r="S1694" s="44"/>
    </row>
    <row r="1695" spans="1:19" x14ac:dyDescent="0.3">
      <c r="A1695" s="44" t="s">
        <v>3025</v>
      </c>
      <c r="B1695" s="44" t="s">
        <v>114</v>
      </c>
      <c r="C1695" s="44" t="s">
        <v>27</v>
      </c>
      <c r="D1695" s="44" t="s">
        <v>282</v>
      </c>
      <c r="E1695" s="44" t="s">
        <v>1035</v>
      </c>
      <c r="F1695" s="44" t="s">
        <v>3026</v>
      </c>
      <c r="G1695" s="44" t="s">
        <v>2923</v>
      </c>
      <c r="H1695" s="44" t="s">
        <v>1120</v>
      </c>
      <c r="I1695" s="44" t="s">
        <v>1106</v>
      </c>
      <c r="J1695" s="44">
        <v>190</v>
      </c>
      <c r="K1695" s="44" t="s">
        <v>2055</v>
      </c>
      <c r="L1695" s="44"/>
      <c r="M1695" s="44" t="s">
        <v>2033</v>
      </c>
      <c r="N1695" s="45">
        <v>40647261</v>
      </c>
      <c r="O1695" s="46">
        <f t="shared" si="57"/>
        <v>40647.260999999999</v>
      </c>
      <c r="P1695" s="47">
        <f>FCCL!F40</f>
        <v>40647.260999999999</v>
      </c>
      <c r="Q1695" s="44" t="str">
        <f t="shared" si="58"/>
        <v>PASS</v>
      </c>
      <c r="R1695" s="44" t="s">
        <v>1110</v>
      </c>
      <c r="S1695" s="44"/>
    </row>
    <row r="1696" spans="1:19" x14ac:dyDescent="0.3">
      <c r="A1696" s="44" t="s">
        <v>3027</v>
      </c>
      <c r="B1696" s="44" t="s">
        <v>114</v>
      </c>
      <c r="C1696" s="44" t="s">
        <v>28</v>
      </c>
      <c r="D1696" s="44" t="s">
        <v>282</v>
      </c>
      <c r="E1696" s="44" t="s">
        <v>1035</v>
      </c>
      <c r="F1696" s="44" t="s">
        <v>3026</v>
      </c>
      <c r="G1696" s="44" t="s">
        <v>2925</v>
      </c>
      <c r="H1696" s="44" t="s">
        <v>1124</v>
      </c>
      <c r="I1696" s="44" t="s">
        <v>1106</v>
      </c>
      <c r="J1696" s="44">
        <v>244</v>
      </c>
      <c r="K1696" s="44" t="s">
        <v>1107</v>
      </c>
      <c r="L1696" s="44"/>
      <c r="M1696" s="44" t="s">
        <v>2033</v>
      </c>
      <c r="N1696" s="45">
        <v>48870377</v>
      </c>
      <c r="O1696" s="46">
        <f t="shared" si="57"/>
        <v>48870.377</v>
      </c>
      <c r="P1696" s="47">
        <f>FCCL!G40</f>
        <v>48870.377</v>
      </c>
      <c r="Q1696" s="44" t="str">
        <f t="shared" si="58"/>
        <v>PASS</v>
      </c>
      <c r="R1696" s="44" t="s">
        <v>1110</v>
      </c>
      <c r="S1696" s="44"/>
    </row>
    <row r="1697" spans="1:19" x14ac:dyDescent="0.3">
      <c r="A1697" s="44" t="s">
        <v>3028</v>
      </c>
      <c r="B1697" s="44" t="s">
        <v>114</v>
      </c>
      <c r="C1697" s="44" t="s">
        <v>29</v>
      </c>
      <c r="D1697" s="44" t="s">
        <v>282</v>
      </c>
      <c r="E1697" s="44" t="s">
        <v>1035</v>
      </c>
      <c r="F1697" s="44" t="s">
        <v>3026</v>
      </c>
      <c r="G1697" s="44" t="s">
        <v>2925</v>
      </c>
      <c r="H1697" s="44" t="s">
        <v>1124</v>
      </c>
      <c r="I1697" s="44" t="s">
        <v>1127</v>
      </c>
      <c r="J1697" s="44">
        <v>244</v>
      </c>
      <c r="K1697" s="44" t="s">
        <v>1107</v>
      </c>
      <c r="L1697" s="44"/>
      <c r="M1697" s="44" t="s">
        <v>2033</v>
      </c>
      <c r="N1697" s="45">
        <v>59743732</v>
      </c>
      <c r="O1697" s="46">
        <f t="shared" si="57"/>
        <v>59743.732000000004</v>
      </c>
      <c r="P1697" s="47">
        <f>FCCL!H40</f>
        <v>59743.732000000004</v>
      </c>
      <c r="Q1697" s="44" t="str">
        <f t="shared" si="58"/>
        <v>PASS</v>
      </c>
      <c r="R1697" s="44" t="s">
        <v>1110</v>
      </c>
      <c r="S1697" s="44"/>
    </row>
    <row r="1698" spans="1:19" x14ac:dyDescent="0.3">
      <c r="A1698" s="44" t="s">
        <v>3029</v>
      </c>
      <c r="B1698" s="44" t="s">
        <v>114</v>
      </c>
      <c r="C1698" s="44" t="s">
        <v>965</v>
      </c>
      <c r="D1698" s="44" t="s">
        <v>287</v>
      </c>
      <c r="E1698" s="44" t="s">
        <v>1035</v>
      </c>
      <c r="F1698" s="44" t="s">
        <v>3030</v>
      </c>
      <c r="G1698" s="44" t="s">
        <v>2916</v>
      </c>
      <c r="H1698" s="44" t="s">
        <v>1105</v>
      </c>
      <c r="I1698" s="44" t="s">
        <v>1106</v>
      </c>
      <c r="J1698" s="44">
        <v>164</v>
      </c>
      <c r="K1698" s="44" t="s">
        <v>2905</v>
      </c>
      <c r="L1698" s="44" t="s">
        <v>1585</v>
      </c>
      <c r="M1698" s="44" t="s">
        <v>2033</v>
      </c>
      <c r="N1698" s="45">
        <v>447327</v>
      </c>
      <c r="O1698" s="46">
        <f t="shared" si="57"/>
        <v>447.327</v>
      </c>
      <c r="P1698" s="47">
        <f>FCCL!C43</f>
        <v>447.327</v>
      </c>
      <c r="Q1698" s="44" t="str">
        <f t="shared" si="58"/>
        <v>PASS</v>
      </c>
      <c r="R1698" s="44" t="s">
        <v>1110</v>
      </c>
      <c r="S1698" s="44"/>
    </row>
    <row r="1699" spans="1:19" x14ac:dyDescent="0.3">
      <c r="A1699" s="44" t="s">
        <v>3031</v>
      </c>
      <c r="B1699" s="44" t="s">
        <v>114</v>
      </c>
      <c r="C1699" s="44" t="s">
        <v>20</v>
      </c>
      <c r="D1699" s="44" t="s">
        <v>287</v>
      </c>
      <c r="E1699" s="44" t="s">
        <v>1035</v>
      </c>
      <c r="F1699" s="44" t="s">
        <v>3030</v>
      </c>
      <c r="G1699" s="44" t="s">
        <v>2918</v>
      </c>
      <c r="H1699" s="44" t="s">
        <v>1113</v>
      </c>
      <c r="I1699" s="44" t="s">
        <v>1106</v>
      </c>
      <c r="J1699" s="44">
        <v>186</v>
      </c>
      <c r="K1699" s="44" t="s">
        <v>2051</v>
      </c>
      <c r="L1699" s="44" t="s">
        <v>1241</v>
      </c>
      <c r="M1699" s="44" t="s">
        <v>2033</v>
      </c>
      <c r="N1699" s="45">
        <v>491502</v>
      </c>
      <c r="O1699" s="46">
        <f t="shared" si="57"/>
        <v>491.50200000000001</v>
      </c>
      <c r="P1699" s="47">
        <f>FCCL!D43</f>
        <v>491.50200000000001</v>
      </c>
      <c r="Q1699" s="44" t="str">
        <f t="shared" si="58"/>
        <v>PASS</v>
      </c>
      <c r="R1699" s="44" t="s">
        <v>1110</v>
      </c>
      <c r="S1699" s="44"/>
    </row>
    <row r="1700" spans="1:19" x14ac:dyDescent="0.3">
      <c r="A1700" s="44" t="s">
        <v>3032</v>
      </c>
      <c r="B1700" s="44" t="s">
        <v>114</v>
      </c>
      <c r="C1700" s="44" t="s">
        <v>26</v>
      </c>
      <c r="D1700" s="44" t="s">
        <v>287</v>
      </c>
      <c r="E1700" s="44" t="s">
        <v>1035</v>
      </c>
      <c r="F1700" s="44" t="s">
        <v>3030</v>
      </c>
      <c r="G1700" s="44" t="s">
        <v>2920</v>
      </c>
      <c r="H1700" s="44" t="s">
        <v>1117</v>
      </c>
      <c r="I1700" s="44" t="s">
        <v>1106</v>
      </c>
      <c r="J1700" s="44">
        <v>208</v>
      </c>
      <c r="K1700" s="44" t="s">
        <v>2392</v>
      </c>
      <c r="L1700" s="44" t="s">
        <v>1585</v>
      </c>
      <c r="M1700" s="44" t="s">
        <v>2033</v>
      </c>
      <c r="N1700" s="45">
        <v>19555997</v>
      </c>
      <c r="O1700" s="46">
        <f t="shared" si="57"/>
        <v>19555.996999999999</v>
      </c>
      <c r="P1700" s="47">
        <f>FCCL!E43</f>
        <v>19555.996999999999</v>
      </c>
      <c r="Q1700" s="44" t="str">
        <f t="shared" si="58"/>
        <v>PASS</v>
      </c>
      <c r="R1700" s="44" t="s">
        <v>1110</v>
      </c>
      <c r="S1700" s="44"/>
    </row>
    <row r="1701" spans="1:19" x14ac:dyDescent="0.3">
      <c r="A1701" s="44" t="s">
        <v>3033</v>
      </c>
      <c r="B1701" s="44" t="s">
        <v>114</v>
      </c>
      <c r="C1701" s="44" t="s">
        <v>27</v>
      </c>
      <c r="D1701" s="44" t="s">
        <v>287</v>
      </c>
      <c r="E1701" s="44" t="s">
        <v>1035</v>
      </c>
      <c r="F1701" s="44" t="s">
        <v>3030</v>
      </c>
      <c r="G1701" s="44" t="s">
        <v>2923</v>
      </c>
      <c r="H1701" s="44" t="s">
        <v>1120</v>
      </c>
      <c r="I1701" s="44" t="s">
        <v>1106</v>
      </c>
      <c r="J1701" s="44">
        <v>190</v>
      </c>
      <c r="K1701" s="44" t="s">
        <v>2055</v>
      </c>
      <c r="L1701" s="44" t="s">
        <v>1585</v>
      </c>
      <c r="M1701" s="44" t="s">
        <v>2033</v>
      </c>
      <c r="N1701" s="45">
        <v>31777087</v>
      </c>
      <c r="O1701" s="46">
        <f t="shared" si="57"/>
        <v>31777.087</v>
      </c>
      <c r="P1701" s="47">
        <f>FCCL!F43</f>
        <v>31777.087</v>
      </c>
      <c r="Q1701" s="44" t="str">
        <f t="shared" si="58"/>
        <v>PASS</v>
      </c>
      <c r="R1701" s="44" t="s">
        <v>1110</v>
      </c>
      <c r="S1701" s="44"/>
    </row>
    <row r="1702" spans="1:19" x14ac:dyDescent="0.3">
      <c r="A1702" s="44" t="s">
        <v>3034</v>
      </c>
      <c r="B1702" s="44" t="s">
        <v>114</v>
      </c>
      <c r="C1702" s="44" t="s">
        <v>28</v>
      </c>
      <c r="D1702" s="44" t="s">
        <v>287</v>
      </c>
      <c r="E1702" s="44" t="s">
        <v>1035</v>
      </c>
      <c r="F1702" s="44" t="s">
        <v>3030</v>
      </c>
      <c r="G1702" s="44" t="s">
        <v>2925</v>
      </c>
      <c r="H1702" s="44" t="s">
        <v>1124</v>
      </c>
      <c r="I1702" s="44" t="s">
        <v>1106</v>
      </c>
      <c r="J1702" s="44">
        <v>244</v>
      </c>
      <c r="K1702" s="44" t="s">
        <v>1107</v>
      </c>
      <c r="L1702" s="44" t="s">
        <v>1241</v>
      </c>
      <c r="M1702" s="44" t="s">
        <v>2033</v>
      </c>
      <c r="N1702" s="45">
        <v>29908287</v>
      </c>
      <c r="O1702" s="46">
        <f t="shared" si="57"/>
        <v>29908.287</v>
      </c>
      <c r="P1702" s="47">
        <f>FCCL!G43</f>
        <v>29908.287</v>
      </c>
      <c r="Q1702" s="44" t="str">
        <f t="shared" si="58"/>
        <v>PASS</v>
      </c>
      <c r="R1702" s="44" t="s">
        <v>1110</v>
      </c>
      <c r="S1702" s="44"/>
    </row>
    <row r="1703" spans="1:19" x14ac:dyDescent="0.3">
      <c r="A1703" s="44" t="s">
        <v>3035</v>
      </c>
      <c r="B1703" s="44" t="s">
        <v>114</v>
      </c>
      <c r="C1703" s="44" t="s">
        <v>29</v>
      </c>
      <c r="D1703" s="44" t="s">
        <v>287</v>
      </c>
      <c r="E1703" s="44" t="s">
        <v>1035</v>
      </c>
      <c r="F1703" s="44" t="s">
        <v>3030</v>
      </c>
      <c r="G1703" s="44" t="s">
        <v>2925</v>
      </c>
      <c r="H1703" s="44" t="s">
        <v>1124</v>
      </c>
      <c r="I1703" s="44" t="s">
        <v>1127</v>
      </c>
      <c r="J1703" s="44">
        <v>244</v>
      </c>
      <c r="K1703" s="44" t="s">
        <v>1107</v>
      </c>
      <c r="L1703" s="44" t="s">
        <v>1241</v>
      </c>
      <c r="M1703" s="44" t="s">
        <v>2033</v>
      </c>
      <c r="N1703" s="45">
        <v>24208633</v>
      </c>
      <c r="O1703" s="46">
        <f t="shared" si="57"/>
        <v>24208.633000000002</v>
      </c>
      <c r="P1703" s="47">
        <f>FCCL!H43</f>
        <v>24208.633000000002</v>
      </c>
      <c r="Q1703" s="44" t="str">
        <f t="shared" si="58"/>
        <v>PASS</v>
      </c>
      <c r="R1703" s="44" t="s">
        <v>1110</v>
      </c>
      <c r="S1703" s="44"/>
    </row>
    <row r="1704" spans="1:19" x14ac:dyDescent="0.3">
      <c r="A1704" s="44" t="s">
        <v>3036</v>
      </c>
      <c r="B1704" s="44" t="s">
        <v>114</v>
      </c>
      <c r="C1704" s="44" t="s">
        <v>965</v>
      </c>
      <c r="D1704" s="44" t="s">
        <v>289</v>
      </c>
      <c r="E1704" s="44" t="s">
        <v>1035</v>
      </c>
      <c r="F1704" s="44" t="s">
        <v>3037</v>
      </c>
      <c r="G1704" s="44" t="s">
        <v>2916</v>
      </c>
      <c r="H1704" s="44" t="s">
        <v>1105</v>
      </c>
      <c r="I1704" s="44" t="s">
        <v>1106</v>
      </c>
      <c r="J1704" s="44">
        <v>164</v>
      </c>
      <c r="K1704" s="44" t="s">
        <v>2905</v>
      </c>
      <c r="L1704" s="44" t="s">
        <v>1630</v>
      </c>
      <c r="M1704" s="44" t="s">
        <v>2033</v>
      </c>
      <c r="N1704" s="45">
        <v>57656</v>
      </c>
      <c r="O1704" s="46">
        <f t="shared" si="57"/>
        <v>57.655999999999999</v>
      </c>
      <c r="P1704" s="47">
        <f>FCCL!C44</f>
        <v>57.655999999999999</v>
      </c>
      <c r="Q1704" s="44" t="str">
        <f t="shared" si="58"/>
        <v>PASS</v>
      </c>
      <c r="R1704" s="44" t="s">
        <v>1110</v>
      </c>
      <c r="S1704" s="44"/>
    </row>
    <row r="1705" spans="1:19" x14ac:dyDescent="0.3">
      <c r="A1705" s="44" t="s">
        <v>3038</v>
      </c>
      <c r="B1705" s="44" t="s">
        <v>114</v>
      </c>
      <c r="C1705" s="44" t="s">
        <v>20</v>
      </c>
      <c r="D1705" s="44" t="s">
        <v>289</v>
      </c>
      <c r="E1705" s="44" t="s">
        <v>1035</v>
      </c>
      <c r="F1705" s="44" t="s">
        <v>2608</v>
      </c>
      <c r="G1705" s="44" t="s">
        <v>2918</v>
      </c>
      <c r="H1705" s="44" t="s">
        <v>1113</v>
      </c>
      <c r="I1705" s="44" t="s">
        <v>1106</v>
      </c>
      <c r="J1705" s="44">
        <v>186</v>
      </c>
      <c r="K1705" s="44" t="s">
        <v>2051</v>
      </c>
      <c r="L1705" s="44" t="s">
        <v>1643</v>
      </c>
      <c r="M1705" s="44" t="s">
        <v>2033</v>
      </c>
      <c r="N1705" s="45">
        <v>73593</v>
      </c>
      <c r="O1705" s="46">
        <f t="shared" si="57"/>
        <v>73.593000000000004</v>
      </c>
      <c r="P1705" s="47">
        <f>FCCL!D44</f>
        <v>73.593000000000004</v>
      </c>
      <c r="Q1705" s="44" t="str">
        <f t="shared" si="58"/>
        <v>PASS</v>
      </c>
      <c r="R1705" s="44" t="s">
        <v>1110</v>
      </c>
      <c r="S1705" s="44"/>
    </row>
    <row r="1706" spans="1:19" x14ac:dyDescent="0.3">
      <c r="A1706" s="44" t="s">
        <v>3039</v>
      </c>
      <c r="B1706" s="44" t="s">
        <v>114</v>
      </c>
      <c r="C1706" s="44" t="s">
        <v>26</v>
      </c>
      <c r="D1706" s="44" t="s">
        <v>289</v>
      </c>
      <c r="E1706" s="44" t="s">
        <v>1035</v>
      </c>
      <c r="F1706" s="44" t="s">
        <v>2608</v>
      </c>
      <c r="G1706" s="44" t="s">
        <v>2920</v>
      </c>
      <c r="H1706" s="44" t="s">
        <v>1117</v>
      </c>
      <c r="I1706" s="44" t="s">
        <v>1106</v>
      </c>
      <c r="J1706" s="44">
        <v>208</v>
      </c>
      <c r="K1706" s="44" t="s">
        <v>2392</v>
      </c>
      <c r="L1706" s="44" t="s">
        <v>1630</v>
      </c>
      <c r="M1706" s="44" t="s">
        <v>2033</v>
      </c>
      <c r="N1706" s="45">
        <v>89965</v>
      </c>
      <c r="O1706" s="46">
        <f t="shared" si="57"/>
        <v>89.965000000000003</v>
      </c>
      <c r="P1706" s="47">
        <f>FCCL!E44</f>
        <v>89.965000000000003</v>
      </c>
      <c r="Q1706" s="44" t="str">
        <f t="shared" si="58"/>
        <v>PASS</v>
      </c>
      <c r="R1706" s="44" t="s">
        <v>1110</v>
      </c>
      <c r="S1706" s="44"/>
    </row>
    <row r="1707" spans="1:19" x14ac:dyDescent="0.3">
      <c r="A1707" s="44" t="s">
        <v>3040</v>
      </c>
      <c r="B1707" s="44" t="s">
        <v>114</v>
      </c>
      <c r="C1707" s="44" t="s">
        <v>27</v>
      </c>
      <c r="D1707" s="44" t="s">
        <v>289</v>
      </c>
      <c r="E1707" s="44" t="s">
        <v>1035</v>
      </c>
      <c r="F1707" s="44" t="s">
        <v>2608</v>
      </c>
      <c r="G1707" s="44" t="s">
        <v>2923</v>
      </c>
      <c r="H1707" s="44" t="s">
        <v>1120</v>
      </c>
      <c r="I1707" s="44" t="s">
        <v>1106</v>
      </c>
      <c r="J1707" s="44">
        <v>190</v>
      </c>
      <c r="K1707" s="44" t="s">
        <v>2055</v>
      </c>
      <c r="L1707" s="44" t="s">
        <v>1630</v>
      </c>
      <c r="M1707" s="44" t="s">
        <v>2033</v>
      </c>
      <c r="N1707" s="45">
        <v>118972</v>
      </c>
      <c r="O1707" s="46">
        <f t="shared" si="57"/>
        <v>118.97199999999999</v>
      </c>
      <c r="P1707" s="47">
        <f>FCCL!F44</f>
        <v>118.97199999999999</v>
      </c>
      <c r="Q1707" s="44" t="str">
        <f t="shared" si="58"/>
        <v>PASS</v>
      </c>
      <c r="R1707" s="44" t="s">
        <v>1110</v>
      </c>
      <c r="S1707" s="44"/>
    </row>
    <row r="1708" spans="1:19" x14ac:dyDescent="0.3">
      <c r="A1708" s="44" t="s">
        <v>3041</v>
      </c>
      <c r="B1708" s="44" t="s">
        <v>114</v>
      </c>
      <c r="C1708" s="44" t="s">
        <v>28</v>
      </c>
      <c r="D1708" s="44" t="s">
        <v>289</v>
      </c>
      <c r="E1708" s="44" t="s">
        <v>1035</v>
      </c>
      <c r="F1708" s="44" t="s">
        <v>2608</v>
      </c>
      <c r="G1708" s="44" t="s">
        <v>2925</v>
      </c>
      <c r="H1708" s="44" t="s">
        <v>1124</v>
      </c>
      <c r="I1708" s="44" t="s">
        <v>1106</v>
      </c>
      <c r="J1708" s="44">
        <v>244</v>
      </c>
      <c r="K1708" s="44" t="s">
        <v>1107</v>
      </c>
      <c r="L1708" s="44" t="s">
        <v>1643</v>
      </c>
      <c r="M1708" s="44" t="s">
        <v>2033</v>
      </c>
      <c r="N1708" s="45">
        <v>117454</v>
      </c>
      <c r="O1708" s="46">
        <f t="shared" si="57"/>
        <v>117.45399999999999</v>
      </c>
      <c r="P1708" s="47">
        <f>FCCL!G44</f>
        <v>117.45399999999999</v>
      </c>
      <c r="Q1708" s="44" t="str">
        <f t="shared" si="58"/>
        <v>PASS</v>
      </c>
      <c r="R1708" s="44" t="s">
        <v>1110</v>
      </c>
      <c r="S1708" s="44"/>
    </row>
    <row r="1709" spans="1:19" x14ac:dyDescent="0.3">
      <c r="A1709" s="44" t="s">
        <v>3042</v>
      </c>
      <c r="B1709" s="44" t="s">
        <v>114</v>
      </c>
      <c r="C1709" s="44" t="s">
        <v>29</v>
      </c>
      <c r="D1709" s="44" t="s">
        <v>289</v>
      </c>
      <c r="E1709" s="44" t="s">
        <v>1035</v>
      </c>
      <c r="F1709" s="44" t="s">
        <v>2608</v>
      </c>
      <c r="G1709" s="44" t="s">
        <v>2925</v>
      </c>
      <c r="H1709" s="44" t="s">
        <v>1124</v>
      </c>
      <c r="I1709" s="44" t="s">
        <v>1127</v>
      </c>
      <c r="J1709" s="44">
        <v>244</v>
      </c>
      <c r="K1709" s="44" t="s">
        <v>1107</v>
      </c>
      <c r="L1709" s="44" t="s">
        <v>1643</v>
      </c>
      <c r="M1709" s="44" t="s">
        <v>2033</v>
      </c>
      <c r="N1709" s="45">
        <v>101211</v>
      </c>
      <c r="O1709" s="46">
        <f t="shared" si="57"/>
        <v>101.211</v>
      </c>
      <c r="P1709" s="47">
        <f>FCCL!H44</f>
        <v>101.211</v>
      </c>
      <c r="Q1709" s="44" t="str">
        <f t="shared" si="58"/>
        <v>PASS</v>
      </c>
      <c r="R1709" s="44" t="s">
        <v>1110</v>
      </c>
      <c r="S1709" s="44"/>
    </row>
    <row r="1710" spans="1:19" x14ac:dyDescent="0.3">
      <c r="A1710" s="44" t="s">
        <v>3043</v>
      </c>
      <c r="B1710" s="44" t="s">
        <v>114</v>
      </c>
      <c r="C1710" s="44" t="s">
        <v>965</v>
      </c>
      <c r="D1710" s="44" t="s">
        <v>291</v>
      </c>
      <c r="E1710" s="44" t="s">
        <v>1035</v>
      </c>
      <c r="F1710" s="44" t="s">
        <v>2164</v>
      </c>
      <c r="G1710" s="44" t="s">
        <v>2916</v>
      </c>
      <c r="H1710" s="44" t="s">
        <v>1105</v>
      </c>
      <c r="I1710" s="44" t="s">
        <v>1106</v>
      </c>
      <c r="J1710" s="44">
        <v>164</v>
      </c>
      <c r="K1710" s="44" t="s">
        <v>2905</v>
      </c>
      <c r="L1710" s="44"/>
      <c r="M1710" s="44" t="s">
        <v>2033</v>
      </c>
      <c r="N1710" s="45">
        <v>0</v>
      </c>
      <c r="O1710" s="46">
        <f t="shared" si="57"/>
        <v>0</v>
      </c>
      <c r="P1710" s="47">
        <f>FCCL!C45</f>
        <v>0</v>
      </c>
      <c r="Q1710" s="44" t="str">
        <f t="shared" si="58"/>
        <v>PASS</v>
      </c>
      <c r="R1710" s="44" t="s">
        <v>1110</v>
      </c>
      <c r="S1710" s="44"/>
    </row>
    <row r="1711" spans="1:19" x14ac:dyDescent="0.3">
      <c r="A1711" s="44" t="s">
        <v>3044</v>
      </c>
      <c r="B1711" s="44" t="s">
        <v>114</v>
      </c>
      <c r="C1711" s="44" t="s">
        <v>20</v>
      </c>
      <c r="D1711" s="44" t="s">
        <v>291</v>
      </c>
      <c r="E1711" s="44" t="s">
        <v>1035</v>
      </c>
      <c r="F1711" s="44" t="s">
        <v>2164</v>
      </c>
      <c r="G1711" s="44" t="s">
        <v>2918</v>
      </c>
      <c r="H1711" s="44" t="s">
        <v>1113</v>
      </c>
      <c r="I1711" s="44" t="s">
        <v>1106</v>
      </c>
      <c r="J1711" s="44">
        <v>186</v>
      </c>
      <c r="K1711" s="44" t="s">
        <v>2051</v>
      </c>
      <c r="L1711" s="44" t="s">
        <v>1277</v>
      </c>
      <c r="M1711" s="44" t="s">
        <v>2033</v>
      </c>
      <c r="N1711" s="45">
        <v>6607</v>
      </c>
      <c r="O1711" s="46">
        <f t="shared" si="57"/>
        <v>6.6070000000000002</v>
      </c>
      <c r="P1711" s="47">
        <f>FCCL!D45</f>
        <v>6.6070000000000002</v>
      </c>
      <c r="Q1711" s="44" t="str">
        <f t="shared" si="58"/>
        <v>PASS</v>
      </c>
      <c r="R1711" s="44" t="s">
        <v>1110</v>
      </c>
      <c r="S1711" s="44" t="s">
        <v>1114</v>
      </c>
    </row>
    <row r="1712" spans="1:19" x14ac:dyDescent="0.3">
      <c r="A1712" s="44" t="s">
        <v>3045</v>
      </c>
      <c r="B1712" s="44" t="s">
        <v>114</v>
      </c>
      <c r="C1712" s="44" t="s">
        <v>26</v>
      </c>
      <c r="D1712" s="44" t="s">
        <v>291</v>
      </c>
      <c r="E1712" s="44" t="s">
        <v>1035</v>
      </c>
      <c r="F1712" s="44" t="s">
        <v>2164</v>
      </c>
      <c r="G1712" s="44" t="s">
        <v>2920</v>
      </c>
      <c r="H1712" s="44" t="s">
        <v>1117</v>
      </c>
      <c r="I1712" s="44" t="s">
        <v>1106</v>
      </c>
      <c r="J1712" s="44">
        <v>208</v>
      </c>
      <c r="K1712" s="44" t="s">
        <v>2392</v>
      </c>
      <c r="L1712" s="44" t="s">
        <v>1643</v>
      </c>
      <c r="M1712" s="44" t="s">
        <v>2033</v>
      </c>
      <c r="N1712" s="45">
        <v>1982301</v>
      </c>
      <c r="O1712" s="46">
        <f t="shared" si="57"/>
        <v>1982.3009999999999</v>
      </c>
      <c r="P1712" s="47">
        <f>FCCL!E45</f>
        <v>1982.3009999999999</v>
      </c>
      <c r="Q1712" s="44" t="str">
        <f t="shared" si="58"/>
        <v>PASS</v>
      </c>
      <c r="R1712" s="44" t="s">
        <v>1110</v>
      </c>
      <c r="S1712" s="44"/>
    </row>
    <row r="1713" spans="1:19" x14ac:dyDescent="0.3">
      <c r="A1713" s="44" t="s">
        <v>3046</v>
      </c>
      <c r="B1713" s="44" t="s">
        <v>114</v>
      </c>
      <c r="C1713" s="44" t="s">
        <v>27</v>
      </c>
      <c r="D1713" s="44" t="s">
        <v>291</v>
      </c>
      <c r="E1713" s="44" t="s">
        <v>1035</v>
      </c>
      <c r="F1713" s="44" t="s">
        <v>2164</v>
      </c>
      <c r="G1713" s="44" t="s">
        <v>2923</v>
      </c>
      <c r="H1713" s="44" t="s">
        <v>1120</v>
      </c>
      <c r="I1713" s="44" t="s">
        <v>1106</v>
      </c>
      <c r="J1713" s="44">
        <v>190</v>
      </c>
      <c r="K1713" s="44" t="s">
        <v>2055</v>
      </c>
      <c r="L1713" s="44" t="s">
        <v>1643</v>
      </c>
      <c r="M1713" s="44" t="s">
        <v>2033</v>
      </c>
      <c r="N1713" s="45">
        <v>2745849</v>
      </c>
      <c r="O1713" s="46">
        <f t="shared" si="57"/>
        <v>2745.8490000000002</v>
      </c>
      <c r="P1713" s="47">
        <f>FCCL!F45</f>
        <v>2745.8490000000002</v>
      </c>
      <c r="Q1713" s="44" t="str">
        <f t="shared" si="58"/>
        <v>PASS</v>
      </c>
      <c r="R1713" s="44" t="s">
        <v>1110</v>
      </c>
      <c r="S1713" s="44"/>
    </row>
    <row r="1714" spans="1:19" x14ac:dyDescent="0.3">
      <c r="A1714" s="44" t="s">
        <v>3047</v>
      </c>
      <c r="B1714" s="44" t="s">
        <v>114</v>
      </c>
      <c r="C1714" s="44" t="s">
        <v>28</v>
      </c>
      <c r="D1714" s="44" t="s">
        <v>291</v>
      </c>
      <c r="E1714" s="44" t="s">
        <v>1035</v>
      </c>
      <c r="F1714" s="44" t="s">
        <v>2164</v>
      </c>
      <c r="G1714" s="44" t="s">
        <v>2925</v>
      </c>
      <c r="H1714" s="44" t="s">
        <v>1124</v>
      </c>
      <c r="I1714" s="44" t="s">
        <v>1106</v>
      </c>
      <c r="J1714" s="44">
        <v>244</v>
      </c>
      <c r="K1714" s="44" t="s">
        <v>1107</v>
      </c>
      <c r="L1714" s="44" t="s">
        <v>1277</v>
      </c>
      <c r="M1714" s="44" t="s">
        <v>2033</v>
      </c>
      <c r="N1714" s="45">
        <v>2164959</v>
      </c>
      <c r="O1714" s="46">
        <f t="shared" si="57"/>
        <v>2164.9589999999998</v>
      </c>
      <c r="P1714" s="47">
        <f>FCCL!G45</f>
        <v>2164.9589999999998</v>
      </c>
      <c r="Q1714" s="44" t="str">
        <f t="shared" si="58"/>
        <v>PASS</v>
      </c>
      <c r="R1714" s="44" t="s">
        <v>1110</v>
      </c>
      <c r="S1714" s="44"/>
    </row>
    <row r="1715" spans="1:19" x14ac:dyDescent="0.3">
      <c r="A1715" s="44" t="s">
        <v>3048</v>
      </c>
      <c r="B1715" s="44" t="s">
        <v>114</v>
      </c>
      <c r="C1715" s="44" t="s">
        <v>29</v>
      </c>
      <c r="D1715" s="44" t="s">
        <v>291</v>
      </c>
      <c r="E1715" s="44" t="s">
        <v>1035</v>
      </c>
      <c r="F1715" s="44" t="s">
        <v>2164</v>
      </c>
      <c r="G1715" s="44" t="s">
        <v>2925</v>
      </c>
      <c r="H1715" s="44" t="s">
        <v>1124</v>
      </c>
      <c r="I1715" s="44" t="s">
        <v>1127</v>
      </c>
      <c r="J1715" s="44">
        <v>244</v>
      </c>
      <c r="K1715" s="44" t="s">
        <v>1107</v>
      </c>
      <c r="L1715" s="44" t="s">
        <v>1277</v>
      </c>
      <c r="M1715" s="44" t="s">
        <v>2033</v>
      </c>
      <c r="N1715" s="45">
        <v>1647630</v>
      </c>
      <c r="O1715" s="46">
        <f t="shared" si="57"/>
        <v>1647.63</v>
      </c>
      <c r="P1715" s="47">
        <f>FCCL!H45</f>
        <v>1647.63</v>
      </c>
      <c r="Q1715" s="44" t="str">
        <f t="shared" si="58"/>
        <v>PASS</v>
      </c>
      <c r="R1715" s="44" t="s">
        <v>1110</v>
      </c>
      <c r="S1715" s="44"/>
    </row>
    <row r="1716" spans="1:19" x14ac:dyDescent="0.3">
      <c r="A1716" s="44" t="s">
        <v>3049</v>
      </c>
      <c r="B1716" s="44" t="s">
        <v>114</v>
      </c>
      <c r="C1716" s="44" t="s">
        <v>965</v>
      </c>
      <c r="D1716" s="44" t="s">
        <v>293</v>
      </c>
      <c r="E1716" s="44" t="s">
        <v>1035</v>
      </c>
      <c r="F1716" s="44" t="s">
        <v>3050</v>
      </c>
      <c r="G1716" s="44" t="s">
        <v>2916</v>
      </c>
      <c r="H1716" s="44" t="s">
        <v>1105</v>
      </c>
      <c r="I1716" s="44" t="s">
        <v>1106</v>
      </c>
      <c r="J1716" s="44">
        <v>164</v>
      </c>
      <c r="K1716" s="44" t="s">
        <v>2905</v>
      </c>
      <c r="L1716" s="44" t="s">
        <v>1643</v>
      </c>
      <c r="M1716" s="44" t="s">
        <v>2033</v>
      </c>
      <c r="N1716" s="45">
        <v>3643608</v>
      </c>
      <c r="O1716" s="46">
        <f t="shared" si="57"/>
        <v>3643.6080000000002</v>
      </c>
      <c r="P1716" s="47">
        <f>FCCL!C46</f>
        <v>3643.6080000000002</v>
      </c>
      <c r="Q1716" s="44" t="str">
        <f t="shared" si="58"/>
        <v>PASS</v>
      </c>
      <c r="R1716" s="44" t="s">
        <v>1110</v>
      </c>
      <c r="S1716" s="44"/>
    </row>
    <row r="1717" spans="1:19" x14ac:dyDescent="0.3">
      <c r="A1717" s="44" t="s">
        <v>3051</v>
      </c>
      <c r="B1717" s="44" t="s">
        <v>114</v>
      </c>
      <c r="C1717" s="44" t="s">
        <v>20</v>
      </c>
      <c r="D1717" s="44" t="s">
        <v>293</v>
      </c>
      <c r="E1717" s="44" t="s">
        <v>1035</v>
      </c>
      <c r="F1717" s="44" t="s">
        <v>3050</v>
      </c>
      <c r="G1717" s="44" t="s">
        <v>2918</v>
      </c>
      <c r="H1717" s="44" t="s">
        <v>1113</v>
      </c>
      <c r="I1717" s="44" t="s">
        <v>1106</v>
      </c>
      <c r="J1717" s="44">
        <v>186</v>
      </c>
      <c r="K1717" s="44" t="s">
        <v>2051</v>
      </c>
      <c r="L1717" s="44" t="s">
        <v>1294</v>
      </c>
      <c r="M1717" s="44" t="s">
        <v>2033</v>
      </c>
      <c r="N1717" s="45">
        <v>3960489</v>
      </c>
      <c r="O1717" s="46">
        <f t="shared" si="57"/>
        <v>3960.489</v>
      </c>
      <c r="P1717" s="47">
        <f>FCCL!D46</f>
        <v>3960.489</v>
      </c>
      <c r="Q1717" s="44" t="str">
        <f t="shared" si="58"/>
        <v>PASS</v>
      </c>
      <c r="R1717" s="44" t="s">
        <v>1110</v>
      </c>
      <c r="S1717" s="44"/>
    </row>
    <row r="1718" spans="1:19" x14ac:dyDescent="0.3">
      <c r="A1718" s="44" t="s">
        <v>3052</v>
      </c>
      <c r="B1718" s="44" t="s">
        <v>114</v>
      </c>
      <c r="C1718" s="44" t="s">
        <v>26</v>
      </c>
      <c r="D1718" s="44" t="s">
        <v>293</v>
      </c>
      <c r="E1718" s="44" t="s">
        <v>1035</v>
      </c>
      <c r="F1718" s="44" t="s">
        <v>3050</v>
      </c>
      <c r="G1718" s="44" t="s">
        <v>2920</v>
      </c>
      <c r="H1718" s="44" t="s">
        <v>1117</v>
      </c>
      <c r="I1718" s="44" t="s">
        <v>1106</v>
      </c>
      <c r="J1718" s="44">
        <v>208</v>
      </c>
      <c r="K1718" s="44" t="s">
        <v>2392</v>
      </c>
      <c r="L1718" s="44" t="s">
        <v>1277</v>
      </c>
      <c r="M1718" s="44" t="s">
        <v>2033</v>
      </c>
      <c r="N1718" s="45">
        <v>7433214</v>
      </c>
      <c r="O1718" s="46">
        <f t="shared" si="57"/>
        <v>7433.2139999999999</v>
      </c>
      <c r="P1718" s="47">
        <f>FCCL!E46</f>
        <v>7433.2139999999999</v>
      </c>
      <c r="Q1718" s="44" t="str">
        <f t="shared" si="58"/>
        <v>PASS</v>
      </c>
      <c r="R1718" s="44" t="s">
        <v>1110</v>
      </c>
      <c r="S1718" s="44"/>
    </row>
    <row r="1719" spans="1:19" x14ac:dyDescent="0.3">
      <c r="A1719" s="44" t="s">
        <v>3053</v>
      </c>
      <c r="B1719" s="44" t="s">
        <v>114</v>
      </c>
      <c r="C1719" s="44" t="s">
        <v>27</v>
      </c>
      <c r="D1719" s="44" t="s">
        <v>293</v>
      </c>
      <c r="E1719" s="44" t="s">
        <v>1035</v>
      </c>
      <c r="F1719" s="44" t="s">
        <v>3050</v>
      </c>
      <c r="G1719" s="44" t="s">
        <v>2923</v>
      </c>
      <c r="H1719" s="44" t="s">
        <v>1120</v>
      </c>
      <c r="I1719" s="44" t="s">
        <v>1106</v>
      </c>
      <c r="J1719" s="44">
        <v>190</v>
      </c>
      <c r="K1719" s="44" t="s">
        <v>2055</v>
      </c>
      <c r="L1719" s="44" t="s">
        <v>1277</v>
      </c>
      <c r="M1719" s="44" t="s">
        <v>2033</v>
      </c>
      <c r="N1719" s="45">
        <v>10312402</v>
      </c>
      <c r="O1719" s="46">
        <f t="shared" si="57"/>
        <v>10312.402</v>
      </c>
      <c r="P1719" s="47">
        <f>FCCL!F46</f>
        <v>10312.402</v>
      </c>
      <c r="Q1719" s="44" t="str">
        <f t="shared" si="58"/>
        <v>PASS</v>
      </c>
      <c r="R1719" s="44" t="s">
        <v>1110</v>
      </c>
      <c r="S1719" s="44"/>
    </row>
    <row r="1720" spans="1:19" x14ac:dyDescent="0.3">
      <c r="A1720" s="44" t="s">
        <v>3054</v>
      </c>
      <c r="B1720" s="44" t="s">
        <v>114</v>
      </c>
      <c r="C1720" s="44" t="s">
        <v>28</v>
      </c>
      <c r="D1720" s="44" t="s">
        <v>293</v>
      </c>
      <c r="E1720" s="44" t="s">
        <v>1035</v>
      </c>
      <c r="F1720" s="44" t="s">
        <v>3050</v>
      </c>
      <c r="G1720" s="44" t="s">
        <v>2925</v>
      </c>
      <c r="H1720" s="44" t="s">
        <v>1124</v>
      </c>
      <c r="I1720" s="44" t="s">
        <v>1106</v>
      </c>
      <c r="J1720" s="44">
        <v>244</v>
      </c>
      <c r="K1720" s="44" t="s">
        <v>1107</v>
      </c>
      <c r="L1720" s="44" t="s">
        <v>1294</v>
      </c>
      <c r="M1720" s="44" t="s">
        <v>2033</v>
      </c>
      <c r="N1720" s="45">
        <v>14931049</v>
      </c>
      <c r="O1720" s="46">
        <f t="shared" si="57"/>
        <v>14931.049000000001</v>
      </c>
      <c r="P1720" s="47">
        <f>FCCL!G46</f>
        <v>14931.049000000001</v>
      </c>
      <c r="Q1720" s="44" t="str">
        <f t="shared" si="58"/>
        <v>PASS</v>
      </c>
      <c r="R1720" s="44" t="s">
        <v>1110</v>
      </c>
      <c r="S1720" s="44"/>
    </row>
    <row r="1721" spans="1:19" x14ac:dyDescent="0.3">
      <c r="A1721" s="44" t="s">
        <v>3055</v>
      </c>
      <c r="B1721" s="44" t="s">
        <v>114</v>
      </c>
      <c r="C1721" s="44" t="s">
        <v>29</v>
      </c>
      <c r="D1721" s="44" t="s">
        <v>293</v>
      </c>
      <c r="E1721" s="44" t="s">
        <v>1035</v>
      </c>
      <c r="F1721" s="44" t="s">
        <v>3050</v>
      </c>
      <c r="G1721" s="44" t="s">
        <v>2925</v>
      </c>
      <c r="H1721" s="44" t="s">
        <v>1124</v>
      </c>
      <c r="I1721" s="44" t="s">
        <v>1127</v>
      </c>
      <c r="J1721" s="44">
        <v>244</v>
      </c>
      <c r="K1721" s="44" t="s">
        <v>1107</v>
      </c>
      <c r="L1721" s="44" t="s">
        <v>1294</v>
      </c>
      <c r="M1721" s="44" t="s">
        <v>2033</v>
      </c>
      <c r="N1721" s="45">
        <v>19694422</v>
      </c>
      <c r="O1721" s="46">
        <f t="shared" si="57"/>
        <v>19694.421999999999</v>
      </c>
      <c r="P1721" s="47">
        <f>FCCL!H46</f>
        <v>19694.421999999999</v>
      </c>
      <c r="Q1721" s="44" t="str">
        <f t="shared" si="58"/>
        <v>PASS</v>
      </c>
      <c r="R1721" s="44" t="s">
        <v>1110</v>
      </c>
      <c r="S1721" s="44"/>
    </row>
    <row r="1722" spans="1:19" x14ac:dyDescent="0.3">
      <c r="A1722" s="44" t="s">
        <v>3056</v>
      </c>
      <c r="B1722" s="44" t="s">
        <v>114</v>
      </c>
      <c r="C1722" s="44" t="s">
        <v>965</v>
      </c>
      <c r="D1722" s="44" t="s">
        <v>295</v>
      </c>
      <c r="E1722" s="44" t="s">
        <v>1035</v>
      </c>
      <c r="F1722" s="44" t="s">
        <v>3057</v>
      </c>
      <c r="G1722" s="44" t="s">
        <v>2916</v>
      </c>
      <c r="H1722" s="44" t="s">
        <v>1105</v>
      </c>
      <c r="I1722" s="44" t="s">
        <v>1106</v>
      </c>
      <c r="J1722" s="44">
        <v>164</v>
      </c>
      <c r="K1722" s="44" t="s">
        <v>2905</v>
      </c>
      <c r="L1722" s="44" t="s">
        <v>1241</v>
      </c>
      <c r="M1722" s="44" t="s">
        <v>2033</v>
      </c>
      <c r="N1722" s="45">
        <v>72547</v>
      </c>
      <c r="O1722" s="46">
        <f t="shared" si="57"/>
        <v>72.546999999999997</v>
      </c>
      <c r="P1722" s="47">
        <f>FCCL!C47</f>
        <v>72.546999999999997</v>
      </c>
      <c r="Q1722" s="44" t="str">
        <f t="shared" si="58"/>
        <v>PASS</v>
      </c>
      <c r="R1722" s="44" t="s">
        <v>1110</v>
      </c>
      <c r="S1722" s="44"/>
    </row>
    <row r="1723" spans="1:19" x14ac:dyDescent="0.3">
      <c r="A1723" s="44" t="s">
        <v>3058</v>
      </c>
      <c r="B1723" s="44" t="s">
        <v>114</v>
      </c>
      <c r="C1723" s="44" t="s">
        <v>20</v>
      </c>
      <c r="D1723" s="44" t="s">
        <v>295</v>
      </c>
      <c r="E1723" s="44" t="s">
        <v>1035</v>
      </c>
      <c r="F1723" s="44" t="s">
        <v>3057</v>
      </c>
      <c r="G1723" s="44" t="s">
        <v>2918</v>
      </c>
      <c r="H1723" s="44" t="s">
        <v>1113</v>
      </c>
      <c r="I1723" s="44" t="s">
        <v>1106</v>
      </c>
      <c r="J1723" s="44">
        <v>186</v>
      </c>
      <c r="K1723" s="44" t="s">
        <v>2051</v>
      </c>
      <c r="L1723" s="44" t="s">
        <v>1630</v>
      </c>
      <c r="M1723" s="44" t="s">
        <v>2033</v>
      </c>
      <c r="N1723" s="45">
        <v>82380</v>
      </c>
      <c r="O1723" s="46">
        <f t="shared" si="57"/>
        <v>82.38</v>
      </c>
      <c r="P1723" s="47">
        <f>FCCL!D47</f>
        <v>82.38</v>
      </c>
      <c r="Q1723" s="44" t="str">
        <f t="shared" si="58"/>
        <v>PASS</v>
      </c>
      <c r="R1723" s="44" t="s">
        <v>1110</v>
      </c>
      <c r="S1723" s="44"/>
    </row>
    <row r="1724" spans="1:19" x14ac:dyDescent="0.3">
      <c r="A1724" s="44" t="s">
        <v>3059</v>
      </c>
      <c r="B1724" s="44" t="s">
        <v>114</v>
      </c>
      <c r="C1724" s="44" t="s">
        <v>26</v>
      </c>
      <c r="D1724" s="44" t="s">
        <v>295</v>
      </c>
      <c r="E1724" s="44" t="s">
        <v>1035</v>
      </c>
      <c r="F1724" s="44" t="s">
        <v>3057</v>
      </c>
      <c r="G1724" s="44" t="s">
        <v>2920</v>
      </c>
      <c r="H1724" s="44" t="s">
        <v>1117</v>
      </c>
      <c r="I1724" s="44" t="s">
        <v>1106</v>
      </c>
      <c r="J1724" s="44">
        <v>208</v>
      </c>
      <c r="K1724" s="44" t="s">
        <v>2392</v>
      </c>
      <c r="L1724" s="44" t="s">
        <v>1241</v>
      </c>
      <c r="M1724" s="44" t="s">
        <v>2033</v>
      </c>
      <c r="N1724" s="45">
        <v>179291</v>
      </c>
      <c r="O1724" s="46">
        <f t="shared" si="57"/>
        <v>179.291</v>
      </c>
      <c r="P1724" s="47">
        <f>FCCL!E47</f>
        <v>179.291</v>
      </c>
      <c r="Q1724" s="44" t="str">
        <f t="shared" si="58"/>
        <v>PASS</v>
      </c>
      <c r="R1724" s="44" t="s">
        <v>1110</v>
      </c>
      <c r="S1724" s="44"/>
    </row>
    <row r="1725" spans="1:19" x14ac:dyDescent="0.3">
      <c r="A1725" s="44" t="s">
        <v>3060</v>
      </c>
      <c r="B1725" s="44" t="s">
        <v>114</v>
      </c>
      <c r="C1725" s="44" t="s">
        <v>27</v>
      </c>
      <c r="D1725" s="44" t="s">
        <v>295</v>
      </c>
      <c r="E1725" s="44" t="s">
        <v>1035</v>
      </c>
      <c r="F1725" s="44" t="s">
        <v>3057</v>
      </c>
      <c r="G1725" s="44" t="s">
        <v>2923</v>
      </c>
      <c r="H1725" s="44" t="s">
        <v>1120</v>
      </c>
      <c r="I1725" s="44" t="s">
        <v>1106</v>
      </c>
      <c r="J1725" s="44">
        <v>190</v>
      </c>
      <c r="K1725" s="44" t="s">
        <v>2055</v>
      </c>
      <c r="L1725" s="44" t="s">
        <v>1241</v>
      </c>
      <c r="M1725" s="44" t="s">
        <v>2033</v>
      </c>
      <c r="N1725" s="45">
        <v>211595</v>
      </c>
      <c r="O1725" s="46">
        <f t="shared" si="57"/>
        <v>211.595</v>
      </c>
      <c r="P1725" s="47">
        <f>FCCL!F47</f>
        <v>211.595</v>
      </c>
      <c r="Q1725" s="44" t="str">
        <f t="shared" si="58"/>
        <v>PASS</v>
      </c>
      <c r="R1725" s="44" t="s">
        <v>1110</v>
      </c>
      <c r="S1725" s="44"/>
    </row>
    <row r="1726" spans="1:19" x14ac:dyDescent="0.3">
      <c r="A1726" s="44" t="s">
        <v>3061</v>
      </c>
      <c r="B1726" s="44" t="s">
        <v>114</v>
      </c>
      <c r="C1726" s="44" t="s">
        <v>28</v>
      </c>
      <c r="D1726" s="44" t="s">
        <v>295</v>
      </c>
      <c r="E1726" s="44" t="s">
        <v>1035</v>
      </c>
      <c r="F1726" s="44" t="s">
        <v>3057</v>
      </c>
      <c r="G1726" s="44" t="s">
        <v>2925</v>
      </c>
      <c r="H1726" s="44" t="s">
        <v>1124</v>
      </c>
      <c r="I1726" s="44" t="s">
        <v>1106</v>
      </c>
      <c r="J1726" s="44">
        <v>244</v>
      </c>
      <c r="K1726" s="44" t="s">
        <v>1107</v>
      </c>
      <c r="L1726" s="44" t="s">
        <v>1630</v>
      </c>
      <c r="M1726" s="44" t="s">
        <v>2033</v>
      </c>
      <c r="N1726" s="45">
        <v>250230</v>
      </c>
      <c r="O1726" s="46">
        <f t="shared" si="57"/>
        <v>250.23</v>
      </c>
      <c r="P1726" s="47">
        <f>FCCL!G47</f>
        <v>250.23</v>
      </c>
      <c r="Q1726" s="44" t="str">
        <f t="shared" si="58"/>
        <v>PASS</v>
      </c>
      <c r="R1726" s="44" t="s">
        <v>1110</v>
      </c>
      <c r="S1726" s="44"/>
    </row>
    <row r="1727" spans="1:19" x14ac:dyDescent="0.3">
      <c r="A1727" s="44" t="s">
        <v>3062</v>
      </c>
      <c r="B1727" s="44" t="s">
        <v>114</v>
      </c>
      <c r="C1727" s="44" t="s">
        <v>29</v>
      </c>
      <c r="D1727" s="44" t="s">
        <v>295</v>
      </c>
      <c r="E1727" s="44" t="s">
        <v>1035</v>
      </c>
      <c r="F1727" s="44" t="s">
        <v>3057</v>
      </c>
      <c r="G1727" s="44" t="s">
        <v>2925</v>
      </c>
      <c r="H1727" s="44" t="s">
        <v>1124</v>
      </c>
      <c r="I1727" s="44" t="s">
        <v>1127</v>
      </c>
      <c r="J1727" s="44">
        <v>244</v>
      </c>
      <c r="K1727" s="44" t="s">
        <v>1107</v>
      </c>
      <c r="L1727" s="44" t="s">
        <v>1630</v>
      </c>
      <c r="M1727" s="44" t="s">
        <v>2033</v>
      </c>
      <c r="N1727" s="45">
        <v>283590</v>
      </c>
      <c r="O1727" s="46">
        <f t="shared" si="57"/>
        <v>283.58999999999997</v>
      </c>
      <c r="P1727" s="47">
        <f>FCCL!H47</f>
        <v>283.58999999999997</v>
      </c>
      <c r="Q1727" s="44" t="str">
        <f t="shared" si="58"/>
        <v>PASS</v>
      </c>
      <c r="R1727" s="44" t="s">
        <v>1110</v>
      </c>
      <c r="S1727" s="44"/>
    </row>
    <row r="1728" spans="1:19" x14ac:dyDescent="0.3">
      <c r="A1728" s="44" t="s">
        <v>3063</v>
      </c>
      <c r="B1728" s="44" t="s">
        <v>114</v>
      </c>
      <c r="C1728" s="44" t="s">
        <v>965</v>
      </c>
      <c r="D1728" s="44" t="s">
        <v>300</v>
      </c>
      <c r="E1728" s="44" t="s">
        <v>1035</v>
      </c>
      <c r="F1728" s="44" t="s">
        <v>300</v>
      </c>
      <c r="G1728" s="44" t="s">
        <v>2916</v>
      </c>
      <c r="H1728" s="44" t="s">
        <v>1105</v>
      </c>
      <c r="I1728" s="44" t="s">
        <v>1106</v>
      </c>
      <c r="J1728" s="44">
        <v>164</v>
      </c>
      <c r="K1728" s="44" t="s">
        <v>2905</v>
      </c>
      <c r="L1728" s="44" t="s">
        <v>1277</v>
      </c>
      <c r="M1728" s="44" t="s">
        <v>2033</v>
      </c>
      <c r="N1728" s="45">
        <v>1163246</v>
      </c>
      <c r="O1728" s="46">
        <f t="shared" si="57"/>
        <v>1163.2460000000001</v>
      </c>
      <c r="P1728" s="47">
        <f>FCCL!C50</f>
        <v>1163.2460000000001</v>
      </c>
      <c r="Q1728" s="44" t="str">
        <f t="shared" si="58"/>
        <v>PASS</v>
      </c>
      <c r="R1728" s="44" t="s">
        <v>1110</v>
      </c>
      <c r="S1728" s="44"/>
    </row>
    <row r="1729" spans="1:19" x14ac:dyDescent="0.3">
      <c r="A1729" s="44" t="s">
        <v>3064</v>
      </c>
      <c r="B1729" s="44" t="s">
        <v>114</v>
      </c>
      <c r="C1729" s="44" t="s">
        <v>20</v>
      </c>
      <c r="D1729" s="44" t="s">
        <v>300</v>
      </c>
      <c r="E1729" s="44" t="s">
        <v>1035</v>
      </c>
      <c r="F1729" s="44" t="s">
        <v>300</v>
      </c>
      <c r="G1729" s="44" t="s">
        <v>2918</v>
      </c>
      <c r="H1729" s="44" t="s">
        <v>1113</v>
      </c>
      <c r="I1729" s="44" t="s">
        <v>1106</v>
      </c>
      <c r="J1729" s="44">
        <v>186</v>
      </c>
      <c r="K1729" s="44" t="s">
        <v>2051</v>
      </c>
      <c r="L1729" s="44" t="s">
        <v>1306</v>
      </c>
      <c r="M1729" s="44" t="s">
        <v>2033</v>
      </c>
      <c r="N1729" s="45">
        <v>1822642</v>
      </c>
      <c r="O1729" s="46">
        <f t="shared" si="57"/>
        <v>1822.6420000000001</v>
      </c>
      <c r="P1729" s="47">
        <f>FCCL!D50</f>
        <v>1822.6420000000001</v>
      </c>
      <c r="Q1729" s="44" t="str">
        <f t="shared" si="58"/>
        <v>PASS</v>
      </c>
      <c r="R1729" s="44" t="s">
        <v>1110</v>
      </c>
      <c r="S1729" s="44"/>
    </row>
    <row r="1730" spans="1:19" x14ac:dyDescent="0.3">
      <c r="A1730" s="44" t="s">
        <v>3065</v>
      </c>
      <c r="B1730" s="44" t="s">
        <v>114</v>
      </c>
      <c r="C1730" s="44" t="s">
        <v>26</v>
      </c>
      <c r="D1730" s="44" t="s">
        <v>300</v>
      </c>
      <c r="E1730" s="44" t="s">
        <v>1035</v>
      </c>
      <c r="F1730" s="44" t="s">
        <v>300</v>
      </c>
      <c r="G1730" s="44" t="s">
        <v>2920</v>
      </c>
      <c r="H1730" s="44" t="s">
        <v>1117</v>
      </c>
      <c r="I1730" s="44" t="s">
        <v>1106</v>
      </c>
      <c r="J1730" s="44">
        <v>208</v>
      </c>
      <c r="K1730" s="44" t="s">
        <v>2392</v>
      </c>
      <c r="L1730" s="44" t="s">
        <v>1315</v>
      </c>
      <c r="M1730" s="44" t="s">
        <v>2033</v>
      </c>
      <c r="N1730" s="45">
        <v>6917149</v>
      </c>
      <c r="O1730" s="46">
        <f t="shared" si="57"/>
        <v>6917.1490000000003</v>
      </c>
      <c r="P1730" s="47">
        <f>FCCL!E50</f>
        <v>6917.1490000000003</v>
      </c>
      <c r="Q1730" s="44" t="str">
        <f t="shared" si="58"/>
        <v>PASS</v>
      </c>
      <c r="R1730" s="44" t="s">
        <v>1110</v>
      </c>
      <c r="S1730" s="44"/>
    </row>
    <row r="1731" spans="1:19" x14ac:dyDescent="0.3">
      <c r="A1731" s="44" t="s">
        <v>3066</v>
      </c>
      <c r="B1731" s="44" t="s">
        <v>114</v>
      </c>
      <c r="C1731" s="44" t="s">
        <v>27</v>
      </c>
      <c r="D1731" s="44" t="s">
        <v>300</v>
      </c>
      <c r="E1731" s="44" t="s">
        <v>1035</v>
      </c>
      <c r="F1731" s="44" t="s">
        <v>300</v>
      </c>
      <c r="G1731" s="44" t="s">
        <v>2923</v>
      </c>
      <c r="H1731" s="44" t="s">
        <v>1120</v>
      </c>
      <c r="I1731" s="44" t="s">
        <v>1106</v>
      </c>
      <c r="J1731" s="44">
        <v>190</v>
      </c>
      <c r="K1731" s="44" t="s">
        <v>2055</v>
      </c>
      <c r="L1731" s="44" t="s">
        <v>1315</v>
      </c>
      <c r="M1731" s="44" t="s">
        <v>2033</v>
      </c>
      <c r="N1731" s="45">
        <v>6516462</v>
      </c>
      <c r="O1731" s="46">
        <f t="shared" si="57"/>
        <v>6516.4620000000004</v>
      </c>
      <c r="P1731" s="47">
        <f>FCCL!F50</f>
        <v>6516.4620000000004</v>
      </c>
      <c r="Q1731" s="44" t="str">
        <f t="shared" si="58"/>
        <v>PASS</v>
      </c>
      <c r="R1731" s="44" t="s">
        <v>1110</v>
      </c>
      <c r="S1731" s="44"/>
    </row>
    <row r="1732" spans="1:19" x14ac:dyDescent="0.3">
      <c r="A1732" s="44" t="s">
        <v>3067</v>
      </c>
      <c r="B1732" s="44" t="s">
        <v>114</v>
      </c>
      <c r="C1732" s="44" t="s">
        <v>28</v>
      </c>
      <c r="D1732" s="44" t="s">
        <v>300</v>
      </c>
      <c r="E1732" s="44" t="s">
        <v>1035</v>
      </c>
      <c r="F1732" s="44" t="s">
        <v>300</v>
      </c>
      <c r="G1732" s="44" t="s">
        <v>2925</v>
      </c>
      <c r="H1732" s="44" t="s">
        <v>1124</v>
      </c>
      <c r="I1732" s="44" t="s">
        <v>1106</v>
      </c>
      <c r="J1732" s="44">
        <v>244</v>
      </c>
      <c r="K1732" s="44" t="s">
        <v>1107</v>
      </c>
      <c r="L1732" s="44" t="s">
        <v>1306</v>
      </c>
      <c r="M1732" s="44" t="s">
        <v>2033</v>
      </c>
      <c r="N1732" s="45">
        <v>6108790</v>
      </c>
      <c r="O1732" s="46">
        <f t="shared" si="57"/>
        <v>6108.79</v>
      </c>
      <c r="P1732" s="47">
        <f>FCCL!G50</f>
        <v>6108.79</v>
      </c>
      <c r="Q1732" s="44" t="str">
        <f t="shared" si="58"/>
        <v>PASS</v>
      </c>
      <c r="R1732" s="44" t="s">
        <v>1110</v>
      </c>
      <c r="S1732" s="44" t="s">
        <v>1114</v>
      </c>
    </row>
    <row r="1733" spans="1:19" x14ac:dyDescent="0.3">
      <c r="A1733" s="44" t="s">
        <v>3068</v>
      </c>
      <c r="B1733" s="44" t="s">
        <v>114</v>
      </c>
      <c r="C1733" s="44" t="s">
        <v>29</v>
      </c>
      <c r="D1733" s="44" t="s">
        <v>300</v>
      </c>
      <c r="E1733" s="44" t="s">
        <v>1035</v>
      </c>
      <c r="F1733" s="44" t="s">
        <v>300</v>
      </c>
      <c r="G1733" s="44" t="s">
        <v>2925</v>
      </c>
      <c r="H1733" s="44" t="s">
        <v>1124</v>
      </c>
      <c r="I1733" s="44" t="s">
        <v>1127</v>
      </c>
      <c r="J1733" s="44">
        <v>244</v>
      </c>
      <c r="K1733" s="44" t="s">
        <v>1107</v>
      </c>
      <c r="L1733" s="44" t="s">
        <v>1306</v>
      </c>
      <c r="M1733" s="44" t="s">
        <v>2033</v>
      </c>
      <c r="N1733" s="45">
        <v>3934508</v>
      </c>
      <c r="O1733" s="46">
        <f t="shared" si="57"/>
        <v>3934.5079999999998</v>
      </c>
      <c r="P1733" s="47">
        <f>FCCL!H50</f>
        <v>3934.5079999999998</v>
      </c>
      <c r="Q1733" s="44" t="str">
        <f t="shared" si="58"/>
        <v>PASS</v>
      </c>
      <c r="R1733" s="44" t="s">
        <v>1110</v>
      </c>
      <c r="S1733" s="44"/>
    </row>
    <row r="1734" spans="1:19" x14ac:dyDescent="0.3">
      <c r="A1734" s="44" t="s">
        <v>3069</v>
      </c>
      <c r="B1734" s="44" t="s">
        <v>114</v>
      </c>
      <c r="C1734" s="44" t="s">
        <v>965</v>
      </c>
      <c r="D1734" s="44" t="s">
        <v>1284</v>
      </c>
      <c r="E1734" s="44" t="s">
        <v>1130</v>
      </c>
      <c r="F1734" s="44" t="s">
        <v>1745</v>
      </c>
      <c r="G1734" s="44" t="s">
        <v>2916</v>
      </c>
      <c r="H1734" s="44" t="s">
        <v>1105</v>
      </c>
      <c r="I1734" s="44" t="s">
        <v>1106</v>
      </c>
      <c r="J1734" s="44">
        <v>189</v>
      </c>
      <c r="K1734" s="44" t="s">
        <v>3070</v>
      </c>
      <c r="L1734" s="44"/>
      <c r="M1734" s="44" t="s">
        <v>2033</v>
      </c>
      <c r="N1734" s="45">
        <v>354586</v>
      </c>
      <c r="O1734" s="46">
        <f t="shared" si="57"/>
        <v>354.58600000000001</v>
      </c>
      <c r="P1734" s="47">
        <f>FCCL!C51</f>
        <v>354.58600000000001</v>
      </c>
      <c r="Q1734" s="44" t="str">
        <f t="shared" si="58"/>
        <v>PASS</v>
      </c>
      <c r="R1734" s="44" t="s">
        <v>1110</v>
      </c>
      <c r="S1734" s="44"/>
    </row>
    <row r="1735" spans="1:19" x14ac:dyDescent="0.3">
      <c r="A1735" s="44" t="s">
        <v>3071</v>
      </c>
      <c r="B1735" s="44" t="s">
        <v>114</v>
      </c>
      <c r="C1735" s="44" t="s">
        <v>20</v>
      </c>
      <c r="D1735" s="44" t="s">
        <v>1284</v>
      </c>
      <c r="E1735" s="44" t="s">
        <v>1130</v>
      </c>
      <c r="F1735" s="44" t="s">
        <v>1745</v>
      </c>
      <c r="G1735" s="44" t="s">
        <v>2918</v>
      </c>
      <c r="H1735" s="44" t="s">
        <v>1113</v>
      </c>
      <c r="I1735" s="44" t="s">
        <v>1106</v>
      </c>
      <c r="J1735" s="44">
        <v>215</v>
      </c>
      <c r="K1735" s="44" t="s">
        <v>3072</v>
      </c>
      <c r="L1735" s="44"/>
      <c r="M1735" s="44" t="s">
        <v>2033</v>
      </c>
      <c r="N1735" s="45">
        <v>863038</v>
      </c>
      <c r="O1735" s="46">
        <f t="shared" si="57"/>
        <v>863.03800000000001</v>
      </c>
      <c r="P1735" s="47">
        <f>FCCL!D51</f>
        <v>863.03800000000001</v>
      </c>
      <c r="Q1735" s="44" t="str">
        <f t="shared" si="58"/>
        <v>PASS</v>
      </c>
      <c r="R1735" s="44" t="s">
        <v>1110</v>
      </c>
      <c r="S1735" s="44"/>
    </row>
    <row r="1736" spans="1:19" x14ac:dyDescent="0.3">
      <c r="A1736" s="44" t="s">
        <v>3073</v>
      </c>
      <c r="B1736" s="44" t="s">
        <v>114</v>
      </c>
      <c r="C1736" s="44" t="s">
        <v>26</v>
      </c>
      <c r="D1736" s="44" t="s">
        <v>1284</v>
      </c>
      <c r="E1736" s="44" t="s">
        <v>1130</v>
      </c>
      <c r="F1736" s="44" t="s">
        <v>1745</v>
      </c>
      <c r="G1736" s="44" t="s">
        <v>2920</v>
      </c>
      <c r="H1736" s="44" t="s">
        <v>1117</v>
      </c>
      <c r="I1736" s="44" t="s">
        <v>1106</v>
      </c>
      <c r="J1736" s="44">
        <v>234</v>
      </c>
      <c r="K1736" s="44" t="s">
        <v>1593</v>
      </c>
      <c r="L1736" s="44"/>
      <c r="M1736" s="44" t="s">
        <v>2033</v>
      </c>
      <c r="N1736" s="45">
        <v>2683210</v>
      </c>
      <c r="O1736" s="46">
        <f t="shared" ref="O1736:O1799" si="59">N1736/1000</f>
        <v>2683.21</v>
      </c>
      <c r="P1736" s="47">
        <f>FCCL!E51</f>
        <v>2683.21</v>
      </c>
      <c r="Q1736" s="44" t="str">
        <f t="shared" si="58"/>
        <v>PASS</v>
      </c>
      <c r="R1736" s="44" t="s">
        <v>1110</v>
      </c>
      <c r="S1736" s="44"/>
    </row>
    <row r="1737" spans="1:19" x14ac:dyDescent="0.3">
      <c r="A1737" s="44" t="s">
        <v>3074</v>
      </c>
      <c r="B1737" s="44" t="s">
        <v>114</v>
      </c>
      <c r="C1737" s="44" t="s">
        <v>27</v>
      </c>
      <c r="D1737" s="44" t="s">
        <v>1284</v>
      </c>
      <c r="E1737" s="44" t="s">
        <v>1130</v>
      </c>
      <c r="F1737" s="44" t="s">
        <v>1745</v>
      </c>
      <c r="G1737" s="44" t="s">
        <v>2923</v>
      </c>
      <c r="H1737" s="44" t="s">
        <v>1120</v>
      </c>
      <c r="I1737" s="44" t="s">
        <v>1106</v>
      </c>
      <c r="J1737" s="44">
        <v>214</v>
      </c>
      <c r="K1737" s="44" t="s">
        <v>3075</v>
      </c>
      <c r="L1737" s="44"/>
      <c r="M1737" s="44" t="s">
        <v>2033</v>
      </c>
      <c r="N1737" s="45">
        <v>2623342</v>
      </c>
      <c r="O1737" s="46">
        <f t="shared" si="59"/>
        <v>2623.3420000000001</v>
      </c>
      <c r="P1737" s="47">
        <f>FCCL!F51</f>
        <v>2623.3420000000001</v>
      </c>
      <c r="Q1737" s="44" t="str">
        <f t="shared" si="58"/>
        <v>PASS</v>
      </c>
      <c r="R1737" s="44" t="s">
        <v>1110</v>
      </c>
      <c r="S1737" s="44"/>
    </row>
    <row r="1738" spans="1:19" x14ac:dyDescent="0.3">
      <c r="A1738" s="44" t="s">
        <v>3076</v>
      </c>
      <c r="B1738" s="44" t="s">
        <v>114</v>
      </c>
      <c r="C1738" s="44" t="s">
        <v>28</v>
      </c>
      <c r="D1738" s="44" t="s">
        <v>1284</v>
      </c>
      <c r="E1738" s="44" t="s">
        <v>1130</v>
      </c>
      <c r="F1738" s="44" t="s">
        <v>1745</v>
      </c>
      <c r="G1738" s="44" t="s">
        <v>2925</v>
      </c>
      <c r="H1738" s="44" t="s">
        <v>1124</v>
      </c>
      <c r="I1738" s="44" t="s">
        <v>1106</v>
      </c>
      <c r="J1738" s="44">
        <v>268</v>
      </c>
      <c r="K1738" s="44" t="s">
        <v>1107</v>
      </c>
      <c r="L1738" s="44"/>
      <c r="M1738" s="44" t="s">
        <v>2033</v>
      </c>
      <c r="N1738" s="45">
        <v>2726664</v>
      </c>
      <c r="O1738" s="46">
        <f t="shared" si="59"/>
        <v>2726.6640000000002</v>
      </c>
      <c r="P1738" s="47">
        <f>FCCL!G51</f>
        <v>2726.6640000000002</v>
      </c>
      <c r="Q1738" s="44" t="str">
        <f t="shared" si="58"/>
        <v>PASS</v>
      </c>
      <c r="R1738" s="44" t="s">
        <v>1110</v>
      </c>
      <c r="S1738" s="44"/>
    </row>
    <row r="1739" spans="1:19" x14ac:dyDescent="0.3">
      <c r="A1739" s="44" t="s">
        <v>3077</v>
      </c>
      <c r="B1739" s="44" t="s">
        <v>114</v>
      </c>
      <c r="C1739" s="44" t="s">
        <v>29</v>
      </c>
      <c r="D1739" s="44" t="s">
        <v>1284</v>
      </c>
      <c r="E1739" s="44" t="s">
        <v>1130</v>
      </c>
      <c r="F1739" s="44" t="s">
        <v>1745</v>
      </c>
      <c r="G1739" s="44" t="s">
        <v>2925</v>
      </c>
      <c r="H1739" s="44" t="s">
        <v>1124</v>
      </c>
      <c r="I1739" s="44" t="s">
        <v>1127</v>
      </c>
      <c r="J1739" s="44">
        <v>268</v>
      </c>
      <c r="K1739" s="44" t="s">
        <v>1107</v>
      </c>
      <c r="L1739" s="44"/>
      <c r="M1739" s="44" t="s">
        <v>2033</v>
      </c>
      <c r="N1739" s="45">
        <v>2034141</v>
      </c>
      <c r="O1739" s="46">
        <f t="shared" si="59"/>
        <v>2034.1410000000001</v>
      </c>
      <c r="P1739" s="47">
        <f>FCCL!H51</f>
        <v>2034.1410000000001</v>
      </c>
      <c r="Q1739" s="44" t="str">
        <f t="shared" si="58"/>
        <v>PASS</v>
      </c>
      <c r="R1739" s="44" t="s">
        <v>1110</v>
      </c>
      <c r="S1739" s="44"/>
    </row>
    <row r="1740" spans="1:19" x14ac:dyDescent="0.3">
      <c r="A1740" s="44" t="s">
        <v>3078</v>
      </c>
      <c r="B1740" s="44" t="s">
        <v>114</v>
      </c>
      <c r="C1740" s="44" t="s">
        <v>965</v>
      </c>
      <c r="D1740" s="44" t="s">
        <v>304</v>
      </c>
      <c r="E1740" s="44" t="s">
        <v>1035</v>
      </c>
      <c r="F1740" s="44" t="s">
        <v>3079</v>
      </c>
      <c r="G1740" s="44" t="s">
        <v>2916</v>
      </c>
      <c r="H1740" s="44" t="s">
        <v>1105</v>
      </c>
      <c r="I1740" s="44" t="s">
        <v>1106</v>
      </c>
      <c r="J1740" s="44">
        <v>164</v>
      </c>
      <c r="K1740" s="44" t="s">
        <v>2905</v>
      </c>
      <c r="L1740" s="44" t="s">
        <v>1315</v>
      </c>
      <c r="M1740" s="44" t="s">
        <v>2033</v>
      </c>
      <c r="N1740" s="45">
        <v>367952</v>
      </c>
      <c r="O1740" s="46">
        <f t="shared" si="59"/>
        <v>367.952</v>
      </c>
      <c r="P1740" s="47">
        <f>FCCL!C52</f>
        <v>367.952</v>
      </c>
      <c r="Q1740" s="44" t="str">
        <f t="shared" si="58"/>
        <v>PASS</v>
      </c>
      <c r="R1740" s="44" t="s">
        <v>1110</v>
      </c>
      <c r="S1740" s="44"/>
    </row>
    <row r="1741" spans="1:19" x14ac:dyDescent="0.3">
      <c r="A1741" s="44" t="s">
        <v>3080</v>
      </c>
      <c r="B1741" s="44" t="s">
        <v>114</v>
      </c>
      <c r="C1741" s="44" t="s">
        <v>20</v>
      </c>
      <c r="D1741" s="44" t="s">
        <v>304</v>
      </c>
      <c r="E1741" s="44" t="s">
        <v>1035</v>
      </c>
      <c r="F1741" s="44" t="s">
        <v>3079</v>
      </c>
      <c r="G1741" s="44" t="s">
        <v>2918</v>
      </c>
      <c r="H1741" s="44" t="s">
        <v>1113</v>
      </c>
      <c r="I1741" s="44" t="s">
        <v>1106</v>
      </c>
      <c r="J1741" s="44">
        <v>186</v>
      </c>
      <c r="K1741" s="44" t="s">
        <v>2051</v>
      </c>
      <c r="L1741" s="44" t="s">
        <v>1121</v>
      </c>
      <c r="M1741" s="44" t="s">
        <v>2033</v>
      </c>
      <c r="N1741" s="45">
        <v>435097</v>
      </c>
      <c r="O1741" s="46">
        <f t="shared" si="59"/>
        <v>435.09699999999998</v>
      </c>
      <c r="P1741" s="47">
        <f>FCCL!D52</f>
        <v>435.09699999999998</v>
      </c>
      <c r="Q1741" s="44" t="str">
        <f t="shared" si="58"/>
        <v>PASS</v>
      </c>
      <c r="R1741" s="44" t="s">
        <v>1110</v>
      </c>
      <c r="S1741" s="44"/>
    </row>
    <row r="1742" spans="1:19" x14ac:dyDescent="0.3">
      <c r="A1742" s="44" t="s">
        <v>3081</v>
      </c>
      <c r="B1742" s="44" t="s">
        <v>114</v>
      </c>
      <c r="C1742" s="44" t="s">
        <v>26</v>
      </c>
      <c r="D1742" s="44" t="s">
        <v>304</v>
      </c>
      <c r="E1742" s="44" t="s">
        <v>1035</v>
      </c>
      <c r="F1742" s="44" t="s">
        <v>3079</v>
      </c>
      <c r="G1742" s="44" t="s">
        <v>2920</v>
      </c>
      <c r="H1742" s="44" t="s">
        <v>1117</v>
      </c>
      <c r="I1742" s="44" t="s">
        <v>1106</v>
      </c>
      <c r="J1742" s="44">
        <v>208</v>
      </c>
      <c r="K1742" s="44" t="s">
        <v>2392</v>
      </c>
      <c r="L1742" s="44" t="s">
        <v>1125</v>
      </c>
      <c r="M1742" s="44" t="s">
        <v>2033</v>
      </c>
      <c r="N1742" s="45">
        <v>862309</v>
      </c>
      <c r="O1742" s="46">
        <f t="shared" si="59"/>
        <v>862.30899999999997</v>
      </c>
      <c r="P1742" s="47">
        <f>FCCL!E52</f>
        <v>862.30899999999997</v>
      </c>
      <c r="Q1742" s="44" t="str">
        <f t="shared" si="58"/>
        <v>PASS</v>
      </c>
      <c r="R1742" s="44" t="s">
        <v>1110</v>
      </c>
      <c r="S1742" s="44"/>
    </row>
    <row r="1743" spans="1:19" x14ac:dyDescent="0.3">
      <c r="A1743" s="44" t="s">
        <v>3082</v>
      </c>
      <c r="B1743" s="44" t="s">
        <v>114</v>
      </c>
      <c r="C1743" s="44" t="s">
        <v>27</v>
      </c>
      <c r="D1743" s="44" t="s">
        <v>304</v>
      </c>
      <c r="E1743" s="44" t="s">
        <v>1035</v>
      </c>
      <c r="F1743" s="44" t="s">
        <v>3079</v>
      </c>
      <c r="G1743" s="44" t="s">
        <v>2923</v>
      </c>
      <c r="H1743" s="44" t="s">
        <v>1120</v>
      </c>
      <c r="I1743" s="44" t="s">
        <v>1106</v>
      </c>
      <c r="J1743" s="44">
        <v>190</v>
      </c>
      <c r="K1743" s="44" t="s">
        <v>2055</v>
      </c>
      <c r="L1743" s="44" t="s">
        <v>1125</v>
      </c>
      <c r="M1743" s="44" t="s">
        <v>2033</v>
      </c>
      <c r="N1743" s="45">
        <v>584809</v>
      </c>
      <c r="O1743" s="46">
        <f t="shared" si="59"/>
        <v>584.80899999999997</v>
      </c>
      <c r="P1743" s="47">
        <f>FCCL!F52</f>
        <v>584.80899999999997</v>
      </c>
      <c r="Q1743" s="44" t="str">
        <f t="shared" si="58"/>
        <v>PASS</v>
      </c>
      <c r="R1743" s="44" t="s">
        <v>1110</v>
      </c>
      <c r="S1743" s="44"/>
    </row>
    <row r="1744" spans="1:19" x14ac:dyDescent="0.3">
      <c r="A1744" s="44" t="s">
        <v>3083</v>
      </c>
      <c r="B1744" s="44" t="s">
        <v>114</v>
      </c>
      <c r="C1744" s="44" t="s">
        <v>28</v>
      </c>
      <c r="D1744" s="44" t="s">
        <v>304</v>
      </c>
      <c r="E1744" s="44" t="s">
        <v>1035</v>
      </c>
      <c r="F1744" s="44" t="s">
        <v>3079</v>
      </c>
      <c r="G1744" s="44" t="s">
        <v>2925</v>
      </c>
      <c r="H1744" s="44" t="s">
        <v>1124</v>
      </c>
      <c r="I1744" s="44" t="s">
        <v>1106</v>
      </c>
      <c r="J1744" s="44">
        <v>244</v>
      </c>
      <c r="K1744" s="44" t="s">
        <v>1107</v>
      </c>
      <c r="L1744" s="44"/>
      <c r="M1744" s="44" t="s">
        <v>2033</v>
      </c>
      <c r="N1744" s="45">
        <v>432704</v>
      </c>
      <c r="O1744" s="46">
        <f t="shared" si="59"/>
        <v>432.70400000000001</v>
      </c>
      <c r="P1744" s="47">
        <f>FCCL!G52</f>
        <v>432.70400000000001</v>
      </c>
      <c r="Q1744" s="44" t="str">
        <f t="shared" si="58"/>
        <v>PASS</v>
      </c>
      <c r="R1744" s="44" t="s">
        <v>1110</v>
      </c>
      <c r="S1744" s="44"/>
    </row>
    <row r="1745" spans="1:19" x14ac:dyDescent="0.3">
      <c r="A1745" s="44" t="s">
        <v>3084</v>
      </c>
      <c r="B1745" s="44" t="s">
        <v>114</v>
      </c>
      <c r="C1745" s="44" t="s">
        <v>29</v>
      </c>
      <c r="D1745" s="44" t="s">
        <v>304</v>
      </c>
      <c r="E1745" s="44" t="s">
        <v>1035</v>
      </c>
      <c r="F1745" s="44" t="s">
        <v>3079</v>
      </c>
      <c r="G1745" s="44" t="s">
        <v>2925</v>
      </c>
      <c r="H1745" s="44" t="s">
        <v>1124</v>
      </c>
      <c r="I1745" s="44" t="s">
        <v>1127</v>
      </c>
      <c r="J1745" s="44">
        <v>244</v>
      </c>
      <c r="K1745" s="44" t="s">
        <v>1107</v>
      </c>
      <c r="L1745" s="44"/>
      <c r="M1745" s="44" t="s">
        <v>2033</v>
      </c>
      <c r="N1745" s="45">
        <v>588076</v>
      </c>
      <c r="O1745" s="46">
        <f t="shared" si="59"/>
        <v>588.07600000000002</v>
      </c>
      <c r="P1745" s="47">
        <f>FCCL!H52</f>
        <v>588.07600000000002</v>
      </c>
      <c r="Q1745" s="44" t="str">
        <f t="shared" si="58"/>
        <v>PASS</v>
      </c>
      <c r="R1745" s="44" t="s">
        <v>1110</v>
      </c>
      <c r="S1745" s="44"/>
    </row>
    <row r="1746" spans="1:19" x14ac:dyDescent="0.3">
      <c r="A1746" s="44" t="s">
        <v>3085</v>
      </c>
      <c r="B1746" s="44" t="s">
        <v>114</v>
      </c>
      <c r="C1746" s="44" t="s">
        <v>965</v>
      </c>
      <c r="D1746" s="44" t="s">
        <v>306</v>
      </c>
      <c r="E1746" s="44" t="s">
        <v>1035</v>
      </c>
      <c r="F1746" s="44"/>
      <c r="G1746" s="44" t="s">
        <v>2916</v>
      </c>
      <c r="H1746" s="44" t="s">
        <v>1105</v>
      </c>
      <c r="I1746" s="44" t="s">
        <v>1106</v>
      </c>
      <c r="J1746" s="44">
        <v>164</v>
      </c>
      <c r="K1746" s="44" t="s">
        <v>2905</v>
      </c>
      <c r="L1746" s="44"/>
      <c r="M1746" s="44" t="s">
        <v>2033</v>
      </c>
      <c r="N1746" s="45">
        <v>0</v>
      </c>
      <c r="O1746" s="46">
        <f t="shared" si="59"/>
        <v>0</v>
      </c>
      <c r="P1746" s="47">
        <f>FCCL!C53</f>
        <v>0</v>
      </c>
      <c r="Q1746" s="44" t="str">
        <f t="shared" si="58"/>
        <v>PASS</v>
      </c>
      <c r="R1746" s="44" t="s">
        <v>1110</v>
      </c>
      <c r="S1746" s="44"/>
    </row>
    <row r="1747" spans="1:19" x14ac:dyDescent="0.3">
      <c r="A1747" s="44" t="s">
        <v>3086</v>
      </c>
      <c r="B1747" s="44" t="s">
        <v>114</v>
      </c>
      <c r="C1747" s="44" t="s">
        <v>20</v>
      </c>
      <c r="D1747" s="44" t="s">
        <v>306</v>
      </c>
      <c r="E1747" s="44" t="s">
        <v>1035</v>
      </c>
      <c r="F1747" s="44"/>
      <c r="G1747" s="44" t="s">
        <v>2918</v>
      </c>
      <c r="H1747" s="44" t="s">
        <v>1113</v>
      </c>
      <c r="I1747" s="44" t="s">
        <v>1106</v>
      </c>
      <c r="J1747" s="44">
        <v>186</v>
      </c>
      <c r="K1747" s="44" t="s">
        <v>2051</v>
      </c>
      <c r="L1747" s="44"/>
      <c r="M1747" s="44" t="s">
        <v>2033</v>
      </c>
      <c r="N1747" s="45">
        <v>0</v>
      </c>
      <c r="O1747" s="46">
        <f t="shared" si="59"/>
        <v>0</v>
      </c>
      <c r="P1747" s="47">
        <f>FCCL!D53</f>
        <v>0</v>
      </c>
      <c r="Q1747" s="44" t="str">
        <f t="shared" si="58"/>
        <v>PASS</v>
      </c>
      <c r="R1747" s="44" t="s">
        <v>1110</v>
      </c>
      <c r="S1747" s="44"/>
    </row>
    <row r="1748" spans="1:19" x14ac:dyDescent="0.3">
      <c r="A1748" s="44" t="s">
        <v>3087</v>
      </c>
      <c r="B1748" s="44" t="s">
        <v>114</v>
      </c>
      <c r="C1748" s="44" t="s">
        <v>26</v>
      </c>
      <c r="D1748" s="44" t="s">
        <v>306</v>
      </c>
      <c r="E1748" s="44" t="s">
        <v>1035</v>
      </c>
      <c r="F1748" s="44"/>
      <c r="G1748" s="44" t="s">
        <v>2920</v>
      </c>
      <c r="H1748" s="44" t="s">
        <v>1117</v>
      </c>
      <c r="I1748" s="44" t="s">
        <v>1106</v>
      </c>
      <c r="J1748" s="44">
        <v>208</v>
      </c>
      <c r="K1748" s="44" t="s">
        <v>2392</v>
      </c>
      <c r="L1748" s="44"/>
      <c r="M1748" s="44" t="s">
        <v>2033</v>
      </c>
      <c r="N1748" s="45">
        <v>0</v>
      </c>
      <c r="O1748" s="46">
        <f t="shared" si="59"/>
        <v>0</v>
      </c>
      <c r="P1748" s="47">
        <f>FCCL!E53</f>
        <v>0</v>
      </c>
      <c r="Q1748" s="44" t="str">
        <f t="shared" si="58"/>
        <v>PASS</v>
      </c>
      <c r="R1748" s="44" t="s">
        <v>1110</v>
      </c>
      <c r="S1748" s="44"/>
    </row>
    <row r="1749" spans="1:19" x14ac:dyDescent="0.3">
      <c r="A1749" s="44" t="s">
        <v>3088</v>
      </c>
      <c r="B1749" s="44" t="s">
        <v>114</v>
      </c>
      <c r="C1749" s="44" t="s">
        <v>27</v>
      </c>
      <c r="D1749" s="44" t="s">
        <v>306</v>
      </c>
      <c r="E1749" s="44" t="s">
        <v>1035</v>
      </c>
      <c r="F1749" s="44"/>
      <c r="G1749" s="44" t="s">
        <v>2923</v>
      </c>
      <c r="H1749" s="44" t="s">
        <v>1120</v>
      </c>
      <c r="I1749" s="44" t="s">
        <v>1106</v>
      </c>
      <c r="J1749" s="44">
        <v>190</v>
      </c>
      <c r="K1749" s="44" t="s">
        <v>2055</v>
      </c>
      <c r="L1749" s="44"/>
      <c r="M1749" s="44" t="s">
        <v>2033</v>
      </c>
      <c r="N1749" s="45">
        <v>0</v>
      </c>
      <c r="O1749" s="46">
        <f t="shared" si="59"/>
        <v>0</v>
      </c>
      <c r="P1749" s="47">
        <f>FCCL!F53</f>
        <v>0</v>
      </c>
      <c r="Q1749" s="44" t="str">
        <f t="shared" si="58"/>
        <v>PASS</v>
      </c>
      <c r="R1749" s="44" t="s">
        <v>1110</v>
      </c>
      <c r="S1749" s="44"/>
    </row>
    <row r="1750" spans="1:19" x14ac:dyDescent="0.3">
      <c r="A1750" s="44" t="s">
        <v>3089</v>
      </c>
      <c r="B1750" s="44" t="s">
        <v>114</v>
      </c>
      <c r="C1750" s="44" t="s">
        <v>28</v>
      </c>
      <c r="D1750" s="44" t="s">
        <v>306</v>
      </c>
      <c r="E1750" s="44" t="s">
        <v>1035</v>
      </c>
      <c r="F1750" s="44"/>
      <c r="G1750" s="44" t="s">
        <v>2925</v>
      </c>
      <c r="H1750" s="44" t="s">
        <v>1124</v>
      </c>
      <c r="I1750" s="44" t="s">
        <v>1106</v>
      </c>
      <c r="J1750" s="44">
        <v>244</v>
      </c>
      <c r="K1750" s="44" t="s">
        <v>1107</v>
      </c>
      <c r="L1750" s="44"/>
      <c r="M1750" s="44" t="s">
        <v>2033</v>
      </c>
      <c r="N1750" s="45">
        <v>0</v>
      </c>
      <c r="O1750" s="46">
        <f t="shared" si="59"/>
        <v>0</v>
      </c>
      <c r="P1750" s="47">
        <f>FCCL!G53</f>
        <v>0</v>
      </c>
      <c r="Q1750" s="44" t="str">
        <f t="shared" ref="Q1750:Q1813" si="60">IF(ABS(O1750-P1750)&lt;0.000001,"PASS","FAIL")</f>
        <v>PASS</v>
      </c>
      <c r="R1750" s="44" t="s">
        <v>1110</v>
      </c>
      <c r="S1750" s="44"/>
    </row>
    <row r="1751" spans="1:19" x14ac:dyDescent="0.3">
      <c r="A1751" s="44" t="s">
        <v>3090</v>
      </c>
      <c r="B1751" s="44" t="s">
        <v>114</v>
      </c>
      <c r="C1751" s="44" t="s">
        <v>29</v>
      </c>
      <c r="D1751" s="44" t="s">
        <v>306</v>
      </c>
      <c r="E1751" s="44" t="s">
        <v>1035</v>
      </c>
      <c r="F1751" s="44"/>
      <c r="G1751" s="44" t="s">
        <v>2925</v>
      </c>
      <c r="H1751" s="44" t="s">
        <v>1124</v>
      </c>
      <c r="I1751" s="44" t="s">
        <v>1127</v>
      </c>
      <c r="J1751" s="44">
        <v>244</v>
      </c>
      <c r="K1751" s="44" t="s">
        <v>1107</v>
      </c>
      <c r="L1751" s="44"/>
      <c r="M1751" s="44" t="s">
        <v>2033</v>
      </c>
      <c r="N1751" s="45">
        <v>0</v>
      </c>
      <c r="O1751" s="46">
        <f t="shared" si="59"/>
        <v>0</v>
      </c>
      <c r="P1751" s="47">
        <f>FCCL!H53</f>
        <v>0</v>
      </c>
      <c r="Q1751" s="44" t="str">
        <f t="shared" si="60"/>
        <v>PASS</v>
      </c>
      <c r="R1751" s="44" t="s">
        <v>1110</v>
      </c>
      <c r="S1751" s="44"/>
    </row>
    <row r="1752" spans="1:19" x14ac:dyDescent="0.3">
      <c r="A1752" s="44" t="s">
        <v>3091</v>
      </c>
      <c r="B1752" s="44" t="s">
        <v>114</v>
      </c>
      <c r="C1752" s="44" t="s">
        <v>965</v>
      </c>
      <c r="D1752" s="44" t="s">
        <v>308</v>
      </c>
      <c r="E1752" s="44" t="s">
        <v>1035</v>
      </c>
      <c r="F1752" s="44" t="s">
        <v>1310</v>
      </c>
      <c r="G1752" s="44" t="s">
        <v>2916</v>
      </c>
      <c r="H1752" s="44" t="s">
        <v>1105</v>
      </c>
      <c r="I1752" s="44" t="s">
        <v>1106</v>
      </c>
      <c r="J1752" s="44">
        <v>164</v>
      </c>
      <c r="K1752" s="44" t="s">
        <v>2905</v>
      </c>
      <c r="L1752" s="44" t="s">
        <v>1306</v>
      </c>
      <c r="M1752" s="44" t="s">
        <v>2033</v>
      </c>
      <c r="N1752" s="45">
        <v>1869167</v>
      </c>
      <c r="O1752" s="46">
        <f t="shared" si="59"/>
        <v>1869.1669999999999</v>
      </c>
      <c r="P1752" s="47">
        <f>FCCL!C54</f>
        <v>1869.1669999999999</v>
      </c>
      <c r="Q1752" s="44" t="str">
        <f t="shared" si="60"/>
        <v>PASS</v>
      </c>
      <c r="R1752" s="44" t="s">
        <v>1110</v>
      </c>
      <c r="S1752" s="44"/>
    </row>
    <row r="1753" spans="1:19" x14ac:dyDescent="0.3">
      <c r="A1753" s="44" t="s">
        <v>3092</v>
      </c>
      <c r="B1753" s="44" t="s">
        <v>114</v>
      </c>
      <c r="C1753" s="44" t="s">
        <v>20</v>
      </c>
      <c r="D1753" s="44" t="s">
        <v>308</v>
      </c>
      <c r="E1753" s="44" t="s">
        <v>1035</v>
      </c>
      <c r="F1753" s="44" t="s">
        <v>3093</v>
      </c>
      <c r="G1753" s="44" t="s">
        <v>2918</v>
      </c>
      <c r="H1753" s="44" t="s">
        <v>1113</v>
      </c>
      <c r="I1753" s="44" t="s">
        <v>1106</v>
      </c>
      <c r="J1753" s="44">
        <v>186</v>
      </c>
      <c r="K1753" s="44" t="s">
        <v>2051</v>
      </c>
      <c r="L1753" s="44" t="s">
        <v>1315</v>
      </c>
      <c r="M1753" s="44" t="s">
        <v>2033</v>
      </c>
      <c r="N1753" s="45">
        <v>1616787</v>
      </c>
      <c r="O1753" s="46">
        <f t="shared" si="59"/>
        <v>1616.787</v>
      </c>
      <c r="P1753" s="47">
        <f>FCCL!D54</f>
        <v>1616.787</v>
      </c>
      <c r="Q1753" s="44" t="str">
        <f t="shared" si="60"/>
        <v>PASS</v>
      </c>
      <c r="R1753" s="44" t="s">
        <v>1110</v>
      </c>
      <c r="S1753" s="44"/>
    </row>
    <row r="1754" spans="1:19" x14ac:dyDescent="0.3">
      <c r="A1754" s="44" t="s">
        <v>3094</v>
      </c>
      <c r="B1754" s="44" t="s">
        <v>114</v>
      </c>
      <c r="C1754" s="44" t="s">
        <v>26</v>
      </c>
      <c r="D1754" s="44" t="s">
        <v>308</v>
      </c>
      <c r="E1754" s="44" t="s">
        <v>1035</v>
      </c>
      <c r="F1754" s="44" t="s">
        <v>3095</v>
      </c>
      <c r="G1754" s="44" t="s">
        <v>2920</v>
      </c>
      <c r="H1754" s="44" t="s">
        <v>1117</v>
      </c>
      <c r="I1754" s="44" t="s">
        <v>1106</v>
      </c>
      <c r="J1754" s="44">
        <v>208</v>
      </c>
      <c r="K1754" s="44" t="s">
        <v>2392</v>
      </c>
      <c r="L1754" s="44" t="s">
        <v>1294</v>
      </c>
      <c r="M1754" s="44" t="s">
        <v>2033</v>
      </c>
      <c r="N1754" s="45">
        <v>10605249</v>
      </c>
      <c r="O1754" s="46">
        <f t="shared" si="59"/>
        <v>10605.249</v>
      </c>
      <c r="P1754" s="47">
        <f>FCCL!E54</f>
        <v>10605.249</v>
      </c>
      <c r="Q1754" s="44" t="str">
        <f t="shared" si="60"/>
        <v>PASS</v>
      </c>
      <c r="R1754" s="44" t="s">
        <v>1110</v>
      </c>
      <c r="S1754" s="44"/>
    </row>
    <row r="1755" spans="1:19" x14ac:dyDescent="0.3">
      <c r="A1755" s="44" t="s">
        <v>3096</v>
      </c>
      <c r="B1755" s="44" t="s">
        <v>114</v>
      </c>
      <c r="C1755" s="44" t="s">
        <v>27</v>
      </c>
      <c r="D1755" s="44" t="s">
        <v>308</v>
      </c>
      <c r="E1755" s="44" t="s">
        <v>1035</v>
      </c>
      <c r="F1755" s="44" t="s">
        <v>3095</v>
      </c>
      <c r="G1755" s="44" t="s">
        <v>2923</v>
      </c>
      <c r="H1755" s="44" t="s">
        <v>1120</v>
      </c>
      <c r="I1755" s="44" t="s">
        <v>1106</v>
      </c>
      <c r="J1755" s="44">
        <v>190</v>
      </c>
      <c r="K1755" s="44" t="s">
        <v>2055</v>
      </c>
      <c r="L1755" s="44" t="s">
        <v>1294</v>
      </c>
      <c r="M1755" s="44" t="s">
        <v>2033</v>
      </c>
      <c r="N1755" s="45">
        <v>11917981</v>
      </c>
      <c r="O1755" s="46">
        <f t="shared" si="59"/>
        <v>11917.981</v>
      </c>
      <c r="P1755" s="47">
        <f>FCCL!F54</f>
        <v>11917.981</v>
      </c>
      <c r="Q1755" s="44" t="str">
        <f t="shared" si="60"/>
        <v>PASS</v>
      </c>
      <c r="R1755" s="44" t="s">
        <v>1110</v>
      </c>
      <c r="S1755" s="44"/>
    </row>
    <row r="1756" spans="1:19" x14ac:dyDescent="0.3">
      <c r="A1756" s="44" t="s">
        <v>3097</v>
      </c>
      <c r="B1756" s="44" t="s">
        <v>114</v>
      </c>
      <c r="C1756" s="44" t="s">
        <v>28</v>
      </c>
      <c r="D1756" s="44" t="s">
        <v>308</v>
      </c>
      <c r="E1756" s="44" t="s">
        <v>1035</v>
      </c>
      <c r="F1756" s="44" t="s">
        <v>3095</v>
      </c>
      <c r="G1756" s="44" t="s">
        <v>2925</v>
      </c>
      <c r="H1756" s="44" t="s">
        <v>1124</v>
      </c>
      <c r="I1756" s="44" t="s">
        <v>1106</v>
      </c>
      <c r="J1756" s="44">
        <v>244</v>
      </c>
      <c r="K1756" s="44" t="s">
        <v>1107</v>
      </c>
      <c r="L1756" s="44" t="s">
        <v>1315</v>
      </c>
      <c r="M1756" s="44" t="s">
        <v>2033</v>
      </c>
      <c r="N1756" s="45">
        <v>8837934</v>
      </c>
      <c r="O1756" s="46">
        <f t="shared" si="59"/>
        <v>8837.9339999999993</v>
      </c>
      <c r="P1756" s="47">
        <f>FCCL!G54</f>
        <v>8837.9339999999993</v>
      </c>
      <c r="Q1756" s="44" t="str">
        <f t="shared" si="60"/>
        <v>PASS</v>
      </c>
      <c r="R1756" s="44" t="s">
        <v>1110</v>
      </c>
      <c r="S1756" s="44"/>
    </row>
    <row r="1757" spans="1:19" x14ac:dyDescent="0.3">
      <c r="A1757" s="44" t="s">
        <v>3098</v>
      </c>
      <c r="B1757" s="44" t="s">
        <v>114</v>
      </c>
      <c r="C1757" s="44" t="s">
        <v>29</v>
      </c>
      <c r="D1757" s="44" t="s">
        <v>308</v>
      </c>
      <c r="E1757" s="44" t="s">
        <v>1035</v>
      </c>
      <c r="F1757" s="44" t="s">
        <v>3095</v>
      </c>
      <c r="G1757" s="44" t="s">
        <v>2925</v>
      </c>
      <c r="H1757" s="44" t="s">
        <v>1124</v>
      </c>
      <c r="I1757" s="44" t="s">
        <v>1127</v>
      </c>
      <c r="J1757" s="44">
        <v>244</v>
      </c>
      <c r="K1757" s="44" t="s">
        <v>1107</v>
      </c>
      <c r="L1757" s="44" t="s">
        <v>1315</v>
      </c>
      <c r="M1757" s="44" t="s">
        <v>2033</v>
      </c>
      <c r="N1757" s="45">
        <v>9764648</v>
      </c>
      <c r="O1757" s="46">
        <f t="shared" si="59"/>
        <v>9764.6479999999992</v>
      </c>
      <c r="P1757" s="47">
        <f>FCCL!H54</f>
        <v>9764.6479999999992</v>
      </c>
      <c r="Q1757" s="44" t="str">
        <f t="shared" si="60"/>
        <v>PASS</v>
      </c>
      <c r="R1757" s="44" t="s">
        <v>1110</v>
      </c>
      <c r="S1757" s="44"/>
    </row>
    <row r="1758" spans="1:19" x14ac:dyDescent="0.3">
      <c r="A1758" s="44" t="s">
        <v>3099</v>
      </c>
      <c r="B1758" s="44" t="s">
        <v>114</v>
      </c>
      <c r="C1758" s="44" t="s">
        <v>965</v>
      </c>
      <c r="D1758" s="44" t="s">
        <v>310</v>
      </c>
      <c r="E1758" s="44" t="s">
        <v>1035</v>
      </c>
      <c r="F1758" s="44" t="s">
        <v>3100</v>
      </c>
      <c r="G1758" s="44" t="s">
        <v>2916</v>
      </c>
      <c r="H1758" s="44" t="s">
        <v>1105</v>
      </c>
      <c r="I1758" s="44" t="s">
        <v>1106</v>
      </c>
      <c r="J1758" s="44">
        <v>164</v>
      </c>
      <c r="K1758" s="44" t="s">
        <v>2905</v>
      </c>
      <c r="L1758" s="44" t="s">
        <v>1630</v>
      </c>
      <c r="M1758" s="44" t="s">
        <v>2033</v>
      </c>
      <c r="N1758" s="45">
        <v>303912</v>
      </c>
      <c r="O1758" s="46">
        <f t="shared" si="59"/>
        <v>303.91199999999998</v>
      </c>
      <c r="P1758" s="47">
        <f>FCCL!C55</f>
        <v>303.91199999999998</v>
      </c>
      <c r="Q1758" s="44" t="str">
        <f t="shared" si="60"/>
        <v>PASS</v>
      </c>
      <c r="R1758" s="44" t="s">
        <v>1110</v>
      </c>
      <c r="S1758" s="44"/>
    </row>
    <row r="1759" spans="1:19" x14ac:dyDescent="0.3">
      <c r="A1759" s="44" t="s">
        <v>3101</v>
      </c>
      <c r="B1759" s="44" t="s">
        <v>114</v>
      </c>
      <c r="C1759" s="44" t="s">
        <v>20</v>
      </c>
      <c r="D1759" s="44" t="s">
        <v>310</v>
      </c>
      <c r="E1759" s="44" t="s">
        <v>1035</v>
      </c>
      <c r="F1759" s="44" t="s">
        <v>3100</v>
      </c>
      <c r="G1759" s="44" t="s">
        <v>2918</v>
      </c>
      <c r="H1759" s="44" t="s">
        <v>1113</v>
      </c>
      <c r="I1759" s="44" t="s">
        <v>1106</v>
      </c>
      <c r="J1759" s="44">
        <v>186</v>
      </c>
      <c r="K1759" s="44" t="s">
        <v>2051</v>
      </c>
      <c r="L1759" s="44" t="s">
        <v>1643</v>
      </c>
      <c r="M1759" s="44" t="s">
        <v>2033</v>
      </c>
      <c r="N1759" s="45">
        <v>361521</v>
      </c>
      <c r="O1759" s="46">
        <f t="shared" si="59"/>
        <v>361.52100000000002</v>
      </c>
      <c r="P1759" s="47">
        <f>FCCL!D55</f>
        <v>361.52100000000002</v>
      </c>
      <c r="Q1759" s="44" t="str">
        <f t="shared" si="60"/>
        <v>PASS</v>
      </c>
      <c r="R1759" s="44" t="s">
        <v>1110</v>
      </c>
      <c r="S1759" s="44"/>
    </row>
    <row r="1760" spans="1:19" x14ac:dyDescent="0.3">
      <c r="A1760" s="44" t="s">
        <v>3102</v>
      </c>
      <c r="B1760" s="44" t="s">
        <v>114</v>
      </c>
      <c r="C1760" s="44" t="s">
        <v>26</v>
      </c>
      <c r="D1760" s="44" t="s">
        <v>310</v>
      </c>
      <c r="E1760" s="44" t="s">
        <v>1035</v>
      </c>
      <c r="F1760" s="44" t="s">
        <v>3100</v>
      </c>
      <c r="G1760" s="44" t="s">
        <v>2920</v>
      </c>
      <c r="H1760" s="44" t="s">
        <v>1117</v>
      </c>
      <c r="I1760" s="44" t="s">
        <v>1106</v>
      </c>
      <c r="J1760" s="44">
        <v>208</v>
      </c>
      <c r="K1760" s="44" t="s">
        <v>2392</v>
      </c>
      <c r="L1760" s="44" t="s">
        <v>1630</v>
      </c>
      <c r="M1760" s="44" t="s">
        <v>2033</v>
      </c>
      <c r="N1760" s="45">
        <v>2985087</v>
      </c>
      <c r="O1760" s="46">
        <f t="shared" si="59"/>
        <v>2985.087</v>
      </c>
      <c r="P1760" s="47">
        <f>FCCL!E55</f>
        <v>2985.087</v>
      </c>
      <c r="Q1760" s="44" t="str">
        <f t="shared" si="60"/>
        <v>PASS</v>
      </c>
      <c r="R1760" s="44" t="s">
        <v>1110</v>
      </c>
      <c r="S1760" s="44"/>
    </row>
    <row r="1761" spans="1:19" x14ac:dyDescent="0.3">
      <c r="A1761" s="44" t="s">
        <v>3103</v>
      </c>
      <c r="B1761" s="44" t="s">
        <v>114</v>
      </c>
      <c r="C1761" s="44" t="s">
        <v>27</v>
      </c>
      <c r="D1761" s="44" t="s">
        <v>310</v>
      </c>
      <c r="E1761" s="44" t="s">
        <v>1035</v>
      </c>
      <c r="F1761" s="44" t="s">
        <v>3100</v>
      </c>
      <c r="G1761" s="44" t="s">
        <v>2923</v>
      </c>
      <c r="H1761" s="44" t="s">
        <v>1120</v>
      </c>
      <c r="I1761" s="44" t="s">
        <v>1106</v>
      </c>
      <c r="J1761" s="44">
        <v>190</v>
      </c>
      <c r="K1761" s="44" t="s">
        <v>2055</v>
      </c>
      <c r="L1761" s="44" t="s">
        <v>1630</v>
      </c>
      <c r="M1761" s="44" t="s">
        <v>2033</v>
      </c>
      <c r="N1761" s="45">
        <v>4176493</v>
      </c>
      <c r="O1761" s="46">
        <f t="shared" si="59"/>
        <v>4176.4930000000004</v>
      </c>
      <c r="P1761" s="47">
        <f>FCCL!F55</f>
        <v>4176.4930000000004</v>
      </c>
      <c r="Q1761" s="44" t="str">
        <f t="shared" si="60"/>
        <v>PASS</v>
      </c>
      <c r="R1761" s="44" t="s">
        <v>1110</v>
      </c>
      <c r="S1761" s="44"/>
    </row>
    <row r="1762" spans="1:19" x14ac:dyDescent="0.3">
      <c r="A1762" s="44" t="s">
        <v>3104</v>
      </c>
      <c r="B1762" s="44" t="s">
        <v>114</v>
      </c>
      <c r="C1762" s="44" t="s">
        <v>28</v>
      </c>
      <c r="D1762" s="44" t="s">
        <v>310</v>
      </c>
      <c r="E1762" s="44" t="s">
        <v>1035</v>
      </c>
      <c r="F1762" s="44" t="s">
        <v>3100</v>
      </c>
      <c r="G1762" s="44" t="s">
        <v>2925</v>
      </c>
      <c r="H1762" s="44" t="s">
        <v>1124</v>
      </c>
      <c r="I1762" s="44" t="s">
        <v>1106</v>
      </c>
      <c r="J1762" s="44">
        <v>244</v>
      </c>
      <c r="K1762" s="44" t="s">
        <v>1107</v>
      </c>
      <c r="L1762" s="44" t="s">
        <v>1241</v>
      </c>
      <c r="M1762" s="44" t="s">
        <v>2033</v>
      </c>
      <c r="N1762" s="45">
        <v>5066868</v>
      </c>
      <c r="O1762" s="46">
        <f t="shared" si="59"/>
        <v>5066.8680000000004</v>
      </c>
      <c r="P1762" s="47">
        <f>FCCL!G55</f>
        <v>5066.8680000000004</v>
      </c>
      <c r="Q1762" s="44" t="str">
        <f t="shared" si="60"/>
        <v>PASS</v>
      </c>
      <c r="R1762" s="44" t="s">
        <v>1110</v>
      </c>
      <c r="S1762" s="44"/>
    </row>
    <row r="1763" spans="1:19" x14ac:dyDescent="0.3">
      <c r="A1763" s="44" t="s">
        <v>3105</v>
      </c>
      <c r="B1763" s="44" t="s">
        <v>114</v>
      </c>
      <c r="C1763" s="44" t="s">
        <v>29</v>
      </c>
      <c r="D1763" s="44" t="s">
        <v>310</v>
      </c>
      <c r="E1763" s="44" t="s">
        <v>1035</v>
      </c>
      <c r="F1763" s="44" t="s">
        <v>3100</v>
      </c>
      <c r="G1763" s="44" t="s">
        <v>2925</v>
      </c>
      <c r="H1763" s="44" t="s">
        <v>1124</v>
      </c>
      <c r="I1763" s="44" t="s">
        <v>1127</v>
      </c>
      <c r="J1763" s="44">
        <v>244</v>
      </c>
      <c r="K1763" s="44" t="s">
        <v>1107</v>
      </c>
      <c r="L1763" s="44" t="s">
        <v>1241</v>
      </c>
      <c r="M1763" s="44" t="s">
        <v>2033</v>
      </c>
      <c r="N1763" s="45">
        <v>6104065</v>
      </c>
      <c r="O1763" s="46">
        <f t="shared" si="59"/>
        <v>6104.0649999999996</v>
      </c>
      <c r="P1763" s="47">
        <f>FCCL!H55</f>
        <v>6104.0649999999996</v>
      </c>
      <c r="Q1763" s="44" t="str">
        <f t="shared" si="60"/>
        <v>PASS</v>
      </c>
      <c r="R1763" s="44" t="s">
        <v>1110</v>
      </c>
      <c r="S1763" s="44"/>
    </row>
    <row r="1764" spans="1:19" x14ac:dyDescent="0.3">
      <c r="A1764" s="44" t="s">
        <v>3106</v>
      </c>
      <c r="B1764" s="44" t="s">
        <v>114</v>
      </c>
      <c r="C1764" s="44" t="s">
        <v>965</v>
      </c>
      <c r="D1764" s="44" t="s">
        <v>312</v>
      </c>
      <c r="E1764" s="44" t="s">
        <v>1035</v>
      </c>
      <c r="F1764" s="44" t="s">
        <v>3107</v>
      </c>
      <c r="G1764" s="44" t="s">
        <v>2916</v>
      </c>
      <c r="H1764" s="44" t="s">
        <v>1105</v>
      </c>
      <c r="I1764" s="44" t="s">
        <v>1106</v>
      </c>
      <c r="J1764" s="44">
        <v>164</v>
      </c>
      <c r="K1764" s="44" t="s">
        <v>2905</v>
      </c>
      <c r="L1764" s="44" t="s">
        <v>1630</v>
      </c>
      <c r="M1764" s="44" t="s">
        <v>2033</v>
      </c>
      <c r="N1764" s="45">
        <v>23737</v>
      </c>
      <c r="O1764" s="46">
        <f t="shared" si="59"/>
        <v>23.736999999999998</v>
      </c>
      <c r="P1764" s="47">
        <f>FCCL!C56</f>
        <v>23.736999999999998</v>
      </c>
      <c r="Q1764" s="44" t="str">
        <f t="shared" si="60"/>
        <v>PASS</v>
      </c>
      <c r="R1764" s="44" t="s">
        <v>1110</v>
      </c>
      <c r="S1764" s="44"/>
    </row>
    <row r="1765" spans="1:19" x14ac:dyDescent="0.3">
      <c r="A1765" s="44" t="s">
        <v>3108</v>
      </c>
      <c r="B1765" s="44" t="s">
        <v>114</v>
      </c>
      <c r="C1765" s="44" t="s">
        <v>20</v>
      </c>
      <c r="D1765" s="44" t="s">
        <v>312</v>
      </c>
      <c r="E1765" s="44" t="s">
        <v>1035</v>
      </c>
      <c r="F1765" s="44" t="s">
        <v>3107</v>
      </c>
      <c r="G1765" s="44" t="s">
        <v>2918</v>
      </c>
      <c r="H1765" s="44" t="s">
        <v>1113</v>
      </c>
      <c r="I1765" s="44" t="s">
        <v>1106</v>
      </c>
      <c r="J1765" s="44">
        <v>186</v>
      </c>
      <c r="K1765" s="44" t="s">
        <v>2051</v>
      </c>
      <c r="L1765" s="44" t="s">
        <v>1643</v>
      </c>
      <c r="M1765" s="44" t="s">
        <v>2033</v>
      </c>
      <c r="N1765" s="45">
        <v>24686</v>
      </c>
      <c r="O1765" s="46">
        <f t="shared" si="59"/>
        <v>24.686</v>
      </c>
      <c r="P1765" s="47">
        <f>FCCL!D56</f>
        <v>24.686</v>
      </c>
      <c r="Q1765" s="44" t="str">
        <f t="shared" si="60"/>
        <v>PASS</v>
      </c>
      <c r="R1765" s="44" t="s">
        <v>1110</v>
      </c>
      <c r="S1765" s="44"/>
    </row>
    <row r="1766" spans="1:19" x14ac:dyDescent="0.3">
      <c r="A1766" s="44" t="s">
        <v>3109</v>
      </c>
      <c r="B1766" s="44" t="s">
        <v>114</v>
      </c>
      <c r="C1766" s="44" t="s">
        <v>26</v>
      </c>
      <c r="D1766" s="44" t="s">
        <v>312</v>
      </c>
      <c r="E1766" s="44" t="s">
        <v>1035</v>
      </c>
      <c r="F1766" s="44" t="s">
        <v>3107</v>
      </c>
      <c r="G1766" s="44" t="s">
        <v>2920</v>
      </c>
      <c r="H1766" s="44" t="s">
        <v>1117</v>
      </c>
      <c r="I1766" s="44" t="s">
        <v>1106</v>
      </c>
      <c r="J1766" s="44">
        <v>208</v>
      </c>
      <c r="K1766" s="44" t="s">
        <v>2392</v>
      </c>
      <c r="L1766" s="44" t="s">
        <v>1630</v>
      </c>
      <c r="M1766" s="44" t="s">
        <v>2033</v>
      </c>
      <c r="N1766" s="45">
        <v>68332</v>
      </c>
      <c r="O1766" s="46">
        <f t="shared" si="59"/>
        <v>68.331999999999994</v>
      </c>
      <c r="P1766" s="47">
        <f>FCCL!E56</f>
        <v>68.331999999999994</v>
      </c>
      <c r="Q1766" s="44" t="str">
        <f t="shared" si="60"/>
        <v>PASS</v>
      </c>
      <c r="R1766" s="44" t="s">
        <v>1110</v>
      </c>
      <c r="S1766" s="44"/>
    </row>
    <row r="1767" spans="1:19" x14ac:dyDescent="0.3">
      <c r="A1767" s="44" t="s">
        <v>3110</v>
      </c>
      <c r="B1767" s="44" t="s">
        <v>114</v>
      </c>
      <c r="C1767" s="44" t="s">
        <v>27</v>
      </c>
      <c r="D1767" s="44" t="s">
        <v>312</v>
      </c>
      <c r="E1767" s="44" t="s">
        <v>1035</v>
      </c>
      <c r="F1767" s="44" t="s">
        <v>3107</v>
      </c>
      <c r="G1767" s="44" t="s">
        <v>2923</v>
      </c>
      <c r="H1767" s="44" t="s">
        <v>1120</v>
      </c>
      <c r="I1767" s="44" t="s">
        <v>1106</v>
      </c>
      <c r="J1767" s="44">
        <v>190</v>
      </c>
      <c r="K1767" s="44" t="s">
        <v>2055</v>
      </c>
      <c r="L1767" s="44" t="s">
        <v>1630</v>
      </c>
      <c r="M1767" s="44" t="s">
        <v>2033</v>
      </c>
      <c r="N1767" s="45">
        <v>50463</v>
      </c>
      <c r="O1767" s="46">
        <f t="shared" si="59"/>
        <v>50.463000000000001</v>
      </c>
      <c r="P1767" s="47">
        <f>FCCL!F56</f>
        <v>50.463000000000001</v>
      </c>
      <c r="Q1767" s="44" t="str">
        <f t="shared" si="60"/>
        <v>PASS</v>
      </c>
      <c r="R1767" s="44" t="s">
        <v>1110</v>
      </c>
      <c r="S1767" s="44"/>
    </row>
    <row r="1768" spans="1:19" x14ac:dyDescent="0.3">
      <c r="A1768" s="44" t="s">
        <v>3111</v>
      </c>
      <c r="B1768" s="44" t="s">
        <v>114</v>
      </c>
      <c r="C1768" s="44" t="s">
        <v>28</v>
      </c>
      <c r="D1768" s="44" t="s">
        <v>312</v>
      </c>
      <c r="E1768" s="44" t="s">
        <v>1035</v>
      </c>
      <c r="F1768" s="44" t="s">
        <v>3107</v>
      </c>
      <c r="G1768" s="44" t="s">
        <v>2925</v>
      </c>
      <c r="H1768" s="44" t="s">
        <v>1124</v>
      </c>
      <c r="I1768" s="44" t="s">
        <v>1106</v>
      </c>
      <c r="J1768" s="44">
        <v>244</v>
      </c>
      <c r="K1768" s="44" t="s">
        <v>1107</v>
      </c>
      <c r="L1768" s="44" t="s">
        <v>1241</v>
      </c>
      <c r="M1768" s="44" t="s">
        <v>2033</v>
      </c>
      <c r="N1768" s="45">
        <v>46206</v>
      </c>
      <c r="O1768" s="46">
        <f t="shared" si="59"/>
        <v>46.206000000000003</v>
      </c>
      <c r="P1768" s="47">
        <f>FCCL!G56</f>
        <v>46.206000000000003</v>
      </c>
      <c r="Q1768" s="44" t="str">
        <f t="shared" si="60"/>
        <v>PASS</v>
      </c>
      <c r="R1768" s="44" t="s">
        <v>1110</v>
      </c>
      <c r="S1768" s="44"/>
    </row>
    <row r="1769" spans="1:19" x14ac:dyDescent="0.3">
      <c r="A1769" s="44" t="s">
        <v>3112</v>
      </c>
      <c r="B1769" s="44" t="s">
        <v>114</v>
      </c>
      <c r="C1769" s="44" t="s">
        <v>29</v>
      </c>
      <c r="D1769" s="44" t="s">
        <v>312</v>
      </c>
      <c r="E1769" s="44" t="s">
        <v>1035</v>
      </c>
      <c r="F1769" s="44" t="s">
        <v>3107</v>
      </c>
      <c r="G1769" s="44" t="s">
        <v>2925</v>
      </c>
      <c r="H1769" s="44" t="s">
        <v>1124</v>
      </c>
      <c r="I1769" s="44" t="s">
        <v>1127</v>
      </c>
      <c r="J1769" s="44">
        <v>244</v>
      </c>
      <c r="K1769" s="44" t="s">
        <v>1107</v>
      </c>
      <c r="L1769" s="44" t="s">
        <v>1241</v>
      </c>
      <c r="M1769" s="44" t="s">
        <v>2033</v>
      </c>
      <c r="N1769" s="45">
        <v>43099</v>
      </c>
      <c r="O1769" s="46">
        <f t="shared" si="59"/>
        <v>43.098999999999997</v>
      </c>
      <c r="P1769" s="47">
        <f>FCCL!H56</f>
        <v>43.098999999999997</v>
      </c>
      <c r="Q1769" s="44" t="str">
        <f t="shared" si="60"/>
        <v>PASS</v>
      </c>
      <c r="R1769" s="44" t="s">
        <v>1110</v>
      </c>
      <c r="S1769" s="44"/>
    </row>
    <row r="1770" spans="1:19" x14ac:dyDescent="0.3">
      <c r="A1770" s="44" t="s">
        <v>3113</v>
      </c>
      <c r="B1770" s="44" t="s">
        <v>114</v>
      </c>
      <c r="C1770" s="44" t="s">
        <v>965</v>
      </c>
      <c r="D1770" s="44" t="s">
        <v>314</v>
      </c>
      <c r="E1770" s="44" t="s">
        <v>1035</v>
      </c>
      <c r="F1770" s="44"/>
      <c r="G1770" s="44" t="s">
        <v>2916</v>
      </c>
      <c r="H1770" s="44" t="s">
        <v>1105</v>
      </c>
      <c r="I1770" s="44" t="s">
        <v>1106</v>
      </c>
      <c r="J1770" s="44">
        <v>164</v>
      </c>
      <c r="K1770" s="44" t="s">
        <v>2905</v>
      </c>
      <c r="L1770" s="44"/>
      <c r="M1770" s="44" t="s">
        <v>2033</v>
      </c>
      <c r="N1770" s="45">
        <v>0</v>
      </c>
      <c r="O1770" s="46">
        <f t="shared" si="59"/>
        <v>0</v>
      </c>
      <c r="P1770" s="47">
        <f>FCCL!C57</f>
        <v>0</v>
      </c>
      <c r="Q1770" s="44" t="str">
        <f t="shared" si="60"/>
        <v>PASS</v>
      </c>
      <c r="R1770" s="44" t="s">
        <v>1110</v>
      </c>
      <c r="S1770" s="44"/>
    </row>
    <row r="1771" spans="1:19" x14ac:dyDescent="0.3">
      <c r="A1771" s="44" t="s">
        <v>3114</v>
      </c>
      <c r="B1771" s="44" t="s">
        <v>114</v>
      </c>
      <c r="C1771" s="44" t="s">
        <v>20</v>
      </c>
      <c r="D1771" s="44" t="s">
        <v>314</v>
      </c>
      <c r="E1771" s="44" t="s">
        <v>1035</v>
      </c>
      <c r="F1771" s="44" t="s">
        <v>3115</v>
      </c>
      <c r="G1771" s="44" t="s">
        <v>2918</v>
      </c>
      <c r="H1771" s="44" t="s">
        <v>1113</v>
      </c>
      <c r="I1771" s="44" t="s">
        <v>1106</v>
      </c>
      <c r="J1771" s="44">
        <v>186</v>
      </c>
      <c r="K1771" s="44" t="s">
        <v>2051</v>
      </c>
      <c r="L1771" s="44" t="s">
        <v>1643</v>
      </c>
      <c r="M1771" s="44" t="s">
        <v>2033</v>
      </c>
      <c r="N1771" s="45">
        <v>15654</v>
      </c>
      <c r="O1771" s="46">
        <f t="shared" si="59"/>
        <v>15.654</v>
      </c>
      <c r="P1771" s="47">
        <f>FCCL!D57</f>
        <v>15.654</v>
      </c>
      <c r="Q1771" s="44" t="str">
        <f t="shared" si="60"/>
        <v>PASS</v>
      </c>
      <c r="R1771" s="44" t="s">
        <v>1110</v>
      </c>
      <c r="S1771" s="44" t="s">
        <v>1114</v>
      </c>
    </row>
    <row r="1772" spans="1:19" x14ac:dyDescent="0.3">
      <c r="A1772" s="44" t="s">
        <v>3116</v>
      </c>
      <c r="B1772" s="44" t="s">
        <v>114</v>
      </c>
      <c r="C1772" s="44" t="s">
        <v>26</v>
      </c>
      <c r="D1772" s="44" t="s">
        <v>314</v>
      </c>
      <c r="E1772" s="44" t="s">
        <v>1035</v>
      </c>
      <c r="F1772" s="44" t="s">
        <v>3115</v>
      </c>
      <c r="G1772" s="44" t="s">
        <v>2920</v>
      </c>
      <c r="H1772" s="44" t="s">
        <v>1117</v>
      </c>
      <c r="I1772" s="44" t="s">
        <v>1106</v>
      </c>
      <c r="J1772" s="44">
        <v>208</v>
      </c>
      <c r="K1772" s="44" t="s">
        <v>2392</v>
      </c>
      <c r="L1772" s="44" t="s">
        <v>1630</v>
      </c>
      <c r="M1772" s="44" t="s">
        <v>2033</v>
      </c>
      <c r="N1772" s="45">
        <v>366464</v>
      </c>
      <c r="O1772" s="46">
        <f t="shared" si="59"/>
        <v>366.464</v>
      </c>
      <c r="P1772" s="47">
        <f>FCCL!E57</f>
        <v>366.464</v>
      </c>
      <c r="Q1772" s="44" t="str">
        <f t="shared" si="60"/>
        <v>PASS</v>
      </c>
      <c r="R1772" s="44" t="s">
        <v>1110</v>
      </c>
      <c r="S1772" s="44"/>
    </row>
    <row r="1773" spans="1:19" x14ac:dyDescent="0.3">
      <c r="A1773" s="44" t="s">
        <v>3117</v>
      </c>
      <c r="B1773" s="44" t="s">
        <v>114</v>
      </c>
      <c r="C1773" s="44" t="s">
        <v>27</v>
      </c>
      <c r="D1773" s="44" t="s">
        <v>314</v>
      </c>
      <c r="E1773" s="44" t="s">
        <v>1035</v>
      </c>
      <c r="F1773" s="44" t="s">
        <v>3115</v>
      </c>
      <c r="G1773" s="44" t="s">
        <v>2923</v>
      </c>
      <c r="H1773" s="44" t="s">
        <v>1120</v>
      </c>
      <c r="I1773" s="44" t="s">
        <v>1106</v>
      </c>
      <c r="J1773" s="44">
        <v>190</v>
      </c>
      <c r="K1773" s="44" t="s">
        <v>2055</v>
      </c>
      <c r="L1773" s="44" t="s">
        <v>1630</v>
      </c>
      <c r="M1773" s="44" t="s">
        <v>2033</v>
      </c>
      <c r="N1773" s="45">
        <v>604292</v>
      </c>
      <c r="O1773" s="46">
        <f t="shared" si="59"/>
        <v>604.29200000000003</v>
      </c>
      <c r="P1773" s="47">
        <f>FCCL!F57</f>
        <v>604.29200000000003</v>
      </c>
      <c r="Q1773" s="44" t="str">
        <f t="shared" si="60"/>
        <v>PASS</v>
      </c>
      <c r="R1773" s="44" t="s">
        <v>1110</v>
      </c>
      <c r="S1773" s="44"/>
    </row>
    <row r="1774" spans="1:19" x14ac:dyDescent="0.3">
      <c r="A1774" s="44" t="s">
        <v>3118</v>
      </c>
      <c r="B1774" s="44" t="s">
        <v>114</v>
      </c>
      <c r="C1774" s="44" t="s">
        <v>28</v>
      </c>
      <c r="D1774" s="44" t="s">
        <v>314</v>
      </c>
      <c r="E1774" s="44" t="s">
        <v>1035</v>
      </c>
      <c r="F1774" s="44" t="s">
        <v>3115</v>
      </c>
      <c r="G1774" s="44" t="s">
        <v>2925</v>
      </c>
      <c r="H1774" s="44" t="s">
        <v>1124</v>
      </c>
      <c r="I1774" s="44" t="s">
        <v>1106</v>
      </c>
      <c r="J1774" s="44">
        <v>244</v>
      </c>
      <c r="K1774" s="44" t="s">
        <v>1107</v>
      </c>
      <c r="L1774" s="44" t="s">
        <v>1241</v>
      </c>
      <c r="M1774" s="44" t="s">
        <v>2033</v>
      </c>
      <c r="N1774" s="45">
        <v>580891</v>
      </c>
      <c r="O1774" s="46">
        <f t="shared" si="59"/>
        <v>580.89099999999996</v>
      </c>
      <c r="P1774" s="47">
        <f>FCCL!G57</f>
        <v>580.89099999999996</v>
      </c>
      <c r="Q1774" s="44" t="str">
        <f t="shared" si="60"/>
        <v>PASS</v>
      </c>
      <c r="R1774" s="44" t="s">
        <v>1110</v>
      </c>
      <c r="S1774" s="44"/>
    </row>
    <row r="1775" spans="1:19" x14ac:dyDescent="0.3">
      <c r="A1775" s="44" t="s">
        <v>3119</v>
      </c>
      <c r="B1775" s="44" t="s">
        <v>114</v>
      </c>
      <c r="C1775" s="44" t="s">
        <v>29</v>
      </c>
      <c r="D1775" s="44" t="s">
        <v>314</v>
      </c>
      <c r="E1775" s="44" t="s">
        <v>1035</v>
      </c>
      <c r="F1775" s="44" t="s">
        <v>3115</v>
      </c>
      <c r="G1775" s="44" t="s">
        <v>2925</v>
      </c>
      <c r="H1775" s="44" t="s">
        <v>1124</v>
      </c>
      <c r="I1775" s="44" t="s">
        <v>1127</v>
      </c>
      <c r="J1775" s="44">
        <v>244</v>
      </c>
      <c r="K1775" s="44" t="s">
        <v>1107</v>
      </c>
      <c r="L1775" s="44" t="s">
        <v>1241</v>
      </c>
      <c r="M1775" s="44" t="s">
        <v>2033</v>
      </c>
      <c r="N1775" s="45">
        <v>515175</v>
      </c>
      <c r="O1775" s="46">
        <f t="shared" si="59"/>
        <v>515.17499999999995</v>
      </c>
      <c r="P1775" s="47">
        <f>FCCL!H57</f>
        <v>515.17499999999995</v>
      </c>
      <c r="Q1775" s="44" t="str">
        <f t="shared" si="60"/>
        <v>PASS</v>
      </c>
      <c r="R1775" s="44" t="s">
        <v>1110</v>
      </c>
      <c r="S1775" s="44"/>
    </row>
    <row r="1776" spans="1:19" x14ac:dyDescent="0.3">
      <c r="A1776" s="44" t="s">
        <v>3120</v>
      </c>
      <c r="B1776" s="44" t="s">
        <v>114</v>
      </c>
      <c r="C1776" s="44" t="s">
        <v>965</v>
      </c>
      <c r="D1776" s="44" t="s">
        <v>316</v>
      </c>
      <c r="E1776" s="44" t="s">
        <v>1035</v>
      </c>
      <c r="F1776" s="44" t="s">
        <v>1798</v>
      </c>
      <c r="G1776" s="44" t="s">
        <v>2916</v>
      </c>
      <c r="H1776" s="44" t="s">
        <v>1105</v>
      </c>
      <c r="I1776" s="44" t="s">
        <v>1106</v>
      </c>
      <c r="J1776" s="44">
        <v>164</v>
      </c>
      <c r="K1776" s="44" t="s">
        <v>2905</v>
      </c>
      <c r="L1776" s="44"/>
      <c r="M1776" s="44" t="s">
        <v>2033</v>
      </c>
      <c r="N1776" s="45">
        <v>40051</v>
      </c>
      <c r="O1776" s="46">
        <f t="shared" si="59"/>
        <v>40.051000000000002</v>
      </c>
      <c r="P1776" s="47">
        <f>FCCL!C58</f>
        <v>40.051000000000002</v>
      </c>
      <c r="Q1776" s="44" t="str">
        <f t="shared" si="60"/>
        <v>PASS</v>
      </c>
      <c r="R1776" s="44" t="s">
        <v>1110</v>
      </c>
      <c r="S1776" s="44"/>
    </row>
    <row r="1777" spans="1:19" x14ac:dyDescent="0.3">
      <c r="A1777" s="44" t="s">
        <v>3121</v>
      </c>
      <c r="B1777" s="44" t="s">
        <v>114</v>
      </c>
      <c r="C1777" s="44" t="s">
        <v>20</v>
      </c>
      <c r="D1777" s="44" t="s">
        <v>316</v>
      </c>
      <c r="E1777" s="44" t="s">
        <v>1035</v>
      </c>
      <c r="F1777" s="44" t="s">
        <v>1798</v>
      </c>
      <c r="G1777" s="44" t="s">
        <v>2918</v>
      </c>
      <c r="H1777" s="44" t="s">
        <v>1113</v>
      </c>
      <c r="I1777" s="44" t="s">
        <v>1106</v>
      </c>
      <c r="J1777" s="44">
        <v>186</v>
      </c>
      <c r="K1777" s="44" t="s">
        <v>2051</v>
      </c>
      <c r="L1777" s="44"/>
      <c r="M1777" s="44" t="s">
        <v>2033</v>
      </c>
      <c r="N1777" s="45">
        <v>38479</v>
      </c>
      <c r="O1777" s="46">
        <f t="shared" si="59"/>
        <v>38.478999999999999</v>
      </c>
      <c r="P1777" s="47">
        <f>FCCL!D58</f>
        <v>38.478999999999999</v>
      </c>
      <c r="Q1777" s="44" t="str">
        <f t="shared" si="60"/>
        <v>PASS</v>
      </c>
      <c r="R1777" s="44" t="s">
        <v>1110</v>
      </c>
      <c r="S1777" s="44"/>
    </row>
    <row r="1778" spans="1:19" x14ac:dyDescent="0.3">
      <c r="A1778" s="44" t="s">
        <v>3122</v>
      </c>
      <c r="B1778" s="44" t="s">
        <v>114</v>
      </c>
      <c r="C1778" s="44" t="s">
        <v>26</v>
      </c>
      <c r="D1778" s="44" t="s">
        <v>316</v>
      </c>
      <c r="E1778" s="44" t="s">
        <v>1035</v>
      </c>
      <c r="F1778" s="44" t="s">
        <v>1798</v>
      </c>
      <c r="G1778" s="44" t="s">
        <v>2920</v>
      </c>
      <c r="H1778" s="44" t="s">
        <v>1117</v>
      </c>
      <c r="I1778" s="44" t="s">
        <v>1106</v>
      </c>
      <c r="J1778" s="44">
        <v>208</v>
      </c>
      <c r="K1778" s="44" t="s">
        <v>2392</v>
      </c>
      <c r="L1778" s="44"/>
      <c r="M1778" s="44" t="s">
        <v>2033</v>
      </c>
      <c r="N1778" s="45">
        <v>37157</v>
      </c>
      <c r="O1778" s="46">
        <f t="shared" si="59"/>
        <v>37.156999999999996</v>
      </c>
      <c r="P1778" s="47">
        <f>FCCL!E58</f>
        <v>37.156999999999996</v>
      </c>
      <c r="Q1778" s="44" t="str">
        <f t="shared" si="60"/>
        <v>PASS</v>
      </c>
      <c r="R1778" s="44" t="s">
        <v>1110</v>
      </c>
      <c r="S1778" s="44"/>
    </row>
    <row r="1779" spans="1:19" x14ac:dyDescent="0.3">
      <c r="A1779" s="44" t="s">
        <v>3123</v>
      </c>
      <c r="B1779" s="44" t="s">
        <v>114</v>
      </c>
      <c r="C1779" s="44" t="s">
        <v>27</v>
      </c>
      <c r="D1779" s="44" t="s">
        <v>316</v>
      </c>
      <c r="E1779" s="44" t="s">
        <v>1035</v>
      </c>
      <c r="F1779" s="44" t="s">
        <v>1798</v>
      </c>
      <c r="G1779" s="44" t="s">
        <v>2923</v>
      </c>
      <c r="H1779" s="44" t="s">
        <v>1120</v>
      </c>
      <c r="I1779" s="44" t="s">
        <v>1106</v>
      </c>
      <c r="J1779" s="44">
        <v>190</v>
      </c>
      <c r="K1779" s="44" t="s">
        <v>2055</v>
      </c>
      <c r="L1779" s="44"/>
      <c r="M1779" s="44" t="s">
        <v>2033</v>
      </c>
      <c r="N1779" s="45">
        <v>36001</v>
      </c>
      <c r="O1779" s="46">
        <f t="shared" si="59"/>
        <v>36.000999999999998</v>
      </c>
      <c r="P1779" s="47">
        <f>FCCL!F58</f>
        <v>36.000999999999998</v>
      </c>
      <c r="Q1779" s="44" t="str">
        <f t="shared" si="60"/>
        <v>PASS</v>
      </c>
      <c r="R1779" s="44" t="s">
        <v>1110</v>
      </c>
      <c r="S1779" s="44"/>
    </row>
    <row r="1780" spans="1:19" x14ac:dyDescent="0.3">
      <c r="A1780" s="44" t="s">
        <v>3124</v>
      </c>
      <c r="B1780" s="44" t="s">
        <v>114</v>
      </c>
      <c r="C1780" s="44" t="s">
        <v>28</v>
      </c>
      <c r="D1780" s="44" t="s">
        <v>316</v>
      </c>
      <c r="E1780" s="44" t="s">
        <v>1035</v>
      </c>
      <c r="F1780" s="44" t="s">
        <v>1798</v>
      </c>
      <c r="G1780" s="44" t="s">
        <v>2925</v>
      </c>
      <c r="H1780" s="44" t="s">
        <v>1124</v>
      </c>
      <c r="I1780" s="44" t="s">
        <v>1106</v>
      </c>
      <c r="J1780" s="44">
        <v>244</v>
      </c>
      <c r="K1780" s="44" t="s">
        <v>1107</v>
      </c>
      <c r="L1780" s="44"/>
      <c r="M1780" s="44" t="s">
        <v>2033</v>
      </c>
      <c r="N1780" s="45">
        <v>35646</v>
      </c>
      <c r="O1780" s="46">
        <f t="shared" si="59"/>
        <v>35.646000000000001</v>
      </c>
      <c r="P1780" s="47">
        <f>FCCL!G58</f>
        <v>35.646000000000001</v>
      </c>
      <c r="Q1780" s="44" t="str">
        <f t="shared" si="60"/>
        <v>PASS</v>
      </c>
      <c r="R1780" s="44" t="s">
        <v>1110</v>
      </c>
      <c r="S1780" s="44"/>
    </row>
    <row r="1781" spans="1:19" x14ac:dyDescent="0.3">
      <c r="A1781" s="44" t="s">
        <v>3125</v>
      </c>
      <c r="B1781" s="44" t="s">
        <v>114</v>
      </c>
      <c r="C1781" s="44" t="s">
        <v>29</v>
      </c>
      <c r="D1781" s="44" t="s">
        <v>316</v>
      </c>
      <c r="E1781" s="44" t="s">
        <v>1035</v>
      </c>
      <c r="F1781" s="44" t="s">
        <v>1798</v>
      </c>
      <c r="G1781" s="44" t="s">
        <v>2925</v>
      </c>
      <c r="H1781" s="44" t="s">
        <v>1124</v>
      </c>
      <c r="I1781" s="44" t="s">
        <v>1127</v>
      </c>
      <c r="J1781" s="44">
        <v>244</v>
      </c>
      <c r="K1781" s="44" t="s">
        <v>1107</v>
      </c>
      <c r="L1781" s="44"/>
      <c r="M1781" s="44" t="s">
        <v>2033</v>
      </c>
      <c r="N1781" s="45">
        <v>41182</v>
      </c>
      <c r="O1781" s="46">
        <f t="shared" si="59"/>
        <v>41.182000000000002</v>
      </c>
      <c r="P1781" s="47">
        <f>FCCL!H58</f>
        <v>41.182000000000002</v>
      </c>
      <c r="Q1781" s="44" t="str">
        <f t="shared" si="60"/>
        <v>PASS</v>
      </c>
      <c r="R1781" s="44" t="s">
        <v>1110</v>
      </c>
      <c r="S1781" s="44"/>
    </row>
    <row r="1782" spans="1:19" x14ac:dyDescent="0.3">
      <c r="A1782" s="44" t="s">
        <v>3126</v>
      </c>
      <c r="B1782" s="44" t="s">
        <v>114</v>
      </c>
      <c r="C1782" s="44" t="s">
        <v>965</v>
      </c>
      <c r="D1782" s="44" t="s">
        <v>318</v>
      </c>
      <c r="E1782" s="44" t="s">
        <v>1035</v>
      </c>
      <c r="F1782" s="44"/>
      <c r="G1782" s="44" t="s">
        <v>2916</v>
      </c>
      <c r="H1782" s="44" t="s">
        <v>1105</v>
      </c>
      <c r="I1782" s="44" t="s">
        <v>1106</v>
      </c>
      <c r="J1782" s="44">
        <v>164</v>
      </c>
      <c r="K1782" s="44" t="s">
        <v>2905</v>
      </c>
      <c r="L1782" s="44"/>
      <c r="M1782" s="44" t="s">
        <v>2033</v>
      </c>
      <c r="N1782" s="45">
        <v>0</v>
      </c>
      <c r="O1782" s="46">
        <f t="shared" si="59"/>
        <v>0</v>
      </c>
      <c r="P1782" s="47">
        <f>FCCL!C59</f>
        <v>0</v>
      </c>
      <c r="Q1782" s="44" t="str">
        <f t="shared" si="60"/>
        <v>PASS</v>
      </c>
      <c r="R1782" s="44" t="s">
        <v>1110</v>
      </c>
      <c r="S1782" s="44"/>
    </row>
    <row r="1783" spans="1:19" x14ac:dyDescent="0.3">
      <c r="A1783" s="44" t="s">
        <v>3127</v>
      </c>
      <c r="B1783" s="44" t="s">
        <v>114</v>
      </c>
      <c r="C1783" s="44" t="s">
        <v>20</v>
      </c>
      <c r="D1783" s="44" t="s">
        <v>318</v>
      </c>
      <c r="E1783" s="44" t="s">
        <v>1035</v>
      </c>
      <c r="F1783" s="44"/>
      <c r="G1783" s="44" t="s">
        <v>2918</v>
      </c>
      <c r="H1783" s="44" t="s">
        <v>1113</v>
      </c>
      <c r="I1783" s="44" t="s">
        <v>1106</v>
      </c>
      <c r="J1783" s="44">
        <v>186</v>
      </c>
      <c r="K1783" s="44" t="s">
        <v>2051</v>
      </c>
      <c r="L1783" s="44"/>
      <c r="M1783" s="44" t="s">
        <v>2033</v>
      </c>
      <c r="N1783" s="45">
        <v>0</v>
      </c>
      <c r="O1783" s="46">
        <f t="shared" si="59"/>
        <v>0</v>
      </c>
      <c r="P1783" s="47">
        <f>FCCL!D59</f>
        <v>0</v>
      </c>
      <c r="Q1783" s="44" t="str">
        <f t="shared" si="60"/>
        <v>PASS</v>
      </c>
      <c r="R1783" s="44" t="s">
        <v>1110</v>
      </c>
      <c r="S1783" s="44"/>
    </row>
    <row r="1784" spans="1:19" x14ac:dyDescent="0.3">
      <c r="A1784" s="44" t="s">
        <v>3128</v>
      </c>
      <c r="B1784" s="44" t="s">
        <v>114</v>
      </c>
      <c r="C1784" s="44" t="s">
        <v>26</v>
      </c>
      <c r="D1784" s="44" t="s">
        <v>318</v>
      </c>
      <c r="E1784" s="44" t="s">
        <v>1035</v>
      </c>
      <c r="F1784" s="44"/>
      <c r="G1784" s="44" t="s">
        <v>2920</v>
      </c>
      <c r="H1784" s="44" t="s">
        <v>1117</v>
      </c>
      <c r="I1784" s="44" t="s">
        <v>1106</v>
      </c>
      <c r="J1784" s="44">
        <v>208</v>
      </c>
      <c r="K1784" s="44" t="s">
        <v>2392</v>
      </c>
      <c r="L1784" s="44"/>
      <c r="M1784" s="44" t="s">
        <v>2033</v>
      </c>
      <c r="N1784" s="45">
        <v>0</v>
      </c>
      <c r="O1784" s="46">
        <f t="shared" si="59"/>
        <v>0</v>
      </c>
      <c r="P1784" s="47">
        <f>FCCL!E59</f>
        <v>0</v>
      </c>
      <c r="Q1784" s="44" t="str">
        <f t="shared" si="60"/>
        <v>PASS</v>
      </c>
      <c r="R1784" s="44" t="s">
        <v>1110</v>
      </c>
      <c r="S1784" s="44"/>
    </row>
    <row r="1785" spans="1:19" x14ac:dyDescent="0.3">
      <c r="A1785" s="44" t="s">
        <v>3129</v>
      </c>
      <c r="B1785" s="44" t="s">
        <v>114</v>
      </c>
      <c r="C1785" s="44" t="s">
        <v>27</v>
      </c>
      <c r="D1785" s="44" t="s">
        <v>318</v>
      </c>
      <c r="E1785" s="44" t="s">
        <v>1035</v>
      </c>
      <c r="F1785" s="44" t="s">
        <v>3130</v>
      </c>
      <c r="G1785" s="44" t="s">
        <v>2923</v>
      </c>
      <c r="H1785" s="44" t="s">
        <v>1120</v>
      </c>
      <c r="I1785" s="44" t="s">
        <v>1106</v>
      </c>
      <c r="J1785" s="44">
        <v>190</v>
      </c>
      <c r="K1785" s="44" t="s">
        <v>2055</v>
      </c>
      <c r="L1785" s="44"/>
      <c r="M1785" s="44" t="s">
        <v>2033</v>
      </c>
      <c r="N1785" s="45">
        <v>0</v>
      </c>
      <c r="O1785" s="46">
        <f t="shared" si="59"/>
        <v>0</v>
      </c>
      <c r="P1785" s="47">
        <f>FCCL!F59</f>
        <v>0</v>
      </c>
      <c r="Q1785" s="44" t="str">
        <f t="shared" si="60"/>
        <v>PASS</v>
      </c>
      <c r="R1785" s="44" t="s">
        <v>1110</v>
      </c>
      <c r="S1785" s="44"/>
    </row>
    <row r="1786" spans="1:19" x14ac:dyDescent="0.3">
      <c r="A1786" s="44" t="s">
        <v>3131</v>
      </c>
      <c r="B1786" s="44" t="s">
        <v>114</v>
      </c>
      <c r="C1786" s="44" t="s">
        <v>28</v>
      </c>
      <c r="D1786" s="44" t="s">
        <v>318</v>
      </c>
      <c r="E1786" s="44" t="s">
        <v>1035</v>
      </c>
      <c r="F1786" s="44" t="s">
        <v>3132</v>
      </c>
      <c r="G1786" s="44" t="s">
        <v>2925</v>
      </c>
      <c r="H1786" s="44" t="s">
        <v>1124</v>
      </c>
      <c r="I1786" s="44" t="s">
        <v>1106</v>
      </c>
      <c r="J1786" s="44">
        <v>244</v>
      </c>
      <c r="K1786" s="44" t="s">
        <v>1107</v>
      </c>
      <c r="L1786" s="44"/>
      <c r="M1786" s="44" t="s">
        <v>2033</v>
      </c>
      <c r="N1786" s="45">
        <v>56810</v>
      </c>
      <c r="O1786" s="46">
        <f t="shared" si="59"/>
        <v>56.81</v>
      </c>
      <c r="P1786" s="47">
        <f>FCCL!G59</f>
        <v>56.81</v>
      </c>
      <c r="Q1786" s="44" t="str">
        <f t="shared" si="60"/>
        <v>PASS</v>
      </c>
      <c r="R1786" s="44" t="s">
        <v>1110</v>
      </c>
      <c r="S1786" s="44"/>
    </row>
    <row r="1787" spans="1:19" x14ac:dyDescent="0.3">
      <c r="A1787" s="44" t="s">
        <v>3133</v>
      </c>
      <c r="B1787" s="44" t="s">
        <v>114</v>
      </c>
      <c r="C1787" s="44" t="s">
        <v>29</v>
      </c>
      <c r="D1787" s="44" t="s">
        <v>318</v>
      </c>
      <c r="E1787" s="44" t="s">
        <v>1035</v>
      </c>
      <c r="F1787" s="44" t="s">
        <v>3132</v>
      </c>
      <c r="G1787" s="44" t="s">
        <v>2925</v>
      </c>
      <c r="H1787" s="44" t="s">
        <v>1124</v>
      </c>
      <c r="I1787" s="44" t="s">
        <v>1127</v>
      </c>
      <c r="J1787" s="44">
        <v>244</v>
      </c>
      <c r="K1787" s="44" t="s">
        <v>1107</v>
      </c>
      <c r="L1787" s="44"/>
      <c r="M1787" s="44" t="s">
        <v>2033</v>
      </c>
      <c r="N1787" s="45">
        <v>0</v>
      </c>
      <c r="O1787" s="46">
        <f t="shared" si="59"/>
        <v>0</v>
      </c>
      <c r="P1787" s="47">
        <f>FCCL!H59</f>
        <v>0</v>
      </c>
      <c r="Q1787" s="44" t="str">
        <f t="shared" si="60"/>
        <v>PASS</v>
      </c>
      <c r="R1787" s="44" t="s">
        <v>1110</v>
      </c>
      <c r="S1787" s="44"/>
    </row>
    <row r="1788" spans="1:19" x14ac:dyDescent="0.3">
      <c r="A1788" s="44" t="s">
        <v>3134</v>
      </c>
      <c r="B1788" s="44" t="s">
        <v>114</v>
      </c>
      <c r="C1788" s="44" t="s">
        <v>965</v>
      </c>
      <c r="D1788" s="44" t="s">
        <v>320</v>
      </c>
      <c r="E1788" s="44" t="s">
        <v>1035</v>
      </c>
      <c r="F1788" s="44" t="s">
        <v>3135</v>
      </c>
      <c r="G1788" s="44" t="s">
        <v>2916</v>
      </c>
      <c r="H1788" s="44" t="s">
        <v>1105</v>
      </c>
      <c r="I1788" s="44" t="s">
        <v>1106</v>
      </c>
      <c r="J1788" s="44">
        <v>164</v>
      </c>
      <c r="K1788" s="44" t="s">
        <v>2905</v>
      </c>
      <c r="L1788" s="44"/>
      <c r="M1788" s="44" t="s">
        <v>2033</v>
      </c>
      <c r="N1788" s="45">
        <v>1414393</v>
      </c>
      <c r="O1788" s="46">
        <f t="shared" si="59"/>
        <v>1414.393</v>
      </c>
      <c r="P1788" s="47">
        <f>FCCL!C60</f>
        <v>1414.393</v>
      </c>
      <c r="Q1788" s="44" t="str">
        <f t="shared" si="60"/>
        <v>PASS</v>
      </c>
      <c r="R1788" s="44" t="s">
        <v>1110</v>
      </c>
      <c r="S1788" s="44"/>
    </row>
    <row r="1789" spans="1:19" x14ac:dyDescent="0.3">
      <c r="A1789" s="44" t="s">
        <v>3136</v>
      </c>
      <c r="B1789" s="44" t="s">
        <v>114</v>
      </c>
      <c r="C1789" s="44" t="s">
        <v>20</v>
      </c>
      <c r="D1789" s="44" t="s">
        <v>320</v>
      </c>
      <c r="E1789" s="44" t="s">
        <v>1035</v>
      </c>
      <c r="F1789" s="44" t="s">
        <v>3135</v>
      </c>
      <c r="G1789" s="44" t="s">
        <v>2918</v>
      </c>
      <c r="H1789" s="44" t="s">
        <v>1113</v>
      </c>
      <c r="I1789" s="44" t="s">
        <v>1106</v>
      </c>
      <c r="J1789" s="44">
        <v>186</v>
      </c>
      <c r="K1789" s="44" t="s">
        <v>2051</v>
      </c>
      <c r="L1789" s="44"/>
      <c r="M1789" s="44" t="s">
        <v>2033</v>
      </c>
      <c r="N1789" s="45">
        <v>1847123</v>
      </c>
      <c r="O1789" s="46">
        <f t="shared" si="59"/>
        <v>1847.123</v>
      </c>
      <c r="P1789" s="47">
        <f>FCCL!D60</f>
        <v>1847.123</v>
      </c>
      <c r="Q1789" s="44" t="str">
        <f t="shared" si="60"/>
        <v>PASS</v>
      </c>
      <c r="R1789" s="44" t="s">
        <v>1110</v>
      </c>
      <c r="S1789" s="44"/>
    </row>
    <row r="1790" spans="1:19" x14ac:dyDescent="0.3">
      <c r="A1790" s="44" t="s">
        <v>3137</v>
      </c>
      <c r="B1790" s="44" t="s">
        <v>114</v>
      </c>
      <c r="C1790" s="44" t="s">
        <v>26</v>
      </c>
      <c r="D1790" s="44" t="s">
        <v>320</v>
      </c>
      <c r="E1790" s="44" t="s">
        <v>1035</v>
      </c>
      <c r="F1790" s="44" t="s">
        <v>3135</v>
      </c>
      <c r="G1790" s="44" t="s">
        <v>2920</v>
      </c>
      <c r="H1790" s="44" t="s">
        <v>1117</v>
      </c>
      <c r="I1790" s="44" t="s">
        <v>1106</v>
      </c>
      <c r="J1790" s="44">
        <v>208</v>
      </c>
      <c r="K1790" s="44" t="s">
        <v>2392</v>
      </c>
      <c r="L1790" s="44"/>
      <c r="M1790" s="44" t="s">
        <v>2033</v>
      </c>
      <c r="N1790" s="45">
        <v>4879506</v>
      </c>
      <c r="O1790" s="46">
        <f t="shared" si="59"/>
        <v>4879.5060000000003</v>
      </c>
      <c r="P1790" s="47">
        <f>FCCL!E60</f>
        <v>4879.5060000000003</v>
      </c>
      <c r="Q1790" s="44" t="str">
        <f t="shared" si="60"/>
        <v>PASS</v>
      </c>
      <c r="R1790" s="44" t="s">
        <v>1110</v>
      </c>
      <c r="S1790" s="44"/>
    </row>
    <row r="1791" spans="1:19" x14ac:dyDescent="0.3">
      <c r="A1791" s="44" t="s">
        <v>3138</v>
      </c>
      <c r="B1791" s="44" t="s">
        <v>114</v>
      </c>
      <c r="C1791" s="44" t="s">
        <v>27</v>
      </c>
      <c r="D1791" s="44" t="s">
        <v>320</v>
      </c>
      <c r="E1791" s="44" t="s">
        <v>1035</v>
      </c>
      <c r="F1791" s="44" t="s">
        <v>3135</v>
      </c>
      <c r="G1791" s="44" t="s">
        <v>2923</v>
      </c>
      <c r="H1791" s="44" t="s">
        <v>1120</v>
      </c>
      <c r="I1791" s="44" t="s">
        <v>1106</v>
      </c>
      <c r="J1791" s="44">
        <v>190</v>
      </c>
      <c r="K1791" s="44" t="s">
        <v>2055</v>
      </c>
      <c r="L1791" s="44"/>
      <c r="M1791" s="44" t="s">
        <v>2033</v>
      </c>
      <c r="N1791" s="45">
        <v>4600354</v>
      </c>
      <c r="O1791" s="46">
        <f t="shared" si="59"/>
        <v>4600.3540000000003</v>
      </c>
      <c r="P1791" s="47">
        <f>FCCL!F60</f>
        <v>4600.3540000000003</v>
      </c>
      <c r="Q1791" s="44" t="str">
        <f t="shared" si="60"/>
        <v>PASS</v>
      </c>
      <c r="R1791" s="44" t="s">
        <v>1110</v>
      </c>
      <c r="S1791" s="44"/>
    </row>
    <row r="1792" spans="1:19" x14ac:dyDescent="0.3">
      <c r="A1792" s="44" t="s">
        <v>3139</v>
      </c>
      <c r="B1792" s="44" t="s">
        <v>114</v>
      </c>
      <c r="C1792" s="44" t="s">
        <v>28</v>
      </c>
      <c r="D1792" s="44" t="s">
        <v>320</v>
      </c>
      <c r="E1792" s="44" t="s">
        <v>1035</v>
      </c>
      <c r="F1792" s="44" t="s">
        <v>3140</v>
      </c>
      <c r="G1792" s="44" t="s">
        <v>2925</v>
      </c>
      <c r="H1792" s="44" t="s">
        <v>1124</v>
      </c>
      <c r="I1792" s="44" t="s">
        <v>1106</v>
      </c>
      <c r="J1792" s="44">
        <v>244</v>
      </c>
      <c r="K1792" s="44" t="s">
        <v>1107</v>
      </c>
      <c r="L1792" s="44" t="s">
        <v>1125</v>
      </c>
      <c r="M1792" s="44" t="s">
        <v>2033</v>
      </c>
      <c r="N1792" s="45">
        <v>5699618</v>
      </c>
      <c r="O1792" s="46">
        <f t="shared" si="59"/>
        <v>5699.6180000000004</v>
      </c>
      <c r="P1792" s="47">
        <f>FCCL!G60</f>
        <v>5699.6180000000004</v>
      </c>
      <c r="Q1792" s="44" t="str">
        <f t="shared" si="60"/>
        <v>PASS</v>
      </c>
      <c r="R1792" s="44" t="s">
        <v>1110</v>
      </c>
      <c r="S1792" s="44" t="s">
        <v>1114</v>
      </c>
    </row>
    <row r="1793" spans="1:19" x14ac:dyDescent="0.3">
      <c r="A1793" s="44" t="s">
        <v>3141</v>
      </c>
      <c r="B1793" s="44" t="s">
        <v>114</v>
      </c>
      <c r="C1793" s="44" t="s">
        <v>29</v>
      </c>
      <c r="D1793" s="44" t="s">
        <v>320</v>
      </c>
      <c r="E1793" s="44" t="s">
        <v>1035</v>
      </c>
      <c r="F1793" s="44" t="s">
        <v>3140</v>
      </c>
      <c r="G1793" s="44" t="s">
        <v>2925</v>
      </c>
      <c r="H1793" s="44" t="s">
        <v>1124</v>
      </c>
      <c r="I1793" s="44" t="s">
        <v>1127</v>
      </c>
      <c r="J1793" s="44">
        <v>244</v>
      </c>
      <c r="K1793" s="44" t="s">
        <v>1107</v>
      </c>
      <c r="L1793" s="44" t="s">
        <v>1125</v>
      </c>
      <c r="M1793" s="44" t="s">
        <v>2033</v>
      </c>
      <c r="N1793" s="45">
        <v>9646744</v>
      </c>
      <c r="O1793" s="46">
        <f t="shared" si="59"/>
        <v>9646.7440000000006</v>
      </c>
      <c r="P1793" s="47">
        <f>FCCL!H60</f>
        <v>9646.7440000000006</v>
      </c>
      <c r="Q1793" s="44" t="str">
        <f t="shared" si="60"/>
        <v>PASS</v>
      </c>
      <c r="R1793" s="44" t="s">
        <v>1110</v>
      </c>
      <c r="S1793" s="44"/>
    </row>
    <row r="1794" spans="1:19" x14ac:dyDescent="0.3">
      <c r="A1794" s="44" t="s">
        <v>3142</v>
      </c>
      <c r="B1794" s="44" t="s">
        <v>114</v>
      </c>
      <c r="C1794" s="44" t="s">
        <v>965</v>
      </c>
      <c r="D1794" s="44" t="s">
        <v>345</v>
      </c>
      <c r="E1794" s="44" t="s">
        <v>1035</v>
      </c>
      <c r="F1794" s="44"/>
      <c r="G1794" s="44" t="s">
        <v>2916</v>
      </c>
      <c r="H1794" s="44" t="s">
        <v>1105</v>
      </c>
      <c r="I1794" s="44" t="s">
        <v>1106</v>
      </c>
      <c r="J1794" s="44">
        <v>165</v>
      </c>
      <c r="K1794" s="44" t="s">
        <v>1107</v>
      </c>
      <c r="L1794" s="44"/>
      <c r="M1794" s="44" t="s">
        <v>2033</v>
      </c>
      <c r="N1794" s="45">
        <v>29207916</v>
      </c>
      <c r="O1794" s="46">
        <f t="shared" si="59"/>
        <v>29207.916000000001</v>
      </c>
      <c r="P1794" s="47">
        <f>FCCL!C75</f>
        <v>29207.916000000001</v>
      </c>
      <c r="Q1794" s="44" t="str">
        <f t="shared" si="60"/>
        <v>PASS</v>
      </c>
      <c r="R1794" s="44" t="s">
        <v>1110</v>
      </c>
      <c r="S1794" s="44"/>
    </row>
    <row r="1795" spans="1:19" x14ac:dyDescent="0.3">
      <c r="A1795" s="44" t="s">
        <v>3143</v>
      </c>
      <c r="B1795" s="44" t="s">
        <v>114</v>
      </c>
      <c r="C1795" s="44" t="s">
        <v>20</v>
      </c>
      <c r="D1795" s="44" t="s">
        <v>345</v>
      </c>
      <c r="E1795" s="44" t="s">
        <v>1035</v>
      </c>
      <c r="F1795" s="44"/>
      <c r="G1795" s="44" t="s">
        <v>2918</v>
      </c>
      <c r="H1795" s="44" t="s">
        <v>1113</v>
      </c>
      <c r="I1795" s="44" t="s">
        <v>1106</v>
      </c>
      <c r="J1795" s="44">
        <v>187</v>
      </c>
      <c r="K1795" s="44" t="s">
        <v>2232</v>
      </c>
      <c r="L1795" s="44"/>
      <c r="M1795" s="44" t="s">
        <v>2033</v>
      </c>
      <c r="N1795" s="45">
        <v>34052231</v>
      </c>
      <c r="O1795" s="46">
        <f t="shared" si="59"/>
        <v>34052.231</v>
      </c>
      <c r="P1795" s="47">
        <f>FCCL!D75</f>
        <v>34052.231</v>
      </c>
      <c r="Q1795" s="44" t="str">
        <f t="shared" si="60"/>
        <v>PASS</v>
      </c>
      <c r="R1795" s="44" t="s">
        <v>1110</v>
      </c>
      <c r="S1795" s="44"/>
    </row>
    <row r="1796" spans="1:19" x14ac:dyDescent="0.3">
      <c r="A1796" s="44" t="s">
        <v>3144</v>
      </c>
      <c r="B1796" s="44" t="s">
        <v>114</v>
      </c>
      <c r="C1796" s="44" t="s">
        <v>26</v>
      </c>
      <c r="D1796" s="44" t="s">
        <v>345</v>
      </c>
      <c r="E1796" s="44" t="s">
        <v>1035</v>
      </c>
      <c r="F1796" s="44"/>
      <c r="G1796" s="44" t="s">
        <v>2920</v>
      </c>
      <c r="H1796" s="44" t="s">
        <v>1117</v>
      </c>
      <c r="I1796" s="44" t="s">
        <v>1106</v>
      </c>
      <c r="J1796" s="44">
        <v>209</v>
      </c>
      <c r="K1796" s="44" t="s">
        <v>2921</v>
      </c>
      <c r="L1796" s="44"/>
      <c r="M1796" s="44" t="s">
        <v>2033</v>
      </c>
      <c r="N1796" s="45">
        <v>113698077</v>
      </c>
      <c r="O1796" s="46">
        <f t="shared" si="59"/>
        <v>113698.077</v>
      </c>
      <c r="P1796" s="47">
        <f>FCCL!E75</f>
        <v>113698.077</v>
      </c>
      <c r="Q1796" s="44" t="str">
        <f t="shared" si="60"/>
        <v>PASS</v>
      </c>
      <c r="R1796" s="44" t="s">
        <v>1110</v>
      </c>
      <c r="S1796" s="44"/>
    </row>
    <row r="1797" spans="1:19" x14ac:dyDescent="0.3">
      <c r="A1797" s="44" t="s">
        <v>3145</v>
      </c>
      <c r="B1797" s="44" t="s">
        <v>114</v>
      </c>
      <c r="C1797" s="44" t="s">
        <v>27</v>
      </c>
      <c r="D1797" s="44" t="s">
        <v>345</v>
      </c>
      <c r="E1797" s="44" t="s">
        <v>1035</v>
      </c>
      <c r="F1797" s="44"/>
      <c r="G1797" s="44" t="s">
        <v>2923</v>
      </c>
      <c r="H1797" s="44" t="s">
        <v>1120</v>
      </c>
      <c r="I1797" s="44" t="s">
        <v>1106</v>
      </c>
      <c r="J1797" s="44">
        <v>191</v>
      </c>
      <c r="K1797" s="44" t="s">
        <v>1107</v>
      </c>
      <c r="L1797" s="44"/>
      <c r="M1797" s="44" t="s">
        <v>2033</v>
      </c>
      <c r="N1797" s="45">
        <v>138828497</v>
      </c>
      <c r="O1797" s="46">
        <f t="shared" si="59"/>
        <v>138828.497</v>
      </c>
      <c r="P1797" s="47">
        <f>FCCL!F75</f>
        <v>138828.497</v>
      </c>
      <c r="Q1797" s="44" t="str">
        <f t="shared" si="60"/>
        <v>PASS</v>
      </c>
      <c r="R1797" s="44" t="s">
        <v>1110</v>
      </c>
      <c r="S1797" s="44"/>
    </row>
    <row r="1798" spans="1:19" x14ac:dyDescent="0.3">
      <c r="A1798" s="44" t="s">
        <v>3146</v>
      </c>
      <c r="B1798" s="44" t="s">
        <v>114</v>
      </c>
      <c r="C1798" s="44" t="s">
        <v>28</v>
      </c>
      <c r="D1798" s="44" t="s">
        <v>345</v>
      </c>
      <c r="E1798" s="44" t="s">
        <v>1035</v>
      </c>
      <c r="F1798" s="44"/>
      <c r="G1798" s="44" t="s">
        <v>2925</v>
      </c>
      <c r="H1798" s="44" t="s">
        <v>1124</v>
      </c>
      <c r="I1798" s="44" t="s">
        <v>1106</v>
      </c>
      <c r="J1798" s="44">
        <v>245</v>
      </c>
      <c r="K1798" s="44" t="s">
        <v>1107</v>
      </c>
      <c r="L1798" s="44"/>
      <c r="M1798" s="44" t="s">
        <v>2033</v>
      </c>
      <c r="N1798" s="45">
        <v>147636299</v>
      </c>
      <c r="O1798" s="46">
        <f t="shared" si="59"/>
        <v>147636.299</v>
      </c>
      <c r="P1798" s="47">
        <f>FCCL!G75</f>
        <v>147636.299</v>
      </c>
      <c r="Q1798" s="44" t="str">
        <f t="shared" si="60"/>
        <v>PASS</v>
      </c>
      <c r="R1798" s="44" t="s">
        <v>1110</v>
      </c>
      <c r="S1798" s="44"/>
    </row>
    <row r="1799" spans="1:19" x14ac:dyDescent="0.3">
      <c r="A1799" s="44" t="s">
        <v>3147</v>
      </c>
      <c r="B1799" s="44" t="s">
        <v>114</v>
      </c>
      <c r="C1799" s="44" t="s">
        <v>29</v>
      </c>
      <c r="D1799" s="44" t="s">
        <v>345</v>
      </c>
      <c r="E1799" s="44" t="s">
        <v>1035</v>
      </c>
      <c r="F1799" s="44"/>
      <c r="G1799" s="44" t="s">
        <v>2925</v>
      </c>
      <c r="H1799" s="44" t="s">
        <v>1124</v>
      </c>
      <c r="I1799" s="44" t="s">
        <v>1127</v>
      </c>
      <c r="J1799" s="44">
        <v>245</v>
      </c>
      <c r="K1799" s="44" t="s">
        <v>1107</v>
      </c>
      <c r="L1799" s="44"/>
      <c r="M1799" s="44" t="s">
        <v>2033</v>
      </c>
      <c r="N1799" s="45">
        <v>160845191</v>
      </c>
      <c r="O1799" s="46">
        <f t="shared" si="59"/>
        <v>160845.19099999999</v>
      </c>
      <c r="P1799" s="47">
        <f>FCCL!H75</f>
        <v>160845.19099999999</v>
      </c>
      <c r="Q1799" s="44" t="str">
        <f t="shared" si="60"/>
        <v>PASS</v>
      </c>
      <c r="R1799" s="44" t="s">
        <v>1110</v>
      </c>
      <c r="S1799" s="44"/>
    </row>
    <row r="1800" spans="1:19" x14ac:dyDescent="0.3">
      <c r="A1800" s="44" t="s">
        <v>3148</v>
      </c>
      <c r="B1800" s="44" t="s">
        <v>114</v>
      </c>
      <c r="C1800" s="44" t="s">
        <v>965</v>
      </c>
      <c r="D1800" s="44" t="s">
        <v>347</v>
      </c>
      <c r="E1800" s="44" t="s">
        <v>1035</v>
      </c>
      <c r="F1800" s="44"/>
      <c r="G1800" s="44" t="s">
        <v>2916</v>
      </c>
      <c r="H1800" s="44" t="s">
        <v>1105</v>
      </c>
      <c r="I1800" s="44" t="s">
        <v>1106</v>
      </c>
      <c r="J1800" s="44">
        <v>164</v>
      </c>
      <c r="K1800" s="44" t="s">
        <v>2905</v>
      </c>
      <c r="L1800" s="44"/>
      <c r="M1800" s="44" t="s">
        <v>2033</v>
      </c>
      <c r="N1800" s="45">
        <v>19804320</v>
      </c>
      <c r="O1800" s="46">
        <f t="shared" ref="O1800:O1863" si="61">N1800/1000</f>
        <v>19804.32</v>
      </c>
      <c r="P1800" s="47">
        <f>FCCL!C76</f>
        <v>19804.32</v>
      </c>
      <c r="Q1800" s="44" t="str">
        <f t="shared" si="60"/>
        <v>PASS</v>
      </c>
      <c r="R1800" s="44" t="s">
        <v>1110</v>
      </c>
      <c r="S1800" s="44"/>
    </row>
    <row r="1801" spans="1:19" x14ac:dyDescent="0.3">
      <c r="A1801" s="44" t="s">
        <v>3149</v>
      </c>
      <c r="B1801" s="44" t="s">
        <v>114</v>
      </c>
      <c r="C1801" s="44" t="s">
        <v>20</v>
      </c>
      <c r="D1801" s="44" t="s">
        <v>347</v>
      </c>
      <c r="E1801" s="44" t="s">
        <v>1035</v>
      </c>
      <c r="F1801" s="44"/>
      <c r="G1801" s="44" t="s">
        <v>2918</v>
      </c>
      <c r="H1801" s="44" t="s">
        <v>1113</v>
      </c>
      <c r="I1801" s="44" t="s">
        <v>1106</v>
      </c>
      <c r="J1801" s="44">
        <v>186</v>
      </c>
      <c r="K1801" s="44" t="s">
        <v>2051</v>
      </c>
      <c r="L1801" s="44"/>
      <c r="M1801" s="44" t="s">
        <v>2033</v>
      </c>
      <c r="N1801" s="45">
        <v>23275671</v>
      </c>
      <c r="O1801" s="46">
        <f t="shared" si="61"/>
        <v>23275.670999999998</v>
      </c>
      <c r="P1801" s="47">
        <f>FCCL!D76</f>
        <v>23275.670999999998</v>
      </c>
      <c r="Q1801" s="44" t="str">
        <f t="shared" si="60"/>
        <v>PASS</v>
      </c>
      <c r="R1801" s="44" t="s">
        <v>1110</v>
      </c>
      <c r="S1801" s="44"/>
    </row>
    <row r="1802" spans="1:19" x14ac:dyDescent="0.3">
      <c r="A1802" s="44" t="s">
        <v>3150</v>
      </c>
      <c r="B1802" s="44" t="s">
        <v>114</v>
      </c>
      <c r="C1802" s="44" t="s">
        <v>26</v>
      </c>
      <c r="D1802" s="44" t="s">
        <v>347</v>
      </c>
      <c r="E1802" s="44" t="s">
        <v>1035</v>
      </c>
      <c r="F1802" s="44"/>
      <c r="G1802" s="44" t="s">
        <v>2920</v>
      </c>
      <c r="H1802" s="44" t="s">
        <v>1117</v>
      </c>
      <c r="I1802" s="44" t="s">
        <v>1106</v>
      </c>
      <c r="J1802" s="44">
        <v>208</v>
      </c>
      <c r="K1802" s="44" t="s">
        <v>2392</v>
      </c>
      <c r="L1802" s="44"/>
      <c r="M1802" s="44" t="s">
        <v>2033</v>
      </c>
      <c r="N1802" s="45">
        <v>57736056</v>
      </c>
      <c r="O1802" s="46">
        <f t="shared" si="61"/>
        <v>57736.055999999997</v>
      </c>
      <c r="P1802" s="47">
        <f>FCCL!E76</f>
        <v>57736.055999999997</v>
      </c>
      <c r="Q1802" s="44" t="str">
        <f t="shared" si="60"/>
        <v>PASS</v>
      </c>
      <c r="R1802" s="44" t="s">
        <v>1110</v>
      </c>
      <c r="S1802" s="44"/>
    </row>
    <row r="1803" spans="1:19" x14ac:dyDescent="0.3">
      <c r="A1803" s="44" t="s">
        <v>3151</v>
      </c>
      <c r="B1803" s="44" t="s">
        <v>114</v>
      </c>
      <c r="C1803" s="44" t="s">
        <v>27</v>
      </c>
      <c r="D1803" s="44" t="s">
        <v>347</v>
      </c>
      <c r="E1803" s="44" t="s">
        <v>1035</v>
      </c>
      <c r="F1803" s="44"/>
      <c r="G1803" s="44" t="s">
        <v>2923</v>
      </c>
      <c r="H1803" s="44" t="s">
        <v>1120</v>
      </c>
      <c r="I1803" s="44" t="s">
        <v>1106</v>
      </c>
      <c r="J1803" s="44">
        <v>190</v>
      </c>
      <c r="K1803" s="44" t="s">
        <v>2055</v>
      </c>
      <c r="L1803" s="44"/>
      <c r="M1803" s="44" t="s">
        <v>2033</v>
      </c>
      <c r="N1803" s="45">
        <v>65175737</v>
      </c>
      <c r="O1803" s="46">
        <f t="shared" si="61"/>
        <v>65175.737000000001</v>
      </c>
      <c r="P1803" s="47">
        <f>FCCL!F76</f>
        <v>65175.737000000001</v>
      </c>
      <c r="Q1803" s="44" t="str">
        <f t="shared" si="60"/>
        <v>PASS</v>
      </c>
      <c r="R1803" s="44" t="s">
        <v>1110</v>
      </c>
      <c r="S1803" s="44"/>
    </row>
    <row r="1804" spans="1:19" x14ac:dyDescent="0.3">
      <c r="A1804" s="44" t="s">
        <v>3152</v>
      </c>
      <c r="B1804" s="44" t="s">
        <v>114</v>
      </c>
      <c r="C1804" s="44" t="s">
        <v>28</v>
      </c>
      <c r="D1804" s="44" t="s">
        <v>347</v>
      </c>
      <c r="E1804" s="44" t="s">
        <v>1035</v>
      </c>
      <c r="F1804" s="44"/>
      <c r="G1804" s="44" t="s">
        <v>2925</v>
      </c>
      <c r="H1804" s="44" t="s">
        <v>1124</v>
      </c>
      <c r="I1804" s="44" t="s">
        <v>1106</v>
      </c>
      <c r="J1804" s="44">
        <v>244</v>
      </c>
      <c r="K1804" s="44" t="s">
        <v>1107</v>
      </c>
      <c r="L1804" s="44"/>
      <c r="M1804" s="44" t="s">
        <v>2033</v>
      </c>
      <c r="N1804" s="45">
        <v>73398853</v>
      </c>
      <c r="O1804" s="46">
        <f t="shared" si="61"/>
        <v>73398.853000000003</v>
      </c>
      <c r="P1804" s="47">
        <f>FCCL!G76</f>
        <v>73398.853000000003</v>
      </c>
      <c r="Q1804" s="44" t="str">
        <f t="shared" si="60"/>
        <v>PASS</v>
      </c>
      <c r="R1804" s="44" t="s">
        <v>1110</v>
      </c>
      <c r="S1804" s="44"/>
    </row>
    <row r="1805" spans="1:19" x14ac:dyDescent="0.3">
      <c r="A1805" s="44" t="s">
        <v>3153</v>
      </c>
      <c r="B1805" s="44" t="s">
        <v>114</v>
      </c>
      <c r="C1805" s="44" t="s">
        <v>29</v>
      </c>
      <c r="D1805" s="44" t="s">
        <v>347</v>
      </c>
      <c r="E1805" s="44" t="s">
        <v>1035</v>
      </c>
      <c r="F1805" s="44"/>
      <c r="G1805" s="44" t="s">
        <v>2925</v>
      </c>
      <c r="H1805" s="44" t="s">
        <v>1124</v>
      </c>
      <c r="I1805" s="44" t="s">
        <v>1127</v>
      </c>
      <c r="J1805" s="44">
        <v>244</v>
      </c>
      <c r="K1805" s="44" t="s">
        <v>1107</v>
      </c>
      <c r="L1805" s="44"/>
      <c r="M1805" s="44" t="s">
        <v>2033</v>
      </c>
      <c r="N1805" s="45">
        <v>84272208</v>
      </c>
      <c r="O1805" s="46">
        <f t="shared" si="61"/>
        <v>84272.207999999999</v>
      </c>
      <c r="P1805" s="47">
        <f>FCCL!H76</f>
        <v>84272.207999999999</v>
      </c>
      <c r="Q1805" s="44" t="str">
        <f t="shared" si="60"/>
        <v>PASS</v>
      </c>
      <c r="R1805" s="44" t="s">
        <v>1110</v>
      </c>
      <c r="S1805" s="44"/>
    </row>
    <row r="1806" spans="1:19" x14ac:dyDescent="0.3">
      <c r="A1806" s="44" t="s">
        <v>3154</v>
      </c>
      <c r="B1806" s="44" t="s">
        <v>114</v>
      </c>
      <c r="C1806" s="44" t="s">
        <v>965</v>
      </c>
      <c r="D1806" s="44" t="s">
        <v>349</v>
      </c>
      <c r="E1806" s="44" t="s">
        <v>1035</v>
      </c>
      <c r="F1806" s="44"/>
      <c r="G1806" s="44" t="s">
        <v>2916</v>
      </c>
      <c r="H1806" s="44" t="s">
        <v>1105</v>
      </c>
      <c r="I1806" s="44" t="s">
        <v>1106</v>
      </c>
      <c r="J1806" s="44">
        <v>165</v>
      </c>
      <c r="K1806" s="44" t="s">
        <v>2905</v>
      </c>
      <c r="L1806" s="44"/>
      <c r="M1806" s="44" t="s">
        <v>2033</v>
      </c>
      <c r="N1806" s="45">
        <v>6983321</v>
      </c>
      <c r="O1806" s="46">
        <f t="shared" si="61"/>
        <v>6983.3209999999999</v>
      </c>
      <c r="P1806" s="47">
        <f>FCCL!C77</f>
        <v>6983.3209999999999</v>
      </c>
      <c r="Q1806" s="44" t="str">
        <f t="shared" si="60"/>
        <v>PASS</v>
      </c>
      <c r="R1806" s="44" t="s">
        <v>1110</v>
      </c>
      <c r="S1806" s="44"/>
    </row>
    <row r="1807" spans="1:19" x14ac:dyDescent="0.3">
      <c r="A1807" s="44" t="s">
        <v>3155</v>
      </c>
      <c r="B1807" s="44" t="s">
        <v>114</v>
      </c>
      <c r="C1807" s="44" t="s">
        <v>20</v>
      </c>
      <c r="D1807" s="44" t="s">
        <v>349</v>
      </c>
      <c r="E1807" s="44" t="s">
        <v>1035</v>
      </c>
      <c r="F1807" s="44"/>
      <c r="G1807" s="44" t="s">
        <v>2918</v>
      </c>
      <c r="H1807" s="44" t="s">
        <v>1113</v>
      </c>
      <c r="I1807" s="44" t="s">
        <v>1106</v>
      </c>
      <c r="J1807" s="44">
        <v>187</v>
      </c>
      <c r="K1807" s="44" t="s">
        <v>2051</v>
      </c>
      <c r="L1807" s="44"/>
      <c r="M1807" s="44" t="s">
        <v>2033</v>
      </c>
      <c r="N1807" s="45">
        <v>12438732</v>
      </c>
      <c r="O1807" s="46">
        <f t="shared" si="61"/>
        <v>12438.732</v>
      </c>
      <c r="P1807" s="47">
        <f>FCCL!D77</f>
        <v>12438.732</v>
      </c>
      <c r="Q1807" s="44" t="str">
        <f t="shared" si="60"/>
        <v>PASS</v>
      </c>
      <c r="R1807" s="44" t="s">
        <v>1110</v>
      </c>
      <c r="S1807" s="44"/>
    </row>
    <row r="1808" spans="1:19" x14ac:dyDescent="0.3">
      <c r="A1808" s="44" t="s">
        <v>3156</v>
      </c>
      <c r="B1808" s="44" t="s">
        <v>114</v>
      </c>
      <c r="C1808" s="44" t="s">
        <v>26</v>
      </c>
      <c r="D1808" s="44" t="s">
        <v>349</v>
      </c>
      <c r="E1808" s="44" t="s">
        <v>1035</v>
      </c>
      <c r="F1808" s="44"/>
      <c r="G1808" s="44" t="s">
        <v>2920</v>
      </c>
      <c r="H1808" s="44" t="s">
        <v>1117</v>
      </c>
      <c r="I1808" s="44" t="s">
        <v>1106</v>
      </c>
      <c r="J1808" s="44">
        <v>208</v>
      </c>
      <c r="K1808" s="44" t="s">
        <v>2392</v>
      </c>
      <c r="L1808" s="44"/>
      <c r="M1808" s="44" t="s">
        <v>2033</v>
      </c>
      <c r="N1808" s="45">
        <v>28216812</v>
      </c>
      <c r="O1808" s="46">
        <f t="shared" si="61"/>
        <v>28216.812000000002</v>
      </c>
      <c r="P1808" s="47">
        <f>FCCL!E77</f>
        <v>28216.812000000002</v>
      </c>
      <c r="Q1808" s="44" t="str">
        <f t="shared" si="60"/>
        <v>PASS</v>
      </c>
      <c r="R1808" s="44" t="s">
        <v>1110</v>
      </c>
      <c r="S1808" s="44"/>
    </row>
    <row r="1809" spans="1:19" x14ac:dyDescent="0.3">
      <c r="A1809" s="44" t="s">
        <v>3157</v>
      </c>
      <c r="B1809" s="44" t="s">
        <v>114</v>
      </c>
      <c r="C1809" s="44" t="s">
        <v>27</v>
      </c>
      <c r="D1809" s="44" t="s">
        <v>349</v>
      </c>
      <c r="E1809" s="44" t="s">
        <v>1035</v>
      </c>
      <c r="F1809" s="44"/>
      <c r="G1809" s="44" t="s">
        <v>2923</v>
      </c>
      <c r="H1809" s="44" t="s">
        <v>1120</v>
      </c>
      <c r="I1809" s="44" t="s">
        <v>1106</v>
      </c>
      <c r="J1809" s="44">
        <v>191</v>
      </c>
      <c r="K1809" s="44" t="s">
        <v>2055</v>
      </c>
      <c r="L1809" s="44"/>
      <c r="M1809" s="44" t="s">
        <v>2033</v>
      </c>
      <c r="N1809" s="45">
        <v>23134499</v>
      </c>
      <c r="O1809" s="46">
        <f t="shared" si="61"/>
        <v>23134.499</v>
      </c>
      <c r="P1809" s="47">
        <f>FCCL!F77</f>
        <v>23134.499</v>
      </c>
      <c r="Q1809" s="44" t="str">
        <f t="shared" si="60"/>
        <v>PASS</v>
      </c>
      <c r="R1809" s="44" t="s">
        <v>1110</v>
      </c>
      <c r="S1809" s="44"/>
    </row>
    <row r="1810" spans="1:19" x14ac:dyDescent="0.3">
      <c r="A1810" s="44" t="s">
        <v>3158</v>
      </c>
      <c r="B1810" s="44" t="s">
        <v>114</v>
      </c>
      <c r="C1810" s="44" t="s">
        <v>28</v>
      </c>
      <c r="D1810" s="44" t="s">
        <v>349</v>
      </c>
      <c r="E1810" s="44" t="s">
        <v>1035</v>
      </c>
      <c r="F1810" s="44"/>
      <c r="G1810" s="44" t="s">
        <v>2925</v>
      </c>
      <c r="H1810" s="44" t="s">
        <v>1124</v>
      </c>
      <c r="I1810" s="44" t="s">
        <v>1106</v>
      </c>
      <c r="J1810" s="44">
        <v>245</v>
      </c>
      <c r="K1810" s="44" t="s">
        <v>1107</v>
      </c>
      <c r="L1810" s="44"/>
      <c r="M1810" s="44" t="s">
        <v>2033</v>
      </c>
      <c r="N1810" s="45">
        <v>25784071</v>
      </c>
      <c r="O1810" s="46">
        <f t="shared" si="61"/>
        <v>25784.071</v>
      </c>
      <c r="P1810" s="47">
        <f>FCCL!G77</f>
        <v>25784.071</v>
      </c>
      <c r="Q1810" s="44" t="str">
        <f t="shared" si="60"/>
        <v>PASS</v>
      </c>
      <c r="R1810" s="44" t="s">
        <v>1110</v>
      </c>
      <c r="S1810" s="44"/>
    </row>
    <row r="1811" spans="1:19" x14ac:dyDescent="0.3">
      <c r="A1811" s="44" t="s">
        <v>3159</v>
      </c>
      <c r="B1811" s="44" t="s">
        <v>114</v>
      </c>
      <c r="C1811" s="44" t="s">
        <v>29</v>
      </c>
      <c r="D1811" s="44" t="s">
        <v>349</v>
      </c>
      <c r="E1811" s="44" t="s">
        <v>1035</v>
      </c>
      <c r="F1811" s="44"/>
      <c r="G1811" s="44" t="s">
        <v>2925</v>
      </c>
      <c r="H1811" s="44" t="s">
        <v>1124</v>
      </c>
      <c r="I1811" s="44" t="s">
        <v>1127</v>
      </c>
      <c r="J1811" s="44">
        <v>245</v>
      </c>
      <c r="K1811" s="44" t="s">
        <v>1107</v>
      </c>
      <c r="L1811" s="44"/>
      <c r="M1811" s="44" t="s">
        <v>2033</v>
      </c>
      <c r="N1811" s="45">
        <v>40472565</v>
      </c>
      <c r="O1811" s="46">
        <f t="shared" si="61"/>
        <v>40472.565000000002</v>
      </c>
      <c r="P1811" s="47">
        <f>FCCL!H77</f>
        <v>40472.565000000002</v>
      </c>
      <c r="Q1811" s="44" t="str">
        <f t="shared" si="60"/>
        <v>PASS</v>
      </c>
      <c r="R1811" s="44" t="s">
        <v>1110</v>
      </c>
      <c r="S1811" s="44"/>
    </row>
    <row r="1812" spans="1:19" x14ac:dyDescent="0.3">
      <c r="A1812" s="44" t="s">
        <v>3160</v>
      </c>
      <c r="B1812" s="44" t="s">
        <v>114</v>
      </c>
      <c r="C1812" s="44" t="s">
        <v>965</v>
      </c>
      <c r="D1812" s="44" t="s">
        <v>351</v>
      </c>
      <c r="E1812" s="44" t="s">
        <v>1035</v>
      </c>
      <c r="F1812" s="44"/>
      <c r="G1812" s="44" t="s">
        <v>2916</v>
      </c>
      <c r="H1812" s="44" t="s">
        <v>1105</v>
      </c>
      <c r="I1812" s="44" t="s">
        <v>1106</v>
      </c>
      <c r="J1812" s="44">
        <v>164</v>
      </c>
      <c r="K1812" s="44" t="s">
        <v>2905</v>
      </c>
      <c r="L1812" s="44"/>
      <c r="M1812" s="44" t="s">
        <v>2033</v>
      </c>
      <c r="N1812" s="45">
        <v>5182458</v>
      </c>
      <c r="O1812" s="46">
        <f t="shared" si="61"/>
        <v>5182.4579999999996</v>
      </c>
      <c r="P1812" s="47">
        <f>FCCL!C78</f>
        <v>5182.4579999999996</v>
      </c>
      <c r="Q1812" s="44" t="str">
        <f t="shared" si="60"/>
        <v>PASS</v>
      </c>
      <c r="R1812" s="44" t="s">
        <v>1110</v>
      </c>
      <c r="S1812" s="44"/>
    </row>
    <row r="1813" spans="1:19" x14ac:dyDescent="0.3">
      <c r="A1813" s="44" t="s">
        <v>3161</v>
      </c>
      <c r="B1813" s="44" t="s">
        <v>114</v>
      </c>
      <c r="C1813" s="44" t="s">
        <v>20</v>
      </c>
      <c r="D1813" s="44" t="s">
        <v>351</v>
      </c>
      <c r="E1813" s="44" t="s">
        <v>1035</v>
      </c>
      <c r="F1813" s="44"/>
      <c r="G1813" s="44" t="s">
        <v>2918</v>
      </c>
      <c r="H1813" s="44" t="s">
        <v>1113</v>
      </c>
      <c r="I1813" s="44" t="s">
        <v>1106</v>
      </c>
      <c r="J1813" s="44">
        <v>186</v>
      </c>
      <c r="K1813" s="44" t="s">
        <v>2051</v>
      </c>
      <c r="L1813" s="44"/>
      <c r="M1813" s="44" t="s">
        <v>2033</v>
      </c>
      <c r="N1813" s="45">
        <v>6161989</v>
      </c>
      <c r="O1813" s="46">
        <f t="shared" si="61"/>
        <v>6161.9889999999996</v>
      </c>
      <c r="P1813" s="47">
        <f>FCCL!D78</f>
        <v>6161.9889999999996</v>
      </c>
      <c r="Q1813" s="44" t="str">
        <f t="shared" si="60"/>
        <v>PASS</v>
      </c>
      <c r="R1813" s="44" t="s">
        <v>1110</v>
      </c>
      <c r="S1813" s="44"/>
    </row>
    <row r="1814" spans="1:19" x14ac:dyDescent="0.3">
      <c r="A1814" s="44" t="s">
        <v>3162</v>
      </c>
      <c r="B1814" s="44" t="s">
        <v>114</v>
      </c>
      <c r="C1814" s="44" t="s">
        <v>26</v>
      </c>
      <c r="D1814" s="44" t="s">
        <v>351</v>
      </c>
      <c r="E1814" s="44" t="s">
        <v>1035</v>
      </c>
      <c r="F1814" s="44"/>
      <c r="G1814" s="44" t="s">
        <v>2920</v>
      </c>
      <c r="H1814" s="44" t="s">
        <v>1117</v>
      </c>
      <c r="I1814" s="44" t="s">
        <v>1106</v>
      </c>
      <c r="J1814" s="44">
        <v>208</v>
      </c>
      <c r="K1814" s="44" t="s">
        <v>2392</v>
      </c>
      <c r="L1814" s="44"/>
      <c r="M1814" s="44" t="s">
        <v>2033</v>
      </c>
      <c r="N1814" s="45">
        <v>26721253</v>
      </c>
      <c r="O1814" s="46">
        <f t="shared" si="61"/>
        <v>26721.253000000001</v>
      </c>
      <c r="P1814" s="47">
        <f>FCCL!E78</f>
        <v>26721.253000000001</v>
      </c>
      <c r="Q1814" s="44" t="str">
        <f t="shared" ref="Q1814:Q1877" si="62">IF(ABS(O1814-P1814)&lt;0.000001,"PASS","FAIL")</f>
        <v>PASS</v>
      </c>
      <c r="R1814" s="44" t="s">
        <v>1110</v>
      </c>
      <c r="S1814" s="44"/>
    </row>
    <row r="1815" spans="1:19" x14ac:dyDescent="0.3">
      <c r="A1815" s="44" t="s">
        <v>3163</v>
      </c>
      <c r="B1815" s="44" t="s">
        <v>114</v>
      </c>
      <c r="C1815" s="44" t="s">
        <v>27</v>
      </c>
      <c r="D1815" s="44" t="s">
        <v>351</v>
      </c>
      <c r="E1815" s="44" t="s">
        <v>1035</v>
      </c>
      <c r="F1815" s="44"/>
      <c r="G1815" s="44" t="s">
        <v>2923</v>
      </c>
      <c r="H1815" s="44" t="s">
        <v>1120</v>
      </c>
      <c r="I1815" s="44" t="s">
        <v>1106</v>
      </c>
      <c r="J1815" s="44">
        <v>190</v>
      </c>
      <c r="K1815" s="44" t="s">
        <v>2055</v>
      </c>
      <c r="L1815" s="44"/>
      <c r="M1815" s="44" t="s">
        <v>2033</v>
      </c>
      <c r="N1815" s="45">
        <v>28486855</v>
      </c>
      <c r="O1815" s="46">
        <f t="shared" si="61"/>
        <v>28486.855</v>
      </c>
      <c r="P1815" s="47">
        <f>FCCL!F78</f>
        <v>28486.855</v>
      </c>
      <c r="Q1815" s="44" t="str">
        <f t="shared" si="62"/>
        <v>PASS</v>
      </c>
      <c r="R1815" s="44" t="s">
        <v>1110</v>
      </c>
      <c r="S1815" s="44"/>
    </row>
    <row r="1816" spans="1:19" x14ac:dyDescent="0.3">
      <c r="A1816" s="44" t="s">
        <v>3164</v>
      </c>
      <c r="B1816" s="44" t="s">
        <v>114</v>
      </c>
      <c r="C1816" s="44" t="s">
        <v>28</v>
      </c>
      <c r="D1816" s="44" t="s">
        <v>351</v>
      </c>
      <c r="E1816" s="44" t="s">
        <v>1035</v>
      </c>
      <c r="F1816" s="44"/>
      <c r="G1816" s="44" t="s">
        <v>2925</v>
      </c>
      <c r="H1816" s="44" t="s">
        <v>1124</v>
      </c>
      <c r="I1816" s="44" t="s">
        <v>1106</v>
      </c>
      <c r="J1816" s="44">
        <v>244</v>
      </c>
      <c r="K1816" s="44" t="s">
        <v>1107</v>
      </c>
      <c r="L1816" s="44"/>
      <c r="M1816" s="44" t="s">
        <v>2033</v>
      </c>
      <c r="N1816" s="45">
        <v>26865467</v>
      </c>
      <c r="O1816" s="46">
        <f t="shared" si="61"/>
        <v>26865.467000000001</v>
      </c>
      <c r="P1816" s="47">
        <f>FCCL!G78</f>
        <v>26865.467000000001</v>
      </c>
      <c r="Q1816" s="44" t="str">
        <f t="shared" si="62"/>
        <v>PASS</v>
      </c>
      <c r="R1816" s="44" t="s">
        <v>1110</v>
      </c>
      <c r="S1816" s="44"/>
    </row>
    <row r="1817" spans="1:19" x14ac:dyDescent="0.3">
      <c r="A1817" s="44" t="s">
        <v>3165</v>
      </c>
      <c r="B1817" s="44" t="s">
        <v>114</v>
      </c>
      <c r="C1817" s="44" t="s">
        <v>29</v>
      </c>
      <c r="D1817" s="44" t="s">
        <v>351</v>
      </c>
      <c r="E1817" s="44" t="s">
        <v>1035</v>
      </c>
      <c r="F1817" s="44"/>
      <c r="G1817" s="44" t="s">
        <v>2925</v>
      </c>
      <c r="H1817" s="44" t="s">
        <v>1124</v>
      </c>
      <c r="I1817" s="44" t="s">
        <v>1127</v>
      </c>
      <c r="J1817" s="44">
        <v>244</v>
      </c>
      <c r="K1817" s="44" t="s">
        <v>1107</v>
      </c>
      <c r="L1817" s="44"/>
      <c r="M1817" s="44" t="s">
        <v>2033</v>
      </c>
      <c r="N1817" s="45">
        <v>30637497</v>
      </c>
      <c r="O1817" s="46">
        <f t="shared" si="61"/>
        <v>30637.496999999999</v>
      </c>
      <c r="P1817" s="47">
        <f>FCCL!H78</f>
        <v>30637.496999999999</v>
      </c>
      <c r="Q1817" s="44" t="str">
        <f t="shared" si="62"/>
        <v>PASS</v>
      </c>
      <c r="R1817" s="44" t="s">
        <v>1110</v>
      </c>
      <c r="S1817" s="44"/>
    </row>
    <row r="1818" spans="1:19" x14ac:dyDescent="0.3">
      <c r="A1818" s="44" t="s">
        <v>3166</v>
      </c>
      <c r="B1818" s="44" t="s">
        <v>114</v>
      </c>
      <c r="C1818" s="44" t="s">
        <v>20</v>
      </c>
      <c r="D1818" s="44" t="s">
        <v>358</v>
      </c>
      <c r="E1818" s="44" t="s">
        <v>1381</v>
      </c>
      <c r="F1818" s="44" t="s">
        <v>3167</v>
      </c>
      <c r="G1818" s="44" t="s">
        <v>2918</v>
      </c>
      <c r="H1818" s="44" t="s">
        <v>1113</v>
      </c>
      <c r="I1818" s="44" t="s">
        <v>1106</v>
      </c>
      <c r="J1818" s="44">
        <v>188</v>
      </c>
      <c r="K1818" s="44" t="s">
        <v>2053</v>
      </c>
      <c r="L1818" s="44"/>
      <c r="M1818" s="44" t="s">
        <v>2033</v>
      </c>
      <c r="N1818" s="45">
        <v>24271285</v>
      </c>
      <c r="O1818" s="46">
        <f t="shared" si="61"/>
        <v>24271.285</v>
      </c>
      <c r="P1818" s="47">
        <f>FCCL!D84</f>
        <v>24271.285</v>
      </c>
      <c r="Q1818" s="44" t="str">
        <f t="shared" si="62"/>
        <v>PASS</v>
      </c>
      <c r="R1818" s="44" t="s">
        <v>1110</v>
      </c>
      <c r="S1818" s="44"/>
    </row>
    <row r="1819" spans="1:19" x14ac:dyDescent="0.3">
      <c r="A1819" s="44" t="s">
        <v>3168</v>
      </c>
      <c r="B1819" s="44" t="s">
        <v>114</v>
      </c>
      <c r="C1819" s="44" t="s">
        <v>26</v>
      </c>
      <c r="D1819" s="44" t="s">
        <v>358</v>
      </c>
      <c r="E1819" s="44" t="s">
        <v>1381</v>
      </c>
      <c r="F1819" s="44" t="s">
        <v>3167</v>
      </c>
      <c r="G1819" s="44" t="s">
        <v>2920</v>
      </c>
      <c r="H1819" s="44" t="s">
        <v>1117</v>
      </c>
      <c r="I1819" s="44" t="s">
        <v>1106</v>
      </c>
      <c r="J1819" s="44">
        <v>210</v>
      </c>
      <c r="K1819" s="44" t="s">
        <v>2385</v>
      </c>
      <c r="L1819" s="44"/>
      <c r="M1819" s="44" t="s">
        <v>2033</v>
      </c>
      <c r="N1819" s="45">
        <v>54243118</v>
      </c>
      <c r="O1819" s="46">
        <f t="shared" si="61"/>
        <v>54243.118000000002</v>
      </c>
      <c r="P1819" s="47">
        <f>FCCL!E84</f>
        <v>54243.118000000002</v>
      </c>
      <c r="Q1819" s="44" t="str">
        <f t="shared" si="62"/>
        <v>PASS</v>
      </c>
      <c r="R1819" s="44" t="s">
        <v>1110</v>
      </c>
      <c r="S1819" s="44"/>
    </row>
    <row r="1820" spans="1:19" x14ac:dyDescent="0.3">
      <c r="A1820" s="44" t="s">
        <v>3169</v>
      </c>
      <c r="B1820" s="44" t="s">
        <v>114</v>
      </c>
      <c r="C1820" s="44" t="s">
        <v>27</v>
      </c>
      <c r="D1820" s="44" t="s">
        <v>358</v>
      </c>
      <c r="E1820" s="44" t="s">
        <v>1381</v>
      </c>
      <c r="F1820" s="44" t="s">
        <v>3167</v>
      </c>
      <c r="G1820" s="44" t="s">
        <v>2923</v>
      </c>
      <c r="H1820" s="44" t="s">
        <v>1120</v>
      </c>
      <c r="I1820" s="44" t="s">
        <v>1106</v>
      </c>
      <c r="J1820" s="44">
        <v>192</v>
      </c>
      <c r="K1820" s="44" t="s">
        <v>2739</v>
      </c>
      <c r="L1820" s="44"/>
      <c r="M1820" s="44" t="s">
        <v>2033</v>
      </c>
      <c r="N1820" s="45">
        <v>68069282</v>
      </c>
      <c r="O1820" s="46">
        <f t="shared" si="61"/>
        <v>68069.282000000007</v>
      </c>
      <c r="P1820" s="47">
        <f>FCCL!F84</f>
        <v>68069.282000000007</v>
      </c>
      <c r="Q1820" s="44" t="str">
        <f t="shared" si="62"/>
        <v>PASS</v>
      </c>
      <c r="R1820" s="44" t="s">
        <v>1110</v>
      </c>
      <c r="S1820" s="44"/>
    </row>
    <row r="1821" spans="1:19" x14ac:dyDescent="0.3">
      <c r="A1821" s="44" t="s">
        <v>3170</v>
      </c>
      <c r="B1821" s="44" t="s">
        <v>114</v>
      </c>
      <c r="C1821" s="44" t="s">
        <v>28</v>
      </c>
      <c r="D1821" s="44" t="s">
        <v>358</v>
      </c>
      <c r="E1821" s="44" t="s">
        <v>1381</v>
      </c>
      <c r="F1821" s="44" t="s">
        <v>3167</v>
      </c>
      <c r="G1821" s="44" t="s">
        <v>2925</v>
      </c>
      <c r="H1821" s="44" t="s">
        <v>1124</v>
      </c>
      <c r="I1821" s="44" t="s">
        <v>1106</v>
      </c>
      <c r="J1821" s="44">
        <v>246</v>
      </c>
      <c r="K1821" s="44" t="s">
        <v>1107</v>
      </c>
      <c r="L1821" s="44"/>
      <c r="M1821" s="44" t="s">
        <v>2033</v>
      </c>
      <c r="N1821" s="45">
        <v>80026226</v>
      </c>
      <c r="O1821" s="46">
        <f t="shared" si="61"/>
        <v>80026.225999999995</v>
      </c>
      <c r="P1821" s="47">
        <f>FCCL!G84</f>
        <v>80026.225999999995</v>
      </c>
      <c r="Q1821" s="44" t="str">
        <f t="shared" si="62"/>
        <v>PASS</v>
      </c>
      <c r="R1821" s="44" t="s">
        <v>1110</v>
      </c>
      <c r="S1821" s="44"/>
    </row>
    <row r="1822" spans="1:19" x14ac:dyDescent="0.3">
      <c r="A1822" s="44" t="s">
        <v>3171</v>
      </c>
      <c r="B1822" s="44" t="s">
        <v>114</v>
      </c>
      <c r="C1822" s="44" t="s">
        <v>29</v>
      </c>
      <c r="D1822" s="44" t="s">
        <v>358</v>
      </c>
      <c r="E1822" s="44" t="s">
        <v>1381</v>
      </c>
      <c r="F1822" s="44" t="s">
        <v>3167</v>
      </c>
      <c r="G1822" s="44" t="s">
        <v>2925</v>
      </c>
      <c r="H1822" s="44" t="s">
        <v>1124</v>
      </c>
      <c r="I1822" s="44" t="s">
        <v>1127</v>
      </c>
      <c r="J1822" s="44">
        <v>246</v>
      </c>
      <c r="K1822" s="44" t="s">
        <v>1107</v>
      </c>
      <c r="L1822" s="44"/>
      <c r="M1822" s="44" t="s">
        <v>2033</v>
      </c>
      <c r="N1822" s="45">
        <v>88956328</v>
      </c>
      <c r="O1822" s="46">
        <f t="shared" si="61"/>
        <v>88956.327999999994</v>
      </c>
      <c r="P1822" s="47">
        <f>FCCL!H84</f>
        <v>88956.327999999994</v>
      </c>
      <c r="Q1822" s="44" t="str">
        <f t="shared" si="62"/>
        <v>PASS</v>
      </c>
      <c r="R1822" s="44" t="s">
        <v>1110</v>
      </c>
      <c r="S1822" s="44"/>
    </row>
    <row r="1823" spans="1:19" x14ac:dyDescent="0.3">
      <c r="A1823" s="44" t="s">
        <v>3172</v>
      </c>
      <c r="B1823" s="44" t="s">
        <v>114</v>
      </c>
      <c r="C1823" s="44" t="s">
        <v>20</v>
      </c>
      <c r="D1823" s="44" t="s">
        <v>360</v>
      </c>
      <c r="E1823" s="44" t="s">
        <v>1381</v>
      </c>
      <c r="F1823" s="44" t="s">
        <v>360</v>
      </c>
      <c r="G1823" s="44" t="s">
        <v>2918</v>
      </c>
      <c r="H1823" s="44" t="s">
        <v>1113</v>
      </c>
      <c r="I1823" s="44" t="s">
        <v>1106</v>
      </c>
      <c r="J1823" s="44">
        <v>188</v>
      </c>
      <c r="K1823" s="44" t="s">
        <v>2053</v>
      </c>
      <c r="L1823" s="44"/>
      <c r="M1823" s="44" t="s">
        <v>2033</v>
      </c>
      <c r="N1823" s="45">
        <v>-18206880</v>
      </c>
      <c r="O1823" s="46">
        <f t="shared" si="61"/>
        <v>-18206.88</v>
      </c>
      <c r="P1823" s="47">
        <f>FCCL!D85</f>
        <v>-18206.88</v>
      </c>
      <c r="Q1823" s="44" t="str">
        <f t="shared" si="62"/>
        <v>PASS</v>
      </c>
      <c r="R1823" s="44" t="s">
        <v>1110</v>
      </c>
      <c r="S1823" s="44"/>
    </row>
    <row r="1824" spans="1:19" x14ac:dyDescent="0.3">
      <c r="A1824" s="44" t="s">
        <v>3173</v>
      </c>
      <c r="B1824" s="44" t="s">
        <v>114</v>
      </c>
      <c r="C1824" s="44" t="s">
        <v>26</v>
      </c>
      <c r="D1824" s="44" t="s">
        <v>360</v>
      </c>
      <c r="E1824" s="44" t="s">
        <v>1381</v>
      </c>
      <c r="F1824" s="44" t="s">
        <v>360</v>
      </c>
      <c r="G1824" s="44" t="s">
        <v>2920</v>
      </c>
      <c r="H1824" s="44" t="s">
        <v>1117</v>
      </c>
      <c r="I1824" s="44" t="s">
        <v>1106</v>
      </c>
      <c r="J1824" s="44">
        <v>210</v>
      </c>
      <c r="K1824" s="44" t="s">
        <v>2385</v>
      </c>
      <c r="L1824" s="44"/>
      <c r="M1824" s="44" t="s">
        <v>2033</v>
      </c>
      <c r="N1824" s="45">
        <v>-38779542</v>
      </c>
      <c r="O1824" s="46">
        <f t="shared" si="61"/>
        <v>-38779.542000000001</v>
      </c>
      <c r="P1824" s="47">
        <f>FCCL!E85</f>
        <v>-38779.542000000001</v>
      </c>
      <c r="Q1824" s="44" t="str">
        <f t="shared" si="62"/>
        <v>PASS</v>
      </c>
      <c r="R1824" s="44" t="s">
        <v>1110</v>
      </c>
      <c r="S1824" s="44" t="s">
        <v>1114</v>
      </c>
    </row>
    <row r="1825" spans="1:19" x14ac:dyDescent="0.3">
      <c r="A1825" s="44" t="s">
        <v>3174</v>
      </c>
      <c r="B1825" s="44" t="s">
        <v>114</v>
      </c>
      <c r="C1825" s="44" t="s">
        <v>27</v>
      </c>
      <c r="D1825" s="44" t="s">
        <v>360</v>
      </c>
      <c r="E1825" s="44" t="s">
        <v>1381</v>
      </c>
      <c r="F1825" s="44" t="s">
        <v>360</v>
      </c>
      <c r="G1825" s="44" t="s">
        <v>2923</v>
      </c>
      <c r="H1825" s="44" t="s">
        <v>1120</v>
      </c>
      <c r="I1825" s="44" t="s">
        <v>1106</v>
      </c>
      <c r="J1825" s="44">
        <v>192</v>
      </c>
      <c r="K1825" s="44" t="s">
        <v>2739</v>
      </c>
      <c r="L1825" s="44"/>
      <c r="M1825" s="44" t="s">
        <v>2033</v>
      </c>
      <c r="N1825" s="45">
        <v>-47650809</v>
      </c>
      <c r="O1825" s="46">
        <f t="shared" si="61"/>
        <v>-47650.809000000001</v>
      </c>
      <c r="P1825" s="47">
        <f>FCCL!F85</f>
        <v>-47650.809000000001</v>
      </c>
      <c r="Q1825" s="44" t="str">
        <f t="shared" si="62"/>
        <v>PASS</v>
      </c>
      <c r="R1825" s="44" t="s">
        <v>1110</v>
      </c>
      <c r="S1825" s="44"/>
    </row>
    <row r="1826" spans="1:19" x14ac:dyDescent="0.3">
      <c r="A1826" s="44" t="s">
        <v>3175</v>
      </c>
      <c r="B1826" s="44" t="s">
        <v>114</v>
      </c>
      <c r="C1826" s="44" t="s">
        <v>28</v>
      </c>
      <c r="D1826" s="44" t="s">
        <v>360</v>
      </c>
      <c r="E1826" s="44" t="s">
        <v>1381</v>
      </c>
      <c r="F1826" s="44" t="s">
        <v>360</v>
      </c>
      <c r="G1826" s="44" t="s">
        <v>2925</v>
      </c>
      <c r="H1826" s="44" t="s">
        <v>1124</v>
      </c>
      <c r="I1826" s="44" t="s">
        <v>1106</v>
      </c>
      <c r="J1826" s="44">
        <v>246</v>
      </c>
      <c r="K1826" s="44" t="s">
        <v>1107</v>
      </c>
      <c r="L1826" s="44"/>
      <c r="M1826" s="44" t="s">
        <v>2033</v>
      </c>
      <c r="N1826" s="45">
        <v>-54345821</v>
      </c>
      <c r="O1826" s="46">
        <f t="shared" si="61"/>
        <v>-54345.821000000004</v>
      </c>
      <c r="P1826" s="47">
        <f>FCCL!G85</f>
        <v>-54345.821000000004</v>
      </c>
      <c r="Q1826" s="44" t="str">
        <f t="shared" si="62"/>
        <v>PASS</v>
      </c>
      <c r="R1826" s="44" t="s">
        <v>1110</v>
      </c>
      <c r="S1826" s="44"/>
    </row>
    <row r="1827" spans="1:19" x14ac:dyDescent="0.3">
      <c r="A1827" s="44" t="s">
        <v>3176</v>
      </c>
      <c r="B1827" s="44" t="s">
        <v>114</v>
      </c>
      <c r="C1827" s="44" t="s">
        <v>29</v>
      </c>
      <c r="D1827" s="44" t="s">
        <v>360</v>
      </c>
      <c r="E1827" s="44" t="s">
        <v>1381</v>
      </c>
      <c r="F1827" s="44" t="s">
        <v>360</v>
      </c>
      <c r="G1827" s="44" t="s">
        <v>2925</v>
      </c>
      <c r="H1827" s="44" t="s">
        <v>1124</v>
      </c>
      <c r="I1827" s="44" t="s">
        <v>1127</v>
      </c>
      <c r="J1827" s="44">
        <v>246</v>
      </c>
      <c r="K1827" s="44" t="s">
        <v>1107</v>
      </c>
      <c r="L1827" s="44"/>
      <c r="M1827" s="44" t="s">
        <v>2033</v>
      </c>
      <c r="N1827" s="45">
        <v>-57384978</v>
      </c>
      <c r="O1827" s="46">
        <f t="shared" si="61"/>
        <v>-57384.978000000003</v>
      </c>
      <c r="P1827" s="47">
        <f>FCCL!H85</f>
        <v>-57384.978000000003</v>
      </c>
      <c r="Q1827" s="44" t="str">
        <f t="shared" si="62"/>
        <v>PASS</v>
      </c>
      <c r="R1827" s="44" t="s">
        <v>1110</v>
      </c>
      <c r="S1827" s="44"/>
    </row>
    <row r="1828" spans="1:19" x14ac:dyDescent="0.3">
      <c r="A1828" s="44" t="s">
        <v>3177</v>
      </c>
      <c r="B1828" s="44" t="s">
        <v>114</v>
      </c>
      <c r="C1828" s="44" t="s">
        <v>20</v>
      </c>
      <c r="D1828" s="44" t="s">
        <v>364</v>
      </c>
      <c r="E1828" s="44" t="s">
        <v>1381</v>
      </c>
      <c r="F1828" s="44" t="s">
        <v>364</v>
      </c>
      <c r="G1828" s="44" t="s">
        <v>2918</v>
      </c>
      <c r="H1828" s="44" t="s">
        <v>1113</v>
      </c>
      <c r="I1828" s="44" t="s">
        <v>1106</v>
      </c>
      <c r="J1828" s="44">
        <v>188</v>
      </c>
      <c r="K1828" s="44" t="s">
        <v>2053</v>
      </c>
      <c r="L1828" s="44"/>
      <c r="M1828" s="44" t="s">
        <v>2033</v>
      </c>
      <c r="N1828" s="45">
        <v>-189537</v>
      </c>
      <c r="O1828" s="46">
        <f t="shared" si="61"/>
        <v>-189.53700000000001</v>
      </c>
      <c r="P1828" s="47">
        <f>FCCL!D87</f>
        <v>-189.53700000000001</v>
      </c>
      <c r="Q1828" s="44" t="str">
        <f t="shared" si="62"/>
        <v>PASS</v>
      </c>
      <c r="R1828" s="44" t="s">
        <v>1110</v>
      </c>
      <c r="S1828" s="44"/>
    </row>
    <row r="1829" spans="1:19" x14ac:dyDescent="0.3">
      <c r="A1829" s="44" t="s">
        <v>3178</v>
      </c>
      <c r="B1829" s="44" t="s">
        <v>114</v>
      </c>
      <c r="C1829" s="44" t="s">
        <v>26</v>
      </c>
      <c r="D1829" s="44" t="s">
        <v>364</v>
      </c>
      <c r="E1829" s="44" t="s">
        <v>1381</v>
      </c>
      <c r="F1829" s="44" t="s">
        <v>364</v>
      </c>
      <c r="G1829" s="44" t="s">
        <v>2920</v>
      </c>
      <c r="H1829" s="44" t="s">
        <v>1117</v>
      </c>
      <c r="I1829" s="44" t="s">
        <v>1106</v>
      </c>
      <c r="J1829" s="44">
        <v>210</v>
      </c>
      <c r="K1829" s="44" t="s">
        <v>2385</v>
      </c>
      <c r="L1829" s="44"/>
      <c r="M1829" s="44" t="s">
        <v>2033</v>
      </c>
      <c r="N1829" s="45">
        <v>-1603323</v>
      </c>
      <c r="O1829" s="46">
        <f t="shared" si="61"/>
        <v>-1603.3230000000001</v>
      </c>
      <c r="P1829" s="47">
        <f>FCCL!E87</f>
        <v>-1603.3230000000001</v>
      </c>
      <c r="Q1829" s="44" t="str">
        <f t="shared" si="62"/>
        <v>PASS</v>
      </c>
      <c r="R1829" s="44" t="s">
        <v>1110</v>
      </c>
      <c r="S1829" s="44" t="s">
        <v>1114</v>
      </c>
    </row>
    <row r="1830" spans="1:19" x14ac:dyDescent="0.3">
      <c r="A1830" s="44" t="s">
        <v>3179</v>
      </c>
      <c r="B1830" s="44" t="s">
        <v>114</v>
      </c>
      <c r="C1830" s="44" t="s">
        <v>27</v>
      </c>
      <c r="D1830" s="44" t="s">
        <v>364</v>
      </c>
      <c r="E1830" s="44" t="s">
        <v>1381</v>
      </c>
      <c r="F1830" s="44" t="s">
        <v>364</v>
      </c>
      <c r="G1830" s="44" t="s">
        <v>2923</v>
      </c>
      <c r="H1830" s="44" t="s">
        <v>1120</v>
      </c>
      <c r="I1830" s="44" t="s">
        <v>1106</v>
      </c>
      <c r="J1830" s="44">
        <v>192</v>
      </c>
      <c r="K1830" s="44" t="s">
        <v>2739</v>
      </c>
      <c r="L1830" s="44"/>
      <c r="M1830" s="44" t="s">
        <v>2033</v>
      </c>
      <c r="N1830" s="45">
        <v>-2705263</v>
      </c>
      <c r="O1830" s="46">
        <f t="shared" si="61"/>
        <v>-2705.2629999999999</v>
      </c>
      <c r="P1830" s="47">
        <f>FCCL!F87</f>
        <v>-2705.2629999999999</v>
      </c>
      <c r="Q1830" s="44" t="str">
        <f t="shared" si="62"/>
        <v>PASS</v>
      </c>
      <c r="R1830" s="44" t="s">
        <v>1110</v>
      </c>
      <c r="S1830" s="44"/>
    </row>
    <row r="1831" spans="1:19" x14ac:dyDescent="0.3">
      <c r="A1831" s="44" t="s">
        <v>3180</v>
      </c>
      <c r="B1831" s="44" t="s">
        <v>114</v>
      </c>
      <c r="C1831" s="44" t="s">
        <v>28</v>
      </c>
      <c r="D1831" s="44" t="s">
        <v>364</v>
      </c>
      <c r="E1831" s="44" t="s">
        <v>1381</v>
      </c>
      <c r="F1831" s="44" t="s">
        <v>364</v>
      </c>
      <c r="G1831" s="44" t="s">
        <v>2925</v>
      </c>
      <c r="H1831" s="44" t="s">
        <v>1124</v>
      </c>
      <c r="I1831" s="44" t="s">
        <v>1106</v>
      </c>
      <c r="J1831" s="44">
        <v>246</v>
      </c>
      <c r="K1831" s="44" t="s">
        <v>1107</v>
      </c>
      <c r="L1831" s="44"/>
      <c r="M1831" s="44" t="s">
        <v>2033</v>
      </c>
      <c r="N1831" s="45">
        <v>-3285923</v>
      </c>
      <c r="O1831" s="46">
        <f t="shared" si="61"/>
        <v>-3285.9229999999998</v>
      </c>
      <c r="P1831" s="47">
        <f>FCCL!G87</f>
        <v>-3285.9229999999998</v>
      </c>
      <c r="Q1831" s="44" t="str">
        <f t="shared" si="62"/>
        <v>PASS</v>
      </c>
      <c r="R1831" s="44" t="s">
        <v>1110</v>
      </c>
      <c r="S1831" s="44"/>
    </row>
    <row r="1832" spans="1:19" x14ac:dyDescent="0.3">
      <c r="A1832" s="44" t="s">
        <v>3181</v>
      </c>
      <c r="B1832" s="44" t="s">
        <v>114</v>
      </c>
      <c r="C1832" s="44" t="s">
        <v>29</v>
      </c>
      <c r="D1832" s="44" t="s">
        <v>364</v>
      </c>
      <c r="E1832" s="44" t="s">
        <v>1381</v>
      </c>
      <c r="F1832" s="44" t="s">
        <v>364</v>
      </c>
      <c r="G1832" s="44" t="s">
        <v>2925</v>
      </c>
      <c r="H1832" s="44" t="s">
        <v>1124</v>
      </c>
      <c r="I1832" s="44" t="s">
        <v>1127</v>
      </c>
      <c r="J1832" s="44">
        <v>246</v>
      </c>
      <c r="K1832" s="44" t="s">
        <v>1107</v>
      </c>
      <c r="L1832" s="44"/>
      <c r="M1832" s="44" t="s">
        <v>2033</v>
      </c>
      <c r="N1832" s="45">
        <v>-2935139</v>
      </c>
      <c r="O1832" s="46">
        <f t="shared" si="61"/>
        <v>-2935.1390000000001</v>
      </c>
      <c r="P1832" s="47">
        <f>FCCL!H87</f>
        <v>-2935.1390000000001</v>
      </c>
      <c r="Q1832" s="44" t="str">
        <f t="shared" si="62"/>
        <v>PASS</v>
      </c>
      <c r="R1832" s="44" t="s">
        <v>1110</v>
      </c>
      <c r="S1832" s="44"/>
    </row>
    <row r="1833" spans="1:19" x14ac:dyDescent="0.3">
      <c r="A1833" s="44" t="s">
        <v>3182</v>
      </c>
      <c r="B1833" s="44" t="s">
        <v>114</v>
      </c>
      <c r="C1833" s="44" t="s">
        <v>20</v>
      </c>
      <c r="D1833" s="44" t="s">
        <v>366</v>
      </c>
      <c r="E1833" s="44" t="s">
        <v>1381</v>
      </c>
      <c r="F1833" s="44" t="s">
        <v>366</v>
      </c>
      <c r="G1833" s="44" t="s">
        <v>2918</v>
      </c>
      <c r="H1833" s="44" t="s">
        <v>1113</v>
      </c>
      <c r="I1833" s="44" t="s">
        <v>1106</v>
      </c>
      <c r="J1833" s="44">
        <v>188</v>
      </c>
      <c r="K1833" s="44" t="s">
        <v>2053</v>
      </c>
      <c r="L1833" s="44"/>
      <c r="M1833" s="44" t="s">
        <v>2033</v>
      </c>
      <c r="N1833" s="45">
        <v>-524709</v>
      </c>
      <c r="O1833" s="46">
        <f t="shared" si="61"/>
        <v>-524.70899999999995</v>
      </c>
      <c r="P1833" s="47">
        <f>FCCL!D88</f>
        <v>-524.70899999999995</v>
      </c>
      <c r="Q1833" s="44" t="str">
        <f t="shared" si="62"/>
        <v>PASS</v>
      </c>
      <c r="R1833" s="44" t="s">
        <v>1110</v>
      </c>
      <c r="S1833" s="44"/>
    </row>
    <row r="1834" spans="1:19" x14ac:dyDescent="0.3">
      <c r="A1834" s="44" t="s">
        <v>3183</v>
      </c>
      <c r="B1834" s="44" t="s">
        <v>114</v>
      </c>
      <c r="C1834" s="44" t="s">
        <v>26</v>
      </c>
      <c r="D1834" s="44" t="s">
        <v>366</v>
      </c>
      <c r="E1834" s="44" t="s">
        <v>1381</v>
      </c>
      <c r="F1834" s="44" t="s">
        <v>366</v>
      </c>
      <c r="G1834" s="44" t="s">
        <v>2920</v>
      </c>
      <c r="H1834" s="44" t="s">
        <v>1117</v>
      </c>
      <c r="I1834" s="44" t="s">
        <v>1106</v>
      </c>
      <c r="J1834" s="44">
        <v>210</v>
      </c>
      <c r="K1834" s="44" t="s">
        <v>2385</v>
      </c>
      <c r="L1834" s="44"/>
      <c r="M1834" s="44" t="s">
        <v>2033</v>
      </c>
      <c r="N1834" s="45">
        <v>-1299439</v>
      </c>
      <c r="O1834" s="46">
        <f t="shared" si="61"/>
        <v>-1299.4390000000001</v>
      </c>
      <c r="P1834" s="47">
        <f>FCCL!E88</f>
        <v>-1299.4390000000001</v>
      </c>
      <c r="Q1834" s="44" t="str">
        <f t="shared" si="62"/>
        <v>PASS</v>
      </c>
      <c r="R1834" s="44" t="s">
        <v>1110</v>
      </c>
      <c r="S1834" s="44"/>
    </row>
    <row r="1835" spans="1:19" x14ac:dyDescent="0.3">
      <c r="A1835" s="44" t="s">
        <v>3184</v>
      </c>
      <c r="B1835" s="44" t="s">
        <v>114</v>
      </c>
      <c r="C1835" s="44" t="s">
        <v>27</v>
      </c>
      <c r="D1835" s="44" t="s">
        <v>366</v>
      </c>
      <c r="E1835" s="44" t="s">
        <v>1381</v>
      </c>
      <c r="F1835" s="44" t="s">
        <v>366</v>
      </c>
      <c r="G1835" s="44" t="s">
        <v>2923</v>
      </c>
      <c r="H1835" s="44" t="s">
        <v>1120</v>
      </c>
      <c r="I1835" s="44" t="s">
        <v>1106</v>
      </c>
      <c r="J1835" s="44">
        <v>192</v>
      </c>
      <c r="K1835" s="44" t="s">
        <v>2739</v>
      </c>
      <c r="L1835" s="44"/>
      <c r="M1835" s="44" t="s">
        <v>2033</v>
      </c>
      <c r="N1835" s="45">
        <v>-1381633</v>
      </c>
      <c r="O1835" s="46">
        <f t="shared" si="61"/>
        <v>-1381.633</v>
      </c>
      <c r="P1835" s="47">
        <f>FCCL!F88</f>
        <v>-1381.633</v>
      </c>
      <c r="Q1835" s="44" t="str">
        <f t="shared" si="62"/>
        <v>PASS</v>
      </c>
      <c r="R1835" s="44" t="s">
        <v>1110</v>
      </c>
      <c r="S1835" s="44"/>
    </row>
    <row r="1836" spans="1:19" x14ac:dyDescent="0.3">
      <c r="A1836" s="44" t="s">
        <v>3185</v>
      </c>
      <c r="B1836" s="44" t="s">
        <v>114</v>
      </c>
      <c r="C1836" s="44" t="s">
        <v>28</v>
      </c>
      <c r="D1836" s="44" t="s">
        <v>366</v>
      </c>
      <c r="E1836" s="44" t="s">
        <v>1381</v>
      </c>
      <c r="F1836" s="44" t="s">
        <v>366</v>
      </c>
      <c r="G1836" s="44" t="s">
        <v>2925</v>
      </c>
      <c r="H1836" s="44" t="s">
        <v>1124</v>
      </c>
      <c r="I1836" s="44" t="s">
        <v>1106</v>
      </c>
      <c r="J1836" s="44">
        <v>246</v>
      </c>
      <c r="K1836" s="44" t="s">
        <v>1107</v>
      </c>
      <c r="L1836" s="44"/>
      <c r="M1836" s="44" t="s">
        <v>2033</v>
      </c>
      <c r="N1836" s="45">
        <v>-1516046</v>
      </c>
      <c r="O1836" s="46">
        <f t="shared" si="61"/>
        <v>-1516.046</v>
      </c>
      <c r="P1836" s="47">
        <f>FCCL!G88</f>
        <v>-1516.046</v>
      </c>
      <c r="Q1836" s="44" t="str">
        <f t="shared" si="62"/>
        <v>PASS</v>
      </c>
      <c r="R1836" s="44" t="s">
        <v>1110</v>
      </c>
      <c r="S1836" s="44"/>
    </row>
    <row r="1837" spans="1:19" x14ac:dyDescent="0.3">
      <c r="A1837" s="44" t="s">
        <v>3186</v>
      </c>
      <c r="B1837" s="44" t="s">
        <v>114</v>
      </c>
      <c r="C1837" s="44" t="s">
        <v>29</v>
      </c>
      <c r="D1837" s="44" t="s">
        <v>366</v>
      </c>
      <c r="E1837" s="44" t="s">
        <v>1381</v>
      </c>
      <c r="F1837" s="44" t="s">
        <v>366</v>
      </c>
      <c r="G1837" s="44" t="s">
        <v>2925</v>
      </c>
      <c r="H1837" s="44" t="s">
        <v>1124</v>
      </c>
      <c r="I1837" s="44" t="s">
        <v>1127</v>
      </c>
      <c r="J1837" s="44">
        <v>246</v>
      </c>
      <c r="K1837" s="44" t="s">
        <v>1107</v>
      </c>
      <c r="L1837" s="44"/>
      <c r="M1837" s="44" t="s">
        <v>2033</v>
      </c>
      <c r="N1837" s="45">
        <v>-1688886</v>
      </c>
      <c r="O1837" s="46">
        <f t="shared" si="61"/>
        <v>-1688.886</v>
      </c>
      <c r="P1837" s="47">
        <f>FCCL!H88</f>
        <v>-1688.886</v>
      </c>
      <c r="Q1837" s="44" t="str">
        <f t="shared" si="62"/>
        <v>PASS</v>
      </c>
      <c r="R1837" s="44" t="s">
        <v>1110</v>
      </c>
      <c r="S1837" s="44"/>
    </row>
    <row r="1838" spans="1:19" x14ac:dyDescent="0.3">
      <c r="A1838" s="44" t="s">
        <v>3187</v>
      </c>
      <c r="B1838" s="44" t="s">
        <v>114</v>
      </c>
      <c r="C1838" s="44" t="s">
        <v>20</v>
      </c>
      <c r="D1838" s="44" t="s">
        <v>368</v>
      </c>
      <c r="E1838" s="44" t="s">
        <v>1381</v>
      </c>
      <c r="F1838" s="44"/>
      <c r="G1838" s="44" t="s">
        <v>2918</v>
      </c>
      <c r="H1838" s="44" t="s">
        <v>1113</v>
      </c>
      <c r="I1838" s="44" t="s">
        <v>1106</v>
      </c>
      <c r="J1838" s="44">
        <v>188</v>
      </c>
      <c r="K1838" s="44" t="s">
        <v>2053</v>
      </c>
      <c r="L1838" s="44"/>
      <c r="M1838" s="44" t="s">
        <v>2033</v>
      </c>
      <c r="N1838" s="45">
        <v>0</v>
      </c>
      <c r="O1838" s="46">
        <f t="shared" si="61"/>
        <v>0</v>
      </c>
      <c r="P1838" s="47">
        <f>FCCL!D89</f>
        <v>0</v>
      </c>
      <c r="Q1838" s="44" t="str">
        <f t="shared" si="62"/>
        <v>PASS</v>
      </c>
      <c r="R1838" s="44" t="s">
        <v>1110</v>
      </c>
      <c r="S1838" s="44"/>
    </row>
    <row r="1839" spans="1:19" x14ac:dyDescent="0.3">
      <c r="A1839" s="44" t="s">
        <v>3188</v>
      </c>
      <c r="B1839" s="44" t="s">
        <v>114</v>
      </c>
      <c r="C1839" s="44" t="s">
        <v>26</v>
      </c>
      <c r="D1839" s="44" t="s">
        <v>368</v>
      </c>
      <c r="E1839" s="44" t="s">
        <v>1381</v>
      </c>
      <c r="F1839" s="44"/>
      <c r="G1839" s="44" t="s">
        <v>2920</v>
      </c>
      <c r="H1839" s="44" t="s">
        <v>1117</v>
      </c>
      <c r="I1839" s="44" t="s">
        <v>1106</v>
      </c>
      <c r="J1839" s="44">
        <v>210</v>
      </c>
      <c r="K1839" s="44" t="s">
        <v>2385</v>
      </c>
      <c r="L1839" s="44"/>
      <c r="M1839" s="44" t="s">
        <v>2033</v>
      </c>
      <c r="N1839" s="45">
        <v>0</v>
      </c>
      <c r="O1839" s="46">
        <f t="shared" si="61"/>
        <v>0</v>
      </c>
      <c r="P1839" s="47">
        <f>FCCL!E89</f>
        <v>0</v>
      </c>
      <c r="Q1839" s="44" t="str">
        <f t="shared" si="62"/>
        <v>PASS</v>
      </c>
      <c r="R1839" s="44" t="s">
        <v>1110</v>
      </c>
      <c r="S1839" s="44"/>
    </row>
    <row r="1840" spans="1:19" x14ac:dyDescent="0.3">
      <c r="A1840" s="44" t="s">
        <v>3189</v>
      </c>
      <c r="B1840" s="44" t="s">
        <v>114</v>
      </c>
      <c r="C1840" s="44" t="s">
        <v>27</v>
      </c>
      <c r="D1840" s="44" t="s">
        <v>368</v>
      </c>
      <c r="E1840" s="44" t="s">
        <v>1381</v>
      </c>
      <c r="F1840" s="44"/>
      <c r="G1840" s="44" t="s">
        <v>2923</v>
      </c>
      <c r="H1840" s="44" t="s">
        <v>1120</v>
      </c>
      <c r="I1840" s="44" t="s">
        <v>1106</v>
      </c>
      <c r="J1840" s="44">
        <v>192</v>
      </c>
      <c r="K1840" s="44" t="s">
        <v>2739</v>
      </c>
      <c r="L1840" s="44"/>
      <c r="M1840" s="44" t="s">
        <v>2033</v>
      </c>
      <c r="N1840" s="45">
        <v>0</v>
      </c>
      <c r="O1840" s="46">
        <f t="shared" si="61"/>
        <v>0</v>
      </c>
      <c r="P1840" s="47">
        <f>FCCL!F89</f>
        <v>0</v>
      </c>
      <c r="Q1840" s="44" t="str">
        <f t="shared" si="62"/>
        <v>PASS</v>
      </c>
      <c r="R1840" s="44" t="s">
        <v>1110</v>
      </c>
      <c r="S1840" s="44"/>
    </row>
    <row r="1841" spans="1:19" x14ac:dyDescent="0.3">
      <c r="A1841" s="44" t="s">
        <v>3190</v>
      </c>
      <c r="B1841" s="44" t="s">
        <v>114</v>
      </c>
      <c r="C1841" s="44" t="s">
        <v>28</v>
      </c>
      <c r="D1841" s="44" t="s">
        <v>368</v>
      </c>
      <c r="E1841" s="44" t="s">
        <v>1381</v>
      </c>
      <c r="F1841" s="44"/>
      <c r="G1841" s="44" t="s">
        <v>2925</v>
      </c>
      <c r="H1841" s="44" t="s">
        <v>1124</v>
      </c>
      <c r="I1841" s="44" t="s">
        <v>1106</v>
      </c>
      <c r="J1841" s="44">
        <v>246</v>
      </c>
      <c r="K1841" s="44" t="s">
        <v>1107</v>
      </c>
      <c r="L1841" s="44"/>
      <c r="M1841" s="44" t="s">
        <v>2033</v>
      </c>
      <c r="N1841" s="45">
        <v>0</v>
      </c>
      <c r="O1841" s="46">
        <f t="shared" si="61"/>
        <v>0</v>
      </c>
      <c r="P1841" s="47">
        <f>FCCL!G89</f>
        <v>0</v>
      </c>
      <c r="Q1841" s="44" t="str">
        <f t="shared" si="62"/>
        <v>PASS</v>
      </c>
      <c r="R1841" s="44" t="s">
        <v>1110</v>
      </c>
      <c r="S1841" s="44"/>
    </row>
    <row r="1842" spans="1:19" x14ac:dyDescent="0.3">
      <c r="A1842" s="44" t="s">
        <v>3191</v>
      </c>
      <c r="B1842" s="44" t="s">
        <v>114</v>
      </c>
      <c r="C1842" s="44" t="s">
        <v>29</v>
      </c>
      <c r="D1842" s="44" t="s">
        <v>368</v>
      </c>
      <c r="E1842" s="44" t="s">
        <v>1381</v>
      </c>
      <c r="F1842" s="44"/>
      <c r="G1842" s="44" t="s">
        <v>2925</v>
      </c>
      <c r="H1842" s="44" t="s">
        <v>1124</v>
      </c>
      <c r="I1842" s="44" t="s">
        <v>1127</v>
      </c>
      <c r="J1842" s="44">
        <v>246</v>
      </c>
      <c r="K1842" s="44" t="s">
        <v>1107</v>
      </c>
      <c r="L1842" s="44"/>
      <c r="M1842" s="44" t="s">
        <v>2033</v>
      </c>
      <c r="N1842" s="45">
        <v>0</v>
      </c>
      <c r="O1842" s="46">
        <f t="shared" si="61"/>
        <v>0</v>
      </c>
      <c r="P1842" s="47">
        <f>FCCL!H89</f>
        <v>0</v>
      </c>
      <c r="Q1842" s="44" t="str">
        <f t="shared" si="62"/>
        <v>PASS</v>
      </c>
      <c r="R1842" s="44" t="s">
        <v>1110</v>
      </c>
      <c r="S1842" s="44"/>
    </row>
    <row r="1843" spans="1:19" x14ac:dyDescent="0.3">
      <c r="A1843" s="44" t="s">
        <v>3192</v>
      </c>
      <c r="B1843" s="44" t="s">
        <v>114</v>
      </c>
      <c r="C1843" s="44" t="s">
        <v>20</v>
      </c>
      <c r="D1843" s="44" t="s">
        <v>370</v>
      </c>
      <c r="E1843" s="44" t="s">
        <v>1381</v>
      </c>
      <c r="F1843" s="44" t="s">
        <v>1411</v>
      </c>
      <c r="G1843" s="44" t="s">
        <v>2918</v>
      </c>
      <c r="H1843" s="44" t="s">
        <v>1113</v>
      </c>
      <c r="I1843" s="44" t="s">
        <v>1106</v>
      </c>
      <c r="J1843" s="44">
        <v>188</v>
      </c>
      <c r="K1843" s="44" t="s">
        <v>2053</v>
      </c>
      <c r="L1843" s="44"/>
      <c r="M1843" s="44" t="s">
        <v>2033</v>
      </c>
      <c r="N1843" s="45">
        <v>-377946</v>
      </c>
      <c r="O1843" s="46">
        <f t="shared" si="61"/>
        <v>-377.94600000000003</v>
      </c>
      <c r="P1843" s="47">
        <f>FCCL!D90</f>
        <v>-377.94600000000003</v>
      </c>
      <c r="Q1843" s="44" t="str">
        <f t="shared" si="62"/>
        <v>PASS</v>
      </c>
      <c r="R1843" s="44" t="s">
        <v>1110</v>
      </c>
      <c r="S1843" s="44"/>
    </row>
    <row r="1844" spans="1:19" x14ac:dyDescent="0.3">
      <c r="A1844" s="44" t="s">
        <v>3193</v>
      </c>
      <c r="B1844" s="44" t="s">
        <v>114</v>
      </c>
      <c r="C1844" s="44" t="s">
        <v>26</v>
      </c>
      <c r="D1844" s="44" t="s">
        <v>370</v>
      </c>
      <c r="E1844" s="44" t="s">
        <v>1381</v>
      </c>
      <c r="F1844" s="44" t="s">
        <v>1411</v>
      </c>
      <c r="G1844" s="44" t="s">
        <v>2920</v>
      </c>
      <c r="H1844" s="44" t="s">
        <v>1117</v>
      </c>
      <c r="I1844" s="44" t="s">
        <v>1106</v>
      </c>
      <c r="J1844" s="44">
        <v>210</v>
      </c>
      <c r="K1844" s="44" t="s">
        <v>2385</v>
      </c>
      <c r="L1844" s="44"/>
      <c r="M1844" s="44" t="s">
        <v>2033</v>
      </c>
      <c r="N1844" s="45">
        <v>-808964</v>
      </c>
      <c r="O1844" s="46">
        <f t="shared" si="61"/>
        <v>-808.96400000000006</v>
      </c>
      <c r="P1844" s="47">
        <f>FCCL!E90</f>
        <v>-808.96400000000006</v>
      </c>
      <c r="Q1844" s="44" t="str">
        <f t="shared" si="62"/>
        <v>PASS</v>
      </c>
      <c r="R1844" s="44" t="s">
        <v>1110</v>
      </c>
      <c r="S1844" s="44"/>
    </row>
    <row r="1845" spans="1:19" x14ac:dyDescent="0.3">
      <c r="A1845" s="44" t="s">
        <v>3194</v>
      </c>
      <c r="B1845" s="44" t="s">
        <v>114</v>
      </c>
      <c r="C1845" s="44" t="s">
        <v>27</v>
      </c>
      <c r="D1845" s="44" t="s">
        <v>370</v>
      </c>
      <c r="E1845" s="44" t="s">
        <v>1381</v>
      </c>
      <c r="F1845" s="44" t="s">
        <v>1411</v>
      </c>
      <c r="G1845" s="44" t="s">
        <v>2923</v>
      </c>
      <c r="H1845" s="44" t="s">
        <v>1120</v>
      </c>
      <c r="I1845" s="44" t="s">
        <v>1106</v>
      </c>
      <c r="J1845" s="44">
        <v>192</v>
      </c>
      <c r="K1845" s="44" t="s">
        <v>2739</v>
      </c>
      <c r="L1845" s="44"/>
      <c r="M1845" s="44" t="s">
        <v>2033</v>
      </c>
      <c r="N1845" s="45">
        <v>-750078</v>
      </c>
      <c r="O1845" s="46">
        <f t="shared" si="61"/>
        <v>-750.07799999999997</v>
      </c>
      <c r="P1845" s="47">
        <f>FCCL!F90</f>
        <v>-750.07799999999997</v>
      </c>
      <c r="Q1845" s="44" t="str">
        <f t="shared" si="62"/>
        <v>PASS</v>
      </c>
      <c r="R1845" s="44" t="s">
        <v>1110</v>
      </c>
      <c r="S1845" s="44"/>
    </row>
    <row r="1846" spans="1:19" x14ac:dyDescent="0.3">
      <c r="A1846" s="44" t="s">
        <v>3195</v>
      </c>
      <c r="B1846" s="44" t="s">
        <v>114</v>
      </c>
      <c r="C1846" s="44" t="s">
        <v>28</v>
      </c>
      <c r="D1846" s="44" t="s">
        <v>370</v>
      </c>
      <c r="E1846" s="44" t="s">
        <v>1381</v>
      </c>
      <c r="F1846" s="44" t="s">
        <v>1411</v>
      </c>
      <c r="G1846" s="44" t="s">
        <v>2925</v>
      </c>
      <c r="H1846" s="44" t="s">
        <v>1124</v>
      </c>
      <c r="I1846" s="44" t="s">
        <v>1106</v>
      </c>
      <c r="J1846" s="44">
        <v>246</v>
      </c>
      <c r="K1846" s="44" t="s">
        <v>1107</v>
      </c>
      <c r="L1846" s="44"/>
      <c r="M1846" s="44" t="s">
        <v>2033</v>
      </c>
      <c r="N1846" s="45">
        <v>-826875</v>
      </c>
      <c r="O1846" s="46">
        <f t="shared" si="61"/>
        <v>-826.875</v>
      </c>
      <c r="P1846" s="47">
        <f>FCCL!G90</f>
        <v>-826.875</v>
      </c>
      <c r="Q1846" s="44" t="str">
        <f t="shared" si="62"/>
        <v>PASS</v>
      </c>
      <c r="R1846" s="44" t="s">
        <v>1110</v>
      </c>
      <c r="S1846" s="44"/>
    </row>
    <row r="1847" spans="1:19" x14ac:dyDescent="0.3">
      <c r="A1847" s="44" t="s">
        <v>3196</v>
      </c>
      <c r="B1847" s="44" t="s">
        <v>114</v>
      </c>
      <c r="C1847" s="44" t="s">
        <v>29</v>
      </c>
      <c r="D1847" s="44" t="s">
        <v>370</v>
      </c>
      <c r="E1847" s="44" t="s">
        <v>1381</v>
      </c>
      <c r="F1847" s="44" t="s">
        <v>1411</v>
      </c>
      <c r="G1847" s="44" t="s">
        <v>2925</v>
      </c>
      <c r="H1847" s="44" t="s">
        <v>1124</v>
      </c>
      <c r="I1847" s="44" t="s">
        <v>1127</v>
      </c>
      <c r="J1847" s="44">
        <v>246</v>
      </c>
      <c r="K1847" s="44" t="s">
        <v>1107</v>
      </c>
      <c r="L1847" s="44"/>
      <c r="M1847" s="44" t="s">
        <v>2033</v>
      </c>
      <c r="N1847" s="45">
        <v>-1479276</v>
      </c>
      <c r="O1847" s="46">
        <f t="shared" si="61"/>
        <v>-1479.2760000000001</v>
      </c>
      <c r="P1847" s="47">
        <f>FCCL!H90</f>
        <v>-1479.2760000000001</v>
      </c>
      <c r="Q1847" s="44" t="str">
        <f t="shared" si="62"/>
        <v>PASS</v>
      </c>
      <c r="R1847" s="44" t="s">
        <v>1110</v>
      </c>
      <c r="S1847" s="44"/>
    </row>
    <row r="1848" spans="1:19" x14ac:dyDescent="0.3">
      <c r="A1848" s="44" t="s">
        <v>3197</v>
      </c>
      <c r="B1848" s="44" t="s">
        <v>114</v>
      </c>
      <c r="C1848" s="44" t="s">
        <v>20</v>
      </c>
      <c r="D1848" s="44" t="s">
        <v>374</v>
      </c>
      <c r="E1848" s="44" t="s">
        <v>1381</v>
      </c>
      <c r="F1848" s="44" t="s">
        <v>374</v>
      </c>
      <c r="G1848" s="44" t="s">
        <v>2918</v>
      </c>
      <c r="H1848" s="44" t="s">
        <v>1113</v>
      </c>
      <c r="I1848" s="44" t="s">
        <v>1106</v>
      </c>
      <c r="J1848" s="44">
        <v>188</v>
      </c>
      <c r="K1848" s="44" t="s">
        <v>2053</v>
      </c>
      <c r="L1848" s="44"/>
      <c r="M1848" s="44" t="s">
        <v>2033</v>
      </c>
      <c r="N1848" s="45">
        <v>81710</v>
      </c>
      <c r="O1848" s="46">
        <f t="shared" si="61"/>
        <v>81.709999999999994</v>
      </c>
      <c r="P1848" s="47">
        <f>FCCL!D92</f>
        <v>81.709999999999994</v>
      </c>
      <c r="Q1848" s="44" t="str">
        <f t="shared" si="62"/>
        <v>PASS</v>
      </c>
      <c r="R1848" s="44" t="s">
        <v>1110</v>
      </c>
      <c r="S1848" s="44"/>
    </row>
    <row r="1849" spans="1:19" x14ac:dyDescent="0.3">
      <c r="A1849" s="44" t="s">
        <v>3198</v>
      </c>
      <c r="B1849" s="44" t="s">
        <v>114</v>
      </c>
      <c r="C1849" s="44" t="s">
        <v>26</v>
      </c>
      <c r="D1849" s="44" t="s">
        <v>374</v>
      </c>
      <c r="E1849" s="44" t="s">
        <v>1381</v>
      </c>
      <c r="F1849" s="44" t="s">
        <v>374</v>
      </c>
      <c r="G1849" s="44" t="s">
        <v>2920</v>
      </c>
      <c r="H1849" s="44" t="s">
        <v>1117</v>
      </c>
      <c r="I1849" s="44" t="s">
        <v>1106</v>
      </c>
      <c r="J1849" s="44">
        <v>210</v>
      </c>
      <c r="K1849" s="44" t="s">
        <v>2385</v>
      </c>
      <c r="L1849" s="44"/>
      <c r="M1849" s="44" t="s">
        <v>2033</v>
      </c>
      <c r="N1849" s="45">
        <v>230695</v>
      </c>
      <c r="O1849" s="46">
        <f t="shared" si="61"/>
        <v>230.69499999999999</v>
      </c>
      <c r="P1849" s="47">
        <f>FCCL!E92</f>
        <v>230.69499999999999</v>
      </c>
      <c r="Q1849" s="44" t="str">
        <f t="shared" si="62"/>
        <v>PASS</v>
      </c>
      <c r="R1849" s="44" t="s">
        <v>1110</v>
      </c>
      <c r="S1849" s="44"/>
    </row>
    <row r="1850" spans="1:19" x14ac:dyDescent="0.3">
      <c r="A1850" s="44" t="s">
        <v>3199</v>
      </c>
      <c r="B1850" s="44" t="s">
        <v>114</v>
      </c>
      <c r="C1850" s="44" t="s">
        <v>27</v>
      </c>
      <c r="D1850" s="44" t="s">
        <v>374</v>
      </c>
      <c r="E1850" s="44" t="s">
        <v>1381</v>
      </c>
      <c r="F1850" s="44" t="s">
        <v>374</v>
      </c>
      <c r="G1850" s="44" t="s">
        <v>2923</v>
      </c>
      <c r="H1850" s="44" t="s">
        <v>1120</v>
      </c>
      <c r="I1850" s="44" t="s">
        <v>1106</v>
      </c>
      <c r="J1850" s="44">
        <v>192</v>
      </c>
      <c r="K1850" s="44" t="s">
        <v>2739</v>
      </c>
      <c r="L1850" s="44"/>
      <c r="M1850" s="44" t="s">
        <v>2033</v>
      </c>
      <c r="N1850" s="45">
        <v>436173</v>
      </c>
      <c r="O1850" s="46">
        <f t="shared" si="61"/>
        <v>436.173</v>
      </c>
      <c r="P1850" s="47">
        <f>FCCL!F92</f>
        <v>436.173</v>
      </c>
      <c r="Q1850" s="44" t="str">
        <f t="shared" si="62"/>
        <v>PASS</v>
      </c>
      <c r="R1850" s="44" t="s">
        <v>1110</v>
      </c>
      <c r="S1850" s="44"/>
    </row>
    <row r="1851" spans="1:19" x14ac:dyDescent="0.3">
      <c r="A1851" s="44" t="s">
        <v>3200</v>
      </c>
      <c r="B1851" s="44" t="s">
        <v>114</v>
      </c>
      <c r="C1851" s="44" t="s">
        <v>28</v>
      </c>
      <c r="D1851" s="44" t="s">
        <v>374</v>
      </c>
      <c r="E1851" s="44" t="s">
        <v>1381</v>
      </c>
      <c r="F1851" s="44" t="s">
        <v>374</v>
      </c>
      <c r="G1851" s="44" t="s">
        <v>2925</v>
      </c>
      <c r="H1851" s="44" t="s">
        <v>1124</v>
      </c>
      <c r="I1851" s="44" t="s">
        <v>1106</v>
      </c>
      <c r="J1851" s="44">
        <v>246</v>
      </c>
      <c r="K1851" s="44" t="s">
        <v>1107</v>
      </c>
      <c r="L1851" s="44"/>
      <c r="M1851" s="44" t="s">
        <v>2033</v>
      </c>
      <c r="N1851" s="45">
        <v>540373</v>
      </c>
      <c r="O1851" s="46">
        <f t="shared" si="61"/>
        <v>540.37300000000005</v>
      </c>
      <c r="P1851" s="47">
        <f>FCCL!G92</f>
        <v>540.37300000000005</v>
      </c>
      <c r="Q1851" s="44" t="str">
        <f t="shared" si="62"/>
        <v>PASS</v>
      </c>
      <c r="R1851" s="44" t="s">
        <v>1110</v>
      </c>
      <c r="S1851" s="44"/>
    </row>
    <row r="1852" spans="1:19" x14ac:dyDescent="0.3">
      <c r="A1852" s="44" t="s">
        <v>3201</v>
      </c>
      <c r="B1852" s="44" t="s">
        <v>114</v>
      </c>
      <c r="C1852" s="44" t="s">
        <v>29</v>
      </c>
      <c r="D1852" s="44" t="s">
        <v>374</v>
      </c>
      <c r="E1852" s="44" t="s">
        <v>1381</v>
      </c>
      <c r="F1852" s="44" t="s">
        <v>374</v>
      </c>
      <c r="G1852" s="44" t="s">
        <v>2925</v>
      </c>
      <c r="H1852" s="44" t="s">
        <v>1124</v>
      </c>
      <c r="I1852" s="44" t="s">
        <v>1127</v>
      </c>
      <c r="J1852" s="44">
        <v>246</v>
      </c>
      <c r="K1852" s="44" t="s">
        <v>1107</v>
      </c>
      <c r="L1852" s="44"/>
      <c r="M1852" s="44" t="s">
        <v>2033</v>
      </c>
      <c r="N1852" s="45">
        <v>760772</v>
      </c>
      <c r="O1852" s="46">
        <f t="shared" si="61"/>
        <v>760.77200000000005</v>
      </c>
      <c r="P1852" s="47">
        <f>FCCL!H92</f>
        <v>760.77200000000005</v>
      </c>
      <c r="Q1852" s="44" t="str">
        <f t="shared" si="62"/>
        <v>PASS</v>
      </c>
      <c r="R1852" s="44" t="s">
        <v>1110</v>
      </c>
      <c r="S1852" s="44"/>
    </row>
    <row r="1853" spans="1:19" x14ac:dyDescent="0.3">
      <c r="A1853" s="44" t="s">
        <v>3202</v>
      </c>
      <c r="B1853" s="44" t="s">
        <v>114</v>
      </c>
      <c r="C1853" s="44" t="s">
        <v>20</v>
      </c>
      <c r="D1853" s="44" t="s">
        <v>376</v>
      </c>
      <c r="E1853" s="44" t="s">
        <v>1381</v>
      </c>
      <c r="F1853" s="44" t="s">
        <v>2778</v>
      </c>
      <c r="G1853" s="44" t="s">
        <v>2918</v>
      </c>
      <c r="H1853" s="44" t="s">
        <v>1113</v>
      </c>
      <c r="I1853" s="44" t="s">
        <v>1106</v>
      </c>
      <c r="J1853" s="44">
        <v>188</v>
      </c>
      <c r="K1853" s="44" t="s">
        <v>2053</v>
      </c>
      <c r="L1853" s="44"/>
      <c r="M1853" s="44" t="s">
        <v>2033</v>
      </c>
      <c r="N1853" s="45">
        <v>160543</v>
      </c>
      <c r="O1853" s="46">
        <f t="shared" si="61"/>
        <v>160.54300000000001</v>
      </c>
      <c r="P1853" s="47">
        <f>FCCL!D93</f>
        <v>160.54300000000001</v>
      </c>
      <c r="Q1853" s="44" t="str">
        <f t="shared" si="62"/>
        <v>PASS</v>
      </c>
      <c r="R1853" s="44" t="s">
        <v>1110</v>
      </c>
      <c r="S1853" s="44"/>
    </row>
    <row r="1854" spans="1:19" x14ac:dyDescent="0.3">
      <c r="A1854" s="44" t="s">
        <v>3203</v>
      </c>
      <c r="B1854" s="44" t="s">
        <v>114</v>
      </c>
      <c r="C1854" s="44" t="s">
        <v>26</v>
      </c>
      <c r="D1854" s="44" t="s">
        <v>376</v>
      </c>
      <c r="E1854" s="44" t="s">
        <v>1381</v>
      </c>
      <c r="F1854" s="44" t="s">
        <v>2778</v>
      </c>
      <c r="G1854" s="44" t="s">
        <v>2920</v>
      </c>
      <c r="H1854" s="44" t="s">
        <v>1117</v>
      </c>
      <c r="I1854" s="44" t="s">
        <v>1106</v>
      </c>
      <c r="J1854" s="44">
        <v>210</v>
      </c>
      <c r="K1854" s="44" t="s">
        <v>2385</v>
      </c>
      <c r="L1854" s="44"/>
      <c r="M1854" s="44" t="s">
        <v>2033</v>
      </c>
      <c r="N1854" s="45">
        <v>745852</v>
      </c>
      <c r="O1854" s="46">
        <f t="shared" si="61"/>
        <v>745.85199999999998</v>
      </c>
      <c r="P1854" s="47">
        <f>FCCL!E93</f>
        <v>745.85199999999998</v>
      </c>
      <c r="Q1854" s="44" t="str">
        <f t="shared" si="62"/>
        <v>PASS</v>
      </c>
      <c r="R1854" s="44" t="s">
        <v>1110</v>
      </c>
      <c r="S1854" s="44"/>
    </row>
    <row r="1855" spans="1:19" x14ac:dyDescent="0.3">
      <c r="A1855" s="44" t="s">
        <v>3204</v>
      </c>
      <c r="B1855" s="44" t="s">
        <v>114</v>
      </c>
      <c r="C1855" s="44" t="s">
        <v>27</v>
      </c>
      <c r="D1855" s="44" t="s">
        <v>376</v>
      </c>
      <c r="E1855" s="44" t="s">
        <v>1381</v>
      </c>
      <c r="F1855" s="44" t="s">
        <v>2778</v>
      </c>
      <c r="G1855" s="44" t="s">
        <v>2923</v>
      </c>
      <c r="H1855" s="44" t="s">
        <v>1120</v>
      </c>
      <c r="I1855" s="44" t="s">
        <v>1106</v>
      </c>
      <c r="J1855" s="44">
        <v>192</v>
      </c>
      <c r="K1855" s="44" t="s">
        <v>2739</v>
      </c>
      <c r="L1855" s="44"/>
      <c r="M1855" s="44" t="s">
        <v>2033</v>
      </c>
      <c r="N1855" s="45">
        <v>527702</v>
      </c>
      <c r="O1855" s="46">
        <f t="shared" si="61"/>
        <v>527.702</v>
      </c>
      <c r="P1855" s="47">
        <f>FCCL!F93</f>
        <v>527.702</v>
      </c>
      <c r="Q1855" s="44" t="str">
        <f t="shared" si="62"/>
        <v>PASS</v>
      </c>
      <c r="R1855" s="44" t="s">
        <v>1110</v>
      </c>
      <c r="S1855" s="44"/>
    </row>
    <row r="1856" spans="1:19" x14ac:dyDescent="0.3">
      <c r="A1856" s="44" t="s">
        <v>3205</v>
      </c>
      <c r="B1856" s="44" t="s">
        <v>114</v>
      </c>
      <c r="C1856" s="44" t="s">
        <v>28</v>
      </c>
      <c r="D1856" s="44" t="s">
        <v>376</v>
      </c>
      <c r="E1856" s="44" t="s">
        <v>1381</v>
      </c>
      <c r="F1856" s="44" t="s">
        <v>2778</v>
      </c>
      <c r="G1856" s="44" t="s">
        <v>2925</v>
      </c>
      <c r="H1856" s="44" t="s">
        <v>1124</v>
      </c>
      <c r="I1856" s="44" t="s">
        <v>1106</v>
      </c>
      <c r="J1856" s="44">
        <v>246</v>
      </c>
      <c r="K1856" s="44" t="s">
        <v>1107</v>
      </c>
      <c r="L1856" s="44"/>
      <c r="M1856" s="44" t="s">
        <v>2033</v>
      </c>
      <c r="N1856" s="45">
        <v>299318</v>
      </c>
      <c r="O1856" s="46">
        <f t="shared" si="61"/>
        <v>299.31799999999998</v>
      </c>
      <c r="P1856" s="47">
        <f>FCCL!G93</f>
        <v>299.31799999999998</v>
      </c>
      <c r="Q1856" s="44" t="str">
        <f t="shared" si="62"/>
        <v>PASS</v>
      </c>
      <c r="R1856" s="44" t="s">
        <v>1110</v>
      </c>
      <c r="S1856" s="44"/>
    </row>
    <row r="1857" spans="1:19" x14ac:dyDescent="0.3">
      <c r="A1857" s="44" t="s">
        <v>3206</v>
      </c>
      <c r="B1857" s="44" t="s">
        <v>114</v>
      </c>
      <c r="C1857" s="44" t="s">
        <v>29</v>
      </c>
      <c r="D1857" s="44" t="s">
        <v>376</v>
      </c>
      <c r="E1857" s="44" t="s">
        <v>1381</v>
      </c>
      <c r="F1857" s="44" t="s">
        <v>2778</v>
      </c>
      <c r="G1857" s="44" t="s">
        <v>2925</v>
      </c>
      <c r="H1857" s="44" t="s">
        <v>1124</v>
      </c>
      <c r="I1857" s="44" t="s">
        <v>1127</v>
      </c>
      <c r="J1857" s="44">
        <v>246</v>
      </c>
      <c r="K1857" s="44" t="s">
        <v>1107</v>
      </c>
      <c r="L1857" s="44"/>
      <c r="M1857" s="44" t="s">
        <v>2033</v>
      </c>
      <c r="N1857" s="45">
        <v>1068831</v>
      </c>
      <c r="O1857" s="46">
        <f t="shared" si="61"/>
        <v>1068.8309999999999</v>
      </c>
      <c r="P1857" s="47">
        <f>FCCL!H93</f>
        <v>1068.8309999999999</v>
      </c>
      <c r="Q1857" s="44" t="str">
        <f t="shared" si="62"/>
        <v>PASS</v>
      </c>
      <c r="R1857" s="44" t="s">
        <v>1110</v>
      </c>
      <c r="S1857" s="44"/>
    </row>
    <row r="1858" spans="1:19" x14ac:dyDescent="0.3">
      <c r="A1858" s="44" t="s">
        <v>3207</v>
      </c>
      <c r="B1858" s="44" t="s">
        <v>114</v>
      </c>
      <c r="C1858" s="44" t="s">
        <v>20</v>
      </c>
      <c r="D1858" s="44" t="s">
        <v>378</v>
      </c>
      <c r="E1858" s="44" t="s">
        <v>1381</v>
      </c>
      <c r="F1858" s="44" t="s">
        <v>378</v>
      </c>
      <c r="G1858" s="44" t="s">
        <v>2918</v>
      </c>
      <c r="H1858" s="44" t="s">
        <v>1113</v>
      </c>
      <c r="I1858" s="44" t="s">
        <v>1106</v>
      </c>
      <c r="J1858" s="44">
        <v>188</v>
      </c>
      <c r="K1858" s="44" t="s">
        <v>2053</v>
      </c>
      <c r="L1858" s="44"/>
      <c r="M1858" s="44" t="s">
        <v>2033</v>
      </c>
      <c r="N1858" s="45">
        <v>2849</v>
      </c>
      <c r="O1858" s="46">
        <f t="shared" si="61"/>
        <v>2.8490000000000002</v>
      </c>
      <c r="P1858" s="47">
        <f>FCCL!D94</f>
        <v>2.8490000000000002</v>
      </c>
      <c r="Q1858" s="44" t="str">
        <f t="shared" si="62"/>
        <v>PASS</v>
      </c>
      <c r="R1858" s="44" t="s">
        <v>1110</v>
      </c>
      <c r="S1858" s="44"/>
    </row>
    <row r="1859" spans="1:19" x14ac:dyDescent="0.3">
      <c r="A1859" s="44" t="s">
        <v>3208</v>
      </c>
      <c r="B1859" s="44" t="s">
        <v>114</v>
      </c>
      <c r="C1859" s="44" t="s">
        <v>26</v>
      </c>
      <c r="D1859" s="44" t="s">
        <v>378</v>
      </c>
      <c r="E1859" s="44" t="s">
        <v>1381</v>
      </c>
      <c r="F1859" s="44" t="s">
        <v>378</v>
      </c>
      <c r="G1859" s="44" t="s">
        <v>2920</v>
      </c>
      <c r="H1859" s="44" t="s">
        <v>1117</v>
      </c>
      <c r="I1859" s="44" t="s">
        <v>1106</v>
      </c>
      <c r="J1859" s="44">
        <v>210</v>
      </c>
      <c r="K1859" s="44" t="s">
        <v>2385</v>
      </c>
      <c r="L1859" s="44"/>
      <c r="M1859" s="44" t="s">
        <v>2033</v>
      </c>
      <c r="N1859" s="45">
        <v>1308</v>
      </c>
      <c r="O1859" s="46">
        <f t="shared" si="61"/>
        <v>1.3080000000000001</v>
      </c>
      <c r="P1859" s="47">
        <f>FCCL!E94</f>
        <v>1.3080000000000001</v>
      </c>
      <c r="Q1859" s="44" t="str">
        <f t="shared" si="62"/>
        <v>PASS</v>
      </c>
      <c r="R1859" s="44" t="s">
        <v>1110</v>
      </c>
      <c r="S1859" s="44"/>
    </row>
    <row r="1860" spans="1:19" x14ac:dyDescent="0.3">
      <c r="A1860" s="44" t="s">
        <v>3209</v>
      </c>
      <c r="B1860" s="44" t="s">
        <v>114</v>
      </c>
      <c r="C1860" s="44" t="s">
        <v>27</v>
      </c>
      <c r="D1860" s="44" t="s">
        <v>378</v>
      </c>
      <c r="E1860" s="44" t="s">
        <v>1381</v>
      </c>
      <c r="F1860" s="44"/>
      <c r="G1860" s="44" t="s">
        <v>2923</v>
      </c>
      <c r="H1860" s="44" t="s">
        <v>1120</v>
      </c>
      <c r="I1860" s="44" t="s">
        <v>1106</v>
      </c>
      <c r="J1860" s="44">
        <v>192</v>
      </c>
      <c r="K1860" s="44" t="s">
        <v>2739</v>
      </c>
      <c r="L1860" s="44"/>
      <c r="M1860" s="44" t="s">
        <v>2033</v>
      </c>
      <c r="N1860" s="45">
        <v>0</v>
      </c>
      <c r="O1860" s="46">
        <f t="shared" si="61"/>
        <v>0</v>
      </c>
      <c r="P1860" s="47">
        <f>FCCL!F94</f>
        <v>0</v>
      </c>
      <c r="Q1860" s="44" t="str">
        <f t="shared" si="62"/>
        <v>PASS</v>
      </c>
      <c r="R1860" s="44" t="s">
        <v>1110</v>
      </c>
      <c r="S1860" s="44"/>
    </row>
    <row r="1861" spans="1:19" x14ac:dyDescent="0.3">
      <c r="A1861" s="44" t="s">
        <v>3210</v>
      </c>
      <c r="B1861" s="44" t="s">
        <v>114</v>
      </c>
      <c r="C1861" s="44" t="s">
        <v>28</v>
      </c>
      <c r="D1861" s="44" t="s">
        <v>378</v>
      </c>
      <c r="E1861" s="44" t="s">
        <v>1381</v>
      </c>
      <c r="F1861" s="44"/>
      <c r="G1861" s="44" t="s">
        <v>2925</v>
      </c>
      <c r="H1861" s="44" t="s">
        <v>1124</v>
      </c>
      <c r="I1861" s="44" t="s">
        <v>1106</v>
      </c>
      <c r="J1861" s="44">
        <v>246</v>
      </c>
      <c r="K1861" s="44" t="s">
        <v>1107</v>
      </c>
      <c r="L1861" s="44"/>
      <c r="M1861" s="44" t="s">
        <v>2033</v>
      </c>
      <c r="N1861" s="45">
        <v>0</v>
      </c>
      <c r="O1861" s="46">
        <f t="shared" si="61"/>
        <v>0</v>
      </c>
      <c r="P1861" s="47">
        <f>FCCL!G94</f>
        <v>0</v>
      </c>
      <c r="Q1861" s="44" t="str">
        <f t="shared" si="62"/>
        <v>PASS</v>
      </c>
      <c r="R1861" s="44" t="s">
        <v>1110</v>
      </c>
      <c r="S1861" s="44"/>
    </row>
    <row r="1862" spans="1:19" x14ac:dyDescent="0.3">
      <c r="A1862" s="44" t="s">
        <v>3211</v>
      </c>
      <c r="B1862" s="44" t="s">
        <v>114</v>
      </c>
      <c r="C1862" s="44" t="s">
        <v>29</v>
      </c>
      <c r="D1862" s="44" t="s">
        <v>378</v>
      </c>
      <c r="E1862" s="44" t="s">
        <v>1381</v>
      </c>
      <c r="F1862" s="44"/>
      <c r="G1862" s="44" t="s">
        <v>2925</v>
      </c>
      <c r="H1862" s="44" t="s">
        <v>1124</v>
      </c>
      <c r="I1862" s="44" t="s">
        <v>1127</v>
      </c>
      <c r="J1862" s="44">
        <v>246</v>
      </c>
      <c r="K1862" s="44" t="s">
        <v>1107</v>
      </c>
      <c r="L1862" s="44"/>
      <c r="M1862" s="44" t="s">
        <v>2033</v>
      </c>
      <c r="N1862" s="45">
        <v>0</v>
      </c>
      <c r="O1862" s="46">
        <f t="shared" si="61"/>
        <v>0</v>
      </c>
      <c r="P1862" s="47">
        <f>FCCL!H94</f>
        <v>0</v>
      </c>
      <c r="Q1862" s="44" t="str">
        <f t="shared" si="62"/>
        <v>PASS</v>
      </c>
      <c r="R1862" s="44" t="s">
        <v>1110</v>
      </c>
      <c r="S1862" s="44"/>
    </row>
    <row r="1863" spans="1:19" x14ac:dyDescent="0.3">
      <c r="A1863" s="44" t="s">
        <v>3212</v>
      </c>
      <c r="B1863" s="44" t="s">
        <v>114</v>
      </c>
      <c r="C1863" s="44" t="s">
        <v>20</v>
      </c>
      <c r="D1863" s="44" t="s">
        <v>380</v>
      </c>
      <c r="E1863" s="44" t="s">
        <v>1381</v>
      </c>
      <c r="F1863" s="44" t="s">
        <v>380</v>
      </c>
      <c r="G1863" s="44" t="s">
        <v>2918</v>
      </c>
      <c r="H1863" s="44" t="s">
        <v>1113</v>
      </c>
      <c r="I1863" s="44" t="s">
        <v>1106</v>
      </c>
      <c r="J1863" s="44">
        <v>188</v>
      </c>
      <c r="K1863" s="44" t="s">
        <v>2053</v>
      </c>
      <c r="L1863" s="44"/>
      <c r="M1863" s="44" t="s">
        <v>2033</v>
      </c>
      <c r="N1863" s="45">
        <v>-109623</v>
      </c>
      <c r="O1863" s="46">
        <f t="shared" si="61"/>
        <v>-109.623</v>
      </c>
      <c r="P1863" s="47">
        <f>FCCL!D95</f>
        <v>-109.623</v>
      </c>
      <c r="Q1863" s="44" t="str">
        <f t="shared" si="62"/>
        <v>PASS</v>
      </c>
      <c r="R1863" s="44" t="s">
        <v>1110</v>
      </c>
      <c r="S1863" s="44"/>
    </row>
    <row r="1864" spans="1:19" x14ac:dyDescent="0.3">
      <c r="A1864" s="44" t="s">
        <v>3213</v>
      </c>
      <c r="B1864" s="44" t="s">
        <v>114</v>
      </c>
      <c r="C1864" s="44" t="s">
        <v>26</v>
      </c>
      <c r="D1864" s="44" t="s">
        <v>380</v>
      </c>
      <c r="E1864" s="44" t="s">
        <v>1381</v>
      </c>
      <c r="F1864" s="44" t="s">
        <v>380</v>
      </c>
      <c r="G1864" s="44" t="s">
        <v>2920</v>
      </c>
      <c r="H1864" s="44" t="s">
        <v>1117</v>
      </c>
      <c r="I1864" s="44" t="s">
        <v>1106</v>
      </c>
      <c r="J1864" s="44">
        <v>210</v>
      </c>
      <c r="K1864" s="44" t="s">
        <v>2385</v>
      </c>
      <c r="L1864" s="44"/>
      <c r="M1864" s="44" t="s">
        <v>2033</v>
      </c>
      <c r="N1864" s="45">
        <v>-1201612</v>
      </c>
      <c r="O1864" s="46">
        <f t="shared" ref="O1864:O1917" si="63">N1864/1000</f>
        <v>-1201.6120000000001</v>
      </c>
      <c r="P1864" s="47">
        <f>FCCL!E95</f>
        <v>-1201.6120000000001</v>
      </c>
      <c r="Q1864" s="44" t="str">
        <f t="shared" si="62"/>
        <v>PASS</v>
      </c>
      <c r="R1864" s="44" t="s">
        <v>1110</v>
      </c>
      <c r="S1864" s="44"/>
    </row>
    <row r="1865" spans="1:19" x14ac:dyDescent="0.3">
      <c r="A1865" s="44" t="s">
        <v>3214</v>
      </c>
      <c r="B1865" s="44" t="s">
        <v>114</v>
      </c>
      <c r="C1865" s="44" t="s">
        <v>27</v>
      </c>
      <c r="D1865" s="44" t="s">
        <v>380</v>
      </c>
      <c r="E1865" s="44" t="s">
        <v>1381</v>
      </c>
      <c r="F1865" s="44" t="s">
        <v>380</v>
      </c>
      <c r="G1865" s="44" t="s">
        <v>2923</v>
      </c>
      <c r="H1865" s="44" t="s">
        <v>1120</v>
      </c>
      <c r="I1865" s="44" t="s">
        <v>1106</v>
      </c>
      <c r="J1865" s="44">
        <v>192</v>
      </c>
      <c r="K1865" s="44" t="s">
        <v>2739</v>
      </c>
      <c r="L1865" s="44"/>
      <c r="M1865" s="44" t="s">
        <v>2033</v>
      </c>
      <c r="N1865" s="45">
        <v>-3645265</v>
      </c>
      <c r="O1865" s="46">
        <f t="shared" si="63"/>
        <v>-3645.2649999999999</v>
      </c>
      <c r="P1865" s="47">
        <f>FCCL!F95</f>
        <v>-3645.2649999999999</v>
      </c>
      <c r="Q1865" s="44" t="str">
        <f t="shared" si="62"/>
        <v>PASS</v>
      </c>
      <c r="R1865" s="44" t="s">
        <v>1110</v>
      </c>
      <c r="S1865" s="44"/>
    </row>
    <row r="1866" spans="1:19" x14ac:dyDescent="0.3">
      <c r="A1866" s="44" t="s">
        <v>3215</v>
      </c>
      <c r="B1866" s="44" t="s">
        <v>114</v>
      </c>
      <c r="C1866" s="44" t="s">
        <v>28</v>
      </c>
      <c r="D1866" s="44" t="s">
        <v>380</v>
      </c>
      <c r="E1866" s="44" t="s">
        <v>1381</v>
      </c>
      <c r="F1866" s="44" t="s">
        <v>380</v>
      </c>
      <c r="G1866" s="44" t="s">
        <v>2925</v>
      </c>
      <c r="H1866" s="44" t="s">
        <v>1124</v>
      </c>
      <c r="I1866" s="44" t="s">
        <v>1106</v>
      </c>
      <c r="J1866" s="44">
        <v>246</v>
      </c>
      <c r="K1866" s="44" t="s">
        <v>1107</v>
      </c>
      <c r="L1866" s="44"/>
      <c r="M1866" s="44" t="s">
        <v>2033</v>
      </c>
      <c r="N1866" s="45">
        <v>-5536298</v>
      </c>
      <c r="O1866" s="46">
        <f t="shared" si="63"/>
        <v>-5536.2979999999998</v>
      </c>
      <c r="P1866" s="47">
        <f>FCCL!G95</f>
        <v>-5536.2979999999998</v>
      </c>
      <c r="Q1866" s="44" t="str">
        <f t="shared" si="62"/>
        <v>PASS</v>
      </c>
      <c r="R1866" s="44" t="s">
        <v>1110</v>
      </c>
      <c r="S1866" s="44"/>
    </row>
    <row r="1867" spans="1:19" x14ac:dyDescent="0.3">
      <c r="A1867" s="44" t="s">
        <v>3216</v>
      </c>
      <c r="B1867" s="44" t="s">
        <v>114</v>
      </c>
      <c r="C1867" s="44" t="s">
        <v>29</v>
      </c>
      <c r="D1867" s="44" t="s">
        <v>380</v>
      </c>
      <c r="E1867" s="44" t="s">
        <v>1381</v>
      </c>
      <c r="F1867" s="44" t="s">
        <v>380</v>
      </c>
      <c r="G1867" s="44" t="s">
        <v>2925</v>
      </c>
      <c r="H1867" s="44" t="s">
        <v>1124</v>
      </c>
      <c r="I1867" s="44" t="s">
        <v>1127</v>
      </c>
      <c r="J1867" s="44">
        <v>246</v>
      </c>
      <c r="K1867" s="44" t="s">
        <v>1107</v>
      </c>
      <c r="L1867" s="44"/>
      <c r="M1867" s="44" t="s">
        <v>2033</v>
      </c>
      <c r="N1867" s="45">
        <v>-5772132</v>
      </c>
      <c r="O1867" s="46">
        <f t="shared" si="63"/>
        <v>-5772.1319999999996</v>
      </c>
      <c r="P1867" s="47">
        <f>FCCL!H95</f>
        <v>-5772.1319999999996</v>
      </c>
      <c r="Q1867" s="44" t="str">
        <f t="shared" si="62"/>
        <v>PASS</v>
      </c>
      <c r="R1867" s="44" t="s">
        <v>1110</v>
      </c>
      <c r="S1867" s="44"/>
    </row>
    <row r="1868" spans="1:19" x14ac:dyDescent="0.3">
      <c r="A1868" s="44" t="s">
        <v>3217</v>
      </c>
      <c r="B1868" s="44" t="s">
        <v>114</v>
      </c>
      <c r="C1868" s="44" t="s">
        <v>20</v>
      </c>
      <c r="D1868" s="44" t="s">
        <v>384</v>
      </c>
      <c r="E1868" s="44" t="s">
        <v>1381</v>
      </c>
      <c r="F1868" s="44"/>
      <c r="G1868" s="44" t="s">
        <v>2918</v>
      </c>
      <c r="H1868" s="44" t="s">
        <v>1113</v>
      </c>
      <c r="I1868" s="44" t="s">
        <v>1106</v>
      </c>
      <c r="J1868" s="44">
        <v>188</v>
      </c>
      <c r="K1868" s="44" t="s">
        <v>2053</v>
      </c>
      <c r="L1868" s="44"/>
      <c r="M1868" s="44" t="s">
        <v>2033</v>
      </c>
      <c r="N1868" s="45">
        <v>0</v>
      </c>
      <c r="O1868" s="46">
        <f t="shared" si="63"/>
        <v>0</v>
      </c>
      <c r="P1868" s="47">
        <f>FCCL!D97</f>
        <v>0</v>
      </c>
      <c r="Q1868" s="44" t="str">
        <f t="shared" si="62"/>
        <v>PASS</v>
      </c>
      <c r="R1868" s="44" t="s">
        <v>1110</v>
      </c>
      <c r="S1868" s="44"/>
    </row>
    <row r="1869" spans="1:19" x14ac:dyDescent="0.3">
      <c r="A1869" s="44" t="s">
        <v>3218</v>
      </c>
      <c r="B1869" s="44" t="s">
        <v>114</v>
      </c>
      <c r="C1869" s="44" t="s">
        <v>26</v>
      </c>
      <c r="D1869" s="44" t="s">
        <v>384</v>
      </c>
      <c r="E1869" s="44" t="s">
        <v>1381</v>
      </c>
      <c r="F1869" s="44"/>
      <c r="G1869" s="44" t="s">
        <v>2920</v>
      </c>
      <c r="H1869" s="44" t="s">
        <v>1117</v>
      </c>
      <c r="I1869" s="44" t="s">
        <v>1106</v>
      </c>
      <c r="J1869" s="44">
        <v>210</v>
      </c>
      <c r="K1869" s="44" t="s">
        <v>2385</v>
      </c>
      <c r="L1869" s="44"/>
      <c r="M1869" s="44" t="s">
        <v>2033</v>
      </c>
      <c r="N1869" s="45">
        <v>0</v>
      </c>
      <c r="O1869" s="46">
        <f t="shared" si="63"/>
        <v>0</v>
      </c>
      <c r="P1869" s="47">
        <f>FCCL!E97</f>
        <v>0</v>
      </c>
      <c r="Q1869" s="44" t="str">
        <f t="shared" si="62"/>
        <v>PASS</v>
      </c>
      <c r="R1869" s="44" t="s">
        <v>1110</v>
      </c>
      <c r="S1869" s="44"/>
    </row>
    <row r="1870" spans="1:19" x14ac:dyDescent="0.3">
      <c r="A1870" s="44" t="s">
        <v>3219</v>
      </c>
      <c r="B1870" s="44" t="s">
        <v>114</v>
      </c>
      <c r="C1870" s="44" t="s">
        <v>27</v>
      </c>
      <c r="D1870" s="44" t="s">
        <v>384</v>
      </c>
      <c r="E1870" s="44" t="s">
        <v>1381</v>
      </c>
      <c r="F1870" s="44" t="s">
        <v>3220</v>
      </c>
      <c r="G1870" s="44" t="s">
        <v>2923</v>
      </c>
      <c r="H1870" s="44" t="s">
        <v>1120</v>
      </c>
      <c r="I1870" s="44" t="s">
        <v>1106</v>
      </c>
      <c r="J1870" s="44">
        <v>192</v>
      </c>
      <c r="K1870" s="44" t="s">
        <v>2739</v>
      </c>
      <c r="L1870" s="44"/>
      <c r="M1870" s="44" t="s">
        <v>2033</v>
      </c>
      <c r="N1870" s="45">
        <v>-45660</v>
      </c>
      <c r="O1870" s="46">
        <f t="shared" si="63"/>
        <v>-45.66</v>
      </c>
      <c r="P1870" s="47">
        <f>FCCL!F97</f>
        <v>-45.66</v>
      </c>
      <c r="Q1870" s="44" t="str">
        <f t="shared" si="62"/>
        <v>PASS</v>
      </c>
      <c r="R1870" s="44" t="s">
        <v>1110</v>
      </c>
      <c r="S1870" s="44"/>
    </row>
    <row r="1871" spans="1:19" x14ac:dyDescent="0.3">
      <c r="A1871" s="44" t="s">
        <v>3221</v>
      </c>
      <c r="B1871" s="44" t="s">
        <v>114</v>
      </c>
      <c r="C1871" s="44" t="s">
        <v>28</v>
      </c>
      <c r="D1871" s="44" t="s">
        <v>384</v>
      </c>
      <c r="E1871" s="44" t="s">
        <v>1381</v>
      </c>
      <c r="F1871" s="44" t="s">
        <v>3220</v>
      </c>
      <c r="G1871" s="44" t="s">
        <v>2925</v>
      </c>
      <c r="H1871" s="44" t="s">
        <v>1124</v>
      </c>
      <c r="I1871" s="44" t="s">
        <v>1106</v>
      </c>
      <c r="J1871" s="44">
        <v>246</v>
      </c>
      <c r="K1871" s="44" t="s">
        <v>1107</v>
      </c>
      <c r="L1871" s="44"/>
      <c r="M1871" s="44" t="s">
        <v>2033</v>
      </c>
      <c r="N1871" s="45">
        <v>-55223</v>
      </c>
      <c r="O1871" s="46">
        <f t="shared" si="63"/>
        <v>-55.222999999999999</v>
      </c>
      <c r="P1871" s="47">
        <f>FCCL!G97</f>
        <v>-55.222999999999999</v>
      </c>
      <c r="Q1871" s="44" t="str">
        <f t="shared" si="62"/>
        <v>PASS</v>
      </c>
      <c r="R1871" s="44" t="s">
        <v>1110</v>
      </c>
      <c r="S1871" s="44"/>
    </row>
    <row r="1872" spans="1:19" x14ac:dyDescent="0.3">
      <c r="A1872" s="44" t="s">
        <v>3222</v>
      </c>
      <c r="B1872" s="44" t="s">
        <v>114</v>
      </c>
      <c r="C1872" s="44" t="s">
        <v>29</v>
      </c>
      <c r="D1872" s="44" t="s">
        <v>384</v>
      </c>
      <c r="E1872" s="44" t="s">
        <v>1381</v>
      </c>
      <c r="F1872" s="44" t="s">
        <v>3220</v>
      </c>
      <c r="G1872" s="44" t="s">
        <v>2925</v>
      </c>
      <c r="H1872" s="44" t="s">
        <v>1124</v>
      </c>
      <c r="I1872" s="44" t="s">
        <v>1127</v>
      </c>
      <c r="J1872" s="44">
        <v>246</v>
      </c>
      <c r="K1872" s="44" t="s">
        <v>1107</v>
      </c>
      <c r="L1872" s="44"/>
      <c r="M1872" s="44" t="s">
        <v>2033</v>
      </c>
      <c r="N1872" s="45">
        <v>0</v>
      </c>
      <c r="O1872" s="46">
        <f t="shared" si="63"/>
        <v>0</v>
      </c>
      <c r="P1872" s="47">
        <f>FCCL!H97</f>
        <v>0</v>
      </c>
      <c r="Q1872" s="44" t="str">
        <f t="shared" si="62"/>
        <v>PASS</v>
      </c>
      <c r="R1872" s="44" t="s">
        <v>1110</v>
      </c>
      <c r="S1872" s="44"/>
    </row>
    <row r="1873" spans="1:19" x14ac:dyDescent="0.3">
      <c r="A1873" s="44" t="s">
        <v>3223</v>
      </c>
      <c r="B1873" s="44" t="s">
        <v>114</v>
      </c>
      <c r="C1873" s="44" t="s">
        <v>20</v>
      </c>
      <c r="D1873" s="44" t="s">
        <v>386</v>
      </c>
      <c r="E1873" s="44" t="s">
        <v>1381</v>
      </c>
      <c r="F1873" s="44" t="s">
        <v>3224</v>
      </c>
      <c r="G1873" s="44" t="s">
        <v>2918</v>
      </c>
      <c r="H1873" s="44" t="s">
        <v>1113</v>
      </c>
      <c r="I1873" s="44" t="s">
        <v>1106</v>
      </c>
      <c r="J1873" s="44">
        <v>188</v>
      </c>
      <c r="K1873" s="44" t="s">
        <v>2053</v>
      </c>
      <c r="L1873" s="44"/>
      <c r="M1873" s="44" t="s">
        <v>2033</v>
      </c>
      <c r="N1873" s="45">
        <v>-1636341</v>
      </c>
      <c r="O1873" s="46">
        <f t="shared" si="63"/>
        <v>-1636.3409999999999</v>
      </c>
      <c r="P1873" s="47">
        <f>FCCL!D98</f>
        <v>-1636.3409999999999</v>
      </c>
      <c r="Q1873" s="44" t="str">
        <f t="shared" si="62"/>
        <v>PASS</v>
      </c>
      <c r="R1873" s="44" t="s">
        <v>1110</v>
      </c>
      <c r="S1873" s="44"/>
    </row>
    <row r="1874" spans="1:19" x14ac:dyDescent="0.3">
      <c r="A1874" s="44" t="s">
        <v>3225</v>
      </c>
      <c r="B1874" s="44" t="s">
        <v>114</v>
      </c>
      <c r="C1874" s="44" t="s">
        <v>26</v>
      </c>
      <c r="D1874" s="44" t="s">
        <v>386</v>
      </c>
      <c r="E1874" s="44" t="s">
        <v>1381</v>
      </c>
      <c r="F1874" s="44" t="s">
        <v>3224</v>
      </c>
      <c r="G1874" s="44" t="s">
        <v>2920</v>
      </c>
      <c r="H1874" s="44" t="s">
        <v>1117</v>
      </c>
      <c r="I1874" s="44" t="s">
        <v>1106</v>
      </c>
      <c r="J1874" s="44">
        <v>210</v>
      </c>
      <c r="K1874" s="44" t="s">
        <v>2385</v>
      </c>
      <c r="L1874" s="44"/>
      <c r="M1874" s="44" t="s">
        <v>2033</v>
      </c>
      <c r="N1874" s="45">
        <v>-4415553</v>
      </c>
      <c r="O1874" s="46">
        <f t="shared" si="63"/>
        <v>-4415.5529999999999</v>
      </c>
      <c r="P1874" s="47">
        <f>FCCL!E98</f>
        <v>-4415.5529999999999</v>
      </c>
      <c r="Q1874" s="44" t="str">
        <f t="shared" si="62"/>
        <v>PASS</v>
      </c>
      <c r="R1874" s="44" t="s">
        <v>1110</v>
      </c>
      <c r="S1874" s="44"/>
    </row>
    <row r="1875" spans="1:19" x14ac:dyDescent="0.3">
      <c r="A1875" s="44" t="s">
        <v>3226</v>
      </c>
      <c r="B1875" s="44" t="s">
        <v>114</v>
      </c>
      <c r="C1875" s="44" t="s">
        <v>27</v>
      </c>
      <c r="D1875" s="44" t="s">
        <v>386</v>
      </c>
      <c r="E1875" s="44" t="s">
        <v>1381</v>
      </c>
      <c r="F1875" s="44" t="s">
        <v>3224</v>
      </c>
      <c r="G1875" s="44" t="s">
        <v>2923</v>
      </c>
      <c r="H1875" s="44" t="s">
        <v>1120</v>
      </c>
      <c r="I1875" s="44" t="s">
        <v>1106</v>
      </c>
      <c r="J1875" s="44">
        <v>192</v>
      </c>
      <c r="K1875" s="44" t="s">
        <v>2739</v>
      </c>
      <c r="L1875" s="44"/>
      <c r="M1875" s="44" t="s">
        <v>2033</v>
      </c>
      <c r="N1875" s="45">
        <v>-5414768</v>
      </c>
      <c r="O1875" s="46">
        <f t="shared" si="63"/>
        <v>-5414.768</v>
      </c>
      <c r="P1875" s="47">
        <f>FCCL!F98</f>
        <v>-5414.768</v>
      </c>
      <c r="Q1875" s="44" t="str">
        <f t="shared" si="62"/>
        <v>PASS</v>
      </c>
      <c r="R1875" s="44" t="s">
        <v>1110</v>
      </c>
      <c r="S1875" s="44" t="s">
        <v>1114</v>
      </c>
    </row>
    <row r="1876" spans="1:19" x14ac:dyDescent="0.3">
      <c r="A1876" s="44" t="s">
        <v>3227</v>
      </c>
      <c r="B1876" s="44" t="s">
        <v>114</v>
      </c>
      <c r="C1876" s="44" t="s">
        <v>28</v>
      </c>
      <c r="D1876" s="44" t="s">
        <v>386</v>
      </c>
      <c r="E1876" s="44" t="s">
        <v>1381</v>
      </c>
      <c r="F1876" s="44" t="s">
        <v>3224</v>
      </c>
      <c r="G1876" s="44" t="s">
        <v>2925</v>
      </c>
      <c r="H1876" s="44" t="s">
        <v>1124</v>
      </c>
      <c r="I1876" s="44" t="s">
        <v>1106</v>
      </c>
      <c r="J1876" s="44">
        <v>246</v>
      </c>
      <c r="K1876" s="44" t="s">
        <v>1107</v>
      </c>
      <c r="L1876" s="44"/>
      <c r="M1876" s="44" t="s">
        <v>2033</v>
      </c>
      <c r="N1876" s="45">
        <v>-7076615</v>
      </c>
      <c r="O1876" s="46">
        <f t="shared" si="63"/>
        <v>-7076.6149999999998</v>
      </c>
      <c r="P1876" s="47">
        <f>FCCL!G98</f>
        <v>-7076.6149999999998</v>
      </c>
      <c r="Q1876" s="44" t="str">
        <f t="shared" si="62"/>
        <v>PASS</v>
      </c>
      <c r="R1876" s="44" t="s">
        <v>1110</v>
      </c>
      <c r="S1876" s="44"/>
    </row>
    <row r="1877" spans="1:19" x14ac:dyDescent="0.3">
      <c r="A1877" s="44" t="s">
        <v>3228</v>
      </c>
      <c r="B1877" s="44" t="s">
        <v>114</v>
      </c>
      <c r="C1877" s="44" t="s">
        <v>29</v>
      </c>
      <c r="D1877" s="44" t="s">
        <v>386</v>
      </c>
      <c r="E1877" s="44" t="s">
        <v>1381</v>
      </c>
      <c r="F1877" s="44" t="s">
        <v>3224</v>
      </c>
      <c r="G1877" s="44" t="s">
        <v>2925</v>
      </c>
      <c r="H1877" s="44" t="s">
        <v>1124</v>
      </c>
      <c r="I1877" s="44" t="s">
        <v>1127</v>
      </c>
      <c r="J1877" s="44">
        <v>246</v>
      </c>
      <c r="K1877" s="44" t="s">
        <v>1107</v>
      </c>
      <c r="L1877" s="44"/>
      <c r="M1877" s="44" t="s">
        <v>2033</v>
      </c>
      <c r="N1877" s="45">
        <v>-8199318</v>
      </c>
      <c r="O1877" s="46">
        <f t="shared" si="63"/>
        <v>-8199.3179999999993</v>
      </c>
      <c r="P1877" s="47">
        <f>FCCL!H98</f>
        <v>-8199.3179999999993</v>
      </c>
      <c r="Q1877" s="44" t="str">
        <f t="shared" si="62"/>
        <v>PASS</v>
      </c>
      <c r="R1877" s="44" t="s">
        <v>1110</v>
      </c>
      <c r="S1877" s="44"/>
    </row>
    <row r="1878" spans="1:19" x14ac:dyDescent="0.3">
      <c r="A1878" s="44" t="s">
        <v>3229</v>
      </c>
      <c r="B1878" s="44" t="s">
        <v>114</v>
      </c>
      <c r="C1878" s="44" t="s">
        <v>20</v>
      </c>
      <c r="D1878" s="44" t="s">
        <v>390</v>
      </c>
      <c r="E1878" s="44" t="s">
        <v>1381</v>
      </c>
      <c r="F1878" s="44" t="s">
        <v>362</v>
      </c>
      <c r="G1878" s="44" t="s">
        <v>2918</v>
      </c>
      <c r="H1878" s="44" t="s">
        <v>1113</v>
      </c>
      <c r="I1878" s="44" t="s">
        <v>1106</v>
      </c>
      <c r="J1878" s="44">
        <v>188</v>
      </c>
      <c r="K1878" s="44" t="s">
        <v>2053</v>
      </c>
      <c r="L1878" s="44"/>
      <c r="M1878" s="44" t="s">
        <v>2033</v>
      </c>
      <c r="N1878" s="45">
        <v>6064405</v>
      </c>
      <c r="O1878" s="46">
        <f t="shared" si="63"/>
        <v>6064.4049999999997</v>
      </c>
      <c r="P1878" s="47">
        <f>FCCL!D100</f>
        <v>6064.4049999999997</v>
      </c>
      <c r="Q1878" s="44" t="str">
        <f t="shared" ref="Q1878:Q1917" si="64">IF(ABS(O1878-P1878)&lt;0.000001,"PASS","FAIL")</f>
        <v>PASS</v>
      </c>
      <c r="R1878" s="44" t="s">
        <v>1110</v>
      </c>
      <c r="S1878" s="44"/>
    </row>
    <row r="1879" spans="1:19" x14ac:dyDescent="0.3">
      <c r="A1879" s="44" t="s">
        <v>3230</v>
      </c>
      <c r="B1879" s="44" t="s">
        <v>114</v>
      </c>
      <c r="C1879" s="44" t="s">
        <v>26</v>
      </c>
      <c r="D1879" s="44" t="s">
        <v>390</v>
      </c>
      <c r="E1879" s="44" t="s">
        <v>1381</v>
      </c>
      <c r="F1879" s="44" t="s">
        <v>362</v>
      </c>
      <c r="G1879" s="44" t="s">
        <v>2920</v>
      </c>
      <c r="H1879" s="44" t="s">
        <v>1117</v>
      </c>
      <c r="I1879" s="44" t="s">
        <v>1106</v>
      </c>
      <c r="J1879" s="44">
        <v>210</v>
      </c>
      <c r="K1879" s="44" t="s">
        <v>2385</v>
      </c>
      <c r="L1879" s="44"/>
      <c r="M1879" s="44" t="s">
        <v>2033</v>
      </c>
      <c r="N1879" s="45">
        <v>15463576</v>
      </c>
      <c r="O1879" s="46">
        <f t="shared" si="63"/>
        <v>15463.575999999999</v>
      </c>
      <c r="P1879" s="47">
        <f>FCCL!E100</f>
        <v>15463.575999999999</v>
      </c>
      <c r="Q1879" s="44" t="str">
        <f t="shared" si="64"/>
        <v>PASS</v>
      </c>
      <c r="R1879" s="44" t="s">
        <v>1110</v>
      </c>
      <c r="S1879" s="44"/>
    </row>
    <row r="1880" spans="1:19" x14ac:dyDescent="0.3">
      <c r="A1880" s="44" t="s">
        <v>3231</v>
      </c>
      <c r="B1880" s="44" t="s">
        <v>114</v>
      </c>
      <c r="C1880" s="44" t="s">
        <v>27</v>
      </c>
      <c r="D1880" s="44" t="s">
        <v>390</v>
      </c>
      <c r="E1880" s="44" t="s">
        <v>1381</v>
      </c>
      <c r="F1880" s="44" t="s">
        <v>362</v>
      </c>
      <c r="G1880" s="44" t="s">
        <v>2923</v>
      </c>
      <c r="H1880" s="44" t="s">
        <v>1120</v>
      </c>
      <c r="I1880" s="44" t="s">
        <v>1106</v>
      </c>
      <c r="J1880" s="44">
        <v>192</v>
      </c>
      <c r="K1880" s="44" t="s">
        <v>2739</v>
      </c>
      <c r="L1880" s="44"/>
      <c r="M1880" s="44" t="s">
        <v>2033</v>
      </c>
      <c r="N1880" s="45">
        <v>20418473</v>
      </c>
      <c r="O1880" s="46">
        <f t="shared" si="63"/>
        <v>20418.473000000002</v>
      </c>
      <c r="P1880" s="47">
        <f>FCCL!F100</f>
        <v>20418.473000000002</v>
      </c>
      <c r="Q1880" s="44" t="str">
        <f t="shared" si="64"/>
        <v>PASS</v>
      </c>
      <c r="R1880" s="44" t="s">
        <v>1110</v>
      </c>
      <c r="S1880" s="44"/>
    </row>
    <row r="1881" spans="1:19" x14ac:dyDescent="0.3">
      <c r="A1881" s="44" t="s">
        <v>3232</v>
      </c>
      <c r="B1881" s="44" t="s">
        <v>114</v>
      </c>
      <c r="C1881" s="44" t="s">
        <v>28</v>
      </c>
      <c r="D1881" s="44" t="s">
        <v>390</v>
      </c>
      <c r="E1881" s="44" t="s">
        <v>1381</v>
      </c>
      <c r="F1881" s="44" t="s">
        <v>362</v>
      </c>
      <c r="G1881" s="44" t="s">
        <v>2925</v>
      </c>
      <c r="H1881" s="44" t="s">
        <v>1124</v>
      </c>
      <c r="I1881" s="44" t="s">
        <v>1106</v>
      </c>
      <c r="J1881" s="44">
        <v>246</v>
      </c>
      <c r="K1881" s="44" t="s">
        <v>1107</v>
      </c>
      <c r="L1881" s="44"/>
      <c r="M1881" s="44" t="s">
        <v>2033</v>
      </c>
      <c r="N1881" s="45">
        <v>25680405</v>
      </c>
      <c r="O1881" s="46">
        <f t="shared" si="63"/>
        <v>25680.404999999999</v>
      </c>
      <c r="P1881" s="47">
        <f>FCCL!G100</f>
        <v>25680.404999999999</v>
      </c>
      <c r="Q1881" s="44" t="str">
        <f t="shared" si="64"/>
        <v>PASS</v>
      </c>
      <c r="R1881" s="44" t="s">
        <v>1110</v>
      </c>
      <c r="S1881" s="44"/>
    </row>
    <row r="1882" spans="1:19" x14ac:dyDescent="0.3">
      <c r="A1882" s="44" t="s">
        <v>3233</v>
      </c>
      <c r="B1882" s="44" t="s">
        <v>114</v>
      </c>
      <c r="C1882" s="44" t="s">
        <v>29</v>
      </c>
      <c r="D1882" s="44" t="s">
        <v>390</v>
      </c>
      <c r="E1882" s="44" t="s">
        <v>1381</v>
      </c>
      <c r="F1882" s="44" t="s">
        <v>362</v>
      </c>
      <c r="G1882" s="44" t="s">
        <v>2925</v>
      </c>
      <c r="H1882" s="44" t="s">
        <v>1124</v>
      </c>
      <c r="I1882" s="44" t="s">
        <v>1127</v>
      </c>
      <c r="J1882" s="44">
        <v>246</v>
      </c>
      <c r="K1882" s="44" t="s">
        <v>1107</v>
      </c>
      <c r="L1882" s="44"/>
      <c r="M1882" s="44" t="s">
        <v>2033</v>
      </c>
      <c r="N1882" s="45">
        <v>31571350</v>
      </c>
      <c r="O1882" s="46">
        <f t="shared" si="63"/>
        <v>31571.35</v>
      </c>
      <c r="P1882" s="47">
        <f>FCCL!H100</f>
        <v>31571.35</v>
      </c>
      <c r="Q1882" s="44" t="str">
        <f t="shared" si="64"/>
        <v>PASS</v>
      </c>
      <c r="R1882" s="44" t="s">
        <v>1110</v>
      </c>
      <c r="S1882" s="44"/>
    </row>
    <row r="1883" spans="1:19" x14ac:dyDescent="0.3">
      <c r="A1883" s="44" t="s">
        <v>3234</v>
      </c>
      <c r="B1883" s="44" t="s">
        <v>114</v>
      </c>
      <c r="C1883" s="44" t="s">
        <v>20</v>
      </c>
      <c r="D1883" s="44" t="s">
        <v>392</v>
      </c>
      <c r="E1883" s="44" t="s">
        <v>1381</v>
      </c>
      <c r="F1883" s="44" t="s">
        <v>1455</v>
      </c>
      <c r="G1883" s="44" t="s">
        <v>2918</v>
      </c>
      <c r="H1883" s="44" t="s">
        <v>1113</v>
      </c>
      <c r="I1883" s="44" t="s">
        <v>1106</v>
      </c>
      <c r="J1883" s="44">
        <v>188</v>
      </c>
      <c r="K1883" s="44" t="s">
        <v>2053</v>
      </c>
      <c r="L1883" s="44"/>
      <c r="M1883" s="44" t="s">
        <v>2033</v>
      </c>
      <c r="N1883" s="45">
        <v>5107692</v>
      </c>
      <c r="O1883" s="46">
        <f t="shared" si="63"/>
        <v>5107.692</v>
      </c>
      <c r="P1883" s="47">
        <f>FCCL!D101</f>
        <v>5107.692</v>
      </c>
      <c r="Q1883" s="44" t="str">
        <f t="shared" si="64"/>
        <v>PASS</v>
      </c>
      <c r="R1883" s="44" t="s">
        <v>1110</v>
      </c>
      <c r="S1883" s="44"/>
    </row>
    <row r="1884" spans="1:19" x14ac:dyDescent="0.3">
      <c r="A1884" s="44" t="s">
        <v>3235</v>
      </c>
      <c r="B1884" s="44" t="s">
        <v>114</v>
      </c>
      <c r="C1884" s="44" t="s">
        <v>26</v>
      </c>
      <c r="D1884" s="44" t="s">
        <v>392</v>
      </c>
      <c r="E1884" s="44" t="s">
        <v>1381</v>
      </c>
      <c r="F1884" s="44" t="s">
        <v>1455</v>
      </c>
      <c r="G1884" s="44" t="s">
        <v>2920</v>
      </c>
      <c r="H1884" s="44" t="s">
        <v>1117</v>
      </c>
      <c r="I1884" s="44" t="s">
        <v>1106</v>
      </c>
      <c r="J1884" s="44">
        <v>210</v>
      </c>
      <c r="K1884" s="44" t="s">
        <v>2385</v>
      </c>
      <c r="L1884" s="44"/>
      <c r="M1884" s="44" t="s">
        <v>2033</v>
      </c>
      <c r="N1884" s="45">
        <v>11528093</v>
      </c>
      <c r="O1884" s="46">
        <f t="shared" si="63"/>
        <v>11528.093000000001</v>
      </c>
      <c r="P1884" s="47">
        <f>FCCL!E101</f>
        <v>11528.093000000001</v>
      </c>
      <c r="Q1884" s="44" t="str">
        <f t="shared" si="64"/>
        <v>PASS</v>
      </c>
      <c r="R1884" s="44" t="s">
        <v>1110</v>
      </c>
      <c r="S1884" s="44"/>
    </row>
    <row r="1885" spans="1:19" x14ac:dyDescent="0.3">
      <c r="A1885" s="44" t="s">
        <v>3236</v>
      </c>
      <c r="B1885" s="44" t="s">
        <v>114</v>
      </c>
      <c r="C1885" s="44" t="s">
        <v>27</v>
      </c>
      <c r="D1885" s="44" t="s">
        <v>392</v>
      </c>
      <c r="E1885" s="44" t="s">
        <v>1381</v>
      </c>
      <c r="F1885" s="44" t="s">
        <v>1458</v>
      </c>
      <c r="G1885" s="44" t="s">
        <v>2923</v>
      </c>
      <c r="H1885" s="44" t="s">
        <v>1120</v>
      </c>
      <c r="I1885" s="44" t="s">
        <v>1106</v>
      </c>
      <c r="J1885" s="44">
        <v>192</v>
      </c>
      <c r="K1885" s="44" t="s">
        <v>2739</v>
      </c>
      <c r="L1885" s="44"/>
      <c r="M1885" s="44" t="s">
        <v>2033</v>
      </c>
      <c r="N1885" s="45">
        <v>12900109</v>
      </c>
      <c r="O1885" s="46">
        <f t="shared" si="63"/>
        <v>12900.109</v>
      </c>
      <c r="P1885" s="47">
        <f>FCCL!F101</f>
        <v>12900.109</v>
      </c>
      <c r="Q1885" s="44" t="str">
        <f t="shared" si="64"/>
        <v>PASS</v>
      </c>
      <c r="R1885" s="44" t="s">
        <v>1110</v>
      </c>
      <c r="S1885" s="44"/>
    </row>
    <row r="1886" spans="1:19" x14ac:dyDescent="0.3">
      <c r="A1886" s="44" t="s">
        <v>3237</v>
      </c>
      <c r="B1886" s="44" t="s">
        <v>114</v>
      </c>
      <c r="C1886" s="44" t="s">
        <v>28</v>
      </c>
      <c r="D1886" s="44" t="s">
        <v>392</v>
      </c>
      <c r="E1886" s="44" t="s">
        <v>1381</v>
      </c>
      <c r="F1886" s="44" t="s">
        <v>1458</v>
      </c>
      <c r="G1886" s="44" t="s">
        <v>2925</v>
      </c>
      <c r="H1886" s="44" t="s">
        <v>1124</v>
      </c>
      <c r="I1886" s="44" t="s">
        <v>1106</v>
      </c>
      <c r="J1886" s="44">
        <v>246</v>
      </c>
      <c r="K1886" s="44" t="s">
        <v>1107</v>
      </c>
      <c r="L1886" s="44"/>
      <c r="M1886" s="44" t="s">
        <v>2033</v>
      </c>
      <c r="N1886" s="45">
        <v>15354954</v>
      </c>
      <c r="O1886" s="46">
        <f t="shared" si="63"/>
        <v>15354.954</v>
      </c>
      <c r="P1886" s="47">
        <f>FCCL!G101</f>
        <v>15354.954</v>
      </c>
      <c r="Q1886" s="44" t="str">
        <f t="shared" si="64"/>
        <v>PASS</v>
      </c>
      <c r="R1886" s="44" t="s">
        <v>1110</v>
      </c>
      <c r="S1886" s="44"/>
    </row>
    <row r="1887" spans="1:19" x14ac:dyDescent="0.3">
      <c r="A1887" s="44" t="s">
        <v>3238</v>
      </c>
      <c r="B1887" s="44" t="s">
        <v>114</v>
      </c>
      <c r="C1887" s="44" t="s">
        <v>29</v>
      </c>
      <c r="D1887" s="44" t="s">
        <v>392</v>
      </c>
      <c r="E1887" s="44" t="s">
        <v>1381</v>
      </c>
      <c r="F1887" s="44" t="s">
        <v>1458</v>
      </c>
      <c r="G1887" s="44" t="s">
        <v>2925</v>
      </c>
      <c r="H1887" s="44" t="s">
        <v>1124</v>
      </c>
      <c r="I1887" s="44" t="s">
        <v>1127</v>
      </c>
      <c r="J1887" s="44">
        <v>246</v>
      </c>
      <c r="K1887" s="44" t="s">
        <v>1107</v>
      </c>
      <c r="L1887" s="44"/>
      <c r="M1887" s="44" t="s">
        <v>2033</v>
      </c>
      <c r="N1887" s="45">
        <v>21525520</v>
      </c>
      <c r="O1887" s="46">
        <f t="shared" si="63"/>
        <v>21525.52</v>
      </c>
      <c r="P1887" s="47">
        <f>FCCL!H101</f>
        <v>21525.52</v>
      </c>
      <c r="Q1887" s="44" t="str">
        <f t="shared" si="64"/>
        <v>PASS</v>
      </c>
      <c r="R1887" s="44" t="s">
        <v>1110</v>
      </c>
      <c r="S1887" s="44"/>
    </row>
    <row r="1888" spans="1:19" x14ac:dyDescent="0.3">
      <c r="A1888" s="44" t="s">
        <v>3239</v>
      </c>
      <c r="B1888" s="44" t="s">
        <v>114</v>
      </c>
      <c r="C1888" s="44" t="s">
        <v>20</v>
      </c>
      <c r="D1888" s="44" t="s">
        <v>394</v>
      </c>
      <c r="E1888" s="44" t="s">
        <v>1381</v>
      </c>
      <c r="F1888" s="44" t="s">
        <v>2368</v>
      </c>
      <c r="G1888" s="44" t="s">
        <v>2918</v>
      </c>
      <c r="H1888" s="44" t="s">
        <v>1113</v>
      </c>
      <c r="I1888" s="44" t="s">
        <v>1106</v>
      </c>
      <c r="J1888" s="44">
        <v>188</v>
      </c>
      <c r="K1888" s="44" t="s">
        <v>2053</v>
      </c>
      <c r="L1888" s="44"/>
      <c r="M1888" s="44" t="s">
        <v>2033</v>
      </c>
      <c r="N1888" s="45">
        <v>3471351</v>
      </c>
      <c r="O1888" s="46">
        <f t="shared" si="63"/>
        <v>3471.3510000000001</v>
      </c>
      <c r="P1888" s="47">
        <f>FCCL!D102</f>
        <v>3471.3510000000001</v>
      </c>
      <c r="Q1888" s="44" t="str">
        <f t="shared" si="64"/>
        <v>PASS</v>
      </c>
      <c r="R1888" s="44" t="s">
        <v>1110</v>
      </c>
      <c r="S1888" s="44"/>
    </row>
    <row r="1889" spans="1:19" x14ac:dyDescent="0.3">
      <c r="A1889" s="44" t="s">
        <v>3240</v>
      </c>
      <c r="B1889" s="44" t="s">
        <v>114</v>
      </c>
      <c r="C1889" s="44" t="s">
        <v>26</v>
      </c>
      <c r="D1889" s="44" t="s">
        <v>394</v>
      </c>
      <c r="E1889" s="44" t="s">
        <v>1381</v>
      </c>
      <c r="F1889" s="44" t="s">
        <v>2368</v>
      </c>
      <c r="G1889" s="44" t="s">
        <v>2920</v>
      </c>
      <c r="H1889" s="44" t="s">
        <v>1117</v>
      </c>
      <c r="I1889" s="44" t="s">
        <v>1106</v>
      </c>
      <c r="J1889" s="44">
        <v>210</v>
      </c>
      <c r="K1889" s="44" t="s">
        <v>2385</v>
      </c>
      <c r="L1889" s="44"/>
      <c r="M1889" s="44" t="s">
        <v>2033</v>
      </c>
      <c r="N1889" s="45">
        <v>7112540</v>
      </c>
      <c r="O1889" s="46">
        <f t="shared" si="63"/>
        <v>7112.54</v>
      </c>
      <c r="P1889" s="47">
        <f>FCCL!E102</f>
        <v>7112.54</v>
      </c>
      <c r="Q1889" s="44" t="str">
        <f t="shared" si="64"/>
        <v>PASS</v>
      </c>
      <c r="R1889" s="44" t="s">
        <v>1110</v>
      </c>
      <c r="S1889" s="44"/>
    </row>
    <row r="1890" spans="1:19" x14ac:dyDescent="0.3">
      <c r="A1890" s="44" t="s">
        <v>3241</v>
      </c>
      <c r="B1890" s="44" t="s">
        <v>114</v>
      </c>
      <c r="C1890" s="44" t="s">
        <v>27</v>
      </c>
      <c r="D1890" s="44" t="s">
        <v>394</v>
      </c>
      <c r="E1890" s="44" t="s">
        <v>1381</v>
      </c>
      <c r="F1890" s="44" t="s">
        <v>2368</v>
      </c>
      <c r="G1890" s="44" t="s">
        <v>2923</v>
      </c>
      <c r="H1890" s="44" t="s">
        <v>1120</v>
      </c>
      <c r="I1890" s="44" t="s">
        <v>1106</v>
      </c>
      <c r="J1890" s="44">
        <v>192</v>
      </c>
      <c r="K1890" s="44" t="s">
        <v>2739</v>
      </c>
      <c r="L1890" s="44"/>
      <c r="M1890" s="44" t="s">
        <v>2033</v>
      </c>
      <c r="N1890" s="45">
        <v>7439681</v>
      </c>
      <c r="O1890" s="46">
        <f t="shared" si="63"/>
        <v>7439.6809999999996</v>
      </c>
      <c r="P1890" s="47">
        <f>FCCL!F102</f>
        <v>7439.6809999999996</v>
      </c>
      <c r="Q1890" s="44" t="str">
        <f t="shared" si="64"/>
        <v>PASS</v>
      </c>
      <c r="R1890" s="44" t="s">
        <v>1110</v>
      </c>
      <c r="S1890" s="44"/>
    </row>
    <row r="1891" spans="1:19" x14ac:dyDescent="0.3">
      <c r="A1891" s="44" t="s">
        <v>3242</v>
      </c>
      <c r="B1891" s="44" t="s">
        <v>114</v>
      </c>
      <c r="C1891" s="44" t="s">
        <v>28</v>
      </c>
      <c r="D1891" s="44" t="s">
        <v>394</v>
      </c>
      <c r="E1891" s="44" t="s">
        <v>1381</v>
      </c>
      <c r="F1891" s="44" t="s">
        <v>2368</v>
      </c>
      <c r="G1891" s="44" t="s">
        <v>2925</v>
      </c>
      <c r="H1891" s="44" t="s">
        <v>1124</v>
      </c>
      <c r="I1891" s="44" t="s">
        <v>1106</v>
      </c>
      <c r="J1891" s="44">
        <v>246</v>
      </c>
      <c r="K1891" s="44" t="s">
        <v>1107</v>
      </c>
      <c r="L1891" s="44"/>
      <c r="M1891" s="44" t="s">
        <v>2033</v>
      </c>
      <c r="N1891" s="45">
        <v>8223116</v>
      </c>
      <c r="O1891" s="46">
        <f t="shared" si="63"/>
        <v>8223.116</v>
      </c>
      <c r="P1891" s="47">
        <f>FCCL!G102</f>
        <v>8223.116</v>
      </c>
      <c r="Q1891" s="44" t="str">
        <f t="shared" si="64"/>
        <v>PASS</v>
      </c>
      <c r="R1891" s="44" t="s">
        <v>1110</v>
      </c>
      <c r="S1891" s="44"/>
    </row>
    <row r="1892" spans="1:19" x14ac:dyDescent="0.3">
      <c r="A1892" s="44" t="s">
        <v>3243</v>
      </c>
      <c r="B1892" s="44" t="s">
        <v>114</v>
      </c>
      <c r="C1892" s="44" t="s">
        <v>29</v>
      </c>
      <c r="D1892" s="44" t="s">
        <v>394</v>
      </c>
      <c r="E1892" s="44" t="s">
        <v>1381</v>
      </c>
      <c r="F1892" s="44" t="s">
        <v>2368</v>
      </c>
      <c r="G1892" s="44" t="s">
        <v>2925</v>
      </c>
      <c r="H1892" s="44" t="s">
        <v>1124</v>
      </c>
      <c r="I1892" s="44" t="s">
        <v>1127</v>
      </c>
      <c r="J1892" s="44">
        <v>246</v>
      </c>
      <c r="K1892" s="44" t="s">
        <v>1107</v>
      </c>
      <c r="L1892" s="44"/>
      <c r="M1892" s="44" t="s">
        <v>2033</v>
      </c>
      <c r="N1892" s="45">
        <v>13326202</v>
      </c>
      <c r="O1892" s="46">
        <f t="shared" si="63"/>
        <v>13326.201999999999</v>
      </c>
      <c r="P1892" s="47">
        <f>FCCL!H102</f>
        <v>13326.201999999999</v>
      </c>
      <c r="Q1892" s="44" t="str">
        <f t="shared" si="64"/>
        <v>PASS</v>
      </c>
      <c r="R1892" s="44" t="s">
        <v>1110</v>
      </c>
      <c r="S1892" s="44"/>
    </row>
    <row r="1893" spans="1:19" x14ac:dyDescent="0.3">
      <c r="A1893" s="44" t="s">
        <v>3244</v>
      </c>
      <c r="B1893" s="44" t="s">
        <v>114</v>
      </c>
      <c r="C1893" s="44" t="s">
        <v>20</v>
      </c>
      <c r="D1893" s="44" t="s">
        <v>398</v>
      </c>
      <c r="E1893" s="44" t="s">
        <v>1130</v>
      </c>
      <c r="F1893" s="44" t="s">
        <v>3245</v>
      </c>
      <c r="G1893" s="44" t="s">
        <v>2918</v>
      </c>
      <c r="H1893" s="44" t="s">
        <v>1113</v>
      </c>
      <c r="I1893" s="44" t="s">
        <v>1106</v>
      </c>
      <c r="J1893" s="44">
        <v>229</v>
      </c>
      <c r="K1893" s="44" t="s">
        <v>1948</v>
      </c>
      <c r="L1893" s="44"/>
      <c r="M1893" s="44" t="s">
        <v>2033</v>
      </c>
      <c r="N1893" s="45">
        <v>17511</v>
      </c>
      <c r="O1893" s="46">
        <f t="shared" si="63"/>
        <v>17.510999999999999</v>
      </c>
      <c r="P1893" s="47">
        <f>FCCL!D105</f>
        <v>17.510999999999999</v>
      </c>
      <c r="Q1893" s="44" t="str">
        <f t="shared" si="64"/>
        <v>PASS</v>
      </c>
      <c r="R1893" s="44" t="s">
        <v>1110</v>
      </c>
      <c r="S1893" s="44"/>
    </row>
    <row r="1894" spans="1:19" x14ac:dyDescent="0.3">
      <c r="A1894" s="44" t="s">
        <v>3246</v>
      </c>
      <c r="B1894" s="44" t="s">
        <v>114</v>
      </c>
      <c r="C1894" s="44" t="s">
        <v>26</v>
      </c>
      <c r="D1894" s="44" t="s">
        <v>398</v>
      </c>
      <c r="E1894" s="44" t="s">
        <v>1130</v>
      </c>
      <c r="F1894" s="44" t="s">
        <v>3245</v>
      </c>
      <c r="G1894" s="44" t="s">
        <v>2920</v>
      </c>
      <c r="H1894" s="44" t="s">
        <v>1117</v>
      </c>
      <c r="I1894" s="44" t="s">
        <v>1106</v>
      </c>
      <c r="J1894" s="44">
        <v>250</v>
      </c>
      <c r="K1894" s="44" t="s">
        <v>1607</v>
      </c>
      <c r="L1894" s="44"/>
      <c r="M1894" s="44" t="s">
        <v>2033</v>
      </c>
      <c r="N1894" s="45">
        <v>206388</v>
      </c>
      <c r="O1894" s="46">
        <f t="shared" si="63"/>
        <v>206.38800000000001</v>
      </c>
      <c r="P1894" s="47">
        <f>FCCL!E105</f>
        <v>206.38800000000001</v>
      </c>
      <c r="Q1894" s="44" t="str">
        <f t="shared" si="64"/>
        <v>PASS</v>
      </c>
      <c r="R1894" s="44" t="s">
        <v>1110</v>
      </c>
      <c r="S1894" s="44"/>
    </row>
    <row r="1895" spans="1:19" x14ac:dyDescent="0.3">
      <c r="A1895" s="44" t="s">
        <v>3247</v>
      </c>
      <c r="B1895" s="44" t="s">
        <v>114</v>
      </c>
      <c r="C1895" s="44" t="s">
        <v>27</v>
      </c>
      <c r="D1895" s="44" t="s">
        <v>398</v>
      </c>
      <c r="E1895" s="44" t="s">
        <v>1130</v>
      </c>
      <c r="F1895" s="44" t="s">
        <v>3248</v>
      </c>
      <c r="G1895" s="44" t="s">
        <v>2923</v>
      </c>
      <c r="H1895" s="44" t="s">
        <v>1120</v>
      </c>
      <c r="I1895" s="44" t="s">
        <v>1106</v>
      </c>
      <c r="J1895" s="44">
        <v>228</v>
      </c>
      <c r="K1895" s="44" t="s">
        <v>3249</v>
      </c>
      <c r="L1895" s="44"/>
      <c r="M1895" s="44" t="s">
        <v>2033</v>
      </c>
      <c r="N1895" s="45">
        <v>1020455</v>
      </c>
      <c r="O1895" s="46">
        <f t="shared" si="63"/>
        <v>1020.455</v>
      </c>
      <c r="P1895" s="47">
        <f>FCCL!F105</f>
        <v>1020.455</v>
      </c>
      <c r="Q1895" s="44" t="str">
        <f t="shared" si="64"/>
        <v>PASS</v>
      </c>
      <c r="R1895" s="44" t="s">
        <v>1110</v>
      </c>
      <c r="S1895" s="44"/>
    </row>
    <row r="1896" spans="1:19" x14ac:dyDescent="0.3">
      <c r="A1896" s="44" t="s">
        <v>3250</v>
      </c>
      <c r="B1896" s="44" t="s">
        <v>114</v>
      </c>
      <c r="C1896" s="44" t="s">
        <v>28</v>
      </c>
      <c r="D1896" s="44" t="s">
        <v>398</v>
      </c>
      <c r="E1896" s="44" t="s">
        <v>1130</v>
      </c>
      <c r="F1896" s="44" t="s">
        <v>3251</v>
      </c>
      <c r="G1896" s="44" t="s">
        <v>2925</v>
      </c>
      <c r="H1896" s="44" t="s">
        <v>1124</v>
      </c>
      <c r="I1896" s="44" t="s">
        <v>1106</v>
      </c>
      <c r="J1896" s="44">
        <v>283</v>
      </c>
      <c r="K1896" s="44" t="s">
        <v>1107</v>
      </c>
      <c r="L1896" s="44"/>
      <c r="M1896" s="44" t="s">
        <v>2033</v>
      </c>
      <c r="N1896" s="45">
        <v>12561</v>
      </c>
      <c r="O1896" s="46">
        <f t="shared" si="63"/>
        <v>12.561</v>
      </c>
      <c r="P1896" s="47">
        <f>FCCL!G105</f>
        <v>12.561</v>
      </c>
      <c r="Q1896" s="44" t="str">
        <f t="shared" si="64"/>
        <v>PASS</v>
      </c>
      <c r="R1896" s="44" t="s">
        <v>1110</v>
      </c>
      <c r="S1896" s="44"/>
    </row>
    <row r="1897" spans="1:19" x14ac:dyDescent="0.3">
      <c r="A1897" s="44" t="s">
        <v>3252</v>
      </c>
      <c r="B1897" s="44" t="s">
        <v>114</v>
      </c>
      <c r="C1897" s="44" t="s">
        <v>29</v>
      </c>
      <c r="D1897" s="44" t="s">
        <v>398</v>
      </c>
      <c r="E1897" s="44" t="s">
        <v>1130</v>
      </c>
      <c r="F1897" s="44" t="s">
        <v>3251</v>
      </c>
      <c r="G1897" s="44" t="s">
        <v>2925</v>
      </c>
      <c r="H1897" s="44" t="s">
        <v>1124</v>
      </c>
      <c r="I1897" s="44" t="s">
        <v>1127</v>
      </c>
      <c r="J1897" s="44">
        <v>283</v>
      </c>
      <c r="K1897" s="44" t="s">
        <v>1107</v>
      </c>
      <c r="L1897" s="44"/>
      <c r="M1897" s="44" t="s">
        <v>2033</v>
      </c>
      <c r="N1897" s="45">
        <v>97854</v>
      </c>
      <c r="O1897" s="46">
        <f t="shared" si="63"/>
        <v>97.853999999999999</v>
      </c>
      <c r="P1897" s="47">
        <f>FCCL!H105</f>
        <v>97.853999999999999</v>
      </c>
      <c r="Q1897" s="44" t="str">
        <f t="shared" si="64"/>
        <v>PASS</v>
      </c>
      <c r="R1897" s="44" t="s">
        <v>1110</v>
      </c>
      <c r="S1897" s="44"/>
    </row>
    <row r="1898" spans="1:19" x14ac:dyDescent="0.3">
      <c r="A1898" s="44" t="s">
        <v>3253</v>
      </c>
      <c r="B1898" s="44" t="s">
        <v>114</v>
      </c>
      <c r="C1898" s="44" t="s">
        <v>20</v>
      </c>
      <c r="D1898" s="44" t="s">
        <v>402</v>
      </c>
      <c r="E1898" s="44" t="s">
        <v>1478</v>
      </c>
      <c r="F1898" s="44" t="s">
        <v>3254</v>
      </c>
      <c r="G1898" s="44" t="s">
        <v>2918</v>
      </c>
      <c r="H1898" s="44" t="s">
        <v>1113</v>
      </c>
      <c r="I1898" s="44" t="s">
        <v>1106</v>
      </c>
      <c r="J1898" s="44">
        <v>190</v>
      </c>
      <c r="K1898" s="44" t="s">
        <v>2055</v>
      </c>
      <c r="L1898" s="44"/>
      <c r="M1898" s="44" t="s">
        <v>2033</v>
      </c>
      <c r="N1898" s="45">
        <v>1599551</v>
      </c>
      <c r="O1898" s="46">
        <f t="shared" si="63"/>
        <v>1599.5509999999999</v>
      </c>
      <c r="P1898" s="47">
        <f>FCCL!D107</f>
        <v>1599.5509999999999</v>
      </c>
      <c r="Q1898" s="44" t="str">
        <f t="shared" si="64"/>
        <v>PASS</v>
      </c>
      <c r="R1898" s="44" t="s">
        <v>1110</v>
      </c>
      <c r="S1898" s="44"/>
    </row>
    <row r="1899" spans="1:19" x14ac:dyDescent="0.3">
      <c r="A1899" s="44" t="s">
        <v>3255</v>
      </c>
      <c r="B1899" s="44" t="s">
        <v>114</v>
      </c>
      <c r="C1899" s="44" t="s">
        <v>26</v>
      </c>
      <c r="D1899" s="44" t="s">
        <v>402</v>
      </c>
      <c r="E1899" s="44" t="s">
        <v>1478</v>
      </c>
      <c r="F1899" s="44" t="s">
        <v>3256</v>
      </c>
      <c r="G1899" s="44" t="s">
        <v>2920</v>
      </c>
      <c r="H1899" s="44" t="s">
        <v>1117</v>
      </c>
      <c r="I1899" s="44" t="s">
        <v>1106</v>
      </c>
      <c r="J1899" s="44">
        <v>212</v>
      </c>
      <c r="K1899" s="44" t="s">
        <v>3257</v>
      </c>
      <c r="L1899" s="44"/>
      <c r="M1899" s="44" t="s">
        <v>2033</v>
      </c>
      <c r="N1899" s="45">
        <v>2950143</v>
      </c>
      <c r="O1899" s="46">
        <f t="shared" si="63"/>
        <v>2950.143</v>
      </c>
      <c r="P1899" s="47">
        <f>FCCL!E107</f>
        <v>2950.143</v>
      </c>
      <c r="Q1899" s="44" t="str">
        <f t="shared" si="64"/>
        <v>PASS</v>
      </c>
      <c r="R1899" s="44" t="s">
        <v>1110</v>
      </c>
      <c r="S1899" s="44"/>
    </row>
    <row r="1900" spans="1:19" x14ac:dyDescent="0.3">
      <c r="A1900" s="44" t="s">
        <v>3258</v>
      </c>
      <c r="B1900" s="44" t="s">
        <v>114</v>
      </c>
      <c r="C1900" s="44" t="s">
        <v>27</v>
      </c>
      <c r="D1900" s="44" t="s">
        <v>402</v>
      </c>
      <c r="E1900" s="44" t="s">
        <v>1478</v>
      </c>
      <c r="F1900" s="44" t="s">
        <v>3254</v>
      </c>
      <c r="G1900" s="44" t="s">
        <v>2923</v>
      </c>
      <c r="H1900" s="44" t="s">
        <v>1120</v>
      </c>
      <c r="I1900" s="44" t="s">
        <v>1106</v>
      </c>
      <c r="J1900" s="44">
        <v>194</v>
      </c>
      <c r="K1900" s="44" t="s">
        <v>2839</v>
      </c>
      <c r="L1900" s="44"/>
      <c r="M1900" s="44" t="s">
        <v>2033</v>
      </c>
      <c r="N1900" s="45">
        <v>3649886</v>
      </c>
      <c r="O1900" s="46">
        <f t="shared" si="63"/>
        <v>3649.886</v>
      </c>
      <c r="P1900" s="47">
        <f>FCCL!F107</f>
        <v>3649.886</v>
      </c>
      <c r="Q1900" s="44" t="str">
        <f t="shared" si="64"/>
        <v>PASS</v>
      </c>
      <c r="R1900" s="44" t="s">
        <v>1110</v>
      </c>
      <c r="S1900" s="44"/>
    </row>
    <row r="1901" spans="1:19" x14ac:dyDescent="0.3">
      <c r="A1901" s="44" t="s">
        <v>3259</v>
      </c>
      <c r="B1901" s="44" t="s">
        <v>114</v>
      </c>
      <c r="C1901" s="44" t="s">
        <v>28</v>
      </c>
      <c r="D1901" s="44" t="s">
        <v>402</v>
      </c>
      <c r="E1901" s="44" t="s">
        <v>1478</v>
      </c>
      <c r="F1901" s="44" t="s">
        <v>3254</v>
      </c>
      <c r="G1901" s="44" t="s">
        <v>2925</v>
      </c>
      <c r="H1901" s="44" t="s">
        <v>1124</v>
      </c>
      <c r="I1901" s="44" t="s">
        <v>1106</v>
      </c>
      <c r="J1901" s="44">
        <v>248</v>
      </c>
      <c r="K1901" s="44" t="s">
        <v>1107</v>
      </c>
      <c r="L1901" s="44"/>
      <c r="M1901" s="44" t="s">
        <v>2033</v>
      </c>
      <c r="N1901" s="45">
        <v>4058051</v>
      </c>
      <c r="O1901" s="46">
        <f t="shared" si="63"/>
        <v>4058.0509999999999</v>
      </c>
      <c r="P1901" s="47">
        <f>FCCL!G107</f>
        <v>4058.0509999999999</v>
      </c>
      <c r="Q1901" s="44" t="str">
        <f t="shared" si="64"/>
        <v>PASS</v>
      </c>
      <c r="R1901" s="44" t="s">
        <v>1110</v>
      </c>
      <c r="S1901" s="44"/>
    </row>
    <row r="1902" spans="1:19" x14ac:dyDescent="0.3">
      <c r="A1902" s="44" t="s">
        <v>3260</v>
      </c>
      <c r="B1902" s="44" t="s">
        <v>114</v>
      </c>
      <c r="C1902" s="44" t="s">
        <v>29</v>
      </c>
      <c r="D1902" s="44" t="s">
        <v>402</v>
      </c>
      <c r="E1902" s="44" t="s">
        <v>1478</v>
      </c>
      <c r="F1902" s="44" t="s">
        <v>3254</v>
      </c>
      <c r="G1902" s="44" t="s">
        <v>2925</v>
      </c>
      <c r="H1902" s="44" t="s">
        <v>1124</v>
      </c>
      <c r="I1902" s="44" t="s">
        <v>1127</v>
      </c>
      <c r="J1902" s="44">
        <v>248</v>
      </c>
      <c r="K1902" s="44" t="s">
        <v>1107</v>
      </c>
      <c r="L1902" s="44"/>
      <c r="M1902" s="44" t="s">
        <v>2033</v>
      </c>
      <c r="N1902" s="45">
        <v>4969739</v>
      </c>
      <c r="O1902" s="46">
        <f t="shared" si="63"/>
        <v>4969.7389999999996</v>
      </c>
      <c r="P1902" s="47">
        <f>FCCL!H107</f>
        <v>4969.7389999999996</v>
      </c>
      <c r="Q1902" s="44" t="str">
        <f t="shared" si="64"/>
        <v>PASS</v>
      </c>
      <c r="R1902" s="44" t="s">
        <v>1110</v>
      </c>
      <c r="S1902" s="44"/>
    </row>
    <row r="1903" spans="1:19" x14ac:dyDescent="0.3">
      <c r="A1903" s="44" t="s">
        <v>3261</v>
      </c>
      <c r="B1903" s="44" t="s">
        <v>114</v>
      </c>
      <c r="C1903" s="44" t="s">
        <v>20</v>
      </c>
      <c r="D1903" s="44" t="s">
        <v>418</v>
      </c>
      <c r="E1903" s="44" t="s">
        <v>1478</v>
      </c>
      <c r="F1903" s="44"/>
      <c r="G1903" s="44" t="s">
        <v>2918</v>
      </c>
      <c r="H1903" s="44" t="s">
        <v>1113</v>
      </c>
      <c r="I1903" s="44" t="s">
        <v>1106</v>
      </c>
      <c r="J1903" s="44">
        <v>190</v>
      </c>
      <c r="K1903" s="44" t="s">
        <v>2055</v>
      </c>
      <c r="L1903" s="44"/>
      <c r="M1903" s="44" t="s">
        <v>2033</v>
      </c>
      <c r="N1903" s="45">
        <v>0</v>
      </c>
      <c r="O1903" s="46">
        <f t="shared" si="63"/>
        <v>0</v>
      </c>
      <c r="P1903" s="47">
        <f>FCCL!D116</f>
        <v>0</v>
      </c>
      <c r="Q1903" s="44" t="str">
        <f t="shared" si="64"/>
        <v>PASS</v>
      </c>
      <c r="R1903" s="44" t="s">
        <v>1110</v>
      </c>
      <c r="S1903" s="44"/>
    </row>
    <row r="1904" spans="1:19" x14ac:dyDescent="0.3">
      <c r="A1904" s="44" t="s">
        <v>3262</v>
      </c>
      <c r="B1904" s="44" t="s">
        <v>114</v>
      </c>
      <c r="C1904" s="44" t="s">
        <v>26</v>
      </c>
      <c r="D1904" s="44" t="s">
        <v>418</v>
      </c>
      <c r="E1904" s="44" t="s">
        <v>1478</v>
      </c>
      <c r="F1904" s="44"/>
      <c r="G1904" s="44" t="s">
        <v>2920</v>
      </c>
      <c r="H1904" s="44" t="s">
        <v>1117</v>
      </c>
      <c r="I1904" s="44" t="s">
        <v>1106</v>
      </c>
      <c r="J1904" s="44">
        <v>212</v>
      </c>
      <c r="K1904" s="44" t="s">
        <v>3257</v>
      </c>
      <c r="L1904" s="44"/>
      <c r="M1904" s="44" t="s">
        <v>2033</v>
      </c>
      <c r="N1904" s="45">
        <v>0</v>
      </c>
      <c r="O1904" s="46">
        <f t="shared" si="63"/>
        <v>0</v>
      </c>
      <c r="P1904" s="47">
        <f>FCCL!E116</f>
        <v>0</v>
      </c>
      <c r="Q1904" s="44" t="str">
        <f t="shared" si="64"/>
        <v>PASS</v>
      </c>
      <c r="R1904" s="44" t="s">
        <v>1110</v>
      </c>
      <c r="S1904" s="44"/>
    </row>
    <row r="1905" spans="1:19" x14ac:dyDescent="0.3">
      <c r="A1905" s="44" t="s">
        <v>3263</v>
      </c>
      <c r="B1905" s="44" t="s">
        <v>114</v>
      </c>
      <c r="C1905" s="44" t="s">
        <v>27</v>
      </c>
      <c r="D1905" s="44" t="s">
        <v>418</v>
      </c>
      <c r="E1905" s="44" t="s">
        <v>1478</v>
      </c>
      <c r="F1905" s="44"/>
      <c r="G1905" s="44" t="s">
        <v>2923</v>
      </c>
      <c r="H1905" s="44" t="s">
        <v>1120</v>
      </c>
      <c r="I1905" s="44" t="s">
        <v>1106</v>
      </c>
      <c r="J1905" s="44">
        <v>194</v>
      </c>
      <c r="K1905" s="44" t="s">
        <v>2839</v>
      </c>
      <c r="L1905" s="44"/>
      <c r="M1905" s="44" t="s">
        <v>2033</v>
      </c>
      <c r="N1905" s="45">
        <v>0</v>
      </c>
      <c r="O1905" s="46">
        <f t="shared" si="63"/>
        <v>0</v>
      </c>
      <c r="P1905" s="47">
        <f>FCCL!F116</f>
        <v>0</v>
      </c>
      <c r="Q1905" s="44" t="str">
        <f t="shared" si="64"/>
        <v>PASS</v>
      </c>
      <c r="R1905" s="44" t="s">
        <v>1110</v>
      </c>
      <c r="S1905" s="44"/>
    </row>
    <row r="1906" spans="1:19" x14ac:dyDescent="0.3">
      <c r="A1906" s="44" t="s">
        <v>3264</v>
      </c>
      <c r="B1906" s="44" t="s">
        <v>114</v>
      </c>
      <c r="C1906" s="44" t="s">
        <v>28</v>
      </c>
      <c r="D1906" s="44" t="s">
        <v>418</v>
      </c>
      <c r="E1906" s="44" t="s">
        <v>1478</v>
      </c>
      <c r="F1906" s="44"/>
      <c r="G1906" s="44" t="s">
        <v>2925</v>
      </c>
      <c r="H1906" s="44" t="s">
        <v>1124</v>
      </c>
      <c r="I1906" s="44" t="s">
        <v>1106</v>
      </c>
      <c r="J1906" s="44">
        <v>248</v>
      </c>
      <c r="K1906" s="44" t="s">
        <v>1107</v>
      </c>
      <c r="L1906" s="44"/>
      <c r="M1906" s="44" t="s">
        <v>2033</v>
      </c>
      <c r="N1906" s="45">
        <v>0</v>
      </c>
      <c r="O1906" s="46">
        <f t="shared" si="63"/>
        <v>0</v>
      </c>
      <c r="P1906" s="47">
        <f>FCCL!G116</f>
        <v>0</v>
      </c>
      <c r="Q1906" s="44" t="str">
        <f t="shared" si="64"/>
        <v>PASS</v>
      </c>
      <c r="R1906" s="44" t="s">
        <v>1110</v>
      </c>
      <c r="S1906" s="44"/>
    </row>
    <row r="1907" spans="1:19" x14ac:dyDescent="0.3">
      <c r="A1907" s="44" t="s">
        <v>3265</v>
      </c>
      <c r="B1907" s="44" t="s">
        <v>114</v>
      </c>
      <c r="C1907" s="44" t="s">
        <v>29</v>
      </c>
      <c r="D1907" s="44" t="s">
        <v>418</v>
      </c>
      <c r="E1907" s="44" t="s">
        <v>1478</v>
      </c>
      <c r="F1907" s="44"/>
      <c r="G1907" s="44" t="s">
        <v>2925</v>
      </c>
      <c r="H1907" s="44" t="s">
        <v>1124</v>
      </c>
      <c r="I1907" s="44" t="s">
        <v>1127</v>
      </c>
      <c r="J1907" s="44">
        <v>248</v>
      </c>
      <c r="K1907" s="44" t="s">
        <v>1107</v>
      </c>
      <c r="L1907" s="44"/>
      <c r="M1907" s="44" t="s">
        <v>2033</v>
      </c>
      <c r="N1907" s="45">
        <v>0</v>
      </c>
      <c r="O1907" s="46">
        <f t="shared" si="63"/>
        <v>0</v>
      </c>
      <c r="P1907" s="47">
        <f>FCCL!H116</f>
        <v>0</v>
      </c>
      <c r="Q1907" s="44" t="str">
        <f t="shared" si="64"/>
        <v>PASS</v>
      </c>
      <c r="R1907" s="44" t="s">
        <v>1110</v>
      </c>
      <c r="S1907" s="44"/>
    </row>
    <row r="1908" spans="1:19" x14ac:dyDescent="0.3">
      <c r="A1908" s="44" t="s">
        <v>3266</v>
      </c>
      <c r="B1908" s="44" t="s">
        <v>114</v>
      </c>
      <c r="C1908" s="44" t="s">
        <v>20</v>
      </c>
      <c r="D1908" s="44" t="s">
        <v>420</v>
      </c>
      <c r="E1908" s="44" t="s">
        <v>1478</v>
      </c>
      <c r="F1908" s="44" t="s">
        <v>1493</v>
      </c>
      <c r="G1908" s="44" t="s">
        <v>2918</v>
      </c>
      <c r="H1908" s="44" t="s">
        <v>1113</v>
      </c>
      <c r="I1908" s="44" t="s">
        <v>1106</v>
      </c>
      <c r="J1908" s="44">
        <v>190</v>
      </c>
      <c r="K1908" s="44" t="s">
        <v>2055</v>
      </c>
      <c r="L1908" s="44"/>
      <c r="M1908" s="44" t="s">
        <v>2033</v>
      </c>
      <c r="N1908" s="45">
        <v>5739097</v>
      </c>
      <c r="O1908" s="46">
        <f t="shared" si="63"/>
        <v>5739.0969999999998</v>
      </c>
      <c r="P1908" s="47">
        <f>FCCL!D117</f>
        <v>5739.0969999999998</v>
      </c>
      <c r="Q1908" s="44" t="str">
        <f t="shared" si="64"/>
        <v>PASS</v>
      </c>
      <c r="R1908" s="44" t="s">
        <v>1110</v>
      </c>
      <c r="S1908" s="44"/>
    </row>
    <row r="1909" spans="1:19" x14ac:dyDescent="0.3">
      <c r="A1909" s="44" t="s">
        <v>3267</v>
      </c>
      <c r="B1909" s="44" t="s">
        <v>114</v>
      </c>
      <c r="C1909" s="44" t="s">
        <v>26</v>
      </c>
      <c r="D1909" s="44" t="s">
        <v>420</v>
      </c>
      <c r="E1909" s="44" t="s">
        <v>1478</v>
      </c>
      <c r="F1909" s="44" t="s">
        <v>1493</v>
      </c>
      <c r="G1909" s="44" t="s">
        <v>2920</v>
      </c>
      <c r="H1909" s="44" t="s">
        <v>1117</v>
      </c>
      <c r="I1909" s="44" t="s">
        <v>1106</v>
      </c>
      <c r="J1909" s="44">
        <v>212</v>
      </c>
      <c r="K1909" s="44" t="s">
        <v>3257</v>
      </c>
      <c r="L1909" s="44"/>
      <c r="M1909" s="44" t="s">
        <v>2033</v>
      </c>
      <c r="N1909" s="45">
        <v>7567564</v>
      </c>
      <c r="O1909" s="46">
        <f t="shared" si="63"/>
        <v>7567.5640000000003</v>
      </c>
      <c r="P1909" s="47">
        <f>FCCL!E117</f>
        <v>7567.5640000000003</v>
      </c>
      <c r="Q1909" s="44" t="str">
        <f t="shared" si="64"/>
        <v>PASS</v>
      </c>
      <c r="R1909" s="44" t="s">
        <v>1110</v>
      </c>
      <c r="S1909" s="44"/>
    </row>
    <row r="1910" spans="1:19" x14ac:dyDescent="0.3">
      <c r="A1910" s="44" t="s">
        <v>3268</v>
      </c>
      <c r="B1910" s="44" t="s">
        <v>114</v>
      </c>
      <c r="C1910" s="44" t="s">
        <v>27</v>
      </c>
      <c r="D1910" s="44" t="s">
        <v>420</v>
      </c>
      <c r="E1910" s="44" t="s">
        <v>1478</v>
      </c>
      <c r="F1910" s="44" t="s">
        <v>1493</v>
      </c>
      <c r="G1910" s="44" t="s">
        <v>2923</v>
      </c>
      <c r="H1910" s="44" t="s">
        <v>1120</v>
      </c>
      <c r="I1910" s="44" t="s">
        <v>1106</v>
      </c>
      <c r="J1910" s="44">
        <v>194</v>
      </c>
      <c r="K1910" s="44" t="s">
        <v>2839</v>
      </c>
      <c r="L1910" s="44"/>
      <c r="M1910" s="44" t="s">
        <v>2033</v>
      </c>
      <c r="N1910" s="45">
        <v>16030998</v>
      </c>
      <c r="O1910" s="46">
        <f t="shared" si="63"/>
        <v>16030.998</v>
      </c>
      <c r="P1910" s="47">
        <f>FCCL!F117</f>
        <v>16030.998</v>
      </c>
      <c r="Q1910" s="44" t="str">
        <f t="shared" si="64"/>
        <v>PASS</v>
      </c>
      <c r="R1910" s="44" t="s">
        <v>1110</v>
      </c>
      <c r="S1910" s="44" t="s">
        <v>1114</v>
      </c>
    </row>
    <row r="1911" spans="1:19" x14ac:dyDescent="0.3">
      <c r="A1911" s="44" t="s">
        <v>3269</v>
      </c>
      <c r="B1911" s="44" t="s">
        <v>114</v>
      </c>
      <c r="C1911" s="44" t="s">
        <v>28</v>
      </c>
      <c r="D1911" s="44" t="s">
        <v>420</v>
      </c>
      <c r="E1911" s="44" t="s">
        <v>1478</v>
      </c>
      <c r="F1911" s="44" t="s">
        <v>1493</v>
      </c>
      <c r="G1911" s="44" t="s">
        <v>2925</v>
      </c>
      <c r="H1911" s="44" t="s">
        <v>1124</v>
      </c>
      <c r="I1911" s="44" t="s">
        <v>1106</v>
      </c>
      <c r="J1911" s="44">
        <v>248</v>
      </c>
      <c r="K1911" s="44" t="s">
        <v>1107</v>
      </c>
      <c r="L1911" s="44"/>
      <c r="M1911" s="44" t="s">
        <v>2033</v>
      </c>
      <c r="N1911" s="45">
        <v>22284607</v>
      </c>
      <c r="O1911" s="46">
        <f t="shared" si="63"/>
        <v>22284.607</v>
      </c>
      <c r="P1911" s="47">
        <f>FCCL!G117</f>
        <v>22284.607</v>
      </c>
      <c r="Q1911" s="44" t="str">
        <f t="shared" si="64"/>
        <v>PASS</v>
      </c>
      <c r="R1911" s="44" t="s">
        <v>1110</v>
      </c>
      <c r="S1911" s="44" t="s">
        <v>1114</v>
      </c>
    </row>
    <row r="1912" spans="1:19" x14ac:dyDescent="0.3">
      <c r="A1912" s="44" t="s">
        <v>3270</v>
      </c>
      <c r="B1912" s="44" t="s">
        <v>114</v>
      </c>
      <c r="C1912" s="44" t="s">
        <v>29</v>
      </c>
      <c r="D1912" s="44" t="s">
        <v>420</v>
      </c>
      <c r="E1912" s="44" t="s">
        <v>1478</v>
      </c>
      <c r="F1912" s="44" t="s">
        <v>1493</v>
      </c>
      <c r="G1912" s="44" t="s">
        <v>2925</v>
      </c>
      <c r="H1912" s="44" t="s">
        <v>1124</v>
      </c>
      <c r="I1912" s="44" t="s">
        <v>1127</v>
      </c>
      <c r="J1912" s="44">
        <v>248</v>
      </c>
      <c r="K1912" s="44" t="s">
        <v>1107</v>
      </c>
      <c r="L1912" s="44"/>
      <c r="M1912" s="44" t="s">
        <v>2033</v>
      </c>
      <c r="N1912" s="45">
        <v>24313208</v>
      </c>
      <c r="O1912" s="46">
        <f t="shared" si="63"/>
        <v>24313.207999999999</v>
      </c>
      <c r="P1912" s="47">
        <f>FCCL!H117</f>
        <v>24313.207999999999</v>
      </c>
      <c r="Q1912" s="44" t="str">
        <f t="shared" si="64"/>
        <v>PASS</v>
      </c>
      <c r="R1912" s="44" t="s">
        <v>1110</v>
      </c>
      <c r="S1912" s="44"/>
    </row>
    <row r="1913" spans="1:19" x14ac:dyDescent="0.3">
      <c r="A1913" s="44" t="s">
        <v>3271</v>
      </c>
      <c r="B1913" s="44" t="s">
        <v>114</v>
      </c>
      <c r="C1913" s="44" t="s">
        <v>20</v>
      </c>
      <c r="D1913" s="44" t="s">
        <v>422</v>
      </c>
      <c r="E1913" s="44" t="s">
        <v>1478</v>
      </c>
      <c r="F1913" s="44" t="s">
        <v>1499</v>
      </c>
      <c r="G1913" s="44" t="s">
        <v>2918</v>
      </c>
      <c r="H1913" s="44" t="s">
        <v>1113</v>
      </c>
      <c r="I1913" s="44" t="s">
        <v>1106</v>
      </c>
      <c r="J1913" s="44">
        <v>190</v>
      </c>
      <c r="K1913" s="44" t="s">
        <v>2055</v>
      </c>
      <c r="L1913" s="44"/>
      <c r="M1913" s="44" t="s">
        <v>2033</v>
      </c>
      <c r="N1913" s="45">
        <v>-94843</v>
      </c>
      <c r="O1913" s="46">
        <f t="shared" si="63"/>
        <v>-94.843000000000004</v>
      </c>
      <c r="P1913" s="47">
        <f>FCCL!D118</f>
        <v>-94.843000000000004</v>
      </c>
      <c r="Q1913" s="44" t="str">
        <f t="shared" si="64"/>
        <v>PASS</v>
      </c>
      <c r="R1913" s="44" t="s">
        <v>1110</v>
      </c>
      <c r="S1913" s="44"/>
    </row>
    <row r="1914" spans="1:19" x14ac:dyDescent="0.3">
      <c r="A1914" s="44" t="s">
        <v>3272</v>
      </c>
      <c r="B1914" s="44" t="s">
        <v>114</v>
      </c>
      <c r="C1914" s="44" t="s">
        <v>26</v>
      </c>
      <c r="D1914" s="44" t="s">
        <v>422</v>
      </c>
      <c r="E1914" s="44" t="s">
        <v>1478</v>
      </c>
      <c r="F1914" s="44" t="s">
        <v>1499</v>
      </c>
      <c r="G1914" s="44" t="s">
        <v>2920</v>
      </c>
      <c r="H1914" s="44" t="s">
        <v>1117</v>
      </c>
      <c r="I1914" s="44" t="s">
        <v>1106</v>
      </c>
      <c r="J1914" s="44">
        <v>212</v>
      </c>
      <c r="K1914" s="44" t="s">
        <v>3257</v>
      </c>
      <c r="L1914" s="44"/>
      <c r="M1914" s="44" t="s">
        <v>2033</v>
      </c>
      <c r="N1914" s="45">
        <v>-985172</v>
      </c>
      <c r="O1914" s="46">
        <f t="shared" si="63"/>
        <v>-985.17200000000003</v>
      </c>
      <c r="P1914" s="47">
        <f>FCCL!E118</f>
        <v>-985.17200000000003</v>
      </c>
      <c r="Q1914" s="44" t="str">
        <f t="shared" si="64"/>
        <v>PASS</v>
      </c>
      <c r="R1914" s="44" t="s">
        <v>1110</v>
      </c>
      <c r="S1914" s="44"/>
    </row>
    <row r="1915" spans="1:19" x14ac:dyDescent="0.3">
      <c r="A1915" s="44" t="s">
        <v>3273</v>
      </c>
      <c r="B1915" s="44" t="s">
        <v>114</v>
      </c>
      <c r="C1915" s="44" t="s">
        <v>27</v>
      </c>
      <c r="D1915" s="44" t="s">
        <v>422</v>
      </c>
      <c r="E1915" s="44" t="s">
        <v>1478</v>
      </c>
      <c r="F1915" s="44" t="s">
        <v>1499</v>
      </c>
      <c r="G1915" s="44" t="s">
        <v>2923</v>
      </c>
      <c r="H1915" s="44" t="s">
        <v>1120</v>
      </c>
      <c r="I1915" s="44" t="s">
        <v>1106</v>
      </c>
      <c r="J1915" s="44">
        <v>195</v>
      </c>
      <c r="K1915" s="44" t="s">
        <v>1107</v>
      </c>
      <c r="L1915" s="44"/>
      <c r="M1915" s="44" t="s">
        <v>2033</v>
      </c>
      <c r="N1915" s="45">
        <v>-2483101</v>
      </c>
      <c r="O1915" s="46">
        <f t="shared" si="63"/>
        <v>-2483.1010000000001</v>
      </c>
      <c r="P1915" s="47">
        <f>FCCL!F118</f>
        <v>-2483.1010000000001</v>
      </c>
      <c r="Q1915" s="44" t="str">
        <f t="shared" si="64"/>
        <v>PASS</v>
      </c>
      <c r="R1915" s="44" t="s">
        <v>1110</v>
      </c>
      <c r="S1915" s="44" t="s">
        <v>1114</v>
      </c>
    </row>
    <row r="1916" spans="1:19" x14ac:dyDescent="0.3">
      <c r="A1916" s="44" t="s">
        <v>3274</v>
      </c>
      <c r="B1916" s="44" t="s">
        <v>114</v>
      </c>
      <c r="C1916" s="44" t="s">
        <v>28</v>
      </c>
      <c r="D1916" s="44" t="s">
        <v>422</v>
      </c>
      <c r="E1916" s="44" t="s">
        <v>1478</v>
      </c>
      <c r="F1916" s="44" t="s">
        <v>3275</v>
      </c>
      <c r="G1916" s="44" t="s">
        <v>2925</v>
      </c>
      <c r="H1916" s="44" t="s">
        <v>1124</v>
      </c>
      <c r="I1916" s="44" t="s">
        <v>1106</v>
      </c>
      <c r="J1916" s="44">
        <v>249</v>
      </c>
      <c r="K1916" s="44" t="s">
        <v>1107</v>
      </c>
      <c r="L1916" s="44"/>
      <c r="M1916" s="44" t="s">
        <v>2033</v>
      </c>
      <c r="N1916" s="45">
        <v>-6993060</v>
      </c>
      <c r="O1916" s="46">
        <f t="shared" si="63"/>
        <v>-6993.06</v>
      </c>
      <c r="P1916" s="47">
        <f>FCCL!G118</f>
        <v>-6993.06</v>
      </c>
      <c r="Q1916" s="44" t="str">
        <f t="shared" si="64"/>
        <v>PASS</v>
      </c>
      <c r="R1916" s="44" t="s">
        <v>1110</v>
      </c>
      <c r="S1916" s="44" t="s">
        <v>1114</v>
      </c>
    </row>
    <row r="1917" spans="1:19" x14ac:dyDescent="0.3">
      <c r="A1917" s="44" t="s">
        <v>3276</v>
      </c>
      <c r="B1917" s="44" t="s">
        <v>114</v>
      </c>
      <c r="C1917" s="44" t="s">
        <v>29</v>
      </c>
      <c r="D1917" s="44" t="s">
        <v>422</v>
      </c>
      <c r="E1917" s="44" t="s">
        <v>1478</v>
      </c>
      <c r="F1917" s="44" t="s">
        <v>3275</v>
      </c>
      <c r="G1917" s="44" t="s">
        <v>2925</v>
      </c>
      <c r="H1917" s="44" t="s">
        <v>1124</v>
      </c>
      <c r="I1917" s="44" t="s">
        <v>1127</v>
      </c>
      <c r="J1917" s="44">
        <v>249</v>
      </c>
      <c r="K1917" s="44" t="s">
        <v>1107</v>
      </c>
      <c r="L1917" s="44"/>
      <c r="M1917" s="44" t="s">
        <v>2033</v>
      </c>
      <c r="N1917" s="45">
        <v>-5559451</v>
      </c>
      <c r="O1917" s="46">
        <f t="shared" si="63"/>
        <v>-5559.451</v>
      </c>
      <c r="P1917" s="47">
        <f>FCCL!H118</f>
        <v>-5559.451</v>
      </c>
      <c r="Q1917" s="44" t="str">
        <f t="shared" si="64"/>
        <v>PASS</v>
      </c>
      <c r="R1917" s="44" t="s">
        <v>1110</v>
      </c>
      <c r="S1917" s="44"/>
    </row>
    <row r="1918" spans="1:19" x14ac:dyDescent="0.3">
      <c r="A1918" s="44" t="s">
        <v>3277</v>
      </c>
      <c r="B1918" s="44" t="s">
        <v>114</v>
      </c>
      <c r="C1918" s="44" t="s">
        <v>20</v>
      </c>
      <c r="D1918" s="44" t="s">
        <v>424</v>
      </c>
      <c r="E1918" s="44" t="s">
        <v>1478</v>
      </c>
      <c r="F1918" s="44" t="s">
        <v>1505</v>
      </c>
      <c r="G1918" s="44" t="s">
        <v>2918</v>
      </c>
      <c r="H1918" s="44" t="s">
        <v>1113</v>
      </c>
      <c r="I1918" s="44" t="s">
        <v>1106</v>
      </c>
      <c r="J1918" s="44">
        <v>190</v>
      </c>
      <c r="K1918" s="44" t="s">
        <v>2055</v>
      </c>
      <c r="L1918" s="44"/>
      <c r="M1918" s="44" t="s">
        <v>427</v>
      </c>
      <c r="N1918" s="44" t="s">
        <v>823</v>
      </c>
      <c r="O1918" s="44" t="str">
        <f>N1918</f>
        <v>Financing</v>
      </c>
      <c r="P1918" s="44" t="str">
        <f>FCCL!D119</f>
        <v>Financing</v>
      </c>
      <c r="Q1918" s="44" t="str">
        <f>IF(O1918=P1918,"PASS","FAIL")</f>
        <v>PASS</v>
      </c>
      <c r="R1918" s="44" t="s">
        <v>1110</v>
      </c>
      <c r="S1918" s="44"/>
    </row>
    <row r="1919" spans="1:19" x14ac:dyDescent="0.3">
      <c r="A1919" s="44" t="s">
        <v>3278</v>
      </c>
      <c r="B1919" s="44" t="s">
        <v>114</v>
      </c>
      <c r="C1919" s="44" t="s">
        <v>26</v>
      </c>
      <c r="D1919" s="44" t="s">
        <v>424</v>
      </c>
      <c r="E1919" s="44" t="s">
        <v>1478</v>
      </c>
      <c r="F1919" s="44" t="s">
        <v>1505</v>
      </c>
      <c r="G1919" s="44" t="s">
        <v>2920</v>
      </c>
      <c r="H1919" s="44" t="s">
        <v>1117</v>
      </c>
      <c r="I1919" s="44" t="s">
        <v>1106</v>
      </c>
      <c r="J1919" s="44">
        <v>212</v>
      </c>
      <c r="K1919" s="44" t="s">
        <v>3257</v>
      </c>
      <c r="L1919" s="44"/>
      <c r="M1919" s="44" t="s">
        <v>427</v>
      </c>
      <c r="N1919" s="44" t="s">
        <v>823</v>
      </c>
      <c r="O1919" s="44" t="str">
        <f>N1919</f>
        <v>Financing</v>
      </c>
      <c r="P1919" s="44" t="str">
        <f>FCCL!E119</f>
        <v>Financing</v>
      </c>
      <c r="Q1919" s="44" t="str">
        <f>IF(O1919=P1919,"PASS","FAIL")</f>
        <v>PASS</v>
      </c>
      <c r="R1919" s="44" t="s">
        <v>1110</v>
      </c>
      <c r="S1919" s="44"/>
    </row>
    <row r="1920" spans="1:19" x14ac:dyDescent="0.3">
      <c r="A1920" s="44" t="s">
        <v>3279</v>
      </c>
      <c r="B1920" s="44" t="s">
        <v>114</v>
      </c>
      <c r="C1920" s="44" t="s">
        <v>27</v>
      </c>
      <c r="D1920" s="44" t="s">
        <v>424</v>
      </c>
      <c r="E1920" s="44" t="s">
        <v>1478</v>
      </c>
      <c r="F1920" s="44" t="s">
        <v>1505</v>
      </c>
      <c r="G1920" s="44" t="s">
        <v>2923</v>
      </c>
      <c r="H1920" s="44" t="s">
        <v>1120</v>
      </c>
      <c r="I1920" s="44" t="s">
        <v>1106</v>
      </c>
      <c r="J1920" s="44">
        <v>195</v>
      </c>
      <c r="K1920" s="44" t="s">
        <v>1107</v>
      </c>
      <c r="L1920" s="44"/>
      <c r="M1920" s="44" t="s">
        <v>427</v>
      </c>
      <c r="N1920" s="44" t="s">
        <v>823</v>
      </c>
      <c r="O1920" s="44" t="str">
        <f>N1920</f>
        <v>Financing</v>
      </c>
      <c r="P1920" s="44" t="str">
        <f>FCCL!F119</f>
        <v>Financing</v>
      </c>
      <c r="Q1920" s="44" t="str">
        <f>IF(O1920=P1920,"PASS","FAIL")</f>
        <v>PASS</v>
      </c>
      <c r="R1920" s="44" t="s">
        <v>1110</v>
      </c>
      <c r="S1920" s="44"/>
    </row>
    <row r="1921" spans="1:19" x14ac:dyDescent="0.3">
      <c r="A1921" s="44" t="s">
        <v>3280</v>
      </c>
      <c r="B1921" s="44" t="s">
        <v>114</v>
      </c>
      <c r="C1921" s="44" t="s">
        <v>28</v>
      </c>
      <c r="D1921" s="44" t="s">
        <v>424</v>
      </c>
      <c r="E1921" s="44" t="s">
        <v>1478</v>
      </c>
      <c r="F1921" s="44" t="s">
        <v>1505</v>
      </c>
      <c r="G1921" s="44" t="s">
        <v>2925</v>
      </c>
      <c r="H1921" s="44" t="s">
        <v>1124</v>
      </c>
      <c r="I1921" s="44" t="s">
        <v>1106</v>
      </c>
      <c r="J1921" s="44">
        <v>249</v>
      </c>
      <c r="K1921" s="44" t="s">
        <v>1107</v>
      </c>
      <c r="L1921" s="44"/>
      <c r="M1921" s="44" t="s">
        <v>427</v>
      </c>
      <c r="N1921" s="44" t="s">
        <v>823</v>
      </c>
      <c r="O1921" s="44" t="str">
        <f>N1921</f>
        <v>Financing</v>
      </c>
      <c r="P1921" s="44" t="str">
        <f>FCCL!G119</f>
        <v>Financing</v>
      </c>
      <c r="Q1921" s="44" t="str">
        <f>IF(O1921=P1921,"PASS","FAIL")</f>
        <v>PASS</v>
      </c>
      <c r="R1921" s="44" t="s">
        <v>1110</v>
      </c>
      <c r="S1921" s="44"/>
    </row>
    <row r="1922" spans="1:19" x14ac:dyDescent="0.3">
      <c r="A1922" s="44" t="s">
        <v>3281</v>
      </c>
      <c r="B1922" s="44" t="s">
        <v>114</v>
      </c>
      <c r="C1922" s="44" t="s">
        <v>29</v>
      </c>
      <c r="D1922" s="44" t="s">
        <v>424</v>
      </c>
      <c r="E1922" s="44" t="s">
        <v>1478</v>
      </c>
      <c r="F1922" s="44" t="s">
        <v>1505</v>
      </c>
      <c r="G1922" s="44" t="s">
        <v>2925</v>
      </c>
      <c r="H1922" s="44" t="s">
        <v>1124</v>
      </c>
      <c r="I1922" s="44" t="s">
        <v>1127</v>
      </c>
      <c r="J1922" s="44">
        <v>249</v>
      </c>
      <c r="K1922" s="44" t="s">
        <v>1107</v>
      </c>
      <c r="L1922" s="44"/>
      <c r="M1922" s="44" t="s">
        <v>427</v>
      </c>
      <c r="N1922" s="44" t="s">
        <v>823</v>
      </c>
      <c r="O1922" s="44" t="str">
        <f>N1922</f>
        <v>Financing</v>
      </c>
      <c r="P1922" s="44" t="str">
        <f>FCCL!H119</f>
        <v>Financing</v>
      </c>
      <c r="Q1922" s="44" t="str">
        <f>IF(O1922=P1922,"PASS","FAIL")</f>
        <v>PASS</v>
      </c>
      <c r="R1922" s="44" t="s">
        <v>1110</v>
      </c>
      <c r="S1922" s="44"/>
    </row>
    <row r="1923" spans="1:19" x14ac:dyDescent="0.3">
      <c r="A1923" s="44" t="s">
        <v>3282</v>
      </c>
      <c r="B1923" s="44" t="s">
        <v>114</v>
      </c>
      <c r="C1923" s="44" t="s">
        <v>20</v>
      </c>
      <c r="D1923" s="44" t="s">
        <v>430</v>
      </c>
      <c r="E1923" s="44" t="s">
        <v>1478</v>
      </c>
      <c r="F1923" s="44" t="s">
        <v>3283</v>
      </c>
      <c r="G1923" s="44" t="s">
        <v>2918</v>
      </c>
      <c r="H1923" s="44" t="s">
        <v>1113</v>
      </c>
      <c r="I1923" s="44" t="s">
        <v>1106</v>
      </c>
      <c r="J1923" s="44">
        <v>190</v>
      </c>
      <c r="K1923" s="44" t="s">
        <v>2055</v>
      </c>
      <c r="L1923" s="44"/>
      <c r="M1923" s="44" t="s">
        <v>2033</v>
      </c>
      <c r="N1923" s="45">
        <v>-1007205</v>
      </c>
      <c r="O1923" s="46">
        <f t="shared" ref="O1923:O1942" si="65">N1923/1000</f>
        <v>-1007.205</v>
      </c>
      <c r="P1923" s="47">
        <f>FCCL!D121</f>
        <v>-1007.205</v>
      </c>
      <c r="Q1923" s="44" t="str">
        <f t="shared" ref="Q1923:Q1954" si="66">IF(ABS(O1923-P1923)&lt;0.000001,"PASS","FAIL")</f>
        <v>PASS</v>
      </c>
      <c r="R1923" s="44" t="s">
        <v>1110</v>
      </c>
      <c r="S1923" s="44"/>
    </row>
    <row r="1924" spans="1:19" x14ac:dyDescent="0.3">
      <c r="A1924" s="44" t="s">
        <v>3284</v>
      </c>
      <c r="B1924" s="44" t="s">
        <v>114</v>
      </c>
      <c r="C1924" s="44" t="s">
        <v>26</v>
      </c>
      <c r="D1924" s="44" t="s">
        <v>430</v>
      </c>
      <c r="E1924" s="44" t="s">
        <v>1478</v>
      </c>
      <c r="F1924" s="44" t="s">
        <v>3285</v>
      </c>
      <c r="G1924" s="44" t="s">
        <v>2920</v>
      </c>
      <c r="H1924" s="44" t="s">
        <v>1117</v>
      </c>
      <c r="I1924" s="44" t="s">
        <v>1106</v>
      </c>
      <c r="J1924" s="44">
        <v>212</v>
      </c>
      <c r="K1924" s="44" t="s">
        <v>3257</v>
      </c>
      <c r="L1924" s="44"/>
      <c r="M1924" s="44" t="s">
        <v>2033</v>
      </c>
      <c r="N1924" s="45">
        <v>-28425596</v>
      </c>
      <c r="O1924" s="46">
        <f t="shared" si="65"/>
        <v>-28425.596000000001</v>
      </c>
      <c r="P1924" s="47">
        <f>FCCL!E121</f>
        <v>-28425.596000000001</v>
      </c>
      <c r="Q1924" s="44" t="str">
        <f t="shared" si="66"/>
        <v>PASS</v>
      </c>
      <c r="R1924" s="44" t="s">
        <v>1110</v>
      </c>
      <c r="S1924" s="44"/>
    </row>
    <row r="1925" spans="1:19" x14ac:dyDescent="0.3">
      <c r="A1925" s="44" t="s">
        <v>3286</v>
      </c>
      <c r="B1925" s="44" t="s">
        <v>114</v>
      </c>
      <c r="C1925" s="44" t="s">
        <v>27</v>
      </c>
      <c r="D1925" s="44" t="s">
        <v>430</v>
      </c>
      <c r="E1925" s="44" t="s">
        <v>1478</v>
      </c>
      <c r="F1925" s="44" t="s">
        <v>3287</v>
      </c>
      <c r="G1925" s="44" t="s">
        <v>2923</v>
      </c>
      <c r="H1925" s="44" t="s">
        <v>1120</v>
      </c>
      <c r="I1925" s="44" t="s">
        <v>1106</v>
      </c>
      <c r="J1925" s="44">
        <v>195</v>
      </c>
      <c r="K1925" s="44" t="s">
        <v>1107</v>
      </c>
      <c r="L1925" s="44"/>
      <c r="M1925" s="44" t="s">
        <v>2033</v>
      </c>
      <c r="N1925" s="45">
        <v>-33903442</v>
      </c>
      <c r="O1925" s="46">
        <f t="shared" si="65"/>
        <v>-33903.442000000003</v>
      </c>
      <c r="P1925" s="47">
        <f>FCCL!F121</f>
        <v>-33903.442000000003</v>
      </c>
      <c r="Q1925" s="44" t="str">
        <f t="shared" si="66"/>
        <v>PASS</v>
      </c>
      <c r="R1925" s="44" t="s">
        <v>1110</v>
      </c>
      <c r="S1925" s="44"/>
    </row>
    <row r="1926" spans="1:19" x14ac:dyDescent="0.3">
      <c r="A1926" s="44" t="s">
        <v>3288</v>
      </c>
      <c r="B1926" s="44" t="s">
        <v>114</v>
      </c>
      <c r="C1926" s="44" t="s">
        <v>28</v>
      </c>
      <c r="D1926" s="44" t="s">
        <v>430</v>
      </c>
      <c r="E1926" s="44" t="s">
        <v>1478</v>
      </c>
      <c r="F1926" s="44" t="s">
        <v>3287</v>
      </c>
      <c r="G1926" s="44" t="s">
        <v>2925</v>
      </c>
      <c r="H1926" s="44" t="s">
        <v>1124</v>
      </c>
      <c r="I1926" s="44" t="s">
        <v>1106</v>
      </c>
      <c r="J1926" s="44">
        <v>249</v>
      </c>
      <c r="K1926" s="44" t="s">
        <v>1107</v>
      </c>
      <c r="L1926" s="44"/>
      <c r="M1926" s="44" t="s">
        <v>2033</v>
      </c>
      <c r="N1926" s="45">
        <v>-8478876</v>
      </c>
      <c r="O1926" s="46">
        <f t="shared" si="65"/>
        <v>-8478.8760000000002</v>
      </c>
      <c r="P1926" s="47">
        <f>FCCL!G121</f>
        <v>-8478.8760000000002</v>
      </c>
      <c r="Q1926" s="44" t="str">
        <f t="shared" si="66"/>
        <v>PASS</v>
      </c>
      <c r="R1926" s="44" t="s">
        <v>1110</v>
      </c>
      <c r="S1926" s="44"/>
    </row>
    <row r="1927" spans="1:19" x14ac:dyDescent="0.3">
      <c r="A1927" s="44" t="s">
        <v>3289</v>
      </c>
      <c r="B1927" s="44" t="s">
        <v>114</v>
      </c>
      <c r="C1927" s="44" t="s">
        <v>29</v>
      </c>
      <c r="D1927" s="44" t="s">
        <v>430</v>
      </c>
      <c r="E1927" s="44" t="s">
        <v>1478</v>
      </c>
      <c r="F1927" s="44" t="s">
        <v>3287</v>
      </c>
      <c r="G1927" s="44" t="s">
        <v>2925</v>
      </c>
      <c r="H1927" s="44" t="s">
        <v>1124</v>
      </c>
      <c r="I1927" s="44" t="s">
        <v>1127</v>
      </c>
      <c r="J1927" s="44">
        <v>249</v>
      </c>
      <c r="K1927" s="44" t="s">
        <v>1107</v>
      </c>
      <c r="L1927" s="44"/>
      <c r="M1927" s="44" t="s">
        <v>2033</v>
      </c>
      <c r="N1927" s="45">
        <v>-3477647</v>
      </c>
      <c r="O1927" s="46">
        <f t="shared" si="65"/>
        <v>-3477.6469999999999</v>
      </c>
      <c r="P1927" s="47">
        <f>FCCL!H121</f>
        <v>-3477.6469999999999</v>
      </c>
      <c r="Q1927" s="44" t="str">
        <f t="shared" si="66"/>
        <v>PASS</v>
      </c>
      <c r="R1927" s="44" t="s">
        <v>1110</v>
      </c>
      <c r="S1927" s="44"/>
    </row>
    <row r="1928" spans="1:19" x14ac:dyDescent="0.3">
      <c r="A1928" s="44" t="s">
        <v>3290</v>
      </c>
      <c r="B1928" s="44" t="s">
        <v>114</v>
      </c>
      <c r="C1928" s="44" t="s">
        <v>20</v>
      </c>
      <c r="D1928" s="44" t="s">
        <v>432</v>
      </c>
      <c r="E1928" s="44" t="s">
        <v>1478</v>
      </c>
      <c r="F1928" s="44" t="s">
        <v>1517</v>
      </c>
      <c r="G1928" s="44" t="s">
        <v>2918</v>
      </c>
      <c r="H1928" s="44" t="s">
        <v>1113</v>
      </c>
      <c r="I1928" s="44" t="s">
        <v>1106</v>
      </c>
      <c r="J1928" s="44">
        <v>190</v>
      </c>
      <c r="K1928" s="44" t="s">
        <v>2055</v>
      </c>
      <c r="L1928" s="44"/>
      <c r="M1928" s="44" t="s">
        <v>2033</v>
      </c>
      <c r="N1928" s="45">
        <v>-5141658</v>
      </c>
      <c r="O1928" s="46">
        <f t="shared" si="65"/>
        <v>-5141.6580000000004</v>
      </c>
      <c r="P1928" s="47">
        <f>FCCL!D122</f>
        <v>-5141.6580000000004</v>
      </c>
      <c r="Q1928" s="44" t="str">
        <f t="shared" si="66"/>
        <v>PASS</v>
      </c>
      <c r="R1928" s="44" t="s">
        <v>1110</v>
      </c>
      <c r="S1928" s="44"/>
    </row>
    <row r="1929" spans="1:19" x14ac:dyDescent="0.3">
      <c r="A1929" s="44" t="s">
        <v>3291</v>
      </c>
      <c r="B1929" s="44" t="s">
        <v>114</v>
      </c>
      <c r="C1929" s="44" t="s">
        <v>26</v>
      </c>
      <c r="D1929" s="44" t="s">
        <v>432</v>
      </c>
      <c r="E1929" s="44" t="s">
        <v>1478</v>
      </c>
      <c r="F1929" s="44" t="s">
        <v>1517</v>
      </c>
      <c r="G1929" s="44" t="s">
        <v>2920</v>
      </c>
      <c r="H1929" s="44" t="s">
        <v>1117</v>
      </c>
      <c r="I1929" s="44" t="s">
        <v>1106</v>
      </c>
      <c r="J1929" s="44">
        <v>212</v>
      </c>
      <c r="K1929" s="44" t="s">
        <v>3257</v>
      </c>
      <c r="L1929" s="44"/>
      <c r="M1929" s="44" t="s">
        <v>2033</v>
      </c>
      <c r="N1929" s="45">
        <v>-26064704</v>
      </c>
      <c r="O1929" s="46">
        <f t="shared" si="65"/>
        <v>-26064.704000000002</v>
      </c>
      <c r="P1929" s="47">
        <f>FCCL!E122</f>
        <v>-26064.704000000002</v>
      </c>
      <c r="Q1929" s="44" t="str">
        <f t="shared" si="66"/>
        <v>PASS</v>
      </c>
      <c r="R1929" s="44" t="s">
        <v>1110</v>
      </c>
      <c r="S1929" s="44"/>
    </row>
    <row r="1930" spans="1:19" x14ac:dyDescent="0.3">
      <c r="A1930" s="44" t="s">
        <v>3292</v>
      </c>
      <c r="B1930" s="44" t="s">
        <v>114</v>
      </c>
      <c r="C1930" s="44" t="s">
        <v>27</v>
      </c>
      <c r="D1930" s="44" t="s">
        <v>432</v>
      </c>
      <c r="E1930" s="44" t="s">
        <v>1478</v>
      </c>
      <c r="F1930" s="44" t="s">
        <v>1517</v>
      </c>
      <c r="G1930" s="44" t="s">
        <v>2923</v>
      </c>
      <c r="H1930" s="44" t="s">
        <v>1120</v>
      </c>
      <c r="I1930" s="44" t="s">
        <v>1106</v>
      </c>
      <c r="J1930" s="44">
        <v>195</v>
      </c>
      <c r="K1930" s="44" t="s">
        <v>1107</v>
      </c>
      <c r="L1930" s="44"/>
      <c r="M1930" s="44" t="s">
        <v>2033</v>
      </c>
      <c r="N1930" s="45">
        <v>-29667173</v>
      </c>
      <c r="O1930" s="46">
        <f t="shared" si="65"/>
        <v>-29667.172999999999</v>
      </c>
      <c r="P1930" s="47">
        <f>FCCL!F122</f>
        <v>-29667.172999999999</v>
      </c>
      <c r="Q1930" s="44" t="str">
        <f t="shared" si="66"/>
        <v>PASS</v>
      </c>
      <c r="R1930" s="44" t="s">
        <v>1110</v>
      </c>
      <c r="S1930" s="44"/>
    </row>
    <row r="1931" spans="1:19" x14ac:dyDescent="0.3">
      <c r="A1931" s="44" t="s">
        <v>3293</v>
      </c>
      <c r="B1931" s="44" t="s">
        <v>114</v>
      </c>
      <c r="C1931" s="44" t="s">
        <v>28</v>
      </c>
      <c r="D1931" s="44" t="s">
        <v>432</v>
      </c>
      <c r="E1931" s="44" t="s">
        <v>1478</v>
      </c>
      <c r="F1931" s="44" t="s">
        <v>1517</v>
      </c>
      <c r="G1931" s="44" t="s">
        <v>2925</v>
      </c>
      <c r="H1931" s="44" t="s">
        <v>1124</v>
      </c>
      <c r="I1931" s="44" t="s">
        <v>1106</v>
      </c>
      <c r="J1931" s="44">
        <v>249</v>
      </c>
      <c r="K1931" s="44" t="s">
        <v>1107</v>
      </c>
      <c r="L1931" s="44"/>
      <c r="M1931" s="44" t="s">
        <v>2033</v>
      </c>
      <c r="N1931" s="45">
        <v>-8158036</v>
      </c>
      <c r="O1931" s="46">
        <f t="shared" si="65"/>
        <v>-8158.0360000000001</v>
      </c>
      <c r="P1931" s="47">
        <f>FCCL!G122</f>
        <v>-8158.0360000000001</v>
      </c>
      <c r="Q1931" s="44" t="str">
        <f t="shared" si="66"/>
        <v>PASS</v>
      </c>
      <c r="R1931" s="44" t="s">
        <v>1110</v>
      </c>
      <c r="S1931" s="44" t="s">
        <v>1114</v>
      </c>
    </row>
    <row r="1932" spans="1:19" x14ac:dyDescent="0.3">
      <c r="A1932" s="44" t="s">
        <v>3294</v>
      </c>
      <c r="B1932" s="44" t="s">
        <v>114</v>
      </c>
      <c r="C1932" s="44" t="s">
        <v>29</v>
      </c>
      <c r="D1932" s="44" t="s">
        <v>432</v>
      </c>
      <c r="E1932" s="44" t="s">
        <v>1478</v>
      </c>
      <c r="F1932" s="44" t="s">
        <v>1517</v>
      </c>
      <c r="G1932" s="44" t="s">
        <v>2925</v>
      </c>
      <c r="H1932" s="44" t="s">
        <v>1124</v>
      </c>
      <c r="I1932" s="44" t="s">
        <v>1127</v>
      </c>
      <c r="J1932" s="44">
        <v>249</v>
      </c>
      <c r="K1932" s="44" t="s">
        <v>1107</v>
      </c>
      <c r="L1932" s="44"/>
      <c r="M1932" s="44" t="s">
        <v>2033</v>
      </c>
      <c r="N1932" s="45">
        <v>-11259190</v>
      </c>
      <c r="O1932" s="46">
        <f t="shared" si="65"/>
        <v>-11259.19</v>
      </c>
      <c r="P1932" s="47">
        <f>FCCL!H122</f>
        <v>-11259.19</v>
      </c>
      <c r="Q1932" s="44" t="str">
        <f t="shared" si="66"/>
        <v>PASS</v>
      </c>
      <c r="R1932" s="44" t="s">
        <v>1110</v>
      </c>
      <c r="S1932" s="44"/>
    </row>
    <row r="1933" spans="1:19" x14ac:dyDescent="0.3">
      <c r="A1933" s="44" t="s">
        <v>3295</v>
      </c>
      <c r="B1933" s="44" t="s">
        <v>114</v>
      </c>
      <c r="C1933" s="44" t="s">
        <v>20</v>
      </c>
      <c r="D1933" s="44" t="s">
        <v>434</v>
      </c>
      <c r="E1933" s="44" t="s">
        <v>1478</v>
      </c>
      <c r="F1933" s="44" t="s">
        <v>2871</v>
      </c>
      <c r="G1933" s="44" t="s">
        <v>2918</v>
      </c>
      <c r="H1933" s="44" t="s">
        <v>1113</v>
      </c>
      <c r="I1933" s="44" t="s">
        <v>1106</v>
      </c>
      <c r="J1933" s="44">
        <v>190</v>
      </c>
      <c r="K1933" s="44" t="s">
        <v>2055</v>
      </c>
      <c r="L1933" s="44"/>
      <c r="M1933" s="44" t="s">
        <v>2033</v>
      </c>
      <c r="N1933" s="45">
        <v>-5455</v>
      </c>
      <c r="O1933" s="46">
        <f t="shared" si="65"/>
        <v>-5.4550000000000001</v>
      </c>
      <c r="P1933" s="47">
        <f>FCCL!D123</f>
        <v>-5.4550000000000001</v>
      </c>
      <c r="Q1933" s="44" t="str">
        <f t="shared" si="66"/>
        <v>PASS</v>
      </c>
      <c r="R1933" s="44" t="s">
        <v>1110</v>
      </c>
      <c r="S1933" s="44"/>
    </row>
    <row r="1934" spans="1:19" x14ac:dyDescent="0.3">
      <c r="A1934" s="44" t="s">
        <v>3296</v>
      </c>
      <c r="B1934" s="44" t="s">
        <v>114</v>
      </c>
      <c r="C1934" s="44" t="s">
        <v>26</v>
      </c>
      <c r="D1934" s="44" t="s">
        <v>434</v>
      </c>
      <c r="E1934" s="44" t="s">
        <v>1478</v>
      </c>
      <c r="F1934" s="44" t="s">
        <v>1986</v>
      </c>
      <c r="G1934" s="44" t="s">
        <v>2920</v>
      </c>
      <c r="H1934" s="44" t="s">
        <v>1117</v>
      </c>
      <c r="I1934" s="44" t="s">
        <v>1106</v>
      </c>
      <c r="J1934" s="44">
        <v>212</v>
      </c>
      <c r="K1934" s="44" t="s">
        <v>3257</v>
      </c>
      <c r="L1934" s="44"/>
      <c r="M1934" s="44" t="s">
        <v>2033</v>
      </c>
      <c r="N1934" s="45">
        <v>19345923</v>
      </c>
      <c r="O1934" s="46">
        <f t="shared" si="65"/>
        <v>19345.922999999999</v>
      </c>
      <c r="P1934" s="47">
        <f>FCCL!E123</f>
        <v>19345.922999999999</v>
      </c>
      <c r="Q1934" s="44" t="str">
        <f t="shared" si="66"/>
        <v>PASS</v>
      </c>
      <c r="R1934" s="44" t="s">
        <v>1110</v>
      </c>
      <c r="S1934" s="44"/>
    </row>
    <row r="1935" spans="1:19" x14ac:dyDescent="0.3">
      <c r="A1935" s="44" t="s">
        <v>3297</v>
      </c>
      <c r="B1935" s="44" t="s">
        <v>114</v>
      </c>
      <c r="C1935" s="44" t="s">
        <v>27</v>
      </c>
      <c r="D1935" s="44" t="s">
        <v>434</v>
      </c>
      <c r="E1935" s="44" t="s">
        <v>1478</v>
      </c>
      <c r="F1935" s="44" t="s">
        <v>1989</v>
      </c>
      <c r="G1935" s="44" t="s">
        <v>2923</v>
      </c>
      <c r="H1935" s="44" t="s">
        <v>1120</v>
      </c>
      <c r="I1935" s="44" t="s">
        <v>1106</v>
      </c>
      <c r="J1935" s="44">
        <v>195</v>
      </c>
      <c r="K1935" s="44" t="s">
        <v>1107</v>
      </c>
      <c r="L1935" s="44"/>
      <c r="M1935" s="44" t="s">
        <v>2033</v>
      </c>
      <c r="N1935" s="45">
        <v>10897767</v>
      </c>
      <c r="O1935" s="46">
        <f t="shared" si="65"/>
        <v>10897.767</v>
      </c>
      <c r="P1935" s="47">
        <f>FCCL!F123</f>
        <v>10897.767</v>
      </c>
      <c r="Q1935" s="44" t="str">
        <f t="shared" si="66"/>
        <v>PASS</v>
      </c>
      <c r="R1935" s="44" t="s">
        <v>1110</v>
      </c>
      <c r="S1935" s="44" t="s">
        <v>1114</v>
      </c>
    </row>
    <row r="1936" spans="1:19" x14ac:dyDescent="0.3">
      <c r="A1936" s="44" t="s">
        <v>3298</v>
      </c>
      <c r="B1936" s="44" t="s">
        <v>114</v>
      </c>
      <c r="C1936" s="44" t="s">
        <v>28</v>
      </c>
      <c r="D1936" s="44" t="s">
        <v>434</v>
      </c>
      <c r="E1936" s="44" t="s">
        <v>1478</v>
      </c>
      <c r="F1936" s="44" t="s">
        <v>1523</v>
      </c>
      <c r="G1936" s="44" t="s">
        <v>2925</v>
      </c>
      <c r="H1936" s="44" t="s">
        <v>1124</v>
      </c>
      <c r="I1936" s="44" t="s">
        <v>1106</v>
      </c>
      <c r="J1936" s="44">
        <v>249</v>
      </c>
      <c r="K1936" s="44" t="s">
        <v>1107</v>
      </c>
      <c r="L1936" s="44"/>
      <c r="M1936" s="44" t="s">
        <v>2033</v>
      </c>
      <c r="N1936" s="45">
        <v>-8479996</v>
      </c>
      <c r="O1936" s="46">
        <f t="shared" si="65"/>
        <v>-8479.9959999999992</v>
      </c>
      <c r="P1936" s="47">
        <f>FCCL!G123</f>
        <v>-8479.9959999999992</v>
      </c>
      <c r="Q1936" s="44" t="str">
        <f t="shared" si="66"/>
        <v>PASS</v>
      </c>
      <c r="R1936" s="44" t="s">
        <v>1110</v>
      </c>
      <c r="S1936" s="44"/>
    </row>
    <row r="1937" spans="1:19" x14ac:dyDescent="0.3">
      <c r="A1937" s="44" t="s">
        <v>3299</v>
      </c>
      <c r="B1937" s="44" t="s">
        <v>114</v>
      </c>
      <c r="C1937" s="44" t="s">
        <v>29</v>
      </c>
      <c r="D1937" s="44" t="s">
        <v>434</v>
      </c>
      <c r="E1937" s="44" t="s">
        <v>1478</v>
      </c>
      <c r="F1937" s="44" t="s">
        <v>1523</v>
      </c>
      <c r="G1937" s="44" t="s">
        <v>2925</v>
      </c>
      <c r="H1937" s="44" t="s">
        <v>1124</v>
      </c>
      <c r="I1937" s="44" t="s">
        <v>1127</v>
      </c>
      <c r="J1937" s="44">
        <v>249</v>
      </c>
      <c r="K1937" s="44" t="s">
        <v>1107</v>
      </c>
      <c r="L1937" s="44"/>
      <c r="M1937" s="44" t="s">
        <v>2033</v>
      </c>
      <c r="N1937" s="45">
        <v>-12739192</v>
      </c>
      <c r="O1937" s="46">
        <f t="shared" si="65"/>
        <v>-12739.191999999999</v>
      </c>
      <c r="P1937" s="47">
        <f>FCCL!H123</f>
        <v>-12739.191999999999</v>
      </c>
      <c r="Q1937" s="44" t="str">
        <f t="shared" si="66"/>
        <v>PASS</v>
      </c>
      <c r="R1937" s="44" t="s">
        <v>1110</v>
      </c>
      <c r="S1937" s="44"/>
    </row>
    <row r="1938" spans="1:19" x14ac:dyDescent="0.3">
      <c r="A1938" s="44" t="s">
        <v>3300</v>
      </c>
      <c r="B1938" s="44" t="s">
        <v>114</v>
      </c>
      <c r="C1938" s="44" t="s">
        <v>20</v>
      </c>
      <c r="D1938" s="44" t="s">
        <v>436</v>
      </c>
      <c r="E1938" s="44" t="s">
        <v>1478</v>
      </c>
      <c r="F1938" s="44" t="s">
        <v>1529</v>
      </c>
      <c r="G1938" s="44" t="s">
        <v>2918</v>
      </c>
      <c r="H1938" s="44" t="s">
        <v>1113</v>
      </c>
      <c r="I1938" s="44" t="s">
        <v>1106</v>
      </c>
      <c r="J1938" s="44">
        <v>190</v>
      </c>
      <c r="K1938" s="44" t="s">
        <v>2055</v>
      </c>
      <c r="L1938" s="44"/>
      <c r="M1938" s="44" t="s">
        <v>2033</v>
      </c>
      <c r="N1938" s="45">
        <v>-1572</v>
      </c>
      <c r="O1938" s="46">
        <f t="shared" si="65"/>
        <v>-1.5720000000000001</v>
      </c>
      <c r="P1938" s="47">
        <f>FCCL!D124</f>
        <v>-1.5720000000000001</v>
      </c>
      <c r="Q1938" s="44" t="str">
        <f t="shared" si="66"/>
        <v>PASS</v>
      </c>
      <c r="R1938" s="44" t="s">
        <v>1110</v>
      </c>
      <c r="S1938" s="44"/>
    </row>
    <row r="1939" spans="1:19" x14ac:dyDescent="0.3">
      <c r="A1939" s="44" t="s">
        <v>3301</v>
      </c>
      <c r="B1939" s="44" t="s">
        <v>114</v>
      </c>
      <c r="C1939" s="44" t="s">
        <v>26</v>
      </c>
      <c r="D1939" s="44" t="s">
        <v>436</v>
      </c>
      <c r="E1939" s="44" t="s">
        <v>1478</v>
      </c>
      <c r="F1939" s="44" t="s">
        <v>3302</v>
      </c>
      <c r="G1939" s="44" t="s">
        <v>2920</v>
      </c>
      <c r="H1939" s="44" t="s">
        <v>1117</v>
      </c>
      <c r="I1939" s="44" t="s">
        <v>1106</v>
      </c>
      <c r="J1939" s="44">
        <v>212</v>
      </c>
      <c r="K1939" s="44" t="s">
        <v>3257</v>
      </c>
      <c r="L1939" s="44"/>
      <c r="M1939" s="44" t="s">
        <v>2033</v>
      </c>
      <c r="N1939" s="45">
        <v>-1322</v>
      </c>
      <c r="O1939" s="46">
        <f t="shared" si="65"/>
        <v>-1.3220000000000001</v>
      </c>
      <c r="P1939" s="47">
        <f>FCCL!E124</f>
        <v>-1.3220000000000001</v>
      </c>
      <c r="Q1939" s="44" t="str">
        <f t="shared" si="66"/>
        <v>PASS</v>
      </c>
      <c r="R1939" s="44" t="s">
        <v>1110</v>
      </c>
      <c r="S1939" s="44"/>
    </row>
    <row r="1940" spans="1:19" x14ac:dyDescent="0.3">
      <c r="A1940" s="44" t="s">
        <v>3303</v>
      </c>
      <c r="B1940" s="44" t="s">
        <v>114</v>
      </c>
      <c r="C1940" s="44" t="s">
        <v>27</v>
      </c>
      <c r="D1940" s="44" t="s">
        <v>436</v>
      </c>
      <c r="E1940" s="44" t="s">
        <v>1478</v>
      </c>
      <c r="F1940" s="44" t="s">
        <v>3302</v>
      </c>
      <c r="G1940" s="44" t="s">
        <v>2923</v>
      </c>
      <c r="H1940" s="44" t="s">
        <v>1120</v>
      </c>
      <c r="I1940" s="44" t="s">
        <v>1106</v>
      </c>
      <c r="J1940" s="44">
        <v>195</v>
      </c>
      <c r="K1940" s="44" t="s">
        <v>1107</v>
      </c>
      <c r="L1940" s="44"/>
      <c r="M1940" s="44" t="s">
        <v>2033</v>
      </c>
      <c r="N1940" s="45">
        <v>-1156</v>
      </c>
      <c r="O1940" s="46">
        <f t="shared" si="65"/>
        <v>-1.1559999999999999</v>
      </c>
      <c r="P1940" s="47">
        <f>FCCL!F124</f>
        <v>-1.1559999999999999</v>
      </c>
      <c r="Q1940" s="44" t="str">
        <f t="shared" si="66"/>
        <v>PASS</v>
      </c>
      <c r="R1940" s="44" t="s">
        <v>1110</v>
      </c>
      <c r="S1940" s="44"/>
    </row>
    <row r="1941" spans="1:19" x14ac:dyDescent="0.3">
      <c r="A1941" s="44" t="s">
        <v>3304</v>
      </c>
      <c r="B1941" s="44" t="s">
        <v>114</v>
      </c>
      <c r="C1941" s="44" t="s">
        <v>28</v>
      </c>
      <c r="D1941" s="44" t="s">
        <v>436</v>
      </c>
      <c r="E1941" s="44" t="s">
        <v>1478</v>
      </c>
      <c r="F1941" s="44" t="s">
        <v>3305</v>
      </c>
      <c r="G1941" s="44" t="s">
        <v>2925</v>
      </c>
      <c r="H1941" s="44" t="s">
        <v>1124</v>
      </c>
      <c r="I1941" s="44" t="s">
        <v>1106</v>
      </c>
      <c r="J1941" s="44">
        <v>249</v>
      </c>
      <c r="K1941" s="44" t="s">
        <v>1107</v>
      </c>
      <c r="L1941" s="44"/>
      <c r="M1941" s="44" t="s">
        <v>2033</v>
      </c>
      <c r="N1941" s="45">
        <v>-355</v>
      </c>
      <c r="O1941" s="46">
        <f t="shared" si="65"/>
        <v>-0.35499999999999998</v>
      </c>
      <c r="P1941" s="47">
        <f>FCCL!G124</f>
        <v>-0.35499999999999998</v>
      </c>
      <c r="Q1941" s="44" t="str">
        <f t="shared" si="66"/>
        <v>PASS</v>
      </c>
      <c r="R1941" s="44" t="s">
        <v>1110</v>
      </c>
      <c r="S1941" s="44"/>
    </row>
    <row r="1942" spans="1:19" x14ac:dyDescent="0.3">
      <c r="A1942" s="44" t="s">
        <v>3306</v>
      </c>
      <c r="B1942" s="44" t="s">
        <v>114</v>
      </c>
      <c r="C1942" s="44" t="s">
        <v>29</v>
      </c>
      <c r="D1942" s="44" t="s">
        <v>436</v>
      </c>
      <c r="E1942" s="44" t="s">
        <v>1478</v>
      </c>
      <c r="F1942" s="44" t="s">
        <v>3305</v>
      </c>
      <c r="G1942" s="44" t="s">
        <v>2925</v>
      </c>
      <c r="H1942" s="44" t="s">
        <v>1124</v>
      </c>
      <c r="I1942" s="44" t="s">
        <v>1127</v>
      </c>
      <c r="J1942" s="44">
        <v>249</v>
      </c>
      <c r="K1942" s="44" t="s">
        <v>1107</v>
      </c>
      <c r="L1942" s="44"/>
      <c r="M1942" s="44" t="s">
        <v>2033</v>
      </c>
      <c r="N1942" s="45">
        <v>-2447311</v>
      </c>
      <c r="O1942" s="46">
        <f t="shared" si="65"/>
        <v>-2447.3110000000001</v>
      </c>
      <c r="P1942" s="47">
        <f>FCCL!H124</f>
        <v>-2447.3110000000001</v>
      </c>
      <c r="Q1942" s="44" t="str">
        <f t="shared" si="66"/>
        <v>PASS</v>
      </c>
      <c r="R1942" s="44" t="s">
        <v>1110</v>
      </c>
      <c r="S1942" s="44"/>
    </row>
    <row r="1943" spans="1:19" x14ac:dyDescent="0.3">
      <c r="A1943" s="44" t="s">
        <v>3307</v>
      </c>
      <c r="B1943" s="44" t="s">
        <v>114</v>
      </c>
      <c r="C1943" s="44" t="s">
        <v>20</v>
      </c>
      <c r="D1943" s="44" t="s">
        <v>439</v>
      </c>
      <c r="E1943" s="44" t="s">
        <v>1130</v>
      </c>
      <c r="F1943" s="44" t="s">
        <v>1535</v>
      </c>
      <c r="G1943" s="44" t="s">
        <v>2916</v>
      </c>
      <c r="H1943" s="44" t="s">
        <v>1105</v>
      </c>
      <c r="I1943" s="44" t="s">
        <v>1127</v>
      </c>
      <c r="J1943" s="44">
        <v>201</v>
      </c>
      <c r="K1943" s="44" t="s">
        <v>3308</v>
      </c>
      <c r="L1943" s="44"/>
      <c r="M1943" s="44" t="s">
        <v>441</v>
      </c>
      <c r="N1943" s="44">
        <v>10</v>
      </c>
      <c r="O1943" s="44">
        <f t="shared" ref="O1943:O1972" si="67">N1943</f>
        <v>10</v>
      </c>
      <c r="P1943" s="48">
        <f>FCCL!D127</f>
        <v>10</v>
      </c>
      <c r="Q1943" s="44" t="str">
        <f t="shared" si="66"/>
        <v>PASS</v>
      </c>
      <c r="R1943" s="44" t="s">
        <v>1110</v>
      </c>
      <c r="S1943" s="44" t="s">
        <v>1537</v>
      </c>
    </row>
    <row r="1944" spans="1:19" x14ac:dyDescent="0.3">
      <c r="A1944" s="44" t="s">
        <v>3309</v>
      </c>
      <c r="B1944" s="44" t="s">
        <v>114</v>
      </c>
      <c r="C1944" s="44" t="s">
        <v>26</v>
      </c>
      <c r="D1944" s="44" t="s">
        <v>439</v>
      </c>
      <c r="E1944" s="44" t="s">
        <v>1130</v>
      </c>
      <c r="F1944" s="44" t="s">
        <v>1535</v>
      </c>
      <c r="G1944" s="44" t="s">
        <v>2918</v>
      </c>
      <c r="H1944" s="44" t="s">
        <v>1113</v>
      </c>
      <c r="I1944" s="44" t="s">
        <v>1127</v>
      </c>
      <c r="J1944" s="44">
        <v>230</v>
      </c>
      <c r="K1944" s="44" t="s">
        <v>3310</v>
      </c>
      <c r="L1944" s="44"/>
      <c r="M1944" s="44" t="s">
        <v>441</v>
      </c>
      <c r="N1944" s="44">
        <v>10</v>
      </c>
      <c r="O1944" s="44">
        <f t="shared" si="67"/>
        <v>10</v>
      </c>
      <c r="P1944" s="48">
        <f>FCCL!E127</f>
        <v>10</v>
      </c>
      <c r="Q1944" s="44" t="str">
        <f t="shared" si="66"/>
        <v>PASS</v>
      </c>
      <c r="R1944" s="44" t="s">
        <v>1110</v>
      </c>
      <c r="S1944" s="44" t="s">
        <v>1537</v>
      </c>
    </row>
    <row r="1945" spans="1:19" x14ac:dyDescent="0.3">
      <c r="A1945" s="44" t="s">
        <v>3311</v>
      </c>
      <c r="B1945" s="44" t="s">
        <v>114</v>
      </c>
      <c r="C1945" s="44" t="s">
        <v>27</v>
      </c>
      <c r="D1945" s="44" t="s">
        <v>439</v>
      </c>
      <c r="E1945" s="44" t="s">
        <v>1130</v>
      </c>
      <c r="F1945" s="44" t="s">
        <v>1535</v>
      </c>
      <c r="G1945" s="44" t="s">
        <v>2920</v>
      </c>
      <c r="H1945" s="44" t="s">
        <v>1117</v>
      </c>
      <c r="I1945" s="44" t="s">
        <v>1127</v>
      </c>
      <c r="J1945" s="44">
        <v>251</v>
      </c>
      <c r="K1945" s="44" t="s">
        <v>2823</v>
      </c>
      <c r="L1945" s="44"/>
      <c r="M1945" s="44" t="s">
        <v>441</v>
      </c>
      <c r="N1945" s="44">
        <v>10</v>
      </c>
      <c r="O1945" s="44">
        <f t="shared" si="67"/>
        <v>10</v>
      </c>
      <c r="P1945" s="48">
        <f>FCCL!F127</f>
        <v>10</v>
      </c>
      <c r="Q1945" s="44" t="str">
        <f t="shared" si="66"/>
        <v>PASS</v>
      </c>
      <c r="R1945" s="44" t="s">
        <v>1110</v>
      </c>
      <c r="S1945" s="44" t="s">
        <v>1537</v>
      </c>
    </row>
    <row r="1946" spans="1:19" x14ac:dyDescent="0.3">
      <c r="A1946" s="44" t="s">
        <v>3312</v>
      </c>
      <c r="B1946" s="44" t="s">
        <v>114</v>
      </c>
      <c r="C1946" s="44" t="s">
        <v>28</v>
      </c>
      <c r="D1946" s="44" t="s">
        <v>439</v>
      </c>
      <c r="E1946" s="44" t="s">
        <v>1130</v>
      </c>
      <c r="F1946" s="44" t="s">
        <v>1535</v>
      </c>
      <c r="G1946" s="44" t="s">
        <v>2923</v>
      </c>
      <c r="H1946" s="44" t="s">
        <v>1120</v>
      </c>
      <c r="I1946" s="44" t="s">
        <v>1127</v>
      </c>
      <c r="J1946" s="44">
        <v>230</v>
      </c>
      <c r="K1946" s="44" t="s">
        <v>3310</v>
      </c>
      <c r="L1946" s="44"/>
      <c r="M1946" s="44" t="s">
        <v>441</v>
      </c>
      <c r="N1946" s="44">
        <v>10</v>
      </c>
      <c r="O1946" s="44">
        <f t="shared" si="67"/>
        <v>10</v>
      </c>
      <c r="P1946" s="48">
        <f>FCCL!G127</f>
        <v>10</v>
      </c>
      <c r="Q1946" s="44" t="str">
        <f t="shared" si="66"/>
        <v>PASS</v>
      </c>
      <c r="R1946" s="44" t="s">
        <v>1110</v>
      </c>
      <c r="S1946" s="44" t="s">
        <v>1537</v>
      </c>
    </row>
    <row r="1947" spans="1:19" x14ac:dyDescent="0.3">
      <c r="A1947" s="44" t="s">
        <v>3313</v>
      </c>
      <c r="B1947" s="44" t="s">
        <v>114</v>
      </c>
      <c r="C1947" s="44" t="s">
        <v>29</v>
      </c>
      <c r="D1947" s="44" t="s">
        <v>439</v>
      </c>
      <c r="E1947" s="44" t="s">
        <v>1130</v>
      </c>
      <c r="F1947" s="44" t="s">
        <v>1535</v>
      </c>
      <c r="G1947" s="44" t="s">
        <v>2925</v>
      </c>
      <c r="H1947" s="44" t="s">
        <v>1124</v>
      </c>
      <c r="I1947" s="44" t="s">
        <v>1127</v>
      </c>
      <c r="J1947" s="44">
        <v>285</v>
      </c>
      <c r="K1947" s="44" t="s">
        <v>1107</v>
      </c>
      <c r="L1947" s="44"/>
      <c r="M1947" s="44" t="s">
        <v>441</v>
      </c>
      <c r="N1947" s="44">
        <v>10</v>
      </c>
      <c r="O1947" s="44">
        <f t="shared" si="67"/>
        <v>10</v>
      </c>
      <c r="P1947" s="48">
        <f>FCCL!H127</f>
        <v>10</v>
      </c>
      <c r="Q1947" s="44" t="str">
        <f t="shared" si="66"/>
        <v>PASS</v>
      </c>
      <c r="R1947" s="44" t="s">
        <v>1110</v>
      </c>
      <c r="S1947" s="44" t="s">
        <v>1537</v>
      </c>
    </row>
    <row r="1948" spans="1:19" x14ac:dyDescent="0.3">
      <c r="A1948" s="44" t="s">
        <v>3314</v>
      </c>
      <c r="B1948" s="44" t="s">
        <v>114</v>
      </c>
      <c r="C1948" s="44" t="s">
        <v>20</v>
      </c>
      <c r="D1948" s="44" t="s">
        <v>445</v>
      </c>
      <c r="E1948" s="44" t="s">
        <v>1130</v>
      </c>
      <c r="F1948" s="44" t="s">
        <v>1543</v>
      </c>
      <c r="G1948" s="44" t="s">
        <v>2916</v>
      </c>
      <c r="H1948" s="44" t="s">
        <v>1105</v>
      </c>
      <c r="I1948" s="44" t="s">
        <v>1127</v>
      </c>
      <c r="J1948" s="44">
        <v>201</v>
      </c>
      <c r="K1948" s="44" t="s">
        <v>3308</v>
      </c>
      <c r="L1948" s="44"/>
      <c r="M1948" s="44" t="s">
        <v>444</v>
      </c>
      <c r="N1948" s="44">
        <v>1379.8150000000001</v>
      </c>
      <c r="O1948" s="44">
        <f t="shared" si="67"/>
        <v>1379.8150000000001</v>
      </c>
      <c r="P1948" s="46">
        <f>FCCL!D129</f>
        <v>1379.8150000000001</v>
      </c>
      <c r="Q1948" s="44" t="str">
        <f t="shared" si="66"/>
        <v>PASS</v>
      </c>
      <c r="R1948" s="44" t="s">
        <v>1110</v>
      </c>
      <c r="S1948" s="44" t="s">
        <v>1537</v>
      </c>
    </row>
    <row r="1949" spans="1:19" x14ac:dyDescent="0.3">
      <c r="A1949" s="44" t="s">
        <v>3315</v>
      </c>
      <c r="B1949" s="44" t="s">
        <v>114</v>
      </c>
      <c r="C1949" s="44" t="s">
        <v>26</v>
      </c>
      <c r="D1949" s="44" t="s">
        <v>445</v>
      </c>
      <c r="E1949" s="44" t="s">
        <v>1130</v>
      </c>
      <c r="F1949" s="44" t="s">
        <v>1543</v>
      </c>
      <c r="G1949" s="44" t="s">
        <v>2918</v>
      </c>
      <c r="H1949" s="44" t="s">
        <v>1113</v>
      </c>
      <c r="I1949" s="44" t="s">
        <v>1127</v>
      </c>
      <c r="J1949" s="44">
        <v>230</v>
      </c>
      <c r="K1949" s="44" t="s">
        <v>3310</v>
      </c>
      <c r="L1949" s="44"/>
      <c r="M1949" s="44" t="s">
        <v>444</v>
      </c>
      <c r="N1949" s="44">
        <v>2180.3090000000002</v>
      </c>
      <c r="O1949" s="44">
        <f t="shared" si="67"/>
        <v>2180.3090000000002</v>
      </c>
      <c r="P1949" s="46">
        <f>FCCL!E129</f>
        <v>2180.3090000000002</v>
      </c>
      <c r="Q1949" s="44" t="str">
        <f t="shared" si="66"/>
        <v>PASS</v>
      </c>
      <c r="R1949" s="44" t="s">
        <v>1110</v>
      </c>
      <c r="S1949" s="44" t="s">
        <v>1537</v>
      </c>
    </row>
    <row r="1950" spans="1:19" x14ac:dyDescent="0.3">
      <c r="A1950" s="44" t="s">
        <v>3316</v>
      </c>
      <c r="B1950" s="44" t="s">
        <v>114</v>
      </c>
      <c r="C1950" s="44" t="s">
        <v>27</v>
      </c>
      <c r="D1950" s="44" t="s">
        <v>445</v>
      </c>
      <c r="E1950" s="44" t="s">
        <v>1130</v>
      </c>
      <c r="F1950" s="44" t="s">
        <v>1543</v>
      </c>
      <c r="G1950" s="44" t="s">
        <v>2920</v>
      </c>
      <c r="H1950" s="44" t="s">
        <v>1117</v>
      </c>
      <c r="I1950" s="44" t="s">
        <v>1127</v>
      </c>
      <c r="J1950" s="44">
        <v>251</v>
      </c>
      <c r="K1950" s="44" t="s">
        <v>2823</v>
      </c>
      <c r="L1950" s="44"/>
      <c r="M1950" s="44" t="s">
        <v>444</v>
      </c>
      <c r="N1950" s="44">
        <f>FCCL!F128</f>
        <v>2452.8476000000001</v>
      </c>
      <c r="O1950" s="44">
        <f t="shared" si="67"/>
        <v>2452.8476000000001</v>
      </c>
      <c r="P1950" s="46">
        <f>FCCL!F129</f>
        <v>2452.8476000000001</v>
      </c>
      <c r="Q1950" s="44" t="str">
        <f t="shared" si="66"/>
        <v>PASS</v>
      </c>
      <c r="R1950" s="44" t="s">
        <v>1110</v>
      </c>
      <c r="S1950" s="44" t="s">
        <v>1537</v>
      </c>
    </row>
    <row r="1951" spans="1:19" x14ac:dyDescent="0.3">
      <c r="A1951" s="44" t="s">
        <v>3317</v>
      </c>
      <c r="B1951" s="44" t="s">
        <v>114</v>
      </c>
      <c r="C1951" s="44" t="s">
        <v>28</v>
      </c>
      <c r="D1951" s="44" t="s">
        <v>445</v>
      </c>
      <c r="E1951" s="44" t="s">
        <v>1130</v>
      </c>
      <c r="F1951" s="44" t="s">
        <v>1543</v>
      </c>
      <c r="G1951" s="44" t="s">
        <v>2923</v>
      </c>
      <c r="H1951" s="44" t="s">
        <v>1120</v>
      </c>
      <c r="I1951" s="44" t="s">
        <v>1127</v>
      </c>
      <c r="J1951" s="44">
        <v>230</v>
      </c>
      <c r="K1951" s="44" t="s">
        <v>3310</v>
      </c>
      <c r="L1951" s="44"/>
      <c r="M1951" s="44" t="s">
        <v>444</v>
      </c>
      <c r="N1951" s="44">
        <v>2452.8470000000002</v>
      </c>
      <c r="O1951" s="44">
        <f t="shared" si="67"/>
        <v>2452.8470000000002</v>
      </c>
      <c r="P1951" s="46">
        <f>FCCL!G129</f>
        <v>2452.8470000000002</v>
      </c>
      <c r="Q1951" s="44" t="str">
        <f t="shared" si="66"/>
        <v>PASS</v>
      </c>
      <c r="R1951" s="44" t="s">
        <v>1110</v>
      </c>
      <c r="S1951" s="44" t="s">
        <v>1537</v>
      </c>
    </row>
    <row r="1952" spans="1:19" x14ac:dyDescent="0.3">
      <c r="A1952" s="44" t="s">
        <v>3318</v>
      </c>
      <c r="B1952" s="44" t="s">
        <v>114</v>
      </c>
      <c r="C1952" s="44" t="s">
        <v>29</v>
      </c>
      <c r="D1952" s="44" t="s">
        <v>445</v>
      </c>
      <c r="E1952" s="44" t="s">
        <v>1130</v>
      </c>
      <c r="F1952" s="44" t="s">
        <v>1543</v>
      </c>
      <c r="G1952" s="44" t="s">
        <v>2925</v>
      </c>
      <c r="H1952" s="44" t="s">
        <v>1124</v>
      </c>
      <c r="I1952" s="44" t="s">
        <v>1127</v>
      </c>
      <c r="J1952" s="44">
        <v>285</v>
      </c>
      <c r="K1952" s="44" t="s">
        <v>1107</v>
      </c>
      <c r="L1952" s="44"/>
      <c r="M1952" s="44" t="s">
        <v>444</v>
      </c>
      <c r="N1952" s="44">
        <v>2452.8470000000002</v>
      </c>
      <c r="O1952" s="44">
        <f t="shared" si="67"/>
        <v>2452.8470000000002</v>
      </c>
      <c r="P1952" s="46">
        <f>FCCL!H129</f>
        <v>2452.8470000000002</v>
      </c>
      <c r="Q1952" s="44" t="str">
        <f t="shared" si="66"/>
        <v>PASS</v>
      </c>
      <c r="R1952" s="44" t="s">
        <v>1110</v>
      </c>
      <c r="S1952" s="44" t="s">
        <v>1537</v>
      </c>
    </row>
    <row r="1953" spans="1:19" x14ac:dyDescent="0.3">
      <c r="A1953" s="44" t="s">
        <v>3319</v>
      </c>
      <c r="B1953" s="44" t="s">
        <v>114</v>
      </c>
      <c r="C1953" s="44" t="s">
        <v>20</v>
      </c>
      <c r="D1953" s="44" t="s">
        <v>1549</v>
      </c>
      <c r="E1953" s="44" t="s">
        <v>1130</v>
      </c>
      <c r="F1953" s="44" t="s">
        <v>1550</v>
      </c>
      <c r="G1953" s="44" t="s">
        <v>1551</v>
      </c>
      <c r="H1953" s="44" t="s">
        <v>1552</v>
      </c>
      <c r="I1953" s="44" t="s">
        <v>1553</v>
      </c>
      <c r="J1953" s="44"/>
      <c r="K1953" s="44"/>
      <c r="L1953" s="44"/>
      <c r="M1953" s="44" t="s">
        <v>441</v>
      </c>
      <c r="N1953" s="44">
        <v>23</v>
      </c>
      <c r="O1953" s="44">
        <f t="shared" si="67"/>
        <v>23</v>
      </c>
      <c r="P1953" s="48">
        <f>FCCL!D130</f>
        <v>23</v>
      </c>
      <c r="Q1953" s="44" t="str">
        <f t="shared" si="66"/>
        <v>PASS</v>
      </c>
      <c r="R1953" s="44" t="s">
        <v>1110</v>
      </c>
      <c r="S1953" s="44" t="s">
        <v>1554</v>
      </c>
    </row>
    <row r="1954" spans="1:19" x14ac:dyDescent="0.3">
      <c r="A1954" s="44" t="s">
        <v>3320</v>
      </c>
      <c r="B1954" s="44" t="s">
        <v>114</v>
      </c>
      <c r="C1954" s="44" t="s">
        <v>26</v>
      </c>
      <c r="D1954" s="44" t="s">
        <v>1549</v>
      </c>
      <c r="E1954" s="44" t="s">
        <v>1130</v>
      </c>
      <c r="F1954" s="44" t="s">
        <v>1550</v>
      </c>
      <c r="G1954" s="44" t="s">
        <v>1551</v>
      </c>
      <c r="H1954" s="44" t="s">
        <v>1552</v>
      </c>
      <c r="I1954" s="44" t="s">
        <v>1556</v>
      </c>
      <c r="J1954" s="44"/>
      <c r="K1954" s="44"/>
      <c r="L1954" s="44"/>
      <c r="M1954" s="44" t="s">
        <v>441</v>
      </c>
      <c r="N1954" s="44">
        <v>14.17</v>
      </c>
      <c r="O1954" s="44">
        <f t="shared" si="67"/>
        <v>14.17</v>
      </c>
      <c r="P1954" s="48">
        <f>FCCL!E130</f>
        <v>14.17</v>
      </c>
      <c r="Q1954" s="44" t="str">
        <f t="shared" si="66"/>
        <v>PASS</v>
      </c>
      <c r="R1954" s="44" t="s">
        <v>1110</v>
      </c>
      <c r="S1954" s="44" t="s">
        <v>1554</v>
      </c>
    </row>
    <row r="1955" spans="1:19" x14ac:dyDescent="0.3">
      <c r="A1955" s="44" t="s">
        <v>3321</v>
      </c>
      <c r="B1955" s="44" t="s">
        <v>114</v>
      </c>
      <c r="C1955" s="44" t="s">
        <v>27</v>
      </c>
      <c r="D1955" s="44" t="s">
        <v>1549</v>
      </c>
      <c r="E1955" s="44" t="s">
        <v>1130</v>
      </c>
      <c r="F1955" s="44" t="s">
        <v>1550</v>
      </c>
      <c r="G1955" s="44" t="s">
        <v>1551</v>
      </c>
      <c r="H1955" s="44" t="s">
        <v>1552</v>
      </c>
      <c r="I1955" s="44" t="s">
        <v>1558</v>
      </c>
      <c r="J1955" s="44"/>
      <c r="K1955" s="44"/>
      <c r="L1955" s="44"/>
      <c r="M1955" s="44" t="s">
        <v>441</v>
      </c>
      <c r="N1955" s="44">
        <v>11.76</v>
      </c>
      <c r="O1955" s="44">
        <f t="shared" si="67"/>
        <v>11.76</v>
      </c>
      <c r="P1955" s="48">
        <f>FCCL!F130</f>
        <v>11.76</v>
      </c>
      <c r="Q1955" s="44" t="str">
        <f t="shared" ref="Q1955:Q1972" si="68">IF(ABS(O1955-P1955)&lt;0.000001,"PASS","FAIL")</f>
        <v>PASS</v>
      </c>
      <c r="R1955" s="44" t="s">
        <v>1110</v>
      </c>
      <c r="S1955" s="44" t="s">
        <v>1554</v>
      </c>
    </row>
    <row r="1956" spans="1:19" x14ac:dyDescent="0.3">
      <c r="A1956" s="44" t="s">
        <v>3322</v>
      </c>
      <c r="B1956" s="44" t="s">
        <v>114</v>
      </c>
      <c r="C1956" s="44" t="s">
        <v>28</v>
      </c>
      <c r="D1956" s="44" t="s">
        <v>1549</v>
      </c>
      <c r="E1956" s="44" t="s">
        <v>1130</v>
      </c>
      <c r="F1956" s="44" t="s">
        <v>1550</v>
      </c>
      <c r="G1956" s="44" t="s">
        <v>1551</v>
      </c>
      <c r="H1956" s="44" t="s">
        <v>1552</v>
      </c>
      <c r="I1956" s="44" t="s">
        <v>1560</v>
      </c>
      <c r="J1956" s="44"/>
      <c r="K1956" s="44"/>
      <c r="L1956" s="44"/>
      <c r="M1956" s="44" t="s">
        <v>441</v>
      </c>
      <c r="N1956" s="44">
        <v>22.91</v>
      </c>
      <c r="O1956" s="44">
        <f t="shared" si="67"/>
        <v>22.91</v>
      </c>
      <c r="P1956" s="48">
        <f>FCCL!G130</f>
        <v>22.91</v>
      </c>
      <c r="Q1956" s="44" t="str">
        <f t="shared" si="68"/>
        <v>PASS</v>
      </c>
      <c r="R1956" s="44" t="s">
        <v>1110</v>
      </c>
      <c r="S1956" s="44" t="s">
        <v>1554</v>
      </c>
    </row>
    <row r="1957" spans="1:19" x14ac:dyDescent="0.3">
      <c r="A1957" s="44" t="s">
        <v>3323</v>
      </c>
      <c r="B1957" s="44" t="s">
        <v>114</v>
      </c>
      <c r="C1957" s="44" t="s">
        <v>29</v>
      </c>
      <c r="D1957" s="44" t="s">
        <v>1549</v>
      </c>
      <c r="E1957" s="44" t="s">
        <v>1130</v>
      </c>
      <c r="F1957" s="44" t="s">
        <v>1550</v>
      </c>
      <c r="G1957" s="44" t="s">
        <v>1551</v>
      </c>
      <c r="H1957" s="44" t="s">
        <v>1552</v>
      </c>
      <c r="I1957" s="44" t="s">
        <v>1562</v>
      </c>
      <c r="J1957" s="44"/>
      <c r="K1957" s="44"/>
      <c r="L1957" s="44"/>
      <c r="M1957" s="44" t="s">
        <v>441</v>
      </c>
      <c r="N1957" s="44">
        <v>44.67</v>
      </c>
      <c r="O1957" s="44">
        <f t="shared" si="67"/>
        <v>44.67</v>
      </c>
      <c r="P1957" s="48">
        <f>FCCL!H130</f>
        <v>44.67</v>
      </c>
      <c r="Q1957" s="44" t="str">
        <f t="shared" si="68"/>
        <v>PASS</v>
      </c>
      <c r="R1957" s="44" t="s">
        <v>1110</v>
      </c>
      <c r="S1957" s="44" t="s">
        <v>1554</v>
      </c>
    </row>
    <row r="1958" spans="1:19" x14ac:dyDescent="0.3">
      <c r="A1958" s="44" t="s">
        <v>3324</v>
      </c>
      <c r="B1958" s="44" t="s">
        <v>114</v>
      </c>
      <c r="C1958" s="44" t="s">
        <v>20</v>
      </c>
      <c r="D1958" s="44" t="s">
        <v>449</v>
      </c>
      <c r="E1958" s="44" t="s">
        <v>1130</v>
      </c>
      <c r="F1958" s="44" t="s">
        <v>1564</v>
      </c>
      <c r="G1958" s="44" t="s">
        <v>2925</v>
      </c>
      <c r="H1958" s="44" t="s">
        <v>1124</v>
      </c>
      <c r="I1958" s="44" t="s">
        <v>1106</v>
      </c>
      <c r="J1958" s="44">
        <v>216</v>
      </c>
      <c r="K1958" s="44" t="s">
        <v>1107</v>
      </c>
      <c r="L1958" s="44"/>
      <c r="M1958" s="44" t="s">
        <v>441</v>
      </c>
      <c r="N1958" s="44">
        <v>0</v>
      </c>
      <c r="O1958" s="44">
        <f t="shared" si="67"/>
        <v>0</v>
      </c>
      <c r="P1958" s="48">
        <f>FCCL!D131</f>
        <v>0</v>
      </c>
      <c r="Q1958" s="44" t="str">
        <f t="shared" si="68"/>
        <v>PASS</v>
      </c>
      <c r="R1958" s="44" t="s">
        <v>1110</v>
      </c>
      <c r="S1958" s="44" t="s">
        <v>1537</v>
      </c>
    </row>
    <row r="1959" spans="1:19" x14ac:dyDescent="0.3">
      <c r="A1959" s="44" t="s">
        <v>3325</v>
      </c>
      <c r="B1959" s="44" t="s">
        <v>114</v>
      </c>
      <c r="C1959" s="44" t="s">
        <v>26</v>
      </c>
      <c r="D1959" s="44" t="s">
        <v>449</v>
      </c>
      <c r="E1959" s="44" t="s">
        <v>1130</v>
      </c>
      <c r="F1959" s="44" t="s">
        <v>1564</v>
      </c>
      <c r="G1959" s="44" t="s">
        <v>2925</v>
      </c>
      <c r="H1959" s="44" t="s">
        <v>1124</v>
      </c>
      <c r="I1959" s="44" t="s">
        <v>1106</v>
      </c>
      <c r="J1959" s="44">
        <v>216</v>
      </c>
      <c r="K1959" s="44" t="s">
        <v>1107</v>
      </c>
      <c r="L1959" s="44"/>
      <c r="M1959" s="44" t="s">
        <v>441</v>
      </c>
      <c r="N1959" s="44">
        <v>0</v>
      </c>
      <c r="O1959" s="44">
        <f t="shared" si="67"/>
        <v>0</v>
      </c>
      <c r="P1959" s="48">
        <f>FCCL!E131</f>
        <v>0</v>
      </c>
      <c r="Q1959" s="44" t="str">
        <f t="shared" si="68"/>
        <v>PASS</v>
      </c>
      <c r="R1959" s="44" t="s">
        <v>1110</v>
      </c>
      <c r="S1959" s="44" t="s">
        <v>1537</v>
      </c>
    </row>
    <row r="1960" spans="1:19" x14ac:dyDescent="0.3">
      <c r="A1960" s="44" t="s">
        <v>3326</v>
      </c>
      <c r="B1960" s="44" t="s">
        <v>114</v>
      </c>
      <c r="C1960" s="44" t="s">
        <v>27</v>
      </c>
      <c r="D1960" s="44" t="s">
        <v>449</v>
      </c>
      <c r="E1960" s="44" t="s">
        <v>1130</v>
      </c>
      <c r="F1960" s="44" t="s">
        <v>1564</v>
      </c>
      <c r="G1960" s="44" t="s">
        <v>2925</v>
      </c>
      <c r="H1960" s="44" t="s">
        <v>1124</v>
      </c>
      <c r="I1960" s="44" t="s">
        <v>1106</v>
      </c>
      <c r="J1960" s="44">
        <v>216</v>
      </c>
      <c r="K1960" s="44" t="s">
        <v>1107</v>
      </c>
      <c r="L1960" s="44"/>
      <c r="M1960" s="44" t="s">
        <v>441</v>
      </c>
      <c r="N1960" s="44">
        <v>0</v>
      </c>
      <c r="O1960" s="44">
        <f t="shared" si="67"/>
        <v>0</v>
      </c>
      <c r="P1960" s="48">
        <f>FCCL!F131</f>
        <v>0</v>
      </c>
      <c r="Q1960" s="44" t="str">
        <f t="shared" si="68"/>
        <v>PASS</v>
      </c>
      <c r="R1960" s="44" t="s">
        <v>1110</v>
      </c>
      <c r="S1960" s="44" t="s">
        <v>1537</v>
      </c>
    </row>
    <row r="1961" spans="1:19" x14ac:dyDescent="0.3">
      <c r="A1961" s="44" t="s">
        <v>3327</v>
      </c>
      <c r="B1961" s="44" t="s">
        <v>114</v>
      </c>
      <c r="C1961" s="44" t="s">
        <v>28</v>
      </c>
      <c r="D1961" s="44" t="s">
        <v>449</v>
      </c>
      <c r="E1961" s="44" t="s">
        <v>1130</v>
      </c>
      <c r="F1961" s="44" t="s">
        <v>1564</v>
      </c>
      <c r="G1961" s="44" t="s">
        <v>2925</v>
      </c>
      <c r="H1961" s="44" t="s">
        <v>1124</v>
      </c>
      <c r="I1961" s="44" t="s">
        <v>1106</v>
      </c>
      <c r="J1961" s="44">
        <v>216</v>
      </c>
      <c r="K1961" s="44" t="s">
        <v>1107</v>
      </c>
      <c r="L1961" s="44"/>
      <c r="M1961" s="44" t="s">
        <v>441</v>
      </c>
      <c r="N1961" s="44">
        <v>1</v>
      </c>
      <c r="O1961" s="44">
        <f t="shared" si="67"/>
        <v>1</v>
      </c>
      <c r="P1961" s="48">
        <f>FCCL!G131</f>
        <v>1</v>
      </c>
      <c r="Q1961" s="44" t="str">
        <f t="shared" si="68"/>
        <v>PASS</v>
      </c>
      <c r="R1961" s="44" t="s">
        <v>1110</v>
      </c>
      <c r="S1961" s="44" t="s">
        <v>1537</v>
      </c>
    </row>
    <row r="1962" spans="1:19" x14ac:dyDescent="0.3">
      <c r="A1962" s="44" t="s">
        <v>3328</v>
      </c>
      <c r="B1962" s="44" t="s">
        <v>114</v>
      </c>
      <c r="C1962" s="44" t="s">
        <v>29</v>
      </c>
      <c r="D1962" s="44" t="s">
        <v>449</v>
      </c>
      <c r="E1962" s="44" t="s">
        <v>1130</v>
      </c>
      <c r="F1962" s="44" t="s">
        <v>1564</v>
      </c>
      <c r="G1962" s="44" t="s">
        <v>2925</v>
      </c>
      <c r="H1962" s="44" t="s">
        <v>1124</v>
      </c>
      <c r="I1962" s="44" t="s">
        <v>1127</v>
      </c>
      <c r="J1962" s="44">
        <v>216</v>
      </c>
      <c r="K1962" s="44" t="s">
        <v>1107</v>
      </c>
      <c r="L1962" s="44"/>
      <c r="M1962" s="44" t="s">
        <v>441</v>
      </c>
      <c r="N1962" s="44">
        <v>1.25</v>
      </c>
      <c r="O1962" s="44">
        <f t="shared" si="67"/>
        <v>1.25</v>
      </c>
      <c r="P1962" s="48">
        <f>FCCL!H131</f>
        <v>1.25</v>
      </c>
      <c r="Q1962" s="44" t="str">
        <f t="shared" si="68"/>
        <v>PASS</v>
      </c>
      <c r="R1962" s="44" t="s">
        <v>1110</v>
      </c>
      <c r="S1962" s="44" t="s">
        <v>1537</v>
      </c>
    </row>
    <row r="1963" spans="1:19" x14ac:dyDescent="0.3">
      <c r="A1963" s="44" t="s">
        <v>3329</v>
      </c>
      <c r="B1963" s="44" t="s">
        <v>114</v>
      </c>
      <c r="C1963" s="44" t="s">
        <v>20</v>
      </c>
      <c r="D1963" s="44" t="s">
        <v>1570</v>
      </c>
      <c r="E1963" s="44" t="s">
        <v>1381</v>
      </c>
      <c r="F1963" s="44" t="s">
        <v>1571</v>
      </c>
      <c r="G1963" s="44" t="s">
        <v>2916</v>
      </c>
      <c r="H1963" s="44" t="s">
        <v>1105</v>
      </c>
      <c r="I1963" s="44" t="s">
        <v>1127</v>
      </c>
      <c r="J1963" s="44">
        <v>201</v>
      </c>
      <c r="K1963" s="44" t="s">
        <v>2015</v>
      </c>
      <c r="L1963" s="44"/>
      <c r="M1963" s="44" t="s">
        <v>441</v>
      </c>
      <c r="N1963" s="44">
        <v>2.52</v>
      </c>
      <c r="O1963" s="44">
        <f t="shared" si="67"/>
        <v>2.52</v>
      </c>
      <c r="P1963" s="48">
        <f>FCCL!D132</f>
        <v>2.52</v>
      </c>
      <c r="Q1963" s="44" t="str">
        <f t="shared" si="68"/>
        <v>PASS</v>
      </c>
      <c r="R1963" s="44" t="s">
        <v>1110</v>
      </c>
      <c r="S1963" s="44" t="s">
        <v>1537</v>
      </c>
    </row>
    <row r="1964" spans="1:19" x14ac:dyDescent="0.3">
      <c r="A1964" s="44" t="s">
        <v>3330</v>
      </c>
      <c r="B1964" s="44" t="s">
        <v>114</v>
      </c>
      <c r="C1964" s="44" t="s">
        <v>26</v>
      </c>
      <c r="D1964" s="44" t="s">
        <v>1570</v>
      </c>
      <c r="E1964" s="44" t="s">
        <v>1381</v>
      </c>
      <c r="F1964" s="44" t="s">
        <v>1571</v>
      </c>
      <c r="G1964" s="44" t="s">
        <v>2918</v>
      </c>
      <c r="H1964" s="44" t="s">
        <v>1113</v>
      </c>
      <c r="I1964" s="44" t="s">
        <v>1127</v>
      </c>
      <c r="J1964" s="44">
        <v>230</v>
      </c>
      <c r="K1964" s="44" t="s">
        <v>2053</v>
      </c>
      <c r="L1964" s="44"/>
      <c r="M1964" s="44" t="s">
        <v>441</v>
      </c>
      <c r="N1964" s="44">
        <v>3.26</v>
      </c>
      <c r="O1964" s="44">
        <f t="shared" si="67"/>
        <v>3.26</v>
      </c>
      <c r="P1964" s="48">
        <f>FCCL!E132</f>
        <v>3.26</v>
      </c>
      <c r="Q1964" s="44" t="str">
        <f t="shared" si="68"/>
        <v>PASS</v>
      </c>
      <c r="R1964" s="44" t="s">
        <v>1110</v>
      </c>
      <c r="S1964" s="44" t="s">
        <v>1537</v>
      </c>
    </row>
    <row r="1965" spans="1:19" x14ac:dyDescent="0.3">
      <c r="A1965" s="44" t="s">
        <v>3331</v>
      </c>
      <c r="B1965" s="44" t="s">
        <v>114</v>
      </c>
      <c r="C1965" s="44" t="s">
        <v>27</v>
      </c>
      <c r="D1965" s="44" t="s">
        <v>1570</v>
      </c>
      <c r="E1965" s="44" t="s">
        <v>1381</v>
      </c>
      <c r="F1965" s="44" t="s">
        <v>1571</v>
      </c>
      <c r="G1965" s="44" t="s">
        <v>2920</v>
      </c>
      <c r="H1965" s="44" t="s">
        <v>1117</v>
      </c>
      <c r="I1965" s="44" t="s">
        <v>1127</v>
      </c>
      <c r="J1965" s="44">
        <v>251</v>
      </c>
      <c r="K1965" s="44" t="s">
        <v>2385</v>
      </c>
      <c r="L1965" s="44"/>
      <c r="M1965" s="44" t="s">
        <v>441</v>
      </c>
      <c r="N1965" s="44">
        <v>3.16</v>
      </c>
      <c r="O1965" s="44">
        <f t="shared" si="67"/>
        <v>3.16</v>
      </c>
      <c r="P1965" s="48">
        <f>FCCL!F132</f>
        <v>3.16</v>
      </c>
      <c r="Q1965" s="44" t="str">
        <f t="shared" si="68"/>
        <v>PASS</v>
      </c>
      <c r="R1965" s="44" t="s">
        <v>1110</v>
      </c>
      <c r="S1965" s="44" t="s">
        <v>1537</v>
      </c>
    </row>
    <row r="1966" spans="1:19" x14ac:dyDescent="0.3">
      <c r="A1966" s="44" t="s">
        <v>3332</v>
      </c>
      <c r="B1966" s="44" t="s">
        <v>114</v>
      </c>
      <c r="C1966" s="44" t="s">
        <v>28</v>
      </c>
      <c r="D1966" s="44" t="s">
        <v>1570</v>
      </c>
      <c r="E1966" s="44" t="s">
        <v>1381</v>
      </c>
      <c r="F1966" s="44" t="s">
        <v>1571</v>
      </c>
      <c r="G1966" s="44" t="s">
        <v>2923</v>
      </c>
      <c r="H1966" s="44" t="s">
        <v>1120</v>
      </c>
      <c r="I1966" s="44" t="s">
        <v>1127</v>
      </c>
      <c r="J1966" s="44">
        <v>230</v>
      </c>
      <c r="K1966" s="44" t="s">
        <v>2739</v>
      </c>
      <c r="L1966" s="44"/>
      <c r="M1966" s="44" t="s">
        <v>441</v>
      </c>
      <c r="N1966" s="44">
        <v>3.35</v>
      </c>
      <c r="O1966" s="44">
        <f t="shared" si="67"/>
        <v>3.35</v>
      </c>
      <c r="P1966" s="48">
        <f>FCCL!G132</f>
        <v>3.35</v>
      </c>
      <c r="Q1966" s="44" t="str">
        <f t="shared" si="68"/>
        <v>PASS</v>
      </c>
      <c r="R1966" s="44" t="s">
        <v>1110</v>
      </c>
      <c r="S1966" s="44" t="s">
        <v>1537</v>
      </c>
    </row>
    <row r="1967" spans="1:19" x14ac:dyDescent="0.3">
      <c r="A1967" s="44" t="s">
        <v>3333</v>
      </c>
      <c r="B1967" s="44" t="s">
        <v>114</v>
      </c>
      <c r="C1967" s="44" t="s">
        <v>29</v>
      </c>
      <c r="D1967" s="44" t="s">
        <v>1570</v>
      </c>
      <c r="E1967" s="44" t="s">
        <v>1381</v>
      </c>
      <c r="F1967" s="44" t="s">
        <v>1571</v>
      </c>
      <c r="G1967" s="44" t="s">
        <v>2925</v>
      </c>
      <c r="H1967" s="44" t="s">
        <v>1124</v>
      </c>
      <c r="I1967" s="44" t="s">
        <v>1127</v>
      </c>
      <c r="J1967" s="44">
        <v>285</v>
      </c>
      <c r="K1967" s="44" t="s">
        <v>1107</v>
      </c>
      <c r="L1967" s="44"/>
      <c r="M1967" s="44" t="s">
        <v>441</v>
      </c>
      <c r="N1967" s="44">
        <v>5.43</v>
      </c>
      <c r="O1967" s="44">
        <f t="shared" si="67"/>
        <v>5.43</v>
      </c>
      <c r="P1967" s="48">
        <f>FCCL!H132</f>
        <v>5.43</v>
      </c>
      <c r="Q1967" s="44" t="str">
        <f t="shared" si="68"/>
        <v>PASS</v>
      </c>
      <c r="R1967" s="44" t="s">
        <v>1110</v>
      </c>
      <c r="S1967" s="44" t="s">
        <v>1537</v>
      </c>
    </row>
    <row r="1968" spans="1:19" x14ac:dyDescent="0.3">
      <c r="A1968" s="44" t="s">
        <v>3334</v>
      </c>
      <c r="B1968" s="44" t="s">
        <v>114</v>
      </c>
      <c r="C1968" s="44" t="s">
        <v>20</v>
      </c>
      <c r="D1968" s="44" t="s">
        <v>1577</v>
      </c>
      <c r="E1968" s="44" t="s">
        <v>1130</v>
      </c>
      <c r="F1968" s="44" t="s">
        <v>1578</v>
      </c>
      <c r="G1968" s="44" t="s">
        <v>2925</v>
      </c>
      <c r="H1968" s="44" t="s">
        <v>1124</v>
      </c>
      <c r="I1968" s="44" t="s">
        <v>1106</v>
      </c>
      <c r="J1968" s="44">
        <v>216</v>
      </c>
      <c r="K1968" s="44" t="s">
        <v>1107</v>
      </c>
      <c r="L1968" s="44"/>
      <c r="M1968" s="44" t="s">
        <v>457</v>
      </c>
      <c r="N1968" s="44">
        <v>1</v>
      </c>
      <c r="O1968" s="44">
        <f t="shared" si="67"/>
        <v>1</v>
      </c>
      <c r="P1968" s="48">
        <f>FCCL!D134</f>
        <v>1</v>
      </c>
      <c r="Q1968" s="44" t="str">
        <f t="shared" si="68"/>
        <v>PASS</v>
      </c>
      <c r="R1968" s="44" t="s">
        <v>1110</v>
      </c>
      <c r="S1968" s="44" t="s">
        <v>1537</v>
      </c>
    </row>
    <row r="1969" spans="1:19" x14ac:dyDescent="0.3">
      <c r="A1969" s="44" t="s">
        <v>3335</v>
      </c>
      <c r="B1969" s="44" t="s">
        <v>114</v>
      </c>
      <c r="C1969" s="44" t="s">
        <v>26</v>
      </c>
      <c r="D1969" s="44" t="s">
        <v>1577</v>
      </c>
      <c r="E1969" s="44" t="s">
        <v>1130</v>
      </c>
      <c r="F1969" s="44" t="s">
        <v>1578</v>
      </c>
      <c r="G1969" s="44" t="s">
        <v>2925</v>
      </c>
      <c r="H1969" s="44" t="s">
        <v>1124</v>
      </c>
      <c r="I1969" s="44" t="s">
        <v>1106</v>
      </c>
      <c r="J1969" s="44">
        <v>216</v>
      </c>
      <c r="K1969" s="44" t="s">
        <v>1107</v>
      </c>
      <c r="L1969" s="44"/>
      <c r="M1969" s="44" t="s">
        <v>457</v>
      </c>
      <c r="N1969" s="44">
        <v>1</v>
      </c>
      <c r="O1969" s="44">
        <f t="shared" si="67"/>
        <v>1</v>
      </c>
      <c r="P1969" s="48">
        <f>FCCL!E134</f>
        <v>1</v>
      </c>
      <c r="Q1969" s="44" t="str">
        <f t="shared" si="68"/>
        <v>PASS</v>
      </c>
      <c r="R1969" s="44" t="s">
        <v>1110</v>
      </c>
      <c r="S1969" s="44" t="s">
        <v>1537</v>
      </c>
    </row>
    <row r="1970" spans="1:19" x14ac:dyDescent="0.3">
      <c r="A1970" s="44" t="s">
        <v>3336</v>
      </c>
      <c r="B1970" s="44" t="s">
        <v>114</v>
      </c>
      <c r="C1970" s="44" t="s">
        <v>27</v>
      </c>
      <c r="D1970" s="44" t="s">
        <v>1577</v>
      </c>
      <c r="E1970" s="44" t="s">
        <v>1130</v>
      </c>
      <c r="F1970" s="44" t="s">
        <v>1578</v>
      </c>
      <c r="G1970" s="44" t="s">
        <v>2925</v>
      </c>
      <c r="H1970" s="44" t="s">
        <v>1124</v>
      </c>
      <c r="I1970" s="44" t="s">
        <v>1106</v>
      </c>
      <c r="J1970" s="44">
        <v>216</v>
      </c>
      <c r="K1970" s="44" t="s">
        <v>1107</v>
      </c>
      <c r="L1970" s="44"/>
      <c r="M1970" s="44" t="s">
        <v>457</v>
      </c>
      <c r="N1970" s="44">
        <v>1</v>
      </c>
      <c r="O1970" s="44">
        <f t="shared" si="67"/>
        <v>1</v>
      </c>
      <c r="P1970" s="48">
        <f>FCCL!F134</f>
        <v>1</v>
      </c>
      <c r="Q1970" s="44" t="str">
        <f t="shared" si="68"/>
        <v>PASS</v>
      </c>
      <c r="R1970" s="44" t="s">
        <v>1110</v>
      </c>
      <c r="S1970" s="44" t="s">
        <v>1537</v>
      </c>
    </row>
    <row r="1971" spans="1:19" x14ac:dyDescent="0.3">
      <c r="A1971" s="44" t="s">
        <v>3337</v>
      </c>
      <c r="B1971" s="44" t="s">
        <v>114</v>
      </c>
      <c r="C1971" s="44" t="s">
        <v>28</v>
      </c>
      <c r="D1971" s="44" t="s">
        <v>1577</v>
      </c>
      <c r="E1971" s="44" t="s">
        <v>1130</v>
      </c>
      <c r="F1971" s="44" t="s">
        <v>1578</v>
      </c>
      <c r="G1971" s="44" t="s">
        <v>2925</v>
      </c>
      <c r="H1971" s="44" t="s">
        <v>1124</v>
      </c>
      <c r="I1971" s="44" t="s">
        <v>1106</v>
      </c>
      <c r="J1971" s="44">
        <v>216</v>
      </c>
      <c r="K1971" s="44" t="s">
        <v>1107</v>
      </c>
      <c r="L1971" s="44"/>
      <c r="M1971" s="44" t="s">
        <v>457</v>
      </c>
      <c r="N1971" s="44">
        <v>1</v>
      </c>
      <c r="O1971" s="44">
        <f t="shared" si="67"/>
        <v>1</v>
      </c>
      <c r="P1971" s="48">
        <f>FCCL!G134</f>
        <v>1</v>
      </c>
      <c r="Q1971" s="44" t="str">
        <f t="shared" si="68"/>
        <v>PASS</v>
      </c>
      <c r="R1971" s="44" t="s">
        <v>1110</v>
      </c>
      <c r="S1971" s="44" t="s">
        <v>1537</v>
      </c>
    </row>
    <row r="1972" spans="1:19" x14ac:dyDescent="0.3">
      <c r="A1972" s="44" t="s">
        <v>3338</v>
      </c>
      <c r="B1972" s="44" t="s">
        <v>114</v>
      </c>
      <c r="C1972" s="44" t="s">
        <v>29</v>
      </c>
      <c r="D1972" s="44" t="s">
        <v>1577</v>
      </c>
      <c r="E1972" s="44" t="s">
        <v>1130</v>
      </c>
      <c r="F1972" s="44" t="s">
        <v>1578</v>
      </c>
      <c r="G1972" s="44" t="s">
        <v>2925</v>
      </c>
      <c r="H1972" s="44" t="s">
        <v>1124</v>
      </c>
      <c r="I1972" s="44" t="s">
        <v>1127</v>
      </c>
      <c r="J1972" s="44">
        <v>216</v>
      </c>
      <c r="K1972" s="44" t="s">
        <v>1107</v>
      </c>
      <c r="L1972" s="44"/>
      <c r="M1972" s="44" t="s">
        <v>457</v>
      </c>
      <c r="N1972" s="44">
        <v>1</v>
      </c>
      <c r="O1972" s="44">
        <f t="shared" si="67"/>
        <v>1</v>
      </c>
      <c r="P1972" s="48">
        <f>FCCL!H134</f>
        <v>1</v>
      </c>
      <c r="Q1972" s="44" t="str">
        <f t="shared" si="68"/>
        <v>PASS</v>
      </c>
      <c r="R1972" s="44" t="s">
        <v>1110</v>
      </c>
      <c r="S1972" s="44" t="s">
        <v>1537</v>
      </c>
    </row>
  </sheetData>
  <mergeCells count="15">
    <mergeCell ref="D57:I57"/>
    <mergeCell ref="D58:I58"/>
    <mergeCell ref="D59:I59"/>
    <mergeCell ref="D60:I60"/>
    <mergeCell ref="D61:I61"/>
    <mergeCell ref="D62:I62"/>
    <mergeCell ref="D63:I63"/>
    <mergeCell ref="D64:I64"/>
    <mergeCell ref="D65:I65"/>
    <mergeCell ref="D66:I66"/>
    <mergeCell ref="D67:I67"/>
    <mergeCell ref="D68:I68"/>
    <mergeCell ref="D69:I69"/>
    <mergeCell ref="D70:I70"/>
    <mergeCell ref="C71:H7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30"/>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2" width="11" customWidth="1"/>
    <col min="3" max="9" width="17" customWidth="1"/>
    <col min="10" max="10" width="31" customWidth="1"/>
    <col min="11" max="11" width="56" customWidth="1"/>
    <col min="12" max="15" width="17" customWidth="1"/>
  </cols>
  <sheetData>
    <row r="1" spans="1:15" ht="24" customHeight="1" x14ac:dyDescent="0.3">
      <c r="A1" s="50"/>
      <c r="B1" s="50"/>
      <c r="C1" s="50"/>
      <c r="D1" s="50"/>
      <c r="E1" s="50"/>
      <c r="F1" s="50"/>
      <c r="G1" s="50"/>
      <c r="H1" s="50"/>
      <c r="I1" s="50"/>
      <c r="J1" s="50"/>
      <c r="K1" s="50"/>
      <c r="L1" s="50"/>
      <c r="M1" s="50"/>
      <c r="N1" s="50"/>
      <c r="O1" s="50"/>
    </row>
    <row r="2" spans="1:15" ht="24" customHeight="1" x14ac:dyDescent="0.3">
      <c r="A2" s="51" t="s">
        <v>3339</v>
      </c>
      <c r="B2" s="50"/>
      <c r="C2" s="50"/>
      <c r="D2" s="50"/>
      <c r="E2" s="50"/>
      <c r="F2" s="50"/>
      <c r="G2" s="50"/>
      <c r="H2" s="50"/>
      <c r="I2" s="50"/>
      <c r="J2" s="50"/>
      <c r="K2" s="50"/>
      <c r="L2" s="50"/>
      <c r="M2" s="50"/>
      <c r="N2" s="50"/>
      <c r="O2" s="50"/>
    </row>
    <row r="3" spans="1:15" ht="24" customHeight="1" x14ac:dyDescent="0.3">
      <c r="A3" s="52" t="s">
        <v>3340</v>
      </c>
      <c r="B3" s="50"/>
      <c r="C3" s="50"/>
      <c r="D3" s="50"/>
      <c r="E3" s="50"/>
      <c r="F3" s="50"/>
      <c r="G3" s="50"/>
      <c r="H3" s="50"/>
      <c r="I3" s="50"/>
      <c r="J3" s="50"/>
      <c r="K3" s="50"/>
      <c r="L3" s="50"/>
      <c r="M3" s="50"/>
      <c r="N3" s="50"/>
      <c r="O3" s="50"/>
    </row>
    <row r="4" spans="1:15" ht="24" customHeight="1" x14ac:dyDescent="0.3">
      <c r="A4" s="50"/>
      <c r="B4" s="50"/>
      <c r="C4" s="50"/>
      <c r="D4" s="50"/>
      <c r="E4" s="50"/>
      <c r="F4" s="50"/>
      <c r="G4" s="50"/>
      <c r="H4" s="50"/>
      <c r="I4" s="50"/>
      <c r="J4" s="50"/>
      <c r="K4" s="50"/>
      <c r="L4" s="50"/>
      <c r="M4" s="50"/>
      <c r="N4" s="50"/>
      <c r="O4" s="50"/>
    </row>
    <row r="5" spans="1:15" ht="43.95" customHeight="1" x14ac:dyDescent="0.3">
      <c r="A5" s="53" t="s">
        <v>1</v>
      </c>
      <c r="B5" s="53" t="s">
        <v>3</v>
      </c>
      <c r="C5" s="53" t="s">
        <v>3341</v>
      </c>
      <c r="D5" s="53" t="s">
        <v>3342</v>
      </c>
      <c r="E5" s="53" t="s">
        <v>3343</v>
      </c>
      <c r="F5" s="53" t="s">
        <v>3344</v>
      </c>
      <c r="G5" s="53" t="s">
        <v>3345</v>
      </c>
      <c r="H5" s="53" t="s">
        <v>3346</v>
      </c>
      <c r="I5" s="53" t="s">
        <v>3347</v>
      </c>
      <c r="J5" s="53" t="s">
        <v>3348</v>
      </c>
      <c r="K5" s="53" t="s">
        <v>3349</v>
      </c>
      <c r="L5" s="53" t="s">
        <v>3350</v>
      </c>
      <c r="M5" s="53" t="s">
        <v>3351</v>
      </c>
      <c r="N5" s="53" t="s">
        <v>3352</v>
      </c>
      <c r="O5" s="53" t="s">
        <v>3353</v>
      </c>
    </row>
    <row r="6" spans="1:15" ht="54" customHeight="1" x14ac:dyDescent="0.3">
      <c r="A6" s="55" t="s">
        <v>18</v>
      </c>
      <c r="B6" s="56">
        <v>2021</v>
      </c>
      <c r="C6" s="57">
        <v>44377</v>
      </c>
      <c r="D6" s="57">
        <v>44377</v>
      </c>
      <c r="E6" s="61">
        <v>206.49</v>
      </c>
      <c r="F6" s="61">
        <v>41.3</v>
      </c>
      <c r="G6" s="62">
        <v>5</v>
      </c>
      <c r="H6" s="59">
        <f t="shared" ref="H6:H30" si="0">F6*G6</f>
        <v>206.5</v>
      </c>
      <c r="I6" s="59">
        <f t="shared" ref="I6:I30" si="1">E6-H6</f>
        <v>-9.9999999999909051E-3</v>
      </c>
      <c r="J6" s="67" t="str">
        <f t="shared" ref="J6:J30" si="2">IF(ABS(I6)&lt;=G6*0.005+0.000001,"Agrees within report rounding","PSX / report discrepancy")</f>
        <v>Agrees within report rounding</v>
      </c>
      <c r="K6" s="67" t="s">
        <v>3354</v>
      </c>
      <c r="L6" s="65">
        <v>3.48</v>
      </c>
      <c r="M6" s="65">
        <v>22.13</v>
      </c>
      <c r="N6" s="65">
        <v>0</v>
      </c>
      <c r="O6" s="65">
        <v>1004.306485</v>
      </c>
    </row>
    <row r="7" spans="1:15" ht="54" customHeight="1" x14ac:dyDescent="0.3">
      <c r="A7" s="50" t="s">
        <v>18</v>
      </c>
      <c r="B7" s="54">
        <v>2022</v>
      </c>
      <c r="C7" s="58">
        <v>44742</v>
      </c>
      <c r="D7" s="58">
        <v>44742</v>
      </c>
      <c r="E7" s="63">
        <v>130.13</v>
      </c>
      <c r="F7" s="63">
        <v>26.03</v>
      </c>
      <c r="G7" s="64">
        <v>5</v>
      </c>
      <c r="H7" s="60">
        <f t="shared" si="0"/>
        <v>130.15</v>
      </c>
      <c r="I7" s="60">
        <f t="shared" si="1"/>
        <v>-2.0000000000010232E-2</v>
      </c>
      <c r="J7" s="68" t="str">
        <f t="shared" si="2"/>
        <v>Agrees within report rounding</v>
      </c>
      <c r="K7" s="68" t="s">
        <v>3354</v>
      </c>
      <c r="L7" s="66">
        <v>5</v>
      </c>
      <c r="M7" s="66">
        <v>27.13</v>
      </c>
      <c r="N7" s="66">
        <v>0</v>
      </c>
      <c r="O7" s="66">
        <v>1004.306485</v>
      </c>
    </row>
    <row r="8" spans="1:15" ht="54" customHeight="1" x14ac:dyDescent="0.3">
      <c r="A8" s="55" t="s">
        <v>18</v>
      </c>
      <c r="B8" s="56">
        <v>2023</v>
      </c>
      <c r="C8" s="57">
        <v>45107</v>
      </c>
      <c r="D8" s="57">
        <v>45104</v>
      </c>
      <c r="E8" s="61">
        <v>173.47</v>
      </c>
      <c r="F8" s="61">
        <v>34.69</v>
      </c>
      <c r="G8" s="62">
        <v>5</v>
      </c>
      <c r="H8" s="59">
        <f t="shared" si="0"/>
        <v>173.45</v>
      </c>
      <c r="I8" s="59">
        <f t="shared" si="1"/>
        <v>2.0000000000010232E-2</v>
      </c>
      <c r="J8" s="67" t="str">
        <f t="shared" si="2"/>
        <v>Agrees within report rounding</v>
      </c>
      <c r="K8" s="67" t="s">
        <v>3355</v>
      </c>
      <c r="L8" s="65">
        <v>5.8</v>
      </c>
      <c r="M8" s="65">
        <v>32.47</v>
      </c>
      <c r="N8" s="65">
        <v>0</v>
      </c>
      <c r="O8" s="65">
        <v>1004.306485</v>
      </c>
    </row>
    <row r="9" spans="1:15" ht="54" customHeight="1" x14ac:dyDescent="0.3">
      <c r="A9" s="50" t="s">
        <v>18</v>
      </c>
      <c r="B9" s="54">
        <v>2024</v>
      </c>
      <c r="C9" s="58">
        <v>45473</v>
      </c>
      <c r="D9" s="58">
        <v>45471</v>
      </c>
      <c r="E9" s="63">
        <v>250.43</v>
      </c>
      <c r="F9" s="63">
        <v>49</v>
      </c>
      <c r="G9" s="64">
        <v>5</v>
      </c>
      <c r="H9" s="60">
        <f t="shared" si="0"/>
        <v>245</v>
      </c>
      <c r="I9" s="60">
        <f t="shared" si="1"/>
        <v>5.4300000000000068</v>
      </c>
      <c r="J9" s="68" t="str">
        <f t="shared" si="2"/>
        <v>PSX / report discrepancy</v>
      </c>
      <c r="K9" s="68" t="s">
        <v>3356</v>
      </c>
      <c r="L9" s="66">
        <v>9.06</v>
      </c>
      <c r="M9" s="66">
        <v>41.84</v>
      </c>
      <c r="N9" s="66">
        <v>0</v>
      </c>
      <c r="O9" s="66">
        <v>982.17533500000002</v>
      </c>
    </row>
    <row r="10" spans="1:15" ht="54" customHeight="1" x14ac:dyDescent="0.3">
      <c r="A10" s="55" t="s">
        <v>18</v>
      </c>
      <c r="B10" s="56">
        <v>2025</v>
      </c>
      <c r="C10" s="57">
        <v>45838</v>
      </c>
      <c r="D10" s="57">
        <v>45838</v>
      </c>
      <c r="E10" s="61">
        <v>379.36</v>
      </c>
      <c r="F10" s="61">
        <v>75.67</v>
      </c>
      <c r="G10" s="62">
        <v>5</v>
      </c>
      <c r="H10" s="59">
        <f t="shared" si="0"/>
        <v>378.35</v>
      </c>
      <c r="I10" s="59">
        <f t="shared" si="1"/>
        <v>1.0099999999999909</v>
      </c>
      <c r="J10" s="67" t="str">
        <f t="shared" si="2"/>
        <v>PSX / report discrepancy</v>
      </c>
      <c r="K10" s="67" t="s">
        <v>3354</v>
      </c>
      <c r="L10" s="65">
        <v>11.97</v>
      </c>
      <c r="M10" s="65">
        <v>49.58</v>
      </c>
      <c r="N10" s="65">
        <v>0</v>
      </c>
      <c r="O10" s="65">
        <v>967.14210000000003</v>
      </c>
    </row>
    <row r="11" spans="1:15" ht="54" customHeight="1" x14ac:dyDescent="0.3">
      <c r="A11" s="50" t="s">
        <v>68</v>
      </c>
      <c r="B11" s="54">
        <v>2021</v>
      </c>
      <c r="C11" s="58">
        <v>44377</v>
      </c>
      <c r="D11" s="58">
        <v>44377</v>
      </c>
      <c r="E11" s="63">
        <v>863.44</v>
      </c>
      <c r="F11" s="63">
        <v>172.69</v>
      </c>
      <c r="G11" s="64">
        <v>5</v>
      </c>
      <c r="H11" s="60">
        <f t="shared" si="0"/>
        <v>863.45</v>
      </c>
      <c r="I11" s="60">
        <f t="shared" si="1"/>
        <v>-9.9999999999909051E-3</v>
      </c>
      <c r="J11" s="68" t="str">
        <f t="shared" si="2"/>
        <v>Agrees within report rounding</v>
      </c>
      <c r="K11" s="68" t="s">
        <v>3354</v>
      </c>
      <c r="L11" s="66">
        <v>8.6999999999999993</v>
      </c>
      <c r="M11" s="66">
        <v>70.010000000000005</v>
      </c>
      <c r="N11" s="66">
        <v>0</v>
      </c>
      <c r="O11" s="66">
        <v>1616.875</v>
      </c>
    </row>
    <row r="12" spans="1:15" ht="54" customHeight="1" x14ac:dyDescent="0.3">
      <c r="A12" s="55" t="s">
        <v>68</v>
      </c>
      <c r="B12" s="56">
        <v>2022</v>
      </c>
      <c r="C12" s="57">
        <v>44742</v>
      </c>
      <c r="D12" s="57">
        <v>44742</v>
      </c>
      <c r="E12" s="61">
        <v>459.04</v>
      </c>
      <c r="F12" s="61">
        <v>91.81</v>
      </c>
      <c r="G12" s="62">
        <v>5</v>
      </c>
      <c r="H12" s="59">
        <f t="shared" si="0"/>
        <v>459.05</v>
      </c>
      <c r="I12" s="59">
        <f t="shared" si="1"/>
        <v>-9.9999999999909051E-3</v>
      </c>
      <c r="J12" s="67" t="str">
        <f t="shared" si="2"/>
        <v>Agrees within report rounding</v>
      </c>
      <c r="K12" s="67" t="s">
        <v>3354</v>
      </c>
      <c r="L12" s="65">
        <v>9.4600000000000009</v>
      </c>
      <c r="M12" s="65">
        <v>79.5</v>
      </c>
      <c r="N12" s="65">
        <v>0</v>
      </c>
      <c r="O12" s="65">
        <v>1616.875</v>
      </c>
    </row>
    <row r="13" spans="1:15" ht="54" customHeight="1" x14ac:dyDescent="0.3">
      <c r="A13" s="50" t="s">
        <v>68</v>
      </c>
      <c r="B13" s="54">
        <v>2023</v>
      </c>
      <c r="C13" s="58">
        <v>45107</v>
      </c>
      <c r="D13" s="58">
        <v>45104</v>
      </c>
      <c r="E13" s="63">
        <v>522.09</v>
      </c>
      <c r="F13" s="63">
        <v>104.42</v>
      </c>
      <c r="G13" s="64">
        <v>5</v>
      </c>
      <c r="H13" s="60">
        <f t="shared" si="0"/>
        <v>522.1</v>
      </c>
      <c r="I13" s="60">
        <f t="shared" si="1"/>
        <v>-9.9999999999909051E-3</v>
      </c>
      <c r="J13" s="68" t="str">
        <f t="shared" si="2"/>
        <v>Agrees within report rounding</v>
      </c>
      <c r="K13" s="68" t="s">
        <v>3355</v>
      </c>
      <c r="L13" s="66">
        <v>8.49</v>
      </c>
      <c r="M13" s="66">
        <v>87.67</v>
      </c>
      <c r="N13" s="66">
        <v>3.6</v>
      </c>
      <c r="O13" s="66">
        <v>1593.7449999999999</v>
      </c>
    </row>
    <row r="14" spans="1:15" ht="54" customHeight="1" x14ac:dyDescent="0.3">
      <c r="A14" s="55" t="s">
        <v>68</v>
      </c>
      <c r="B14" s="56">
        <v>2024</v>
      </c>
      <c r="C14" s="57">
        <v>45473</v>
      </c>
      <c r="D14" s="57">
        <v>45471</v>
      </c>
      <c r="E14" s="61">
        <v>906.73</v>
      </c>
      <c r="F14" s="61">
        <v>181.35</v>
      </c>
      <c r="G14" s="62">
        <v>5</v>
      </c>
      <c r="H14" s="59">
        <f t="shared" si="0"/>
        <v>906.75</v>
      </c>
      <c r="I14" s="59">
        <f t="shared" si="1"/>
        <v>-1.999999999998181E-2</v>
      </c>
      <c r="J14" s="67" t="str">
        <f t="shared" si="2"/>
        <v>Agrees within report rounding</v>
      </c>
      <c r="K14" s="67" t="s">
        <v>3356</v>
      </c>
      <c r="L14" s="65">
        <v>18.91</v>
      </c>
      <c r="M14" s="65">
        <v>100.86</v>
      </c>
      <c r="N14" s="65">
        <v>3</v>
      </c>
      <c r="O14" s="65">
        <v>1486.48</v>
      </c>
    </row>
    <row r="15" spans="1:15" ht="54" customHeight="1" x14ac:dyDescent="0.3">
      <c r="A15" s="50" t="s">
        <v>68</v>
      </c>
      <c r="B15" s="54">
        <v>2025</v>
      </c>
      <c r="C15" s="58">
        <v>45838</v>
      </c>
      <c r="D15" s="58">
        <v>45838</v>
      </c>
      <c r="E15" s="63">
        <v>355.24</v>
      </c>
      <c r="F15" s="63">
        <v>355.24</v>
      </c>
      <c r="G15" s="64">
        <v>1</v>
      </c>
      <c r="H15" s="60">
        <f t="shared" si="0"/>
        <v>355.24</v>
      </c>
      <c r="I15" s="60">
        <f t="shared" si="1"/>
        <v>0</v>
      </c>
      <c r="J15" s="68" t="str">
        <f t="shared" si="2"/>
        <v>Agrees within report rounding</v>
      </c>
      <c r="K15" s="68" t="s">
        <v>3354</v>
      </c>
      <c r="L15" s="66">
        <v>22.59</v>
      </c>
      <c r="M15" s="66">
        <v>120.08</v>
      </c>
      <c r="N15" s="66">
        <v>4</v>
      </c>
      <c r="O15" s="66">
        <v>1465</v>
      </c>
    </row>
    <row r="16" spans="1:15" ht="54" customHeight="1" x14ac:dyDescent="0.3">
      <c r="A16" s="55" t="s">
        <v>86</v>
      </c>
      <c r="B16" s="56">
        <v>2021</v>
      </c>
      <c r="C16" s="57">
        <v>44377</v>
      </c>
      <c r="D16" s="57">
        <v>44377</v>
      </c>
      <c r="E16" s="61">
        <v>117.92</v>
      </c>
      <c r="F16" s="61">
        <v>117.92</v>
      </c>
      <c r="G16" s="62">
        <v>1</v>
      </c>
      <c r="H16" s="59">
        <f t="shared" si="0"/>
        <v>117.92</v>
      </c>
      <c r="I16" s="59">
        <f t="shared" si="1"/>
        <v>0</v>
      </c>
      <c r="J16" s="67" t="str">
        <f t="shared" si="2"/>
        <v>Agrees within report rounding</v>
      </c>
      <c r="K16" s="67" t="s">
        <v>3354</v>
      </c>
      <c r="L16" s="65">
        <v>8.49</v>
      </c>
      <c r="M16" s="65">
        <v>167.71</v>
      </c>
      <c r="N16" s="65">
        <v>1</v>
      </c>
      <c r="O16" s="65">
        <v>438.11911800000001</v>
      </c>
    </row>
    <row r="17" spans="1:15" ht="54" customHeight="1" x14ac:dyDescent="0.3">
      <c r="A17" s="50" t="s">
        <v>86</v>
      </c>
      <c r="B17" s="54">
        <v>2022</v>
      </c>
      <c r="C17" s="58">
        <v>44742</v>
      </c>
      <c r="D17" s="58">
        <v>44742</v>
      </c>
      <c r="E17" s="63">
        <v>62.5</v>
      </c>
      <c r="F17" s="63">
        <v>62.5</v>
      </c>
      <c r="G17" s="64">
        <v>1</v>
      </c>
      <c r="H17" s="60">
        <f t="shared" si="0"/>
        <v>62.5</v>
      </c>
      <c r="I17" s="60">
        <f t="shared" si="1"/>
        <v>0</v>
      </c>
      <c r="J17" s="68" t="str">
        <f t="shared" si="2"/>
        <v>Agrees within report rounding</v>
      </c>
      <c r="K17" s="68" t="s">
        <v>3354</v>
      </c>
      <c r="L17" s="66">
        <v>6.78</v>
      </c>
      <c r="M17" s="66">
        <v>159.59</v>
      </c>
      <c r="N17" s="66">
        <v>1</v>
      </c>
      <c r="O17" s="66">
        <v>438.11911800000001</v>
      </c>
    </row>
    <row r="18" spans="1:15" ht="54" customHeight="1" x14ac:dyDescent="0.3">
      <c r="A18" s="55" t="s">
        <v>86</v>
      </c>
      <c r="B18" s="56">
        <v>2023</v>
      </c>
      <c r="C18" s="57">
        <v>45107</v>
      </c>
      <c r="D18" s="57">
        <v>45104</v>
      </c>
      <c r="E18" s="61">
        <v>51.3</v>
      </c>
      <c r="F18" s="61">
        <v>51.3</v>
      </c>
      <c r="G18" s="62">
        <v>1</v>
      </c>
      <c r="H18" s="59">
        <f t="shared" si="0"/>
        <v>51.3</v>
      </c>
      <c r="I18" s="59">
        <f t="shared" si="1"/>
        <v>0</v>
      </c>
      <c r="J18" s="67" t="str">
        <f t="shared" si="2"/>
        <v>Agrees within report rounding</v>
      </c>
      <c r="K18" s="67" t="s">
        <v>3355</v>
      </c>
      <c r="L18" s="65">
        <v>-8.3000000000000007</v>
      </c>
      <c r="M18" s="65">
        <v>146.52000000000001</v>
      </c>
      <c r="N18" s="65">
        <v>0</v>
      </c>
      <c r="O18" s="65">
        <v>438.11911800000001</v>
      </c>
    </row>
    <row r="19" spans="1:15" ht="54" customHeight="1" x14ac:dyDescent="0.3">
      <c r="A19" s="50" t="s">
        <v>86</v>
      </c>
      <c r="B19" s="54">
        <v>2024</v>
      </c>
      <c r="C19" s="58">
        <v>45473</v>
      </c>
      <c r="D19" s="58">
        <v>45471</v>
      </c>
      <c r="E19" s="63">
        <v>90.27</v>
      </c>
      <c r="F19" s="63">
        <v>90.27</v>
      </c>
      <c r="G19" s="64">
        <v>1</v>
      </c>
      <c r="H19" s="60">
        <f t="shared" si="0"/>
        <v>90.27</v>
      </c>
      <c r="I19" s="60">
        <f t="shared" si="1"/>
        <v>0</v>
      </c>
      <c r="J19" s="68" t="str">
        <f t="shared" si="2"/>
        <v>Agrees within report rounding</v>
      </c>
      <c r="K19" s="68" t="s">
        <v>3356</v>
      </c>
      <c r="L19" s="66">
        <v>1.24</v>
      </c>
      <c r="M19" s="66">
        <v>173.12</v>
      </c>
      <c r="N19" s="66">
        <v>0</v>
      </c>
      <c r="O19" s="66">
        <v>438.11911800000001</v>
      </c>
    </row>
    <row r="20" spans="1:15" ht="54" customHeight="1" x14ac:dyDescent="0.3">
      <c r="A20" s="55" t="s">
        <v>86</v>
      </c>
      <c r="B20" s="56">
        <v>2025</v>
      </c>
      <c r="C20" s="57">
        <v>45838</v>
      </c>
      <c r="D20" s="57">
        <v>45838</v>
      </c>
      <c r="E20" s="61">
        <v>165.56</v>
      </c>
      <c r="F20" s="61">
        <v>165.56</v>
      </c>
      <c r="G20" s="62">
        <v>1</v>
      </c>
      <c r="H20" s="59">
        <f t="shared" si="0"/>
        <v>165.56</v>
      </c>
      <c r="I20" s="59">
        <f t="shared" si="1"/>
        <v>0</v>
      </c>
      <c r="J20" s="67" t="str">
        <f t="shared" si="2"/>
        <v>Agrees within report rounding</v>
      </c>
      <c r="K20" s="67" t="s">
        <v>3354</v>
      </c>
      <c r="L20" s="65">
        <v>19.8</v>
      </c>
      <c r="M20" s="65">
        <v>216.08</v>
      </c>
      <c r="N20" s="65">
        <v>2</v>
      </c>
      <c r="O20" s="65">
        <v>438.11911800000001</v>
      </c>
    </row>
    <row r="21" spans="1:15" ht="54" customHeight="1" x14ac:dyDescent="0.3">
      <c r="A21" s="50" t="s">
        <v>106</v>
      </c>
      <c r="B21" s="54">
        <v>2021</v>
      </c>
      <c r="C21" s="58">
        <v>44377</v>
      </c>
      <c r="D21" s="58">
        <v>44377</v>
      </c>
      <c r="E21" s="63">
        <v>46.98</v>
      </c>
      <c r="F21" s="63">
        <v>46.98</v>
      </c>
      <c r="G21" s="64">
        <v>1</v>
      </c>
      <c r="H21" s="60">
        <f t="shared" si="0"/>
        <v>46.98</v>
      </c>
      <c r="I21" s="60">
        <f t="shared" si="1"/>
        <v>0</v>
      </c>
      <c r="J21" s="68" t="str">
        <f t="shared" si="2"/>
        <v>Agrees within report rounding</v>
      </c>
      <c r="K21" s="68" t="s">
        <v>3354</v>
      </c>
      <c r="L21" s="66">
        <v>5.69</v>
      </c>
      <c r="M21" s="66">
        <v>34.18</v>
      </c>
      <c r="N21" s="66">
        <v>0</v>
      </c>
      <c r="O21" s="66">
        <v>1098.346</v>
      </c>
    </row>
    <row r="22" spans="1:15" ht="54" customHeight="1" x14ac:dyDescent="0.3">
      <c r="A22" s="55" t="s">
        <v>106</v>
      </c>
      <c r="B22" s="56">
        <v>2022</v>
      </c>
      <c r="C22" s="57">
        <v>44742</v>
      </c>
      <c r="D22" s="57">
        <v>44742</v>
      </c>
      <c r="E22" s="61">
        <v>27.35</v>
      </c>
      <c r="F22" s="61">
        <v>27.35</v>
      </c>
      <c r="G22" s="62">
        <v>1</v>
      </c>
      <c r="H22" s="59">
        <f t="shared" si="0"/>
        <v>27.35</v>
      </c>
      <c r="I22" s="59">
        <f t="shared" si="1"/>
        <v>0</v>
      </c>
      <c r="J22" s="67" t="str">
        <f t="shared" si="2"/>
        <v>Agrees within report rounding</v>
      </c>
      <c r="K22" s="67" t="s">
        <v>3354</v>
      </c>
      <c r="L22" s="65">
        <v>3.3</v>
      </c>
      <c r="M22" s="65">
        <v>36.93</v>
      </c>
      <c r="N22" s="65">
        <v>0</v>
      </c>
      <c r="O22" s="65">
        <v>1097.5239999999999</v>
      </c>
    </row>
    <row r="23" spans="1:15" ht="54" customHeight="1" x14ac:dyDescent="0.3">
      <c r="A23" s="50" t="s">
        <v>106</v>
      </c>
      <c r="B23" s="54">
        <v>2023</v>
      </c>
      <c r="C23" s="58">
        <v>45107</v>
      </c>
      <c r="D23" s="58">
        <v>45104</v>
      </c>
      <c r="E23" s="63">
        <v>28.33</v>
      </c>
      <c r="F23" s="63">
        <v>28.33</v>
      </c>
      <c r="G23" s="64">
        <v>1</v>
      </c>
      <c r="H23" s="60">
        <f t="shared" si="0"/>
        <v>28.33</v>
      </c>
      <c r="I23" s="60">
        <f t="shared" si="1"/>
        <v>0</v>
      </c>
      <c r="J23" s="68" t="str">
        <f t="shared" si="2"/>
        <v>Agrees within report rounding</v>
      </c>
      <c r="K23" s="68" t="s">
        <v>3355</v>
      </c>
      <c r="L23" s="66">
        <v>4.18</v>
      </c>
      <c r="M23" s="66">
        <v>41.84</v>
      </c>
      <c r="N23" s="66">
        <v>0</v>
      </c>
      <c r="O23" s="66">
        <v>1073.405</v>
      </c>
    </row>
    <row r="24" spans="1:15" ht="54" customHeight="1" x14ac:dyDescent="0.3">
      <c r="A24" s="55" t="s">
        <v>106</v>
      </c>
      <c r="B24" s="56">
        <v>2024</v>
      </c>
      <c r="C24" s="57">
        <v>45473</v>
      </c>
      <c r="D24" s="57">
        <v>45471</v>
      </c>
      <c r="E24" s="61">
        <v>38</v>
      </c>
      <c r="F24" s="61">
        <v>38</v>
      </c>
      <c r="G24" s="62">
        <v>1</v>
      </c>
      <c r="H24" s="59">
        <f t="shared" si="0"/>
        <v>38</v>
      </c>
      <c r="I24" s="59">
        <f t="shared" si="1"/>
        <v>0</v>
      </c>
      <c r="J24" s="67" t="str">
        <f t="shared" si="2"/>
        <v>Agrees within report rounding</v>
      </c>
      <c r="K24" s="67" t="s">
        <v>3356</v>
      </c>
      <c r="L24" s="65">
        <v>4.9800000000000004</v>
      </c>
      <c r="M24" s="65">
        <v>49.69</v>
      </c>
      <c r="N24" s="65">
        <v>0</v>
      </c>
      <c r="O24" s="65">
        <v>1058.9110000000001</v>
      </c>
    </row>
    <row r="25" spans="1:15" ht="54" customHeight="1" x14ac:dyDescent="0.3">
      <c r="A25" s="50" t="s">
        <v>106</v>
      </c>
      <c r="B25" s="54">
        <v>2025</v>
      </c>
      <c r="C25" s="58">
        <v>45838</v>
      </c>
      <c r="D25" s="58">
        <v>45838</v>
      </c>
      <c r="E25" s="63">
        <v>84.28</v>
      </c>
      <c r="F25" s="63">
        <v>84.28</v>
      </c>
      <c r="G25" s="64">
        <v>1</v>
      </c>
      <c r="H25" s="60">
        <f t="shared" si="0"/>
        <v>84.28</v>
      </c>
      <c r="I25" s="60">
        <f t="shared" si="1"/>
        <v>0</v>
      </c>
      <c r="J25" s="68" t="str">
        <f t="shared" si="2"/>
        <v>Agrees within report rounding</v>
      </c>
      <c r="K25" s="68" t="s">
        <v>3354</v>
      </c>
      <c r="L25" s="66">
        <v>16.260000000000002</v>
      </c>
      <c r="M25" s="66">
        <v>68.22</v>
      </c>
      <c r="N25" s="66">
        <v>0</v>
      </c>
      <c r="O25" s="66">
        <v>1047.5630000000001</v>
      </c>
    </row>
    <row r="26" spans="1:15" ht="54" customHeight="1" x14ac:dyDescent="0.3">
      <c r="A26" s="55" t="s">
        <v>114</v>
      </c>
      <c r="B26" s="56">
        <v>2021</v>
      </c>
      <c r="C26" s="57">
        <v>44377</v>
      </c>
      <c r="D26" s="57">
        <v>44377</v>
      </c>
      <c r="E26" s="61">
        <v>23</v>
      </c>
      <c r="F26" s="61">
        <v>23</v>
      </c>
      <c r="G26" s="62">
        <v>1</v>
      </c>
      <c r="H26" s="59">
        <f t="shared" si="0"/>
        <v>23</v>
      </c>
      <c r="I26" s="59">
        <f t="shared" si="1"/>
        <v>0</v>
      </c>
      <c r="J26" s="67" t="str">
        <f t="shared" si="2"/>
        <v>Agrees within report rounding</v>
      </c>
      <c r="K26" s="67" t="s">
        <v>3354</v>
      </c>
      <c r="L26" s="65">
        <v>2.52</v>
      </c>
      <c r="M26" s="65">
        <v>16.87</v>
      </c>
      <c r="N26" s="65">
        <v>0</v>
      </c>
      <c r="O26" s="65">
        <v>1379.8150000000001</v>
      </c>
    </row>
    <row r="27" spans="1:15" ht="54" customHeight="1" x14ac:dyDescent="0.3">
      <c r="A27" s="50" t="s">
        <v>114</v>
      </c>
      <c r="B27" s="54">
        <v>2022</v>
      </c>
      <c r="C27" s="58">
        <v>44742</v>
      </c>
      <c r="D27" s="58">
        <v>44742</v>
      </c>
      <c r="E27" s="63">
        <v>14.17</v>
      </c>
      <c r="F27" s="63">
        <v>14.17</v>
      </c>
      <c r="G27" s="64">
        <v>1</v>
      </c>
      <c r="H27" s="60">
        <f t="shared" si="0"/>
        <v>14.17</v>
      </c>
      <c r="I27" s="60">
        <f t="shared" si="1"/>
        <v>0</v>
      </c>
      <c r="J27" s="68" t="str">
        <f t="shared" si="2"/>
        <v>Agrees within report rounding</v>
      </c>
      <c r="K27" s="68" t="s">
        <v>3354</v>
      </c>
      <c r="L27" s="66">
        <v>3.02</v>
      </c>
      <c r="M27" s="66">
        <v>26.48</v>
      </c>
      <c r="N27" s="66">
        <v>0</v>
      </c>
      <c r="O27" s="66">
        <v>2353.5390000000002</v>
      </c>
    </row>
    <row r="28" spans="1:15" ht="54" customHeight="1" x14ac:dyDescent="0.3">
      <c r="A28" s="55" t="s">
        <v>114</v>
      </c>
      <c r="B28" s="56">
        <v>2023</v>
      </c>
      <c r="C28" s="57">
        <v>45107</v>
      </c>
      <c r="D28" s="57">
        <v>45104</v>
      </c>
      <c r="E28" s="61">
        <v>11.76</v>
      </c>
      <c r="F28" s="61">
        <v>11.76</v>
      </c>
      <c r="G28" s="62">
        <v>1</v>
      </c>
      <c r="H28" s="59">
        <f t="shared" si="0"/>
        <v>11.76</v>
      </c>
      <c r="I28" s="59">
        <f t="shared" si="1"/>
        <v>0</v>
      </c>
      <c r="J28" s="67" t="str">
        <f t="shared" si="2"/>
        <v>Agrees within report rounding</v>
      </c>
      <c r="K28" s="67" t="s">
        <v>3355</v>
      </c>
      <c r="L28" s="65">
        <v>3.16</v>
      </c>
      <c r="M28" s="65">
        <v>26.57</v>
      </c>
      <c r="N28" s="65">
        <v>0</v>
      </c>
      <c r="O28" s="65">
        <v>2353.5390000000002</v>
      </c>
    </row>
    <row r="29" spans="1:15" ht="54" customHeight="1" x14ac:dyDescent="0.3">
      <c r="A29" s="50" t="s">
        <v>114</v>
      </c>
      <c r="B29" s="54">
        <v>2024</v>
      </c>
      <c r="C29" s="58">
        <v>45473</v>
      </c>
      <c r="D29" s="58">
        <v>45471</v>
      </c>
      <c r="E29" s="63">
        <v>22.91</v>
      </c>
      <c r="F29" s="63">
        <v>22.91</v>
      </c>
      <c r="G29" s="64">
        <v>1</v>
      </c>
      <c r="H29" s="60">
        <f t="shared" si="0"/>
        <v>22.91</v>
      </c>
      <c r="I29" s="60">
        <f t="shared" si="1"/>
        <v>0</v>
      </c>
      <c r="J29" s="68" t="str">
        <f t="shared" si="2"/>
        <v>Agrees within report rounding</v>
      </c>
      <c r="K29" s="68" t="s">
        <v>3356</v>
      </c>
      <c r="L29" s="66">
        <v>3.35</v>
      </c>
      <c r="M29" s="66">
        <v>29.92</v>
      </c>
      <c r="N29" s="66">
        <v>1</v>
      </c>
      <c r="O29" s="66">
        <v>2452.8470000000002</v>
      </c>
    </row>
    <row r="30" spans="1:15" ht="54" customHeight="1" x14ac:dyDescent="0.3">
      <c r="A30" s="55" t="s">
        <v>114</v>
      </c>
      <c r="B30" s="56">
        <v>2025</v>
      </c>
      <c r="C30" s="57">
        <v>45838</v>
      </c>
      <c r="D30" s="57">
        <v>45838</v>
      </c>
      <c r="E30" s="61">
        <v>44.67</v>
      </c>
      <c r="F30" s="61">
        <v>44.67</v>
      </c>
      <c r="G30" s="62">
        <v>1</v>
      </c>
      <c r="H30" s="59">
        <f t="shared" si="0"/>
        <v>44.67</v>
      </c>
      <c r="I30" s="59">
        <f t="shared" si="1"/>
        <v>0</v>
      </c>
      <c r="J30" s="67" t="str">
        <f t="shared" si="2"/>
        <v>Agrees within report rounding</v>
      </c>
      <c r="K30" s="67" t="s">
        <v>3354</v>
      </c>
      <c r="L30" s="65">
        <v>5.43</v>
      </c>
      <c r="M30" s="65">
        <v>34.36</v>
      </c>
      <c r="N30" s="65">
        <v>1.25</v>
      </c>
      <c r="O30" s="65">
        <v>2452.8470000000002</v>
      </c>
    </row>
  </sheetData>
  <conditionalFormatting sqref="I6:I30">
    <cfRule type="cellIs" dxfId="0" priority="1" operator="greaterThan">
      <formula>0.03</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30"/>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2" width="11" customWidth="1"/>
    <col min="3" max="17" width="17" customWidth="1"/>
    <col min="18" max="18" width="100" customWidth="1"/>
    <col min="19" max="19" width="17" customWidth="1"/>
    <col min="20" max="20" width="46" customWidth="1"/>
    <col min="21" max="21" width="90" customWidth="1"/>
  </cols>
  <sheetData>
    <row r="1" spans="1:21" ht="24" customHeight="1" x14ac:dyDescent="0.3">
      <c r="A1" s="50"/>
      <c r="B1" s="50"/>
      <c r="C1" s="50"/>
      <c r="D1" s="50"/>
      <c r="E1" s="50"/>
      <c r="F1" s="50"/>
      <c r="G1" s="50"/>
      <c r="H1" s="50"/>
      <c r="I1" s="50"/>
      <c r="J1" s="50"/>
      <c r="K1" s="50"/>
      <c r="L1" s="50"/>
      <c r="M1" s="50"/>
      <c r="N1" s="50"/>
      <c r="O1" s="50"/>
      <c r="P1" s="50"/>
      <c r="Q1" s="50"/>
      <c r="R1" s="50"/>
      <c r="S1" s="50"/>
      <c r="T1" s="50"/>
      <c r="U1" s="50"/>
    </row>
    <row r="2" spans="1:21" ht="24" customHeight="1" x14ac:dyDescent="0.3">
      <c r="A2" s="51" t="s">
        <v>3357</v>
      </c>
      <c r="B2" s="50"/>
      <c r="C2" s="50"/>
      <c r="D2" s="50"/>
      <c r="E2" s="50"/>
      <c r="F2" s="50"/>
      <c r="G2" s="50"/>
      <c r="H2" s="50"/>
      <c r="I2" s="50"/>
      <c r="J2" s="50"/>
      <c r="K2" s="50"/>
      <c r="L2" s="50"/>
      <c r="M2" s="50"/>
      <c r="N2" s="50"/>
      <c r="O2" s="50"/>
      <c r="P2" s="50"/>
      <c r="Q2" s="50"/>
      <c r="R2" s="50"/>
      <c r="S2" s="50"/>
      <c r="T2" s="50"/>
      <c r="U2" s="50"/>
    </row>
    <row r="3" spans="1:21" ht="24" customHeight="1" x14ac:dyDescent="0.3">
      <c r="A3" s="52" t="s">
        <v>3358</v>
      </c>
      <c r="B3" s="50"/>
      <c r="C3" s="50"/>
      <c r="D3" s="50"/>
      <c r="E3" s="50"/>
      <c r="F3" s="50"/>
      <c r="G3" s="50"/>
      <c r="H3" s="50"/>
      <c r="I3" s="50"/>
      <c r="J3" s="50"/>
      <c r="K3" s="50"/>
      <c r="L3" s="50"/>
      <c r="M3" s="50"/>
      <c r="N3" s="50"/>
      <c r="O3" s="50"/>
      <c r="P3" s="50"/>
      <c r="Q3" s="50"/>
      <c r="R3" s="50"/>
      <c r="S3" s="50"/>
      <c r="T3" s="50"/>
      <c r="U3" s="50"/>
    </row>
    <row r="4" spans="1:21" ht="24" customHeight="1" x14ac:dyDescent="0.3">
      <c r="A4" s="50"/>
      <c r="B4" s="50"/>
      <c r="C4" s="50"/>
      <c r="D4" s="50"/>
      <c r="E4" s="50"/>
      <c r="F4" s="50"/>
      <c r="G4" s="50"/>
      <c r="H4" s="50"/>
      <c r="I4" s="50"/>
      <c r="J4" s="50"/>
      <c r="K4" s="50"/>
      <c r="L4" s="50"/>
      <c r="M4" s="50"/>
      <c r="N4" s="50"/>
      <c r="O4" s="50"/>
      <c r="P4" s="50"/>
      <c r="Q4" s="50"/>
      <c r="R4" s="50"/>
      <c r="S4" s="50"/>
      <c r="T4" s="50"/>
      <c r="U4" s="50"/>
    </row>
    <row r="5" spans="1:21" ht="43.95" customHeight="1" x14ac:dyDescent="0.3">
      <c r="A5" s="53" t="s">
        <v>1</v>
      </c>
      <c r="B5" s="53" t="s">
        <v>3</v>
      </c>
      <c r="C5" s="53" t="s">
        <v>3359</v>
      </c>
      <c r="D5" s="53" t="s">
        <v>3353</v>
      </c>
      <c r="E5" s="53" t="s">
        <v>3360</v>
      </c>
      <c r="F5" s="53" t="s">
        <v>3361</v>
      </c>
      <c r="G5" s="53" t="s">
        <v>3362</v>
      </c>
      <c r="H5" s="53" t="s">
        <v>3363</v>
      </c>
      <c r="I5" s="53" t="s">
        <v>3364</v>
      </c>
      <c r="J5" s="53" t="s">
        <v>3365</v>
      </c>
      <c r="K5" s="53" t="s">
        <v>3366</v>
      </c>
      <c r="L5" s="53" t="s">
        <v>3367</v>
      </c>
      <c r="M5" s="53" t="s">
        <v>3368</v>
      </c>
      <c r="N5" s="53" t="s">
        <v>3369</v>
      </c>
      <c r="O5" s="53" t="s">
        <v>3370</v>
      </c>
      <c r="P5" s="53" t="s">
        <v>3371</v>
      </c>
      <c r="Q5" s="53" t="s">
        <v>104</v>
      </c>
      <c r="R5" s="53" t="s">
        <v>3372</v>
      </c>
      <c r="S5" s="53" t="s">
        <v>1092</v>
      </c>
      <c r="T5" s="53" t="s">
        <v>3373</v>
      </c>
      <c r="U5" s="53" t="s">
        <v>3374</v>
      </c>
    </row>
    <row r="6" spans="1:21" ht="78" customHeight="1" x14ac:dyDescent="0.3">
      <c r="A6" s="55" t="s">
        <v>18</v>
      </c>
      <c r="B6" s="56">
        <v>2021</v>
      </c>
      <c r="C6" s="73">
        <v>10</v>
      </c>
      <c r="D6" s="69">
        <v>200.86129700000001</v>
      </c>
      <c r="E6" s="56">
        <v>1</v>
      </c>
      <c r="F6" s="70">
        <f>KOHC!D129</f>
        <v>200.86129700000001</v>
      </c>
      <c r="G6" s="70">
        <f>KOHC!D128</f>
        <v>200.86129699999998</v>
      </c>
      <c r="H6" s="70">
        <f>KOHC!D135</f>
        <v>0</v>
      </c>
      <c r="I6" s="75">
        <f>KOHC!D131</f>
        <v>0</v>
      </c>
      <c r="J6" s="76">
        <v>17.41</v>
      </c>
      <c r="K6" s="76">
        <v>1</v>
      </c>
      <c r="L6" s="75">
        <f>KOHC!D99/KOHC!D129</f>
        <v>17.412549352402124</v>
      </c>
      <c r="M6" s="76">
        <f t="shared" ref="M6:M30" si="0">J6*K6</f>
        <v>17.41</v>
      </c>
      <c r="N6" s="76">
        <f t="shared" ref="N6:N30" si="1">L6-M6</f>
        <v>2.5493524021236169E-3</v>
      </c>
      <c r="O6" s="75">
        <f>KOHC!D172</f>
        <v>11.858688571154802</v>
      </c>
      <c r="P6" s="75">
        <f>KOHC!D170</f>
        <v>1.8663025958706099</v>
      </c>
      <c r="Q6" s="79">
        <f>KOHC!D173</f>
        <v>0</v>
      </c>
      <c r="R6" s="67" t="s">
        <v>3375</v>
      </c>
      <c r="S6" s="56">
        <v>86</v>
      </c>
      <c r="T6" s="55" t="s">
        <v>1104</v>
      </c>
      <c r="U6" s="55" t="s">
        <v>3376</v>
      </c>
    </row>
    <row r="7" spans="1:21" ht="78" customHeight="1" x14ac:dyDescent="0.3">
      <c r="A7" s="50" t="s">
        <v>18</v>
      </c>
      <c r="B7" s="54">
        <v>2022</v>
      </c>
      <c r="C7" s="74">
        <v>10</v>
      </c>
      <c r="D7" s="71">
        <v>200.86129700000001</v>
      </c>
      <c r="E7" s="54">
        <v>1</v>
      </c>
      <c r="F7" s="72">
        <f>KOHC!E129</f>
        <v>200.86129700000001</v>
      </c>
      <c r="G7" s="72">
        <f>KOHC!E128</f>
        <v>200.86129699999998</v>
      </c>
      <c r="H7" s="72">
        <f>KOHC!E135</f>
        <v>0</v>
      </c>
      <c r="I7" s="77">
        <f>KOHC!E131</f>
        <v>0</v>
      </c>
      <c r="J7" s="78">
        <v>25.01</v>
      </c>
      <c r="K7" s="78">
        <v>1</v>
      </c>
      <c r="L7" s="77">
        <f>KOHC!E99/KOHC!E129</f>
        <v>25.013680261160516</v>
      </c>
      <c r="M7" s="78">
        <f t="shared" si="0"/>
        <v>25.01</v>
      </c>
      <c r="N7" s="78">
        <f t="shared" si="1"/>
        <v>3.6802611605146751E-3</v>
      </c>
      <c r="O7" s="77">
        <f>KOHC!E172</f>
        <v>5.2023532179731546</v>
      </c>
      <c r="P7" s="77">
        <f>KOHC!E170</f>
        <v>0.95932868328175702</v>
      </c>
      <c r="Q7" s="80">
        <f>KOHC!E173</f>
        <v>0</v>
      </c>
      <c r="R7" s="68" t="s">
        <v>3375</v>
      </c>
      <c r="S7" s="54">
        <v>94</v>
      </c>
      <c r="T7" s="50" t="s">
        <v>1112</v>
      </c>
      <c r="U7" s="50" t="s">
        <v>3377</v>
      </c>
    </row>
    <row r="8" spans="1:21" ht="78" customHeight="1" x14ac:dyDescent="0.3">
      <c r="A8" s="55" t="s">
        <v>18</v>
      </c>
      <c r="B8" s="56">
        <v>2023</v>
      </c>
      <c r="C8" s="73">
        <v>10</v>
      </c>
      <c r="D8" s="69">
        <v>200.86129700000001</v>
      </c>
      <c r="E8" s="56">
        <v>1</v>
      </c>
      <c r="F8" s="70">
        <f>KOHC!F129</f>
        <v>200.86129700000001</v>
      </c>
      <c r="G8" s="70">
        <f>KOHC!F128</f>
        <v>200.86129699999998</v>
      </c>
      <c r="H8" s="70">
        <f>KOHC!F135</f>
        <v>0</v>
      </c>
      <c r="I8" s="75">
        <f>KOHC!F131</f>
        <v>0</v>
      </c>
      <c r="J8" s="76">
        <v>28.98</v>
      </c>
      <c r="K8" s="76">
        <v>1</v>
      </c>
      <c r="L8" s="75">
        <f>KOHC!F99/KOHC!F129</f>
        <v>28.978958275869324</v>
      </c>
      <c r="M8" s="76">
        <f t="shared" si="0"/>
        <v>28.98</v>
      </c>
      <c r="N8" s="76">
        <f t="shared" si="1"/>
        <v>-1.0417241306761582E-3</v>
      </c>
      <c r="O8" s="75">
        <f>KOHC!F172</f>
        <v>5.9860674889907219</v>
      </c>
      <c r="P8" s="75">
        <f>KOHC!F170</f>
        <v>1.0684870021034203</v>
      </c>
      <c r="Q8" s="79">
        <f>KOHC!F173</f>
        <v>0</v>
      </c>
      <c r="R8" s="67" t="s">
        <v>3375</v>
      </c>
      <c r="S8" s="56">
        <v>92</v>
      </c>
      <c r="T8" s="55" t="s">
        <v>1116</v>
      </c>
      <c r="U8" s="55" t="s">
        <v>3378</v>
      </c>
    </row>
    <row r="9" spans="1:21" ht="78" customHeight="1" x14ac:dyDescent="0.3">
      <c r="A9" s="50" t="s">
        <v>18</v>
      </c>
      <c r="B9" s="54">
        <v>2024</v>
      </c>
      <c r="C9" s="74">
        <v>10</v>
      </c>
      <c r="D9" s="71">
        <v>196.435067</v>
      </c>
      <c r="E9" s="54">
        <v>1</v>
      </c>
      <c r="F9" s="72">
        <f>KOHC!G129</f>
        <v>196.435067</v>
      </c>
      <c r="G9" s="72">
        <f>KOHC!G128</f>
        <v>195.86129699999998</v>
      </c>
      <c r="H9" s="72">
        <f>KOHC!G135</f>
        <v>0</v>
      </c>
      <c r="I9" s="77">
        <f>KOHC!G131</f>
        <v>0</v>
      </c>
      <c r="J9" s="78">
        <v>45.27</v>
      </c>
      <c r="K9" s="78">
        <v>1</v>
      </c>
      <c r="L9" s="77">
        <f>KOHC!G99/KOHC!G129</f>
        <v>45.274272678614977</v>
      </c>
      <c r="M9" s="78">
        <f t="shared" si="0"/>
        <v>45.27</v>
      </c>
      <c r="N9" s="78">
        <f t="shared" si="1"/>
        <v>4.2726786149742679E-3</v>
      </c>
      <c r="O9" s="77">
        <f>KOHC!G172</f>
        <v>5.5313975285193058</v>
      </c>
      <c r="P9" s="77">
        <f>KOHC!G170</f>
        <v>1.1937011482475723</v>
      </c>
      <c r="Q9" s="80">
        <f>KOHC!G173</f>
        <v>0</v>
      </c>
      <c r="R9" s="68" t="s">
        <v>3379</v>
      </c>
      <c r="S9" s="54">
        <v>101</v>
      </c>
      <c r="T9" s="50" t="s">
        <v>1119</v>
      </c>
      <c r="U9" s="50" t="s">
        <v>3380</v>
      </c>
    </row>
    <row r="10" spans="1:21" ht="78" customHeight="1" x14ac:dyDescent="0.3">
      <c r="A10" s="55" t="s">
        <v>18</v>
      </c>
      <c r="B10" s="56">
        <v>2025</v>
      </c>
      <c r="C10" s="73">
        <v>10</v>
      </c>
      <c r="D10" s="69">
        <v>967.14210100000003</v>
      </c>
      <c r="E10" s="56">
        <v>5</v>
      </c>
      <c r="F10" s="70">
        <f>KOHC!H129</f>
        <v>193.42841999999999</v>
      </c>
      <c r="G10" s="70">
        <f>KOHC!H128</f>
        <v>183.86129699999998</v>
      </c>
      <c r="H10" s="70">
        <f>KOHC!H135</f>
        <v>0</v>
      </c>
      <c r="I10" s="75">
        <f>KOHC!H131</f>
        <v>0</v>
      </c>
      <c r="J10" s="76">
        <v>11.97</v>
      </c>
      <c r="K10" s="76">
        <v>5</v>
      </c>
      <c r="L10" s="75">
        <f>KOHC!H99/KOHC!H129</f>
        <v>59.842054600869929</v>
      </c>
      <c r="M10" s="76">
        <f t="shared" si="0"/>
        <v>59.85</v>
      </c>
      <c r="N10" s="76">
        <f t="shared" si="1"/>
        <v>-7.9453991300724169E-3</v>
      </c>
      <c r="O10" s="75">
        <f>KOHC!H172</f>
        <v>6.3393545313613817</v>
      </c>
      <c r="P10" s="75">
        <f>KOHC!H170</f>
        <v>1.4544747850514033</v>
      </c>
      <c r="Q10" s="79">
        <f>KOHC!H173</f>
        <v>0</v>
      </c>
      <c r="R10" s="67" t="s">
        <v>3381</v>
      </c>
      <c r="S10" s="56">
        <v>109</v>
      </c>
      <c r="T10" s="55" t="s">
        <v>1123</v>
      </c>
      <c r="U10" s="55" t="s">
        <v>3382</v>
      </c>
    </row>
    <row r="11" spans="1:21" ht="78" customHeight="1" x14ac:dyDescent="0.3">
      <c r="A11" s="50" t="s">
        <v>68</v>
      </c>
      <c r="B11" s="54">
        <v>2021</v>
      </c>
      <c r="C11" s="74">
        <v>10</v>
      </c>
      <c r="D11" s="71">
        <v>323.375</v>
      </c>
      <c r="E11" s="54">
        <v>1</v>
      </c>
      <c r="F11" s="72">
        <f>LUCK!D129</f>
        <v>323.375</v>
      </c>
      <c r="G11" s="72">
        <f>LUCK!D128</f>
        <v>323.375</v>
      </c>
      <c r="H11" s="72">
        <f>LUCK!D135</f>
        <v>0</v>
      </c>
      <c r="I11" s="77">
        <f>LUCK!D131</f>
        <v>0</v>
      </c>
      <c r="J11" s="78">
        <v>43.51</v>
      </c>
      <c r="K11" s="78">
        <v>1</v>
      </c>
      <c r="L11" s="77">
        <f>LUCK!D99/LUCK!D129</f>
        <v>43.510441437959038</v>
      </c>
      <c r="M11" s="78">
        <f t="shared" si="0"/>
        <v>43.51</v>
      </c>
      <c r="N11" s="78">
        <f t="shared" si="1"/>
        <v>4.4143795904005856E-4</v>
      </c>
      <c r="O11" s="77">
        <f>LUCK!D172</f>
        <v>19.844432082610968</v>
      </c>
      <c r="P11" s="77">
        <f>LUCK!D170</f>
        <v>2.4665571875286716</v>
      </c>
      <c r="Q11" s="80">
        <f>LUCK!D173</f>
        <v>0</v>
      </c>
      <c r="R11" s="68" t="s">
        <v>3375</v>
      </c>
      <c r="S11" s="54">
        <v>222</v>
      </c>
      <c r="T11" s="50" t="s">
        <v>1584</v>
      </c>
      <c r="U11" s="50" t="s">
        <v>3383</v>
      </c>
    </row>
    <row r="12" spans="1:21" ht="78" customHeight="1" x14ac:dyDescent="0.3">
      <c r="A12" s="55" t="s">
        <v>68</v>
      </c>
      <c r="B12" s="56">
        <v>2022</v>
      </c>
      <c r="C12" s="73">
        <v>10</v>
      </c>
      <c r="D12" s="69">
        <v>323.375</v>
      </c>
      <c r="E12" s="56">
        <v>1</v>
      </c>
      <c r="F12" s="70">
        <f>LUCK!E129</f>
        <v>323.375</v>
      </c>
      <c r="G12" s="70">
        <f>LUCK!E128</f>
        <v>323.375</v>
      </c>
      <c r="H12" s="70">
        <f>LUCK!E135</f>
        <v>0</v>
      </c>
      <c r="I12" s="75">
        <f>LUCK!E131</f>
        <v>0</v>
      </c>
      <c r="J12" s="76">
        <v>47.31</v>
      </c>
      <c r="K12" s="76">
        <v>1</v>
      </c>
      <c r="L12" s="75">
        <f>LUCK!E99/LUCK!E129</f>
        <v>47.309216853498242</v>
      </c>
      <c r="M12" s="76">
        <f t="shared" si="0"/>
        <v>47.31</v>
      </c>
      <c r="N12" s="76">
        <f t="shared" si="1"/>
        <v>-7.831465017602568E-4</v>
      </c>
      <c r="O12" s="75">
        <f>LUCK!E172</f>
        <v>9.7029718632101325</v>
      </c>
      <c r="P12" s="75">
        <f>LUCK!E170</f>
        <v>1.1548287368561481</v>
      </c>
      <c r="Q12" s="79">
        <f>LUCK!E173</f>
        <v>0</v>
      </c>
      <c r="R12" s="67" t="s">
        <v>3375</v>
      </c>
      <c r="S12" s="56">
        <v>258</v>
      </c>
      <c r="T12" s="55" t="s">
        <v>1589</v>
      </c>
      <c r="U12" s="55" t="s">
        <v>3383</v>
      </c>
    </row>
    <row r="13" spans="1:21" ht="78" customHeight="1" x14ac:dyDescent="0.3">
      <c r="A13" s="50" t="s">
        <v>68</v>
      </c>
      <c r="B13" s="54">
        <v>2023</v>
      </c>
      <c r="C13" s="74">
        <v>10</v>
      </c>
      <c r="D13" s="71">
        <v>318.74900000000002</v>
      </c>
      <c r="E13" s="54">
        <v>1</v>
      </c>
      <c r="F13" s="72">
        <f>LUCK!F129</f>
        <v>318.74900000000002</v>
      </c>
      <c r="G13" s="72">
        <f>LUCK!F128</f>
        <v>311.83859999999999</v>
      </c>
      <c r="H13" s="72">
        <f>LUCK!F135</f>
        <v>0</v>
      </c>
      <c r="I13" s="77">
        <f>LUCK!F131</f>
        <v>18</v>
      </c>
      <c r="J13" s="78">
        <v>43.06</v>
      </c>
      <c r="K13" s="78">
        <v>1</v>
      </c>
      <c r="L13" s="77">
        <f>LUCK!F99/LUCK!F129</f>
        <v>43.061512349842658</v>
      </c>
      <c r="M13" s="78">
        <f t="shared" si="0"/>
        <v>43.06</v>
      </c>
      <c r="N13" s="78">
        <f t="shared" si="1"/>
        <v>1.5123498426561355E-3</v>
      </c>
      <c r="O13" s="77">
        <f>LUCK!F172</f>
        <v>12.124283879265743</v>
      </c>
      <c r="P13" s="77">
        <f>LUCK!F170</f>
        <v>1.1852090640758639</v>
      </c>
      <c r="Q13" s="80">
        <f>LUCK!F173</f>
        <v>3.4476814342354764E-2</v>
      </c>
      <c r="R13" s="68" t="s">
        <v>3384</v>
      </c>
      <c r="S13" s="54">
        <v>266</v>
      </c>
      <c r="T13" s="50" t="s">
        <v>1592</v>
      </c>
      <c r="U13" s="50" t="s">
        <v>3383</v>
      </c>
    </row>
    <row r="14" spans="1:21" ht="78" customHeight="1" x14ac:dyDescent="0.3">
      <c r="A14" s="55" t="s">
        <v>68</v>
      </c>
      <c r="B14" s="56">
        <v>2024</v>
      </c>
      <c r="C14" s="73">
        <v>10</v>
      </c>
      <c r="D14" s="69">
        <v>297.29599999999999</v>
      </c>
      <c r="E14" s="56">
        <v>1</v>
      </c>
      <c r="F14" s="70">
        <f>LUCK!G129</f>
        <v>297.29599999999999</v>
      </c>
      <c r="G14" s="70">
        <f>LUCK!G128</f>
        <v>293</v>
      </c>
      <c r="H14" s="70">
        <f>LUCK!G135</f>
        <v>0</v>
      </c>
      <c r="I14" s="75">
        <f>LUCK!G131</f>
        <v>15</v>
      </c>
      <c r="J14" s="76">
        <v>94.54</v>
      </c>
      <c r="K14" s="76">
        <v>1</v>
      </c>
      <c r="L14" s="75">
        <f>LUCK!G99/LUCK!G129</f>
        <v>94.540589177116431</v>
      </c>
      <c r="M14" s="76">
        <f t="shared" si="0"/>
        <v>94.54</v>
      </c>
      <c r="N14" s="76">
        <f t="shared" si="1"/>
        <v>5.8917711642436643E-4</v>
      </c>
      <c r="O14" s="75">
        <f>LUCK!G172</f>
        <v>9.5909070156236584</v>
      </c>
      <c r="P14" s="75">
        <f>LUCK!G170</f>
        <v>1.7979804681845026</v>
      </c>
      <c r="Q14" s="79">
        <f>LUCK!G173</f>
        <v>1.6542962072502287E-2</v>
      </c>
      <c r="R14" s="67" t="s">
        <v>3375</v>
      </c>
      <c r="S14" s="56">
        <v>271</v>
      </c>
      <c r="T14" s="55" t="s">
        <v>1595</v>
      </c>
      <c r="U14" s="55" t="s">
        <v>3383</v>
      </c>
    </row>
    <row r="15" spans="1:21" ht="78" customHeight="1" x14ac:dyDescent="0.3">
      <c r="A15" s="50" t="s">
        <v>68</v>
      </c>
      <c r="B15" s="54">
        <v>2025</v>
      </c>
      <c r="C15" s="74">
        <v>2</v>
      </c>
      <c r="D15" s="71">
        <v>1465</v>
      </c>
      <c r="E15" s="54">
        <v>1</v>
      </c>
      <c r="F15" s="72">
        <f>LUCK!H129</f>
        <v>1465</v>
      </c>
      <c r="G15" s="72">
        <f>LUCK!H128</f>
        <v>1465</v>
      </c>
      <c r="H15" s="72">
        <f>LUCK!H135</f>
        <v>0</v>
      </c>
      <c r="I15" s="77">
        <f>LUCK!H131</f>
        <v>4</v>
      </c>
      <c r="J15" s="78">
        <v>22.59</v>
      </c>
      <c r="K15" s="78">
        <v>1</v>
      </c>
      <c r="L15" s="77">
        <f>LUCK!H99/LUCK!H129</f>
        <v>22.588506484641641</v>
      </c>
      <c r="M15" s="78">
        <f t="shared" si="0"/>
        <v>22.59</v>
      </c>
      <c r="N15" s="78">
        <f t="shared" si="1"/>
        <v>-1.4935153583586214E-3</v>
      </c>
      <c r="O15" s="77">
        <f>LUCK!H172</f>
        <v>15.726582022655393</v>
      </c>
      <c r="P15" s="77">
        <f>LUCK!H170</f>
        <v>2.9584754511387614</v>
      </c>
      <c r="Q15" s="80">
        <f>LUCK!H173</f>
        <v>1.1259993244004052E-2</v>
      </c>
      <c r="R15" s="68" t="s">
        <v>3375</v>
      </c>
      <c r="S15" s="54">
        <v>274</v>
      </c>
      <c r="T15" s="50" t="s">
        <v>1598</v>
      </c>
      <c r="U15" s="50" t="s">
        <v>3385</v>
      </c>
    </row>
    <row r="16" spans="1:21" ht="78" customHeight="1" x14ac:dyDescent="0.3">
      <c r="A16" s="55" t="s">
        <v>86</v>
      </c>
      <c r="B16" s="56">
        <v>2021</v>
      </c>
      <c r="C16" s="73">
        <v>10</v>
      </c>
      <c r="D16" s="69">
        <v>438.11911800000001</v>
      </c>
      <c r="E16" s="56">
        <v>1</v>
      </c>
      <c r="F16" s="70">
        <f>DGKC!D129</f>
        <v>438.11911800000001</v>
      </c>
      <c r="G16" s="70">
        <f>DGKC!D128</f>
        <v>438.1191</v>
      </c>
      <c r="H16" s="70">
        <f>DGKC!D135</f>
        <v>0</v>
      </c>
      <c r="I16" s="75">
        <f>DGKC!D131</f>
        <v>1</v>
      </c>
      <c r="J16" s="76">
        <v>8.49</v>
      </c>
      <c r="K16" s="76">
        <v>1</v>
      </c>
      <c r="L16" s="75">
        <f>DGKC!D99/DGKC!D129</f>
        <v>8.4937471274650029</v>
      </c>
      <c r="M16" s="76">
        <f t="shared" si="0"/>
        <v>8.49</v>
      </c>
      <c r="N16" s="76">
        <f t="shared" si="1"/>
        <v>3.7471274650027198E-3</v>
      </c>
      <c r="O16" s="75">
        <f>DGKC!D172</f>
        <v>13.883154069739035</v>
      </c>
      <c r="P16" s="75">
        <f>DGKC!D170</f>
        <v>0.7031096868032638</v>
      </c>
      <c r="Q16" s="79">
        <f>DGKC!D173</f>
        <v>8.4803256445047485E-3</v>
      </c>
      <c r="R16" s="67" t="s">
        <v>3375</v>
      </c>
      <c r="S16" s="56">
        <v>155</v>
      </c>
      <c r="T16" s="55" t="s">
        <v>2031</v>
      </c>
      <c r="U16" s="55" t="s">
        <v>3386</v>
      </c>
    </row>
    <row r="17" spans="1:21" ht="78" customHeight="1" x14ac:dyDescent="0.3">
      <c r="A17" s="50" t="s">
        <v>86</v>
      </c>
      <c r="B17" s="54">
        <v>2022</v>
      </c>
      <c r="C17" s="74">
        <v>10</v>
      </c>
      <c r="D17" s="71">
        <v>438.11911800000001</v>
      </c>
      <c r="E17" s="54">
        <v>1</v>
      </c>
      <c r="F17" s="72">
        <f>DGKC!E129</f>
        <v>438.11911800000001</v>
      </c>
      <c r="G17" s="72">
        <f>DGKC!E128</f>
        <v>438.1191</v>
      </c>
      <c r="H17" s="72">
        <f>DGKC!E135</f>
        <v>0</v>
      </c>
      <c r="I17" s="77">
        <f>DGKC!E131</f>
        <v>1</v>
      </c>
      <c r="J17" s="78">
        <v>6.78</v>
      </c>
      <c r="K17" s="78">
        <v>1</v>
      </c>
      <c r="L17" s="77">
        <f>DGKC!E99/DGKC!E129</f>
        <v>6.7838445707817723</v>
      </c>
      <c r="M17" s="78">
        <f t="shared" si="0"/>
        <v>6.78</v>
      </c>
      <c r="N17" s="78">
        <f t="shared" si="1"/>
        <v>3.8445707817720276E-3</v>
      </c>
      <c r="O17" s="77">
        <f>DGKC!E172</f>
        <v>9.2130648554640278</v>
      </c>
      <c r="P17" s="77">
        <f>DGKC!E170</f>
        <v>0.39163597075332512</v>
      </c>
      <c r="Q17" s="80">
        <f>DGKC!E173</f>
        <v>1.6E-2</v>
      </c>
      <c r="R17" s="68" t="s">
        <v>3375</v>
      </c>
      <c r="S17" s="54">
        <v>177</v>
      </c>
      <c r="T17" s="50" t="s">
        <v>2035</v>
      </c>
      <c r="U17" s="50" t="s">
        <v>3387</v>
      </c>
    </row>
    <row r="18" spans="1:21" ht="78" customHeight="1" x14ac:dyDescent="0.3">
      <c r="A18" s="55" t="s">
        <v>86</v>
      </c>
      <c r="B18" s="56">
        <v>2023</v>
      </c>
      <c r="C18" s="73">
        <v>10</v>
      </c>
      <c r="D18" s="69">
        <v>438.11911800000001</v>
      </c>
      <c r="E18" s="56">
        <v>1</v>
      </c>
      <c r="F18" s="70">
        <f>DGKC!F129</f>
        <v>438.11911800000001</v>
      </c>
      <c r="G18" s="70">
        <f>DGKC!F128</f>
        <v>438.1191</v>
      </c>
      <c r="H18" s="70">
        <f>DGKC!F135</f>
        <v>0</v>
      </c>
      <c r="I18" s="75">
        <f>DGKC!F131</f>
        <v>0</v>
      </c>
      <c r="J18" s="76">
        <v>-8.3000000000000007</v>
      </c>
      <c r="K18" s="76">
        <v>1</v>
      </c>
      <c r="L18" s="75">
        <f>DGKC!F99/DGKC!F129</f>
        <v>-8.2990580657564443</v>
      </c>
      <c r="M18" s="76">
        <f t="shared" si="0"/>
        <v>-8.3000000000000007</v>
      </c>
      <c r="N18" s="76">
        <f t="shared" si="1"/>
        <v>9.4193424355637489E-4</v>
      </c>
      <c r="O18" s="75" t="str">
        <f>DGKC!F172</f>
        <v>n/m</v>
      </c>
      <c r="P18" s="75">
        <f>DGKC!F170</f>
        <v>0.35012794187063967</v>
      </c>
      <c r="Q18" s="79">
        <f>DGKC!F173</f>
        <v>0</v>
      </c>
      <c r="R18" s="67" t="s">
        <v>3375</v>
      </c>
      <c r="S18" s="56">
        <v>202</v>
      </c>
      <c r="T18" s="55" t="s">
        <v>2038</v>
      </c>
      <c r="U18" s="55" t="s">
        <v>3388</v>
      </c>
    </row>
    <row r="19" spans="1:21" ht="78" customHeight="1" x14ac:dyDescent="0.3">
      <c r="A19" s="50" t="s">
        <v>86</v>
      </c>
      <c r="B19" s="54">
        <v>2024</v>
      </c>
      <c r="C19" s="74">
        <v>10</v>
      </c>
      <c r="D19" s="71">
        <v>438.11911800000001</v>
      </c>
      <c r="E19" s="54">
        <v>1</v>
      </c>
      <c r="F19" s="72">
        <f>DGKC!G129</f>
        <v>438.11911800000001</v>
      </c>
      <c r="G19" s="72">
        <f>DGKC!G128</f>
        <v>438.1191</v>
      </c>
      <c r="H19" s="72">
        <f>DGKC!G135</f>
        <v>0</v>
      </c>
      <c r="I19" s="77">
        <f>DGKC!G131</f>
        <v>0</v>
      </c>
      <c r="J19" s="78">
        <v>1.24</v>
      </c>
      <c r="K19" s="78">
        <v>1</v>
      </c>
      <c r="L19" s="77">
        <f>DGKC!G99/DGKC!G129</f>
        <v>1.2380103440270365</v>
      </c>
      <c r="M19" s="78">
        <f t="shared" si="0"/>
        <v>1.24</v>
      </c>
      <c r="N19" s="78">
        <f t="shared" si="1"/>
        <v>-1.9896559729635221E-3</v>
      </c>
      <c r="O19" s="77">
        <f>DGKC!G172</f>
        <v>72.91538429829842</v>
      </c>
      <c r="P19" s="77">
        <f>DGKC!G170</f>
        <v>0.52142775098382221</v>
      </c>
      <c r="Q19" s="80">
        <f>DGKC!G173</f>
        <v>0</v>
      </c>
      <c r="R19" s="68" t="s">
        <v>3375</v>
      </c>
      <c r="S19" s="54">
        <v>205</v>
      </c>
      <c r="T19" s="50" t="s">
        <v>2041</v>
      </c>
      <c r="U19" s="50" t="s">
        <v>3389</v>
      </c>
    </row>
    <row r="20" spans="1:21" ht="78" customHeight="1" x14ac:dyDescent="0.3">
      <c r="A20" s="55" t="s">
        <v>86</v>
      </c>
      <c r="B20" s="56">
        <v>2025</v>
      </c>
      <c r="C20" s="73">
        <v>10</v>
      </c>
      <c r="D20" s="69">
        <v>438.11911800000001</v>
      </c>
      <c r="E20" s="56">
        <v>1</v>
      </c>
      <c r="F20" s="70">
        <f>DGKC!H129</f>
        <v>438.11911800000001</v>
      </c>
      <c r="G20" s="70">
        <f>DGKC!H128</f>
        <v>438.1191</v>
      </c>
      <c r="H20" s="70">
        <f>DGKC!H135</f>
        <v>0</v>
      </c>
      <c r="I20" s="75">
        <f>DGKC!H131</f>
        <v>2</v>
      </c>
      <c r="J20" s="76">
        <v>19.8</v>
      </c>
      <c r="K20" s="76">
        <v>1</v>
      </c>
      <c r="L20" s="75">
        <f>DGKC!H99/DGKC!H129</f>
        <v>19.800685803443983</v>
      </c>
      <c r="M20" s="76">
        <f t="shared" si="0"/>
        <v>19.8</v>
      </c>
      <c r="N20" s="76">
        <f t="shared" si="1"/>
        <v>6.8580344398228021E-4</v>
      </c>
      <c r="O20" s="75">
        <f>DGKC!H172</f>
        <v>8.3613265542147914</v>
      </c>
      <c r="P20" s="75">
        <f>DGKC!H170</f>
        <v>0.76620820294800718</v>
      </c>
      <c r="Q20" s="79">
        <f>DGKC!H173</f>
        <v>1.2080212611741966E-2</v>
      </c>
      <c r="R20" s="67" t="s">
        <v>3375</v>
      </c>
      <c r="S20" s="56">
        <v>210</v>
      </c>
      <c r="T20" s="55" t="s">
        <v>2043</v>
      </c>
      <c r="U20" s="55" t="s">
        <v>3390</v>
      </c>
    </row>
    <row r="21" spans="1:21" ht="78" customHeight="1" x14ac:dyDescent="0.3">
      <c r="A21" s="50" t="s">
        <v>106</v>
      </c>
      <c r="B21" s="54">
        <v>2021</v>
      </c>
      <c r="C21" s="74">
        <v>10</v>
      </c>
      <c r="D21" s="71">
        <v>1098.346</v>
      </c>
      <c r="E21" s="54">
        <v>1</v>
      </c>
      <c r="F21" s="72">
        <f>MLCF!D129</f>
        <v>1098.346</v>
      </c>
      <c r="G21" s="72">
        <f>MLCF!D128</f>
        <v>1098.3462</v>
      </c>
      <c r="H21" s="72">
        <f>MLCF!D135</f>
        <v>0</v>
      </c>
      <c r="I21" s="77">
        <f>MLCF!D131</f>
        <v>0</v>
      </c>
      <c r="J21" s="78">
        <v>5.69</v>
      </c>
      <c r="K21" s="78">
        <v>1</v>
      </c>
      <c r="L21" s="77">
        <f>MLCF!D99/MLCF!D129</f>
        <v>5.6941155155115029</v>
      </c>
      <c r="M21" s="78">
        <f t="shared" si="0"/>
        <v>5.69</v>
      </c>
      <c r="N21" s="78">
        <f t="shared" si="1"/>
        <v>4.1155155115024655E-3</v>
      </c>
      <c r="O21" s="77">
        <f>MLCF!D172</f>
        <v>8.2506229232653325</v>
      </c>
      <c r="P21" s="77">
        <f>MLCF!D170</f>
        <v>1.3744489078669448</v>
      </c>
      <c r="Q21" s="80">
        <f>MLCF!D173</f>
        <v>0</v>
      </c>
      <c r="R21" s="68" t="s">
        <v>3375</v>
      </c>
      <c r="S21" s="54">
        <v>222</v>
      </c>
      <c r="T21" s="50" t="s">
        <v>1584</v>
      </c>
      <c r="U21" s="50" t="s">
        <v>3391</v>
      </c>
    </row>
    <row r="22" spans="1:21" ht="78" customHeight="1" x14ac:dyDescent="0.3">
      <c r="A22" s="55" t="s">
        <v>106</v>
      </c>
      <c r="B22" s="56">
        <v>2022</v>
      </c>
      <c r="C22" s="73">
        <v>10</v>
      </c>
      <c r="D22" s="69">
        <v>1097.5239999999999</v>
      </c>
      <c r="E22" s="56">
        <v>1</v>
      </c>
      <c r="F22" s="70">
        <f>MLCF!E129</f>
        <v>1097.5239999999999</v>
      </c>
      <c r="G22" s="70">
        <f>MLCF!E128</f>
        <v>1079.8011999999999</v>
      </c>
      <c r="H22" s="70">
        <f>MLCF!E135</f>
        <v>18.545000000000002</v>
      </c>
      <c r="I22" s="75">
        <f>MLCF!E131</f>
        <v>0</v>
      </c>
      <c r="J22" s="76">
        <v>3.3</v>
      </c>
      <c r="K22" s="76">
        <v>1</v>
      </c>
      <c r="L22" s="75">
        <f>MLCF!E99/MLCF!E129</f>
        <v>3.3041099784606085</v>
      </c>
      <c r="M22" s="76">
        <f t="shared" si="0"/>
        <v>3.3</v>
      </c>
      <c r="N22" s="76">
        <f t="shared" si="1"/>
        <v>4.1099784606086764E-3</v>
      </c>
      <c r="O22" s="75">
        <f>MLCF!E172</f>
        <v>8.2775695053414715</v>
      </c>
      <c r="P22" s="75">
        <f>MLCF!E170</f>
        <v>0.72813806794864222</v>
      </c>
      <c r="Q22" s="79">
        <f>MLCF!E173</f>
        <v>0</v>
      </c>
      <c r="R22" s="67" t="s">
        <v>3392</v>
      </c>
      <c r="S22" s="56">
        <v>244</v>
      </c>
      <c r="T22" s="55" t="s">
        <v>1589</v>
      </c>
      <c r="U22" s="55" t="s">
        <v>3393</v>
      </c>
    </row>
    <row r="23" spans="1:21" ht="78" customHeight="1" x14ac:dyDescent="0.3">
      <c r="A23" s="50" t="s">
        <v>106</v>
      </c>
      <c r="B23" s="54">
        <v>2023</v>
      </c>
      <c r="C23" s="74">
        <v>10</v>
      </c>
      <c r="D23" s="71">
        <v>1073.405</v>
      </c>
      <c r="E23" s="54">
        <v>1</v>
      </c>
      <c r="F23" s="72">
        <f>MLCF!F129</f>
        <v>1073.405</v>
      </c>
      <c r="G23" s="72">
        <f>MLCF!F128</f>
        <v>1073.3462</v>
      </c>
      <c r="H23" s="72">
        <f>MLCF!F135</f>
        <v>0</v>
      </c>
      <c r="I23" s="77">
        <f>MLCF!F131</f>
        <v>0</v>
      </c>
      <c r="J23" s="78">
        <v>4.18</v>
      </c>
      <c r="K23" s="78">
        <v>1</v>
      </c>
      <c r="L23" s="77">
        <f>MLCF!F99/MLCF!F129</f>
        <v>4.1845053824045904</v>
      </c>
      <c r="M23" s="78">
        <f t="shared" si="0"/>
        <v>4.18</v>
      </c>
      <c r="N23" s="78">
        <f t="shared" si="1"/>
        <v>4.505382404590641E-3</v>
      </c>
      <c r="O23" s="77">
        <f>MLCF!F172</f>
        <v>6.7702147353244424</v>
      </c>
      <c r="P23" s="77">
        <f>MLCF!F170</f>
        <v>0.67703828877240613</v>
      </c>
      <c r="Q23" s="80">
        <f>MLCF!F173</f>
        <v>0</v>
      </c>
      <c r="R23" s="68" t="s">
        <v>3375</v>
      </c>
      <c r="S23" s="54">
        <v>129</v>
      </c>
      <c r="T23" s="50" t="s">
        <v>1592</v>
      </c>
      <c r="U23" s="50" t="s">
        <v>3391</v>
      </c>
    </row>
    <row r="24" spans="1:21" ht="78" customHeight="1" x14ac:dyDescent="0.3">
      <c r="A24" s="55" t="s">
        <v>106</v>
      </c>
      <c r="B24" s="56">
        <v>2024</v>
      </c>
      <c r="C24" s="73">
        <v>10</v>
      </c>
      <c r="D24" s="69">
        <v>1058.9110000000001</v>
      </c>
      <c r="E24" s="56">
        <v>1</v>
      </c>
      <c r="F24" s="70">
        <f>MLCF!G129</f>
        <v>1058.9110000000001</v>
      </c>
      <c r="G24" s="70">
        <f>MLCF!G128</f>
        <v>1047.5626</v>
      </c>
      <c r="H24" s="70">
        <f>MLCF!G135</f>
        <v>0</v>
      </c>
      <c r="I24" s="75">
        <f>MLCF!G131</f>
        <v>0</v>
      </c>
      <c r="J24" s="76">
        <v>4.9800000000000004</v>
      </c>
      <c r="K24" s="76">
        <v>1</v>
      </c>
      <c r="L24" s="75">
        <f>MLCF!G99/MLCF!G129</f>
        <v>4.9791974962957211</v>
      </c>
      <c r="M24" s="76">
        <f t="shared" si="0"/>
        <v>4.9800000000000004</v>
      </c>
      <c r="N24" s="76">
        <f t="shared" si="1"/>
        <v>-8.0250370427936701E-4</v>
      </c>
      <c r="O24" s="75">
        <f>MLCF!G172</f>
        <v>7.6317519094733912</v>
      </c>
      <c r="P24" s="75">
        <f>MLCF!G170</f>
        <v>0.75656546305349337</v>
      </c>
      <c r="Q24" s="79">
        <f>MLCF!G173</f>
        <v>0</v>
      </c>
      <c r="R24" s="67" t="s">
        <v>3375</v>
      </c>
      <c r="S24" s="56">
        <v>251</v>
      </c>
      <c r="T24" s="55" t="s">
        <v>1595</v>
      </c>
      <c r="U24" s="55" t="s">
        <v>3391</v>
      </c>
    </row>
    <row r="25" spans="1:21" ht="78" customHeight="1" x14ac:dyDescent="0.3">
      <c r="A25" s="50" t="s">
        <v>106</v>
      </c>
      <c r="B25" s="54">
        <v>2025</v>
      </c>
      <c r="C25" s="74">
        <v>10</v>
      </c>
      <c r="D25" s="71">
        <v>1047.5630000000001</v>
      </c>
      <c r="E25" s="54">
        <v>1</v>
      </c>
      <c r="F25" s="72">
        <f>MLCF!H129</f>
        <v>1047.5630000000001</v>
      </c>
      <c r="G25" s="72">
        <f>MLCF!H128</f>
        <v>1047.5626</v>
      </c>
      <c r="H25" s="72">
        <f>MLCF!H135</f>
        <v>0</v>
      </c>
      <c r="I25" s="77">
        <f>MLCF!H131</f>
        <v>0</v>
      </c>
      <c r="J25" s="78">
        <v>16.260000000000002</v>
      </c>
      <c r="K25" s="78">
        <v>1</v>
      </c>
      <c r="L25" s="77">
        <f>MLCF!H99/MLCF!H129</f>
        <v>16.262863426829693</v>
      </c>
      <c r="M25" s="78">
        <f t="shared" si="0"/>
        <v>16.260000000000002</v>
      </c>
      <c r="N25" s="78">
        <f t="shared" si="1"/>
        <v>2.8634268296912069E-3</v>
      </c>
      <c r="O25" s="77">
        <f>MLCF!H172</f>
        <v>5.1823592062489379</v>
      </c>
      <c r="P25" s="77">
        <f>MLCF!H170</f>
        <v>1.2354689205356633</v>
      </c>
      <c r="Q25" s="80">
        <f>MLCF!H173</f>
        <v>0</v>
      </c>
      <c r="R25" s="68" t="s">
        <v>3375</v>
      </c>
      <c r="S25" s="54">
        <v>267</v>
      </c>
      <c r="T25" s="50" t="s">
        <v>1598</v>
      </c>
      <c r="U25" s="50" t="s">
        <v>3394</v>
      </c>
    </row>
    <row r="26" spans="1:21" ht="78" customHeight="1" x14ac:dyDescent="0.3">
      <c r="A26" s="55" t="s">
        <v>114</v>
      </c>
      <c r="B26" s="56">
        <v>2021</v>
      </c>
      <c r="C26" s="73">
        <v>10</v>
      </c>
      <c r="D26" s="69">
        <v>1379.8150000000001</v>
      </c>
      <c r="E26" s="56">
        <v>1</v>
      </c>
      <c r="F26" s="70">
        <f>FCCL!D129</f>
        <v>1379.8150000000001</v>
      </c>
      <c r="G26" s="70">
        <f>FCCL!D128</f>
        <v>1379.8150000000001</v>
      </c>
      <c r="H26" s="70">
        <f>FCCL!D135</f>
        <v>0</v>
      </c>
      <c r="I26" s="75">
        <f>FCCL!D131</f>
        <v>0</v>
      </c>
      <c r="J26" s="76">
        <v>2.52</v>
      </c>
      <c r="K26" s="76">
        <v>1</v>
      </c>
      <c r="L26" s="75">
        <f>FCCL!D99/FCCL!D129</f>
        <v>2.5158090033808875</v>
      </c>
      <c r="M26" s="76">
        <f t="shared" si="0"/>
        <v>2.52</v>
      </c>
      <c r="N26" s="76">
        <f t="shared" si="1"/>
        <v>-4.1909966191124859E-3</v>
      </c>
      <c r="O26" s="75">
        <f>FCCL!D172</f>
        <v>9.1421884447870596</v>
      </c>
      <c r="P26" s="75">
        <f>FCCL!D170</f>
        <v>1.3634728296339984</v>
      </c>
      <c r="Q26" s="79">
        <f>FCCL!D173</f>
        <v>0</v>
      </c>
      <c r="R26" s="67" t="s">
        <v>3375</v>
      </c>
      <c r="S26" s="56">
        <v>201</v>
      </c>
      <c r="T26" s="55" t="s">
        <v>2916</v>
      </c>
      <c r="U26" s="55" t="s">
        <v>3395</v>
      </c>
    </row>
    <row r="27" spans="1:21" ht="78" customHeight="1" x14ac:dyDescent="0.3">
      <c r="A27" s="50" t="s">
        <v>114</v>
      </c>
      <c r="B27" s="54">
        <v>2022</v>
      </c>
      <c r="C27" s="74">
        <v>10</v>
      </c>
      <c r="D27" s="71">
        <v>2180.3090000000002</v>
      </c>
      <c r="E27" s="54">
        <v>1</v>
      </c>
      <c r="F27" s="72">
        <f>FCCL!E129</f>
        <v>2180.3090000000002</v>
      </c>
      <c r="G27" s="72">
        <f>FCCL!E128</f>
        <v>2180.3090000000002</v>
      </c>
      <c r="H27" s="72">
        <f>FCCL!E135</f>
        <v>0</v>
      </c>
      <c r="I27" s="77">
        <f>FCCL!E131</f>
        <v>0</v>
      </c>
      <c r="J27" s="78">
        <v>3.26</v>
      </c>
      <c r="K27" s="78">
        <v>1</v>
      </c>
      <c r="L27" s="77">
        <f>FCCL!E99/FCCL!E129</f>
        <v>3.2621706372812294</v>
      </c>
      <c r="M27" s="78">
        <f t="shared" si="0"/>
        <v>3.26</v>
      </c>
      <c r="N27" s="78">
        <f t="shared" si="1"/>
        <v>2.1706372812295704E-3</v>
      </c>
      <c r="O27" s="77">
        <f>FCCL!E172</f>
        <v>4.3437335368236942</v>
      </c>
      <c r="P27" s="77">
        <f>FCCL!E170</f>
        <v>0.53510718726613404</v>
      </c>
      <c r="Q27" s="80">
        <f>FCCL!E173</f>
        <v>0</v>
      </c>
      <c r="R27" s="68" t="s">
        <v>3375</v>
      </c>
      <c r="S27" s="54">
        <v>230</v>
      </c>
      <c r="T27" s="50" t="s">
        <v>2918</v>
      </c>
      <c r="U27" s="50" t="s">
        <v>3395</v>
      </c>
    </row>
    <row r="28" spans="1:21" ht="78" customHeight="1" x14ac:dyDescent="0.3">
      <c r="A28" s="55" t="s">
        <v>114</v>
      </c>
      <c r="B28" s="56">
        <v>2023</v>
      </c>
      <c r="C28" s="73">
        <v>10</v>
      </c>
      <c r="D28" s="69">
        <v>2353.5390000000002</v>
      </c>
      <c r="E28" s="56">
        <v>1</v>
      </c>
      <c r="F28" s="70">
        <f>FCCL!F129</f>
        <v>2452.8476000000001</v>
      </c>
      <c r="G28" s="70">
        <f>FCCL!F128</f>
        <v>2452.8476000000001</v>
      </c>
      <c r="H28" s="70">
        <f>FCCL!F135</f>
        <v>0</v>
      </c>
      <c r="I28" s="75">
        <f>FCCL!F131</f>
        <v>0</v>
      </c>
      <c r="J28" s="76">
        <v>3.16</v>
      </c>
      <c r="K28" s="76">
        <v>1</v>
      </c>
      <c r="L28" s="75">
        <f>FCCL!F99/FCCL!F129</f>
        <v>3.0330791851886794</v>
      </c>
      <c r="M28" s="76">
        <f t="shared" si="0"/>
        <v>3.16</v>
      </c>
      <c r="N28" s="76">
        <f t="shared" si="1"/>
        <v>-0.12692081481132078</v>
      </c>
      <c r="O28" s="75">
        <f>FCCL!F172</f>
        <v>3.877247932539039</v>
      </c>
      <c r="P28" s="75">
        <f>FCCL!F170</f>
        <v>0.44258015488186969</v>
      </c>
      <c r="Q28" s="79">
        <f>FCCL!F173</f>
        <v>0</v>
      </c>
      <c r="R28" s="67" t="s">
        <v>3396</v>
      </c>
      <c r="S28" s="56">
        <v>251</v>
      </c>
      <c r="T28" s="55" t="s">
        <v>2920</v>
      </c>
      <c r="U28" s="55" t="s">
        <v>3395</v>
      </c>
    </row>
    <row r="29" spans="1:21" ht="78" customHeight="1" x14ac:dyDescent="0.3">
      <c r="A29" s="50" t="s">
        <v>114</v>
      </c>
      <c r="B29" s="54">
        <v>2024</v>
      </c>
      <c r="C29" s="74">
        <v>10</v>
      </c>
      <c r="D29" s="71">
        <v>2452.8470000000002</v>
      </c>
      <c r="E29" s="54">
        <v>1</v>
      </c>
      <c r="F29" s="72">
        <f>FCCL!G129</f>
        <v>2452.8470000000002</v>
      </c>
      <c r="G29" s="72">
        <f>FCCL!G128</f>
        <v>2452.8476000000001</v>
      </c>
      <c r="H29" s="72">
        <f>FCCL!G135</f>
        <v>0</v>
      </c>
      <c r="I29" s="77">
        <f>FCCL!G131</f>
        <v>1</v>
      </c>
      <c r="J29" s="78">
        <v>3.35</v>
      </c>
      <c r="K29" s="78">
        <v>1</v>
      </c>
      <c r="L29" s="77">
        <f>FCCL!G99/FCCL!G129</f>
        <v>3.3524781610919856</v>
      </c>
      <c r="M29" s="78">
        <f t="shared" si="0"/>
        <v>3.35</v>
      </c>
      <c r="N29" s="78">
        <f t="shared" si="1"/>
        <v>2.478161091985509E-3</v>
      </c>
      <c r="O29" s="77">
        <f>FCCL!G172</f>
        <v>6.8337507059367812</v>
      </c>
      <c r="P29" s="77">
        <f>FCCL!G170</f>
        <v>0.76560785651514207</v>
      </c>
      <c r="Q29" s="80">
        <f>FCCL!G173</f>
        <v>4.3649061545176782E-2</v>
      </c>
      <c r="R29" s="68" t="s">
        <v>3397</v>
      </c>
      <c r="S29" s="54">
        <v>230</v>
      </c>
      <c r="T29" s="50" t="s">
        <v>2923</v>
      </c>
      <c r="U29" s="50" t="s">
        <v>3395</v>
      </c>
    </row>
    <row r="30" spans="1:21" ht="78" customHeight="1" x14ac:dyDescent="0.3">
      <c r="A30" s="55" t="s">
        <v>114</v>
      </c>
      <c r="B30" s="56">
        <v>2025</v>
      </c>
      <c r="C30" s="73">
        <v>10</v>
      </c>
      <c r="D30" s="69">
        <v>2452.8470000000002</v>
      </c>
      <c r="E30" s="56">
        <v>1</v>
      </c>
      <c r="F30" s="70">
        <f>FCCL!H129</f>
        <v>2452.8470000000002</v>
      </c>
      <c r="G30" s="70">
        <f>FCCL!H128</f>
        <v>2452.8476000000001</v>
      </c>
      <c r="H30" s="70">
        <f>FCCL!H135</f>
        <v>0</v>
      </c>
      <c r="I30" s="75">
        <f>FCCL!H131</f>
        <v>1.25</v>
      </c>
      <c r="J30" s="76">
        <v>5.43</v>
      </c>
      <c r="K30" s="76">
        <v>1</v>
      </c>
      <c r="L30" s="75">
        <f>FCCL!H99/FCCL!H129</f>
        <v>5.4329528095311241</v>
      </c>
      <c r="M30" s="76">
        <f t="shared" si="0"/>
        <v>5.43</v>
      </c>
      <c r="N30" s="76">
        <f t="shared" si="1"/>
        <v>2.9528095311244229E-3</v>
      </c>
      <c r="O30" s="75">
        <f>FCCL!H172</f>
        <v>8.2220482242427426</v>
      </c>
      <c r="P30" s="75">
        <f>FCCL!H170</f>
        <v>1.3001759998029245</v>
      </c>
      <c r="Q30" s="79">
        <f>FCCL!H173</f>
        <v>2.7982986344302664E-2</v>
      </c>
      <c r="R30" s="67" t="s">
        <v>3375</v>
      </c>
      <c r="S30" s="56">
        <v>285</v>
      </c>
      <c r="T30" s="55" t="s">
        <v>2925</v>
      </c>
      <c r="U30" s="55" t="s">
        <v>3398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6"/>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1" width="11" customWidth="1"/>
    <col min="2" max="2" width="28" customWidth="1"/>
    <col min="3" max="6" width="17" customWidth="1"/>
    <col min="7" max="7" width="40" customWidth="1"/>
    <col min="8" max="9" width="80" customWidth="1"/>
    <col min="10" max="10" width="110" customWidth="1"/>
    <col min="11" max="11" width="17" customWidth="1"/>
  </cols>
  <sheetData>
    <row r="1" spans="1:11" ht="24" customHeight="1" x14ac:dyDescent="0.3">
      <c r="A1" s="50"/>
      <c r="B1" s="50"/>
      <c r="C1" s="50"/>
      <c r="D1" s="50"/>
      <c r="E1" s="50"/>
      <c r="F1" s="50"/>
      <c r="G1" s="50"/>
      <c r="H1" s="50"/>
      <c r="I1" s="50"/>
      <c r="J1" s="50"/>
      <c r="K1" s="50"/>
    </row>
    <row r="2" spans="1:11" ht="24" customHeight="1" x14ac:dyDescent="0.3">
      <c r="A2" s="51" t="s">
        <v>3399</v>
      </c>
      <c r="B2" s="50"/>
      <c r="C2" s="50"/>
      <c r="D2" s="50"/>
      <c r="E2" s="50"/>
      <c r="F2" s="50"/>
      <c r="G2" s="50"/>
      <c r="H2" s="50"/>
      <c r="I2" s="50"/>
      <c r="J2" s="50"/>
      <c r="K2" s="50"/>
    </row>
    <row r="3" spans="1:11" ht="24" customHeight="1" x14ac:dyDescent="0.3">
      <c r="A3" s="52" t="s">
        <v>3400</v>
      </c>
      <c r="B3" s="50"/>
      <c r="C3" s="50"/>
      <c r="D3" s="50"/>
      <c r="E3" s="50"/>
      <c r="F3" s="50"/>
      <c r="G3" s="50"/>
      <c r="H3" s="50"/>
      <c r="I3" s="50"/>
      <c r="J3" s="50"/>
      <c r="K3" s="50"/>
    </row>
    <row r="4" spans="1:11" ht="24" customHeight="1" x14ac:dyDescent="0.3">
      <c r="A4" s="50"/>
      <c r="B4" s="50"/>
      <c r="C4" s="50"/>
      <c r="D4" s="50"/>
      <c r="E4" s="50"/>
      <c r="F4" s="50"/>
      <c r="G4" s="50"/>
      <c r="H4" s="50"/>
      <c r="I4" s="50"/>
      <c r="J4" s="50"/>
      <c r="K4" s="50"/>
    </row>
    <row r="5" spans="1:11" ht="43.95" customHeight="1" x14ac:dyDescent="0.3">
      <c r="A5" s="53" t="s">
        <v>1</v>
      </c>
      <c r="B5" s="53" t="s">
        <v>3401</v>
      </c>
      <c r="C5" s="53" t="s">
        <v>3402</v>
      </c>
      <c r="D5" s="53" t="s">
        <v>3403</v>
      </c>
      <c r="E5" s="53" t="s">
        <v>3404</v>
      </c>
      <c r="F5" s="53" t="s">
        <v>3405</v>
      </c>
      <c r="G5" s="53" t="s">
        <v>3406</v>
      </c>
      <c r="H5" s="53" t="s">
        <v>3407</v>
      </c>
      <c r="I5" s="53" t="s">
        <v>3408</v>
      </c>
      <c r="J5" s="53" t="s">
        <v>3409</v>
      </c>
      <c r="K5" s="53" t="s">
        <v>1092</v>
      </c>
    </row>
    <row r="6" spans="1:11" ht="94.95" customHeight="1" x14ac:dyDescent="0.3">
      <c r="A6" s="67" t="s">
        <v>18</v>
      </c>
      <c r="B6" s="81" t="s">
        <v>3410</v>
      </c>
      <c r="C6" s="82">
        <v>45892</v>
      </c>
      <c r="D6" s="82">
        <v>45894</v>
      </c>
      <c r="E6" s="85">
        <v>5</v>
      </c>
      <c r="F6" s="67" t="s">
        <v>3411</v>
      </c>
      <c r="G6" s="67" t="s">
        <v>3412</v>
      </c>
      <c r="H6" s="67" t="s">
        <v>3413</v>
      </c>
      <c r="I6" s="67" t="s">
        <v>3414</v>
      </c>
      <c r="J6" s="67" t="s">
        <v>3415</v>
      </c>
      <c r="K6" s="81">
        <v>1</v>
      </c>
    </row>
    <row r="7" spans="1:11" ht="94.95" customHeight="1" x14ac:dyDescent="0.3">
      <c r="A7" s="68" t="s">
        <v>68</v>
      </c>
      <c r="B7" s="83" t="s">
        <v>3416</v>
      </c>
      <c r="C7" s="84">
        <v>45734</v>
      </c>
      <c r="D7" s="84">
        <v>45775</v>
      </c>
      <c r="E7" s="86">
        <v>5</v>
      </c>
      <c r="F7" s="68" t="s">
        <v>3411</v>
      </c>
      <c r="G7" s="68" t="s">
        <v>3417</v>
      </c>
      <c r="H7" s="68" t="s">
        <v>3418</v>
      </c>
      <c r="I7" s="68" t="s">
        <v>3419</v>
      </c>
      <c r="J7" s="68" t="s">
        <v>3420</v>
      </c>
      <c r="K7" s="83">
        <v>1</v>
      </c>
    </row>
    <row r="8" spans="1:11" ht="94.95" customHeight="1" x14ac:dyDescent="0.3">
      <c r="A8" s="67" t="s">
        <v>114</v>
      </c>
      <c r="B8" s="81" t="s">
        <v>3421</v>
      </c>
      <c r="C8" s="82">
        <v>44855</v>
      </c>
      <c r="D8" s="82"/>
      <c r="E8" s="85">
        <v>1.125</v>
      </c>
      <c r="F8" s="67" t="s">
        <v>3422</v>
      </c>
      <c r="G8" s="67" t="s">
        <v>3423</v>
      </c>
      <c r="H8" s="67" t="s">
        <v>3424</v>
      </c>
      <c r="I8" s="67" t="s">
        <v>3425</v>
      </c>
      <c r="J8" s="67" t="s">
        <v>3426</v>
      </c>
      <c r="K8" s="81">
        <v>1</v>
      </c>
    </row>
    <row r="9" spans="1:11" ht="94.95" customHeight="1" x14ac:dyDescent="0.3">
      <c r="A9" s="68" t="s">
        <v>114</v>
      </c>
      <c r="B9" s="83" t="s">
        <v>3427</v>
      </c>
      <c r="C9" s="84">
        <v>44876</v>
      </c>
      <c r="D9" s="84"/>
      <c r="E9" s="86">
        <v>1.125</v>
      </c>
      <c r="F9" s="68" t="s">
        <v>3422</v>
      </c>
      <c r="G9" s="68" t="s">
        <v>3428</v>
      </c>
      <c r="H9" s="68" t="s">
        <v>3429</v>
      </c>
      <c r="I9" s="68" t="s">
        <v>3430</v>
      </c>
      <c r="J9" s="68" t="s">
        <v>3431</v>
      </c>
      <c r="K9" s="83">
        <v>1</v>
      </c>
    </row>
    <row r="10" spans="1:11" ht="94.95" customHeight="1" x14ac:dyDescent="0.3">
      <c r="A10" s="67" t="s">
        <v>18</v>
      </c>
      <c r="B10" s="81" t="s">
        <v>3432</v>
      </c>
      <c r="C10" s="82"/>
      <c r="D10" s="82"/>
      <c r="E10" s="85">
        <v>1</v>
      </c>
      <c r="F10" s="67" t="s">
        <v>3433</v>
      </c>
      <c r="G10" s="67" t="s">
        <v>3434</v>
      </c>
      <c r="H10" s="67" t="s">
        <v>3435</v>
      </c>
      <c r="I10" s="67" t="s">
        <v>3436</v>
      </c>
      <c r="J10" s="67" t="s">
        <v>3382</v>
      </c>
      <c r="K10" s="81">
        <v>109</v>
      </c>
    </row>
    <row r="11" spans="1:11" ht="94.95" customHeight="1" x14ac:dyDescent="0.3">
      <c r="A11" s="68" t="s">
        <v>68</v>
      </c>
      <c r="B11" s="83" t="s">
        <v>3432</v>
      </c>
      <c r="C11" s="84"/>
      <c r="D11" s="84"/>
      <c r="E11" s="86">
        <v>1</v>
      </c>
      <c r="F11" s="68" t="s">
        <v>3437</v>
      </c>
      <c r="G11" s="68" t="s">
        <v>3438</v>
      </c>
      <c r="H11" s="68" t="s">
        <v>3439</v>
      </c>
      <c r="I11" s="68" t="s">
        <v>3440</v>
      </c>
      <c r="J11" s="68" t="s">
        <v>3385</v>
      </c>
      <c r="K11" s="83">
        <v>274</v>
      </c>
    </row>
    <row r="12" spans="1:11" ht="94.95" customHeight="1" x14ac:dyDescent="0.3">
      <c r="A12" s="67" t="s">
        <v>106</v>
      </c>
      <c r="B12" s="81" t="s">
        <v>3441</v>
      </c>
      <c r="C12" s="82">
        <v>44742</v>
      </c>
      <c r="D12" s="82"/>
      <c r="E12" s="85">
        <v>1</v>
      </c>
      <c r="F12" s="67" t="s">
        <v>3422</v>
      </c>
      <c r="G12" s="67" t="s">
        <v>3442</v>
      </c>
      <c r="H12" s="67" t="s">
        <v>3443</v>
      </c>
      <c r="I12" s="67" t="s">
        <v>3444</v>
      </c>
      <c r="J12" s="67" t="s">
        <v>3393</v>
      </c>
      <c r="K12" s="81">
        <v>206</v>
      </c>
    </row>
    <row r="13" spans="1:11" ht="94.95" customHeight="1" x14ac:dyDescent="0.3">
      <c r="A13" s="68" t="s">
        <v>106</v>
      </c>
      <c r="B13" s="83" t="s">
        <v>3432</v>
      </c>
      <c r="C13" s="84"/>
      <c r="D13" s="84"/>
      <c r="E13" s="86">
        <v>1</v>
      </c>
      <c r="F13" s="68" t="s">
        <v>3422</v>
      </c>
      <c r="G13" s="68" t="s">
        <v>3445</v>
      </c>
      <c r="H13" s="68" t="s">
        <v>3446</v>
      </c>
      <c r="I13" s="68" t="s">
        <v>3447</v>
      </c>
      <c r="J13" s="68" t="s">
        <v>3394</v>
      </c>
      <c r="K13" s="83">
        <v>225</v>
      </c>
    </row>
    <row r="14" spans="1:11" ht="94.95" customHeight="1" x14ac:dyDescent="0.3">
      <c r="A14" s="67" t="s">
        <v>114</v>
      </c>
      <c r="B14" s="81" t="s">
        <v>3448</v>
      </c>
      <c r="C14" s="82"/>
      <c r="D14" s="82"/>
      <c r="E14" s="85">
        <v>1</v>
      </c>
      <c r="F14" s="67" t="s">
        <v>3422</v>
      </c>
      <c r="G14" s="67" t="s">
        <v>3449</v>
      </c>
      <c r="H14" s="67" t="s">
        <v>3450</v>
      </c>
      <c r="I14" s="67" t="s">
        <v>3451</v>
      </c>
      <c r="J14" s="67" t="s">
        <v>3395</v>
      </c>
      <c r="K14" s="81">
        <v>208</v>
      </c>
    </row>
    <row r="15" spans="1:11" ht="94.95" customHeight="1" x14ac:dyDescent="0.3">
      <c r="A15" s="68" t="s">
        <v>86</v>
      </c>
      <c r="B15" s="83" t="s">
        <v>3452</v>
      </c>
      <c r="C15" s="84"/>
      <c r="D15" s="84"/>
      <c r="E15" s="86">
        <v>1</v>
      </c>
      <c r="F15" s="68" t="s">
        <v>3422</v>
      </c>
      <c r="G15" s="68" t="s">
        <v>3453</v>
      </c>
      <c r="H15" s="68" t="s">
        <v>3454</v>
      </c>
      <c r="I15" s="68" t="s">
        <v>3455</v>
      </c>
      <c r="J15" s="68" t="s">
        <v>3390</v>
      </c>
      <c r="K15" s="83">
        <v>172</v>
      </c>
    </row>
    <row r="16" spans="1:11" ht="94.95" customHeight="1" x14ac:dyDescent="0.3">
      <c r="A16" s="67" t="s">
        <v>992</v>
      </c>
      <c r="B16" s="81" t="s">
        <v>3456</v>
      </c>
      <c r="C16" s="82"/>
      <c r="D16" s="82"/>
      <c r="E16" s="85"/>
      <c r="F16" s="67"/>
      <c r="G16" s="67"/>
      <c r="H16" s="67" t="s">
        <v>3457</v>
      </c>
      <c r="I16" s="67" t="s">
        <v>3458</v>
      </c>
      <c r="J16" s="67" t="s">
        <v>3459</v>
      </c>
      <c r="K16" s="8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30"/>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2" width="11" customWidth="1"/>
    <col min="3" max="3" width="48" customWidth="1"/>
    <col min="4" max="4" width="26" customWidth="1"/>
    <col min="5" max="6" width="90" customWidth="1"/>
    <col min="7" max="7" width="70" customWidth="1"/>
    <col min="8" max="8" width="17" customWidth="1"/>
    <col min="9" max="9" width="50" customWidth="1"/>
    <col min="10" max="10" width="17" customWidth="1"/>
    <col min="11" max="13" width="140" customWidth="1"/>
  </cols>
  <sheetData>
    <row r="1" spans="1:13" ht="24" customHeight="1" x14ac:dyDescent="0.3">
      <c r="A1" s="50"/>
      <c r="B1" s="50"/>
      <c r="C1" s="50"/>
      <c r="D1" s="50"/>
      <c r="E1" s="50"/>
      <c r="F1" s="50"/>
      <c r="G1" s="50"/>
      <c r="H1" s="50"/>
      <c r="I1" s="50"/>
      <c r="J1" s="50"/>
      <c r="K1" s="50"/>
      <c r="L1" s="50"/>
      <c r="M1" s="50"/>
    </row>
    <row r="2" spans="1:13" ht="24" customHeight="1" x14ac:dyDescent="0.3">
      <c r="A2" s="51" t="s">
        <v>3460</v>
      </c>
      <c r="B2" s="50"/>
      <c r="C2" s="50"/>
      <c r="D2" s="50"/>
      <c r="E2" s="50"/>
      <c r="F2" s="50"/>
      <c r="G2" s="50"/>
      <c r="H2" s="50"/>
      <c r="I2" s="50"/>
      <c r="J2" s="50"/>
      <c r="K2" s="50"/>
      <c r="L2" s="50"/>
      <c r="M2" s="50"/>
    </row>
    <row r="3" spans="1:13" ht="24" customHeight="1" x14ac:dyDescent="0.3">
      <c r="A3" s="52" t="s">
        <v>3461</v>
      </c>
      <c r="B3" s="50"/>
      <c r="C3" s="50"/>
      <c r="D3" s="50"/>
      <c r="E3" s="50"/>
      <c r="F3" s="50"/>
      <c r="G3" s="50"/>
      <c r="H3" s="50"/>
      <c r="I3" s="50"/>
      <c r="J3" s="50"/>
      <c r="K3" s="50"/>
      <c r="L3" s="50"/>
      <c r="M3" s="50"/>
    </row>
    <row r="4" spans="1:13" ht="24" customHeight="1" x14ac:dyDescent="0.3">
      <c r="A4" s="50"/>
      <c r="B4" s="50"/>
      <c r="C4" s="50"/>
      <c r="D4" s="50"/>
      <c r="E4" s="50"/>
      <c r="F4" s="50"/>
      <c r="G4" s="50"/>
      <c r="H4" s="50"/>
      <c r="I4" s="50"/>
      <c r="J4" s="50"/>
      <c r="K4" s="50"/>
      <c r="L4" s="50"/>
      <c r="M4" s="50"/>
    </row>
    <row r="5" spans="1:13" ht="43.95" customHeight="1" x14ac:dyDescent="0.3">
      <c r="A5" s="53" t="s">
        <v>1</v>
      </c>
      <c r="B5" s="53" t="s">
        <v>3</v>
      </c>
      <c r="C5" s="53" t="s">
        <v>3462</v>
      </c>
      <c r="D5" s="53" t="s">
        <v>3463</v>
      </c>
      <c r="E5" s="53" t="s">
        <v>3464</v>
      </c>
      <c r="F5" s="53" t="s">
        <v>3465</v>
      </c>
      <c r="G5" s="53" t="s">
        <v>3466</v>
      </c>
      <c r="H5" s="53" t="s">
        <v>3467</v>
      </c>
      <c r="I5" s="53" t="s">
        <v>1089</v>
      </c>
      <c r="J5" s="53" t="s">
        <v>1092</v>
      </c>
      <c r="K5" s="53" t="s">
        <v>3468</v>
      </c>
      <c r="L5" s="53" t="s">
        <v>3469</v>
      </c>
      <c r="M5" s="53" t="s">
        <v>3470</v>
      </c>
    </row>
    <row r="6" spans="1:13" ht="139.94999999999999" customHeight="1" x14ac:dyDescent="0.3">
      <c r="A6" s="55" t="s">
        <v>18</v>
      </c>
      <c r="B6" s="56">
        <v>2021</v>
      </c>
      <c r="C6" s="55" t="s">
        <v>1552</v>
      </c>
      <c r="D6" s="55" t="s">
        <v>1553</v>
      </c>
      <c r="E6" s="55" t="s">
        <v>3471</v>
      </c>
      <c r="F6" s="55" t="s">
        <v>3472</v>
      </c>
      <c r="G6" s="55" t="s">
        <v>3473</v>
      </c>
      <c r="H6" s="55" t="s">
        <v>3474</v>
      </c>
      <c r="I6" s="55" t="s">
        <v>1123</v>
      </c>
      <c r="J6" s="56">
        <v>53</v>
      </c>
      <c r="K6" s="55" t="s">
        <v>3382</v>
      </c>
      <c r="L6" s="67" t="s">
        <v>3475</v>
      </c>
      <c r="M6" s="67" t="s">
        <v>3476</v>
      </c>
    </row>
    <row r="7" spans="1:13" ht="139.94999999999999" customHeight="1" x14ac:dyDescent="0.3">
      <c r="A7" s="50" t="s">
        <v>18</v>
      </c>
      <c r="B7" s="54">
        <v>2022</v>
      </c>
      <c r="C7" s="50" t="s">
        <v>1552</v>
      </c>
      <c r="D7" s="50" t="s">
        <v>1556</v>
      </c>
      <c r="E7" s="50" t="s">
        <v>3471</v>
      </c>
      <c r="F7" s="50" t="s">
        <v>3477</v>
      </c>
      <c r="G7" s="50" t="s">
        <v>3478</v>
      </c>
      <c r="H7" s="50" t="s">
        <v>3474</v>
      </c>
      <c r="I7" s="50" t="s">
        <v>1123</v>
      </c>
      <c r="J7" s="54">
        <v>53</v>
      </c>
      <c r="K7" s="50" t="s">
        <v>3382</v>
      </c>
      <c r="L7" s="68" t="s">
        <v>3475</v>
      </c>
      <c r="M7" s="68" t="s">
        <v>3479</v>
      </c>
    </row>
    <row r="8" spans="1:13" ht="139.94999999999999" customHeight="1" x14ac:dyDescent="0.3">
      <c r="A8" s="55" t="s">
        <v>18</v>
      </c>
      <c r="B8" s="56">
        <v>2023</v>
      </c>
      <c r="C8" s="55" t="s">
        <v>1552</v>
      </c>
      <c r="D8" s="55" t="s">
        <v>1558</v>
      </c>
      <c r="E8" s="55" t="s">
        <v>3471</v>
      </c>
      <c r="F8" s="55" t="s">
        <v>3480</v>
      </c>
      <c r="G8" s="55" t="s">
        <v>3481</v>
      </c>
      <c r="H8" s="55" t="s">
        <v>3474</v>
      </c>
      <c r="I8" s="55" t="s">
        <v>1123</v>
      </c>
      <c r="J8" s="56">
        <v>53</v>
      </c>
      <c r="K8" s="55" t="s">
        <v>3382</v>
      </c>
      <c r="L8" s="67" t="s">
        <v>3475</v>
      </c>
      <c r="M8" s="67" t="s">
        <v>3482</v>
      </c>
    </row>
    <row r="9" spans="1:13" ht="139.94999999999999" customHeight="1" x14ac:dyDescent="0.3">
      <c r="A9" s="50" t="s">
        <v>18</v>
      </c>
      <c r="B9" s="54">
        <v>2024</v>
      </c>
      <c r="C9" s="50" t="s">
        <v>1552</v>
      </c>
      <c r="D9" s="50" t="s">
        <v>1560</v>
      </c>
      <c r="E9" s="50" t="s">
        <v>3471</v>
      </c>
      <c r="F9" s="50" t="s">
        <v>3483</v>
      </c>
      <c r="G9" s="50" t="s">
        <v>3484</v>
      </c>
      <c r="H9" s="50" t="s">
        <v>3474</v>
      </c>
      <c r="I9" s="50" t="s">
        <v>1123</v>
      </c>
      <c r="J9" s="54">
        <v>53</v>
      </c>
      <c r="K9" s="50" t="s">
        <v>3382</v>
      </c>
      <c r="L9" s="68" t="s">
        <v>3475</v>
      </c>
      <c r="M9" s="68" t="s">
        <v>3485</v>
      </c>
    </row>
    <row r="10" spans="1:13" ht="139.94999999999999" customHeight="1" x14ac:dyDescent="0.3">
      <c r="A10" s="55" t="s">
        <v>18</v>
      </c>
      <c r="B10" s="56">
        <v>2025</v>
      </c>
      <c r="C10" s="55" t="s">
        <v>1552</v>
      </c>
      <c r="D10" s="55" t="s">
        <v>1562</v>
      </c>
      <c r="E10" s="55" t="s">
        <v>3471</v>
      </c>
      <c r="F10" s="55" t="s">
        <v>3486</v>
      </c>
      <c r="G10" s="55" t="s">
        <v>3487</v>
      </c>
      <c r="H10" s="55" t="s">
        <v>3474</v>
      </c>
      <c r="I10" s="55" t="s">
        <v>1123</v>
      </c>
      <c r="J10" s="56">
        <v>53</v>
      </c>
      <c r="K10" s="55" t="s">
        <v>3382</v>
      </c>
      <c r="L10" s="67" t="s">
        <v>3475</v>
      </c>
      <c r="M10" s="67" t="s">
        <v>3488</v>
      </c>
    </row>
    <row r="11" spans="1:13" ht="139.94999999999999" customHeight="1" x14ac:dyDescent="0.3">
      <c r="A11" s="50" t="s">
        <v>68</v>
      </c>
      <c r="B11" s="54">
        <v>2021</v>
      </c>
      <c r="C11" s="50" t="s">
        <v>1552</v>
      </c>
      <c r="D11" s="50" t="s">
        <v>1553</v>
      </c>
      <c r="E11" s="50" t="s">
        <v>3471</v>
      </c>
      <c r="F11" s="50" t="s">
        <v>3489</v>
      </c>
      <c r="G11" s="50" t="s">
        <v>3473</v>
      </c>
      <c r="H11" s="50" t="s">
        <v>3474</v>
      </c>
      <c r="I11" s="50" t="s">
        <v>1598</v>
      </c>
      <c r="J11" s="54">
        <v>166</v>
      </c>
      <c r="K11" s="50" t="s">
        <v>3385</v>
      </c>
      <c r="L11" s="68" t="s">
        <v>3490</v>
      </c>
      <c r="M11" s="68" t="s">
        <v>3491</v>
      </c>
    </row>
    <row r="12" spans="1:13" ht="139.94999999999999" customHeight="1" x14ac:dyDescent="0.3">
      <c r="A12" s="55" t="s">
        <v>68</v>
      </c>
      <c r="B12" s="56">
        <v>2022</v>
      </c>
      <c r="C12" s="55" t="s">
        <v>1552</v>
      </c>
      <c r="D12" s="55" t="s">
        <v>1556</v>
      </c>
      <c r="E12" s="55" t="s">
        <v>3471</v>
      </c>
      <c r="F12" s="55" t="s">
        <v>3492</v>
      </c>
      <c r="G12" s="55" t="s">
        <v>3478</v>
      </c>
      <c r="H12" s="55" t="s">
        <v>3474</v>
      </c>
      <c r="I12" s="55" t="s">
        <v>1598</v>
      </c>
      <c r="J12" s="56">
        <v>166</v>
      </c>
      <c r="K12" s="55" t="s">
        <v>3385</v>
      </c>
      <c r="L12" s="67" t="s">
        <v>3490</v>
      </c>
      <c r="M12" s="67" t="s">
        <v>3493</v>
      </c>
    </row>
    <row r="13" spans="1:13" ht="139.94999999999999" customHeight="1" x14ac:dyDescent="0.3">
      <c r="A13" s="50" t="s">
        <v>68</v>
      </c>
      <c r="B13" s="54">
        <v>2023</v>
      </c>
      <c r="C13" s="50" t="s">
        <v>1552</v>
      </c>
      <c r="D13" s="50" t="s">
        <v>1558</v>
      </c>
      <c r="E13" s="50" t="s">
        <v>3471</v>
      </c>
      <c r="F13" s="50" t="s">
        <v>3494</v>
      </c>
      <c r="G13" s="50" t="s">
        <v>3481</v>
      </c>
      <c r="H13" s="50" t="s">
        <v>3474</v>
      </c>
      <c r="I13" s="50" t="s">
        <v>1598</v>
      </c>
      <c r="J13" s="54">
        <v>166</v>
      </c>
      <c r="K13" s="50" t="s">
        <v>3385</v>
      </c>
      <c r="L13" s="68" t="s">
        <v>3490</v>
      </c>
      <c r="M13" s="68" t="s">
        <v>3495</v>
      </c>
    </row>
    <row r="14" spans="1:13" ht="139.94999999999999" customHeight="1" x14ac:dyDescent="0.3">
      <c r="A14" s="55" t="s">
        <v>68</v>
      </c>
      <c r="B14" s="56">
        <v>2024</v>
      </c>
      <c r="C14" s="55" t="s">
        <v>1552</v>
      </c>
      <c r="D14" s="55" t="s">
        <v>1560</v>
      </c>
      <c r="E14" s="55" t="s">
        <v>3471</v>
      </c>
      <c r="F14" s="55" t="s">
        <v>3496</v>
      </c>
      <c r="G14" s="55" t="s">
        <v>3484</v>
      </c>
      <c r="H14" s="55" t="s">
        <v>3474</v>
      </c>
      <c r="I14" s="55" t="s">
        <v>1598</v>
      </c>
      <c r="J14" s="56">
        <v>166</v>
      </c>
      <c r="K14" s="55" t="s">
        <v>3385</v>
      </c>
      <c r="L14" s="67" t="s">
        <v>3490</v>
      </c>
      <c r="M14" s="67" t="s">
        <v>3497</v>
      </c>
    </row>
    <row r="15" spans="1:13" ht="139.94999999999999" customHeight="1" x14ac:dyDescent="0.3">
      <c r="A15" s="50" t="s">
        <v>68</v>
      </c>
      <c r="B15" s="54">
        <v>2025</v>
      </c>
      <c r="C15" s="50" t="s">
        <v>1552</v>
      </c>
      <c r="D15" s="50" t="s">
        <v>1562</v>
      </c>
      <c r="E15" s="50" t="s">
        <v>3471</v>
      </c>
      <c r="F15" s="50" t="s">
        <v>3498</v>
      </c>
      <c r="G15" s="50" t="s">
        <v>3487</v>
      </c>
      <c r="H15" s="50" t="s">
        <v>3474</v>
      </c>
      <c r="I15" s="50" t="s">
        <v>1598</v>
      </c>
      <c r="J15" s="54">
        <v>166</v>
      </c>
      <c r="K15" s="50" t="s">
        <v>3385</v>
      </c>
      <c r="L15" s="68" t="s">
        <v>3490</v>
      </c>
      <c r="M15" s="68" t="s">
        <v>3499</v>
      </c>
    </row>
    <row r="16" spans="1:13" ht="139.94999999999999" customHeight="1" x14ac:dyDescent="0.3">
      <c r="A16" s="55" t="s">
        <v>86</v>
      </c>
      <c r="B16" s="56">
        <v>2021</v>
      </c>
      <c r="C16" s="55" t="s">
        <v>1552</v>
      </c>
      <c r="D16" s="55" t="s">
        <v>1553</v>
      </c>
      <c r="E16" s="55" t="s">
        <v>3471</v>
      </c>
      <c r="F16" s="55" t="s">
        <v>3500</v>
      </c>
      <c r="G16" s="55" t="s">
        <v>3473</v>
      </c>
      <c r="H16" s="55" t="s">
        <v>3474</v>
      </c>
      <c r="I16" s="55" t="s">
        <v>2043</v>
      </c>
      <c r="J16" s="56">
        <v>108</v>
      </c>
      <c r="K16" s="55" t="s">
        <v>3390</v>
      </c>
      <c r="L16" s="67" t="s">
        <v>3501</v>
      </c>
      <c r="M16" s="67" t="s">
        <v>3502</v>
      </c>
    </row>
    <row r="17" spans="1:13" ht="139.94999999999999" customHeight="1" x14ac:dyDescent="0.3">
      <c r="A17" s="50" t="s">
        <v>86</v>
      </c>
      <c r="B17" s="54">
        <v>2022</v>
      </c>
      <c r="C17" s="50" t="s">
        <v>1552</v>
      </c>
      <c r="D17" s="50" t="s">
        <v>1556</v>
      </c>
      <c r="E17" s="50" t="s">
        <v>3471</v>
      </c>
      <c r="F17" s="50" t="s">
        <v>3503</v>
      </c>
      <c r="G17" s="50" t="s">
        <v>3478</v>
      </c>
      <c r="H17" s="50" t="s">
        <v>3474</v>
      </c>
      <c r="I17" s="50" t="s">
        <v>2043</v>
      </c>
      <c r="J17" s="54">
        <v>108</v>
      </c>
      <c r="K17" s="50" t="s">
        <v>3390</v>
      </c>
      <c r="L17" s="68" t="s">
        <v>3501</v>
      </c>
      <c r="M17" s="68" t="s">
        <v>3504</v>
      </c>
    </row>
    <row r="18" spans="1:13" ht="139.94999999999999" customHeight="1" x14ac:dyDescent="0.3">
      <c r="A18" s="55" t="s">
        <v>86</v>
      </c>
      <c r="B18" s="56">
        <v>2023</v>
      </c>
      <c r="C18" s="55" t="s">
        <v>1552</v>
      </c>
      <c r="D18" s="55" t="s">
        <v>1558</v>
      </c>
      <c r="E18" s="55" t="s">
        <v>3471</v>
      </c>
      <c r="F18" s="55" t="s">
        <v>3505</v>
      </c>
      <c r="G18" s="55" t="s">
        <v>3481</v>
      </c>
      <c r="H18" s="55" t="s">
        <v>3474</v>
      </c>
      <c r="I18" s="55" t="s">
        <v>2043</v>
      </c>
      <c r="J18" s="56">
        <v>108</v>
      </c>
      <c r="K18" s="55" t="s">
        <v>3390</v>
      </c>
      <c r="L18" s="67" t="s">
        <v>3501</v>
      </c>
      <c r="M18" s="67" t="s">
        <v>3506</v>
      </c>
    </row>
    <row r="19" spans="1:13" ht="139.94999999999999" customHeight="1" x14ac:dyDescent="0.3">
      <c r="A19" s="50" t="s">
        <v>86</v>
      </c>
      <c r="B19" s="54">
        <v>2024</v>
      </c>
      <c r="C19" s="50" t="s">
        <v>1552</v>
      </c>
      <c r="D19" s="50" t="s">
        <v>1560</v>
      </c>
      <c r="E19" s="50" t="s">
        <v>3471</v>
      </c>
      <c r="F19" s="50" t="s">
        <v>3507</v>
      </c>
      <c r="G19" s="50" t="s">
        <v>3484</v>
      </c>
      <c r="H19" s="50" t="s">
        <v>3474</v>
      </c>
      <c r="I19" s="50" t="s">
        <v>2043</v>
      </c>
      <c r="J19" s="54">
        <v>108</v>
      </c>
      <c r="K19" s="50" t="s">
        <v>3390</v>
      </c>
      <c r="L19" s="68" t="s">
        <v>3501</v>
      </c>
      <c r="M19" s="68" t="s">
        <v>3508</v>
      </c>
    </row>
    <row r="20" spans="1:13" ht="139.94999999999999" customHeight="1" x14ac:dyDescent="0.3">
      <c r="A20" s="55" t="s">
        <v>86</v>
      </c>
      <c r="B20" s="56">
        <v>2025</v>
      </c>
      <c r="C20" s="55" t="s">
        <v>1552</v>
      </c>
      <c r="D20" s="55" t="s">
        <v>1562</v>
      </c>
      <c r="E20" s="55" t="s">
        <v>3471</v>
      </c>
      <c r="F20" s="55" t="s">
        <v>3509</v>
      </c>
      <c r="G20" s="55" t="s">
        <v>3487</v>
      </c>
      <c r="H20" s="55" t="s">
        <v>3474</v>
      </c>
      <c r="I20" s="55" t="s">
        <v>2043</v>
      </c>
      <c r="J20" s="56">
        <v>108</v>
      </c>
      <c r="K20" s="55" t="s">
        <v>3390</v>
      </c>
      <c r="L20" s="67" t="s">
        <v>3501</v>
      </c>
      <c r="M20" s="67" t="s">
        <v>3510</v>
      </c>
    </row>
    <row r="21" spans="1:13" ht="139.94999999999999" customHeight="1" x14ac:dyDescent="0.3">
      <c r="A21" s="50" t="s">
        <v>106</v>
      </c>
      <c r="B21" s="54">
        <v>2021</v>
      </c>
      <c r="C21" s="50" t="s">
        <v>1552</v>
      </c>
      <c r="D21" s="50" t="s">
        <v>1553</v>
      </c>
      <c r="E21" s="50" t="s">
        <v>3471</v>
      </c>
      <c r="F21" s="50" t="s">
        <v>3511</v>
      </c>
      <c r="G21" s="50" t="s">
        <v>3473</v>
      </c>
      <c r="H21" s="50" t="s">
        <v>3474</v>
      </c>
      <c r="I21" s="50" t="s">
        <v>1598</v>
      </c>
      <c r="J21" s="54">
        <v>175</v>
      </c>
      <c r="K21" s="50" t="s">
        <v>3394</v>
      </c>
      <c r="L21" s="68" t="s">
        <v>3512</v>
      </c>
      <c r="M21" s="68" t="s">
        <v>3513</v>
      </c>
    </row>
    <row r="22" spans="1:13" ht="139.94999999999999" customHeight="1" x14ac:dyDescent="0.3">
      <c r="A22" s="55" t="s">
        <v>106</v>
      </c>
      <c r="B22" s="56">
        <v>2022</v>
      </c>
      <c r="C22" s="55" t="s">
        <v>1552</v>
      </c>
      <c r="D22" s="55" t="s">
        <v>1556</v>
      </c>
      <c r="E22" s="55" t="s">
        <v>3471</v>
      </c>
      <c r="F22" s="55" t="s">
        <v>3514</v>
      </c>
      <c r="G22" s="55" t="s">
        <v>3478</v>
      </c>
      <c r="H22" s="55" t="s">
        <v>3474</v>
      </c>
      <c r="I22" s="55" t="s">
        <v>1598</v>
      </c>
      <c r="J22" s="56">
        <v>175</v>
      </c>
      <c r="K22" s="55" t="s">
        <v>3394</v>
      </c>
      <c r="L22" s="67" t="s">
        <v>3512</v>
      </c>
      <c r="M22" s="67" t="s">
        <v>3515</v>
      </c>
    </row>
    <row r="23" spans="1:13" ht="139.94999999999999" customHeight="1" x14ac:dyDescent="0.3">
      <c r="A23" s="50" t="s">
        <v>106</v>
      </c>
      <c r="B23" s="54">
        <v>2023</v>
      </c>
      <c r="C23" s="50" t="s">
        <v>1552</v>
      </c>
      <c r="D23" s="50" t="s">
        <v>1558</v>
      </c>
      <c r="E23" s="50" t="s">
        <v>3471</v>
      </c>
      <c r="F23" s="50" t="s">
        <v>3516</v>
      </c>
      <c r="G23" s="50" t="s">
        <v>3481</v>
      </c>
      <c r="H23" s="50" t="s">
        <v>3474</v>
      </c>
      <c r="I23" s="50" t="s">
        <v>1598</v>
      </c>
      <c r="J23" s="54">
        <v>175</v>
      </c>
      <c r="K23" s="50" t="s">
        <v>3394</v>
      </c>
      <c r="L23" s="68" t="s">
        <v>3512</v>
      </c>
      <c r="M23" s="68" t="s">
        <v>3517</v>
      </c>
    </row>
    <row r="24" spans="1:13" ht="139.94999999999999" customHeight="1" x14ac:dyDescent="0.3">
      <c r="A24" s="55" t="s">
        <v>106</v>
      </c>
      <c r="B24" s="56">
        <v>2024</v>
      </c>
      <c r="C24" s="55" t="s">
        <v>1552</v>
      </c>
      <c r="D24" s="55" t="s">
        <v>1560</v>
      </c>
      <c r="E24" s="55" t="s">
        <v>3471</v>
      </c>
      <c r="F24" s="55" t="s">
        <v>3518</v>
      </c>
      <c r="G24" s="55" t="s">
        <v>3484</v>
      </c>
      <c r="H24" s="55" t="s">
        <v>3474</v>
      </c>
      <c r="I24" s="55" t="s">
        <v>1598</v>
      </c>
      <c r="J24" s="56">
        <v>175</v>
      </c>
      <c r="K24" s="55" t="s">
        <v>3394</v>
      </c>
      <c r="L24" s="67" t="s">
        <v>3512</v>
      </c>
      <c r="M24" s="67" t="s">
        <v>3519</v>
      </c>
    </row>
    <row r="25" spans="1:13" ht="139.94999999999999" customHeight="1" x14ac:dyDescent="0.3">
      <c r="A25" s="50" t="s">
        <v>106</v>
      </c>
      <c r="B25" s="54">
        <v>2025</v>
      </c>
      <c r="C25" s="50" t="s">
        <v>1552</v>
      </c>
      <c r="D25" s="50" t="s">
        <v>1562</v>
      </c>
      <c r="E25" s="50" t="s">
        <v>3471</v>
      </c>
      <c r="F25" s="50" t="s">
        <v>3520</v>
      </c>
      <c r="G25" s="50" t="s">
        <v>3487</v>
      </c>
      <c r="H25" s="50" t="s">
        <v>3474</v>
      </c>
      <c r="I25" s="50" t="s">
        <v>1598</v>
      </c>
      <c r="J25" s="54">
        <v>175</v>
      </c>
      <c r="K25" s="50" t="s">
        <v>3394</v>
      </c>
      <c r="L25" s="68" t="s">
        <v>3512</v>
      </c>
      <c r="M25" s="68" t="s">
        <v>3521</v>
      </c>
    </row>
    <row r="26" spans="1:13" ht="139.94999999999999" customHeight="1" x14ac:dyDescent="0.3">
      <c r="A26" s="55" t="s">
        <v>114</v>
      </c>
      <c r="B26" s="56">
        <v>2021</v>
      </c>
      <c r="C26" s="55" t="s">
        <v>1552</v>
      </c>
      <c r="D26" s="55" t="s">
        <v>1553</v>
      </c>
      <c r="E26" s="55" t="s">
        <v>3471</v>
      </c>
      <c r="F26" s="55" t="s">
        <v>3522</v>
      </c>
      <c r="G26" s="55" t="s">
        <v>3473</v>
      </c>
      <c r="H26" s="55" t="s">
        <v>3474</v>
      </c>
      <c r="I26" s="55" t="s">
        <v>2925</v>
      </c>
      <c r="J26" s="56">
        <v>216</v>
      </c>
      <c r="K26" s="55" t="s">
        <v>3398</v>
      </c>
      <c r="L26" s="67" t="s">
        <v>3523</v>
      </c>
      <c r="M26" s="67" t="s">
        <v>3524</v>
      </c>
    </row>
    <row r="27" spans="1:13" ht="139.94999999999999" customHeight="1" x14ac:dyDescent="0.3">
      <c r="A27" s="50" t="s">
        <v>114</v>
      </c>
      <c r="B27" s="54">
        <v>2022</v>
      </c>
      <c r="C27" s="50" t="s">
        <v>1552</v>
      </c>
      <c r="D27" s="50" t="s">
        <v>1556</v>
      </c>
      <c r="E27" s="50" t="s">
        <v>3471</v>
      </c>
      <c r="F27" s="50" t="s">
        <v>3525</v>
      </c>
      <c r="G27" s="50" t="s">
        <v>3478</v>
      </c>
      <c r="H27" s="50" t="s">
        <v>3474</v>
      </c>
      <c r="I27" s="50" t="s">
        <v>2925</v>
      </c>
      <c r="J27" s="54">
        <v>216</v>
      </c>
      <c r="K27" s="50" t="s">
        <v>3398</v>
      </c>
      <c r="L27" s="68" t="s">
        <v>3523</v>
      </c>
      <c r="M27" s="68" t="s">
        <v>3526</v>
      </c>
    </row>
    <row r="28" spans="1:13" ht="139.94999999999999" customHeight="1" x14ac:dyDescent="0.3">
      <c r="A28" s="55" t="s">
        <v>114</v>
      </c>
      <c r="B28" s="56">
        <v>2023</v>
      </c>
      <c r="C28" s="55" t="s">
        <v>1552</v>
      </c>
      <c r="D28" s="55" t="s">
        <v>1558</v>
      </c>
      <c r="E28" s="55" t="s">
        <v>3471</v>
      </c>
      <c r="F28" s="55" t="s">
        <v>3527</v>
      </c>
      <c r="G28" s="55" t="s">
        <v>3481</v>
      </c>
      <c r="H28" s="55" t="s">
        <v>3474</v>
      </c>
      <c r="I28" s="55" t="s">
        <v>2925</v>
      </c>
      <c r="J28" s="56">
        <v>216</v>
      </c>
      <c r="K28" s="55" t="s">
        <v>3398</v>
      </c>
      <c r="L28" s="67" t="s">
        <v>3523</v>
      </c>
      <c r="M28" s="67" t="s">
        <v>3528</v>
      </c>
    </row>
    <row r="29" spans="1:13" ht="139.94999999999999" customHeight="1" x14ac:dyDescent="0.3">
      <c r="A29" s="50" t="s">
        <v>114</v>
      </c>
      <c r="B29" s="54">
        <v>2024</v>
      </c>
      <c r="C29" s="50" t="s">
        <v>1552</v>
      </c>
      <c r="D29" s="50" t="s">
        <v>1560</v>
      </c>
      <c r="E29" s="50" t="s">
        <v>3471</v>
      </c>
      <c r="F29" s="50" t="s">
        <v>3529</v>
      </c>
      <c r="G29" s="50" t="s">
        <v>3484</v>
      </c>
      <c r="H29" s="50" t="s">
        <v>3474</v>
      </c>
      <c r="I29" s="50" t="s">
        <v>2925</v>
      </c>
      <c r="J29" s="54">
        <v>216</v>
      </c>
      <c r="K29" s="50" t="s">
        <v>3398</v>
      </c>
      <c r="L29" s="68" t="s">
        <v>3523</v>
      </c>
      <c r="M29" s="68" t="s">
        <v>3530</v>
      </c>
    </row>
    <row r="30" spans="1:13" ht="139.94999999999999" customHeight="1" x14ac:dyDescent="0.3">
      <c r="A30" s="55" t="s">
        <v>114</v>
      </c>
      <c r="B30" s="56">
        <v>2025</v>
      </c>
      <c r="C30" s="55" t="s">
        <v>1552</v>
      </c>
      <c r="D30" s="55" t="s">
        <v>1562</v>
      </c>
      <c r="E30" s="55" t="s">
        <v>3471</v>
      </c>
      <c r="F30" s="55" t="s">
        <v>3531</v>
      </c>
      <c r="G30" s="55" t="s">
        <v>3487</v>
      </c>
      <c r="H30" s="55" t="s">
        <v>3474</v>
      </c>
      <c r="I30" s="55" t="s">
        <v>2925</v>
      </c>
      <c r="J30" s="56">
        <v>216</v>
      </c>
      <c r="K30" s="55" t="s">
        <v>3398</v>
      </c>
      <c r="L30" s="67" t="s">
        <v>3523</v>
      </c>
      <c r="M30" s="67" t="s">
        <v>3532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30"/>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2" width="10" customWidth="1"/>
    <col min="3" max="3" width="8" customWidth="1"/>
    <col min="4" max="4" width="40" customWidth="1"/>
    <col min="5" max="5" width="15" customWidth="1"/>
    <col min="6" max="8" width="23" customWidth="1"/>
    <col min="9" max="11" width="25" customWidth="1"/>
    <col min="12" max="13" width="24" customWidth="1"/>
    <col min="14" max="14" width="12" customWidth="1"/>
    <col min="15" max="15" width="65" customWidth="1"/>
    <col min="16" max="16" width="24" customWidth="1"/>
  </cols>
  <sheetData>
    <row r="1" spans="1:16" ht="25.95" customHeight="1" x14ac:dyDescent="0.3">
      <c r="A1" s="50"/>
      <c r="B1" s="50"/>
      <c r="C1" s="50"/>
      <c r="D1" s="50"/>
      <c r="E1" s="50"/>
      <c r="F1" s="50"/>
      <c r="G1" s="50"/>
      <c r="H1" s="50"/>
      <c r="I1" s="50"/>
      <c r="J1" s="50"/>
      <c r="K1" s="50"/>
      <c r="L1" s="50"/>
      <c r="M1" s="50"/>
      <c r="N1" s="50"/>
      <c r="O1" s="50"/>
      <c r="P1" s="50"/>
    </row>
    <row r="2" spans="1:16" ht="25.95" customHeight="1" x14ac:dyDescent="0.3">
      <c r="A2" s="51" t="s">
        <v>9359</v>
      </c>
      <c r="B2" s="50"/>
      <c r="C2" s="50"/>
      <c r="D2" s="50"/>
      <c r="E2" s="50"/>
      <c r="F2" s="50"/>
      <c r="G2" s="50"/>
      <c r="H2" s="50"/>
      <c r="I2" s="50"/>
      <c r="J2" s="50"/>
      <c r="K2" s="50"/>
      <c r="L2" s="50"/>
      <c r="M2" s="50"/>
      <c r="N2" s="50"/>
      <c r="O2" s="50"/>
      <c r="P2" s="50"/>
    </row>
    <row r="3" spans="1:16" ht="25.95" customHeight="1" x14ac:dyDescent="0.3">
      <c r="A3" s="117" t="s">
        <v>3533</v>
      </c>
      <c r="B3" s="50"/>
      <c r="C3" s="50"/>
      <c r="D3" s="50"/>
      <c r="E3" s="50"/>
      <c r="F3" s="50"/>
      <c r="G3" s="50"/>
      <c r="H3" s="50"/>
      <c r="I3" s="50"/>
      <c r="J3" s="50"/>
      <c r="K3" s="50"/>
      <c r="L3" s="50"/>
      <c r="M3" s="50"/>
      <c r="N3" s="50"/>
      <c r="O3" s="50"/>
      <c r="P3" s="50"/>
    </row>
    <row r="4" spans="1:16" ht="25.95" customHeight="1" x14ac:dyDescent="0.3">
      <c r="A4" s="50"/>
      <c r="B4" s="50"/>
      <c r="C4" s="50"/>
      <c r="D4" s="50"/>
      <c r="E4" s="50"/>
      <c r="F4" s="50"/>
      <c r="G4" s="50"/>
      <c r="H4" s="50"/>
      <c r="I4" s="50"/>
      <c r="J4" s="50"/>
      <c r="K4" s="50"/>
      <c r="L4" s="50"/>
      <c r="M4" s="50"/>
      <c r="N4" s="50"/>
      <c r="O4" s="50"/>
      <c r="P4" s="50"/>
    </row>
    <row r="5" spans="1:16" ht="40.049999999999997" customHeight="1" x14ac:dyDescent="0.3">
      <c r="A5" s="118" t="s">
        <v>1</v>
      </c>
      <c r="B5" s="118" t="s">
        <v>3</v>
      </c>
      <c r="C5" s="118" t="s">
        <v>907</v>
      </c>
      <c r="D5" s="118" t="s">
        <v>908</v>
      </c>
      <c r="E5" s="118" t="s">
        <v>3534</v>
      </c>
      <c r="F5" s="118" t="s">
        <v>3535</v>
      </c>
      <c r="G5" s="118" t="s">
        <v>3536</v>
      </c>
      <c r="H5" s="118" t="s">
        <v>3537</v>
      </c>
      <c r="I5" s="118" t="s">
        <v>3538</v>
      </c>
      <c r="J5" s="118" t="s">
        <v>3539</v>
      </c>
      <c r="K5" s="118" t="s">
        <v>3540</v>
      </c>
      <c r="L5" s="118" t="s">
        <v>3541</v>
      </c>
      <c r="M5" s="118" t="s">
        <v>3542</v>
      </c>
      <c r="N5" s="118" t="s">
        <v>964</v>
      </c>
      <c r="O5" s="118" t="s">
        <v>3543</v>
      </c>
      <c r="P5" s="118" t="s">
        <v>906</v>
      </c>
    </row>
    <row r="6" spans="1:16" ht="25.95" customHeight="1" x14ac:dyDescent="0.3">
      <c r="A6" s="119" t="s">
        <v>18</v>
      </c>
      <c r="B6" s="119">
        <v>2021</v>
      </c>
      <c r="C6" s="119">
        <v>1</v>
      </c>
      <c r="D6" s="119" t="s">
        <v>19</v>
      </c>
      <c r="E6" s="119" t="s">
        <v>3544</v>
      </c>
      <c r="F6" s="120">
        <f>KOHC!D36</f>
        <v>9848.7987139999987</v>
      </c>
      <c r="G6" s="120">
        <f>KOHC!D61</f>
        <v>7572.2439400000003</v>
      </c>
      <c r="H6" s="120">
        <f t="shared" ref="H6:H69" si="0">IF(G6&lt;=0,"n/m",F6/G6)</f>
        <v>1.3006446691414961</v>
      </c>
      <c r="I6" s="120">
        <v>9848.7987140000005</v>
      </c>
      <c r="J6" s="120">
        <v>7572.2439400000003</v>
      </c>
      <c r="K6" s="120">
        <v>1.3006446691414963</v>
      </c>
      <c r="L6" s="125">
        <v>1.3006446691414963</v>
      </c>
      <c r="M6" s="125">
        <f>KOHC!D138</f>
        <v>1.3006446691414961</v>
      </c>
      <c r="N6" s="126" t="str">
        <f t="shared" ref="N6:N69" si="1">IF(AND(ABS(F6-I6)&lt;0.000001,ABS(G6-J6)&lt;0.000001,IF(ISNUMBER(L6),IF(ISNUMBER(M6),ABS(L6-M6)&lt;0.00000001,FALSE),M6=L6)),"PASS","FAIL")</f>
        <v>PASS</v>
      </c>
      <c r="O6" s="122"/>
      <c r="P6" s="119" t="s">
        <v>459</v>
      </c>
    </row>
    <row r="7" spans="1:16" ht="25.95" customHeight="1" x14ac:dyDescent="0.3">
      <c r="A7" s="50" t="s">
        <v>18</v>
      </c>
      <c r="B7" s="50">
        <v>2021</v>
      </c>
      <c r="C7" s="50">
        <v>2</v>
      </c>
      <c r="D7" s="50" t="s">
        <v>30</v>
      </c>
      <c r="E7" s="50" t="s">
        <v>3544</v>
      </c>
      <c r="F7" s="121">
        <f>KOHC!D36-KOHC!D65</f>
        <v>5665.2533469999989</v>
      </c>
      <c r="G7" s="121">
        <f>KOHC!D61</f>
        <v>7572.2439400000003</v>
      </c>
      <c r="H7" s="121">
        <f t="shared" si="0"/>
        <v>0.74816043855554903</v>
      </c>
      <c r="I7" s="121">
        <v>5665.2533470000008</v>
      </c>
      <c r="J7" s="121">
        <v>7572.2439400000003</v>
      </c>
      <c r="K7" s="121">
        <v>0.74816043855554926</v>
      </c>
      <c r="L7" s="127">
        <v>0.74816043855554926</v>
      </c>
      <c r="M7" s="127">
        <f>KOHC!D139</f>
        <v>0.74816043855554903</v>
      </c>
      <c r="N7" s="128" t="str">
        <f t="shared" si="1"/>
        <v>PASS</v>
      </c>
      <c r="O7" s="68"/>
      <c r="P7" s="50" t="s">
        <v>459</v>
      </c>
    </row>
    <row r="8" spans="1:16" ht="25.95" customHeight="1" x14ac:dyDescent="0.3">
      <c r="A8" s="119" t="s">
        <v>18</v>
      </c>
      <c r="B8" s="119">
        <v>2021</v>
      </c>
      <c r="C8" s="119">
        <v>3</v>
      </c>
      <c r="D8" s="119" t="s">
        <v>145</v>
      </c>
      <c r="E8" s="119" t="s">
        <v>3544</v>
      </c>
      <c r="F8" s="120">
        <f>KOHC!D34</f>
        <v>1197.729351</v>
      </c>
      <c r="G8" s="120">
        <f>KOHC!D61</f>
        <v>7572.2439400000003</v>
      </c>
      <c r="H8" s="120">
        <f t="shared" si="0"/>
        <v>0.15817363525137568</v>
      </c>
      <c r="I8" s="120">
        <v>1197.729351</v>
      </c>
      <c r="J8" s="120">
        <v>7572.2439400000003</v>
      </c>
      <c r="K8" s="120">
        <v>0.15817363525137568</v>
      </c>
      <c r="L8" s="125">
        <v>0.15817363525137568</v>
      </c>
      <c r="M8" s="125">
        <f>KOHC!D140</f>
        <v>0.15817363525137568</v>
      </c>
      <c r="N8" s="126" t="str">
        <f t="shared" si="1"/>
        <v>PASS</v>
      </c>
      <c r="O8" s="122"/>
      <c r="P8" s="119" t="s">
        <v>459</v>
      </c>
    </row>
    <row r="9" spans="1:16" ht="25.95" customHeight="1" x14ac:dyDescent="0.3">
      <c r="A9" s="50" t="s">
        <v>18</v>
      </c>
      <c r="B9" s="50">
        <v>2021</v>
      </c>
      <c r="C9" s="50">
        <v>4</v>
      </c>
      <c r="D9" s="50" t="s">
        <v>201</v>
      </c>
      <c r="E9" s="50" t="s">
        <v>3545</v>
      </c>
      <c r="F9" s="121">
        <f>KOHC!D36-KOHC!D61</f>
        <v>2276.5547739999984</v>
      </c>
      <c r="G9" s="121">
        <f>1</f>
        <v>1</v>
      </c>
      <c r="H9" s="121">
        <f t="shared" si="0"/>
        <v>2276.5547739999984</v>
      </c>
      <c r="I9" s="121">
        <v>2276.5547740000002</v>
      </c>
      <c r="J9" s="121">
        <v>1</v>
      </c>
      <c r="K9" s="121">
        <v>2276.5547740000002</v>
      </c>
      <c r="L9" s="127">
        <v>2276.5547740000002</v>
      </c>
      <c r="M9" s="127">
        <f>KOHC!D141</f>
        <v>2276.5547739999984</v>
      </c>
      <c r="N9" s="128" t="str">
        <f t="shared" si="1"/>
        <v>PASS</v>
      </c>
      <c r="O9" s="68"/>
      <c r="P9" s="50" t="s">
        <v>459</v>
      </c>
    </row>
    <row r="10" spans="1:16" ht="25.95" customHeight="1" x14ac:dyDescent="0.3">
      <c r="A10" s="119" t="s">
        <v>18</v>
      </c>
      <c r="B10" s="119">
        <v>2021</v>
      </c>
      <c r="C10" s="119">
        <v>5</v>
      </c>
      <c r="D10" s="119" t="s">
        <v>923</v>
      </c>
      <c r="E10" s="119" t="s">
        <v>3545</v>
      </c>
      <c r="F10" s="120">
        <f>KOHC!D72-KOHC!D73</f>
        <v>-106.83863200000178</v>
      </c>
      <c r="G10" s="120">
        <f>1</f>
        <v>1</v>
      </c>
      <c r="H10" s="120">
        <f t="shared" si="0"/>
        <v>-106.83863200000178</v>
      </c>
      <c r="I10" s="120">
        <v>-106.83863199999996</v>
      </c>
      <c r="J10" s="120">
        <v>1</v>
      </c>
      <c r="K10" s="120">
        <v>-106.83863199999996</v>
      </c>
      <c r="L10" s="125" t="s">
        <v>3546</v>
      </c>
      <c r="M10" s="125" t="str">
        <f>KOHC!D142</f>
        <v>n/m</v>
      </c>
      <c r="N10" s="126" t="str">
        <f t="shared" si="1"/>
        <v>PASS</v>
      </c>
      <c r="O10" s="122" t="s">
        <v>3547</v>
      </c>
      <c r="P10" s="119" t="s">
        <v>459</v>
      </c>
    </row>
    <row r="11" spans="1:16" ht="25.95" customHeight="1" x14ac:dyDescent="0.3">
      <c r="A11" s="50" t="s">
        <v>18</v>
      </c>
      <c r="B11" s="50">
        <v>2021</v>
      </c>
      <c r="C11" s="50">
        <v>6</v>
      </c>
      <c r="D11" s="50" t="s">
        <v>31</v>
      </c>
      <c r="E11" s="50" t="s">
        <v>3544</v>
      </c>
      <c r="F11" s="121">
        <f>-KOHC!D85</f>
        <v>18092.026933000001</v>
      </c>
      <c r="G11" s="121">
        <f>AVERAGE(KOHC!C65,KOHC!D65)</f>
        <v>3724.8630134999999</v>
      </c>
      <c r="H11" s="121">
        <f t="shared" si="0"/>
        <v>4.8570986013255171</v>
      </c>
      <c r="I11" s="121">
        <v>18092.026933000001</v>
      </c>
      <c r="J11" s="121">
        <v>3724.8630134999999</v>
      </c>
      <c r="K11" s="121">
        <v>4.8570986013255171</v>
      </c>
      <c r="L11" s="127">
        <v>4.8570986013255171</v>
      </c>
      <c r="M11" s="127">
        <f>KOHC!D144</f>
        <v>4.8570986013255171</v>
      </c>
      <c r="N11" s="128" t="str">
        <f t="shared" si="1"/>
        <v>PASS</v>
      </c>
      <c r="O11" s="68"/>
      <c r="P11" s="50" t="s">
        <v>471</v>
      </c>
    </row>
    <row r="12" spans="1:16" ht="25.95" customHeight="1" x14ac:dyDescent="0.3">
      <c r="A12" s="119" t="s">
        <v>18</v>
      </c>
      <c r="B12" s="119">
        <v>2021</v>
      </c>
      <c r="C12" s="119">
        <v>7</v>
      </c>
      <c r="D12" s="119" t="s">
        <v>129</v>
      </c>
      <c r="E12" s="119" t="s">
        <v>3545</v>
      </c>
      <c r="F12" s="120">
        <f>KOHC!D84</f>
        <v>24057.375992000001</v>
      </c>
      <c r="G12" s="120">
        <f>AVERAGE(KOHC!C32,KOHC!D32)</f>
        <v>738.94171449999999</v>
      </c>
      <c r="H12" s="120">
        <f t="shared" si="0"/>
        <v>32.556527152183129</v>
      </c>
      <c r="I12" s="120">
        <v>24057.375992000001</v>
      </c>
      <c r="J12" s="120">
        <v>738.94171449999999</v>
      </c>
      <c r="K12" s="120">
        <v>32.556527152183129</v>
      </c>
      <c r="L12" s="125">
        <v>32.556527152183129</v>
      </c>
      <c r="M12" s="125">
        <f>KOHC!D145</f>
        <v>32.556527152183129</v>
      </c>
      <c r="N12" s="126" t="str">
        <f t="shared" si="1"/>
        <v>PASS</v>
      </c>
      <c r="O12" s="122"/>
      <c r="P12" s="119" t="s">
        <v>471</v>
      </c>
    </row>
    <row r="13" spans="1:16" ht="25.95" customHeight="1" x14ac:dyDescent="0.3">
      <c r="A13" s="50" t="s">
        <v>18</v>
      </c>
      <c r="B13" s="50">
        <v>2021</v>
      </c>
      <c r="C13" s="50">
        <v>8</v>
      </c>
      <c r="D13" s="50" t="s">
        <v>133</v>
      </c>
      <c r="E13" s="50" t="s">
        <v>3545</v>
      </c>
      <c r="F13" s="121">
        <f>-KOHC!D85</f>
        <v>18092.026933000001</v>
      </c>
      <c r="G13" s="121">
        <f>AVERAGE(KOHC!C51,KOHC!D51)</f>
        <v>1323.2292579999998</v>
      </c>
      <c r="H13" s="121">
        <f t="shared" si="0"/>
        <v>13.672632178905467</v>
      </c>
      <c r="I13" s="121">
        <v>18092.026933000001</v>
      </c>
      <c r="J13" s="121">
        <v>1323.2292579999998</v>
      </c>
      <c r="K13" s="121">
        <v>13.672632178905467</v>
      </c>
      <c r="L13" s="127">
        <v>13.672632178905467</v>
      </c>
      <c r="M13" s="127">
        <f>KOHC!D146</f>
        <v>13.672632178905467</v>
      </c>
      <c r="N13" s="128" t="str">
        <f t="shared" si="1"/>
        <v>PASS</v>
      </c>
      <c r="O13" s="68"/>
      <c r="P13" s="50" t="s">
        <v>471</v>
      </c>
    </row>
    <row r="14" spans="1:16" ht="25.95" customHeight="1" x14ac:dyDescent="0.3">
      <c r="A14" s="119" t="s">
        <v>18</v>
      </c>
      <c r="B14" s="119">
        <v>2021</v>
      </c>
      <c r="C14" s="119">
        <v>9</v>
      </c>
      <c r="D14" s="119" t="s">
        <v>134</v>
      </c>
      <c r="E14" s="119" t="s">
        <v>3545</v>
      </c>
      <c r="F14" s="120">
        <f>365*AVERAGE(KOHC!C65,KOHC!D65)</f>
        <v>1359574.9999275</v>
      </c>
      <c r="G14" s="120">
        <f>-KOHC!D85</f>
        <v>18092.026933000001</v>
      </c>
      <c r="H14" s="120">
        <f t="shared" si="0"/>
        <v>75.147743531578783</v>
      </c>
      <c r="I14" s="120">
        <v>1359574.9999275</v>
      </c>
      <c r="J14" s="120">
        <v>18092.026933000001</v>
      </c>
      <c r="K14" s="120">
        <v>75.147743531578783</v>
      </c>
      <c r="L14" s="125">
        <v>75.147743531578783</v>
      </c>
      <c r="M14" s="125">
        <f>KOHC!D147</f>
        <v>75.147743531578783</v>
      </c>
      <c r="N14" s="126" t="str">
        <f t="shared" si="1"/>
        <v>PASS</v>
      </c>
      <c r="O14" s="122"/>
      <c r="P14" s="119" t="s">
        <v>471</v>
      </c>
    </row>
    <row r="15" spans="1:16" ht="25.95" customHeight="1" x14ac:dyDescent="0.3">
      <c r="A15" s="50" t="s">
        <v>18</v>
      </c>
      <c r="B15" s="50">
        <v>2021</v>
      </c>
      <c r="C15" s="50">
        <v>10</v>
      </c>
      <c r="D15" s="50" t="s">
        <v>187</v>
      </c>
      <c r="E15" s="50" t="s">
        <v>3544</v>
      </c>
      <c r="F15" s="121">
        <f>365*AVERAGE(KOHC!C32,KOHC!D32)</f>
        <v>269713.72579250002</v>
      </c>
      <c r="G15" s="121">
        <f>KOHC!D84</f>
        <v>24057.375992000001</v>
      </c>
      <c r="H15" s="121">
        <f t="shared" si="0"/>
        <v>11.211269503464973</v>
      </c>
      <c r="I15" s="121">
        <v>269713.72579250002</v>
      </c>
      <c r="J15" s="121">
        <v>24057.375992000001</v>
      </c>
      <c r="K15" s="121">
        <v>11.211269503464973</v>
      </c>
      <c r="L15" s="127">
        <v>11.211269503464973</v>
      </c>
      <c r="M15" s="127">
        <f>KOHC!D148</f>
        <v>11.211269503464973</v>
      </c>
      <c r="N15" s="128" t="str">
        <f t="shared" si="1"/>
        <v>PASS</v>
      </c>
      <c r="O15" s="68"/>
      <c r="P15" s="50" t="s">
        <v>471</v>
      </c>
    </row>
    <row r="16" spans="1:16" ht="25.95" customHeight="1" x14ac:dyDescent="0.3">
      <c r="A16" s="119" t="s">
        <v>18</v>
      </c>
      <c r="B16" s="119">
        <v>2021</v>
      </c>
      <c r="C16" s="119">
        <v>11</v>
      </c>
      <c r="D16" s="119" t="s">
        <v>190</v>
      </c>
      <c r="E16" s="119" t="s">
        <v>3545</v>
      </c>
      <c r="F16" s="120">
        <f>365*AVERAGE(KOHC!C51,KOHC!D51)</f>
        <v>482978.67916999996</v>
      </c>
      <c r="G16" s="120">
        <f>-KOHC!D85</f>
        <v>18092.026933000001</v>
      </c>
      <c r="H16" s="120">
        <f t="shared" si="0"/>
        <v>26.695664391757177</v>
      </c>
      <c r="I16" s="120">
        <v>482978.67916999996</v>
      </c>
      <c r="J16" s="120">
        <v>18092.026933000001</v>
      </c>
      <c r="K16" s="120">
        <v>26.695664391757177</v>
      </c>
      <c r="L16" s="125">
        <v>26.695664391757177</v>
      </c>
      <c r="M16" s="125">
        <f>KOHC!D149</f>
        <v>26.695664391757177</v>
      </c>
      <c r="N16" s="126" t="str">
        <f t="shared" si="1"/>
        <v>PASS</v>
      </c>
      <c r="O16" s="122"/>
      <c r="P16" s="119" t="s">
        <v>471</v>
      </c>
    </row>
    <row r="17" spans="1:16" ht="25.95" customHeight="1" x14ac:dyDescent="0.3">
      <c r="A17" s="50" t="s">
        <v>18</v>
      </c>
      <c r="B17" s="50">
        <v>2021</v>
      </c>
      <c r="C17" s="50">
        <v>12</v>
      </c>
      <c r="D17" s="50" t="s">
        <v>192</v>
      </c>
      <c r="E17" s="50" t="s">
        <v>3545</v>
      </c>
      <c r="F17" s="121">
        <f>365*AVERAGE(KOHC!C65,KOHC!D65)/(-KOHC!D85)+365*AVERAGE(KOHC!C32,KOHC!D32)/KOHC!D84</f>
        <v>86.359013035043759</v>
      </c>
      <c r="G17" s="121">
        <f>1</f>
        <v>1</v>
      </c>
      <c r="H17" s="121">
        <f t="shared" si="0"/>
        <v>86.359013035043759</v>
      </c>
      <c r="I17" s="121">
        <v>86.359013035043759</v>
      </c>
      <c r="J17" s="121">
        <v>1</v>
      </c>
      <c r="K17" s="121">
        <v>86.359013035043759</v>
      </c>
      <c r="L17" s="127">
        <v>86.359013035043759</v>
      </c>
      <c r="M17" s="127">
        <f>KOHC!D150</f>
        <v>86.359013035043759</v>
      </c>
      <c r="N17" s="128" t="str">
        <f t="shared" si="1"/>
        <v>PASS</v>
      </c>
      <c r="O17" s="68"/>
      <c r="P17" s="50" t="s">
        <v>471</v>
      </c>
    </row>
    <row r="18" spans="1:16" ht="25.95" customHeight="1" x14ac:dyDescent="0.3">
      <c r="A18" s="119" t="s">
        <v>18</v>
      </c>
      <c r="B18" s="119">
        <v>2021</v>
      </c>
      <c r="C18" s="119">
        <v>13</v>
      </c>
      <c r="D18" s="119" t="s">
        <v>150</v>
      </c>
      <c r="E18" s="119" t="s">
        <v>3545</v>
      </c>
      <c r="F18" s="120">
        <f>365*AVERAGE(KOHC!C65,KOHC!D65)/(-KOHC!D85)+365*AVERAGE(KOHC!C32,KOHC!D32)/KOHC!D84-365*AVERAGE(KOHC!C51,KOHC!D51)/(-KOHC!D85)</f>
        <v>59.663348643286582</v>
      </c>
      <c r="G18" s="120">
        <f>1</f>
        <v>1</v>
      </c>
      <c r="H18" s="120">
        <f t="shared" si="0"/>
        <v>59.663348643286582</v>
      </c>
      <c r="I18" s="120">
        <v>59.663348643286582</v>
      </c>
      <c r="J18" s="120">
        <v>1</v>
      </c>
      <c r="K18" s="120">
        <v>59.663348643286582</v>
      </c>
      <c r="L18" s="125">
        <v>59.663348643286582</v>
      </c>
      <c r="M18" s="125">
        <f>KOHC!D151</f>
        <v>59.663348643286582</v>
      </c>
      <c r="N18" s="126" t="str">
        <f t="shared" si="1"/>
        <v>PASS</v>
      </c>
      <c r="O18" s="122"/>
      <c r="P18" s="119" t="s">
        <v>471</v>
      </c>
    </row>
    <row r="19" spans="1:16" ht="25.95" customHeight="1" x14ac:dyDescent="0.3">
      <c r="A19" s="50" t="s">
        <v>18</v>
      </c>
      <c r="B19" s="50">
        <v>2021</v>
      </c>
      <c r="C19" s="50">
        <v>14</v>
      </c>
      <c r="D19" s="50" t="s">
        <v>196</v>
      </c>
      <c r="E19" s="50" t="s">
        <v>3544</v>
      </c>
      <c r="F19" s="121">
        <f>KOHC!D84</f>
        <v>24057.375992000001</v>
      </c>
      <c r="G19" s="121">
        <f>AVERAGE(KOHC!C37,KOHC!D37)</f>
        <v>33921.794372000004</v>
      </c>
      <c r="H19" s="121">
        <f t="shared" si="0"/>
        <v>0.70920116218432216</v>
      </c>
      <c r="I19" s="121">
        <v>24057.375992000001</v>
      </c>
      <c r="J19" s="121">
        <v>33921.794371999997</v>
      </c>
      <c r="K19" s="121">
        <v>0.70920116218432228</v>
      </c>
      <c r="L19" s="127">
        <v>0.70920116218432228</v>
      </c>
      <c r="M19" s="127">
        <f>KOHC!D152</f>
        <v>0.70920116218432216</v>
      </c>
      <c r="N19" s="128" t="str">
        <f t="shared" si="1"/>
        <v>PASS</v>
      </c>
      <c r="O19" s="68"/>
      <c r="P19" s="50" t="s">
        <v>471</v>
      </c>
    </row>
    <row r="20" spans="1:16" ht="25.95" customHeight="1" x14ac:dyDescent="0.3">
      <c r="A20" s="119" t="s">
        <v>18</v>
      </c>
      <c r="B20" s="119">
        <v>2021</v>
      </c>
      <c r="C20" s="119">
        <v>15</v>
      </c>
      <c r="D20" s="119" t="s">
        <v>199</v>
      </c>
      <c r="E20" s="119" t="s">
        <v>3544</v>
      </c>
      <c r="F20" s="120">
        <f>KOHC!D84</f>
        <v>24057.375992000001</v>
      </c>
      <c r="G20" s="120">
        <f>AVERAGE(KOHC!C22,KOHC!D22)</f>
        <v>22183.3468015</v>
      </c>
      <c r="H20" s="120">
        <f t="shared" si="0"/>
        <v>1.0844791007988606</v>
      </c>
      <c r="I20" s="120">
        <v>24057.375992000001</v>
      </c>
      <c r="J20" s="120">
        <v>22183.3468015</v>
      </c>
      <c r="K20" s="120">
        <v>1.0844791007988606</v>
      </c>
      <c r="L20" s="125">
        <v>1.0844791007988606</v>
      </c>
      <c r="M20" s="125">
        <f>KOHC!D153</f>
        <v>1.0844791007988606</v>
      </c>
      <c r="N20" s="126" t="str">
        <f t="shared" si="1"/>
        <v>PASS</v>
      </c>
      <c r="O20" s="122"/>
      <c r="P20" s="119" t="s">
        <v>471</v>
      </c>
    </row>
    <row r="21" spans="1:16" ht="25.95" customHeight="1" x14ac:dyDescent="0.3">
      <c r="A21" s="50" t="s">
        <v>18</v>
      </c>
      <c r="B21" s="50">
        <v>2021</v>
      </c>
      <c r="C21" s="50">
        <v>16</v>
      </c>
      <c r="D21" s="50" t="s">
        <v>932</v>
      </c>
      <c r="E21" s="50" t="s">
        <v>3544</v>
      </c>
      <c r="F21" s="121">
        <f>KOHC!D62</f>
        <v>13863.382066</v>
      </c>
      <c r="G21" s="121">
        <f>KOHC!D37</f>
        <v>36086.921437000005</v>
      </c>
      <c r="H21" s="121">
        <f t="shared" si="0"/>
        <v>0.38416638255503399</v>
      </c>
      <c r="I21" s="121">
        <v>13863.382066</v>
      </c>
      <c r="J21" s="121">
        <v>36086.921436999997</v>
      </c>
      <c r="K21" s="121">
        <v>0.38416638255503405</v>
      </c>
      <c r="L21" s="127">
        <v>0.38416638255503405</v>
      </c>
      <c r="M21" s="127">
        <f>KOHC!D155</f>
        <v>0.38416638255503399</v>
      </c>
      <c r="N21" s="128" t="str">
        <f t="shared" si="1"/>
        <v>PASS</v>
      </c>
      <c r="O21" s="68"/>
      <c r="P21" s="50" t="s">
        <v>493</v>
      </c>
    </row>
    <row r="22" spans="1:16" ht="25.95" customHeight="1" x14ac:dyDescent="0.3">
      <c r="A22" s="119" t="s">
        <v>18</v>
      </c>
      <c r="B22" s="119">
        <v>2021</v>
      </c>
      <c r="C22" s="119">
        <v>17</v>
      </c>
      <c r="D22" s="119" t="s">
        <v>151</v>
      </c>
      <c r="E22" s="119" t="s">
        <v>3544</v>
      </c>
      <c r="F22" s="120">
        <f>KOHC!D62</f>
        <v>13863.382066</v>
      </c>
      <c r="G22" s="120">
        <f>KOHC!D41</f>
        <v>22223.539370999999</v>
      </c>
      <c r="H22" s="120">
        <f t="shared" si="0"/>
        <v>0.6238152183846396</v>
      </c>
      <c r="I22" s="120">
        <v>13863.382066</v>
      </c>
      <c r="J22" s="120">
        <v>22223.539370999999</v>
      </c>
      <c r="K22" s="120">
        <v>0.6238152183846396</v>
      </c>
      <c r="L22" s="125">
        <v>0.6238152183846396</v>
      </c>
      <c r="M22" s="125">
        <f>KOHC!D156</f>
        <v>0.6238152183846396</v>
      </c>
      <c r="N22" s="126" t="str">
        <f t="shared" si="1"/>
        <v>PASS</v>
      </c>
      <c r="O22" s="122"/>
      <c r="P22" s="119" t="s">
        <v>493</v>
      </c>
    </row>
    <row r="23" spans="1:16" ht="25.95" customHeight="1" x14ac:dyDescent="0.3">
      <c r="A23" s="50" t="s">
        <v>18</v>
      </c>
      <c r="B23" s="50">
        <v>2021</v>
      </c>
      <c r="C23" s="50">
        <v>18</v>
      </c>
      <c r="D23" s="50" t="s">
        <v>935</v>
      </c>
      <c r="E23" s="50" t="s">
        <v>3545</v>
      </c>
      <c r="F23" s="121">
        <f>KOHC!D66</f>
        <v>6050.7861490000005</v>
      </c>
      <c r="G23" s="121">
        <f>KOHC!D66+KOHC!D41</f>
        <v>28274.325519999999</v>
      </c>
      <c r="H23" s="121">
        <f t="shared" si="0"/>
        <v>0.21400284667161887</v>
      </c>
      <c r="I23" s="121">
        <v>6050.7861490000005</v>
      </c>
      <c r="J23" s="121">
        <v>28274.325519999999</v>
      </c>
      <c r="K23" s="121">
        <v>0.21400284667161887</v>
      </c>
      <c r="L23" s="127">
        <v>0.21400284667161887</v>
      </c>
      <c r="M23" s="127">
        <f>KOHC!D157</f>
        <v>0.21400284667161887</v>
      </c>
      <c r="N23" s="128" t="str">
        <f t="shared" si="1"/>
        <v>PASS</v>
      </c>
      <c r="O23" s="68"/>
      <c r="P23" s="50" t="s">
        <v>493</v>
      </c>
    </row>
    <row r="24" spans="1:16" ht="25.95" customHeight="1" x14ac:dyDescent="0.3">
      <c r="A24" s="119" t="s">
        <v>18</v>
      </c>
      <c r="B24" s="119">
        <v>2021</v>
      </c>
      <c r="C24" s="119">
        <v>19</v>
      </c>
      <c r="D24" s="119" t="s">
        <v>936</v>
      </c>
      <c r="E24" s="119" t="s">
        <v>3545</v>
      </c>
      <c r="F24" s="120">
        <f>KOHC!D67</f>
        <v>4405.7653060000002</v>
      </c>
      <c r="G24" s="120">
        <f>KOHC!D37</f>
        <v>36086.921437000005</v>
      </c>
      <c r="H24" s="120">
        <f t="shared" si="0"/>
        <v>0.1220875910318789</v>
      </c>
      <c r="I24" s="120">
        <v>4405.7653060000002</v>
      </c>
      <c r="J24" s="120">
        <v>36086.921436999997</v>
      </c>
      <c r="K24" s="120">
        <v>0.12208759103187893</v>
      </c>
      <c r="L24" s="125">
        <v>0.12208759103187893</v>
      </c>
      <c r="M24" s="125">
        <f>KOHC!D158</f>
        <v>0.1220875910318789</v>
      </c>
      <c r="N24" s="126" t="str">
        <f t="shared" si="1"/>
        <v>PASS</v>
      </c>
      <c r="O24" s="122"/>
      <c r="P24" s="119" t="s">
        <v>493</v>
      </c>
    </row>
    <row r="25" spans="1:16" ht="25.95" customHeight="1" x14ac:dyDescent="0.3">
      <c r="A25" s="50" t="s">
        <v>18</v>
      </c>
      <c r="B25" s="50">
        <v>2021</v>
      </c>
      <c r="C25" s="50">
        <v>20</v>
      </c>
      <c r="D25" s="50" t="s">
        <v>938</v>
      </c>
      <c r="E25" s="50" t="s">
        <v>3544</v>
      </c>
      <c r="F25" s="121">
        <f>KOHC!D108</f>
        <v>5403.0100200000006</v>
      </c>
      <c r="G25" s="121">
        <f>KOHC!D106</f>
        <v>490.30433100000005</v>
      </c>
      <c r="H25" s="121">
        <f t="shared" si="0"/>
        <v>11.019706901181747</v>
      </c>
      <c r="I25" s="121">
        <v>5403.0100200000006</v>
      </c>
      <c r="J25" s="121">
        <v>490.30433100000005</v>
      </c>
      <c r="K25" s="121">
        <v>11.019706901181747</v>
      </c>
      <c r="L25" s="127">
        <v>11.019706901181747</v>
      </c>
      <c r="M25" s="127">
        <f>KOHC!D159</f>
        <v>11.019706901181747</v>
      </c>
      <c r="N25" s="128" t="str">
        <f t="shared" si="1"/>
        <v>PASS</v>
      </c>
      <c r="O25" s="68"/>
      <c r="P25" s="50" t="s">
        <v>493</v>
      </c>
    </row>
    <row r="26" spans="1:16" ht="25.95" customHeight="1" x14ac:dyDescent="0.3">
      <c r="A26" s="119" t="s">
        <v>18</v>
      </c>
      <c r="B26" s="119">
        <v>2021</v>
      </c>
      <c r="C26" s="119">
        <v>21</v>
      </c>
      <c r="D26" s="119" t="s">
        <v>154</v>
      </c>
      <c r="E26" s="119" t="s">
        <v>3544</v>
      </c>
      <c r="F26" s="120">
        <f>KOHC!D86</f>
        <v>5965.3490590000001</v>
      </c>
      <c r="G26" s="120">
        <f>KOHC!D84</f>
        <v>24057.375992000001</v>
      </c>
      <c r="H26" s="120">
        <f t="shared" si="0"/>
        <v>0.24796341300828931</v>
      </c>
      <c r="I26" s="120">
        <v>5965.3490590000001</v>
      </c>
      <c r="J26" s="120">
        <v>24057.375992000001</v>
      </c>
      <c r="K26" s="120">
        <v>0.24796341300828931</v>
      </c>
      <c r="L26" s="125">
        <v>0.24796341300828931</v>
      </c>
      <c r="M26" s="125">
        <f>KOHC!D161</f>
        <v>0.24796341300828931</v>
      </c>
      <c r="N26" s="126" t="str">
        <f t="shared" si="1"/>
        <v>PASS</v>
      </c>
      <c r="O26" s="122"/>
      <c r="P26" s="119" t="s">
        <v>504</v>
      </c>
    </row>
    <row r="27" spans="1:16" ht="25.95" customHeight="1" x14ac:dyDescent="0.3">
      <c r="A27" s="50" t="s">
        <v>18</v>
      </c>
      <c r="B27" s="50">
        <v>2021</v>
      </c>
      <c r="C27" s="50">
        <v>22</v>
      </c>
      <c r="D27" s="50" t="s">
        <v>942</v>
      </c>
      <c r="E27" s="50" t="s">
        <v>3544</v>
      </c>
      <c r="F27" s="121">
        <f>KOHC!D91</f>
        <v>5232.3353500000003</v>
      </c>
      <c r="G27" s="121">
        <f>KOHC!D84</f>
        <v>24057.375992000001</v>
      </c>
      <c r="H27" s="121">
        <f t="shared" si="0"/>
        <v>0.21749401729182569</v>
      </c>
      <c r="I27" s="121">
        <v>5232.3353500000003</v>
      </c>
      <c r="J27" s="121">
        <v>24057.375992000001</v>
      </c>
      <c r="K27" s="121">
        <v>0.21749401729182569</v>
      </c>
      <c r="L27" s="127">
        <v>0.21749401729182569</v>
      </c>
      <c r="M27" s="127">
        <f>KOHC!D162</f>
        <v>0.21749401729182569</v>
      </c>
      <c r="N27" s="128" t="str">
        <f t="shared" si="1"/>
        <v>PASS</v>
      </c>
      <c r="O27" s="68"/>
      <c r="P27" s="50" t="s">
        <v>504</v>
      </c>
    </row>
    <row r="28" spans="1:16" ht="25.95" customHeight="1" x14ac:dyDescent="0.3">
      <c r="A28" s="119" t="s">
        <v>18</v>
      </c>
      <c r="B28" s="119">
        <v>2021</v>
      </c>
      <c r="C28" s="119">
        <v>23</v>
      </c>
      <c r="D28" s="119" t="s">
        <v>155</v>
      </c>
      <c r="E28" s="119" t="s">
        <v>3544</v>
      </c>
      <c r="F28" s="120">
        <f>KOHC!D99</f>
        <v>3497.5072470000005</v>
      </c>
      <c r="G28" s="120">
        <f>KOHC!D84</f>
        <v>24057.375992000001</v>
      </c>
      <c r="H28" s="120">
        <f t="shared" si="0"/>
        <v>0.1453819089897026</v>
      </c>
      <c r="I28" s="120">
        <v>3497.5072470000005</v>
      </c>
      <c r="J28" s="120">
        <v>24057.375992000001</v>
      </c>
      <c r="K28" s="120">
        <v>0.1453819089897026</v>
      </c>
      <c r="L28" s="125">
        <v>0.1453819089897026</v>
      </c>
      <c r="M28" s="125">
        <f>KOHC!D163</f>
        <v>0.1453819089897026</v>
      </c>
      <c r="N28" s="126" t="str">
        <f t="shared" si="1"/>
        <v>PASS</v>
      </c>
      <c r="O28" s="122"/>
      <c r="P28" s="119" t="s">
        <v>504</v>
      </c>
    </row>
    <row r="29" spans="1:16" ht="25.95" customHeight="1" x14ac:dyDescent="0.3">
      <c r="A29" s="50" t="s">
        <v>18</v>
      </c>
      <c r="B29" s="50">
        <v>2021</v>
      </c>
      <c r="C29" s="50">
        <v>24</v>
      </c>
      <c r="D29" s="50" t="s">
        <v>136</v>
      </c>
      <c r="E29" s="50" t="s">
        <v>3544</v>
      </c>
      <c r="F29" s="121">
        <f>KOHC!D99</f>
        <v>3497.5072470000005</v>
      </c>
      <c r="G29" s="121">
        <f>AVERAGE(KOHC!C37,KOHC!D37)</f>
        <v>33921.794372000004</v>
      </c>
      <c r="H29" s="121">
        <f t="shared" si="0"/>
        <v>0.10310501881607244</v>
      </c>
      <c r="I29" s="121">
        <v>3497.5072470000005</v>
      </c>
      <c r="J29" s="121">
        <v>33921.794371999997</v>
      </c>
      <c r="K29" s="121">
        <v>0.10310501881607245</v>
      </c>
      <c r="L29" s="127">
        <v>0.10310501881607245</v>
      </c>
      <c r="M29" s="127">
        <f>KOHC!D164</f>
        <v>0.10310501881607244</v>
      </c>
      <c r="N29" s="128" t="str">
        <f t="shared" si="1"/>
        <v>PASS</v>
      </c>
      <c r="O29" s="68"/>
      <c r="P29" s="50" t="s">
        <v>504</v>
      </c>
    </row>
    <row r="30" spans="1:16" ht="25.95" customHeight="1" x14ac:dyDescent="0.3">
      <c r="A30" s="119" t="s">
        <v>18</v>
      </c>
      <c r="B30" s="119">
        <v>2021</v>
      </c>
      <c r="C30" s="119">
        <v>25</v>
      </c>
      <c r="D30" s="119" t="s">
        <v>53</v>
      </c>
      <c r="E30" s="119" t="s">
        <v>3544</v>
      </c>
      <c r="F30" s="120">
        <f>KOHC!D99</f>
        <v>3497.5072470000005</v>
      </c>
      <c r="G30" s="120">
        <f>AVERAGE(KOHC!C41,KOHC!D41)</f>
        <v>20475.106347499997</v>
      </c>
      <c r="H30" s="120">
        <f t="shared" si="0"/>
        <v>0.17081753753269491</v>
      </c>
      <c r="I30" s="120">
        <v>3497.5072470000005</v>
      </c>
      <c r="J30" s="120">
        <v>20475.106347499997</v>
      </c>
      <c r="K30" s="120">
        <v>0.17081753753269491</v>
      </c>
      <c r="L30" s="125">
        <v>0.17081753753269491</v>
      </c>
      <c r="M30" s="125">
        <f>KOHC!D165</f>
        <v>0.17081753753269491</v>
      </c>
      <c r="N30" s="126" t="str">
        <f t="shared" si="1"/>
        <v>PASS</v>
      </c>
      <c r="O30" s="122"/>
      <c r="P30" s="119" t="s">
        <v>504</v>
      </c>
    </row>
    <row r="31" spans="1:16" ht="25.95" customHeight="1" x14ac:dyDescent="0.3">
      <c r="A31" s="50" t="s">
        <v>18</v>
      </c>
      <c r="B31" s="50">
        <v>2021</v>
      </c>
      <c r="C31" s="50">
        <v>26</v>
      </c>
      <c r="D31" s="50" t="s">
        <v>944</v>
      </c>
      <c r="E31" s="50" t="s">
        <v>3545</v>
      </c>
      <c r="F31" s="121">
        <f>KOHC!D113</f>
        <v>3867.630426506666</v>
      </c>
      <c r="G31" s="121">
        <f>AVERAGE(KOHC!C70,KOHC!D70)</f>
        <v>26995.165203999997</v>
      </c>
      <c r="H31" s="121">
        <f t="shared" si="0"/>
        <v>0.14327122643181978</v>
      </c>
      <c r="I31" s="121">
        <v>3867.630426506666</v>
      </c>
      <c r="J31" s="121">
        <v>26995.165203999997</v>
      </c>
      <c r="K31" s="121">
        <v>0.14327122643181978</v>
      </c>
      <c r="L31" s="127">
        <v>0.14327122643181978</v>
      </c>
      <c r="M31" s="127">
        <f>KOHC!D166</f>
        <v>0.14327122643181978</v>
      </c>
      <c r="N31" s="128" t="str">
        <f t="shared" si="1"/>
        <v>PASS</v>
      </c>
      <c r="O31" s="68"/>
      <c r="P31" s="50" t="s">
        <v>504</v>
      </c>
    </row>
    <row r="32" spans="1:16" ht="25.95" customHeight="1" x14ac:dyDescent="0.3">
      <c r="A32" s="119" t="s">
        <v>18</v>
      </c>
      <c r="B32" s="119">
        <v>2021</v>
      </c>
      <c r="C32" s="119">
        <v>27</v>
      </c>
      <c r="D32" s="119" t="s">
        <v>945</v>
      </c>
      <c r="E32" s="119" t="s">
        <v>3545</v>
      </c>
      <c r="F32" s="120">
        <f>KOHC!D108</f>
        <v>5403.0100200000006</v>
      </c>
      <c r="G32" s="120">
        <f>AVERAGE(KOHC!C37,KOHC!D37)</f>
        <v>33921.794372000004</v>
      </c>
      <c r="H32" s="120">
        <f t="shared" si="0"/>
        <v>0.15927842615719043</v>
      </c>
      <c r="I32" s="120">
        <v>5403.0100200000006</v>
      </c>
      <c r="J32" s="120">
        <v>33921.794371999997</v>
      </c>
      <c r="K32" s="120">
        <v>0.15927842615719046</v>
      </c>
      <c r="L32" s="125">
        <v>0.15927842615719046</v>
      </c>
      <c r="M32" s="125">
        <f>KOHC!D167</f>
        <v>0.15927842615719043</v>
      </c>
      <c r="N32" s="126" t="str">
        <f t="shared" si="1"/>
        <v>PASS</v>
      </c>
      <c r="O32" s="122"/>
      <c r="P32" s="119" t="s">
        <v>504</v>
      </c>
    </row>
    <row r="33" spans="1:16" ht="25.95" customHeight="1" x14ac:dyDescent="0.3">
      <c r="A33" s="50" t="s">
        <v>18</v>
      </c>
      <c r="B33" s="50">
        <v>2021</v>
      </c>
      <c r="C33" s="50">
        <v>28</v>
      </c>
      <c r="D33" s="50" t="s">
        <v>139</v>
      </c>
      <c r="E33" s="50" t="s">
        <v>3545</v>
      </c>
      <c r="F33" s="121">
        <f>KOHC!D41</f>
        <v>22223.539370999999</v>
      </c>
      <c r="G33" s="121">
        <f>KOHC!D128</f>
        <v>200.86129699999998</v>
      </c>
      <c r="H33" s="121">
        <f t="shared" si="0"/>
        <v>110.64122209168052</v>
      </c>
      <c r="I33" s="121">
        <v>22223.539370999999</v>
      </c>
      <c r="J33" s="121">
        <v>200.86129699999998</v>
      </c>
      <c r="K33" s="121">
        <v>110.64122209168052</v>
      </c>
      <c r="L33" s="127">
        <v>110.64122209168052</v>
      </c>
      <c r="M33" s="127">
        <f>KOHC!D169</f>
        <v>110.64122209168052</v>
      </c>
      <c r="N33" s="128" t="str">
        <f t="shared" si="1"/>
        <v>PASS</v>
      </c>
      <c r="O33" s="68"/>
      <c r="P33" s="50" t="s">
        <v>519</v>
      </c>
    </row>
    <row r="34" spans="1:16" ht="25.95" customHeight="1" x14ac:dyDescent="0.3">
      <c r="A34" s="119" t="s">
        <v>18</v>
      </c>
      <c r="B34" s="119">
        <v>2021</v>
      </c>
      <c r="C34" s="119">
        <v>29</v>
      </c>
      <c r="D34" s="119" t="s">
        <v>162</v>
      </c>
      <c r="E34" s="119" t="s">
        <v>3544</v>
      </c>
      <c r="F34" s="120">
        <f>KOHC!D130</f>
        <v>206.49</v>
      </c>
      <c r="G34" s="120">
        <f>KOHC!D41/KOHC!D128</f>
        <v>110.64122209168052</v>
      </c>
      <c r="H34" s="120">
        <f t="shared" si="0"/>
        <v>1.8663025958706099</v>
      </c>
      <c r="I34" s="120">
        <v>206.49</v>
      </c>
      <c r="J34" s="120">
        <v>110.64122209168052</v>
      </c>
      <c r="K34" s="120">
        <v>1.8663025958706099</v>
      </c>
      <c r="L34" s="125">
        <v>1.8663025958706099</v>
      </c>
      <c r="M34" s="125">
        <f>KOHC!D170</f>
        <v>1.8663025958706099</v>
      </c>
      <c r="N34" s="126" t="str">
        <f t="shared" si="1"/>
        <v>PASS</v>
      </c>
      <c r="O34" s="122"/>
      <c r="P34" s="119" t="s">
        <v>519</v>
      </c>
    </row>
    <row r="35" spans="1:16" ht="25.95" customHeight="1" x14ac:dyDescent="0.3">
      <c r="A35" s="50" t="s">
        <v>18</v>
      </c>
      <c r="B35" s="50">
        <v>2021</v>
      </c>
      <c r="C35" s="50">
        <v>30</v>
      </c>
      <c r="D35" s="50" t="s">
        <v>143</v>
      </c>
      <c r="E35" s="50" t="s">
        <v>3544</v>
      </c>
      <c r="F35" s="121">
        <f>KOHC!D99</f>
        <v>3497.5072470000005</v>
      </c>
      <c r="G35" s="121">
        <f>KOHC!D129</f>
        <v>200.86129700000001</v>
      </c>
      <c r="H35" s="121">
        <f t="shared" si="0"/>
        <v>17.412549352402124</v>
      </c>
      <c r="I35" s="121">
        <v>3497.5072470000005</v>
      </c>
      <c r="J35" s="121">
        <v>200.86129700000001</v>
      </c>
      <c r="K35" s="121">
        <v>17.412549352402124</v>
      </c>
      <c r="L35" s="127">
        <v>17.412549352402124</v>
      </c>
      <c r="M35" s="127">
        <f>KOHC!D171</f>
        <v>17.412549352402124</v>
      </c>
      <c r="N35" s="128" t="str">
        <f t="shared" si="1"/>
        <v>PASS</v>
      </c>
      <c r="O35" s="68"/>
      <c r="P35" s="50" t="s">
        <v>519</v>
      </c>
    </row>
    <row r="36" spans="1:16" ht="25.95" customHeight="1" x14ac:dyDescent="0.3">
      <c r="A36" s="119" t="s">
        <v>18</v>
      </c>
      <c r="B36" s="119">
        <v>2021</v>
      </c>
      <c r="C36" s="119">
        <v>31</v>
      </c>
      <c r="D36" s="119" t="s">
        <v>952</v>
      </c>
      <c r="E36" s="119" t="s">
        <v>3544</v>
      </c>
      <c r="F36" s="120">
        <f>KOHC!D130</f>
        <v>206.49</v>
      </c>
      <c r="G36" s="120">
        <f>KOHC!D99/KOHC!D129</f>
        <v>17.412549352402124</v>
      </c>
      <c r="H36" s="120">
        <f t="shared" si="0"/>
        <v>11.858688571154802</v>
      </c>
      <c r="I36" s="120">
        <v>206.49</v>
      </c>
      <c r="J36" s="120">
        <v>17.412549352402124</v>
      </c>
      <c r="K36" s="120">
        <v>11.858688571154802</v>
      </c>
      <c r="L36" s="125">
        <v>11.858688571154802</v>
      </c>
      <c r="M36" s="125">
        <f>KOHC!D172</f>
        <v>11.858688571154802</v>
      </c>
      <c r="N36" s="126" t="str">
        <f t="shared" si="1"/>
        <v>PASS</v>
      </c>
      <c r="O36" s="122"/>
      <c r="P36" s="119" t="s">
        <v>519</v>
      </c>
    </row>
    <row r="37" spans="1:16" ht="25.95" customHeight="1" x14ac:dyDescent="0.3">
      <c r="A37" s="50" t="s">
        <v>18</v>
      </c>
      <c r="B37" s="50">
        <v>2021</v>
      </c>
      <c r="C37" s="50">
        <v>32</v>
      </c>
      <c r="D37" s="50" t="s">
        <v>104</v>
      </c>
      <c r="E37" s="50" t="s">
        <v>3544</v>
      </c>
      <c r="F37" s="121">
        <f>KOHC!D131</f>
        <v>0</v>
      </c>
      <c r="G37" s="121">
        <f>KOHC!D130</f>
        <v>206.49</v>
      </c>
      <c r="H37" s="121">
        <f t="shared" si="0"/>
        <v>0</v>
      </c>
      <c r="I37" s="121">
        <v>0</v>
      </c>
      <c r="J37" s="121">
        <v>206.49</v>
      </c>
      <c r="K37" s="121">
        <v>0</v>
      </c>
      <c r="L37" s="127">
        <v>0</v>
      </c>
      <c r="M37" s="127">
        <f>KOHC!D173</f>
        <v>0</v>
      </c>
      <c r="N37" s="128" t="str">
        <f t="shared" si="1"/>
        <v>PASS</v>
      </c>
      <c r="O37" s="68"/>
      <c r="P37" s="50" t="s">
        <v>519</v>
      </c>
    </row>
    <row r="38" spans="1:16" ht="25.95" customHeight="1" x14ac:dyDescent="0.3">
      <c r="A38" s="119" t="s">
        <v>18</v>
      </c>
      <c r="B38" s="119">
        <v>2021</v>
      </c>
      <c r="C38" s="119">
        <v>33</v>
      </c>
      <c r="D38" s="119" t="s">
        <v>124</v>
      </c>
      <c r="E38" s="119" t="s">
        <v>3545</v>
      </c>
      <c r="F38" s="120">
        <f>KOHC!D131</f>
        <v>0</v>
      </c>
      <c r="G38" s="120">
        <f>KOHC!D99/KOHC!D129</f>
        <v>17.412549352402124</v>
      </c>
      <c r="H38" s="120">
        <f t="shared" si="0"/>
        <v>0</v>
      </c>
      <c r="I38" s="120">
        <v>0</v>
      </c>
      <c r="J38" s="120">
        <v>17.412549352402124</v>
      </c>
      <c r="K38" s="120">
        <v>0</v>
      </c>
      <c r="L38" s="125">
        <v>0</v>
      </c>
      <c r="M38" s="125">
        <f>KOHC!D174</f>
        <v>0</v>
      </c>
      <c r="N38" s="126" t="str">
        <f t="shared" si="1"/>
        <v>PASS</v>
      </c>
      <c r="O38" s="122"/>
      <c r="P38" s="119" t="s">
        <v>519</v>
      </c>
    </row>
    <row r="39" spans="1:16" ht="25.95" customHeight="1" x14ac:dyDescent="0.3">
      <c r="A39" s="50" t="s">
        <v>18</v>
      </c>
      <c r="B39" s="50">
        <v>2022</v>
      </c>
      <c r="C39" s="50">
        <v>1</v>
      </c>
      <c r="D39" s="50" t="s">
        <v>19</v>
      </c>
      <c r="E39" s="50" t="s">
        <v>3544</v>
      </c>
      <c r="F39" s="121">
        <f>KOHC!E36</f>
        <v>17775.831446999997</v>
      </c>
      <c r="G39" s="121">
        <f>KOHC!E61</f>
        <v>9487.9906790000005</v>
      </c>
      <c r="H39" s="121">
        <f t="shared" si="0"/>
        <v>1.8735085276109804</v>
      </c>
      <c r="I39" s="121">
        <v>17775.831447</v>
      </c>
      <c r="J39" s="121">
        <v>9487.9906790000005</v>
      </c>
      <c r="K39" s="121">
        <v>1.8735085276109809</v>
      </c>
      <c r="L39" s="127">
        <v>1.8735085276109809</v>
      </c>
      <c r="M39" s="127">
        <f>KOHC!E138</f>
        <v>1.8735085276109804</v>
      </c>
      <c r="N39" s="128" t="str">
        <f t="shared" si="1"/>
        <v>PASS</v>
      </c>
      <c r="O39" s="68"/>
      <c r="P39" s="50" t="s">
        <v>459</v>
      </c>
    </row>
    <row r="40" spans="1:16" ht="25.95" customHeight="1" x14ac:dyDescent="0.3">
      <c r="A40" s="119" t="s">
        <v>18</v>
      </c>
      <c r="B40" s="119">
        <v>2022</v>
      </c>
      <c r="C40" s="119">
        <v>2</v>
      </c>
      <c r="D40" s="119" t="s">
        <v>30</v>
      </c>
      <c r="E40" s="119" t="s">
        <v>3544</v>
      </c>
      <c r="F40" s="120">
        <f>KOHC!E36-KOHC!E65</f>
        <v>12104.845028999996</v>
      </c>
      <c r="G40" s="120">
        <f>KOHC!E61</f>
        <v>9487.9906790000005</v>
      </c>
      <c r="H40" s="120">
        <f t="shared" si="0"/>
        <v>1.2758070110452304</v>
      </c>
      <c r="I40" s="120">
        <v>12104.845029</v>
      </c>
      <c r="J40" s="120">
        <v>9487.9906790000005</v>
      </c>
      <c r="K40" s="120">
        <v>1.2758070110452309</v>
      </c>
      <c r="L40" s="125">
        <v>1.2758070110452309</v>
      </c>
      <c r="M40" s="125">
        <f>KOHC!E139</f>
        <v>1.2758070110452304</v>
      </c>
      <c r="N40" s="126" t="str">
        <f t="shared" si="1"/>
        <v>PASS</v>
      </c>
      <c r="O40" s="122"/>
      <c r="P40" s="119" t="s">
        <v>459</v>
      </c>
    </row>
    <row r="41" spans="1:16" ht="25.95" customHeight="1" x14ac:dyDescent="0.3">
      <c r="A41" s="50" t="s">
        <v>18</v>
      </c>
      <c r="B41" s="50">
        <v>2022</v>
      </c>
      <c r="C41" s="50">
        <v>3</v>
      </c>
      <c r="D41" s="50" t="s">
        <v>145</v>
      </c>
      <c r="E41" s="50" t="s">
        <v>3544</v>
      </c>
      <c r="F41" s="121">
        <f>KOHC!E34</f>
        <v>480.76563199999998</v>
      </c>
      <c r="G41" s="121">
        <f>KOHC!E61</f>
        <v>9487.9906790000005</v>
      </c>
      <c r="H41" s="121">
        <f t="shared" si="0"/>
        <v>5.0670963775722312E-2</v>
      </c>
      <c r="I41" s="121">
        <v>480.76563199999998</v>
      </c>
      <c r="J41" s="121">
        <v>9487.9906790000005</v>
      </c>
      <c r="K41" s="121">
        <v>5.0670963775722312E-2</v>
      </c>
      <c r="L41" s="127">
        <v>5.0670963775722312E-2</v>
      </c>
      <c r="M41" s="127">
        <f>KOHC!E140</f>
        <v>5.0670963775722312E-2</v>
      </c>
      <c r="N41" s="128" t="str">
        <f t="shared" si="1"/>
        <v>PASS</v>
      </c>
      <c r="O41" s="68"/>
      <c r="P41" s="50" t="s">
        <v>459</v>
      </c>
    </row>
    <row r="42" spans="1:16" ht="25.95" customHeight="1" x14ac:dyDescent="0.3">
      <c r="A42" s="119" t="s">
        <v>18</v>
      </c>
      <c r="B42" s="119">
        <v>2022</v>
      </c>
      <c r="C42" s="119">
        <v>4</v>
      </c>
      <c r="D42" s="119" t="s">
        <v>201</v>
      </c>
      <c r="E42" s="119" t="s">
        <v>3545</v>
      </c>
      <c r="F42" s="120">
        <f>KOHC!E36-KOHC!E61</f>
        <v>8287.8407679999964</v>
      </c>
      <c r="G42" s="120">
        <f>1</f>
        <v>1</v>
      </c>
      <c r="H42" s="120">
        <f t="shared" si="0"/>
        <v>8287.8407679999964</v>
      </c>
      <c r="I42" s="120">
        <v>8287.840768</v>
      </c>
      <c r="J42" s="120">
        <v>1</v>
      </c>
      <c r="K42" s="120">
        <v>8287.840768</v>
      </c>
      <c r="L42" s="125">
        <v>8287.840768</v>
      </c>
      <c r="M42" s="125">
        <f>KOHC!E141</f>
        <v>8287.8407679999964</v>
      </c>
      <c r="N42" s="126" t="str">
        <f t="shared" si="1"/>
        <v>PASS</v>
      </c>
      <c r="O42" s="122"/>
      <c r="P42" s="119" t="s">
        <v>459</v>
      </c>
    </row>
    <row r="43" spans="1:16" ht="25.95" customHeight="1" x14ac:dyDescent="0.3">
      <c r="A43" s="50" t="s">
        <v>18</v>
      </c>
      <c r="B43" s="50">
        <v>2022</v>
      </c>
      <c r="C43" s="50">
        <v>5</v>
      </c>
      <c r="D43" s="50" t="s">
        <v>923</v>
      </c>
      <c r="E43" s="50" t="s">
        <v>3545</v>
      </c>
      <c r="F43" s="121">
        <f>KOHC!E72-KOHC!E73</f>
        <v>-1057.2881590000015</v>
      </c>
      <c r="G43" s="121">
        <f>1</f>
        <v>1</v>
      </c>
      <c r="H43" s="121">
        <f t="shared" si="0"/>
        <v>-1057.2881590000015</v>
      </c>
      <c r="I43" s="121">
        <v>-1057.2881589999979</v>
      </c>
      <c r="J43" s="121">
        <v>1</v>
      </c>
      <c r="K43" s="121">
        <v>-1057.2881589999979</v>
      </c>
      <c r="L43" s="127" t="s">
        <v>3546</v>
      </c>
      <c r="M43" s="127" t="str">
        <f>KOHC!E142</f>
        <v>n/m</v>
      </c>
      <c r="N43" s="128" t="str">
        <f t="shared" si="1"/>
        <v>PASS</v>
      </c>
      <c r="O43" s="68" t="s">
        <v>3547</v>
      </c>
      <c r="P43" s="50" t="s">
        <v>459</v>
      </c>
    </row>
    <row r="44" spans="1:16" ht="25.95" customHeight="1" x14ac:dyDescent="0.3">
      <c r="A44" s="119" t="s">
        <v>18</v>
      </c>
      <c r="B44" s="119">
        <v>2022</v>
      </c>
      <c r="C44" s="119">
        <v>6</v>
      </c>
      <c r="D44" s="119" t="s">
        <v>31</v>
      </c>
      <c r="E44" s="119" t="s">
        <v>3544</v>
      </c>
      <c r="F44" s="120">
        <f>-KOHC!E85</f>
        <v>23065.180670000002</v>
      </c>
      <c r="G44" s="120">
        <f>AVERAGE(KOHC!D65,KOHC!E65)</f>
        <v>4927.2658924999996</v>
      </c>
      <c r="H44" s="120">
        <f t="shared" si="0"/>
        <v>4.6811317215716919</v>
      </c>
      <c r="I44" s="120">
        <v>23065.180670000002</v>
      </c>
      <c r="J44" s="120">
        <v>4927.2658924999996</v>
      </c>
      <c r="K44" s="120">
        <v>4.6811317215716919</v>
      </c>
      <c r="L44" s="125">
        <v>4.6811317215716919</v>
      </c>
      <c r="M44" s="125">
        <f>KOHC!E144</f>
        <v>4.6811317215716919</v>
      </c>
      <c r="N44" s="126" t="str">
        <f t="shared" si="1"/>
        <v>PASS</v>
      </c>
      <c r="O44" s="122"/>
      <c r="P44" s="119" t="s">
        <v>471</v>
      </c>
    </row>
    <row r="45" spans="1:16" ht="25.95" customHeight="1" x14ac:dyDescent="0.3">
      <c r="A45" s="50" t="s">
        <v>18</v>
      </c>
      <c r="B45" s="50">
        <v>2022</v>
      </c>
      <c r="C45" s="50">
        <v>7</v>
      </c>
      <c r="D45" s="50" t="s">
        <v>129</v>
      </c>
      <c r="E45" s="50" t="s">
        <v>3545</v>
      </c>
      <c r="F45" s="121">
        <f>KOHC!E84</f>
        <v>32876.949179000003</v>
      </c>
      <c r="G45" s="121">
        <f>AVERAGE(KOHC!D32,KOHC!E32)</f>
        <v>949.80384600000002</v>
      </c>
      <c r="H45" s="121">
        <f t="shared" si="0"/>
        <v>34.614462046513971</v>
      </c>
      <c r="I45" s="121">
        <v>32876.949179000003</v>
      </c>
      <c r="J45" s="121">
        <v>949.80384600000002</v>
      </c>
      <c r="K45" s="121">
        <v>34.614462046513971</v>
      </c>
      <c r="L45" s="127">
        <v>34.614462046513971</v>
      </c>
      <c r="M45" s="127">
        <f>KOHC!E145</f>
        <v>34.614462046513971</v>
      </c>
      <c r="N45" s="128" t="str">
        <f t="shared" si="1"/>
        <v>PASS</v>
      </c>
      <c r="O45" s="68"/>
      <c r="P45" s="50" t="s">
        <v>471</v>
      </c>
    </row>
    <row r="46" spans="1:16" ht="25.95" customHeight="1" x14ac:dyDescent="0.3">
      <c r="A46" s="119" t="s">
        <v>18</v>
      </c>
      <c r="B46" s="119">
        <v>2022</v>
      </c>
      <c r="C46" s="119">
        <v>8</v>
      </c>
      <c r="D46" s="119" t="s">
        <v>133</v>
      </c>
      <c r="E46" s="119" t="s">
        <v>3545</v>
      </c>
      <c r="F46" s="120">
        <f>-KOHC!E85</f>
        <v>23065.180670000002</v>
      </c>
      <c r="G46" s="120">
        <f>AVERAGE(KOHC!D51,KOHC!E51)</f>
        <v>1418.358671</v>
      </c>
      <c r="H46" s="120">
        <f t="shared" si="0"/>
        <v>16.261881526580382</v>
      </c>
      <c r="I46" s="120">
        <v>23065.180670000002</v>
      </c>
      <c r="J46" s="120">
        <v>1418.358671</v>
      </c>
      <c r="K46" s="120">
        <v>16.261881526580382</v>
      </c>
      <c r="L46" s="125">
        <v>16.261881526580382</v>
      </c>
      <c r="M46" s="125">
        <f>KOHC!E146</f>
        <v>16.261881526580382</v>
      </c>
      <c r="N46" s="126" t="str">
        <f t="shared" si="1"/>
        <v>PASS</v>
      </c>
      <c r="O46" s="122"/>
      <c r="P46" s="119" t="s">
        <v>471</v>
      </c>
    </row>
    <row r="47" spans="1:16" ht="25.95" customHeight="1" x14ac:dyDescent="0.3">
      <c r="A47" s="50" t="s">
        <v>18</v>
      </c>
      <c r="B47" s="50">
        <v>2022</v>
      </c>
      <c r="C47" s="50">
        <v>9</v>
      </c>
      <c r="D47" s="50" t="s">
        <v>134</v>
      </c>
      <c r="E47" s="50" t="s">
        <v>3545</v>
      </c>
      <c r="F47" s="121">
        <f>365*AVERAGE(KOHC!D65,KOHC!E65)</f>
        <v>1798452.0507624999</v>
      </c>
      <c r="G47" s="121">
        <f>-KOHC!E85</f>
        <v>23065.180670000002</v>
      </c>
      <c r="H47" s="121">
        <f t="shared" si="0"/>
        <v>77.972597591731756</v>
      </c>
      <c r="I47" s="121">
        <v>1798452.0507624999</v>
      </c>
      <c r="J47" s="121">
        <v>23065.180670000002</v>
      </c>
      <c r="K47" s="121">
        <v>77.972597591731756</v>
      </c>
      <c r="L47" s="127">
        <v>77.972597591731756</v>
      </c>
      <c r="M47" s="127">
        <f>KOHC!E147</f>
        <v>77.972597591731756</v>
      </c>
      <c r="N47" s="128" t="str">
        <f t="shared" si="1"/>
        <v>PASS</v>
      </c>
      <c r="O47" s="68"/>
      <c r="P47" s="50" t="s">
        <v>471</v>
      </c>
    </row>
    <row r="48" spans="1:16" ht="25.95" customHeight="1" x14ac:dyDescent="0.3">
      <c r="A48" s="119" t="s">
        <v>18</v>
      </c>
      <c r="B48" s="119">
        <v>2022</v>
      </c>
      <c r="C48" s="119">
        <v>10</v>
      </c>
      <c r="D48" s="119" t="s">
        <v>187</v>
      </c>
      <c r="E48" s="119" t="s">
        <v>3544</v>
      </c>
      <c r="F48" s="120">
        <f>365*AVERAGE(KOHC!D32,KOHC!E32)</f>
        <v>346678.40379000001</v>
      </c>
      <c r="G48" s="120">
        <f>KOHC!E84</f>
        <v>32876.949179000003</v>
      </c>
      <c r="H48" s="120">
        <f t="shared" si="0"/>
        <v>10.544725482358297</v>
      </c>
      <c r="I48" s="120">
        <v>346678.40379000001</v>
      </c>
      <c r="J48" s="120">
        <v>32876.949179000003</v>
      </c>
      <c r="K48" s="120">
        <v>10.544725482358297</v>
      </c>
      <c r="L48" s="125">
        <v>10.544725482358297</v>
      </c>
      <c r="M48" s="125">
        <f>KOHC!E148</f>
        <v>10.544725482358297</v>
      </c>
      <c r="N48" s="126" t="str">
        <f t="shared" si="1"/>
        <v>PASS</v>
      </c>
      <c r="O48" s="122"/>
      <c r="P48" s="119" t="s">
        <v>471</v>
      </c>
    </row>
    <row r="49" spans="1:16" ht="25.95" customHeight="1" x14ac:dyDescent="0.3">
      <c r="A49" s="50" t="s">
        <v>18</v>
      </c>
      <c r="B49" s="50">
        <v>2022</v>
      </c>
      <c r="C49" s="50">
        <v>11</v>
      </c>
      <c r="D49" s="50" t="s">
        <v>190</v>
      </c>
      <c r="E49" s="50" t="s">
        <v>3545</v>
      </c>
      <c r="F49" s="121">
        <f>365*AVERAGE(KOHC!D51,KOHC!E51)</f>
        <v>517700.91491499997</v>
      </c>
      <c r="G49" s="121">
        <f>-KOHC!E85</f>
        <v>23065.180670000002</v>
      </c>
      <c r="H49" s="121">
        <f t="shared" si="0"/>
        <v>22.445127238407188</v>
      </c>
      <c r="I49" s="121">
        <v>517700.91491499997</v>
      </c>
      <c r="J49" s="121">
        <v>23065.180670000002</v>
      </c>
      <c r="K49" s="121">
        <v>22.445127238407188</v>
      </c>
      <c r="L49" s="127">
        <v>22.445127238407188</v>
      </c>
      <c r="M49" s="127">
        <f>KOHC!E149</f>
        <v>22.445127238407188</v>
      </c>
      <c r="N49" s="128" t="str">
        <f t="shared" si="1"/>
        <v>PASS</v>
      </c>
      <c r="O49" s="68"/>
      <c r="P49" s="50" t="s">
        <v>471</v>
      </c>
    </row>
    <row r="50" spans="1:16" ht="25.95" customHeight="1" x14ac:dyDescent="0.3">
      <c r="A50" s="119" t="s">
        <v>18</v>
      </c>
      <c r="B50" s="119">
        <v>2022</v>
      </c>
      <c r="C50" s="119">
        <v>12</v>
      </c>
      <c r="D50" s="119" t="s">
        <v>192</v>
      </c>
      <c r="E50" s="119" t="s">
        <v>3545</v>
      </c>
      <c r="F50" s="120">
        <f>365*AVERAGE(KOHC!D65,KOHC!E65)/(-KOHC!E85)+365*AVERAGE(KOHC!D32,KOHC!E32)/KOHC!E84</f>
        <v>88.517323074090058</v>
      </c>
      <c r="G50" s="120">
        <f>1</f>
        <v>1</v>
      </c>
      <c r="H50" s="120">
        <f t="shared" si="0"/>
        <v>88.517323074090058</v>
      </c>
      <c r="I50" s="120">
        <v>88.517323074090058</v>
      </c>
      <c r="J50" s="120">
        <v>1</v>
      </c>
      <c r="K50" s="120">
        <v>88.517323074090058</v>
      </c>
      <c r="L50" s="125">
        <v>88.517323074090058</v>
      </c>
      <c r="M50" s="125">
        <f>KOHC!E150</f>
        <v>88.517323074090058</v>
      </c>
      <c r="N50" s="126" t="str">
        <f t="shared" si="1"/>
        <v>PASS</v>
      </c>
      <c r="O50" s="122"/>
      <c r="P50" s="119" t="s">
        <v>471</v>
      </c>
    </row>
    <row r="51" spans="1:16" ht="25.95" customHeight="1" x14ac:dyDescent="0.3">
      <c r="A51" s="50" t="s">
        <v>18</v>
      </c>
      <c r="B51" s="50">
        <v>2022</v>
      </c>
      <c r="C51" s="50">
        <v>13</v>
      </c>
      <c r="D51" s="50" t="s">
        <v>150</v>
      </c>
      <c r="E51" s="50" t="s">
        <v>3545</v>
      </c>
      <c r="F51" s="121">
        <f>365*AVERAGE(KOHC!D65,KOHC!E65)/(-KOHC!E85)+365*AVERAGE(KOHC!D32,KOHC!E32)/KOHC!E84-365*AVERAGE(KOHC!D51,KOHC!E51)/(-KOHC!E85)</f>
        <v>66.072195835682862</v>
      </c>
      <c r="G51" s="121">
        <f>1</f>
        <v>1</v>
      </c>
      <c r="H51" s="121">
        <f t="shared" si="0"/>
        <v>66.072195835682862</v>
      </c>
      <c r="I51" s="121">
        <v>66.072195835682862</v>
      </c>
      <c r="J51" s="121">
        <v>1</v>
      </c>
      <c r="K51" s="121">
        <v>66.072195835682862</v>
      </c>
      <c r="L51" s="127">
        <v>66.072195835682862</v>
      </c>
      <c r="M51" s="127">
        <f>KOHC!E151</f>
        <v>66.072195835682862</v>
      </c>
      <c r="N51" s="128" t="str">
        <f t="shared" si="1"/>
        <v>PASS</v>
      </c>
      <c r="O51" s="68"/>
      <c r="P51" s="50" t="s">
        <v>471</v>
      </c>
    </row>
    <row r="52" spans="1:16" ht="25.95" customHeight="1" x14ac:dyDescent="0.3">
      <c r="A52" s="119" t="s">
        <v>18</v>
      </c>
      <c r="B52" s="119">
        <v>2022</v>
      </c>
      <c r="C52" s="119">
        <v>14</v>
      </c>
      <c r="D52" s="119" t="s">
        <v>196</v>
      </c>
      <c r="E52" s="119" t="s">
        <v>3544</v>
      </c>
      <c r="F52" s="120">
        <f>KOHC!E84</f>
        <v>32876.949179000003</v>
      </c>
      <c r="G52" s="120">
        <f>AVERAGE(KOHC!D37,KOHC!E37)</f>
        <v>39718.794640499997</v>
      </c>
      <c r="H52" s="120">
        <f t="shared" si="0"/>
        <v>0.82774287277782643</v>
      </c>
      <c r="I52" s="120">
        <v>32876.949179000003</v>
      </c>
      <c r="J52" s="120">
        <v>39718.794640499997</v>
      </c>
      <c r="K52" s="120">
        <v>0.82774287277782643</v>
      </c>
      <c r="L52" s="125">
        <v>0.82774287277782643</v>
      </c>
      <c r="M52" s="125">
        <f>KOHC!E152</f>
        <v>0.82774287277782643</v>
      </c>
      <c r="N52" s="126" t="str">
        <f t="shared" si="1"/>
        <v>PASS</v>
      </c>
      <c r="O52" s="122"/>
      <c r="P52" s="119" t="s">
        <v>471</v>
      </c>
    </row>
    <row r="53" spans="1:16" ht="25.95" customHeight="1" x14ac:dyDescent="0.3">
      <c r="A53" s="50" t="s">
        <v>18</v>
      </c>
      <c r="B53" s="50">
        <v>2022</v>
      </c>
      <c r="C53" s="50">
        <v>15</v>
      </c>
      <c r="D53" s="50" t="s">
        <v>199</v>
      </c>
      <c r="E53" s="50" t="s">
        <v>3544</v>
      </c>
      <c r="F53" s="121">
        <f>KOHC!E84</f>
        <v>32876.949179000003</v>
      </c>
      <c r="G53" s="121">
        <f>AVERAGE(KOHC!D22,KOHC!E22)</f>
        <v>21477.001884500001</v>
      </c>
      <c r="H53" s="121">
        <f t="shared" si="0"/>
        <v>1.5307978904973403</v>
      </c>
      <c r="I53" s="121">
        <v>32876.949179000003</v>
      </c>
      <c r="J53" s="121">
        <v>21477.001884500001</v>
      </c>
      <c r="K53" s="121">
        <v>1.5307978904973403</v>
      </c>
      <c r="L53" s="127">
        <v>1.5307978904973403</v>
      </c>
      <c r="M53" s="127">
        <f>KOHC!E153</f>
        <v>1.5307978904973403</v>
      </c>
      <c r="N53" s="128" t="str">
        <f t="shared" si="1"/>
        <v>PASS</v>
      </c>
      <c r="O53" s="68"/>
      <c r="P53" s="50" t="s">
        <v>471</v>
      </c>
    </row>
    <row r="54" spans="1:16" ht="25.95" customHeight="1" x14ac:dyDescent="0.3">
      <c r="A54" s="119" t="s">
        <v>18</v>
      </c>
      <c r="B54" s="119">
        <v>2022</v>
      </c>
      <c r="C54" s="119">
        <v>16</v>
      </c>
      <c r="D54" s="119" t="s">
        <v>932</v>
      </c>
      <c r="E54" s="119" t="s">
        <v>3544</v>
      </c>
      <c r="F54" s="120">
        <f>KOHC!E62</f>
        <v>16104.447613</v>
      </c>
      <c r="G54" s="120">
        <f>KOHC!E37</f>
        <v>43350.667843999996</v>
      </c>
      <c r="H54" s="120">
        <f t="shared" si="0"/>
        <v>0.37149249167170456</v>
      </c>
      <c r="I54" s="120">
        <v>16104.447613</v>
      </c>
      <c r="J54" s="120">
        <v>43350.667843999996</v>
      </c>
      <c r="K54" s="120">
        <v>0.37149249167170456</v>
      </c>
      <c r="L54" s="125">
        <v>0.37149249167170456</v>
      </c>
      <c r="M54" s="125">
        <f>KOHC!E155</f>
        <v>0.37149249167170456</v>
      </c>
      <c r="N54" s="126" t="str">
        <f t="shared" si="1"/>
        <v>PASS</v>
      </c>
      <c r="O54" s="122"/>
      <c r="P54" s="119" t="s">
        <v>493</v>
      </c>
    </row>
    <row r="55" spans="1:16" ht="25.95" customHeight="1" x14ac:dyDescent="0.3">
      <c r="A55" s="50" t="s">
        <v>18</v>
      </c>
      <c r="B55" s="50">
        <v>2022</v>
      </c>
      <c r="C55" s="50">
        <v>17</v>
      </c>
      <c r="D55" s="50" t="s">
        <v>151</v>
      </c>
      <c r="E55" s="50" t="s">
        <v>3544</v>
      </c>
      <c r="F55" s="121">
        <f>KOHC!E62</f>
        <v>16104.447613</v>
      </c>
      <c r="G55" s="121">
        <f>KOHC!E41</f>
        <v>27246.220230999999</v>
      </c>
      <c r="H55" s="121">
        <f t="shared" si="0"/>
        <v>0.59107088896964888</v>
      </c>
      <c r="I55" s="121">
        <v>16104.447613</v>
      </c>
      <c r="J55" s="121">
        <v>27246.220230999999</v>
      </c>
      <c r="K55" s="121">
        <v>0.59107088896964888</v>
      </c>
      <c r="L55" s="127">
        <v>0.59107088896964888</v>
      </c>
      <c r="M55" s="127">
        <f>KOHC!E156</f>
        <v>0.59107088896964888</v>
      </c>
      <c r="N55" s="128" t="str">
        <f t="shared" si="1"/>
        <v>PASS</v>
      </c>
      <c r="O55" s="68"/>
      <c r="P55" s="50" t="s">
        <v>493</v>
      </c>
    </row>
    <row r="56" spans="1:16" ht="25.95" customHeight="1" x14ac:dyDescent="0.3">
      <c r="A56" s="119" t="s">
        <v>18</v>
      </c>
      <c r="B56" s="119">
        <v>2022</v>
      </c>
      <c r="C56" s="119">
        <v>18</v>
      </c>
      <c r="D56" s="119" t="s">
        <v>935</v>
      </c>
      <c r="E56" s="119" t="s">
        <v>3545</v>
      </c>
      <c r="F56" s="120">
        <f>KOHC!E66</f>
        <v>4251.3124740000003</v>
      </c>
      <c r="G56" s="120">
        <f>KOHC!E66+KOHC!E41</f>
        <v>31497.532704999998</v>
      </c>
      <c r="H56" s="120">
        <f t="shared" si="0"/>
        <v>0.13497287275854264</v>
      </c>
      <c r="I56" s="120">
        <v>4251.3124740000003</v>
      </c>
      <c r="J56" s="120">
        <v>31497.532704999998</v>
      </c>
      <c r="K56" s="120">
        <v>0.13497287275854264</v>
      </c>
      <c r="L56" s="125">
        <v>0.13497287275854264</v>
      </c>
      <c r="M56" s="125">
        <f>KOHC!E157</f>
        <v>0.13497287275854264</v>
      </c>
      <c r="N56" s="126" t="str">
        <f t="shared" si="1"/>
        <v>PASS</v>
      </c>
      <c r="O56" s="122"/>
      <c r="P56" s="119" t="s">
        <v>493</v>
      </c>
    </row>
    <row r="57" spans="1:16" ht="25.95" customHeight="1" x14ac:dyDescent="0.3">
      <c r="A57" s="50" t="s">
        <v>18</v>
      </c>
      <c r="B57" s="50">
        <v>2022</v>
      </c>
      <c r="C57" s="50">
        <v>19</v>
      </c>
      <c r="D57" s="50" t="s">
        <v>936</v>
      </c>
      <c r="E57" s="50" t="s">
        <v>3545</v>
      </c>
      <c r="F57" s="121">
        <f>KOHC!E67</f>
        <v>3179.400118</v>
      </c>
      <c r="G57" s="121">
        <f>KOHC!E37</f>
        <v>43350.667843999996</v>
      </c>
      <c r="H57" s="121">
        <f t="shared" si="0"/>
        <v>7.3341433387860686E-2</v>
      </c>
      <c r="I57" s="121">
        <v>3179.400118</v>
      </c>
      <c r="J57" s="121">
        <v>43350.667843999996</v>
      </c>
      <c r="K57" s="121">
        <v>7.3341433387860686E-2</v>
      </c>
      <c r="L57" s="127">
        <v>7.3341433387860686E-2</v>
      </c>
      <c r="M57" s="127">
        <f>KOHC!E158</f>
        <v>7.3341433387860686E-2</v>
      </c>
      <c r="N57" s="128" t="str">
        <f t="shared" si="1"/>
        <v>PASS</v>
      </c>
      <c r="O57" s="68"/>
      <c r="P57" s="50" t="s">
        <v>493</v>
      </c>
    </row>
    <row r="58" spans="1:16" ht="25.95" customHeight="1" x14ac:dyDescent="0.3">
      <c r="A58" s="119" t="s">
        <v>18</v>
      </c>
      <c r="B58" s="119">
        <v>2022</v>
      </c>
      <c r="C58" s="119">
        <v>20</v>
      </c>
      <c r="D58" s="119" t="s">
        <v>938</v>
      </c>
      <c r="E58" s="119" t="s">
        <v>3544</v>
      </c>
      <c r="F58" s="120">
        <f>KOHC!E108</f>
        <v>9463.1999410000008</v>
      </c>
      <c r="G58" s="120">
        <f>KOHC!E106</f>
        <v>515.33634900000004</v>
      </c>
      <c r="H58" s="120">
        <f t="shared" si="0"/>
        <v>18.36315245249661</v>
      </c>
      <c r="I58" s="120">
        <v>9463.1999410000008</v>
      </c>
      <c r="J58" s="120">
        <v>515.33634900000004</v>
      </c>
      <c r="K58" s="120">
        <v>18.36315245249661</v>
      </c>
      <c r="L58" s="125">
        <v>18.36315245249661</v>
      </c>
      <c r="M58" s="125">
        <f>KOHC!E159</f>
        <v>18.36315245249661</v>
      </c>
      <c r="N58" s="126" t="str">
        <f t="shared" si="1"/>
        <v>PASS</v>
      </c>
      <c r="O58" s="122"/>
      <c r="P58" s="119" t="s">
        <v>493</v>
      </c>
    </row>
    <row r="59" spans="1:16" ht="25.95" customHeight="1" x14ac:dyDescent="0.3">
      <c r="A59" s="50" t="s">
        <v>18</v>
      </c>
      <c r="B59" s="50">
        <v>2022</v>
      </c>
      <c r="C59" s="50">
        <v>21</v>
      </c>
      <c r="D59" s="50" t="s">
        <v>154</v>
      </c>
      <c r="E59" s="50" t="s">
        <v>3544</v>
      </c>
      <c r="F59" s="121">
        <f>KOHC!E86</f>
        <v>9811.7685090000014</v>
      </c>
      <c r="G59" s="121">
        <f>KOHC!E84</f>
        <v>32876.949179000003</v>
      </c>
      <c r="H59" s="121">
        <f t="shared" si="0"/>
        <v>0.29843914213509881</v>
      </c>
      <c r="I59" s="121">
        <v>9811.7685090000014</v>
      </c>
      <c r="J59" s="121">
        <v>32876.949179000003</v>
      </c>
      <c r="K59" s="121">
        <v>0.29843914213509881</v>
      </c>
      <c r="L59" s="127">
        <v>0.29843914213509881</v>
      </c>
      <c r="M59" s="127">
        <f>KOHC!E161</f>
        <v>0.29843914213509881</v>
      </c>
      <c r="N59" s="128" t="str">
        <f t="shared" si="1"/>
        <v>PASS</v>
      </c>
      <c r="O59" s="68"/>
      <c r="P59" s="50" t="s">
        <v>504</v>
      </c>
    </row>
    <row r="60" spans="1:16" ht="25.95" customHeight="1" x14ac:dyDescent="0.3">
      <c r="A60" s="119" t="s">
        <v>18</v>
      </c>
      <c r="B60" s="119">
        <v>2022</v>
      </c>
      <c r="C60" s="119">
        <v>22</v>
      </c>
      <c r="D60" s="119" t="s">
        <v>942</v>
      </c>
      <c r="E60" s="119" t="s">
        <v>3544</v>
      </c>
      <c r="F60" s="120">
        <f>KOHC!E91</f>
        <v>8773.0565450000013</v>
      </c>
      <c r="G60" s="120">
        <f>KOHC!E84</f>
        <v>32876.949179000003</v>
      </c>
      <c r="H60" s="120">
        <f t="shared" si="0"/>
        <v>0.26684521417223683</v>
      </c>
      <c r="I60" s="120">
        <v>8773.0565450000013</v>
      </c>
      <c r="J60" s="120">
        <v>32876.949179000003</v>
      </c>
      <c r="K60" s="120">
        <v>0.26684521417223683</v>
      </c>
      <c r="L60" s="125">
        <v>0.26684521417223683</v>
      </c>
      <c r="M60" s="125">
        <f>KOHC!E162</f>
        <v>0.26684521417223683</v>
      </c>
      <c r="N60" s="126" t="str">
        <f t="shared" si="1"/>
        <v>PASS</v>
      </c>
      <c r="O60" s="122"/>
      <c r="P60" s="119" t="s">
        <v>504</v>
      </c>
    </row>
    <row r="61" spans="1:16" ht="25.95" customHeight="1" x14ac:dyDescent="0.3">
      <c r="A61" s="50" t="s">
        <v>18</v>
      </c>
      <c r="B61" s="50">
        <v>2022</v>
      </c>
      <c r="C61" s="50">
        <v>23</v>
      </c>
      <c r="D61" s="50" t="s">
        <v>155</v>
      </c>
      <c r="E61" s="50" t="s">
        <v>3544</v>
      </c>
      <c r="F61" s="121">
        <f>KOHC!E99</f>
        <v>5024.2802600000005</v>
      </c>
      <c r="G61" s="121">
        <f>KOHC!E84</f>
        <v>32876.949179000003</v>
      </c>
      <c r="H61" s="121">
        <f t="shared" si="0"/>
        <v>0.15282075695786385</v>
      </c>
      <c r="I61" s="121">
        <v>5024.2802600000005</v>
      </c>
      <c r="J61" s="121">
        <v>32876.949179000003</v>
      </c>
      <c r="K61" s="121">
        <v>0.15282075695786385</v>
      </c>
      <c r="L61" s="127">
        <v>0.15282075695786385</v>
      </c>
      <c r="M61" s="127">
        <f>KOHC!E163</f>
        <v>0.15282075695786385</v>
      </c>
      <c r="N61" s="128" t="str">
        <f t="shared" si="1"/>
        <v>PASS</v>
      </c>
      <c r="O61" s="68"/>
      <c r="P61" s="50" t="s">
        <v>504</v>
      </c>
    </row>
    <row r="62" spans="1:16" ht="25.95" customHeight="1" x14ac:dyDescent="0.3">
      <c r="A62" s="119" t="s">
        <v>18</v>
      </c>
      <c r="B62" s="119">
        <v>2022</v>
      </c>
      <c r="C62" s="119">
        <v>24</v>
      </c>
      <c r="D62" s="119" t="s">
        <v>136</v>
      </c>
      <c r="E62" s="119" t="s">
        <v>3544</v>
      </c>
      <c r="F62" s="120">
        <f>KOHC!E99</f>
        <v>5024.2802600000005</v>
      </c>
      <c r="G62" s="120">
        <f>AVERAGE(KOHC!D37,KOHC!E37)</f>
        <v>39718.794640499997</v>
      </c>
      <c r="H62" s="120">
        <f t="shared" si="0"/>
        <v>0.12649629238438423</v>
      </c>
      <c r="I62" s="120">
        <v>5024.2802600000005</v>
      </c>
      <c r="J62" s="120">
        <v>39718.794640499997</v>
      </c>
      <c r="K62" s="120">
        <v>0.12649629238438423</v>
      </c>
      <c r="L62" s="125">
        <v>0.12649629238438423</v>
      </c>
      <c r="M62" s="125">
        <f>KOHC!E164</f>
        <v>0.12649629238438423</v>
      </c>
      <c r="N62" s="126" t="str">
        <f t="shared" si="1"/>
        <v>PASS</v>
      </c>
      <c r="O62" s="122"/>
      <c r="P62" s="119" t="s">
        <v>504</v>
      </c>
    </row>
    <row r="63" spans="1:16" ht="25.95" customHeight="1" x14ac:dyDescent="0.3">
      <c r="A63" s="50" t="s">
        <v>18</v>
      </c>
      <c r="B63" s="50">
        <v>2022</v>
      </c>
      <c r="C63" s="50">
        <v>25</v>
      </c>
      <c r="D63" s="50" t="s">
        <v>53</v>
      </c>
      <c r="E63" s="50" t="s">
        <v>3544</v>
      </c>
      <c r="F63" s="121">
        <f>KOHC!E99</f>
        <v>5024.2802600000005</v>
      </c>
      <c r="G63" s="121">
        <f>AVERAGE(KOHC!D41,KOHC!E41)</f>
        <v>24734.879800999999</v>
      </c>
      <c r="H63" s="121">
        <f t="shared" si="0"/>
        <v>0.20312531536122019</v>
      </c>
      <c r="I63" s="121">
        <v>5024.2802600000005</v>
      </c>
      <c r="J63" s="121">
        <v>24734.879800999999</v>
      </c>
      <c r="K63" s="121">
        <v>0.20312531536122019</v>
      </c>
      <c r="L63" s="127">
        <v>0.20312531536122019</v>
      </c>
      <c r="M63" s="127">
        <f>KOHC!E165</f>
        <v>0.20312531536122019</v>
      </c>
      <c r="N63" s="128" t="str">
        <f t="shared" si="1"/>
        <v>PASS</v>
      </c>
      <c r="O63" s="68"/>
      <c r="P63" s="50" t="s">
        <v>504</v>
      </c>
    </row>
    <row r="64" spans="1:16" ht="25.95" customHeight="1" x14ac:dyDescent="0.3">
      <c r="A64" s="119" t="s">
        <v>18</v>
      </c>
      <c r="B64" s="119">
        <v>2022</v>
      </c>
      <c r="C64" s="119">
        <v>26</v>
      </c>
      <c r="D64" s="119" t="s">
        <v>944</v>
      </c>
      <c r="E64" s="119" t="s">
        <v>3545</v>
      </c>
      <c r="F64" s="120">
        <f>KOHC!E113</f>
        <v>5326.9650535451756</v>
      </c>
      <c r="G64" s="120">
        <f>AVERAGE(KOHC!D70,KOHC!E70)</f>
        <v>29885.929112499998</v>
      </c>
      <c r="H64" s="120">
        <f t="shared" si="0"/>
        <v>0.17824324729851332</v>
      </c>
      <c r="I64" s="120">
        <v>5326.9650535451756</v>
      </c>
      <c r="J64" s="120">
        <v>29885.929112499998</v>
      </c>
      <c r="K64" s="120">
        <v>0.17824324729851332</v>
      </c>
      <c r="L64" s="125">
        <v>0.17824324729851332</v>
      </c>
      <c r="M64" s="125">
        <f>KOHC!E166</f>
        <v>0.17824324729851332</v>
      </c>
      <c r="N64" s="126" t="str">
        <f t="shared" si="1"/>
        <v>PASS</v>
      </c>
      <c r="O64" s="122"/>
      <c r="P64" s="119" t="s">
        <v>504</v>
      </c>
    </row>
    <row r="65" spans="1:16" ht="25.95" customHeight="1" x14ac:dyDescent="0.3">
      <c r="A65" s="50" t="s">
        <v>18</v>
      </c>
      <c r="B65" s="50">
        <v>2022</v>
      </c>
      <c r="C65" s="50">
        <v>27</v>
      </c>
      <c r="D65" s="50" t="s">
        <v>945</v>
      </c>
      <c r="E65" s="50" t="s">
        <v>3545</v>
      </c>
      <c r="F65" s="121">
        <f>KOHC!E108</f>
        <v>9463.1999410000008</v>
      </c>
      <c r="G65" s="121">
        <f>AVERAGE(KOHC!D37,KOHC!E37)</f>
        <v>39718.794640499997</v>
      </c>
      <c r="H65" s="121">
        <f t="shared" si="0"/>
        <v>0.23825496283693048</v>
      </c>
      <c r="I65" s="121">
        <v>9463.1999410000008</v>
      </c>
      <c r="J65" s="121">
        <v>39718.794640499997</v>
      </c>
      <c r="K65" s="121">
        <v>0.23825496283693048</v>
      </c>
      <c r="L65" s="127">
        <v>0.23825496283693048</v>
      </c>
      <c r="M65" s="127">
        <f>KOHC!E167</f>
        <v>0.23825496283693048</v>
      </c>
      <c r="N65" s="128" t="str">
        <f t="shared" si="1"/>
        <v>PASS</v>
      </c>
      <c r="O65" s="68"/>
      <c r="P65" s="50" t="s">
        <v>504</v>
      </c>
    </row>
    <row r="66" spans="1:16" ht="25.95" customHeight="1" x14ac:dyDescent="0.3">
      <c r="A66" s="119" t="s">
        <v>18</v>
      </c>
      <c r="B66" s="119">
        <v>2022</v>
      </c>
      <c r="C66" s="119">
        <v>28</v>
      </c>
      <c r="D66" s="119" t="s">
        <v>139</v>
      </c>
      <c r="E66" s="119" t="s">
        <v>3545</v>
      </c>
      <c r="F66" s="120">
        <f>KOHC!E41</f>
        <v>27246.220230999999</v>
      </c>
      <c r="G66" s="120">
        <f>KOHC!E128</f>
        <v>200.86129699999998</v>
      </c>
      <c r="H66" s="120">
        <f t="shared" si="0"/>
        <v>135.64693964412666</v>
      </c>
      <c r="I66" s="120">
        <v>27246.220230999999</v>
      </c>
      <c r="J66" s="120">
        <v>200.86129699999998</v>
      </c>
      <c r="K66" s="120">
        <v>135.64693964412666</v>
      </c>
      <c r="L66" s="125">
        <v>135.64693964412666</v>
      </c>
      <c r="M66" s="125">
        <f>KOHC!E169</f>
        <v>135.64693964412666</v>
      </c>
      <c r="N66" s="126" t="str">
        <f t="shared" si="1"/>
        <v>PASS</v>
      </c>
      <c r="O66" s="122"/>
      <c r="P66" s="119" t="s">
        <v>519</v>
      </c>
    </row>
    <row r="67" spans="1:16" ht="25.95" customHeight="1" x14ac:dyDescent="0.3">
      <c r="A67" s="50" t="s">
        <v>18</v>
      </c>
      <c r="B67" s="50">
        <v>2022</v>
      </c>
      <c r="C67" s="50">
        <v>29</v>
      </c>
      <c r="D67" s="50" t="s">
        <v>162</v>
      </c>
      <c r="E67" s="50" t="s">
        <v>3544</v>
      </c>
      <c r="F67" s="121">
        <f>KOHC!E130</f>
        <v>130.13</v>
      </c>
      <c r="G67" s="121">
        <f>KOHC!E41/KOHC!E128</f>
        <v>135.64693964412666</v>
      </c>
      <c r="H67" s="121">
        <f t="shared" si="0"/>
        <v>0.95932868328175702</v>
      </c>
      <c r="I67" s="121">
        <v>130.13</v>
      </c>
      <c r="J67" s="121">
        <v>135.64693964412666</v>
      </c>
      <c r="K67" s="121">
        <v>0.95932868328175702</v>
      </c>
      <c r="L67" s="127">
        <v>0.95932868328175702</v>
      </c>
      <c r="M67" s="127">
        <f>KOHC!E170</f>
        <v>0.95932868328175702</v>
      </c>
      <c r="N67" s="128" t="str">
        <f t="shared" si="1"/>
        <v>PASS</v>
      </c>
      <c r="O67" s="68"/>
      <c r="P67" s="50" t="s">
        <v>519</v>
      </c>
    </row>
    <row r="68" spans="1:16" ht="25.95" customHeight="1" x14ac:dyDescent="0.3">
      <c r="A68" s="119" t="s">
        <v>18</v>
      </c>
      <c r="B68" s="119">
        <v>2022</v>
      </c>
      <c r="C68" s="119">
        <v>30</v>
      </c>
      <c r="D68" s="119" t="s">
        <v>143</v>
      </c>
      <c r="E68" s="119" t="s">
        <v>3544</v>
      </c>
      <c r="F68" s="120">
        <f>KOHC!E99</f>
        <v>5024.2802600000005</v>
      </c>
      <c r="G68" s="120">
        <f>KOHC!E129</f>
        <v>200.86129700000001</v>
      </c>
      <c r="H68" s="120">
        <f t="shared" si="0"/>
        <v>25.013680261160516</v>
      </c>
      <c r="I68" s="120">
        <v>5024.2802600000005</v>
      </c>
      <c r="J68" s="120">
        <v>200.86129700000001</v>
      </c>
      <c r="K68" s="120">
        <v>25.013680261160516</v>
      </c>
      <c r="L68" s="125">
        <v>25.013680261160516</v>
      </c>
      <c r="M68" s="125">
        <f>KOHC!E171</f>
        <v>25.013680261160516</v>
      </c>
      <c r="N68" s="126" t="str">
        <f t="shared" si="1"/>
        <v>PASS</v>
      </c>
      <c r="O68" s="122"/>
      <c r="P68" s="119" t="s">
        <v>519</v>
      </c>
    </row>
    <row r="69" spans="1:16" ht="25.95" customHeight="1" x14ac:dyDescent="0.3">
      <c r="A69" s="50" t="s">
        <v>18</v>
      </c>
      <c r="B69" s="50">
        <v>2022</v>
      </c>
      <c r="C69" s="50">
        <v>31</v>
      </c>
      <c r="D69" s="50" t="s">
        <v>952</v>
      </c>
      <c r="E69" s="50" t="s">
        <v>3544</v>
      </c>
      <c r="F69" s="121">
        <f>KOHC!E130</f>
        <v>130.13</v>
      </c>
      <c r="G69" s="121">
        <f>KOHC!E99/KOHC!E129</f>
        <v>25.013680261160516</v>
      </c>
      <c r="H69" s="121">
        <f t="shared" si="0"/>
        <v>5.2023532179731546</v>
      </c>
      <c r="I69" s="121">
        <v>130.13</v>
      </c>
      <c r="J69" s="121">
        <v>25.013680261160516</v>
      </c>
      <c r="K69" s="121">
        <v>5.2023532179731546</v>
      </c>
      <c r="L69" s="127">
        <v>5.2023532179731546</v>
      </c>
      <c r="M69" s="127">
        <f>KOHC!E172</f>
        <v>5.2023532179731546</v>
      </c>
      <c r="N69" s="128" t="str">
        <f t="shared" si="1"/>
        <v>PASS</v>
      </c>
      <c r="O69" s="68"/>
      <c r="P69" s="50" t="s">
        <v>519</v>
      </c>
    </row>
    <row r="70" spans="1:16" ht="25.95" customHeight="1" x14ac:dyDescent="0.3">
      <c r="A70" s="119" t="s">
        <v>18</v>
      </c>
      <c r="B70" s="119">
        <v>2022</v>
      </c>
      <c r="C70" s="119">
        <v>32</v>
      </c>
      <c r="D70" s="119" t="s">
        <v>104</v>
      </c>
      <c r="E70" s="119" t="s">
        <v>3544</v>
      </c>
      <c r="F70" s="120">
        <f>KOHC!E131</f>
        <v>0</v>
      </c>
      <c r="G70" s="120">
        <f>KOHC!E130</f>
        <v>130.13</v>
      </c>
      <c r="H70" s="120">
        <f t="shared" ref="H70:H133" si="2">IF(G70&lt;=0,"n/m",F70/G70)</f>
        <v>0</v>
      </c>
      <c r="I70" s="120">
        <v>0</v>
      </c>
      <c r="J70" s="120">
        <v>130.13</v>
      </c>
      <c r="K70" s="120">
        <v>0</v>
      </c>
      <c r="L70" s="125">
        <v>0</v>
      </c>
      <c r="M70" s="125">
        <f>KOHC!E173</f>
        <v>0</v>
      </c>
      <c r="N70" s="126" t="str">
        <f t="shared" ref="N70:N133" si="3">IF(AND(ABS(F70-I70)&lt;0.000001,ABS(G70-J70)&lt;0.000001,IF(ISNUMBER(L70),IF(ISNUMBER(M70),ABS(L70-M70)&lt;0.00000001,FALSE),M70=L70)),"PASS","FAIL")</f>
        <v>PASS</v>
      </c>
      <c r="O70" s="122"/>
      <c r="P70" s="119" t="s">
        <v>519</v>
      </c>
    </row>
    <row r="71" spans="1:16" ht="25.95" customHeight="1" x14ac:dyDescent="0.3">
      <c r="A71" s="50" t="s">
        <v>18</v>
      </c>
      <c r="B71" s="50">
        <v>2022</v>
      </c>
      <c r="C71" s="50">
        <v>33</v>
      </c>
      <c r="D71" s="50" t="s">
        <v>124</v>
      </c>
      <c r="E71" s="50" t="s">
        <v>3545</v>
      </c>
      <c r="F71" s="121">
        <f>KOHC!E131</f>
        <v>0</v>
      </c>
      <c r="G71" s="121">
        <f>KOHC!E99/KOHC!E129</f>
        <v>25.013680261160516</v>
      </c>
      <c r="H71" s="121">
        <f t="shared" si="2"/>
        <v>0</v>
      </c>
      <c r="I71" s="121">
        <v>0</v>
      </c>
      <c r="J71" s="121">
        <v>25.013680261160516</v>
      </c>
      <c r="K71" s="121">
        <v>0</v>
      </c>
      <c r="L71" s="127">
        <v>0</v>
      </c>
      <c r="M71" s="127">
        <f>KOHC!E174</f>
        <v>0</v>
      </c>
      <c r="N71" s="128" t="str">
        <f t="shared" si="3"/>
        <v>PASS</v>
      </c>
      <c r="O71" s="68"/>
      <c r="P71" s="50" t="s">
        <v>519</v>
      </c>
    </row>
    <row r="72" spans="1:16" ht="25.95" customHeight="1" x14ac:dyDescent="0.3">
      <c r="A72" s="119" t="s">
        <v>18</v>
      </c>
      <c r="B72" s="119">
        <v>2023</v>
      </c>
      <c r="C72" s="119">
        <v>1</v>
      </c>
      <c r="D72" s="119" t="s">
        <v>19</v>
      </c>
      <c r="E72" s="119" t="s">
        <v>3544</v>
      </c>
      <c r="F72" s="120">
        <f>KOHC!F36</f>
        <v>22913.376649000002</v>
      </c>
      <c r="G72" s="120">
        <f>KOHC!F61</f>
        <v>9912.4714110000004</v>
      </c>
      <c r="H72" s="120">
        <f t="shared" si="2"/>
        <v>2.311570515459215</v>
      </c>
      <c r="I72" s="120">
        <v>22913.376649000002</v>
      </c>
      <c r="J72" s="120">
        <v>9912.4714110000004</v>
      </c>
      <c r="K72" s="120">
        <v>2.311570515459215</v>
      </c>
      <c r="L72" s="125">
        <v>2.311570515459215</v>
      </c>
      <c r="M72" s="125">
        <f>KOHC!F138</f>
        <v>2.311570515459215</v>
      </c>
      <c r="N72" s="126" t="str">
        <f t="shared" si="3"/>
        <v>PASS</v>
      </c>
      <c r="O72" s="122"/>
      <c r="P72" s="119" t="s">
        <v>459</v>
      </c>
    </row>
    <row r="73" spans="1:16" ht="25.95" customHeight="1" x14ac:dyDescent="0.3">
      <c r="A73" s="50" t="s">
        <v>18</v>
      </c>
      <c r="B73" s="50">
        <v>2023</v>
      </c>
      <c r="C73" s="50">
        <v>2</v>
      </c>
      <c r="D73" s="50" t="s">
        <v>30</v>
      </c>
      <c r="E73" s="50" t="s">
        <v>3544</v>
      </c>
      <c r="F73" s="121">
        <f>KOHC!F36-KOHC!F65</f>
        <v>15257.385331000001</v>
      </c>
      <c r="G73" s="121">
        <f>KOHC!F61</f>
        <v>9912.4714110000004</v>
      </c>
      <c r="H73" s="121">
        <f t="shared" si="2"/>
        <v>1.5392110300634694</v>
      </c>
      <c r="I73" s="121">
        <v>15257.385331000001</v>
      </c>
      <c r="J73" s="121">
        <v>9912.4714110000004</v>
      </c>
      <c r="K73" s="121">
        <v>1.5392110300634694</v>
      </c>
      <c r="L73" s="127">
        <v>1.5392110300634694</v>
      </c>
      <c r="M73" s="127">
        <f>KOHC!F139</f>
        <v>1.5392110300634694</v>
      </c>
      <c r="N73" s="128" t="str">
        <f t="shared" si="3"/>
        <v>PASS</v>
      </c>
      <c r="O73" s="68"/>
      <c r="P73" s="50" t="s">
        <v>459</v>
      </c>
    </row>
    <row r="74" spans="1:16" ht="25.95" customHeight="1" x14ac:dyDescent="0.3">
      <c r="A74" s="119" t="s">
        <v>18</v>
      </c>
      <c r="B74" s="119">
        <v>2023</v>
      </c>
      <c r="C74" s="119">
        <v>3</v>
      </c>
      <c r="D74" s="119" t="s">
        <v>145</v>
      </c>
      <c r="E74" s="119" t="s">
        <v>3544</v>
      </c>
      <c r="F74" s="120">
        <f>KOHC!F34</f>
        <v>933.537193</v>
      </c>
      <c r="G74" s="120">
        <f>KOHC!F61</f>
        <v>9912.4714110000004</v>
      </c>
      <c r="H74" s="120">
        <f t="shared" si="2"/>
        <v>9.4178046452072631E-2</v>
      </c>
      <c r="I74" s="120">
        <v>933.537193</v>
      </c>
      <c r="J74" s="120">
        <v>9912.4714110000004</v>
      </c>
      <c r="K74" s="120">
        <v>9.4178046452072631E-2</v>
      </c>
      <c r="L74" s="125">
        <v>9.4178046452072631E-2</v>
      </c>
      <c r="M74" s="125">
        <f>KOHC!F140</f>
        <v>9.4178046452072631E-2</v>
      </c>
      <c r="N74" s="126" t="str">
        <f t="shared" si="3"/>
        <v>PASS</v>
      </c>
      <c r="O74" s="122"/>
      <c r="P74" s="119" t="s">
        <v>459</v>
      </c>
    </row>
    <row r="75" spans="1:16" ht="25.95" customHeight="1" x14ac:dyDescent="0.3">
      <c r="A75" s="50" t="s">
        <v>18</v>
      </c>
      <c r="B75" s="50">
        <v>2023</v>
      </c>
      <c r="C75" s="50">
        <v>4</v>
      </c>
      <c r="D75" s="50" t="s">
        <v>201</v>
      </c>
      <c r="E75" s="50" t="s">
        <v>3545</v>
      </c>
      <c r="F75" s="121">
        <f>KOHC!F36-KOHC!F61</f>
        <v>13000.905238000001</v>
      </c>
      <c r="G75" s="121">
        <f>1</f>
        <v>1</v>
      </c>
      <c r="H75" s="121">
        <f t="shared" si="2"/>
        <v>13000.905238000001</v>
      </c>
      <c r="I75" s="121">
        <v>13000.905238000001</v>
      </c>
      <c r="J75" s="121">
        <v>1</v>
      </c>
      <c r="K75" s="121">
        <v>13000.905238000001</v>
      </c>
      <c r="L75" s="127">
        <v>13000.905238000001</v>
      </c>
      <c r="M75" s="127">
        <f>KOHC!F141</f>
        <v>13000.905238000001</v>
      </c>
      <c r="N75" s="128" t="str">
        <f t="shared" si="3"/>
        <v>PASS</v>
      </c>
      <c r="O75" s="68"/>
      <c r="P75" s="50" t="s">
        <v>459</v>
      </c>
    </row>
    <row r="76" spans="1:16" ht="25.95" customHeight="1" x14ac:dyDescent="0.3">
      <c r="A76" s="119" t="s">
        <v>18</v>
      </c>
      <c r="B76" s="119">
        <v>2023</v>
      </c>
      <c r="C76" s="119">
        <v>5</v>
      </c>
      <c r="D76" s="119" t="s">
        <v>923</v>
      </c>
      <c r="E76" s="119" t="s">
        <v>3545</v>
      </c>
      <c r="F76" s="120">
        <f>KOHC!F72-KOHC!F73</f>
        <v>1004.8001120000008</v>
      </c>
      <c r="G76" s="120">
        <f>1</f>
        <v>1</v>
      </c>
      <c r="H76" s="120">
        <f t="shared" si="2"/>
        <v>1004.8001120000008</v>
      </c>
      <c r="I76" s="120">
        <v>1004.8001120000008</v>
      </c>
      <c r="J76" s="120">
        <v>1</v>
      </c>
      <c r="K76" s="120">
        <v>1004.8001120000008</v>
      </c>
      <c r="L76" s="125">
        <v>1004.8001120000008</v>
      </c>
      <c r="M76" s="125">
        <f>KOHC!F142</f>
        <v>1004.8001120000008</v>
      </c>
      <c r="N76" s="126" t="str">
        <f t="shared" si="3"/>
        <v>PASS</v>
      </c>
      <c r="O76" s="122"/>
      <c r="P76" s="119" t="s">
        <v>459</v>
      </c>
    </row>
    <row r="77" spans="1:16" ht="25.95" customHeight="1" x14ac:dyDescent="0.3">
      <c r="A77" s="50" t="s">
        <v>18</v>
      </c>
      <c r="B77" s="50">
        <v>2023</v>
      </c>
      <c r="C77" s="50">
        <v>6</v>
      </c>
      <c r="D77" s="50" t="s">
        <v>31</v>
      </c>
      <c r="E77" s="50" t="s">
        <v>3544</v>
      </c>
      <c r="F77" s="121">
        <f>-KOHC!F85</f>
        <v>28488.941331000002</v>
      </c>
      <c r="G77" s="121">
        <f>AVERAGE(KOHC!E65,KOHC!F65)</f>
        <v>6663.4888680000004</v>
      </c>
      <c r="H77" s="121">
        <f t="shared" si="2"/>
        <v>4.2753791437713859</v>
      </c>
      <c r="I77" s="121">
        <v>28488.941331000002</v>
      </c>
      <c r="J77" s="121">
        <v>6663.4888680000004</v>
      </c>
      <c r="K77" s="121">
        <v>4.2753791437713859</v>
      </c>
      <c r="L77" s="127">
        <v>4.2753791437713859</v>
      </c>
      <c r="M77" s="127">
        <f>KOHC!F144</f>
        <v>4.2753791437713859</v>
      </c>
      <c r="N77" s="128" t="str">
        <f t="shared" si="3"/>
        <v>PASS</v>
      </c>
      <c r="O77" s="68"/>
      <c r="P77" s="50" t="s">
        <v>471</v>
      </c>
    </row>
    <row r="78" spans="1:16" ht="25.95" customHeight="1" x14ac:dyDescent="0.3">
      <c r="A78" s="119" t="s">
        <v>18</v>
      </c>
      <c r="B78" s="119">
        <v>2023</v>
      </c>
      <c r="C78" s="119">
        <v>7</v>
      </c>
      <c r="D78" s="119" t="s">
        <v>129</v>
      </c>
      <c r="E78" s="119" t="s">
        <v>3545</v>
      </c>
      <c r="F78" s="120">
        <f>KOHC!F84</f>
        <v>38921.635349999997</v>
      </c>
      <c r="G78" s="120">
        <f>AVERAGE(KOHC!E32,KOHC!F32)</f>
        <v>1060.7964219999999</v>
      </c>
      <c r="H78" s="120">
        <f t="shared" si="2"/>
        <v>36.690956476472735</v>
      </c>
      <c r="I78" s="120">
        <v>38921.635349999997</v>
      </c>
      <c r="J78" s="120">
        <v>1060.7964219999999</v>
      </c>
      <c r="K78" s="120">
        <v>36.690956476472735</v>
      </c>
      <c r="L78" s="125">
        <v>36.690956476472735</v>
      </c>
      <c r="M78" s="125">
        <f>KOHC!F145</f>
        <v>36.690956476472735</v>
      </c>
      <c r="N78" s="126" t="str">
        <f t="shared" si="3"/>
        <v>PASS</v>
      </c>
      <c r="O78" s="122"/>
      <c r="P78" s="119" t="s">
        <v>471</v>
      </c>
    </row>
    <row r="79" spans="1:16" ht="25.95" customHeight="1" x14ac:dyDescent="0.3">
      <c r="A79" s="50" t="s">
        <v>18</v>
      </c>
      <c r="B79" s="50">
        <v>2023</v>
      </c>
      <c r="C79" s="50">
        <v>8</v>
      </c>
      <c r="D79" s="50" t="s">
        <v>133</v>
      </c>
      <c r="E79" s="50" t="s">
        <v>3545</v>
      </c>
      <c r="F79" s="121">
        <f>-KOHC!F85</f>
        <v>28488.941331000002</v>
      </c>
      <c r="G79" s="121">
        <f>AVERAGE(KOHC!E51,KOHC!F51)</f>
        <v>978.11704049999992</v>
      </c>
      <c r="H79" s="121">
        <f t="shared" si="2"/>
        <v>29.126311219807445</v>
      </c>
      <c r="I79" s="121">
        <v>28488.941331000002</v>
      </c>
      <c r="J79" s="121">
        <v>978.11704049999992</v>
      </c>
      <c r="K79" s="121">
        <v>29.126311219807445</v>
      </c>
      <c r="L79" s="127">
        <v>29.126311219807445</v>
      </c>
      <c r="M79" s="127">
        <f>KOHC!F146</f>
        <v>29.126311219807445</v>
      </c>
      <c r="N79" s="128" t="str">
        <f t="shared" si="3"/>
        <v>PASS</v>
      </c>
      <c r="O79" s="68"/>
      <c r="P79" s="50" t="s">
        <v>471</v>
      </c>
    </row>
    <row r="80" spans="1:16" ht="25.95" customHeight="1" x14ac:dyDescent="0.3">
      <c r="A80" s="119" t="s">
        <v>18</v>
      </c>
      <c r="B80" s="119">
        <v>2023</v>
      </c>
      <c r="C80" s="119">
        <v>9</v>
      </c>
      <c r="D80" s="119" t="s">
        <v>134</v>
      </c>
      <c r="E80" s="119" t="s">
        <v>3545</v>
      </c>
      <c r="F80" s="120">
        <f>365*AVERAGE(KOHC!E65,KOHC!F65)</f>
        <v>2432173.4368199999</v>
      </c>
      <c r="G80" s="120">
        <f>-KOHC!F85</f>
        <v>28488.941331000002</v>
      </c>
      <c r="H80" s="120">
        <f t="shared" si="2"/>
        <v>85.372545387407953</v>
      </c>
      <c r="I80" s="120">
        <v>2432173.4368199999</v>
      </c>
      <c r="J80" s="120">
        <v>28488.941331000002</v>
      </c>
      <c r="K80" s="120">
        <v>85.372545387407953</v>
      </c>
      <c r="L80" s="125">
        <v>85.372545387407953</v>
      </c>
      <c r="M80" s="125">
        <f>KOHC!F147</f>
        <v>85.372545387407953</v>
      </c>
      <c r="N80" s="126" t="str">
        <f t="shared" si="3"/>
        <v>PASS</v>
      </c>
      <c r="O80" s="122"/>
      <c r="P80" s="119" t="s">
        <v>471</v>
      </c>
    </row>
    <row r="81" spans="1:16" ht="25.95" customHeight="1" x14ac:dyDescent="0.3">
      <c r="A81" s="50" t="s">
        <v>18</v>
      </c>
      <c r="B81" s="50">
        <v>2023</v>
      </c>
      <c r="C81" s="50">
        <v>10</v>
      </c>
      <c r="D81" s="50" t="s">
        <v>187</v>
      </c>
      <c r="E81" s="50" t="s">
        <v>3544</v>
      </c>
      <c r="F81" s="121">
        <f>365*AVERAGE(KOHC!E32,KOHC!F32)</f>
        <v>387190.69402999996</v>
      </c>
      <c r="G81" s="121">
        <f>KOHC!F84</f>
        <v>38921.635349999997</v>
      </c>
      <c r="H81" s="121">
        <f t="shared" si="2"/>
        <v>9.9479554378487851</v>
      </c>
      <c r="I81" s="121">
        <v>387190.69402999996</v>
      </c>
      <c r="J81" s="121">
        <v>38921.635349999997</v>
      </c>
      <c r="K81" s="121">
        <v>9.9479554378487851</v>
      </c>
      <c r="L81" s="127">
        <v>9.9479554378487851</v>
      </c>
      <c r="M81" s="127">
        <f>KOHC!F148</f>
        <v>9.9479554378487851</v>
      </c>
      <c r="N81" s="128" t="str">
        <f t="shared" si="3"/>
        <v>PASS</v>
      </c>
      <c r="O81" s="68"/>
      <c r="P81" s="50" t="s">
        <v>471</v>
      </c>
    </row>
    <row r="82" spans="1:16" ht="25.95" customHeight="1" x14ac:dyDescent="0.3">
      <c r="A82" s="119" t="s">
        <v>18</v>
      </c>
      <c r="B82" s="119">
        <v>2023</v>
      </c>
      <c r="C82" s="119">
        <v>11</v>
      </c>
      <c r="D82" s="119" t="s">
        <v>190</v>
      </c>
      <c r="E82" s="119" t="s">
        <v>3545</v>
      </c>
      <c r="F82" s="120">
        <f>365*AVERAGE(KOHC!E51,KOHC!F51)</f>
        <v>357012.71978249995</v>
      </c>
      <c r="G82" s="120">
        <f>-KOHC!F85</f>
        <v>28488.941331000002</v>
      </c>
      <c r="H82" s="120">
        <f t="shared" si="2"/>
        <v>12.531624662163896</v>
      </c>
      <c r="I82" s="120">
        <v>357012.71978249995</v>
      </c>
      <c r="J82" s="120">
        <v>28488.941331000002</v>
      </c>
      <c r="K82" s="120">
        <v>12.531624662163896</v>
      </c>
      <c r="L82" s="125">
        <v>12.531624662163896</v>
      </c>
      <c r="M82" s="125">
        <f>KOHC!F149</f>
        <v>12.531624662163896</v>
      </c>
      <c r="N82" s="126" t="str">
        <f t="shared" si="3"/>
        <v>PASS</v>
      </c>
      <c r="O82" s="122"/>
      <c r="P82" s="119" t="s">
        <v>471</v>
      </c>
    </row>
    <row r="83" spans="1:16" ht="25.95" customHeight="1" x14ac:dyDescent="0.3">
      <c r="A83" s="50" t="s">
        <v>18</v>
      </c>
      <c r="B83" s="50">
        <v>2023</v>
      </c>
      <c r="C83" s="50">
        <v>12</v>
      </c>
      <c r="D83" s="50" t="s">
        <v>192</v>
      </c>
      <c r="E83" s="50" t="s">
        <v>3545</v>
      </c>
      <c r="F83" s="121">
        <f>365*AVERAGE(KOHC!E65,KOHC!F65)/(-KOHC!F85)+365*AVERAGE(KOHC!E32,KOHC!F32)/KOHC!F84</f>
        <v>95.320500825256744</v>
      </c>
      <c r="G83" s="121">
        <f>1</f>
        <v>1</v>
      </c>
      <c r="H83" s="121">
        <f t="shared" si="2"/>
        <v>95.320500825256744</v>
      </c>
      <c r="I83" s="121">
        <v>95.320500825256744</v>
      </c>
      <c r="J83" s="121">
        <v>1</v>
      </c>
      <c r="K83" s="121">
        <v>95.320500825256744</v>
      </c>
      <c r="L83" s="127">
        <v>95.320500825256744</v>
      </c>
      <c r="M83" s="127">
        <f>KOHC!F150</f>
        <v>95.320500825256744</v>
      </c>
      <c r="N83" s="128" t="str">
        <f t="shared" si="3"/>
        <v>PASS</v>
      </c>
      <c r="O83" s="68"/>
      <c r="P83" s="50" t="s">
        <v>471</v>
      </c>
    </row>
    <row r="84" spans="1:16" ht="25.95" customHeight="1" x14ac:dyDescent="0.3">
      <c r="A84" s="119" t="s">
        <v>18</v>
      </c>
      <c r="B84" s="119">
        <v>2023</v>
      </c>
      <c r="C84" s="119">
        <v>13</v>
      </c>
      <c r="D84" s="119" t="s">
        <v>150</v>
      </c>
      <c r="E84" s="119" t="s">
        <v>3545</v>
      </c>
      <c r="F84" s="120">
        <f>365*AVERAGE(KOHC!E65,KOHC!F65)/(-KOHC!F85)+365*AVERAGE(KOHC!E32,KOHC!F32)/KOHC!F84-365*AVERAGE(KOHC!E51,KOHC!F51)/(-KOHC!F85)</f>
        <v>82.788876163092851</v>
      </c>
      <c r="G84" s="120">
        <f>1</f>
        <v>1</v>
      </c>
      <c r="H84" s="120">
        <f t="shared" si="2"/>
        <v>82.788876163092851</v>
      </c>
      <c r="I84" s="120">
        <v>82.788876163092851</v>
      </c>
      <c r="J84" s="120">
        <v>1</v>
      </c>
      <c r="K84" s="120">
        <v>82.788876163092851</v>
      </c>
      <c r="L84" s="125">
        <v>82.788876163092851</v>
      </c>
      <c r="M84" s="125">
        <f>KOHC!F151</f>
        <v>82.788876163092851</v>
      </c>
      <c r="N84" s="126" t="str">
        <f t="shared" si="3"/>
        <v>PASS</v>
      </c>
      <c r="O84" s="122"/>
      <c r="P84" s="119" t="s">
        <v>471</v>
      </c>
    </row>
    <row r="85" spans="1:16" ht="25.95" customHeight="1" x14ac:dyDescent="0.3">
      <c r="A85" s="50" t="s">
        <v>18</v>
      </c>
      <c r="B85" s="50">
        <v>2023</v>
      </c>
      <c r="C85" s="50">
        <v>14</v>
      </c>
      <c r="D85" s="50" t="s">
        <v>196</v>
      </c>
      <c r="E85" s="50" t="s">
        <v>3544</v>
      </c>
      <c r="F85" s="121">
        <f>KOHC!F84</f>
        <v>38921.635349999997</v>
      </c>
      <c r="G85" s="121">
        <f>AVERAGE(KOHC!E37,KOHC!F37)</f>
        <v>46440.371694499998</v>
      </c>
      <c r="H85" s="121">
        <f t="shared" si="2"/>
        <v>0.83809913508098699</v>
      </c>
      <c r="I85" s="121">
        <v>38921.635349999997</v>
      </c>
      <c r="J85" s="121">
        <v>46440.371694499998</v>
      </c>
      <c r="K85" s="121">
        <v>0.83809913508098699</v>
      </c>
      <c r="L85" s="127">
        <v>0.83809913508098699</v>
      </c>
      <c r="M85" s="127">
        <f>KOHC!F152</f>
        <v>0.83809913508098699</v>
      </c>
      <c r="N85" s="128" t="str">
        <f t="shared" si="3"/>
        <v>PASS</v>
      </c>
      <c r="O85" s="68"/>
      <c r="P85" s="50" t="s">
        <v>471</v>
      </c>
    </row>
    <row r="86" spans="1:16" ht="25.95" customHeight="1" x14ac:dyDescent="0.3">
      <c r="A86" s="119" t="s">
        <v>18</v>
      </c>
      <c r="B86" s="119">
        <v>2023</v>
      </c>
      <c r="C86" s="119">
        <v>15</v>
      </c>
      <c r="D86" s="119" t="s">
        <v>199</v>
      </c>
      <c r="E86" s="119" t="s">
        <v>3544</v>
      </c>
      <c r="F86" s="120">
        <f>KOHC!F84</f>
        <v>38921.635349999997</v>
      </c>
      <c r="G86" s="120">
        <f>AVERAGE(KOHC!E22,KOHC!F22)</f>
        <v>20743.4066485</v>
      </c>
      <c r="H86" s="120">
        <f t="shared" si="2"/>
        <v>1.876337672472641</v>
      </c>
      <c r="I86" s="120">
        <v>38921.635349999997</v>
      </c>
      <c r="J86" s="120">
        <v>20743.4066485</v>
      </c>
      <c r="K86" s="120">
        <v>1.876337672472641</v>
      </c>
      <c r="L86" s="125">
        <v>1.876337672472641</v>
      </c>
      <c r="M86" s="125">
        <f>KOHC!F153</f>
        <v>1.876337672472641</v>
      </c>
      <c r="N86" s="126" t="str">
        <f t="shared" si="3"/>
        <v>PASS</v>
      </c>
      <c r="O86" s="122"/>
      <c r="P86" s="119" t="s">
        <v>471</v>
      </c>
    </row>
    <row r="87" spans="1:16" ht="25.95" customHeight="1" x14ac:dyDescent="0.3">
      <c r="A87" s="50" t="s">
        <v>18</v>
      </c>
      <c r="B87" s="50">
        <v>2023</v>
      </c>
      <c r="C87" s="50">
        <v>16</v>
      </c>
      <c r="D87" s="50" t="s">
        <v>932</v>
      </c>
      <c r="E87" s="50" t="s">
        <v>3544</v>
      </c>
      <c r="F87" s="121">
        <f>KOHC!F62</f>
        <v>16920.030573</v>
      </c>
      <c r="G87" s="121">
        <f>KOHC!F37</f>
        <v>49530.075545</v>
      </c>
      <c r="H87" s="121">
        <f t="shared" si="2"/>
        <v>0.34161124098483342</v>
      </c>
      <c r="I87" s="121">
        <v>16920.030573</v>
      </c>
      <c r="J87" s="121">
        <v>49530.075545</v>
      </c>
      <c r="K87" s="121">
        <v>0.34161124098483342</v>
      </c>
      <c r="L87" s="127">
        <v>0.34161124098483342</v>
      </c>
      <c r="M87" s="127">
        <f>KOHC!F155</f>
        <v>0.34161124098483342</v>
      </c>
      <c r="N87" s="128" t="str">
        <f t="shared" si="3"/>
        <v>PASS</v>
      </c>
      <c r="O87" s="68"/>
      <c r="P87" s="50" t="s">
        <v>493</v>
      </c>
    </row>
    <row r="88" spans="1:16" ht="25.95" customHeight="1" x14ac:dyDescent="0.3">
      <c r="A88" s="119" t="s">
        <v>18</v>
      </c>
      <c r="B88" s="119">
        <v>2023</v>
      </c>
      <c r="C88" s="119">
        <v>17</v>
      </c>
      <c r="D88" s="119" t="s">
        <v>151</v>
      </c>
      <c r="E88" s="119" t="s">
        <v>3544</v>
      </c>
      <c r="F88" s="120">
        <f>KOHC!F62</f>
        <v>16920.030573</v>
      </c>
      <c r="G88" s="120">
        <f>KOHC!F41</f>
        <v>32610.044972</v>
      </c>
      <c r="H88" s="120">
        <f t="shared" si="2"/>
        <v>0.51885946761275747</v>
      </c>
      <c r="I88" s="120">
        <v>16920.030573</v>
      </c>
      <c r="J88" s="120">
        <v>32610.044972</v>
      </c>
      <c r="K88" s="120">
        <v>0.51885946761275747</v>
      </c>
      <c r="L88" s="125">
        <v>0.51885946761275747</v>
      </c>
      <c r="M88" s="125">
        <f>KOHC!F156</f>
        <v>0.51885946761275747</v>
      </c>
      <c r="N88" s="126" t="str">
        <f t="shared" si="3"/>
        <v>PASS</v>
      </c>
      <c r="O88" s="122"/>
      <c r="P88" s="119" t="s">
        <v>493</v>
      </c>
    </row>
    <row r="89" spans="1:16" ht="25.95" customHeight="1" x14ac:dyDescent="0.3">
      <c r="A89" s="50" t="s">
        <v>18</v>
      </c>
      <c r="B89" s="50">
        <v>2023</v>
      </c>
      <c r="C89" s="50">
        <v>18</v>
      </c>
      <c r="D89" s="50" t="s">
        <v>935</v>
      </c>
      <c r="E89" s="50" t="s">
        <v>3545</v>
      </c>
      <c r="F89" s="121">
        <f>KOHC!F66</f>
        <v>3183.3732479999999</v>
      </c>
      <c r="G89" s="121">
        <f>KOHC!F66+KOHC!F41</f>
        <v>35793.41822</v>
      </c>
      <c r="H89" s="121">
        <f t="shared" si="2"/>
        <v>8.8937391462133447E-2</v>
      </c>
      <c r="I89" s="121">
        <v>3183.3732479999999</v>
      </c>
      <c r="J89" s="121">
        <v>35793.41822</v>
      </c>
      <c r="K89" s="121">
        <v>8.8937391462133447E-2</v>
      </c>
      <c r="L89" s="127">
        <v>8.8937391462133447E-2</v>
      </c>
      <c r="M89" s="127">
        <f>KOHC!F157</f>
        <v>8.8937391462133447E-2</v>
      </c>
      <c r="N89" s="128" t="str">
        <f t="shared" si="3"/>
        <v>PASS</v>
      </c>
      <c r="O89" s="68"/>
      <c r="P89" s="50" t="s">
        <v>493</v>
      </c>
    </row>
    <row r="90" spans="1:16" ht="25.95" customHeight="1" x14ac:dyDescent="0.3">
      <c r="A90" s="119" t="s">
        <v>18</v>
      </c>
      <c r="B90" s="119">
        <v>2023</v>
      </c>
      <c r="C90" s="119">
        <v>19</v>
      </c>
      <c r="D90" s="119" t="s">
        <v>936</v>
      </c>
      <c r="E90" s="119" t="s">
        <v>3545</v>
      </c>
      <c r="F90" s="120">
        <f>KOHC!F67</f>
        <v>2149.0173749999999</v>
      </c>
      <c r="G90" s="120">
        <f>KOHC!F37</f>
        <v>49530.075545</v>
      </c>
      <c r="H90" s="120">
        <f t="shared" si="2"/>
        <v>4.338813037035516E-2</v>
      </c>
      <c r="I90" s="120">
        <v>2149.0173749999999</v>
      </c>
      <c r="J90" s="120">
        <v>49530.075545</v>
      </c>
      <c r="K90" s="120">
        <v>4.338813037035516E-2</v>
      </c>
      <c r="L90" s="125">
        <v>4.338813037035516E-2</v>
      </c>
      <c r="M90" s="125">
        <f>KOHC!F158</f>
        <v>4.338813037035516E-2</v>
      </c>
      <c r="N90" s="126" t="str">
        <f t="shared" si="3"/>
        <v>PASS</v>
      </c>
      <c r="O90" s="122"/>
      <c r="P90" s="119" t="s">
        <v>493</v>
      </c>
    </row>
    <row r="91" spans="1:16" ht="25.95" customHeight="1" x14ac:dyDescent="0.3">
      <c r="A91" s="50" t="s">
        <v>18</v>
      </c>
      <c r="B91" s="50">
        <v>2023</v>
      </c>
      <c r="C91" s="50">
        <v>20</v>
      </c>
      <c r="D91" s="50" t="s">
        <v>938</v>
      </c>
      <c r="E91" s="50" t="s">
        <v>3544</v>
      </c>
      <c r="F91" s="121">
        <f>KOHC!F108</f>
        <v>11209.635599999996</v>
      </c>
      <c r="G91" s="121">
        <f>KOHC!F106</f>
        <v>683.56332899999995</v>
      </c>
      <c r="H91" s="121">
        <f t="shared" si="2"/>
        <v>16.398825279873954</v>
      </c>
      <c r="I91" s="121">
        <v>11209.635599999996</v>
      </c>
      <c r="J91" s="121">
        <v>683.56332899999995</v>
      </c>
      <c r="K91" s="121">
        <v>16.398825279873954</v>
      </c>
      <c r="L91" s="127">
        <v>16.398825279873954</v>
      </c>
      <c r="M91" s="127">
        <f>KOHC!F159</f>
        <v>16.398825279873954</v>
      </c>
      <c r="N91" s="128" t="str">
        <f t="shared" si="3"/>
        <v>PASS</v>
      </c>
      <c r="O91" s="68"/>
      <c r="P91" s="50" t="s">
        <v>493</v>
      </c>
    </row>
    <row r="92" spans="1:16" ht="25.95" customHeight="1" x14ac:dyDescent="0.3">
      <c r="A92" s="119" t="s">
        <v>18</v>
      </c>
      <c r="B92" s="119">
        <v>2023</v>
      </c>
      <c r="C92" s="119">
        <v>21</v>
      </c>
      <c r="D92" s="119" t="s">
        <v>154</v>
      </c>
      <c r="E92" s="119" t="s">
        <v>3544</v>
      </c>
      <c r="F92" s="120">
        <f>KOHC!F86</f>
        <v>10432.694018999995</v>
      </c>
      <c r="G92" s="120">
        <f>KOHC!F84</f>
        <v>38921.635349999997</v>
      </c>
      <c r="H92" s="120">
        <f t="shared" si="2"/>
        <v>0.26804356818989611</v>
      </c>
      <c r="I92" s="120">
        <v>10432.694018999995</v>
      </c>
      <c r="J92" s="120">
        <v>38921.635349999997</v>
      </c>
      <c r="K92" s="120">
        <v>0.26804356818989611</v>
      </c>
      <c r="L92" s="125">
        <v>0.26804356818989611</v>
      </c>
      <c r="M92" s="125">
        <f>KOHC!F161</f>
        <v>0.26804356818989611</v>
      </c>
      <c r="N92" s="126" t="str">
        <f t="shared" si="3"/>
        <v>PASS</v>
      </c>
      <c r="O92" s="122"/>
      <c r="P92" s="119" t="s">
        <v>504</v>
      </c>
    </row>
    <row r="93" spans="1:16" ht="25.95" customHeight="1" x14ac:dyDescent="0.3">
      <c r="A93" s="50" t="s">
        <v>18</v>
      </c>
      <c r="B93" s="50">
        <v>2023</v>
      </c>
      <c r="C93" s="50">
        <v>22</v>
      </c>
      <c r="D93" s="50" t="s">
        <v>942</v>
      </c>
      <c r="E93" s="50" t="s">
        <v>3544</v>
      </c>
      <c r="F93" s="121">
        <f>KOHC!F91</f>
        <v>9123.8275469999953</v>
      </c>
      <c r="G93" s="121">
        <f>KOHC!F84</f>
        <v>38921.635349999997</v>
      </c>
      <c r="H93" s="121">
        <f t="shared" si="2"/>
        <v>0.23441531849714523</v>
      </c>
      <c r="I93" s="121">
        <v>9123.8275469999953</v>
      </c>
      <c r="J93" s="121">
        <v>38921.635349999997</v>
      </c>
      <c r="K93" s="121">
        <v>0.23441531849714523</v>
      </c>
      <c r="L93" s="127">
        <v>0.23441531849714523</v>
      </c>
      <c r="M93" s="127">
        <f>KOHC!F162</f>
        <v>0.23441531849714523</v>
      </c>
      <c r="N93" s="128" t="str">
        <f t="shared" si="3"/>
        <v>PASS</v>
      </c>
      <c r="O93" s="68"/>
      <c r="P93" s="50" t="s">
        <v>504</v>
      </c>
    </row>
    <row r="94" spans="1:16" ht="25.95" customHeight="1" x14ac:dyDescent="0.3">
      <c r="A94" s="119" t="s">
        <v>18</v>
      </c>
      <c r="B94" s="119">
        <v>2023</v>
      </c>
      <c r="C94" s="119">
        <v>23</v>
      </c>
      <c r="D94" s="119" t="s">
        <v>155</v>
      </c>
      <c r="E94" s="119" t="s">
        <v>3544</v>
      </c>
      <c r="F94" s="120">
        <f>KOHC!F99</f>
        <v>5820.7511449999965</v>
      </c>
      <c r="G94" s="120">
        <f>KOHC!F84</f>
        <v>38921.635349999997</v>
      </c>
      <c r="H94" s="120">
        <f t="shared" si="2"/>
        <v>0.14955052871384544</v>
      </c>
      <c r="I94" s="120">
        <v>5820.7511449999965</v>
      </c>
      <c r="J94" s="120">
        <v>38921.635349999997</v>
      </c>
      <c r="K94" s="120">
        <v>0.14955052871384544</v>
      </c>
      <c r="L94" s="125">
        <v>0.14955052871384544</v>
      </c>
      <c r="M94" s="125">
        <f>KOHC!F163</f>
        <v>0.14955052871384544</v>
      </c>
      <c r="N94" s="126" t="str">
        <f t="shared" si="3"/>
        <v>PASS</v>
      </c>
      <c r="O94" s="122"/>
      <c r="P94" s="119" t="s">
        <v>504</v>
      </c>
    </row>
    <row r="95" spans="1:16" ht="25.95" customHeight="1" x14ac:dyDescent="0.3">
      <c r="A95" s="50" t="s">
        <v>18</v>
      </c>
      <c r="B95" s="50">
        <v>2023</v>
      </c>
      <c r="C95" s="50">
        <v>24</v>
      </c>
      <c r="D95" s="50" t="s">
        <v>136</v>
      </c>
      <c r="E95" s="50" t="s">
        <v>3544</v>
      </c>
      <c r="F95" s="121">
        <f>KOHC!F99</f>
        <v>5820.7511449999965</v>
      </c>
      <c r="G95" s="121">
        <f>AVERAGE(KOHC!E37,KOHC!F37)</f>
        <v>46440.371694499998</v>
      </c>
      <c r="H95" s="121">
        <f t="shared" si="2"/>
        <v>0.12533816876597817</v>
      </c>
      <c r="I95" s="121">
        <v>5820.7511449999965</v>
      </c>
      <c r="J95" s="121">
        <v>46440.371694499998</v>
      </c>
      <c r="K95" s="121">
        <v>0.12533816876597817</v>
      </c>
      <c r="L95" s="127">
        <v>0.12533816876597817</v>
      </c>
      <c r="M95" s="127">
        <f>KOHC!F164</f>
        <v>0.12533816876597817</v>
      </c>
      <c r="N95" s="128" t="str">
        <f t="shared" si="3"/>
        <v>PASS</v>
      </c>
      <c r="O95" s="68"/>
      <c r="P95" s="50" t="s">
        <v>504</v>
      </c>
    </row>
    <row r="96" spans="1:16" ht="25.95" customHeight="1" x14ac:dyDescent="0.3">
      <c r="A96" s="119" t="s">
        <v>18</v>
      </c>
      <c r="B96" s="119">
        <v>2023</v>
      </c>
      <c r="C96" s="119">
        <v>25</v>
      </c>
      <c r="D96" s="119" t="s">
        <v>53</v>
      </c>
      <c r="E96" s="119" t="s">
        <v>3544</v>
      </c>
      <c r="F96" s="120">
        <f>KOHC!F99</f>
        <v>5820.7511449999965</v>
      </c>
      <c r="G96" s="120">
        <f>AVERAGE(KOHC!E41,KOHC!F41)</f>
        <v>29928.132601500001</v>
      </c>
      <c r="H96" s="120">
        <f t="shared" si="2"/>
        <v>0.19449095680324069</v>
      </c>
      <c r="I96" s="120">
        <v>5820.7511449999965</v>
      </c>
      <c r="J96" s="120">
        <v>29928.132601500001</v>
      </c>
      <c r="K96" s="120">
        <v>0.19449095680324069</v>
      </c>
      <c r="L96" s="125">
        <v>0.19449095680324069</v>
      </c>
      <c r="M96" s="125">
        <f>KOHC!F165</f>
        <v>0.19449095680324069</v>
      </c>
      <c r="N96" s="126" t="str">
        <f t="shared" si="3"/>
        <v>PASS</v>
      </c>
      <c r="O96" s="122"/>
      <c r="P96" s="119" t="s">
        <v>504</v>
      </c>
    </row>
    <row r="97" spans="1:16" ht="25.95" customHeight="1" x14ac:dyDescent="0.3">
      <c r="A97" s="50" t="s">
        <v>18</v>
      </c>
      <c r="B97" s="50">
        <v>2023</v>
      </c>
      <c r="C97" s="50">
        <v>26</v>
      </c>
      <c r="D97" s="50" t="s">
        <v>944</v>
      </c>
      <c r="E97" s="50" t="s">
        <v>3545</v>
      </c>
      <c r="F97" s="121">
        <f>KOHC!F113</f>
        <v>6232.3484683731995</v>
      </c>
      <c r="G97" s="121">
        <f>AVERAGE(KOHC!E70,KOHC!F70)</f>
        <v>33645.475462499999</v>
      </c>
      <c r="H97" s="121">
        <f t="shared" si="2"/>
        <v>0.18523585661078099</v>
      </c>
      <c r="I97" s="121">
        <v>6232.3484683731995</v>
      </c>
      <c r="J97" s="121">
        <v>33645.475462499999</v>
      </c>
      <c r="K97" s="121">
        <v>0.18523585661078099</v>
      </c>
      <c r="L97" s="127">
        <v>0.18523585661078099</v>
      </c>
      <c r="M97" s="127">
        <f>KOHC!F166</f>
        <v>0.18523585661078099</v>
      </c>
      <c r="N97" s="128" t="str">
        <f t="shared" si="3"/>
        <v>PASS</v>
      </c>
      <c r="O97" s="68"/>
      <c r="P97" s="50" t="s">
        <v>504</v>
      </c>
    </row>
    <row r="98" spans="1:16" ht="25.95" customHeight="1" x14ac:dyDescent="0.3">
      <c r="A98" s="119" t="s">
        <v>18</v>
      </c>
      <c r="B98" s="119">
        <v>2023</v>
      </c>
      <c r="C98" s="119">
        <v>27</v>
      </c>
      <c r="D98" s="119" t="s">
        <v>945</v>
      </c>
      <c r="E98" s="119" t="s">
        <v>3545</v>
      </c>
      <c r="F98" s="120">
        <f>KOHC!F108</f>
        <v>11209.635599999996</v>
      </c>
      <c r="G98" s="120">
        <f>AVERAGE(KOHC!E37,KOHC!F37)</f>
        <v>46440.371694499998</v>
      </c>
      <c r="H98" s="120">
        <f t="shared" si="2"/>
        <v>0.24137695696625033</v>
      </c>
      <c r="I98" s="120">
        <v>11209.635599999996</v>
      </c>
      <c r="J98" s="120">
        <v>46440.371694499998</v>
      </c>
      <c r="K98" s="120">
        <v>0.24137695696625033</v>
      </c>
      <c r="L98" s="125">
        <v>0.24137695696625033</v>
      </c>
      <c r="M98" s="125">
        <f>KOHC!F167</f>
        <v>0.24137695696625033</v>
      </c>
      <c r="N98" s="126" t="str">
        <f t="shared" si="3"/>
        <v>PASS</v>
      </c>
      <c r="O98" s="122"/>
      <c r="P98" s="119" t="s">
        <v>504</v>
      </c>
    </row>
    <row r="99" spans="1:16" ht="25.95" customHeight="1" x14ac:dyDescent="0.3">
      <c r="A99" s="50" t="s">
        <v>18</v>
      </c>
      <c r="B99" s="50">
        <v>2023</v>
      </c>
      <c r="C99" s="50">
        <v>28</v>
      </c>
      <c r="D99" s="50" t="s">
        <v>139</v>
      </c>
      <c r="E99" s="50" t="s">
        <v>3545</v>
      </c>
      <c r="F99" s="121">
        <f>KOHC!F41</f>
        <v>32610.044972</v>
      </c>
      <c r="G99" s="121">
        <f>KOHC!F128</f>
        <v>200.86129699999998</v>
      </c>
      <c r="H99" s="121">
        <f t="shared" si="2"/>
        <v>162.35106244484723</v>
      </c>
      <c r="I99" s="121">
        <v>32610.044972</v>
      </c>
      <c r="J99" s="121">
        <v>200.86129699999998</v>
      </c>
      <c r="K99" s="121">
        <v>162.35106244484723</v>
      </c>
      <c r="L99" s="127">
        <v>162.35106244484723</v>
      </c>
      <c r="M99" s="127">
        <f>KOHC!F169</f>
        <v>162.35106244484723</v>
      </c>
      <c r="N99" s="128" t="str">
        <f t="shared" si="3"/>
        <v>PASS</v>
      </c>
      <c r="O99" s="68"/>
      <c r="P99" s="50" t="s">
        <v>519</v>
      </c>
    </row>
    <row r="100" spans="1:16" ht="25.95" customHeight="1" x14ac:dyDescent="0.3">
      <c r="A100" s="119" t="s">
        <v>18</v>
      </c>
      <c r="B100" s="119">
        <v>2023</v>
      </c>
      <c r="C100" s="119">
        <v>29</v>
      </c>
      <c r="D100" s="119" t="s">
        <v>162</v>
      </c>
      <c r="E100" s="119" t="s">
        <v>3544</v>
      </c>
      <c r="F100" s="120">
        <f>KOHC!F130</f>
        <v>173.47</v>
      </c>
      <c r="G100" s="120">
        <f>KOHC!F41/KOHC!F128</f>
        <v>162.35106244484723</v>
      </c>
      <c r="H100" s="120">
        <f t="shared" si="2"/>
        <v>1.0684870021034203</v>
      </c>
      <c r="I100" s="120">
        <v>173.47</v>
      </c>
      <c r="J100" s="120">
        <v>162.35106244484723</v>
      </c>
      <c r="K100" s="120">
        <v>1.0684870021034203</v>
      </c>
      <c r="L100" s="125">
        <v>1.0684870021034203</v>
      </c>
      <c r="M100" s="125">
        <f>KOHC!F170</f>
        <v>1.0684870021034203</v>
      </c>
      <c r="N100" s="126" t="str">
        <f t="shared" si="3"/>
        <v>PASS</v>
      </c>
      <c r="O100" s="122"/>
      <c r="P100" s="119" t="s">
        <v>519</v>
      </c>
    </row>
    <row r="101" spans="1:16" ht="25.95" customHeight="1" x14ac:dyDescent="0.3">
      <c r="A101" s="50" t="s">
        <v>18</v>
      </c>
      <c r="B101" s="50">
        <v>2023</v>
      </c>
      <c r="C101" s="50">
        <v>30</v>
      </c>
      <c r="D101" s="50" t="s">
        <v>143</v>
      </c>
      <c r="E101" s="50" t="s">
        <v>3544</v>
      </c>
      <c r="F101" s="121">
        <f>KOHC!F99</f>
        <v>5820.7511449999965</v>
      </c>
      <c r="G101" s="121">
        <f>KOHC!F129</f>
        <v>200.86129700000001</v>
      </c>
      <c r="H101" s="121">
        <f t="shared" si="2"/>
        <v>28.978958275869324</v>
      </c>
      <c r="I101" s="121">
        <v>5820.7511449999965</v>
      </c>
      <c r="J101" s="121">
        <v>200.86129700000001</v>
      </c>
      <c r="K101" s="121">
        <v>28.978958275869324</v>
      </c>
      <c r="L101" s="127">
        <v>28.978958275869324</v>
      </c>
      <c r="M101" s="127">
        <f>KOHC!F171</f>
        <v>28.978958275869324</v>
      </c>
      <c r="N101" s="128" t="str">
        <f t="shared" si="3"/>
        <v>PASS</v>
      </c>
      <c r="O101" s="68"/>
      <c r="P101" s="50" t="s">
        <v>519</v>
      </c>
    </row>
    <row r="102" spans="1:16" ht="25.95" customHeight="1" x14ac:dyDescent="0.3">
      <c r="A102" s="119" t="s">
        <v>18</v>
      </c>
      <c r="B102" s="119">
        <v>2023</v>
      </c>
      <c r="C102" s="119">
        <v>31</v>
      </c>
      <c r="D102" s="119" t="s">
        <v>952</v>
      </c>
      <c r="E102" s="119" t="s">
        <v>3544</v>
      </c>
      <c r="F102" s="120">
        <f>KOHC!F130</f>
        <v>173.47</v>
      </c>
      <c r="G102" s="120">
        <f>KOHC!F99/KOHC!F129</f>
        <v>28.978958275869324</v>
      </c>
      <c r="H102" s="120">
        <f t="shared" si="2"/>
        <v>5.9860674889907219</v>
      </c>
      <c r="I102" s="120">
        <v>173.47</v>
      </c>
      <c r="J102" s="120">
        <v>28.978958275869324</v>
      </c>
      <c r="K102" s="120">
        <v>5.9860674889907219</v>
      </c>
      <c r="L102" s="125">
        <v>5.9860674889907219</v>
      </c>
      <c r="M102" s="125">
        <f>KOHC!F172</f>
        <v>5.9860674889907219</v>
      </c>
      <c r="N102" s="126" t="str">
        <f t="shared" si="3"/>
        <v>PASS</v>
      </c>
      <c r="O102" s="122"/>
      <c r="P102" s="119" t="s">
        <v>519</v>
      </c>
    </row>
    <row r="103" spans="1:16" ht="25.95" customHeight="1" x14ac:dyDescent="0.3">
      <c r="A103" s="50" t="s">
        <v>18</v>
      </c>
      <c r="B103" s="50">
        <v>2023</v>
      </c>
      <c r="C103" s="50">
        <v>32</v>
      </c>
      <c r="D103" s="50" t="s">
        <v>104</v>
      </c>
      <c r="E103" s="50" t="s">
        <v>3544</v>
      </c>
      <c r="F103" s="121">
        <f>KOHC!F131</f>
        <v>0</v>
      </c>
      <c r="G103" s="121">
        <f>KOHC!F130</f>
        <v>173.47</v>
      </c>
      <c r="H103" s="121">
        <f t="shared" si="2"/>
        <v>0</v>
      </c>
      <c r="I103" s="121">
        <v>0</v>
      </c>
      <c r="J103" s="121">
        <v>173.47</v>
      </c>
      <c r="K103" s="121">
        <v>0</v>
      </c>
      <c r="L103" s="127">
        <v>0</v>
      </c>
      <c r="M103" s="127">
        <f>KOHC!F173</f>
        <v>0</v>
      </c>
      <c r="N103" s="128" t="str">
        <f t="shared" si="3"/>
        <v>PASS</v>
      </c>
      <c r="O103" s="68"/>
      <c r="P103" s="50" t="s">
        <v>519</v>
      </c>
    </row>
    <row r="104" spans="1:16" ht="25.95" customHeight="1" x14ac:dyDescent="0.3">
      <c r="A104" s="119" t="s">
        <v>18</v>
      </c>
      <c r="B104" s="119">
        <v>2023</v>
      </c>
      <c r="C104" s="119">
        <v>33</v>
      </c>
      <c r="D104" s="119" t="s">
        <v>124</v>
      </c>
      <c r="E104" s="119" t="s">
        <v>3545</v>
      </c>
      <c r="F104" s="120">
        <f>KOHC!F131</f>
        <v>0</v>
      </c>
      <c r="G104" s="120">
        <f>KOHC!F99/KOHC!F129</f>
        <v>28.978958275869324</v>
      </c>
      <c r="H104" s="120">
        <f t="shared" si="2"/>
        <v>0</v>
      </c>
      <c r="I104" s="120">
        <v>0</v>
      </c>
      <c r="J104" s="120">
        <v>28.978958275869324</v>
      </c>
      <c r="K104" s="120">
        <v>0</v>
      </c>
      <c r="L104" s="125">
        <v>0</v>
      </c>
      <c r="M104" s="125">
        <f>KOHC!F174</f>
        <v>0</v>
      </c>
      <c r="N104" s="126" t="str">
        <f t="shared" si="3"/>
        <v>PASS</v>
      </c>
      <c r="O104" s="122"/>
      <c r="P104" s="119" t="s">
        <v>519</v>
      </c>
    </row>
    <row r="105" spans="1:16" ht="25.95" customHeight="1" x14ac:dyDescent="0.3">
      <c r="A105" s="50" t="s">
        <v>18</v>
      </c>
      <c r="B105" s="50">
        <v>2024</v>
      </c>
      <c r="C105" s="50">
        <v>1</v>
      </c>
      <c r="D105" s="50" t="s">
        <v>19</v>
      </c>
      <c r="E105" s="50" t="s">
        <v>3544</v>
      </c>
      <c r="F105" s="121">
        <f>KOHC!G36</f>
        <v>32212.396773</v>
      </c>
      <c r="G105" s="121">
        <f>KOHC!G61</f>
        <v>11095.636231</v>
      </c>
      <c r="H105" s="121">
        <f t="shared" si="2"/>
        <v>2.9031590530160019</v>
      </c>
      <c r="I105" s="121">
        <v>32212.396773</v>
      </c>
      <c r="J105" s="121">
        <v>11095.636231</v>
      </c>
      <c r="K105" s="121">
        <v>2.9031590530160019</v>
      </c>
      <c r="L105" s="127">
        <v>2.9031590530160019</v>
      </c>
      <c r="M105" s="127">
        <f>KOHC!G138</f>
        <v>2.9031590530160019</v>
      </c>
      <c r="N105" s="128" t="str">
        <f t="shared" si="3"/>
        <v>PASS</v>
      </c>
      <c r="O105" s="68"/>
      <c r="P105" s="50" t="s">
        <v>459</v>
      </c>
    </row>
    <row r="106" spans="1:16" ht="25.95" customHeight="1" x14ac:dyDescent="0.3">
      <c r="A106" s="119" t="s">
        <v>18</v>
      </c>
      <c r="B106" s="119">
        <v>2024</v>
      </c>
      <c r="C106" s="119">
        <v>2</v>
      </c>
      <c r="D106" s="119" t="s">
        <v>30</v>
      </c>
      <c r="E106" s="119" t="s">
        <v>3544</v>
      </c>
      <c r="F106" s="120">
        <f>KOHC!G36-KOHC!G65</f>
        <v>24632.970847000001</v>
      </c>
      <c r="G106" s="120">
        <f>KOHC!G61</f>
        <v>11095.636231</v>
      </c>
      <c r="H106" s="120">
        <f t="shared" si="2"/>
        <v>2.2200593399212352</v>
      </c>
      <c r="I106" s="120">
        <v>24632.970847000001</v>
      </c>
      <c r="J106" s="120">
        <v>11095.636231</v>
      </c>
      <c r="K106" s="120">
        <v>2.2200593399212352</v>
      </c>
      <c r="L106" s="125">
        <v>2.2200593399212352</v>
      </c>
      <c r="M106" s="125">
        <f>KOHC!G139</f>
        <v>2.2200593399212352</v>
      </c>
      <c r="N106" s="126" t="str">
        <f t="shared" si="3"/>
        <v>PASS</v>
      </c>
      <c r="O106" s="122"/>
      <c r="P106" s="119" t="s">
        <v>459</v>
      </c>
    </row>
    <row r="107" spans="1:16" ht="25.95" customHeight="1" x14ac:dyDescent="0.3">
      <c r="A107" s="50" t="s">
        <v>18</v>
      </c>
      <c r="B107" s="50">
        <v>2024</v>
      </c>
      <c r="C107" s="50">
        <v>3</v>
      </c>
      <c r="D107" s="50" t="s">
        <v>145</v>
      </c>
      <c r="E107" s="50" t="s">
        <v>3544</v>
      </c>
      <c r="F107" s="121">
        <f>KOHC!G34</f>
        <v>1102.6491719999999</v>
      </c>
      <c r="G107" s="121">
        <f>KOHC!G61</f>
        <v>11095.636231</v>
      </c>
      <c r="H107" s="121">
        <f t="shared" si="2"/>
        <v>9.9376831489781367E-2</v>
      </c>
      <c r="I107" s="121">
        <v>1102.6491719999999</v>
      </c>
      <c r="J107" s="121">
        <v>11095.636231</v>
      </c>
      <c r="K107" s="121">
        <v>9.9376831489781367E-2</v>
      </c>
      <c r="L107" s="127">
        <v>9.9376831489781367E-2</v>
      </c>
      <c r="M107" s="127">
        <f>KOHC!G140</f>
        <v>9.9376831489781367E-2</v>
      </c>
      <c r="N107" s="128" t="str">
        <f t="shared" si="3"/>
        <v>PASS</v>
      </c>
      <c r="O107" s="68"/>
      <c r="P107" s="50" t="s">
        <v>459</v>
      </c>
    </row>
    <row r="108" spans="1:16" ht="25.95" customHeight="1" x14ac:dyDescent="0.3">
      <c r="A108" s="119" t="s">
        <v>18</v>
      </c>
      <c r="B108" s="119">
        <v>2024</v>
      </c>
      <c r="C108" s="119">
        <v>4</v>
      </c>
      <c r="D108" s="119" t="s">
        <v>201</v>
      </c>
      <c r="E108" s="119" t="s">
        <v>3545</v>
      </c>
      <c r="F108" s="120">
        <f>KOHC!G36-KOHC!G61</f>
        <v>21116.760542</v>
      </c>
      <c r="G108" s="120">
        <f>1</f>
        <v>1</v>
      </c>
      <c r="H108" s="120">
        <f t="shared" si="2"/>
        <v>21116.760542</v>
      </c>
      <c r="I108" s="120">
        <v>21116.760542</v>
      </c>
      <c r="J108" s="120">
        <v>1</v>
      </c>
      <c r="K108" s="120">
        <v>21116.760542</v>
      </c>
      <c r="L108" s="125">
        <v>21116.760542</v>
      </c>
      <c r="M108" s="125">
        <f>KOHC!G141</f>
        <v>21116.760542</v>
      </c>
      <c r="N108" s="126" t="str">
        <f t="shared" si="3"/>
        <v>PASS</v>
      </c>
      <c r="O108" s="122"/>
      <c r="P108" s="119" t="s">
        <v>459</v>
      </c>
    </row>
    <row r="109" spans="1:16" ht="25.95" customHeight="1" x14ac:dyDescent="0.3">
      <c r="A109" s="50" t="s">
        <v>18</v>
      </c>
      <c r="B109" s="50">
        <v>2024</v>
      </c>
      <c r="C109" s="50">
        <v>5</v>
      </c>
      <c r="D109" s="50" t="s">
        <v>923</v>
      </c>
      <c r="E109" s="50" t="s">
        <v>3545</v>
      </c>
      <c r="F109" s="121">
        <f>KOHC!G72-KOHC!G73</f>
        <v>949.06124299999647</v>
      </c>
      <c r="G109" s="121">
        <f>1</f>
        <v>1</v>
      </c>
      <c r="H109" s="121">
        <f t="shared" si="2"/>
        <v>949.06124299999647</v>
      </c>
      <c r="I109" s="121">
        <v>949.06124299999647</v>
      </c>
      <c r="J109" s="121">
        <v>1</v>
      </c>
      <c r="K109" s="121">
        <v>949.06124299999647</v>
      </c>
      <c r="L109" s="127">
        <v>949.06124299999647</v>
      </c>
      <c r="M109" s="127">
        <f>KOHC!G142</f>
        <v>949.06124299999647</v>
      </c>
      <c r="N109" s="128" t="str">
        <f t="shared" si="3"/>
        <v>PASS</v>
      </c>
      <c r="O109" s="68"/>
      <c r="P109" s="50" t="s">
        <v>459</v>
      </c>
    </row>
    <row r="110" spans="1:16" ht="25.95" customHeight="1" x14ac:dyDescent="0.3">
      <c r="A110" s="119" t="s">
        <v>18</v>
      </c>
      <c r="B110" s="119">
        <v>2024</v>
      </c>
      <c r="C110" s="119">
        <v>6</v>
      </c>
      <c r="D110" s="119" t="s">
        <v>31</v>
      </c>
      <c r="E110" s="119" t="s">
        <v>3544</v>
      </c>
      <c r="F110" s="120">
        <f>-KOHC!G85</f>
        <v>27391.276476999999</v>
      </c>
      <c r="G110" s="120">
        <f>AVERAGE(KOHC!F65,KOHC!G65)</f>
        <v>7617.7086220000001</v>
      </c>
      <c r="H110" s="120">
        <f t="shared" si="2"/>
        <v>3.5957369645110586</v>
      </c>
      <c r="I110" s="120">
        <v>27391.276476999999</v>
      </c>
      <c r="J110" s="120">
        <v>7617.7086220000001</v>
      </c>
      <c r="K110" s="120">
        <v>3.5957369645110586</v>
      </c>
      <c r="L110" s="125">
        <v>3.5957369645110586</v>
      </c>
      <c r="M110" s="125">
        <f>KOHC!G144</f>
        <v>3.5957369645110586</v>
      </c>
      <c r="N110" s="126" t="str">
        <f t="shared" si="3"/>
        <v>PASS</v>
      </c>
      <c r="O110" s="122"/>
      <c r="P110" s="119" t="s">
        <v>471</v>
      </c>
    </row>
    <row r="111" spans="1:16" ht="25.95" customHeight="1" x14ac:dyDescent="0.3">
      <c r="A111" s="50" t="s">
        <v>18</v>
      </c>
      <c r="B111" s="50">
        <v>2024</v>
      </c>
      <c r="C111" s="50">
        <v>7</v>
      </c>
      <c r="D111" s="50" t="s">
        <v>129</v>
      </c>
      <c r="E111" s="50" t="s">
        <v>3545</v>
      </c>
      <c r="F111" s="121">
        <f>KOHC!G84</f>
        <v>38647.767972000001</v>
      </c>
      <c r="G111" s="121">
        <f>AVERAGE(KOHC!F32,KOHC!G32)</f>
        <v>1657.9006385</v>
      </c>
      <c r="H111" s="121">
        <f t="shared" si="2"/>
        <v>23.311269128267483</v>
      </c>
      <c r="I111" s="121">
        <v>38647.767972000001</v>
      </c>
      <c r="J111" s="121">
        <v>1657.9006385</v>
      </c>
      <c r="K111" s="121">
        <v>23.311269128267483</v>
      </c>
      <c r="L111" s="127">
        <v>23.311269128267483</v>
      </c>
      <c r="M111" s="127">
        <f>KOHC!G145</f>
        <v>23.311269128267483</v>
      </c>
      <c r="N111" s="128" t="str">
        <f t="shared" si="3"/>
        <v>PASS</v>
      </c>
      <c r="O111" s="68"/>
      <c r="P111" s="50" t="s">
        <v>471</v>
      </c>
    </row>
    <row r="112" spans="1:16" ht="25.95" customHeight="1" x14ac:dyDescent="0.3">
      <c r="A112" s="119" t="s">
        <v>18</v>
      </c>
      <c r="B112" s="119">
        <v>2024</v>
      </c>
      <c r="C112" s="119">
        <v>8</v>
      </c>
      <c r="D112" s="119" t="s">
        <v>133</v>
      </c>
      <c r="E112" s="119" t="s">
        <v>3545</v>
      </c>
      <c r="F112" s="120">
        <f>-KOHC!G85</f>
        <v>27391.276476999999</v>
      </c>
      <c r="G112" s="120">
        <f>AVERAGE(KOHC!F51,KOHC!G51)</f>
        <v>1228.0605774999999</v>
      </c>
      <c r="H112" s="120">
        <f t="shared" si="2"/>
        <v>22.304499451290301</v>
      </c>
      <c r="I112" s="120">
        <v>27391.276476999999</v>
      </c>
      <c r="J112" s="120">
        <v>1228.0605774999999</v>
      </c>
      <c r="K112" s="120">
        <v>22.304499451290301</v>
      </c>
      <c r="L112" s="125">
        <v>22.304499451290301</v>
      </c>
      <c r="M112" s="125">
        <f>KOHC!G146</f>
        <v>22.304499451290301</v>
      </c>
      <c r="N112" s="126" t="str">
        <f t="shared" si="3"/>
        <v>PASS</v>
      </c>
      <c r="O112" s="122"/>
      <c r="P112" s="119" t="s">
        <v>471</v>
      </c>
    </row>
    <row r="113" spans="1:16" ht="25.95" customHeight="1" x14ac:dyDescent="0.3">
      <c r="A113" s="50" t="s">
        <v>18</v>
      </c>
      <c r="B113" s="50">
        <v>2024</v>
      </c>
      <c r="C113" s="50">
        <v>9</v>
      </c>
      <c r="D113" s="50" t="s">
        <v>134</v>
      </c>
      <c r="E113" s="50" t="s">
        <v>3545</v>
      </c>
      <c r="F113" s="121">
        <f>365*AVERAGE(KOHC!F65,KOHC!G65)</f>
        <v>2780463.6470300001</v>
      </c>
      <c r="G113" s="121">
        <f>-KOHC!G85</f>
        <v>27391.276476999999</v>
      </c>
      <c r="H113" s="121">
        <f t="shared" si="2"/>
        <v>101.50909357454404</v>
      </c>
      <c r="I113" s="121">
        <v>2780463.6470300001</v>
      </c>
      <c r="J113" s="121">
        <v>27391.276476999999</v>
      </c>
      <c r="K113" s="121">
        <v>101.50909357454404</v>
      </c>
      <c r="L113" s="127">
        <v>101.50909357454404</v>
      </c>
      <c r="M113" s="127">
        <f>KOHC!G147</f>
        <v>101.50909357454404</v>
      </c>
      <c r="N113" s="128" t="str">
        <f t="shared" si="3"/>
        <v>PASS</v>
      </c>
      <c r="O113" s="68"/>
      <c r="P113" s="50" t="s">
        <v>471</v>
      </c>
    </row>
    <row r="114" spans="1:16" ht="25.95" customHeight="1" x14ac:dyDescent="0.3">
      <c r="A114" s="119" t="s">
        <v>18</v>
      </c>
      <c r="B114" s="119">
        <v>2024</v>
      </c>
      <c r="C114" s="119">
        <v>10</v>
      </c>
      <c r="D114" s="119" t="s">
        <v>187</v>
      </c>
      <c r="E114" s="119" t="s">
        <v>3544</v>
      </c>
      <c r="F114" s="120">
        <f>365*AVERAGE(KOHC!F32,KOHC!G32)</f>
        <v>605133.73305250006</v>
      </c>
      <c r="G114" s="120">
        <f>KOHC!G84</f>
        <v>38647.767972000001</v>
      </c>
      <c r="H114" s="120">
        <f t="shared" si="2"/>
        <v>15.657663166755571</v>
      </c>
      <c r="I114" s="120">
        <v>605133.73305250006</v>
      </c>
      <c r="J114" s="120">
        <v>38647.767972000001</v>
      </c>
      <c r="K114" s="120">
        <v>15.657663166755571</v>
      </c>
      <c r="L114" s="125">
        <v>15.657663166755571</v>
      </c>
      <c r="M114" s="125">
        <f>KOHC!G148</f>
        <v>15.657663166755571</v>
      </c>
      <c r="N114" s="126" t="str">
        <f t="shared" si="3"/>
        <v>PASS</v>
      </c>
      <c r="O114" s="122"/>
      <c r="P114" s="119" t="s">
        <v>471</v>
      </c>
    </row>
    <row r="115" spans="1:16" ht="25.95" customHeight="1" x14ac:dyDescent="0.3">
      <c r="A115" s="50" t="s">
        <v>18</v>
      </c>
      <c r="B115" s="50">
        <v>2024</v>
      </c>
      <c r="C115" s="50">
        <v>11</v>
      </c>
      <c r="D115" s="50" t="s">
        <v>190</v>
      </c>
      <c r="E115" s="50" t="s">
        <v>3545</v>
      </c>
      <c r="F115" s="121">
        <f>365*AVERAGE(KOHC!F51,KOHC!G51)</f>
        <v>448242.11078749999</v>
      </c>
      <c r="G115" s="121">
        <f>-KOHC!G85</f>
        <v>27391.276476999999</v>
      </c>
      <c r="H115" s="121">
        <f t="shared" si="2"/>
        <v>16.364411171705761</v>
      </c>
      <c r="I115" s="121">
        <v>448242.11078749999</v>
      </c>
      <c r="J115" s="121">
        <v>27391.276476999999</v>
      </c>
      <c r="K115" s="121">
        <v>16.364411171705761</v>
      </c>
      <c r="L115" s="127">
        <v>16.364411171705761</v>
      </c>
      <c r="M115" s="127">
        <f>KOHC!G149</f>
        <v>16.364411171705761</v>
      </c>
      <c r="N115" s="128" t="str">
        <f t="shared" si="3"/>
        <v>PASS</v>
      </c>
      <c r="O115" s="68"/>
      <c r="P115" s="50" t="s">
        <v>471</v>
      </c>
    </row>
    <row r="116" spans="1:16" ht="25.95" customHeight="1" x14ac:dyDescent="0.3">
      <c r="A116" s="119" t="s">
        <v>18</v>
      </c>
      <c r="B116" s="119">
        <v>2024</v>
      </c>
      <c r="C116" s="119">
        <v>12</v>
      </c>
      <c r="D116" s="119" t="s">
        <v>192</v>
      </c>
      <c r="E116" s="119" t="s">
        <v>3545</v>
      </c>
      <c r="F116" s="120">
        <f>365*AVERAGE(KOHC!F65,KOHC!G65)/(-KOHC!G85)+365*AVERAGE(KOHC!F32,KOHC!G32)/KOHC!G84</f>
        <v>117.16675674129961</v>
      </c>
      <c r="G116" s="120">
        <f>1</f>
        <v>1</v>
      </c>
      <c r="H116" s="120">
        <f t="shared" si="2"/>
        <v>117.16675674129961</v>
      </c>
      <c r="I116" s="120">
        <v>117.16675674129961</v>
      </c>
      <c r="J116" s="120">
        <v>1</v>
      </c>
      <c r="K116" s="120">
        <v>117.16675674129961</v>
      </c>
      <c r="L116" s="125">
        <v>117.16675674129961</v>
      </c>
      <c r="M116" s="125">
        <f>KOHC!G150</f>
        <v>117.16675674129961</v>
      </c>
      <c r="N116" s="126" t="str">
        <f t="shared" si="3"/>
        <v>PASS</v>
      </c>
      <c r="O116" s="122"/>
      <c r="P116" s="119" t="s">
        <v>471</v>
      </c>
    </row>
    <row r="117" spans="1:16" ht="25.95" customHeight="1" x14ac:dyDescent="0.3">
      <c r="A117" s="50" t="s">
        <v>18</v>
      </c>
      <c r="B117" s="50">
        <v>2024</v>
      </c>
      <c r="C117" s="50">
        <v>13</v>
      </c>
      <c r="D117" s="50" t="s">
        <v>150</v>
      </c>
      <c r="E117" s="50" t="s">
        <v>3545</v>
      </c>
      <c r="F117" s="121">
        <f>365*AVERAGE(KOHC!F65,KOHC!G65)/(-KOHC!G85)+365*AVERAGE(KOHC!F32,KOHC!G32)/KOHC!G84-365*AVERAGE(KOHC!F51,KOHC!G51)/(-KOHC!G85)</f>
        <v>100.80234556959385</v>
      </c>
      <c r="G117" s="121">
        <f>1</f>
        <v>1</v>
      </c>
      <c r="H117" s="121">
        <f t="shared" si="2"/>
        <v>100.80234556959385</v>
      </c>
      <c r="I117" s="121">
        <v>100.80234556959385</v>
      </c>
      <c r="J117" s="121">
        <v>1</v>
      </c>
      <c r="K117" s="121">
        <v>100.80234556959385</v>
      </c>
      <c r="L117" s="127">
        <v>100.80234556959385</v>
      </c>
      <c r="M117" s="127">
        <f>KOHC!G151</f>
        <v>100.80234556959385</v>
      </c>
      <c r="N117" s="128" t="str">
        <f t="shared" si="3"/>
        <v>PASS</v>
      </c>
      <c r="O117" s="68"/>
      <c r="P117" s="50" t="s">
        <v>471</v>
      </c>
    </row>
    <row r="118" spans="1:16" ht="25.95" customHeight="1" x14ac:dyDescent="0.3">
      <c r="A118" s="119" t="s">
        <v>18</v>
      </c>
      <c r="B118" s="119">
        <v>2024</v>
      </c>
      <c r="C118" s="119">
        <v>14</v>
      </c>
      <c r="D118" s="119" t="s">
        <v>196</v>
      </c>
      <c r="E118" s="119" t="s">
        <v>3544</v>
      </c>
      <c r="F118" s="120">
        <f>KOHC!G84</f>
        <v>38647.767972000001</v>
      </c>
      <c r="G118" s="120">
        <f>AVERAGE(KOHC!F37,KOHC!G37)</f>
        <v>54186.685371</v>
      </c>
      <c r="H118" s="120">
        <f t="shared" si="2"/>
        <v>0.71323366076722194</v>
      </c>
      <c r="I118" s="120">
        <v>38647.767972000001</v>
      </c>
      <c r="J118" s="120">
        <v>54186.685371</v>
      </c>
      <c r="K118" s="120">
        <v>0.71323366076722194</v>
      </c>
      <c r="L118" s="125">
        <v>0.71323366076722194</v>
      </c>
      <c r="M118" s="125">
        <f>KOHC!G152</f>
        <v>0.71323366076722194</v>
      </c>
      <c r="N118" s="126" t="str">
        <f t="shared" si="3"/>
        <v>PASS</v>
      </c>
      <c r="O118" s="122"/>
      <c r="P118" s="119" t="s">
        <v>471</v>
      </c>
    </row>
    <row r="119" spans="1:16" ht="25.95" customHeight="1" x14ac:dyDescent="0.3">
      <c r="A119" s="50" t="s">
        <v>18</v>
      </c>
      <c r="B119" s="50">
        <v>2024</v>
      </c>
      <c r="C119" s="50">
        <v>15</v>
      </c>
      <c r="D119" s="50" t="s">
        <v>199</v>
      </c>
      <c r="E119" s="50" t="s">
        <v>3544</v>
      </c>
      <c r="F119" s="121">
        <f>KOHC!G84</f>
        <v>38647.767972000001</v>
      </c>
      <c r="G119" s="121">
        <f>AVERAGE(KOHC!F22,KOHC!G22)</f>
        <v>20721.864405</v>
      </c>
      <c r="H119" s="121">
        <f t="shared" si="2"/>
        <v>1.8650719460684553</v>
      </c>
      <c r="I119" s="121">
        <v>38647.767972000001</v>
      </c>
      <c r="J119" s="121">
        <v>20721.864405</v>
      </c>
      <c r="K119" s="121">
        <v>1.8650719460684553</v>
      </c>
      <c r="L119" s="127">
        <v>1.8650719460684553</v>
      </c>
      <c r="M119" s="127">
        <f>KOHC!G153</f>
        <v>1.8650719460684553</v>
      </c>
      <c r="N119" s="128" t="str">
        <f t="shared" si="3"/>
        <v>PASS</v>
      </c>
      <c r="O119" s="68"/>
      <c r="P119" s="50" t="s">
        <v>471</v>
      </c>
    </row>
    <row r="120" spans="1:16" ht="25.95" customHeight="1" x14ac:dyDescent="0.3">
      <c r="A120" s="119" t="s">
        <v>18</v>
      </c>
      <c r="B120" s="119">
        <v>2024</v>
      </c>
      <c r="C120" s="119">
        <v>16</v>
      </c>
      <c r="D120" s="119" t="s">
        <v>932</v>
      </c>
      <c r="E120" s="119" t="s">
        <v>3544</v>
      </c>
      <c r="F120" s="120">
        <f>KOHC!G62</f>
        <v>17752.989906000003</v>
      </c>
      <c r="G120" s="120">
        <f>KOHC!G37</f>
        <v>58843.295196999999</v>
      </c>
      <c r="H120" s="120">
        <f t="shared" si="2"/>
        <v>0.30169945185029512</v>
      </c>
      <c r="I120" s="120">
        <v>17752.989906000003</v>
      </c>
      <c r="J120" s="120">
        <v>58843.295196999999</v>
      </c>
      <c r="K120" s="120">
        <v>0.30169945185029512</v>
      </c>
      <c r="L120" s="125">
        <v>0.30169945185029512</v>
      </c>
      <c r="M120" s="125">
        <f>KOHC!G155</f>
        <v>0.30169945185029512</v>
      </c>
      <c r="N120" s="126" t="str">
        <f t="shared" si="3"/>
        <v>PASS</v>
      </c>
      <c r="O120" s="122"/>
      <c r="P120" s="119" t="s">
        <v>493</v>
      </c>
    </row>
    <row r="121" spans="1:16" ht="25.95" customHeight="1" x14ac:dyDescent="0.3">
      <c r="A121" s="50" t="s">
        <v>18</v>
      </c>
      <c r="B121" s="50">
        <v>2024</v>
      </c>
      <c r="C121" s="50">
        <v>17</v>
      </c>
      <c r="D121" s="50" t="s">
        <v>151</v>
      </c>
      <c r="E121" s="50" t="s">
        <v>3544</v>
      </c>
      <c r="F121" s="121">
        <f>KOHC!G62</f>
        <v>17752.989906000003</v>
      </c>
      <c r="G121" s="121">
        <f>KOHC!G41</f>
        <v>41090.305291000004</v>
      </c>
      <c r="H121" s="121">
        <f t="shared" si="2"/>
        <v>0.43204813836923311</v>
      </c>
      <c r="I121" s="121">
        <v>17752.989906000003</v>
      </c>
      <c r="J121" s="121">
        <v>41090.305291000004</v>
      </c>
      <c r="K121" s="121">
        <v>0.43204813836923311</v>
      </c>
      <c r="L121" s="127">
        <v>0.43204813836923311</v>
      </c>
      <c r="M121" s="127">
        <f>KOHC!G156</f>
        <v>0.43204813836923311</v>
      </c>
      <c r="N121" s="128" t="str">
        <f t="shared" si="3"/>
        <v>PASS</v>
      </c>
      <c r="O121" s="68"/>
      <c r="P121" s="50" t="s">
        <v>493</v>
      </c>
    </row>
    <row r="122" spans="1:16" ht="25.95" customHeight="1" x14ac:dyDescent="0.3">
      <c r="A122" s="119" t="s">
        <v>18</v>
      </c>
      <c r="B122" s="119">
        <v>2024</v>
      </c>
      <c r="C122" s="119">
        <v>18</v>
      </c>
      <c r="D122" s="119" t="s">
        <v>935</v>
      </c>
      <c r="E122" s="119" t="s">
        <v>3545</v>
      </c>
      <c r="F122" s="120">
        <f>KOHC!G66</f>
        <v>2153.059604</v>
      </c>
      <c r="G122" s="120">
        <f>KOHC!G66+KOHC!G41</f>
        <v>43243.364895000006</v>
      </c>
      <c r="H122" s="120">
        <f t="shared" si="2"/>
        <v>4.9789363275218823E-2</v>
      </c>
      <c r="I122" s="120">
        <v>2153.059604</v>
      </c>
      <c r="J122" s="120">
        <v>43243.364895000006</v>
      </c>
      <c r="K122" s="120">
        <v>4.9789363275218823E-2</v>
      </c>
      <c r="L122" s="125">
        <v>4.9789363275218823E-2</v>
      </c>
      <c r="M122" s="125">
        <f>KOHC!G157</f>
        <v>4.9789363275218823E-2</v>
      </c>
      <c r="N122" s="126" t="str">
        <f t="shared" si="3"/>
        <v>PASS</v>
      </c>
      <c r="O122" s="122"/>
      <c r="P122" s="119" t="s">
        <v>493</v>
      </c>
    </row>
    <row r="123" spans="1:16" ht="25.95" customHeight="1" x14ac:dyDescent="0.3">
      <c r="A123" s="50" t="s">
        <v>18</v>
      </c>
      <c r="B123" s="50">
        <v>2024</v>
      </c>
      <c r="C123" s="50">
        <v>19</v>
      </c>
      <c r="D123" s="50" t="s">
        <v>936</v>
      </c>
      <c r="E123" s="50" t="s">
        <v>3545</v>
      </c>
      <c r="F123" s="121">
        <f>KOHC!G67</f>
        <v>1118.642478</v>
      </c>
      <c r="G123" s="121">
        <f>KOHC!G37</f>
        <v>58843.295196999999</v>
      </c>
      <c r="H123" s="121">
        <f t="shared" si="2"/>
        <v>1.901053423767185E-2</v>
      </c>
      <c r="I123" s="121">
        <v>1118.642478</v>
      </c>
      <c r="J123" s="121">
        <v>58843.295196999999</v>
      </c>
      <c r="K123" s="121">
        <v>1.901053423767185E-2</v>
      </c>
      <c r="L123" s="127">
        <v>1.901053423767185E-2</v>
      </c>
      <c r="M123" s="127">
        <f>KOHC!G158</f>
        <v>1.901053423767185E-2</v>
      </c>
      <c r="N123" s="128" t="str">
        <f t="shared" si="3"/>
        <v>PASS</v>
      </c>
      <c r="O123" s="68"/>
      <c r="P123" s="50" t="s">
        <v>493</v>
      </c>
    </row>
    <row r="124" spans="1:16" ht="25.95" customHeight="1" x14ac:dyDescent="0.3">
      <c r="A124" s="119" t="s">
        <v>18</v>
      </c>
      <c r="B124" s="119">
        <v>2024</v>
      </c>
      <c r="C124" s="119">
        <v>20</v>
      </c>
      <c r="D124" s="119" t="s">
        <v>938</v>
      </c>
      <c r="E124" s="119" t="s">
        <v>3544</v>
      </c>
      <c r="F124" s="120">
        <f>KOHC!G108</f>
        <v>14453.665945000002</v>
      </c>
      <c r="G124" s="120">
        <f>KOHC!G106</f>
        <v>646.18413499999997</v>
      </c>
      <c r="H124" s="120">
        <f t="shared" si="2"/>
        <v>22.367720224205137</v>
      </c>
      <c r="I124" s="120">
        <v>14453.665945000002</v>
      </c>
      <c r="J124" s="120">
        <v>646.18413499999997</v>
      </c>
      <c r="K124" s="120">
        <v>22.367720224205137</v>
      </c>
      <c r="L124" s="125">
        <v>22.367720224205137</v>
      </c>
      <c r="M124" s="125">
        <f>KOHC!G159</f>
        <v>22.367720224205137</v>
      </c>
      <c r="N124" s="126" t="str">
        <f t="shared" si="3"/>
        <v>PASS</v>
      </c>
      <c r="O124" s="122"/>
      <c r="P124" s="119" t="s">
        <v>493</v>
      </c>
    </row>
    <row r="125" spans="1:16" ht="25.95" customHeight="1" x14ac:dyDescent="0.3">
      <c r="A125" s="50" t="s">
        <v>18</v>
      </c>
      <c r="B125" s="50">
        <v>2024</v>
      </c>
      <c r="C125" s="50">
        <v>21</v>
      </c>
      <c r="D125" s="50" t="s">
        <v>154</v>
      </c>
      <c r="E125" s="50" t="s">
        <v>3544</v>
      </c>
      <c r="F125" s="121">
        <f>KOHC!G86</f>
        <v>11256.491495000002</v>
      </c>
      <c r="G125" s="121">
        <f>KOHC!G84</f>
        <v>38647.767972000001</v>
      </c>
      <c r="H125" s="121">
        <f t="shared" si="2"/>
        <v>0.29125851467425595</v>
      </c>
      <c r="I125" s="121">
        <v>11256.491495000002</v>
      </c>
      <c r="J125" s="121">
        <v>38647.767972000001</v>
      </c>
      <c r="K125" s="121">
        <v>0.29125851467425595</v>
      </c>
      <c r="L125" s="127">
        <v>0.29125851467425595</v>
      </c>
      <c r="M125" s="127">
        <f>KOHC!G161</f>
        <v>0.29125851467425595</v>
      </c>
      <c r="N125" s="128" t="str">
        <f t="shared" si="3"/>
        <v>PASS</v>
      </c>
      <c r="O125" s="68"/>
      <c r="P125" s="50" t="s">
        <v>504</v>
      </c>
    </row>
    <row r="126" spans="1:16" ht="25.95" customHeight="1" x14ac:dyDescent="0.3">
      <c r="A126" s="119" t="s">
        <v>18</v>
      </c>
      <c r="B126" s="119">
        <v>2024</v>
      </c>
      <c r="C126" s="119">
        <v>22</v>
      </c>
      <c r="D126" s="119" t="s">
        <v>942</v>
      </c>
      <c r="E126" s="119" t="s">
        <v>3544</v>
      </c>
      <c r="F126" s="120">
        <f>KOHC!G91</f>
        <v>10001.249432000002</v>
      </c>
      <c r="G126" s="120">
        <f>KOHC!G84</f>
        <v>38647.767972000001</v>
      </c>
      <c r="H126" s="120">
        <f t="shared" si="2"/>
        <v>0.25877948344250634</v>
      </c>
      <c r="I126" s="120">
        <v>10001.249432000002</v>
      </c>
      <c r="J126" s="120">
        <v>38647.767972000001</v>
      </c>
      <c r="K126" s="120">
        <v>0.25877948344250634</v>
      </c>
      <c r="L126" s="125">
        <v>0.25877948344250634</v>
      </c>
      <c r="M126" s="125">
        <f>KOHC!G162</f>
        <v>0.25877948344250634</v>
      </c>
      <c r="N126" s="126" t="str">
        <f t="shared" si="3"/>
        <v>PASS</v>
      </c>
      <c r="O126" s="122"/>
      <c r="P126" s="119" t="s">
        <v>504</v>
      </c>
    </row>
    <row r="127" spans="1:16" ht="25.95" customHeight="1" x14ac:dyDescent="0.3">
      <c r="A127" s="50" t="s">
        <v>18</v>
      </c>
      <c r="B127" s="50">
        <v>2024</v>
      </c>
      <c r="C127" s="50">
        <v>23</v>
      </c>
      <c r="D127" s="50" t="s">
        <v>155</v>
      </c>
      <c r="E127" s="50" t="s">
        <v>3544</v>
      </c>
      <c r="F127" s="121">
        <f>KOHC!G99</f>
        <v>8893.4547870000024</v>
      </c>
      <c r="G127" s="121">
        <f>KOHC!G84</f>
        <v>38647.767972000001</v>
      </c>
      <c r="H127" s="121">
        <f t="shared" si="2"/>
        <v>0.23011561219895646</v>
      </c>
      <c r="I127" s="121">
        <v>8893.4547870000024</v>
      </c>
      <c r="J127" s="121">
        <v>38647.767972000001</v>
      </c>
      <c r="K127" s="121">
        <v>0.23011561219895646</v>
      </c>
      <c r="L127" s="127">
        <v>0.23011561219895646</v>
      </c>
      <c r="M127" s="127">
        <f>KOHC!G163</f>
        <v>0.23011561219895646</v>
      </c>
      <c r="N127" s="128" t="str">
        <f t="shared" si="3"/>
        <v>PASS</v>
      </c>
      <c r="O127" s="68"/>
      <c r="P127" s="50" t="s">
        <v>504</v>
      </c>
    </row>
    <row r="128" spans="1:16" ht="25.95" customHeight="1" x14ac:dyDescent="0.3">
      <c r="A128" s="119" t="s">
        <v>18</v>
      </c>
      <c r="B128" s="119">
        <v>2024</v>
      </c>
      <c r="C128" s="119">
        <v>24</v>
      </c>
      <c r="D128" s="119" t="s">
        <v>136</v>
      </c>
      <c r="E128" s="119" t="s">
        <v>3544</v>
      </c>
      <c r="F128" s="120">
        <f>KOHC!G99</f>
        <v>8893.4547870000024</v>
      </c>
      <c r="G128" s="120">
        <f>AVERAGE(KOHC!F37,KOHC!G37)</f>
        <v>54186.685371</v>
      </c>
      <c r="H128" s="120">
        <f t="shared" si="2"/>
        <v>0.16412620048835211</v>
      </c>
      <c r="I128" s="120">
        <v>8893.4547870000024</v>
      </c>
      <c r="J128" s="120">
        <v>54186.685371</v>
      </c>
      <c r="K128" s="120">
        <v>0.16412620048835211</v>
      </c>
      <c r="L128" s="125">
        <v>0.16412620048835211</v>
      </c>
      <c r="M128" s="125">
        <f>KOHC!G164</f>
        <v>0.16412620048835211</v>
      </c>
      <c r="N128" s="126" t="str">
        <f t="shared" si="3"/>
        <v>PASS</v>
      </c>
      <c r="O128" s="122"/>
      <c r="P128" s="119" t="s">
        <v>504</v>
      </c>
    </row>
    <row r="129" spans="1:16" ht="25.95" customHeight="1" x14ac:dyDescent="0.3">
      <c r="A129" s="50" t="s">
        <v>18</v>
      </c>
      <c r="B129" s="50">
        <v>2024</v>
      </c>
      <c r="C129" s="50">
        <v>25</v>
      </c>
      <c r="D129" s="50" t="s">
        <v>53</v>
      </c>
      <c r="E129" s="50" t="s">
        <v>3544</v>
      </c>
      <c r="F129" s="121">
        <f>KOHC!G99</f>
        <v>8893.4547870000024</v>
      </c>
      <c r="G129" s="121">
        <f>AVERAGE(KOHC!F41,KOHC!G41)</f>
        <v>36850.1751315</v>
      </c>
      <c r="H129" s="121">
        <f t="shared" si="2"/>
        <v>0.24134090965005384</v>
      </c>
      <c r="I129" s="121">
        <v>8893.4547870000024</v>
      </c>
      <c r="J129" s="121">
        <v>36850.1751315</v>
      </c>
      <c r="K129" s="121">
        <v>0.24134090965005384</v>
      </c>
      <c r="L129" s="127">
        <v>0.24134090965005384</v>
      </c>
      <c r="M129" s="127">
        <f>KOHC!G165</f>
        <v>0.24134090965005384</v>
      </c>
      <c r="N129" s="128" t="str">
        <f t="shared" si="3"/>
        <v>PASS</v>
      </c>
      <c r="O129" s="68"/>
      <c r="P129" s="50" t="s">
        <v>504</v>
      </c>
    </row>
    <row r="130" spans="1:16" ht="25.95" customHeight="1" x14ac:dyDescent="0.3">
      <c r="A130" s="119" t="s">
        <v>18</v>
      </c>
      <c r="B130" s="119">
        <v>2024</v>
      </c>
      <c r="C130" s="119">
        <v>26</v>
      </c>
      <c r="D130" s="119" t="s">
        <v>944</v>
      </c>
      <c r="E130" s="119" t="s">
        <v>3545</v>
      </c>
      <c r="F130" s="120">
        <f>KOHC!G113</f>
        <v>9330.746544165173</v>
      </c>
      <c r="G130" s="120">
        <f>AVERAGE(KOHC!F70,KOHC!G70)</f>
        <v>39518.391557499999</v>
      </c>
      <c r="H130" s="120">
        <f t="shared" si="2"/>
        <v>0.23611149584842697</v>
      </c>
      <c r="I130" s="120">
        <v>9330.746544165173</v>
      </c>
      <c r="J130" s="120">
        <v>39518.391557499999</v>
      </c>
      <c r="K130" s="120">
        <v>0.23611149584842697</v>
      </c>
      <c r="L130" s="125">
        <v>0.23611149584842697</v>
      </c>
      <c r="M130" s="125">
        <f>KOHC!G166</f>
        <v>0.23611149584842697</v>
      </c>
      <c r="N130" s="126" t="str">
        <f t="shared" si="3"/>
        <v>PASS</v>
      </c>
      <c r="O130" s="122"/>
      <c r="P130" s="119" t="s">
        <v>504</v>
      </c>
    </row>
    <row r="131" spans="1:16" ht="25.95" customHeight="1" x14ac:dyDescent="0.3">
      <c r="A131" s="50" t="s">
        <v>18</v>
      </c>
      <c r="B131" s="50">
        <v>2024</v>
      </c>
      <c r="C131" s="50">
        <v>27</v>
      </c>
      <c r="D131" s="50" t="s">
        <v>945</v>
      </c>
      <c r="E131" s="50" t="s">
        <v>3545</v>
      </c>
      <c r="F131" s="121">
        <f>KOHC!G108</f>
        <v>14453.665945000002</v>
      </c>
      <c r="G131" s="121">
        <f>AVERAGE(KOHC!F37,KOHC!G37)</f>
        <v>54186.685371</v>
      </c>
      <c r="H131" s="121">
        <f t="shared" si="2"/>
        <v>0.26673832964758931</v>
      </c>
      <c r="I131" s="121">
        <v>14453.665945000002</v>
      </c>
      <c r="J131" s="121">
        <v>54186.685371</v>
      </c>
      <c r="K131" s="121">
        <v>0.26673832964758931</v>
      </c>
      <c r="L131" s="127">
        <v>0.26673832964758931</v>
      </c>
      <c r="M131" s="127">
        <f>KOHC!G167</f>
        <v>0.26673832964758931</v>
      </c>
      <c r="N131" s="128" t="str">
        <f t="shared" si="3"/>
        <v>PASS</v>
      </c>
      <c r="O131" s="68"/>
      <c r="P131" s="50" t="s">
        <v>504</v>
      </c>
    </row>
    <row r="132" spans="1:16" ht="25.95" customHeight="1" x14ac:dyDescent="0.3">
      <c r="A132" s="119" t="s">
        <v>18</v>
      </c>
      <c r="B132" s="119">
        <v>2024</v>
      </c>
      <c r="C132" s="119">
        <v>28</v>
      </c>
      <c r="D132" s="119" t="s">
        <v>139</v>
      </c>
      <c r="E132" s="119" t="s">
        <v>3545</v>
      </c>
      <c r="F132" s="120">
        <f>KOHC!G41</f>
        <v>41090.305291000004</v>
      </c>
      <c r="G132" s="120">
        <f>KOHC!G128</f>
        <v>195.86129699999998</v>
      </c>
      <c r="H132" s="120">
        <f t="shared" si="2"/>
        <v>209.79287853383309</v>
      </c>
      <c r="I132" s="120">
        <v>41090.305291000004</v>
      </c>
      <c r="J132" s="120">
        <v>195.86129699999998</v>
      </c>
      <c r="K132" s="120">
        <v>209.79287853383309</v>
      </c>
      <c r="L132" s="125">
        <v>209.79287853383309</v>
      </c>
      <c r="M132" s="125">
        <f>KOHC!G169</f>
        <v>209.79287853383309</v>
      </c>
      <c r="N132" s="126" t="str">
        <f t="shared" si="3"/>
        <v>PASS</v>
      </c>
      <c r="O132" s="122"/>
      <c r="P132" s="119" t="s">
        <v>519</v>
      </c>
    </row>
    <row r="133" spans="1:16" ht="25.95" customHeight="1" x14ac:dyDescent="0.3">
      <c r="A133" s="50" t="s">
        <v>18</v>
      </c>
      <c r="B133" s="50">
        <v>2024</v>
      </c>
      <c r="C133" s="50">
        <v>29</v>
      </c>
      <c r="D133" s="50" t="s">
        <v>162</v>
      </c>
      <c r="E133" s="50" t="s">
        <v>3544</v>
      </c>
      <c r="F133" s="121">
        <f>KOHC!G130</f>
        <v>250.43</v>
      </c>
      <c r="G133" s="121">
        <f>KOHC!G41/KOHC!G128</f>
        <v>209.79287853383309</v>
      </c>
      <c r="H133" s="121">
        <f t="shared" si="2"/>
        <v>1.1937011482475723</v>
      </c>
      <c r="I133" s="121">
        <v>250.43</v>
      </c>
      <c r="J133" s="121">
        <v>209.79287853383309</v>
      </c>
      <c r="K133" s="121">
        <v>1.1937011482475721</v>
      </c>
      <c r="L133" s="127">
        <v>1.1937011482475721</v>
      </c>
      <c r="M133" s="127">
        <f>KOHC!G170</f>
        <v>1.1937011482475723</v>
      </c>
      <c r="N133" s="128" t="str">
        <f t="shared" si="3"/>
        <v>PASS</v>
      </c>
      <c r="O133" s="68"/>
      <c r="P133" s="50" t="s">
        <v>519</v>
      </c>
    </row>
    <row r="134" spans="1:16" ht="25.95" customHeight="1" x14ac:dyDescent="0.3">
      <c r="A134" s="119" t="s">
        <v>18</v>
      </c>
      <c r="B134" s="119">
        <v>2024</v>
      </c>
      <c r="C134" s="119">
        <v>30</v>
      </c>
      <c r="D134" s="119" t="s">
        <v>143</v>
      </c>
      <c r="E134" s="119" t="s">
        <v>3544</v>
      </c>
      <c r="F134" s="120">
        <f>KOHC!G99</f>
        <v>8893.4547870000024</v>
      </c>
      <c r="G134" s="120">
        <f>KOHC!G129</f>
        <v>196.435067</v>
      </c>
      <c r="H134" s="120">
        <f t="shared" ref="H134:H197" si="4">IF(G134&lt;=0,"n/m",F134/G134)</f>
        <v>45.274272678614977</v>
      </c>
      <c r="I134" s="120">
        <v>8893.4547870000024</v>
      </c>
      <c r="J134" s="120">
        <v>196.435067</v>
      </c>
      <c r="K134" s="120">
        <v>45.274272678614977</v>
      </c>
      <c r="L134" s="125">
        <v>45.274272678614977</v>
      </c>
      <c r="M134" s="125">
        <f>KOHC!G171</f>
        <v>45.274272678614977</v>
      </c>
      <c r="N134" s="126" t="str">
        <f t="shared" ref="N134:N197" si="5">IF(AND(ABS(F134-I134)&lt;0.000001,ABS(G134-J134)&lt;0.000001,IF(ISNUMBER(L134),IF(ISNUMBER(M134),ABS(L134-M134)&lt;0.00000001,FALSE),M134=L134)),"PASS","FAIL")</f>
        <v>PASS</v>
      </c>
      <c r="O134" s="122"/>
      <c r="P134" s="119" t="s">
        <v>519</v>
      </c>
    </row>
    <row r="135" spans="1:16" ht="25.95" customHeight="1" x14ac:dyDescent="0.3">
      <c r="A135" s="50" t="s">
        <v>18</v>
      </c>
      <c r="B135" s="50">
        <v>2024</v>
      </c>
      <c r="C135" s="50">
        <v>31</v>
      </c>
      <c r="D135" s="50" t="s">
        <v>952</v>
      </c>
      <c r="E135" s="50" t="s">
        <v>3544</v>
      </c>
      <c r="F135" s="121">
        <f>KOHC!G130</f>
        <v>250.43</v>
      </c>
      <c r="G135" s="121">
        <f>KOHC!G99/KOHC!G129</f>
        <v>45.274272678614977</v>
      </c>
      <c r="H135" s="121">
        <f t="shared" si="4"/>
        <v>5.5313975285193058</v>
      </c>
      <c r="I135" s="121">
        <v>250.43</v>
      </c>
      <c r="J135" s="121">
        <v>45.274272678614977</v>
      </c>
      <c r="K135" s="121">
        <v>5.5313975285193058</v>
      </c>
      <c r="L135" s="127">
        <v>5.5313975285193058</v>
      </c>
      <c r="M135" s="127">
        <f>KOHC!G172</f>
        <v>5.5313975285193058</v>
      </c>
      <c r="N135" s="128" t="str">
        <f t="shared" si="5"/>
        <v>PASS</v>
      </c>
      <c r="O135" s="68"/>
      <c r="P135" s="50" t="s">
        <v>519</v>
      </c>
    </row>
    <row r="136" spans="1:16" ht="25.95" customHeight="1" x14ac:dyDescent="0.3">
      <c r="A136" s="119" t="s">
        <v>18</v>
      </c>
      <c r="B136" s="119">
        <v>2024</v>
      </c>
      <c r="C136" s="119">
        <v>32</v>
      </c>
      <c r="D136" s="119" t="s">
        <v>104</v>
      </c>
      <c r="E136" s="119" t="s">
        <v>3544</v>
      </c>
      <c r="F136" s="120">
        <f>KOHC!G131</f>
        <v>0</v>
      </c>
      <c r="G136" s="120">
        <f>KOHC!G130</f>
        <v>250.43</v>
      </c>
      <c r="H136" s="120">
        <f t="shared" si="4"/>
        <v>0</v>
      </c>
      <c r="I136" s="120">
        <v>0</v>
      </c>
      <c r="J136" s="120">
        <v>250.43</v>
      </c>
      <c r="K136" s="120">
        <v>0</v>
      </c>
      <c r="L136" s="125">
        <v>0</v>
      </c>
      <c r="M136" s="125">
        <f>KOHC!G173</f>
        <v>0</v>
      </c>
      <c r="N136" s="126" t="str">
        <f t="shared" si="5"/>
        <v>PASS</v>
      </c>
      <c r="O136" s="122"/>
      <c r="P136" s="119" t="s">
        <v>519</v>
      </c>
    </row>
    <row r="137" spans="1:16" ht="25.95" customHeight="1" x14ac:dyDescent="0.3">
      <c r="A137" s="50" t="s">
        <v>18</v>
      </c>
      <c r="B137" s="50">
        <v>2024</v>
      </c>
      <c r="C137" s="50">
        <v>33</v>
      </c>
      <c r="D137" s="50" t="s">
        <v>124</v>
      </c>
      <c r="E137" s="50" t="s">
        <v>3545</v>
      </c>
      <c r="F137" s="121">
        <f>KOHC!G131</f>
        <v>0</v>
      </c>
      <c r="G137" s="121">
        <f>KOHC!G99/KOHC!G129</f>
        <v>45.274272678614977</v>
      </c>
      <c r="H137" s="121">
        <f t="shared" si="4"/>
        <v>0</v>
      </c>
      <c r="I137" s="121">
        <v>0</v>
      </c>
      <c r="J137" s="121">
        <v>45.274272678614977</v>
      </c>
      <c r="K137" s="121">
        <v>0</v>
      </c>
      <c r="L137" s="127">
        <v>0</v>
      </c>
      <c r="M137" s="127">
        <f>KOHC!G174</f>
        <v>0</v>
      </c>
      <c r="N137" s="128" t="str">
        <f t="shared" si="5"/>
        <v>PASS</v>
      </c>
      <c r="O137" s="68"/>
      <c r="P137" s="50" t="s">
        <v>519</v>
      </c>
    </row>
    <row r="138" spans="1:16" ht="25.95" customHeight="1" x14ac:dyDescent="0.3">
      <c r="A138" s="119" t="s">
        <v>18</v>
      </c>
      <c r="B138" s="119">
        <v>2025</v>
      </c>
      <c r="C138" s="119">
        <v>1</v>
      </c>
      <c r="D138" s="119" t="s">
        <v>19</v>
      </c>
      <c r="E138" s="119" t="s">
        <v>3544</v>
      </c>
      <c r="F138" s="120">
        <f>KOHC!H36</f>
        <v>38614.792494000001</v>
      </c>
      <c r="G138" s="120">
        <f>KOHC!H61</f>
        <v>11661.701110999998</v>
      </c>
      <c r="H138" s="120">
        <f t="shared" si="4"/>
        <v>3.311248687172772</v>
      </c>
      <c r="I138" s="120">
        <v>38614.792494000001</v>
      </c>
      <c r="J138" s="120">
        <v>11661.701110999998</v>
      </c>
      <c r="K138" s="120">
        <v>3.311248687172772</v>
      </c>
      <c r="L138" s="125">
        <v>3.311248687172772</v>
      </c>
      <c r="M138" s="125">
        <f>KOHC!H138</f>
        <v>3.311248687172772</v>
      </c>
      <c r="N138" s="126" t="str">
        <f t="shared" si="5"/>
        <v>PASS</v>
      </c>
      <c r="O138" s="122"/>
      <c r="P138" s="119" t="s">
        <v>459</v>
      </c>
    </row>
    <row r="139" spans="1:16" ht="25.95" customHeight="1" x14ac:dyDescent="0.3">
      <c r="A139" s="50" t="s">
        <v>18</v>
      </c>
      <c r="B139" s="50">
        <v>2025</v>
      </c>
      <c r="C139" s="50">
        <v>2</v>
      </c>
      <c r="D139" s="50" t="s">
        <v>30</v>
      </c>
      <c r="E139" s="50" t="s">
        <v>3544</v>
      </c>
      <c r="F139" s="121">
        <f>KOHC!H36-KOHC!H65</f>
        <v>31109.924467000001</v>
      </c>
      <c r="G139" s="121">
        <f>KOHC!H61</f>
        <v>11661.701110999998</v>
      </c>
      <c r="H139" s="121">
        <f t="shared" si="4"/>
        <v>2.6677003784340947</v>
      </c>
      <c r="I139" s="121">
        <v>31109.924467000001</v>
      </c>
      <c r="J139" s="121">
        <v>11661.701110999998</v>
      </c>
      <c r="K139" s="121">
        <v>2.6677003784340947</v>
      </c>
      <c r="L139" s="127">
        <v>2.6677003784340947</v>
      </c>
      <c r="M139" s="127">
        <f>KOHC!H139</f>
        <v>2.6677003784340947</v>
      </c>
      <c r="N139" s="128" t="str">
        <f t="shared" si="5"/>
        <v>PASS</v>
      </c>
      <c r="O139" s="68"/>
      <c r="P139" s="50" t="s">
        <v>459</v>
      </c>
    </row>
    <row r="140" spans="1:16" ht="25.95" customHeight="1" x14ac:dyDescent="0.3">
      <c r="A140" s="119" t="s">
        <v>18</v>
      </c>
      <c r="B140" s="119">
        <v>2025</v>
      </c>
      <c r="C140" s="119">
        <v>3</v>
      </c>
      <c r="D140" s="119" t="s">
        <v>145</v>
      </c>
      <c r="E140" s="119" t="s">
        <v>3544</v>
      </c>
      <c r="F140" s="120">
        <f>KOHC!H34</f>
        <v>1450.7027230000001</v>
      </c>
      <c r="G140" s="120">
        <f>KOHC!H61</f>
        <v>11661.701110999998</v>
      </c>
      <c r="H140" s="120">
        <f t="shared" si="4"/>
        <v>0.1243988942257843</v>
      </c>
      <c r="I140" s="120">
        <v>1450.7027230000001</v>
      </c>
      <c r="J140" s="120">
        <v>11661.701110999998</v>
      </c>
      <c r="K140" s="120">
        <v>0.1243988942257843</v>
      </c>
      <c r="L140" s="125">
        <v>0.1243988942257843</v>
      </c>
      <c r="M140" s="125">
        <f>KOHC!H140</f>
        <v>0.1243988942257843</v>
      </c>
      <c r="N140" s="126" t="str">
        <f t="shared" si="5"/>
        <v>PASS</v>
      </c>
      <c r="O140" s="122"/>
      <c r="P140" s="119" t="s">
        <v>459</v>
      </c>
    </row>
    <row r="141" spans="1:16" ht="25.95" customHeight="1" x14ac:dyDescent="0.3">
      <c r="A141" s="50" t="s">
        <v>18</v>
      </c>
      <c r="B141" s="50">
        <v>2025</v>
      </c>
      <c r="C141" s="50">
        <v>4</v>
      </c>
      <c r="D141" s="50" t="s">
        <v>201</v>
      </c>
      <c r="E141" s="50" t="s">
        <v>3545</v>
      </c>
      <c r="F141" s="121">
        <f>KOHC!H36-KOHC!H61</f>
        <v>26953.091383000003</v>
      </c>
      <c r="G141" s="121">
        <f>1</f>
        <v>1</v>
      </c>
      <c r="H141" s="121">
        <f t="shared" si="4"/>
        <v>26953.091383000003</v>
      </c>
      <c r="I141" s="121">
        <v>26953.091383000003</v>
      </c>
      <c r="J141" s="121">
        <v>1</v>
      </c>
      <c r="K141" s="121">
        <v>26953.091383000003</v>
      </c>
      <c r="L141" s="127">
        <v>26953.091383000003</v>
      </c>
      <c r="M141" s="127">
        <f>KOHC!H141</f>
        <v>26953.091383000003</v>
      </c>
      <c r="N141" s="128" t="str">
        <f t="shared" si="5"/>
        <v>PASS</v>
      </c>
      <c r="O141" s="68"/>
      <c r="P141" s="50" t="s">
        <v>459</v>
      </c>
    </row>
    <row r="142" spans="1:16" ht="25.95" customHeight="1" x14ac:dyDescent="0.3">
      <c r="A142" s="119" t="s">
        <v>18</v>
      </c>
      <c r="B142" s="119">
        <v>2025</v>
      </c>
      <c r="C142" s="119">
        <v>5</v>
      </c>
      <c r="D142" s="119" t="s">
        <v>923</v>
      </c>
      <c r="E142" s="119" t="s">
        <v>3545</v>
      </c>
      <c r="F142" s="120">
        <f>KOHC!H72-KOHC!H73</f>
        <v>-555.99814599999991</v>
      </c>
      <c r="G142" s="120">
        <f>1</f>
        <v>1</v>
      </c>
      <c r="H142" s="120">
        <f t="shared" si="4"/>
        <v>-555.99814599999991</v>
      </c>
      <c r="I142" s="120">
        <v>-555.99814600000173</v>
      </c>
      <c r="J142" s="120">
        <v>1</v>
      </c>
      <c r="K142" s="120">
        <v>-555.99814600000173</v>
      </c>
      <c r="L142" s="125" t="s">
        <v>3546</v>
      </c>
      <c r="M142" s="125" t="str">
        <f>KOHC!H142</f>
        <v>n/m</v>
      </c>
      <c r="N142" s="126" t="str">
        <f t="shared" si="5"/>
        <v>PASS</v>
      </c>
      <c r="O142" s="122" t="s">
        <v>3547</v>
      </c>
      <c r="P142" s="119" t="s">
        <v>459</v>
      </c>
    </row>
    <row r="143" spans="1:16" ht="25.95" customHeight="1" x14ac:dyDescent="0.3">
      <c r="A143" s="50" t="s">
        <v>18</v>
      </c>
      <c r="B143" s="50">
        <v>2025</v>
      </c>
      <c r="C143" s="50">
        <v>6</v>
      </c>
      <c r="D143" s="50" t="s">
        <v>31</v>
      </c>
      <c r="E143" s="50" t="s">
        <v>3544</v>
      </c>
      <c r="F143" s="121">
        <f>-KOHC!H85</f>
        <v>22814.094271000002</v>
      </c>
      <c r="G143" s="121">
        <f>AVERAGE(KOHC!G65,KOHC!H65)</f>
        <v>7542.1469765000002</v>
      </c>
      <c r="H143" s="121">
        <f t="shared" si="4"/>
        <v>3.024880626442934</v>
      </c>
      <c r="I143" s="121">
        <v>22814.094271000002</v>
      </c>
      <c r="J143" s="121">
        <v>7542.1469765000002</v>
      </c>
      <c r="K143" s="121">
        <v>3.024880626442934</v>
      </c>
      <c r="L143" s="127">
        <v>3.024880626442934</v>
      </c>
      <c r="M143" s="127">
        <f>KOHC!H144</f>
        <v>3.024880626442934</v>
      </c>
      <c r="N143" s="128" t="str">
        <f t="shared" si="5"/>
        <v>PASS</v>
      </c>
      <c r="O143" s="68"/>
      <c r="P143" s="50" t="s">
        <v>471</v>
      </c>
    </row>
    <row r="144" spans="1:16" ht="25.95" customHeight="1" x14ac:dyDescent="0.3">
      <c r="A144" s="119" t="s">
        <v>18</v>
      </c>
      <c r="B144" s="119">
        <v>2025</v>
      </c>
      <c r="C144" s="119">
        <v>7</v>
      </c>
      <c r="D144" s="119" t="s">
        <v>129</v>
      </c>
      <c r="E144" s="119" t="s">
        <v>3545</v>
      </c>
      <c r="F144" s="120">
        <f>KOHC!H84</f>
        <v>37535.700371999999</v>
      </c>
      <c r="G144" s="120">
        <f>AVERAGE(KOHC!G32,KOHC!H32)</f>
        <v>1901.2328670000002</v>
      </c>
      <c r="H144" s="120">
        <f t="shared" si="4"/>
        <v>19.742821104933064</v>
      </c>
      <c r="I144" s="120">
        <v>37535.700371999999</v>
      </c>
      <c r="J144" s="120">
        <v>1901.2328670000002</v>
      </c>
      <c r="K144" s="120">
        <v>19.742821104933064</v>
      </c>
      <c r="L144" s="125">
        <v>19.742821104933064</v>
      </c>
      <c r="M144" s="125">
        <f>KOHC!H145</f>
        <v>19.742821104933064</v>
      </c>
      <c r="N144" s="126" t="str">
        <f t="shared" si="5"/>
        <v>PASS</v>
      </c>
      <c r="O144" s="122"/>
      <c r="P144" s="119" t="s">
        <v>471</v>
      </c>
    </row>
    <row r="145" spans="1:16" ht="25.95" customHeight="1" x14ac:dyDescent="0.3">
      <c r="A145" s="50" t="s">
        <v>18</v>
      </c>
      <c r="B145" s="50">
        <v>2025</v>
      </c>
      <c r="C145" s="50">
        <v>8</v>
      </c>
      <c r="D145" s="50" t="s">
        <v>133</v>
      </c>
      <c r="E145" s="50" t="s">
        <v>3545</v>
      </c>
      <c r="F145" s="121">
        <f>-KOHC!H85</f>
        <v>22814.094271000002</v>
      </c>
      <c r="G145" s="121">
        <f>AVERAGE(KOHC!G51,KOHC!H51)</f>
        <v>1944.2914230000001</v>
      </c>
      <c r="H145" s="121">
        <f t="shared" si="4"/>
        <v>11.733886186566796</v>
      </c>
      <c r="I145" s="121">
        <v>22814.094271000002</v>
      </c>
      <c r="J145" s="121">
        <v>1944.2914230000001</v>
      </c>
      <c r="K145" s="121">
        <v>11.733886186566796</v>
      </c>
      <c r="L145" s="127">
        <v>11.733886186566796</v>
      </c>
      <c r="M145" s="127">
        <f>KOHC!H146</f>
        <v>11.733886186566796</v>
      </c>
      <c r="N145" s="128" t="str">
        <f t="shared" si="5"/>
        <v>PASS</v>
      </c>
      <c r="O145" s="68"/>
      <c r="P145" s="50" t="s">
        <v>471</v>
      </c>
    </row>
    <row r="146" spans="1:16" ht="25.95" customHeight="1" x14ac:dyDescent="0.3">
      <c r="A146" s="119" t="s">
        <v>18</v>
      </c>
      <c r="B146" s="119">
        <v>2025</v>
      </c>
      <c r="C146" s="119">
        <v>9</v>
      </c>
      <c r="D146" s="119" t="s">
        <v>134</v>
      </c>
      <c r="E146" s="119" t="s">
        <v>3545</v>
      </c>
      <c r="F146" s="120">
        <f>365*AVERAGE(KOHC!G65,KOHC!H65)</f>
        <v>2752883.6464225003</v>
      </c>
      <c r="G146" s="120">
        <f>-KOHC!H85</f>
        <v>22814.094271000002</v>
      </c>
      <c r="H146" s="120">
        <f t="shared" si="4"/>
        <v>120.66591878345184</v>
      </c>
      <c r="I146" s="120">
        <v>2752883.6464225003</v>
      </c>
      <c r="J146" s="120">
        <v>22814.094271000002</v>
      </c>
      <c r="K146" s="120">
        <v>120.66591878345184</v>
      </c>
      <c r="L146" s="125">
        <v>120.66591878345184</v>
      </c>
      <c r="M146" s="125">
        <f>KOHC!H147</f>
        <v>120.66591878345184</v>
      </c>
      <c r="N146" s="126" t="str">
        <f t="shared" si="5"/>
        <v>PASS</v>
      </c>
      <c r="O146" s="122"/>
      <c r="P146" s="119" t="s">
        <v>471</v>
      </c>
    </row>
    <row r="147" spans="1:16" ht="25.95" customHeight="1" x14ac:dyDescent="0.3">
      <c r="A147" s="50" t="s">
        <v>18</v>
      </c>
      <c r="B147" s="50">
        <v>2025</v>
      </c>
      <c r="C147" s="50">
        <v>10</v>
      </c>
      <c r="D147" s="50" t="s">
        <v>187</v>
      </c>
      <c r="E147" s="50" t="s">
        <v>3544</v>
      </c>
      <c r="F147" s="121">
        <f>365*AVERAGE(KOHC!G32,KOHC!H32)</f>
        <v>693949.99645500001</v>
      </c>
      <c r="G147" s="121">
        <f>KOHC!H84</f>
        <v>37535.700371999999</v>
      </c>
      <c r="H147" s="121">
        <f t="shared" si="4"/>
        <v>18.487732733839078</v>
      </c>
      <c r="I147" s="121">
        <v>693949.99645500001</v>
      </c>
      <c r="J147" s="121">
        <v>37535.700371999999</v>
      </c>
      <c r="K147" s="121">
        <v>18.487732733839078</v>
      </c>
      <c r="L147" s="127">
        <v>18.487732733839078</v>
      </c>
      <c r="M147" s="127">
        <f>KOHC!H148</f>
        <v>18.487732733839078</v>
      </c>
      <c r="N147" s="128" t="str">
        <f t="shared" si="5"/>
        <v>PASS</v>
      </c>
      <c r="O147" s="68"/>
      <c r="P147" s="50" t="s">
        <v>471</v>
      </c>
    </row>
    <row r="148" spans="1:16" ht="25.95" customHeight="1" x14ac:dyDescent="0.3">
      <c r="A148" s="119" t="s">
        <v>18</v>
      </c>
      <c r="B148" s="119">
        <v>2025</v>
      </c>
      <c r="C148" s="119">
        <v>11</v>
      </c>
      <c r="D148" s="119" t="s">
        <v>190</v>
      </c>
      <c r="E148" s="119" t="s">
        <v>3545</v>
      </c>
      <c r="F148" s="120">
        <f>365*AVERAGE(KOHC!G51,KOHC!H51)</f>
        <v>709666.36939500005</v>
      </c>
      <c r="G148" s="120">
        <f>-KOHC!H85</f>
        <v>22814.094271000002</v>
      </c>
      <c r="H148" s="120">
        <f t="shared" si="4"/>
        <v>31.106488864521271</v>
      </c>
      <c r="I148" s="120">
        <v>709666.36939500005</v>
      </c>
      <c r="J148" s="120">
        <v>22814.094271000002</v>
      </c>
      <c r="K148" s="120">
        <v>31.106488864521271</v>
      </c>
      <c r="L148" s="125">
        <v>31.106488864521271</v>
      </c>
      <c r="M148" s="125">
        <f>KOHC!H149</f>
        <v>31.106488864521271</v>
      </c>
      <c r="N148" s="126" t="str">
        <f t="shared" si="5"/>
        <v>PASS</v>
      </c>
      <c r="O148" s="122"/>
      <c r="P148" s="119" t="s">
        <v>471</v>
      </c>
    </row>
    <row r="149" spans="1:16" ht="25.95" customHeight="1" x14ac:dyDescent="0.3">
      <c r="A149" s="50" t="s">
        <v>18</v>
      </c>
      <c r="B149" s="50">
        <v>2025</v>
      </c>
      <c r="C149" s="50">
        <v>12</v>
      </c>
      <c r="D149" s="50" t="s">
        <v>192</v>
      </c>
      <c r="E149" s="50" t="s">
        <v>3545</v>
      </c>
      <c r="F149" s="121">
        <f>365*AVERAGE(KOHC!G65,KOHC!H65)/(-KOHC!H85)+365*AVERAGE(KOHC!G32,KOHC!H32)/KOHC!H84</f>
        <v>139.15365151729091</v>
      </c>
      <c r="G149" s="121">
        <f>1</f>
        <v>1</v>
      </c>
      <c r="H149" s="121">
        <f t="shared" si="4"/>
        <v>139.15365151729091</v>
      </c>
      <c r="I149" s="121">
        <v>139.15365151729091</v>
      </c>
      <c r="J149" s="121">
        <v>1</v>
      </c>
      <c r="K149" s="121">
        <v>139.15365151729091</v>
      </c>
      <c r="L149" s="127">
        <v>139.15365151729091</v>
      </c>
      <c r="M149" s="127">
        <f>KOHC!H150</f>
        <v>139.15365151729091</v>
      </c>
      <c r="N149" s="128" t="str">
        <f t="shared" si="5"/>
        <v>PASS</v>
      </c>
      <c r="O149" s="68"/>
      <c r="P149" s="50" t="s">
        <v>471</v>
      </c>
    </row>
    <row r="150" spans="1:16" ht="25.95" customHeight="1" x14ac:dyDescent="0.3">
      <c r="A150" s="119" t="s">
        <v>18</v>
      </c>
      <c r="B150" s="119">
        <v>2025</v>
      </c>
      <c r="C150" s="119">
        <v>13</v>
      </c>
      <c r="D150" s="119" t="s">
        <v>150</v>
      </c>
      <c r="E150" s="119" t="s">
        <v>3545</v>
      </c>
      <c r="F150" s="120">
        <f>365*AVERAGE(KOHC!G65,KOHC!H65)/(-KOHC!H85)+365*AVERAGE(KOHC!G32,KOHC!H32)/KOHC!H84-365*AVERAGE(KOHC!G51,KOHC!H51)/(-KOHC!H85)</f>
        <v>108.04716265276964</v>
      </c>
      <c r="G150" s="120">
        <f>1</f>
        <v>1</v>
      </c>
      <c r="H150" s="120">
        <f t="shared" si="4"/>
        <v>108.04716265276964</v>
      </c>
      <c r="I150" s="120">
        <v>108.04716265276964</v>
      </c>
      <c r="J150" s="120">
        <v>1</v>
      </c>
      <c r="K150" s="120">
        <v>108.04716265276964</v>
      </c>
      <c r="L150" s="125">
        <v>108.04716265276964</v>
      </c>
      <c r="M150" s="125">
        <f>KOHC!H151</f>
        <v>108.04716265276964</v>
      </c>
      <c r="N150" s="126" t="str">
        <f t="shared" si="5"/>
        <v>PASS</v>
      </c>
      <c r="O150" s="122"/>
      <c r="P150" s="119" t="s">
        <v>471</v>
      </c>
    </row>
    <row r="151" spans="1:16" ht="25.95" customHeight="1" x14ac:dyDescent="0.3">
      <c r="A151" s="50" t="s">
        <v>18</v>
      </c>
      <c r="B151" s="50">
        <v>2025</v>
      </c>
      <c r="C151" s="50">
        <v>14</v>
      </c>
      <c r="D151" s="50" t="s">
        <v>196</v>
      </c>
      <c r="E151" s="50" t="s">
        <v>3544</v>
      </c>
      <c r="F151" s="121">
        <f>KOHC!H84</f>
        <v>37535.700371999999</v>
      </c>
      <c r="G151" s="121">
        <f>AVERAGE(KOHC!G37,KOHC!H37)</f>
        <v>62818.8034825</v>
      </c>
      <c r="H151" s="121">
        <f t="shared" si="4"/>
        <v>0.59752332567837996</v>
      </c>
      <c r="I151" s="121">
        <v>37535.700371999999</v>
      </c>
      <c r="J151" s="121">
        <v>62818.8034825</v>
      </c>
      <c r="K151" s="121">
        <v>0.59752332567837996</v>
      </c>
      <c r="L151" s="127">
        <v>0.59752332567837996</v>
      </c>
      <c r="M151" s="127">
        <f>KOHC!H152</f>
        <v>0.59752332567837996</v>
      </c>
      <c r="N151" s="128" t="str">
        <f t="shared" si="5"/>
        <v>PASS</v>
      </c>
      <c r="O151" s="68"/>
      <c r="P151" s="50" t="s">
        <v>471</v>
      </c>
    </row>
    <row r="152" spans="1:16" ht="25.95" customHeight="1" x14ac:dyDescent="0.3">
      <c r="A152" s="119" t="s">
        <v>18</v>
      </c>
      <c r="B152" s="119">
        <v>2025</v>
      </c>
      <c r="C152" s="119">
        <v>15</v>
      </c>
      <c r="D152" s="119" t="s">
        <v>199</v>
      </c>
      <c r="E152" s="119" t="s">
        <v>3544</v>
      </c>
      <c r="F152" s="120">
        <f>KOHC!H84</f>
        <v>37535.700371999999</v>
      </c>
      <c r="G152" s="120">
        <f>AVERAGE(KOHC!G22,KOHC!H22)</f>
        <v>21015.329841000002</v>
      </c>
      <c r="H152" s="120">
        <f t="shared" si="4"/>
        <v>1.7861104563188661</v>
      </c>
      <c r="I152" s="120">
        <v>37535.700371999999</v>
      </c>
      <c r="J152" s="120">
        <v>21015.329841000002</v>
      </c>
      <c r="K152" s="120">
        <v>1.7861104563188661</v>
      </c>
      <c r="L152" s="125">
        <v>1.7861104563188661</v>
      </c>
      <c r="M152" s="125">
        <f>KOHC!H153</f>
        <v>1.7861104563188661</v>
      </c>
      <c r="N152" s="126" t="str">
        <f t="shared" si="5"/>
        <v>PASS</v>
      </c>
      <c r="O152" s="122"/>
      <c r="P152" s="119" t="s">
        <v>471</v>
      </c>
    </row>
    <row r="153" spans="1:16" ht="25.95" customHeight="1" x14ac:dyDescent="0.3">
      <c r="A153" s="50" t="s">
        <v>18</v>
      </c>
      <c r="B153" s="50">
        <v>2025</v>
      </c>
      <c r="C153" s="50">
        <v>16</v>
      </c>
      <c r="D153" s="50" t="s">
        <v>932</v>
      </c>
      <c r="E153" s="50" t="s">
        <v>3544</v>
      </c>
      <c r="F153" s="121">
        <f>KOHC!H62</f>
        <v>18839.116980999999</v>
      </c>
      <c r="G153" s="121">
        <f>KOHC!H37</f>
        <v>66794.311768</v>
      </c>
      <c r="H153" s="121">
        <f t="shared" si="4"/>
        <v>0.28204672647028445</v>
      </c>
      <c r="I153" s="121">
        <v>18839.116980999999</v>
      </c>
      <c r="J153" s="121">
        <v>66794.311768</v>
      </c>
      <c r="K153" s="121">
        <v>0.28204672647028445</v>
      </c>
      <c r="L153" s="127">
        <v>0.28204672647028445</v>
      </c>
      <c r="M153" s="127">
        <f>KOHC!H155</f>
        <v>0.28204672647028445</v>
      </c>
      <c r="N153" s="128" t="str">
        <f t="shared" si="5"/>
        <v>PASS</v>
      </c>
      <c r="O153" s="68"/>
      <c r="P153" s="50" t="s">
        <v>493</v>
      </c>
    </row>
    <row r="154" spans="1:16" ht="25.95" customHeight="1" x14ac:dyDescent="0.3">
      <c r="A154" s="119" t="s">
        <v>18</v>
      </c>
      <c r="B154" s="119">
        <v>2025</v>
      </c>
      <c r="C154" s="119">
        <v>17</v>
      </c>
      <c r="D154" s="119" t="s">
        <v>151</v>
      </c>
      <c r="E154" s="119" t="s">
        <v>3544</v>
      </c>
      <c r="F154" s="120">
        <f>KOHC!H62</f>
        <v>18839.116980999999</v>
      </c>
      <c r="G154" s="120">
        <f>KOHC!H41</f>
        <v>47955.194787</v>
      </c>
      <c r="H154" s="120">
        <f t="shared" si="4"/>
        <v>0.39284830485365951</v>
      </c>
      <c r="I154" s="120">
        <v>18839.116980999999</v>
      </c>
      <c r="J154" s="120">
        <v>47955.194787</v>
      </c>
      <c r="K154" s="120">
        <v>0.39284830485365951</v>
      </c>
      <c r="L154" s="125">
        <v>0.39284830485365951</v>
      </c>
      <c r="M154" s="125">
        <f>KOHC!H156</f>
        <v>0.39284830485365951</v>
      </c>
      <c r="N154" s="126" t="str">
        <f t="shared" si="5"/>
        <v>PASS</v>
      </c>
      <c r="O154" s="122"/>
      <c r="P154" s="119" t="s">
        <v>493</v>
      </c>
    </row>
    <row r="155" spans="1:16" ht="25.95" customHeight="1" x14ac:dyDescent="0.3">
      <c r="A155" s="50" t="s">
        <v>18</v>
      </c>
      <c r="B155" s="50">
        <v>2025</v>
      </c>
      <c r="C155" s="50">
        <v>18</v>
      </c>
      <c r="D155" s="50" t="s">
        <v>935</v>
      </c>
      <c r="E155" s="50" t="s">
        <v>3545</v>
      </c>
      <c r="F155" s="121">
        <f>KOHC!H66</f>
        <v>2242.6215440000001</v>
      </c>
      <c r="G155" s="121">
        <f>KOHC!H66+KOHC!H41</f>
        <v>50197.816331000002</v>
      </c>
      <c r="H155" s="121">
        <f t="shared" si="4"/>
        <v>4.4675679300715997E-2</v>
      </c>
      <c r="I155" s="121">
        <v>2242.6215440000001</v>
      </c>
      <c r="J155" s="121">
        <v>50197.816331000002</v>
      </c>
      <c r="K155" s="121">
        <v>4.4675679300715997E-2</v>
      </c>
      <c r="L155" s="127">
        <v>4.4675679300715997E-2</v>
      </c>
      <c r="M155" s="127">
        <f>KOHC!H157</f>
        <v>4.4675679300715997E-2</v>
      </c>
      <c r="N155" s="128" t="str">
        <f t="shared" si="5"/>
        <v>PASS</v>
      </c>
      <c r="O155" s="68"/>
      <c r="P155" s="50" t="s">
        <v>493</v>
      </c>
    </row>
    <row r="156" spans="1:16" ht="25.95" customHeight="1" x14ac:dyDescent="0.3">
      <c r="A156" s="119" t="s">
        <v>18</v>
      </c>
      <c r="B156" s="119">
        <v>2025</v>
      </c>
      <c r="C156" s="119">
        <v>19</v>
      </c>
      <c r="D156" s="119" t="s">
        <v>936</v>
      </c>
      <c r="E156" s="119" t="s">
        <v>3545</v>
      </c>
      <c r="F156" s="120">
        <f>KOHC!H67</f>
        <v>1448.977799</v>
      </c>
      <c r="G156" s="120">
        <f>KOHC!H37</f>
        <v>66794.311768</v>
      </c>
      <c r="H156" s="120">
        <f t="shared" si="4"/>
        <v>2.1693131655174568E-2</v>
      </c>
      <c r="I156" s="120">
        <v>1448.977799</v>
      </c>
      <c r="J156" s="120">
        <v>66794.311768</v>
      </c>
      <c r="K156" s="120">
        <v>2.1693131655174568E-2</v>
      </c>
      <c r="L156" s="125">
        <v>2.1693131655174568E-2</v>
      </c>
      <c r="M156" s="125">
        <f>KOHC!H158</f>
        <v>2.1693131655174568E-2</v>
      </c>
      <c r="N156" s="126" t="str">
        <f t="shared" si="5"/>
        <v>PASS</v>
      </c>
      <c r="O156" s="122"/>
      <c r="P156" s="119" t="s">
        <v>493</v>
      </c>
    </row>
    <row r="157" spans="1:16" ht="25.95" customHeight="1" x14ac:dyDescent="0.3">
      <c r="A157" s="50" t="s">
        <v>18</v>
      </c>
      <c r="B157" s="50">
        <v>2025</v>
      </c>
      <c r="C157" s="50">
        <v>20</v>
      </c>
      <c r="D157" s="50" t="s">
        <v>938</v>
      </c>
      <c r="E157" s="50" t="s">
        <v>3544</v>
      </c>
      <c r="F157" s="121">
        <f>KOHC!H108</f>
        <v>18096.734132999998</v>
      </c>
      <c r="G157" s="121">
        <f>KOHC!H106</f>
        <v>306.21073899999999</v>
      </c>
      <c r="H157" s="121">
        <f t="shared" si="4"/>
        <v>59.098953198372307</v>
      </c>
      <c r="I157" s="121">
        <v>18096.734132999998</v>
      </c>
      <c r="J157" s="121">
        <v>306.21073899999999</v>
      </c>
      <c r="K157" s="121">
        <v>59.098953198372307</v>
      </c>
      <c r="L157" s="127">
        <v>59.098953198372307</v>
      </c>
      <c r="M157" s="127">
        <f>KOHC!H159</f>
        <v>59.098953198372307</v>
      </c>
      <c r="N157" s="128" t="str">
        <f t="shared" si="5"/>
        <v>PASS</v>
      </c>
      <c r="O157" s="68"/>
      <c r="P157" s="50" t="s">
        <v>493</v>
      </c>
    </row>
    <row r="158" spans="1:16" ht="25.95" customHeight="1" x14ac:dyDescent="0.3">
      <c r="A158" s="119" t="s">
        <v>18</v>
      </c>
      <c r="B158" s="119">
        <v>2025</v>
      </c>
      <c r="C158" s="119">
        <v>21</v>
      </c>
      <c r="D158" s="119" t="s">
        <v>154</v>
      </c>
      <c r="E158" s="119" t="s">
        <v>3544</v>
      </c>
      <c r="F158" s="120">
        <f>KOHC!H86</f>
        <v>14721.606100999998</v>
      </c>
      <c r="G158" s="120">
        <f>KOHC!H84</f>
        <v>37535.700371999999</v>
      </c>
      <c r="H158" s="120">
        <f t="shared" si="4"/>
        <v>0.39220278175445145</v>
      </c>
      <c r="I158" s="120">
        <v>14721.606100999998</v>
      </c>
      <c r="J158" s="120">
        <v>37535.700371999999</v>
      </c>
      <c r="K158" s="120">
        <v>0.39220278175445145</v>
      </c>
      <c r="L158" s="125">
        <v>0.39220278175445145</v>
      </c>
      <c r="M158" s="125">
        <f>KOHC!H161</f>
        <v>0.39220278175445145</v>
      </c>
      <c r="N158" s="126" t="str">
        <f t="shared" si="5"/>
        <v>PASS</v>
      </c>
      <c r="O158" s="122"/>
      <c r="P158" s="119" t="s">
        <v>504</v>
      </c>
    </row>
    <row r="159" spans="1:16" ht="25.95" customHeight="1" x14ac:dyDescent="0.3">
      <c r="A159" s="50" t="s">
        <v>18</v>
      </c>
      <c r="B159" s="50">
        <v>2025</v>
      </c>
      <c r="C159" s="50">
        <v>22</v>
      </c>
      <c r="D159" s="50" t="s">
        <v>942</v>
      </c>
      <c r="E159" s="50" t="s">
        <v>3544</v>
      </c>
      <c r="F159" s="121">
        <f>KOHC!H91</f>
        <v>12816.014935999998</v>
      </c>
      <c r="G159" s="121">
        <f>KOHC!H84</f>
        <v>37535.700371999999</v>
      </c>
      <c r="H159" s="121">
        <f t="shared" si="4"/>
        <v>0.34143534845456586</v>
      </c>
      <c r="I159" s="121">
        <v>12816.014935999998</v>
      </c>
      <c r="J159" s="121">
        <v>37535.700371999999</v>
      </c>
      <c r="K159" s="121">
        <v>0.34143534845456586</v>
      </c>
      <c r="L159" s="127">
        <v>0.34143534845456586</v>
      </c>
      <c r="M159" s="127">
        <f>KOHC!H162</f>
        <v>0.34143534845456586</v>
      </c>
      <c r="N159" s="128" t="str">
        <f t="shared" si="5"/>
        <v>PASS</v>
      </c>
      <c r="O159" s="68"/>
      <c r="P159" s="50" t="s">
        <v>504</v>
      </c>
    </row>
    <row r="160" spans="1:16" ht="25.95" customHeight="1" x14ac:dyDescent="0.3">
      <c r="A160" s="119" t="s">
        <v>18</v>
      </c>
      <c r="B160" s="119">
        <v>2025</v>
      </c>
      <c r="C160" s="119">
        <v>23</v>
      </c>
      <c r="D160" s="119" t="s">
        <v>155</v>
      </c>
      <c r="E160" s="119" t="s">
        <v>3544</v>
      </c>
      <c r="F160" s="120">
        <f>KOHC!H99</f>
        <v>11575.154071000001</v>
      </c>
      <c r="G160" s="120">
        <f>KOHC!H84</f>
        <v>37535.700371999999</v>
      </c>
      <c r="H160" s="120">
        <f t="shared" si="4"/>
        <v>0.30837719707594857</v>
      </c>
      <c r="I160" s="120">
        <v>11575.154071000001</v>
      </c>
      <c r="J160" s="120">
        <v>37535.700371999999</v>
      </c>
      <c r="K160" s="120">
        <v>0.30837719707594857</v>
      </c>
      <c r="L160" s="125">
        <v>0.30837719707594857</v>
      </c>
      <c r="M160" s="125">
        <f>KOHC!H163</f>
        <v>0.30837719707594857</v>
      </c>
      <c r="N160" s="126" t="str">
        <f t="shared" si="5"/>
        <v>PASS</v>
      </c>
      <c r="O160" s="122"/>
      <c r="P160" s="119" t="s">
        <v>504</v>
      </c>
    </row>
    <row r="161" spans="1:16" ht="25.95" customHeight="1" x14ac:dyDescent="0.3">
      <c r="A161" s="50" t="s">
        <v>18</v>
      </c>
      <c r="B161" s="50">
        <v>2025</v>
      </c>
      <c r="C161" s="50">
        <v>24</v>
      </c>
      <c r="D161" s="50" t="s">
        <v>136</v>
      </c>
      <c r="E161" s="50" t="s">
        <v>3544</v>
      </c>
      <c r="F161" s="121">
        <f>KOHC!H99</f>
        <v>11575.154071000001</v>
      </c>
      <c r="G161" s="121">
        <f>AVERAGE(KOHC!G37,KOHC!H37)</f>
        <v>62818.8034825</v>
      </c>
      <c r="H161" s="121">
        <f t="shared" si="4"/>
        <v>0.184262568360198</v>
      </c>
      <c r="I161" s="121">
        <v>11575.154071000001</v>
      </c>
      <c r="J161" s="121">
        <v>62818.8034825</v>
      </c>
      <c r="K161" s="121">
        <v>0.184262568360198</v>
      </c>
      <c r="L161" s="127">
        <v>0.184262568360198</v>
      </c>
      <c r="M161" s="127">
        <f>KOHC!H164</f>
        <v>0.184262568360198</v>
      </c>
      <c r="N161" s="128" t="str">
        <f t="shared" si="5"/>
        <v>PASS</v>
      </c>
      <c r="O161" s="68"/>
      <c r="P161" s="50" t="s">
        <v>504</v>
      </c>
    </row>
    <row r="162" spans="1:16" ht="25.95" customHeight="1" x14ac:dyDescent="0.3">
      <c r="A162" s="119" t="s">
        <v>18</v>
      </c>
      <c r="B162" s="119">
        <v>2025</v>
      </c>
      <c r="C162" s="119">
        <v>25</v>
      </c>
      <c r="D162" s="119" t="s">
        <v>53</v>
      </c>
      <c r="E162" s="119" t="s">
        <v>3544</v>
      </c>
      <c r="F162" s="120">
        <f>KOHC!H99</f>
        <v>11575.154071000001</v>
      </c>
      <c r="G162" s="120">
        <f>AVERAGE(KOHC!G41,KOHC!H41)</f>
        <v>44522.750039000006</v>
      </c>
      <c r="H162" s="120">
        <f t="shared" si="4"/>
        <v>0.25998290898160303</v>
      </c>
      <c r="I162" s="120">
        <v>11575.154071000001</v>
      </c>
      <c r="J162" s="120">
        <v>44522.750039000006</v>
      </c>
      <c r="K162" s="120">
        <v>0.25998290898160303</v>
      </c>
      <c r="L162" s="125">
        <v>0.25998290898160303</v>
      </c>
      <c r="M162" s="125">
        <f>KOHC!H165</f>
        <v>0.25998290898160303</v>
      </c>
      <c r="N162" s="126" t="str">
        <f t="shared" si="5"/>
        <v>PASS</v>
      </c>
      <c r="O162" s="122"/>
      <c r="P162" s="119" t="s">
        <v>504</v>
      </c>
    </row>
    <row r="163" spans="1:16" ht="25.95" customHeight="1" x14ac:dyDescent="0.3">
      <c r="A163" s="50" t="s">
        <v>18</v>
      </c>
      <c r="B163" s="50">
        <v>2025</v>
      </c>
      <c r="C163" s="50">
        <v>26</v>
      </c>
      <c r="D163" s="50" t="s">
        <v>944</v>
      </c>
      <c r="E163" s="50" t="s">
        <v>3545</v>
      </c>
      <c r="F163" s="121">
        <f>KOHC!H113</f>
        <v>11803.379165352044</v>
      </c>
      <c r="G163" s="121">
        <f>AVERAGE(KOHC!G70,KOHC!H70)</f>
        <v>46720.590613000008</v>
      </c>
      <c r="H163" s="121">
        <f t="shared" si="4"/>
        <v>0.2526376274461683</v>
      </c>
      <c r="I163" s="121">
        <v>11803.379165352044</v>
      </c>
      <c r="J163" s="121">
        <v>46720.590613000008</v>
      </c>
      <c r="K163" s="121">
        <v>0.2526376274461683</v>
      </c>
      <c r="L163" s="127">
        <v>0.2526376274461683</v>
      </c>
      <c r="M163" s="127">
        <f>KOHC!H166</f>
        <v>0.2526376274461683</v>
      </c>
      <c r="N163" s="128" t="str">
        <f t="shared" si="5"/>
        <v>PASS</v>
      </c>
      <c r="O163" s="68"/>
      <c r="P163" s="50" t="s">
        <v>504</v>
      </c>
    </row>
    <row r="164" spans="1:16" ht="25.95" customHeight="1" x14ac:dyDescent="0.3">
      <c r="A164" s="119" t="s">
        <v>18</v>
      </c>
      <c r="B164" s="119">
        <v>2025</v>
      </c>
      <c r="C164" s="119">
        <v>27</v>
      </c>
      <c r="D164" s="119" t="s">
        <v>945</v>
      </c>
      <c r="E164" s="119" t="s">
        <v>3545</v>
      </c>
      <c r="F164" s="120">
        <f>KOHC!H108</f>
        <v>18096.734132999998</v>
      </c>
      <c r="G164" s="120">
        <f>AVERAGE(KOHC!G37,KOHC!H37)</f>
        <v>62818.8034825</v>
      </c>
      <c r="H164" s="120">
        <f t="shared" si="4"/>
        <v>0.28807830028219766</v>
      </c>
      <c r="I164" s="120">
        <v>18096.734132999998</v>
      </c>
      <c r="J164" s="120">
        <v>62818.8034825</v>
      </c>
      <c r="K164" s="120">
        <v>0.28807830028219766</v>
      </c>
      <c r="L164" s="125">
        <v>0.28807830028219766</v>
      </c>
      <c r="M164" s="125">
        <f>KOHC!H167</f>
        <v>0.28807830028219766</v>
      </c>
      <c r="N164" s="126" t="str">
        <f t="shared" si="5"/>
        <v>PASS</v>
      </c>
      <c r="O164" s="122"/>
      <c r="P164" s="119" t="s">
        <v>504</v>
      </c>
    </row>
    <row r="165" spans="1:16" ht="25.95" customHeight="1" x14ac:dyDescent="0.3">
      <c r="A165" s="50" t="s">
        <v>18</v>
      </c>
      <c r="B165" s="50">
        <v>2025</v>
      </c>
      <c r="C165" s="50">
        <v>28</v>
      </c>
      <c r="D165" s="50" t="s">
        <v>139</v>
      </c>
      <c r="E165" s="50" t="s">
        <v>3545</v>
      </c>
      <c r="F165" s="121">
        <f>KOHC!H41</f>
        <v>47955.194787</v>
      </c>
      <c r="G165" s="121">
        <f>KOHC!H128</f>
        <v>183.86129699999998</v>
      </c>
      <c r="H165" s="121">
        <f t="shared" si="4"/>
        <v>260.8226721418157</v>
      </c>
      <c r="I165" s="121">
        <v>47955.194787</v>
      </c>
      <c r="J165" s="121">
        <v>183.86129699999998</v>
      </c>
      <c r="K165" s="121">
        <v>260.8226721418157</v>
      </c>
      <c r="L165" s="127">
        <v>260.8226721418157</v>
      </c>
      <c r="M165" s="127">
        <f>KOHC!H169</f>
        <v>260.8226721418157</v>
      </c>
      <c r="N165" s="128" t="str">
        <f t="shared" si="5"/>
        <v>PASS</v>
      </c>
      <c r="O165" s="68"/>
      <c r="P165" s="50" t="s">
        <v>519</v>
      </c>
    </row>
    <row r="166" spans="1:16" ht="25.95" customHeight="1" x14ac:dyDescent="0.3">
      <c r="A166" s="119" t="s">
        <v>18</v>
      </c>
      <c r="B166" s="119">
        <v>2025</v>
      </c>
      <c r="C166" s="119">
        <v>29</v>
      </c>
      <c r="D166" s="119" t="s">
        <v>162</v>
      </c>
      <c r="E166" s="119" t="s">
        <v>3544</v>
      </c>
      <c r="F166" s="120">
        <f>KOHC!H130</f>
        <v>379.36</v>
      </c>
      <c r="G166" s="120">
        <f>KOHC!H41/KOHC!H128</f>
        <v>260.8226721418157</v>
      </c>
      <c r="H166" s="120">
        <f t="shared" si="4"/>
        <v>1.4544747850514033</v>
      </c>
      <c r="I166" s="120">
        <v>379.36</v>
      </c>
      <c r="J166" s="120">
        <v>260.8226721418157</v>
      </c>
      <c r="K166" s="120">
        <v>1.4544747850514033</v>
      </c>
      <c r="L166" s="125">
        <v>1.4544747850514033</v>
      </c>
      <c r="M166" s="125">
        <f>KOHC!H170</f>
        <v>1.4544747850514033</v>
      </c>
      <c r="N166" s="126" t="str">
        <f t="shared" si="5"/>
        <v>PASS</v>
      </c>
      <c r="O166" s="122"/>
      <c r="P166" s="119" t="s">
        <v>519</v>
      </c>
    </row>
    <row r="167" spans="1:16" ht="25.95" customHeight="1" x14ac:dyDescent="0.3">
      <c r="A167" s="50" t="s">
        <v>18</v>
      </c>
      <c r="B167" s="50">
        <v>2025</v>
      </c>
      <c r="C167" s="50">
        <v>30</v>
      </c>
      <c r="D167" s="50" t="s">
        <v>143</v>
      </c>
      <c r="E167" s="50" t="s">
        <v>3544</v>
      </c>
      <c r="F167" s="121">
        <f>KOHC!H99</f>
        <v>11575.154071000001</v>
      </c>
      <c r="G167" s="121">
        <f>KOHC!H129</f>
        <v>193.42841999999999</v>
      </c>
      <c r="H167" s="121">
        <f t="shared" si="4"/>
        <v>59.842054600869929</v>
      </c>
      <c r="I167" s="121">
        <v>11575.154071000001</v>
      </c>
      <c r="J167" s="121">
        <v>193.42841999999999</v>
      </c>
      <c r="K167" s="121">
        <v>59.842054600869929</v>
      </c>
      <c r="L167" s="127">
        <v>59.842054600869929</v>
      </c>
      <c r="M167" s="127">
        <f>KOHC!H171</f>
        <v>59.842054600869929</v>
      </c>
      <c r="N167" s="128" t="str">
        <f t="shared" si="5"/>
        <v>PASS</v>
      </c>
      <c r="O167" s="68"/>
      <c r="P167" s="50" t="s">
        <v>519</v>
      </c>
    </row>
    <row r="168" spans="1:16" ht="25.95" customHeight="1" x14ac:dyDescent="0.3">
      <c r="A168" s="119" t="s">
        <v>18</v>
      </c>
      <c r="B168" s="119">
        <v>2025</v>
      </c>
      <c r="C168" s="119">
        <v>31</v>
      </c>
      <c r="D168" s="119" t="s">
        <v>952</v>
      </c>
      <c r="E168" s="119" t="s">
        <v>3544</v>
      </c>
      <c r="F168" s="120">
        <f>KOHC!H130</f>
        <v>379.36</v>
      </c>
      <c r="G168" s="120">
        <f>KOHC!H99/KOHC!H129</f>
        <v>59.842054600869929</v>
      </c>
      <c r="H168" s="120">
        <f t="shared" si="4"/>
        <v>6.3393545313613817</v>
      </c>
      <c r="I168" s="120">
        <v>379.36</v>
      </c>
      <c r="J168" s="120">
        <v>59.842054600869929</v>
      </c>
      <c r="K168" s="120">
        <v>6.3393545313613817</v>
      </c>
      <c r="L168" s="125">
        <v>6.3393545313613817</v>
      </c>
      <c r="M168" s="125">
        <f>KOHC!H172</f>
        <v>6.3393545313613817</v>
      </c>
      <c r="N168" s="126" t="str">
        <f t="shared" si="5"/>
        <v>PASS</v>
      </c>
      <c r="O168" s="122"/>
      <c r="P168" s="119" t="s">
        <v>519</v>
      </c>
    </row>
    <row r="169" spans="1:16" ht="25.95" customHeight="1" x14ac:dyDescent="0.3">
      <c r="A169" s="50" t="s">
        <v>18</v>
      </c>
      <c r="B169" s="50">
        <v>2025</v>
      </c>
      <c r="C169" s="50">
        <v>32</v>
      </c>
      <c r="D169" s="50" t="s">
        <v>104</v>
      </c>
      <c r="E169" s="50" t="s">
        <v>3544</v>
      </c>
      <c r="F169" s="121">
        <f>KOHC!H131</f>
        <v>0</v>
      </c>
      <c r="G169" s="121">
        <f>KOHC!H130</f>
        <v>379.36</v>
      </c>
      <c r="H169" s="121">
        <f t="shared" si="4"/>
        <v>0</v>
      </c>
      <c r="I169" s="121">
        <v>0</v>
      </c>
      <c r="J169" s="121">
        <v>379.36</v>
      </c>
      <c r="K169" s="121">
        <v>0</v>
      </c>
      <c r="L169" s="127">
        <v>0</v>
      </c>
      <c r="M169" s="127">
        <f>KOHC!H173</f>
        <v>0</v>
      </c>
      <c r="N169" s="128" t="str">
        <f t="shared" si="5"/>
        <v>PASS</v>
      </c>
      <c r="O169" s="68"/>
      <c r="P169" s="50" t="s">
        <v>519</v>
      </c>
    </row>
    <row r="170" spans="1:16" ht="25.95" customHeight="1" x14ac:dyDescent="0.3">
      <c r="A170" s="119" t="s">
        <v>18</v>
      </c>
      <c r="B170" s="119">
        <v>2025</v>
      </c>
      <c r="C170" s="119">
        <v>33</v>
      </c>
      <c r="D170" s="119" t="s">
        <v>124</v>
      </c>
      <c r="E170" s="119" t="s">
        <v>3545</v>
      </c>
      <c r="F170" s="120">
        <f>KOHC!H131</f>
        <v>0</v>
      </c>
      <c r="G170" s="120">
        <f>KOHC!H99/KOHC!H129</f>
        <v>59.842054600869929</v>
      </c>
      <c r="H170" s="120">
        <f t="shared" si="4"/>
        <v>0</v>
      </c>
      <c r="I170" s="120">
        <v>0</v>
      </c>
      <c r="J170" s="120">
        <v>59.842054600869929</v>
      </c>
      <c r="K170" s="120">
        <v>0</v>
      </c>
      <c r="L170" s="125">
        <v>0</v>
      </c>
      <c r="M170" s="125">
        <f>KOHC!H174</f>
        <v>0</v>
      </c>
      <c r="N170" s="126" t="str">
        <f t="shared" si="5"/>
        <v>PASS</v>
      </c>
      <c r="O170" s="122"/>
      <c r="P170" s="119" t="s">
        <v>519</v>
      </c>
    </row>
    <row r="171" spans="1:16" ht="25.95" customHeight="1" x14ac:dyDescent="0.3">
      <c r="A171" s="50" t="s">
        <v>68</v>
      </c>
      <c r="B171" s="50">
        <v>2021</v>
      </c>
      <c r="C171" s="50">
        <v>1</v>
      </c>
      <c r="D171" s="50" t="s">
        <v>19</v>
      </c>
      <c r="E171" s="50" t="s">
        <v>3544</v>
      </c>
      <c r="F171" s="121">
        <f>LUCK!D36</f>
        <v>40676.368000000002</v>
      </c>
      <c r="G171" s="121">
        <f>LUCK!D61</f>
        <v>30387.065999999995</v>
      </c>
      <c r="H171" s="121">
        <f t="shared" si="4"/>
        <v>1.3386079458938223</v>
      </c>
      <c r="I171" s="121">
        <v>40676.368000000002</v>
      </c>
      <c r="J171" s="121">
        <v>30387.065999999999</v>
      </c>
      <c r="K171" s="121">
        <v>1.3386079458938223</v>
      </c>
      <c r="L171" s="127">
        <v>1.3386079458938223</v>
      </c>
      <c r="M171" s="127">
        <f>LUCK!D138</f>
        <v>1.3386079458938223</v>
      </c>
      <c r="N171" s="128" t="str">
        <f t="shared" si="5"/>
        <v>PASS</v>
      </c>
      <c r="O171" s="68"/>
      <c r="P171" s="50" t="s">
        <v>459</v>
      </c>
    </row>
    <row r="172" spans="1:16" ht="25.95" customHeight="1" x14ac:dyDescent="0.3">
      <c r="A172" s="119" t="s">
        <v>68</v>
      </c>
      <c r="B172" s="119">
        <v>2021</v>
      </c>
      <c r="C172" s="119">
        <v>2</v>
      </c>
      <c r="D172" s="119" t="s">
        <v>30</v>
      </c>
      <c r="E172" s="119" t="s">
        <v>3544</v>
      </c>
      <c r="F172" s="120">
        <f>LUCK!D36-LUCK!D65</f>
        <v>27044.758000000002</v>
      </c>
      <c r="G172" s="120">
        <f>LUCK!D61</f>
        <v>30387.065999999995</v>
      </c>
      <c r="H172" s="120">
        <f t="shared" si="4"/>
        <v>0.89000886100685095</v>
      </c>
      <c r="I172" s="120">
        <v>27044.758000000002</v>
      </c>
      <c r="J172" s="120">
        <v>30387.065999999999</v>
      </c>
      <c r="K172" s="120">
        <v>0.89000886100685084</v>
      </c>
      <c r="L172" s="125">
        <v>0.89000886100685084</v>
      </c>
      <c r="M172" s="125">
        <f>LUCK!D139</f>
        <v>0.89000886100685095</v>
      </c>
      <c r="N172" s="126" t="str">
        <f t="shared" si="5"/>
        <v>PASS</v>
      </c>
      <c r="O172" s="122"/>
      <c r="P172" s="119" t="s">
        <v>459</v>
      </c>
    </row>
    <row r="173" spans="1:16" ht="25.95" customHeight="1" x14ac:dyDescent="0.3">
      <c r="A173" s="50" t="s">
        <v>68</v>
      </c>
      <c r="B173" s="50">
        <v>2021</v>
      </c>
      <c r="C173" s="50">
        <v>3</v>
      </c>
      <c r="D173" s="50" t="s">
        <v>145</v>
      </c>
      <c r="E173" s="50" t="s">
        <v>3544</v>
      </c>
      <c r="F173" s="121">
        <f>LUCK!D34</f>
        <v>2825.424</v>
      </c>
      <c r="G173" s="121">
        <f>LUCK!D61</f>
        <v>30387.065999999995</v>
      </c>
      <c r="H173" s="121">
        <f t="shared" si="4"/>
        <v>9.2981138751599135E-2</v>
      </c>
      <c r="I173" s="121">
        <v>2825.424</v>
      </c>
      <c r="J173" s="121">
        <v>30387.065999999999</v>
      </c>
      <c r="K173" s="121">
        <v>9.2981138751599121E-2</v>
      </c>
      <c r="L173" s="127">
        <v>9.2981138751599121E-2</v>
      </c>
      <c r="M173" s="127">
        <f>LUCK!D140</f>
        <v>9.2981138751599135E-2</v>
      </c>
      <c r="N173" s="128" t="str">
        <f t="shared" si="5"/>
        <v>PASS</v>
      </c>
      <c r="O173" s="68"/>
      <c r="P173" s="50" t="s">
        <v>459</v>
      </c>
    </row>
    <row r="174" spans="1:16" ht="25.95" customHeight="1" x14ac:dyDescent="0.3">
      <c r="A174" s="119" t="s">
        <v>68</v>
      </c>
      <c r="B174" s="119">
        <v>2021</v>
      </c>
      <c r="C174" s="119">
        <v>4</v>
      </c>
      <c r="D174" s="119" t="s">
        <v>201</v>
      </c>
      <c r="E174" s="119" t="s">
        <v>3545</v>
      </c>
      <c r="F174" s="120">
        <f>LUCK!D36-LUCK!D61</f>
        <v>10289.302000000007</v>
      </c>
      <c r="G174" s="120">
        <f>1</f>
        <v>1</v>
      </c>
      <c r="H174" s="120">
        <f t="shared" si="4"/>
        <v>10289.302000000007</v>
      </c>
      <c r="I174" s="120">
        <v>10289.302000000003</v>
      </c>
      <c r="J174" s="120">
        <v>1</v>
      </c>
      <c r="K174" s="120">
        <v>10289.302000000003</v>
      </c>
      <c r="L174" s="125">
        <v>10289.302000000003</v>
      </c>
      <c r="M174" s="125">
        <f>LUCK!D141</f>
        <v>10289.302000000007</v>
      </c>
      <c r="N174" s="126" t="str">
        <f t="shared" si="5"/>
        <v>PASS</v>
      </c>
      <c r="O174" s="122"/>
      <c r="P174" s="119" t="s">
        <v>459</v>
      </c>
    </row>
    <row r="175" spans="1:16" ht="25.95" customHeight="1" x14ac:dyDescent="0.3">
      <c r="A175" s="50" t="s">
        <v>68</v>
      </c>
      <c r="B175" s="50">
        <v>2021</v>
      </c>
      <c r="C175" s="50">
        <v>5</v>
      </c>
      <c r="D175" s="50" t="s">
        <v>923</v>
      </c>
      <c r="E175" s="50" t="s">
        <v>3545</v>
      </c>
      <c r="F175" s="121">
        <f>LUCK!D72-LUCK!D73</f>
        <v>-1081.9909999999945</v>
      </c>
      <c r="G175" s="121">
        <f>1</f>
        <v>1</v>
      </c>
      <c r="H175" s="121">
        <f t="shared" si="4"/>
        <v>-1081.9909999999945</v>
      </c>
      <c r="I175" s="121">
        <v>-1081.9909999999945</v>
      </c>
      <c r="J175" s="121">
        <v>1</v>
      </c>
      <c r="K175" s="121">
        <v>-1081.9909999999945</v>
      </c>
      <c r="L175" s="127" t="s">
        <v>3546</v>
      </c>
      <c r="M175" s="127" t="str">
        <f>LUCK!D142</f>
        <v>n/m</v>
      </c>
      <c r="N175" s="128" t="str">
        <f t="shared" si="5"/>
        <v>PASS</v>
      </c>
      <c r="O175" s="68" t="s">
        <v>3547</v>
      </c>
      <c r="P175" s="50" t="s">
        <v>459</v>
      </c>
    </row>
    <row r="176" spans="1:16" ht="25.95" customHeight="1" x14ac:dyDescent="0.3">
      <c r="A176" s="119" t="s">
        <v>68</v>
      </c>
      <c r="B176" s="119">
        <v>2021</v>
      </c>
      <c r="C176" s="119">
        <v>6</v>
      </c>
      <c r="D176" s="119" t="s">
        <v>31</v>
      </c>
      <c r="E176" s="119" t="s">
        <v>3544</v>
      </c>
      <c r="F176" s="120">
        <f>-LUCK!D85</f>
        <v>43984.873</v>
      </c>
      <c r="G176" s="120">
        <f>AVERAGE(LUCK!C65,LUCK!D65)</f>
        <v>11533.666000000001</v>
      </c>
      <c r="H176" s="120">
        <f t="shared" si="4"/>
        <v>3.8136073127139278</v>
      </c>
      <c r="I176" s="120">
        <v>43984.873</v>
      </c>
      <c r="J176" s="120">
        <v>11533.666000000001</v>
      </c>
      <c r="K176" s="120">
        <v>3.8136073127139278</v>
      </c>
      <c r="L176" s="125">
        <v>3.8136073127139278</v>
      </c>
      <c r="M176" s="125">
        <f>LUCK!D144</f>
        <v>3.8136073127139278</v>
      </c>
      <c r="N176" s="126" t="str">
        <f t="shared" si="5"/>
        <v>PASS</v>
      </c>
      <c r="O176" s="122"/>
      <c r="P176" s="119" t="s">
        <v>471</v>
      </c>
    </row>
    <row r="177" spans="1:16" ht="25.95" customHeight="1" x14ac:dyDescent="0.3">
      <c r="A177" s="50" t="s">
        <v>68</v>
      </c>
      <c r="B177" s="50">
        <v>2021</v>
      </c>
      <c r="C177" s="50">
        <v>7</v>
      </c>
      <c r="D177" s="50" t="s">
        <v>129</v>
      </c>
      <c r="E177" s="50" t="s">
        <v>3545</v>
      </c>
      <c r="F177" s="121">
        <f>LUCK!D84</f>
        <v>62940.805</v>
      </c>
      <c r="G177" s="121">
        <f>AVERAGE(LUCK!C32,LUCK!D32)</f>
        <v>3066.424</v>
      </c>
      <c r="H177" s="121">
        <f t="shared" si="4"/>
        <v>20.525799758937445</v>
      </c>
      <c r="I177" s="121">
        <v>62940.805</v>
      </c>
      <c r="J177" s="121">
        <v>3066.424</v>
      </c>
      <c r="K177" s="121">
        <v>20.525799758937445</v>
      </c>
      <c r="L177" s="127">
        <v>20.525799758937445</v>
      </c>
      <c r="M177" s="127">
        <f>LUCK!D145</f>
        <v>20.525799758937445</v>
      </c>
      <c r="N177" s="128" t="str">
        <f t="shared" si="5"/>
        <v>PASS</v>
      </c>
      <c r="O177" s="68"/>
      <c r="P177" s="50" t="s">
        <v>471</v>
      </c>
    </row>
    <row r="178" spans="1:16" ht="25.95" customHeight="1" x14ac:dyDescent="0.3">
      <c r="A178" s="119" t="s">
        <v>68</v>
      </c>
      <c r="B178" s="119">
        <v>2021</v>
      </c>
      <c r="C178" s="119">
        <v>8</v>
      </c>
      <c r="D178" s="119" t="s">
        <v>133</v>
      </c>
      <c r="E178" s="119" t="s">
        <v>3545</v>
      </c>
      <c r="F178" s="120">
        <f>-LUCK!D85</f>
        <v>43984.873</v>
      </c>
      <c r="G178" s="120">
        <f>AVERAGE(LUCK!C51,LUCK!D51)</f>
        <v>2740.8620000000001</v>
      </c>
      <c r="H178" s="120">
        <f t="shared" si="4"/>
        <v>16.047824735429948</v>
      </c>
      <c r="I178" s="120">
        <v>43984.873</v>
      </c>
      <c r="J178" s="120">
        <v>2740.8620000000001</v>
      </c>
      <c r="K178" s="120">
        <v>16.047824735429948</v>
      </c>
      <c r="L178" s="125">
        <v>16.047824735429948</v>
      </c>
      <c r="M178" s="125">
        <f>LUCK!D146</f>
        <v>16.047824735429948</v>
      </c>
      <c r="N178" s="126" t="str">
        <f t="shared" si="5"/>
        <v>PASS</v>
      </c>
      <c r="O178" s="122"/>
      <c r="P178" s="119" t="s">
        <v>471</v>
      </c>
    </row>
    <row r="179" spans="1:16" ht="25.95" customHeight="1" x14ac:dyDescent="0.3">
      <c r="A179" s="50" t="s">
        <v>68</v>
      </c>
      <c r="B179" s="50">
        <v>2021</v>
      </c>
      <c r="C179" s="50">
        <v>9</v>
      </c>
      <c r="D179" s="50" t="s">
        <v>134</v>
      </c>
      <c r="E179" s="50" t="s">
        <v>3545</v>
      </c>
      <c r="F179" s="121">
        <f>365*AVERAGE(LUCK!C65,LUCK!D65)</f>
        <v>4209788.0900000008</v>
      </c>
      <c r="G179" s="121">
        <f>-LUCK!D85</f>
        <v>43984.873</v>
      </c>
      <c r="H179" s="121">
        <f t="shared" si="4"/>
        <v>95.709906676324849</v>
      </c>
      <c r="I179" s="121">
        <v>4209788.0900000008</v>
      </c>
      <c r="J179" s="121">
        <v>43984.873</v>
      </c>
      <c r="K179" s="121">
        <v>95.709906676324849</v>
      </c>
      <c r="L179" s="127">
        <v>95.709906676324849</v>
      </c>
      <c r="M179" s="127">
        <f>LUCK!D147</f>
        <v>95.709906676324849</v>
      </c>
      <c r="N179" s="128" t="str">
        <f t="shared" si="5"/>
        <v>PASS</v>
      </c>
      <c r="O179" s="68"/>
      <c r="P179" s="50" t="s">
        <v>471</v>
      </c>
    </row>
    <row r="180" spans="1:16" ht="25.95" customHeight="1" x14ac:dyDescent="0.3">
      <c r="A180" s="119" t="s">
        <v>68</v>
      </c>
      <c r="B180" s="119">
        <v>2021</v>
      </c>
      <c r="C180" s="119">
        <v>10</v>
      </c>
      <c r="D180" s="119" t="s">
        <v>187</v>
      </c>
      <c r="E180" s="119" t="s">
        <v>3544</v>
      </c>
      <c r="F180" s="120">
        <f>365*AVERAGE(LUCK!C32,LUCK!D32)</f>
        <v>1119244.76</v>
      </c>
      <c r="G180" s="120">
        <f>LUCK!D84</f>
        <v>62940.805</v>
      </c>
      <c r="H180" s="120">
        <f t="shared" si="4"/>
        <v>17.782498333156049</v>
      </c>
      <c r="I180" s="120">
        <v>1119244.76</v>
      </c>
      <c r="J180" s="120">
        <v>62940.805</v>
      </c>
      <c r="K180" s="120">
        <v>17.782498333156049</v>
      </c>
      <c r="L180" s="125">
        <v>17.782498333156049</v>
      </c>
      <c r="M180" s="125">
        <f>LUCK!D148</f>
        <v>17.782498333156049</v>
      </c>
      <c r="N180" s="126" t="str">
        <f t="shared" si="5"/>
        <v>PASS</v>
      </c>
      <c r="O180" s="122"/>
      <c r="P180" s="119" t="s">
        <v>471</v>
      </c>
    </row>
    <row r="181" spans="1:16" ht="25.95" customHeight="1" x14ac:dyDescent="0.3">
      <c r="A181" s="50" t="s">
        <v>68</v>
      </c>
      <c r="B181" s="50">
        <v>2021</v>
      </c>
      <c r="C181" s="50">
        <v>11</v>
      </c>
      <c r="D181" s="50" t="s">
        <v>190</v>
      </c>
      <c r="E181" s="50" t="s">
        <v>3545</v>
      </c>
      <c r="F181" s="121">
        <f>365*AVERAGE(LUCK!C51,LUCK!D51)</f>
        <v>1000414.63</v>
      </c>
      <c r="G181" s="121">
        <f>-LUCK!D85</f>
        <v>43984.873</v>
      </c>
      <c r="H181" s="121">
        <f t="shared" si="4"/>
        <v>22.744515597441875</v>
      </c>
      <c r="I181" s="121">
        <v>1000414.63</v>
      </c>
      <c r="J181" s="121">
        <v>43984.873</v>
      </c>
      <c r="K181" s="121">
        <v>22.744515597441875</v>
      </c>
      <c r="L181" s="127">
        <v>22.744515597441875</v>
      </c>
      <c r="M181" s="127">
        <f>LUCK!D149</f>
        <v>22.744515597441875</v>
      </c>
      <c r="N181" s="128" t="str">
        <f t="shared" si="5"/>
        <v>PASS</v>
      </c>
      <c r="O181" s="68"/>
      <c r="P181" s="50" t="s">
        <v>471</v>
      </c>
    </row>
    <row r="182" spans="1:16" ht="25.95" customHeight="1" x14ac:dyDescent="0.3">
      <c r="A182" s="119" t="s">
        <v>68</v>
      </c>
      <c r="B182" s="119">
        <v>2021</v>
      </c>
      <c r="C182" s="119">
        <v>12</v>
      </c>
      <c r="D182" s="119" t="s">
        <v>192</v>
      </c>
      <c r="E182" s="119" t="s">
        <v>3545</v>
      </c>
      <c r="F182" s="120">
        <f>365*AVERAGE(LUCK!C65,LUCK!D65)/(-LUCK!D85)+365*AVERAGE(LUCK!C32,LUCK!D32)/LUCK!D84</f>
        <v>113.4924050094809</v>
      </c>
      <c r="G182" s="120">
        <f>1</f>
        <v>1</v>
      </c>
      <c r="H182" s="120">
        <f t="shared" si="4"/>
        <v>113.4924050094809</v>
      </c>
      <c r="I182" s="120">
        <v>113.4924050094809</v>
      </c>
      <c r="J182" s="120">
        <v>1</v>
      </c>
      <c r="K182" s="120">
        <v>113.4924050094809</v>
      </c>
      <c r="L182" s="125">
        <v>113.4924050094809</v>
      </c>
      <c r="M182" s="125">
        <f>LUCK!D150</f>
        <v>113.4924050094809</v>
      </c>
      <c r="N182" s="126" t="str">
        <f t="shared" si="5"/>
        <v>PASS</v>
      </c>
      <c r="O182" s="122"/>
      <c r="P182" s="119" t="s">
        <v>471</v>
      </c>
    </row>
    <row r="183" spans="1:16" ht="25.95" customHeight="1" x14ac:dyDescent="0.3">
      <c r="A183" s="50" t="s">
        <v>68</v>
      </c>
      <c r="B183" s="50">
        <v>2021</v>
      </c>
      <c r="C183" s="50">
        <v>13</v>
      </c>
      <c r="D183" s="50" t="s">
        <v>150</v>
      </c>
      <c r="E183" s="50" t="s">
        <v>3545</v>
      </c>
      <c r="F183" s="121">
        <f>365*AVERAGE(LUCK!C65,LUCK!D65)/(-LUCK!D85)+365*AVERAGE(LUCK!C32,LUCK!D32)/LUCK!D84-365*AVERAGE(LUCK!C51,LUCK!D51)/(-LUCK!D85)</f>
        <v>90.747889412039029</v>
      </c>
      <c r="G183" s="121">
        <f>1</f>
        <v>1</v>
      </c>
      <c r="H183" s="121">
        <f t="shared" si="4"/>
        <v>90.747889412039029</v>
      </c>
      <c r="I183" s="121">
        <v>90.747889412039029</v>
      </c>
      <c r="J183" s="121">
        <v>1</v>
      </c>
      <c r="K183" s="121">
        <v>90.747889412039029</v>
      </c>
      <c r="L183" s="127">
        <v>90.747889412039029</v>
      </c>
      <c r="M183" s="127">
        <f>LUCK!D151</f>
        <v>90.747889412039029</v>
      </c>
      <c r="N183" s="128" t="str">
        <f t="shared" si="5"/>
        <v>PASS</v>
      </c>
      <c r="O183" s="68"/>
      <c r="P183" s="50" t="s">
        <v>471</v>
      </c>
    </row>
    <row r="184" spans="1:16" ht="25.95" customHeight="1" x14ac:dyDescent="0.3">
      <c r="A184" s="119" t="s">
        <v>68</v>
      </c>
      <c r="B184" s="119">
        <v>2021</v>
      </c>
      <c r="C184" s="119">
        <v>14</v>
      </c>
      <c r="D184" s="119" t="s">
        <v>196</v>
      </c>
      <c r="E184" s="119" t="s">
        <v>3544</v>
      </c>
      <c r="F184" s="120">
        <f>LUCK!D84</f>
        <v>62940.805</v>
      </c>
      <c r="G184" s="120">
        <f>AVERAGE(LUCK!C37,LUCK!D37)</f>
        <v>146118.26799999998</v>
      </c>
      <c r="H184" s="120">
        <f t="shared" si="4"/>
        <v>0.43075247100519976</v>
      </c>
      <c r="I184" s="120">
        <v>62940.805</v>
      </c>
      <c r="J184" s="120">
        <v>146118.26799999998</v>
      </c>
      <c r="K184" s="120">
        <v>0.43075247100519976</v>
      </c>
      <c r="L184" s="125">
        <v>0.43075247100519976</v>
      </c>
      <c r="M184" s="125">
        <f>LUCK!D152</f>
        <v>0.43075247100519976</v>
      </c>
      <c r="N184" s="126" t="str">
        <f t="shared" si="5"/>
        <v>PASS</v>
      </c>
      <c r="O184" s="122"/>
      <c r="P184" s="119" t="s">
        <v>471</v>
      </c>
    </row>
    <row r="185" spans="1:16" ht="25.95" customHeight="1" x14ac:dyDescent="0.3">
      <c r="A185" s="50" t="s">
        <v>68</v>
      </c>
      <c r="B185" s="50">
        <v>2021</v>
      </c>
      <c r="C185" s="50">
        <v>15</v>
      </c>
      <c r="D185" s="50" t="s">
        <v>199</v>
      </c>
      <c r="E185" s="50" t="s">
        <v>3544</v>
      </c>
      <c r="F185" s="121">
        <f>LUCK!D84</f>
        <v>62940.805</v>
      </c>
      <c r="G185" s="121">
        <f>AVERAGE(LUCK!C22,LUCK!D22)</f>
        <v>59144.141000000003</v>
      </c>
      <c r="H185" s="121">
        <f t="shared" si="4"/>
        <v>1.0641934084392231</v>
      </c>
      <c r="I185" s="121">
        <v>62940.805</v>
      </c>
      <c r="J185" s="121">
        <v>59144.141000000003</v>
      </c>
      <c r="K185" s="121">
        <v>1.0641934084392231</v>
      </c>
      <c r="L185" s="127">
        <v>1.0641934084392231</v>
      </c>
      <c r="M185" s="127">
        <f>LUCK!D153</f>
        <v>1.0641934084392231</v>
      </c>
      <c r="N185" s="128" t="str">
        <f t="shared" si="5"/>
        <v>PASS</v>
      </c>
      <c r="O185" s="68"/>
      <c r="P185" s="50" t="s">
        <v>471</v>
      </c>
    </row>
    <row r="186" spans="1:16" ht="25.95" customHeight="1" x14ac:dyDescent="0.3">
      <c r="A186" s="119" t="s">
        <v>68</v>
      </c>
      <c r="B186" s="119">
        <v>2021</v>
      </c>
      <c r="C186" s="119">
        <v>16</v>
      </c>
      <c r="D186" s="119" t="s">
        <v>932</v>
      </c>
      <c r="E186" s="119" t="s">
        <v>3544</v>
      </c>
      <c r="F186" s="120">
        <f>LUCK!D62</f>
        <v>43167.803999999996</v>
      </c>
      <c r="G186" s="120">
        <f>LUCK!D37</f>
        <v>156368.06200000001</v>
      </c>
      <c r="H186" s="120">
        <f t="shared" si="4"/>
        <v>0.27606535150381284</v>
      </c>
      <c r="I186" s="120">
        <v>43167.804000000004</v>
      </c>
      <c r="J186" s="120">
        <v>156368.06200000001</v>
      </c>
      <c r="K186" s="120">
        <v>0.27606535150381284</v>
      </c>
      <c r="L186" s="125">
        <v>0.27606535150381284</v>
      </c>
      <c r="M186" s="125">
        <f>LUCK!D155</f>
        <v>0.27606535150381284</v>
      </c>
      <c r="N186" s="126" t="str">
        <f t="shared" si="5"/>
        <v>PASS</v>
      </c>
      <c r="O186" s="122"/>
      <c r="P186" s="119" t="s">
        <v>493</v>
      </c>
    </row>
    <row r="187" spans="1:16" ht="25.95" customHeight="1" x14ac:dyDescent="0.3">
      <c r="A187" s="50" t="s">
        <v>68</v>
      </c>
      <c r="B187" s="50">
        <v>2021</v>
      </c>
      <c r="C187" s="50">
        <v>17</v>
      </c>
      <c r="D187" s="50" t="s">
        <v>151</v>
      </c>
      <c r="E187" s="50" t="s">
        <v>3544</v>
      </c>
      <c r="F187" s="121">
        <f>LUCK!D62</f>
        <v>43167.803999999996</v>
      </c>
      <c r="G187" s="121">
        <f>LUCK!D41</f>
        <v>113200.258</v>
      </c>
      <c r="H187" s="121">
        <f t="shared" si="4"/>
        <v>0.38134015560282553</v>
      </c>
      <c r="I187" s="121">
        <v>43167.804000000004</v>
      </c>
      <c r="J187" s="121">
        <v>113200.258</v>
      </c>
      <c r="K187" s="121">
        <v>0.38134015560282558</v>
      </c>
      <c r="L187" s="127">
        <v>0.38134015560282558</v>
      </c>
      <c r="M187" s="127">
        <f>LUCK!D156</f>
        <v>0.38134015560282553</v>
      </c>
      <c r="N187" s="128" t="str">
        <f t="shared" si="5"/>
        <v>PASS</v>
      </c>
      <c r="O187" s="68"/>
      <c r="P187" s="50" t="s">
        <v>493</v>
      </c>
    </row>
    <row r="188" spans="1:16" ht="25.95" customHeight="1" x14ac:dyDescent="0.3">
      <c r="A188" s="119" t="s">
        <v>68</v>
      </c>
      <c r="B188" s="119">
        <v>2021</v>
      </c>
      <c r="C188" s="119">
        <v>18</v>
      </c>
      <c r="D188" s="119" t="s">
        <v>935</v>
      </c>
      <c r="E188" s="119" t="s">
        <v>3545</v>
      </c>
      <c r="F188" s="120">
        <f>LUCK!D66</f>
        <v>10490.951999999999</v>
      </c>
      <c r="G188" s="120">
        <f>LUCK!D66+LUCK!D41</f>
        <v>123691.21</v>
      </c>
      <c r="H188" s="120">
        <f t="shared" si="4"/>
        <v>8.4815663134025443E-2</v>
      </c>
      <c r="I188" s="120">
        <v>10490.951999999999</v>
      </c>
      <c r="J188" s="120">
        <v>123691.21</v>
      </c>
      <c r="K188" s="120">
        <v>8.4815663134025443E-2</v>
      </c>
      <c r="L188" s="125">
        <v>8.4815663134025443E-2</v>
      </c>
      <c r="M188" s="125">
        <f>LUCK!D157</f>
        <v>8.4815663134025443E-2</v>
      </c>
      <c r="N188" s="126" t="str">
        <f t="shared" si="5"/>
        <v>PASS</v>
      </c>
      <c r="O188" s="122"/>
      <c r="P188" s="119" t="s">
        <v>493</v>
      </c>
    </row>
    <row r="189" spans="1:16" ht="25.95" customHeight="1" x14ac:dyDescent="0.3">
      <c r="A189" s="50" t="s">
        <v>68</v>
      </c>
      <c r="B189" s="50">
        <v>2021</v>
      </c>
      <c r="C189" s="50">
        <v>19</v>
      </c>
      <c r="D189" s="50" t="s">
        <v>936</v>
      </c>
      <c r="E189" s="50" t="s">
        <v>3545</v>
      </c>
      <c r="F189" s="121">
        <f>LUCK!D67</f>
        <v>2934.0439999999999</v>
      </c>
      <c r="G189" s="121">
        <f>LUCK!D37</f>
        <v>156368.06200000001</v>
      </c>
      <c r="H189" s="121">
        <f t="shared" si="4"/>
        <v>1.8763703805448454E-2</v>
      </c>
      <c r="I189" s="121">
        <v>2934.0439999999999</v>
      </c>
      <c r="J189" s="121">
        <v>156368.06200000001</v>
      </c>
      <c r="K189" s="121">
        <v>1.8763703805448454E-2</v>
      </c>
      <c r="L189" s="127">
        <v>1.8763703805448454E-2</v>
      </c>
      <c r="M189" s="127">
        <f>LUCK!D158</f>
        <v>1.8763703805448454E-2</v>
      </c>
      <c r="N189" s="128" t="str">
        <f t="shared" si="5"/>
        <v>PASS</v>
      </c>
      <c r="O189" s="68"/>
      <c r="P189" s="50" t="s">
        <v>493</v>
      </c>
    </row>
    <row r="190" spans="1:16" ht="25.95" customHeight="1" x14ac:dyDescent="0.3">
      <c r="A190" s="119" t="s">
        <v>68</v>
      </c>
      <c r="B190" s="119">
        <v>2021</v>
      </c>
      <c r="C190" s="119">
        <v>20</v>
      </c>
      <c r="D190" s="119" t="s">
        <v>938</v>
      </c>
      <c r="E190" s="119" t="s">
        <v>3544</v>
      </c>
      <c r="F190" s="120">
        <f>LUCK!D108</f>
        <v>17325.118000000002</v>
      </c>
      <c r="G190" s="120">
        <f>LUCK!D106</f>
        <v>332.90499999999997</v>
      </c>
      <c r="H190" s="120">
        <f t="shared" si="4"/>
        <v>52.042228263318378</v>
      </c>
      <c r="I190" s="120">
        <v>17325.118000000002</v>
      </c>
      <c r="J190" s="120">
        <v>332.90499999999997</v>
      </c>
      <c r="K190" s="120">
        <v>52.042228263318378</v>
      </c>
      <c r="L190" s="125">
        <v>52.042228263318378</v>
      </c>
      <c r="M190" s="125">
        <f>LUCK!D159</f>
        <v>52.042228263318378</v>
      </c>
      <c r="N190" s="126" t="str">
        <f t="shared" si="5"/>
        <v>PASS</v>
      </c>
      <c r="O190" s="122"/>
      <c r="P190" s="119" t="s">
        <v>493</v>
      </c>
    </row>
    <row r="191" spans="1:16" ht="25.95" customHeight="1" x14ac:dyDescent="0.3">
      <c r="A191" s="50" t="s">
        <v>68</v>
      </c>
      <c r="B191" s="50">
        <v>2021</v>
      </c>
      <c r="C191" s="50">
        <v>21</v>
      </c>
      <c r="D191" s="50" t="s">
        <v>154</v>
      </c>
      <c r="E191" s="50" t="s">
        <v>3544</v>
      </c>
      <c r="F191" s="121">
        <f>LUCK!D86</f>
        <v>18955.932000000001</v>
      </c>
      <c r="G191" s="121">
        <f>LUCK!D84</f>
        <v>62940.805</v>
      </c>
      <c r="H191" s="121">
        <f t="shared" si="4"/>
        <v>0.30117079055471246</v>
      </c>
      <c r="I191" s="121">
        <v>18955.932000000001</v>
      </c>
      <c r="J191" s="121">
        <v>62940.805</v>
      </c>
      <c r="K191" s="121">
        <v>0.30117079055471246</v>
      </c>
      <c r="L191" s="127">
        <v>0.30117079055471246</v>
      </c>
      <c r="M191" s="127">
        <f>LUCK!D161</f>
        <v>0.30117079055471246</v>
      </c>
      <c r="N191" s="128" t="str">
        <f t="shared" si="5"/>
        <v>PASS</v>
      </c>
      <c r="O191" s="68"/>
      <c r="P191" s="50" t="s">
        <v>504</v>
      </c>
    </row>
    <row r="192" spans="1:16" ht="25.95" customHeight="1" x14ac:dyDescent="0.3">
      <c r="A192" s="119" t="s">
        <v>68</v>
      </c>
      <c r="B192" s="119">
        <v>2021</v>
      </c>
      <c r="C192" s="119">
        <v>22</v>
      </c>
      <c r="D192" s="119" t="s">
        <v>942</v>
      </c>
      <c r="E192" s="119" t="s">
        <v>3544</v>
      </c>
      <c r="F192" s="120">
        <f>LUCK!D91</f>
        <v>11332.089</v>
      </c>
      <c r="G192" s="120">
        <f>LUCK!D84</f>
        <v>62940.805</v>
      </c>
      <c r="H192" s="120">
        <f t="shared" si="4"/>
        <v>0.18004359810777762</v>
      </c>
      <c r="I192" s="120">
        <v>11332.089000000002</v>
      </c>
      <c r="J192" s="120">
        <v>62940.805</v>
      </c>
      <c r="K192" s="120">
        <v>0.18004359810777765</v>
      </c>
      <c r="L192" s="125">
        <v>0.18004359810777765</v>
      </c>
      <c r="M192" s="125">
        <f>LUCK!D162</f>
        <v>0.18004359810777762</v>
      </c>
      <c r="N192" s="126" t="str">
        <f t="shared" si="5"/>
        <v>PASS</v>
      </c>
      <c r="O192" s="122"/>
      <c r="P192" s="119" t="s">
        <v>504</v>
      </c>
    </row>
    <row r="193" spans="1:16" ht="25.95" customHeight="1" x14ac:dyDescent="0.3">
      <c r="A193" s="50" t="s">
        <v>68</v>
      </c>
      <c r="B193" s="50">
        <v>2021</v>
      </c>
      <c r="C193" s="50">
        <v>23</v>
      </c>
      <c r="D193" s="50" t="s">
        <v>155</v>
      </c>
      <c r="E193" s="50" t="s">
        <v>3544</v>
      </c>
      <c r="F193" s="121">
        <f>LUCK!D99</f>
        <v>14070.189000000004</v>
      </c>
      <c r="G193" s="121">
        <f>LUCK!D84</f>
        <v>62940.805</v>
      </c>
      <c r="H193" s="121">
        <f t="shared" si="4"/>
        <v>0.22354637821997994</v>
      </c>
      <c r="I193" s="121">
        <v>14070.189000000004</v>
      </c>
      <c r="J193" s="121">
        <v>62940.805</v>
      </c>
      <c r="K193" s="121">
        <v>0.22354637821997994</v>
      </c>
      <c r="L193" s="127">
        <v>0.22354637821997994</v>
      </c>
      <c r="M193" s="127">
        <f>LUCK!D163</f>
        <v>0.22354637821997994</v>
      </c>
      <c r="N193" s="128" t="str">
        <f t="shared" si="5"/>
        <v>PASS</v>
      </c>
      <c r="O193" s="68"/>
      <c r="P193" s="50" t="s">
        <v>504</v>
      </c>
    </row>
    <row r="194" spans="1:16" ht="25.95" customHeight="1" x14ac:dyDescent="0.3">
      <c r="A194" s="119" t="s">
        <v>68</v>
      </c>
      <c r="B194" s="119">
        <v>2021</v>
      </c>
      <c r="C194" s="119">
        <v>24</v>
      </c>
      <c r="D194" s="119" t="s">
        <v>136</v>
      </c>
      <c r="E194" s="119" t="s">
        <v>3544</v>
      </c>
      <c r="F194" s="120">
        <f>LUCK!D99</f>
        <v>14070.189000000004</v>
      </c>
      <c r="G194" s="120">
        <f>AVERAGE(LUCK!C37,LUCK!D37)</f>
        <v>146118.26799999998</v>
      </c>
      <c r="H194" s="120">
        <f t="shared" si="4"/>
        <v>9.6293154802519321E-2</v>
      </c>
      <c r="I194" s="120">
        <v>14070.189000000004</v>
      </c>
      <c r="J194" s="120">
        <v>146118.26799999998</v>
      </c>
      <c r="K194" s="120">
        <v>9.6293154802519321E-2</v>
      </c>
      <c r="L194" s="125">
        <v>9.6293154802519321E-2</v>
      </c>
      <c r="M194" s="125">
        <f>LUCK!D164</f>
        <v>9.6293154802519321E-2</v>
      </c>
      <c r="N194" s="126" t="str">
        <f t="shared" si="5"/>
        <v>PASS</v>
      </c>
      <c r="O194" s="122"/>
      <c r="P194" s="119" t="s">
        <v>504</v>
      </c>
    </row>
    <row r="195" spans="1:16" ht="25.95" customHeight="1" x14ac:dyDescent="0.3">
      <c r="A195" s="50" t="s">
        <v>68</v>
      </c>
      <c r="B195" s="50">
        <v>2021</v>
      </c>
      <c r="C195" s="50">
        <v>25</v>
      </c>
      <c r="D195" s="50" t="s">
        <v>53</v>
      </c>
      <c r="E195" s="50" t="s">
        <v>3544</v>
      </c>
      <c r="F195" s="121">
        <f>LUCK!D99</f>
        <v>14070.189000000004</v>
      </c>
      <c r="G195" s="121">
        <f>AVERAGE(LUCK!C41,LUCK!D41)</f>
        <v>106192.0595</v>
      </c>
      <c r="H195" s="121">
        <f t="shared" si="4"/>
        <v>0.13249756211762712</v>
      </c>
      <c r="I195" s="121">
        <v>14070.189000000004</v>
      </c>
      <c r="J195" s="121">
        <v>106192.0595</v>
      </c>
      <c r="K195" s="121">
        <v>0.13249756211762712</v>
      </c>
      <c r="L195" s="127">
        <v>0.13249756211762712</v>
      </c>
      <c r="M195" s="127">
        <f>LUCK!D165</f>
        <v>0.13249756211762712</v>
      </c>
      <c r="N195" s="128" t="str">
        <f t="shared" si="5"/>
        <v>PASS</v>
      </c>
      <c r="O195" s="68"/>
      <c r="P195" s="50" t="s">
        <v>504</v>
      </c>
    </row>
    <row r="196" spans="1:16" ht="25.95" customHeight="1" x14ac:dyDescent="0.3">
      <c r="A196" s="119" t="s">
        <v>68</v>
      </c>
      <c r="B196" s="119">
        <v>2021</v>
      </c>
      <c r="C196" s="119">
        <v>26</v>
      </c>
      <c r="D196" s="119" t="s">
        <v>944</v>
      </c>
      <c r="E196" s="119" t="s">
        <v>3545</v>
      </c>
      <c r="F196" s="120">
        <f>LUCK!D113</f>
        <v>14345.846812731341</v>
      </c>
      <c r="G196" s="120">
        <f>AVERAGE(LUCK!C70,LUCK!D70)</f>
        <v>115626.8515</v>
      </c>
      <c r="H196" s="120">
        <f t="shared" si="4"/>
        <v>0.12407020191785936</v>
      </c>
      <c r="I196" s="120">
        <v>14345.846812731341</v>
      </c>
      <c r="J196" s="120">
        <v>115626.8515</v>
      </c>
      <c r="K196" s="120">
        <v>0.12407020191785936</v>
      </c>
      <c r="L196" s="125">
        <v>0.12407020191785936</v>
      </c>
      <c r="M196" s="125">
        <f>LUCK!D166</f>
        <v>0.12407020191785936</v>
      </c>
      <c r="N196" s="126" t="str">
        <f t="shared" si="5"/>
        <v>PASS</v>
      </c>
      <c r="O196" s="122"/>
      <c r="P196" s="119" t="s">
        <v>504</v>
      </c>
    </row>
    <row r="197" spans="1:16" ht="25.95" customHeight="1" x14ac:dyDescent="0.3">
      <c r="A197" s="50" t="s">
        <v>68</v>
      </c>
      <c r="B197" s="50">
        <v>2021</v>
      </c>
      <c r="C197" s="50">
        <v>27</v>
      </c>
      <c r="D197" s="50" t="s">
        <v>945</v>
      </c>
      <c r="E197" s="50" t="s">
        <v>3545</v>
      </c>
      <c r="F197" s="121">
        <f>LUCK!D108</f>
        <v>17325.118000000002</v>
      </c>
      <c r="G197" s="121">
        <f>AVERAGE(LUCK!C37,LUCK!D37)</f>
        <v>146118.26799999998</v>
      </c>
      <c r="H197" s="121">
        <f t="shared" si="4"/>
        <v>0.11856914427701815</v>
      </c>
      <c r="I197" s="121">
        <v>17325.118000000002</v>
      </c>
      <c r="J197" s="121">
        <v>146118.26799999998</v>
      </c>
      <c r="K197" s="121">
        <v>0.11856914427701815</v>
      </c>
      <c r="L197" s="127">
        <v>0.11856914427701815</v>
      </c>
      <c r="M197" s="127">
        <f>LUCK!D167</f>
        <v>0.11856914427701815</v>
      </c>
      <c r="N197" s="128" t="str">
        <f t="shared" si="5"/>
        <v>PASS</v>
      </c>
      <c r="O197" s="68"/>
      <c r="P197" s="50" t="s">
        <v>504</v>
      </c>
    </row>
    <row r="198" spans="1:16" ht="25.95" customHeight="1" x14ac:dyDescent="0.3">
      <c r="A198" s="119" t="s">
        <v>68</v>
      </c>
      <c r="B198" s="119">
        <v>2021</v>
      </c>
      <c r="C198" s="119">
        <v>28</v>
      </c>
      <c r="D198" s="119" t="s">
        <v>139</v>
      </c>
      <c r="E198" s="119" t="s">
        <v>3545</v>
      </c>
      <c r="F198" s="120">
        <f>LUCK!D41</f>
        <v>113200.258</v>
      </c>
      <c r="G198" s="120">
        <f>LUCK!D128</f>
        <v>323.375</v>
      </c>
      <c r="H198" s="120">
        <f t="shared" ref="H198:H261" si="6">IF(G198&lt;=0,"n/m",F198/G198)</f>
        <v>350.05878005411677</v>
      </c>
      <c r="I198" s="120">
        <v>113200.258</v>
      </c>
      <c r="J198" s="120">
        <v>323.375</v>
      </c>
      <c r="K198" s="120">
        <v>350.05878005411677</v>
      </c>
      <c r="L198" s="125">
        <v>350.05878005411677</v>
      </c>
      <c r="M198" s="125">
        <f>LUCK!D169</f>
        <v>350.05878005411677</v>
      </c>
      <c r="N198" s="126" t="str">
        <f t="shared" ref="N198:N261" si="7">IF(AND(ABS(F198-I198)&lt;0.000001,ABS(G198-J198)&lt;0.000001,IF(ISNUMBER(L198),IF(ISNUMBER(M198),ABS(L198-M198)&lt;0.00000001,FALSE),M198=L198)),"PASS","FAIL")</f>
        <v>PASS</v>
      </c>
      <c r="O198" s="122"/>
      <c r="P198" s="119" t="s">
        <v>519</v>
      </c>
    </row>
    <row r="199" spans="1:16" ht="25.95" customHeight="1" x14ac:dyDescent="0.3">
      <c r="A199" s="50" t="s">
        <v>68</v>
      </c>
      <c r="B199" s="50">
        <v>2021</v>
      </c>
      <c r="C199" s="50">
        <v>29</v>
      </c>
      <c r="D199" s="50" t="s">
        <v>162</v>
      </c>
      <c r="E199" s="50" t="s">
        <v>3544</v>
      </c>
      <c r="F199" s="121">
        <f>LUCK!D130</f>
        <v>863.44</v>
      </c>
      <c r="G199" s="121">
        <f>LUCK!D41/LUCK!D128</f>
        <v>350.05878005411677</v>
      </c>
      <c r="H199" s="121">
        <f t="shared" si="6"/>
        <v>2.4665571875286716</v>
      </c>
      <c r="I199" s="121">
        <v>863.44</v>
      </c>
      <c r="J199" s="121">
        <v>350.05878005411677</v>
      </c>
      <c r="K199" s="121">
        <v>2.4665571875286716</v>
      </c>
      <c r="L199" s="127">
        <v>2.4665571875286716</v>
      </c>
      <c r="M199" s="127">
        <f>LUCK!D170</f>
        <v>2.4665571875286716</v>
      </c>
      <c r="N199" s="128" t="str">
        <f t="shared" si="7"/>
        <v>PASS</v>
      </c>
      <c r="O199" s="68"/>
      <c r="P199" s="50" t="s">
        <v>519</v>
      </c>
    </row>
    <row r="200" spans="1:16" ht="25.95" customHeight="1" x14ac:dyDescent="0.3">
      <c r="A200" s="119" t="s">
        <v>68</v>
      </c>
      <c r="B200" s="119">
        <v>2021</v>
      </c>
      <c r="C200" s="119">
        <v>30</v>
      </c>
      <c r="D200" s="119" t="s">
        <v>143</v>
      </c>
      <c r="E200" s="119" t="s">
        <v>3544</v>
      </c>
      <c r="F200" s="120">
        <f>LUCK!D99</f>
        <v>14070.189000000004</v>
      </c>
      <c r="G200" s="120">
        <f>LUCK!D129</f>
        <v>323.375</v>
      </c>
      <c r="H200" s="120">
        <f t="shared" si="6"/>
        <v>43.510441437959038</v>
      </c>
      <c r="I200" s="120">
        <v>14070.189000000004</v>
      </c>
      <c r="J200" s="120">
        <v>323.375</v>
      </c>
      <c r="K200" s="120">
        <v>43.510441437959038</v>
      </c>
      <c r="L200" s="125">
        <v>43.510441437959038</v>
      </c>
      <c r="M200" s="125">
        <f>LUCK!D171</f>
        <v>43.510441437959038</v>
      </c>
      <c r="N200" s="126" t="str">
        <f t="shared" si="7"/>
        <v>PASS</v>
      </c>
      <c r="O200" s="122"/>
      <c r="P200" s="119" t="s">
        <v>519</v>
      </c>
    </row>
    <row r="201" spans="1:16" ht="25.95" customHeight="1" x14ac:dyDescent="0.3">
      <c r="A201" s="50" t="s">
        <v>68</v>
      </c>
      <c r="B201" s="50">
        <v>2021</v>
      </c>
      <c r="C201" s="50">
        <v>31</v>
      </c>
      <c r="D201" s="50" t="s">
        <v>952</v>
      </c>
      <c r="E201" s="50" t="s">
        <v>3544</v>
      </c>
      <c r="F201" s="121">
        <f>LUCK!D130</f>
        <v>863.44</v>
      </c>
      <c r="G201" s="121">
        <f>LUCK!D99/LUCK!D129</f>
        <v>43.510441437959038</v>
      </c>
      <c r="H201" s="121">
        <f t="shared" si="6"/>
        <v>19.844432082610968</v>
      </c>
      <c r="I201" s="121">
        <v>863.44</v>
      </c>
      <c r="J201" s="121">
        <v>43.510441437959038</v>
      </c>
      <c r="K201" s="121">
        <v>19.844432082610968</v>
      </c>
      <c r="L201" s="127">
        <v>19.844432082610968</v>
      </c>
      <c r="M201" s="127">
        <f>LUCK!D172</f>
        <v>19.844432082610968</v>
      </c>
      <c r="N201" s="128" t="str">
        <f t="shared" si="7"/>
        <v>PASS</v>
      </c>
      <c r="O201" s="68"/>
      <c r="P201" s="50" t="s">
        <v>519</v>
      </c>
    </row>
    <row r="202" spans="1:16" ht="25.95" customHeight="1" x14ac:dyDescent="0.3">
      <c r="A202" s="119" t="s">
        <v>68</v>
      </c>
      <c r="B202" s="119">
        <v>2021</v>
      </c>
      <c r="C202" s="119">
        <v>32</v>
      </c>
      <c r="D202" s="119" t="s">
        <v>104</v>
      </c>
      <c r="E202" s="119" t="s">
        <v>3544</v>
      </c>
      <c r="F202" s="120">
        <f>LUCK!D131</f>
        <v>0</v>
      </c>
      <c r="G202" s="120">
        <f>LUCK!D130</f>
        <v>863.44</v>
      </c>
      <c r="H202" s="120">
        <f t="shared" si="6"/>
        <v>0</v>
      </c>
      <c r="I202" s="120">
        <v>0</v>
      </c>
      <c r="J202" s="120">
        <v>863.44</v>
      </c>
      <c r="K202" s="120">
        <v>0</v>
      </c>
      <c r="L202" s="125">
        <v>0</v>
      </c>
      <c r="M202" s="125">
        <f>LUCK!D173</f>
        <v>0</v>
      </c>
      <c r="N202" s="126" t="str">
        <f t="shared" si="7"/>
        <v>PASS</v>
      </c>
      <c r="O202" s="122"/>
      <c r="P202" s="119" t="s">
        <v>519</v>
      </c>
    </row>
    <row r="203" spans="1:16" ht="25.95" customHeight="1" x14ac:dyDescent="0.3">
      <c r="A203" s="50" t="s">
        <v>68</v>
      </c>
      <c r="B203" s="50">
        <v>2021</v>
      </c>
      <c r="C203" s="50">
        <v>33</v>
      </c>
      <c r="D203" s="50" t="s">
        <v>124</v>
      </c>
      <c r="E203" s="50" t="s">
        <v>3545</v>
      </c>
      <c r="F203" s="121">
        <f>LUCK!D131</f>
        <v>0</v>
      </c>
      <c r="G203" s="121">
        <f>LUCK!D99/LUCK!D129</f>
        <v>43.510441437959038</v>
      </c>
      <c r="H203" s="121">
        <f t="shared" si="6"/>
        <v>0</v>
      </c>
      <c r="I203" s="121">
        <v>0</v>
      </c>
      <c r="J203" s="121">
        <v>43.510441437959038</v>
      </c>
      <c r="K203" s="121">
        <v>0</v>
      </c>
      <c r="L203" s="127">
        <v>0</v>
      </c>
      <c r="M203" s="127">
        <f>LUCK!D174</f>
        <v>0</v>
      </c>
      <c r="N203" s="128" t="str">
        <f t="shared" si="7"/>
        <v>PASS</v>
      </c>
      <c r="O203" s="68"/>
      <c r="P203" s="50" t="s">
        <v>519</v>
      </c>
    </row>
    <row r="204" spans="1:16" ht="25.95" customHeight="1" x14ac:dyDescent="0.3">
      <c r="A204" s="119" t="s">
        <v>68</v>
      </c>
      <c r="B204" s="119">
        <v>2022</v>
      </c>
      <c r="C204" s="119">
        <v>1</v>
      </c>
      <c r="D204" s="119" t="s">
        <v>19</v>
      </c>
      <c r="E204" s="119" t="s">
        <v>3544</v>
      </c>
      <c r="F204" s="120">
        <f>LUCK!E36</f>
        <v>44815.691000000006</v>
      </c>
      <c r="G204" s="120">
        <f>LUCK!E61</f>
        <v>30361.358</v>
      </c>
      <c r="H204" s="120">
        <f t="shared" si="6"/>
        <v>1.4760766300374313</v>
      </c>
      <c r="I204" s="120">
        <v>44815.690999999999</v>
      </c>
      <c r="J204" s="120">
        <v>30361.358</v>
      </c>
      <c r="K204" s="120">
        <v>1.4760766300374311</v>
      </c>
      <c r="L204" s="125">
        <v>1.4760766300374311</v>
      </c>
      <c r="M204" s="125">
        <f>LUCK!E138</f>
        <v>1.4760766300374313</v>
      </c>
      <c r="N204" s="126" t="str">
        <f t="shared" si="7"/>
        <v>PASS</v>
      </c>
      <c r="O204" s="122"/>
      <c r="P204" s="119" t="s">
        <v>459</v>
      </c>
    </row>
    <row r="205" spans="1:16" ht="25.95" customHeight="1" x14ac:dyDescent="0.3">
      <c r="A205" s="50" t="s">
        <v>68</v>
      </c>
      <c r="B205" s="50">
        <v>2022</v>
      </c>
      <c r="C205" s="50">
        <v>2</v>
      </c>
      <c r="D205" s="50" t="s">
        <v>30</v>
      </c>
      <c r="E205" s="50" t="s">
        <v>3544</v>
      </c>
      <c r="F205" s="121">
        <f>LUCK!E36-LUCK!E65</f>
        <v>26437.484000000004</v>
      </c>
      <c r="G205" s="121">
        <f>LUCK!E61</f>
        <v>30361.358</v>
      </c>
      <c r="H205" s="121">
        <f t="shared" si="6"/>
        <v>0.87076091919208631</v>
      </c>
      <c r="I205" s="121">
        <v>26437.483999999997</v>
      </c>
      <c r="J205" s="121">
        <v>30361.358</v>
      </c>
      <c r="K205" s="121">
        <v>0.87076091919208609</v>
      </c>
      <c r="L205" s="127">
        <v>0.87076091919208609</v>
      </c>
      <c r="M205" s="127">
        <f>LUCK!E139</f>
        <v>0.87076091919208631</v>
      </c>
      <c r="N205" s="128" t="str">
        <f t="shared" si="7"/>
        <v>PASS</v>
      </c>
      <c r="O205" s="68"/>
      <c r="P205" s="50" t="s">
        <v>459</v>
      </c>
    </row>
    <row r="206" spans="1:16" ht="25.95" customHeight="1" x14ac:dyDescent="0.3">
      <c r="A206" s="119" t="s">
        <v>68</v>
      </c>
      <c r="B206" s="119">
        <v>2022</v>
      </c>
      <c r="C206" s="119">
        <v>3</v>
      </c>
      <c r="D206" s="119" t="s">
        <v>145</v>
      </c>
      <c r="E206" s="119" t="s">
        <v>3544</v>
      </c>
      <c r="F206" s="120">
        <f>LUCK!E34</f>
        <v>3871.078</v>
      </c>
      <c r="G206" s="120">
        <f>LUCK!E61</f>
        <v>30361.358</v>
      </c>
      <c r="H206" s="120">
        <f t="shared" si="6"/>
        <v>0.12750015990720837</v>
      </c>
      <c r="I206" s="120">
        <v>3871.078</v>
      </c>
      <c r="J206" s="120">
        <v>30361.358</v>
      </c>
      <c r="K206" s="120">
        <v>0.12750015990720837</v>
      </c>
      <c r="L206" s="125">
        <v>0.12750015990720837</v>
      </c>
      <c r="M206" s="125">
        <f>LUCK!E140</f>
        <v>0.12750015990720837</v>
      </c>
      <c r="N206" s="126" t="str">
        <f t="shared" si="7"/>
        <v>PASS</v>
      </c>
      <c r="O206" s="122"/>
      <c r="P206" s="119" t="s">
        <v>459</v>
      </c>
    </row>
    <row r="207" spans="1:16" ht="25.95" customHeight="1" x14ac:dyDescent="0.3">
      <c r="A207" s="50" t="s">
        <v>68</v>
      </c>
      <c r="B207" s="50">
        <v>2022</v>
      </c>
      <c r="C207" s="50">
        <v>4</v>
      </c>
      <c r="D207" s="50" t="s">
        <v>201</v>
      </c>
      <c r="E207" s="50" t="s">
        <v>3545</v>
      </c>
      <c r="F207" s="121">
        <f>LUCK!E36-LUCK!E61</f>
        <v>14454.333000000006</v>
      </c>
      <c r="G207" s="121">
        <f>1</f>
        <v>1</v>
      </c>
      <c r="H207" s="121">
        <f t="shared" si="6"/>
        <v>14454.333000000006</v>
      </c>
      <c r="I207" s="121">
        <v>14454.332999999999</v>
      </c>
      <c r="J207" s="121">
        <v>1</v>
      </c>
      <c r="K207" s="121">
        <v>14454.332999999999</v>
      </c>
      <c r="L207" s="127">
        <v>14454.332999999999</v>
      </c>
      <c r="M207" s="127">
        <f>LUCK!E141</f>
        <v>14454.333000000006</v>
      </c>
      <c r="N207" s="128" t="str">
        <f t="shared" si="7"/>
        <v>PASS</v>
      </c>
      <c r="O207" s="68"/>
      <c r="P207" s="50" t="s">
        <v>459</v>
      </c>
    </row>
    <row r="208" spans="1:16" ht="25.95" customHeight="1" x14ac:dyDescent="0.3">
      <c r="A208" s="119" t="s">
        <v>68</v>
      </c>
      <c r="B208" s="119">
        <v>2022</v>
      </c>
      <c r="C208" s="119">
        <v>5</v>
      </c>
      <c r="D208" s="119" t="s">
        <v>923</v>
      </c>
      <c r="E208" s="119" t="s">
        <v>3545</v>
      </c>
      <c r="F208" s="120">
        <f>LUCK!E72-LUCK!E73</f>
        <v>-494.21599999999307</v>
      </c>
      <c r="G208" s="120">
        <f>1</f>
        <v>1</v>
      </c>
      <c r="H208" s="120">
        <f t="shared" si="6"/>
        <v>-494.21599999999307</v>
      </c>
      <c r="I208" s="120">
        <v>-494.21600000000035</v>
      </c>
      <c r="J208" s="120">
        <v>1</v>
      </c>
      <c r="K208" s="120">
        <v>-494.21600000000035</v>
      </c>
      <c r="L208" s="125" t="s">
        <v>3546</v>
      </c>
      <c r="M208" s="125" t="str">
        <f>LUCK!E142</f>
        <v>n/m</v>
      </c>
      <c r="N208" s="126" t="str">
        <f t="shared" si="7"/>
        <v>PASS</v>
      </c>
      <c r="O208" s="122" t="s">
        <v>3547</v>
      </c>
      <c r="P208" s="119" t="s">
        <v>459</v>
      </c>
    </row>
    <row r="209" spans="1:16" ht="25.95" customHeight="1" x14ac:dyDescent="0.3">
      <c r="A209" s="50" t="s">
        <v>68</v>
      </c>
      <c r="B209" s="50">
        <v>2022</v>
      </c>
      <c r="C209" s="50">
        <v>6</v>
      </c>
      <c r="D209" s="50" t="s">
        <v>31</v>
      </c>
      <c r="E209" s="50" t="s">
        <v>3544</v>
      </c>
      <c r="F209" s="121">
        <f>-LUCK!E85</f>
        <v>58541.684000000001</v>
      </c>
      <c r="G209" s="121">
        <f>AVERAGE(LUCK!D65,LUCK!E65)</f>
        <v>16004.908500000001</v>
      </c>
      <c r="H209" s="121">
        <f t="shared" si="6"/>
        <v>3.657733126059421</v>
      </c>
      <c r="I209" s="121">
        <v>58541.684000000001</v>
      </c>
      <c r="J209" s="121">
        <v>16004.908500000001</v>
      </c>
      <c r="K209" s="121">
        <v>3.657733126059421</v>
      </c>
      <c r="L209" s="127">
        <v>3.657733126059421</v>
      </c>
      <c r="M209" s="127">
        <f>LUCK!E144</f>
        <v>3.657733126059421</v>
      </c>
      <c r="N209" s="128" t="str">
        <f t="shared" si="7"/>
        <v>PASS</v>
      </c>
      <c r="O209" s="68"/>
      <c r="P209" s="50" t="s">
        <v>471</v>
      </c>
    </row>
    <row r="210" spans="1:16" ht="25.95" customHeight="1" x14ac:dyDescent="0.3">
      <c r="A210" s="119" t="s">
        <v>68</v>
      </c>
      <c r="B210" s="119">
        <v>2022</v>
      </c>
      <c r="C210" s="119">
        <v>7</v>
      </c>
      <c r="D210" s="119" t="s">
        <v>129</v>
      </c>
      <c r="E210" s="119" t="s">
        <v>3545</v>
      </c>
      <c r="F210" s="120">
        <f>LUCK!E84</f>
        <v>81093.524999999994</v>
      </c>
      <c r="G210" s="120">
        <f>AVERAGE(LUCK!D32,LUCK!E32)</f>
        <v>3116.5060000000003</v>
      </c>
      <c r="H210" s="120">
        <f t="shared" si="6"/>
        <v>26.020654219821807</v>
      </c>
      <c r="I210" s="120">
        <v>81093.524999999994</v>
      </c>
      <c r="J210" s="120">
        <v>3116.5060000000003</v>
      </c>
      <c r="K210" s="120">
        <v>26.020654219821807</v>
      </c>
      <c r="L210" s="125">
        <v>26.020654219821807</v>
      </c>
      <c r="M210" s="125">
        <f>LUCK!E145</f>
        <v>26.020654219821807</v>
      </c>
      <c r="N210" s="126" t="str">
        <f t="shared" si="7"/>
        <v>PASS</v>
      </c>
      <c r="O210" s="122"/>
      <c r="P210" s="119" t="s">
        <v>471</v>
      </c>
    </row>
    <row r="211" spans="1:16" ht="25.95" customHeight="1" x14ac:dyDescent="0.3">
      <c r="A211" s="50" t="s">
        <v>68</v>
      </c>
      <c r="B211" s="50">
        <v>2022</v>
      </c>
      <c r="C211" s="50">
        <v>8</v>
      </c>
      <c r="D211" s="50" t="s">
        <v>133</v>
      </c>
      <c r="E211" s="50" t="s">
        <v>3545</v>
      </c>
      <c r="F211" s="121">
        <f>-LUCK!E85</f>
        <v>58541.684000000001</v>
      </c>
      <c r="G211" s="121">
        <f>AVERAGE(LUCK!D51,LUCK!E51)</f>
        <v>3117.7160000000003</v>
      </c>
      <c r="H211" s="121">
        <f t="shared" si="6"/>
        <v>18.777106060975406</v>
      </c>
      <c r="I211" s="121">
        <v>58541.684000000001</v>
      </c>
      <c r="J211" s="121">
        <v>3117.7160000000003</v>
      </c>
      <c r="K211" s="121">
        <v>18.777106060975406</v>
      </c>
      <c r="L211" s="127">
        <v>18.777106060975406</v>
      </c>
      <c r="M211" s="127">
        <f>LUCK!E146</f>
        <v>18.777106060975406</v>
      </c>
      <c r="N211" s="128" t="str">
        <f t="shared" si="7"/>
        <v>PASS</v>
      </c>
      <c r="O211" s="68"/>
      <c r="P211" s="50" t="s">
        <v>471</v>
      </c>
    </row>
    <row r="212" spans="1:16" ht="25.95" customHeight="1" x14ac:dyDescent="0.3">
      <c r="A212" s="119" t="s">
        <v>68</v>
      </c>
      <c r="B212" s="119">
        <v>2022</v>
      </c>
      <c r="C212" s="119">
        <v>9</v>
      </c>
      <c r="D212" s="119" t="s">
        <v>134</v>
      </c>
      <c r="E212" s="119" t="s">
        <v>3545</v>
      </c>
      <c r="F212" s="120">
        <f>365*AVERAGE(LUCK!D65,LUCK!E65)</f>
        <v>5841791.6025</v>
      </c>
      <c r="G212" s="120">
        <f>-LUCK!E85</f>
        <v>58541.684000000001</v>
      </c>
      <c r="H212" s="120">
        <f t="shared" si="6"/>
        <v>99.788581457615734</v>
      </c>
      <c r="I212" s="120">
        <v>5841791.6025</v>
      </c>
      <c r="J212" s="120">
        <v>58541.684000000001</v>
      </c>
      <c r="K212" s="120">
        <v>99.788581457615734</v>
      </c>
      <c r="L212" s="125">
        <v>99.788581457615734</v>
      </c>
      <c r="M212" s="125">
        <f>LUCK!E147</f>
        <v>99.788581457615734</v>
      </c>
      <c r="N212" s="126" t="str">
        <f t="shared" si="7"/>
        <v>PASS</v>
      </c>
      <c r="O212" s="122"/>
      <c r="P212" s="119" t="s">
        <v>471</v>
      </c>
    </row>
    <row r="213" spans="1:16" ht="25.95" customHeight="1" x14ac:dyDescent="0.3">
      <c r="A213" s="50" t="s">
        <v>68</v>
      </c>
      <c r="B213" s="50">
        <v>2022</v>
      </c>
      <c r="C213" s="50">
        <v>10</v>
      </c>
      <c r="D213" s="50" t="s">
        <v>187</v>
      </c>
      <c r="E213" s="50" t="s">
        <v>3544</v>
      </c>
      <c r="F213" s="121">
        <f>365*AVERAGE(LUCK!D32,LUCK!E32)</f>
        <v>1137524.6900000002</v>
      </c>
      <c r="G213" s="121">
        <f>LUCK!E84</f>
        <v>81093.524999999994</v>
      </c>
      <c r="H213" s="121">
        <f t="shared" si="6"/>
        <v>14.027318333985361</v>
      </c>
      <c r="I213" s="121">
        <v>1137524.6900000002</v>
      </c>
      <c r="J213" s="121">
        <v>81093.524999999994</v>
      </c>
      <c r="K213" s="121">
        <v>14.027318333985361</v>
      </c>
      <c r="L213" s="127">
        <v>14.027318333985361</v>
      </c>
      <c r="M213" s="127">
        <f>LUCK!E148</f>
        <v>14.027318333985361</v>
      </c>
      <c r="N213" s="128" t="str">
        <f t="shared" si="7"/>
        <v>PASS</v>
      </c>
      <c r="O213" s="68"/>
      <c r="P213" s="50" t="s">
        <v>471</v>
      </c>
    </row>
    <row r="214" spans="1:16" ht="25.95" customHeight="1" x14ac:dyDescent="0.3">
      <c r="A214" s="119" t="s">
        <v>68</v>
      </c>
      <c r="B214" s="119">
        <v>2022</v>
      </c>
      <c r="C214" s="119">
        <v>11</v>
      </c>
      <c r="D214" s="119" t="s">
        <v>190</v>
      </c>
      <c r="E214" s="119" t="s">
        <v>3545</v>
      </c>
      <c r="F214" s="120">
        <f>365*AVERAGE(LUCK!D51,LUCK!E51)</f>
        <v>1137966.3400000001</v>
      </c>
      <c r="G214" s="120">
        <f>-LUCK!E85</f>
        <v>58541.684000000001</v>
      </c>
      <c r="H214" s="120">
        <f t="shared" si="6"/>
        <v>19.438565176908817</v>
      </c>
      <c r="I214" s="120">
        <v>1137966.3400000001</v>
      </c>
      <c r="J214" s="120">
        <v>58541.684000000001</v>
      </c>
      <c r="K214" s="120">
        <v>19.438565176908817</v>
      </c>
      <c r="L214" s="125">
        <v>19.438565176908817</v>
      </c>
      <c r="M214" s="125">
        <f>LUCK!E149</f>
        <v>19.438565176908817</v>
      </c>
      <c r="N214" s="126" t="str">
        <f t="shared" si="7"/>
        <v>PASS</v>
      </c>
      <c r="O214" s="122"/>
      <c r="P214" s="119" t="s">
        <v>471</v>
      </c>
    </row>
    <row r="215" spans="1:16" ht="25.95" customHeight="1" x14ac:dyDescent="0.3">
      <c r="A215" s="50" t="s">
        <v>68</v>
      </c>
      <c r="B215" s="50">
        <v>2022</v>
      </c>
      <c r="C215" s="50">
        <v>12</v>
      </c>
      <c r="D215" s="50" t="s">
        <v>192</v>
      </c>
      <c r="E215" s="50" t="s">
        <v>3545</v>
      </c>
      <c r="F215" s="121">
        <f>365*AVERAGE(LUCK!D65,LUCK!E65)/(-LUCK!E85)+365*AVERAGE(LUCK!D32,LUCK!E32)/LUCK!E84</f>
        <v>113.8158997916011</v>
      </c>
      <c r="G215" s="121">
        <f>1</f>
        <v>1</v>
      </c>
      <c r="H215" s="121">
        <f t="shared" si="6"/>
        <v>113.8158997916011</v>
      </c>
      <c r="I215" s="121">
        <v>113.8158997916011</v>
      </c>
      <c r="J215" s="121">
        <v>1</v>
      </c>
      <c r="K215" s="121">
        <v>113.8158997916011</v>
      </c>
      <c r="L215" s="127">
        <v>113.8158997916011</v>
      </c>
      <c r="M215" s="127">
        <f>LUCK!E150</f>
        <v>113.8158997916011</v>
      </c>
      <c r="N215" s="128" t="str">
        <f t="shared" si="7"/>
        <v>PASS</v>
      </c>
      <c r="O215" s="68"/>
      <c r="P215" s="50" t="s">
        <v>471</v>
      </c>
    </row>
    <row r="216" spans="1:16" ht="25.95" customHeight="1" x14ac:dyDescent="0.3">
      <c r="A216" s="119" t="s">
        <v>68</v>
      </c>
      <c r="B216" s="119">
        <v>2022</v>
      </c>
      <c r="C216" s="119">
        <v>13</v>
      </c>
      <c r="D216" s="119" t="s">
        <v>150</v>
      </c>
      <c r="E216" s="119" t="s">
        <v>3545</v>
      </c>
      <c r="F216" s="120">
        <f>365*AVERAGE(LUCK!D65,LUCK!E65)/(-LUCK!E85)+365*AVERAGE(LUCK!D32,LUCK!E32)/LUCK!E84-365*AVERAGE(LUCK!D51,LUCK!E51)/(-LUCK!E85)</f>
        <v>94.377334614692273</v>
      </c>
      <c r="G216" s="120">
        <f>1</f>
        <v>1</v>
      </c>
      <c r="H216" s="120">
        <f t="shared" si="6"/>
        <v>94.377334614692273</v>
      </c>
      <c r="I216" s="120">
        <v>94.377334614692273</v>
      </c>
      <c r="J216" s="120">
        <v>1</v>
      </c>
      <c r="K216" s="120">
        <v>94.377334614692273</v>
      </c>
      <c r="L216" s="125">
        <v>94.377334614692273</v>
      </c>
      <c r="M216" s="125">
        <f>LUCK!E151</f>
        <v>94.377334614692273</v>
      </c>
      <c r="N216" s="126" t="str">
        <f t="shared" si="7"/>
        <v>PASS</v>
      </c>
      <c r="O216" s="122"/>
      <c r="P216" s="119" t="s">
        <v>471</v>
      </c>
    </row>
    <row r="217" spans="1:16" ht="25.95" customHeight="1" x14ac:dyDescent="0.3">
      <c r="A217" s="50" t="s">
        <v>68</v>
      </c>
      <c r="B217" s="50">
        <v>2022</v>
      </c>
      <c r="C217" s="50">
        <v>14</v>
      </c>
      <c r="D217" s="50" t="s">
        <v>196</v>
      </c>
      <c r="E217" s="50" t="s">
        <v>3544</v>
      </c>
      <c r="F217" s="121">
        <f>LUCK!E84</f>
        <v>81093.524999999994</v>
      </c>
      <c r="G217" s="121">
        <f>AVERAGE(LUCK!D37,LUCK!E37)</f>
        <v>170665.21500000003</v>
      </c>
      <c r="H217" s="121">
        <f t="shared" si="6"/>
        <v>0.47516141470304879</v>
      </c>
      <c r="I217" s="121">
        <v>81093.524999999994</v>
      </c>
      <c r="J217" s="121">
        <v>170665.215</v>
      </c>
      <c r="K217" s="121">
        <v>0.47516141470304885</v>
      </c>
      <c r="L217" s="127">
        <v>0.47516141470304885</v>
      </c>
      <c r="M217" s="127">
        <f>LUCK!E152</f>
        <v>0.47516141470304879</v>
      </c>
      <c r="N217" s="128" t="str">
        <f t="shared" si="7"/>
        <v>PASS</v>
      </c>
      <c r="O217" s="68"/>
      <c r="P217" s="50" t="s">
        <v>471</v>
      </c>
    </row>
    <row r="218" spans="1:16" ht="25.95" customHeight="1" x14ac:dyDescent="0.3">
      <c r="A218" s="119" t="s">
        <v>68</v>
      </c>
      <c r="B218" s="119">
        <v>2022</v>
      </c>
      <c r="C218" s="119">
        <v>15</v>
      </c>
      <c r="D218" s="119" t="s">
        <v>199</v>
      </c>
      <c r="E218" s="119" t="s">
        <v>3544</v>
      </c>
      <c r="F218" s="120">
        <f>LUCK!E84</f>
        <v>81093.524999999994</v>
      </c>
      <c r="G218" s="120">
        <f>AVERAGE(LUCK!D22,LUCK!E22)</f>
        <v>59382.369500000001</v>
      </c>
      <c r="H218" s="120">
        <f t="shared" si="6"/>
        <v>1.3656161868044014</v>
      </c>
      <c r="I218" s="120">
        <v>81093.524999999994</v>
      </c>
      <c r="J218" s="120">
        <v>59382.369500000001</v>
      </c>
      <c r="K218" s="120">
        <v>1.3656161868044014</v>
      </c>
      <c r="L218" s="125">
        <v>1.3656161868044014</v>
      </c>
      <c r="M218" s="125">
        <f>LUCK!E153</f>
        <v>1.3656161868044014</v>
      </c>
      <c r="N218" s="126" t="str">
        <f t="shared" si="7"/>
        <v>PASS</v>
      </c>
      <c r="O218" s="122"/>
      <c r="P218" s="119" t="s">
        <v>471</v>
      </c>
    </row>
    <row r="219" spans="1:16" ht="25.95" customHeight="1" x14ac:dyDescent="0.3">
      <c r="A219" s="50" t="s">
        <v>68</v>
      </c>
      <c r="B219" s="50">
        <v>2022</v>
      </c>
      <c r="C219" s="50">
        <v>16</v>
      </c>
      <c r="D219" s="50" t="s">
        <v>932</v>
      </c>
      <c r="E219" s="50" t="s">
        <v>3544</v>
      </c>
      <c r="F219" s="121">
        <f>LUCK!E62</f>
        <v>56422.044000000002</v>
      </c>
      <c r="G219" s="121">
        <f>LUCK!E37</f>
        <v>184962.36800000002</v>
      </c>
      <c r="H219" s="121">
        <f t="shared" si="6"/>
        <v>0.30504607293955061</v>
      </c>
      <c r="I219" s="121">
        <v>56422.043999999994</v>
      </c>
      <c r="J219" s="121">
        <v>184962.36799999999</v>
      </c>
      <c r="K219" s="121">
        <v>0.30504607293955061</v>
      </c>
      <c r="L219" s="127">
        <v>0.30504607293955061</v>
      </c>
      <c r="M219" s="127">
        <f>LUCK!E155</f>
        <v>0.30504607293955061</v>
      </c>
      <c r="N219" s="128" t="str">
        <f t="shared" si="7"/>
        <v>PASS</v>
      </c>
      <c r="O219" s="68"/>
      <c r="P219" s="50" t="s">
        <v>493</v>
      </c>
    </row>
    <row r="220" spans="1:16" ht="25.95" customHeight="1" x14ac:dyDescent="0.3">
      <c r="A220" s="119" t="s">
        <v>68</v>
      </c>
      <c r="B220" s="119">
        <v>2022</v>
      </c>
      <c r="C220" s="119">
        <v>17</v>
      </c>
      <c r="D220" s="119" t="s">
        <v>151</v>
      </c>
      <c r="E220" s="119" t="s">
        <v>3544</v>
      </c>
      <c r="F220" s="120">
        <f>LUCK!E62</f>
        <v>56422.044000000002</v>
      </c>
      <c r="G220" s="120">
        <f>LUCK!E41</f>
        <v>128540.32399999999</v>
      </c>
      <c r="H220" s="120">
        <f t="shared" si="6"/>
        <v>0.43894431135866752</v>
      </c>
      <c r="I220" s="120">
        <v>56422.043999999994</v>
      </c>
      <c r="J220" s="120">
        <v>128540.32399999999</v>
      </c>
      <c r="K220" s="120">
        <v>0.43894431135866746</v>
      </c>
      <c r="L220" s="125">
        <v>0.43894431135866746</v>
      </c>
      <c r="M220" s="125">
        <f>LUCK!E156</f>
        <v>0.43894431135866752</v>
      </c>
      <c r="N220" s="126" t="str">
        <f t="shared" si="7"/>
        <v>PASS</v>
      </c>
      <c r="O220" s="122"/>
      <c r="P220" s="119" t="s">
        <v>493</v>
      </c>
    </row>
    <row r="221" spans="1:16" ht="25.95" customHeight="1" x14ac:dyDescent="0.3">
      <c r="A221" s="50" t="s">
        <v>68</v>
      </c>
      <c r="B221" s="50">
        <v>2022</v>
      </c>
      <c r="C221" s="50">
        <v>18</v>
      </c>
      <c r="D221" s="50" t="s">
        <v>935</v>
      </c>
      <c r="E221" s="50" t="s">
        <v>3545</v>
      </c>
      <c r="F221" s="121">
        <f>LUCK!E66</f>
        <v>15595.647999999999</v>
      </c>
      <c r="G221" s="121">
        <f>LUCK!E66+LUCK!E41</f>
        <v>144135.97199999998</v>
      </c>
      <c r="H221" s="121">
        <f t="shared" si="6"/>
        <v>0.10820094237127705</v>
      </c>
      <c r="I221" s="121">
        <v>15595.647999999999</v>
      </c>
      <c r="J221" s="121">
        <v>144135.97199999998</v>
      </c>
      <c r="K221" s="121">
        <v>0.10820094237127705</v>
      </c>
      <c r="L221" s="127">
        <v>0.10820094237127705</v>
      </c>
      <c r="M221" s="127">
        <f>LUCK!E157</f>
        <v>0.10820094237127705</v>
      </c>
      <c r="N221" s="128" t="str">
        <f t="shared" si="7"/>
        <v>PASS</v>
      </c>
      <c r="O221" s="68"/>
      <c r="P221" s="50" t="s">
        <v>493</v>
      </c>
    </row>
    <row r="222" spans="1:16" ht="25.95" customHeight="1" x14ac:dyDescent="0.3">
      <c r="A222" s="119" t="s">
        <v>68</v>
      </c>
      <c r="B222" s="119">
        <v>2022</v>
      </c>
      <c r="C222" s="119">
        <v>19</v>
      </c>
      <c r="D222" s="119" t="s">
        <v>936</v>
      </c>
      <c r="E222" s="119" t="s">
        <v>3545</v>
      </c>
      <c r="F222" s="120">
        <f>LUCK!E67</f>
        <v>14108.446</v>
      </c>
      <c r="G222" s="120">
        <f>LUCK!E37</f>
        <v>184962.36800000002</v>
      </c>
      <c r="H222" s="120">
        <f t="shared" si="6"/>
        <v>7.6277386327579882E-2</v>
      </c>
      <c r="I222" s="120">
        <v>14108.446</v>
      </c>
      <c r="J222" s="120">
        <v>184962.36799999999</v>
      </c>
      <c r="K222" s="120">
        <v>7.6277386327579896E-2</v>
      </c>
      <c r="L222" s="125">
        <v>7.6277386327579896E-2</v>
      </c>
      <c r="M222" s="125">
        <f>LUCK!E158</f>
        <v>7.6277386327579882E-2</v>
      </c>
      <c r="N222" s="126" t="str">
        <f t="shared" si="7"/>
        <v>PASS</v>
      </c>
      <c r="O222" s="122"/>
      <c r="P222" s="119" t="s">
        <v>493</v>
      </c>
    </row>
    <row r="223" spans="1:16" ht="25.95" customHeight="1" x14ac:dyDescent="0.3">
      <c r="A223" s="50" t="s">
        <v>68</v>
      </c>
      <c r="B223" s="50">
        <v>2022</v>
      </c>
      <c r="C223" s="50">
        <v>20</v>
      </c>
      <c r="D223" s="50" t="s">
        <v>938</v>
      </c>
      <c r="E223" s="50" t="s">
        <v>3544</v>
      </c>
      <c r="F223" s="121">
        <f>LUCK!E108</f>
        <v>21815.748999999993</v>
      </c>
      <c r="G223" s="121">
        <f>LUCK!E106</f>
        <v>394.517</v>
      </c>
      <c r="H223" s="121">
        <f t="shared" si="6"/>
        <v>55.297361076962446</v>
      </c>
      <c r="I223" s="121">
        <v>21815.748999999993</v>
      </c>
      <c r="J223" s="121">
        <v>394.517</v>
      </c>
      <c r="K223" s="121">
        <v>55.297361076962446</v>
      </c>
      <c r="L223" s="127">
        <v>55.297361076962446</v>
      </c>
      <c r="M223" s="127">
        <f>LUCK!E159</f>
        <v>55.297361076962446</v>
      </c>
      <c r="N223" s="128" t="str">
        <f t="shared" si="7"/>
        <v>PASS</v>
      </c>
      <c r="O223" s="68"/>
      <c r="P223" s="50" t="s">
        <v>493</v>
      </c>
    </row>
    <row r="224" spans="1:16" ht="25.95" customHeight="1" x14ac:dyDescent="0.3">
      <c r="A224" s="119" t="s">
        <v>68</v>
      </c>
      <c r="B224" s="119">
        <v>2022</v>
      </c>
      <c r="C224" s="119">
        <v>21</v>
      </c>
      <c r="D224" s="119" t="s">
        <v>154</v>
      </c>
      <c r="E224" s="119" t="s">
        <v>3544</v>
      </c>
      <c r="F224" s="120">
        <f>LUCK!E86</f>
        <v>22551.840999999993</v>
      </c>
      <c r="G224" s="120">
        <f>LUCK!E84</f>
        <v>81093.524999999994</v>
      </c>
      <c r="H224" s="120">
        <f t="shared" si="6"/>
        <v>0.27809669144361399</v>
      </c>
      <c r="I224" s="120">
        <v>22551.840999999993</v>
      </c>
      <c r="J224" s="120">
        <v>81093.524999999994</v>
      </c>
      <c r="K224" s="120">
        <v>0.27809669144361399</v>
      </c>
      <c r="L224" s="125">
        <v>0.27809669144361399</v>
      </c>
      <c r="M224" s="125">
        <f>LUCK!E161</f>
        <v>0.27809669144361399</v>
      </c>
      <c r="N224" s="126" t="str">
        <f t="shared" si="7"/>
        <v>PASS</v>
      </c>
      <c r="O224" s="122"/>
      <c r="P224" s="119" t="s">
        <v>504</v>
      </c>
    </row>
    <row r="225" spans="1:16" ht="25.95" customHeight="1" x14ac:dyDescent="0.3">
      <c r="A225" s="50" t="s">
        <v>68</v>
      </c>
      <c r="B225" s="50">
        <v>2022</v>
      </c>
      <c r="C225" s="50">
        <v>22</v>
      </c>
      <c r="D225" s="50" t="s">
        <v>942</v>
      </c>
      <c r="E225" s="50" t="s">
        <v>3544</v>
      </c>
      <c r="F225" s="121">
        <f>LUCK!E91</f>
        <v>14427.948999999991</v>
      </c>
      <c r="G225" s="121">
        <f>LUCK!E84</f>
        <v>81093.524999999994</v>
      </c>
      <c r="H225" s="121">
        <f t="shared" si="6"/>
        <v>0.1779173984606045</v>
      </c>
      <c r="I225" s="121">
        <v>14427.948999999993</v>
      </c>
      <c r="J225" s="121">
        <v>81093.524999999994</v>
      </c>
      <c r="K225" s="121">
        <v>0.17791739846060453</v>
      </c>
      <c r="L225" s="127">
        <v>0.17791739846060453</v>
      </c>
      <c r="M225" s="127">
        <f>LUCK!E162</f>
        <v>0.1779173984606045</v>
      </c>
      <c r="N225" s="128" t="str">
        <f t="shared" si="7"/>
        <v>PASS</v>
      </c>
      <c r="O225" s="68"/>
      <c r="P225" s="50" t="s">
        <v>504</v>
      </c>
    </row>
    <row r="226" spans="1:16" ht="25.95" customHeight="1" x14ac:dyDescent="0.3">
      <c r="A226" s="119" t="s">
        <v>68</v>
      </c>
      <c r="B226" s="119">
        <v>2022</v>
      </c>
      <c r="C226" s="119">
        <v>23</v>
      </c>
      <c r="D226" s="119" t="s">
        <v>155</v>
      </c>
      <c r="E226" s="119" t="s">
        <v>3544</v>
      </c>
      <c r="F226" s="120">
        <f>LUCK!E99</f>
        <v>15298.617999999993</v>
      </c>
      <c r="G226" s="120">
        <f>LUCK!E84</f>
        <v>81093.524999999994</v>
      </c>
      <c r="H226" s="120">
        <f t="shared" si="6"/>
        <v>0.18865400166042842</v>
      </c>
      <c r="I226" s="120">
        <v>15298.617999999993</v>
      </c>
      <c r="J226" s="120">
        <v>81093.524999999994</v>
      </c>
      <c r="K226" s="120">
        <v>0.18865400166042842</v>
      </c>
      <c r="L226" s="125">
        <v>0.18865400166042842</v>
      </c>
      <c r="M226" s="125">
        <f>LUCK!E163</f>
        <v>0.18865400166042842</v>
      </c>
      <c r="N226" s="126" t="str">
        <f t="shared" si="7"/>
        <v>PASS</v>
      </c>
      <c r="O226" s="122"/>
      <c r="P226" s="119" t="s">
        <v>504</v>
      </c>
    </row>
    <row r="227" spans="1:16" ht="25.95" customHeight="1" x14ac:dyDescent="0.3">
      <c r="A227" s="50" t="s">
        <v>68</v>
      </c>
      <c r="B227" s="50">
        <v>2022</v>
      </c>
      <c r="C227" s="50">
        <v>24</v>
      </c>
      <c r="D227" s="50" t="s">
        <v>136</v>
      </c>
      <c r="E227" s="50" t="s">
        <v>3544</v>
      </c>
      <c r="F227" s="121">
        <f>LUCK!E99</f>
        <v>15298.617999999993</v>
      </c>
      <c r="G227" s="121">
        <f>AVERAGE(LUCK!D37,LUCK!E37)</f>
        <v>170665.21500000003</v>
      </c>
      <c r="H227" s="121">
        <f t="shared" si="6"/>
        <v>8.9641102318360491E-2</v>
      </c>
      <c r="I227" s="121">
        <v>15298.617999999993</v>
      </c>
      <c r="J227" s="121">
        <v>170665.215</v>
      </c>
      <c r="K227" s="121">
        <v>8.9641102318360505E-2</v>
      </c>
      <c r="L227" s="127">
        <v>8.9641102318360505E-2</v>
      </c>
      <c r="M227" s="127">
        <f>LUCK!E164</f>
        <v>8.9641102318360491E-2</v>
      </c>
      <c r="N227" s="128" t="str">
        <f t="shared" si="7"/>
        <v>PASS</v>
      </c>
      <c r="O227" s="68"/>
      <c r="P227" s="50" t="s">
        <v>504</v>
      </c>
    </row>
    <row r="228" spans="1:16" ht="25.95" customHeight="1" x14ac:dyDescent="0.3">
      <c r="A228" s="119" t="s">
        <v>68</v>
      </c>
      <c r="B228" s="119">
        <v>2022</v>
      </c>
      <c r="C228" s="119">
        <v>25</v>
      </c>
      <c r="D228" s="119" t="s">
        <v>53</v>
      </c>
      <c r="E228" s="119" t="s">
        <v>3544</v>
      </c>
      <c r="F228" s="120">
        <f>LUCK!E99</f>
        <v>15298.617999999993</v>
      </c>
      <c r="G228" s="120">
        <f>AVERAGE(LUCK!D41,LUCK!E41)</f>
        <v>120870.291</v>
      </c>
      <c r="H228" s="120">
        <f t="shared" si="6"/>
        <v>0.12657053998488341</v>
      </c>
      <c r="I228" s="120">
        <v>15298.617999999993</v>
      </c>
      <c r="J228" s="120">
        <v>120870.291</v>
      </c>
      <c r="K228" s="120">
        <v>0.12657053998488341</v>
      </c>
      <c r="L228" s="125">
        <v>0.12657053998488341</v>
      </c>
      <c r="M228" s="125">
        <f>LUCK!E165</f>
        <v>0.12657053998488341</v>
      </c>
      <c r="N228" s="126" t="str">
        <f t="shared" si="7"/>
        <v>PASS</v>
      </c>
      <c r="O228" s="122"/>
      <c r="P228" s="119" t="s">
        <v>504</v>
      </c>
    </row>
    <row r="229" spans="1:16" ht="25.95" customHeight="1" x14ac:dyDescent="0.3">
      <c r="A229" s="50" t="s">
        <v>68</v>
      </c>
      <c r="B229" s="50">
        <v>2022</v>
      </c>
      <c r="C229" s="50">
        <v>26</v>
      </c>
      <c r="D229" s="50" t="s">
        <v>944</v>
      </c>
      <c r="E229" s="50" t="s">
        <v>3545</v>
      </c>
      <c r="F229" s="121">
        <f>LUCK!E113</f>
        <v>15580.374197659679</v>
      </c>
      <c r="G229" s="121">
        <f>AVERAGE(LUCK!D70,LUCK!E70)</f>
        <v>133913.59099999999</v>
      </c>
      <c r="H229" s="121">
        <f t="shared" si="6"/>
        <v>0.11634647447890245</v>
      </c>
      <c r="I229" s="121">
        <v>15580.374197659679</v>
      </c>
      <c r="J229" s="121">
        <v>133913.59099999999</v>
      </c>
      <c r="K229" s="121">
        <v>0.11634647447890245</v>
      </c>
      <c r="L229" s="127">
        <v>0.11634647447890245</v>
      </c>
      <c r="M229" s="127">
        <f>LUCK!E166</f>
        <v>0.11634647447890245</v>
      </c>
      <c r="N229" s="128" t="str">
        <f t="shared" si="7"/>
        <v>PASS</v>
      </c>
      <c r="O229" s="68"/>
      <c r="P229" s="50" t="s">
        <v>504</v>
      </c>
    </row>
    <row r="230" spans="1:16" ht="25.95" customHeight="1" x14ac:dyDescent="0.3">
      <c r="A230" s="119" t="s">
        <v>68</v>
      </c>
      <c r="B230" s="119">
        <v>2022</v>
      </c>
      <c r="C230" s="119">
        <v>27</v>
      </c>
      <c r="D230" s="119" t="s">
        <v>945</v>
      </c>
      <c r="E230" s="119" t="s">
        <v>3545</v>
      </c>
      <c r="F230" s="120">
        <f>LUCK!E108</f>
        <v>21815.748999999993</v>
      </c>
      <c r="G230" s="120">
        <f>AVERAGE(LUCK!D37,LUCK!E37)</f>
        <v>170665.21500000003</v>
      </c>
      <c r="H230" s="120">
        <f t="shared" si="6"/>
        <v>0.12782774158166904</v>
      </c>
      <c r="I230" s="120">
        <v>21815.748999999993</v>
      </c>
      <c r="J230" s="120">
        <v>170665.215</v>
      </c>
      <c r="K230" s="120">
        <v>0.12782774158166907</v>
      </c>
      <c r="L230" s="125">
        <v>0.12782774158166907</v>
      </c>
      <c r="M230" s="125">
        <f>LUCK!E167</f>
        <v>0.12782774158166904</v>
      </c>
      <c r="N230" s="126" t="str">
        <f t="shared" si="7"/>
        <v>PASS</v>
      </c>
      <c r="O230" s="122"/>
      <c r="P230" s="119" t="s">
        <v>504</v>
      </c>
    </row>
    <row r="231" spans="1:16" ht="25.95" customHeight="1" x14ac:dyDescent="0.3">
      <c r="A231" s="50" t="s">
        <v>68</v>
      </c>
      <c r="B231" s="50">
        <v>2022</v>
      </c>
      <c r="C231" s="50">
        <v>28</v>
      </c>
      <c r="D231" s="50" t="s">
        <v>139</v>
      </c>
      <c r="E231" s="50" t="s">
        <v>3545</v>
      </c>
      <c r="F231" s="121">
        <f>LUCK!E41</f>
        <v>128540.32399999999</v>
      </c>
      <c r="G231" s="121">
        <f>LUCK!E128</f>
        <v>323.375</v>
      </c>
      <c r="H231" s="121">
        <f t="shared" si="6"/>
        <v>397.49617008117508</v>
      </c>
      <c r="I231" s="121">
        <v>128540.32399999999</v>
      </c>
      <c r="J231" s="121">
        <v>323.375</v>
      </c>
      <c r="K231" s="121">
        <v>397.49617008117508</v>
      </c>
      <c r="L231" s="127">
        <v>397.49617008117508</v>
      </c>
      <c r="M231" s="127">
        <f>LUCK!E169</f>
        <v>397.49617008117508</v>
      </c>
      <c r="N231" s="128" t="str">
        <f t="shared" si="7"/>
        <v>PASS</v>
      </c>
      <c r="O231" s="68"/>
      <c r="P231" s="50" t="s">
        <v>519</v>
      </c>
    </row>
    <row r="232" spans="1:16" ht="25.95" customHeight="1" x14ac:dyDescent="0.3">
      <c r="A232" s="119" t="s">
        <v>68</v>
      </c>
      <c r="B232" s="119">
        <v>2022</v>
      </c>
      <c r="C232" s="119">
        <v>29</v>
      </c>
      <c r="D232" s="119" t="s">
        <v>162</v>
      </c>
      <c r="E232" s="119" t="s">
        <v>3544</v>
      </c>
      <c r="F232" s="120">
        <f>LUCK!E130</f>
        <v>459.04</v>
      </c>
      <c r="G232" s="120">
        <f>LUCK!E41/LUCK!E128</f>
        <v>397.49617008117508</v>
      </c>
      <c r="H232" s="120">
        <f t="shared" si="6"/>
        <v>1.1548287368561481</v>
      </c>
      <c r="I232" s="120">
        <v>459.04</v>
      </c>
      <c r="J232" s="120">
        <v>397.49617008117508</v>
      </c>
      <c r="K232" s="120">
        <v>1.1548287368561481</v>
      </c>
      <c r="L232" s="125">
        <v>1.1548287368561481</v>
      </c>
      <c r="M232" s="125">
        <f>LUCK!E170</f>
        <v>1.1548287368561481</v>
      </c>
      <c r="N232" s="126" t="str">
        <f t="shared" si="7"/>
        <v>PASS</v>
      </c>
      <c r="O232" s="122"/>
      <c r="P232" s="119" t="s">
        <v>519</v>
      </c>
    </row>
    <row r="233" spans="1:16" ht="25.95" customHeight="1" x14ac:dyDescent="0.3">
      <c r="A233" s="50" t="s">
        <v>68</v>
      </c>
      <c r="B233" s="50">
        <v>2022</v>
      </c>
      <c r="C233" s="50">
        <v>30</v>
      </c>
      <c r="D233" s="50" t="s">
        <v>143</v>
      </c>
      <c r="E233" s="50" t="s">
        <v>3544</v>
      </c>
      <c r="F233" s="121">
        <f>LUCK!E99</f>
        <v>15298.617999999993</v>
      </c>
      <c r="G233" s="121">
        <f>LUCK!E129</f>
        <v>323.375</v>
      </c>
      <c r="H233" s="121">
        <f t="shared" si="6"/>
        <v>47.309216853498242</v>
      </c>
      <c r="I233" s="121">
        <v>15298.617999999993</v>
      </c>
      <c r="J233" s="121">
        <v>323.375</v>
      </c>
      <c r="K233" s="121">
        <v>47.309216853498242</v>
      </c>
      <c r="L233" s="127">
        <v>47.309216853498242</v>
      </c>
      <c r="M233" s="127">
        <f>LUCK!E171</f>
        <v>47.309216853498242</v>
      </c>
      <c r="N233" s="128" t="str">
        <f t="shared" si="7"/>
        <v>PASS</v>
      </c>
      <c r="O233" s="68"/>
      <c r="P233" s="50" t="s">
        <v>519</v>
      </c>
    </row>
    <row r="234" spans="1:16" ht="25.95" customHeight="1" x14ac:dyDescent="0.3">
      <c r="A234" s="119" t="s">
        <v>68</v>
      </c>
      <c r="B234" s="119">
        <v>2022</v>
      </c>
      <c r="C234" s="119">
        <v>31</v>
      </c>
      <c r="D234" s="119" t="s">
        <v>952</v>
      </c>
      <c r="E234" s="119" t="s">
        <v>3544</v>
      </c>
      <c r="F234" s="120">
        <f>LUCK!E130</f>
        <v>459.04</v>
      </c>
      <c r="G234" s="120">
        <f>LUCK!E99/LUCK!E129</f>
        <v>47.309216853498242</v>
      </c>
      <c r="H234" s="120">
        <f t="shared" si="6"/>
        <v>9.7029718632101325</v>
      </c>
      <c r="I234" s="120">
        <v>459.04</v>
      </c>
      <c r="J234" s="120">
        <v>47.309216853498242</v>
      </c>
      <c r="K234" s="120">
        <v>9.7029718632101325</v>
      </c>
      <c r="L234" s="125">
        <v>9.7029718632101325</v>
      </c>
      <c r="M234" s="125">
        <f>LUCK!E172</f>
        <v>9.7029718632101325</v>
      </c>
      <c r="N234" s="126" t="str">
        <f t="shared" si="7"/>
        <v>PASS</v>
      </c>
      <c r="O234" s="122"/>
      <c r="P234" s="119" t="s">
        <v>519</v>
      </c>
    </row>
    <row r="235" spans="1:16" ht="25.95" customHeight="1" x14ac:dyDescent="0.3">
      <c r="A235" s="50" t="s">
        <v>68</v>
      </c>
      <c r="B235" s="50">
        <v>2022</v>
      </c>
      <c r="C235" s="50">
        <v>32</v>
      </c>
      <c r="D235" s="50" t="s">
        <v>104</v>
      </c>
      <c r="E235" s="50" t="s">
        <v>3544</v>
      </c>
      <c r="F235" s="121">
        <f>LUCK!E131</f>
        <v>0</v>
      </c>
      <c r="G235" s="121">
        <f>LUCK!E130</f>
        <v>459.04</v>
      </c>
      <c r="H235" s="121">
        <f t="shared" si="6"/>
        <v>0</v>
      </c>
      <c r="I235" s="121">
        <v>0</v>
      </c>
      <c r="J235" s="121">
        <v>459.04</v>
      </c>
      <c r="K235" s="121">
        <v>0</v>
      </c>
      <c r="L235" s="127">
        <v>0</v>
      </c>
      <c r="M235" s="127">
        <f>LUCK!E173</f>
        <v>0</v>
      </c>
      <c r="N235" s="128" t="str">
        <f t="shared" si="7"/>
        <v>PASS</v>
      </c>
      <c r="O235" s="68"/>
      <c r="P235" s="50" t="s">
        <v>519</v>
      </c>
    </row>
    <row r="236" spans="1:16" ht="25.95" customHeight="1" x14ac:dyDescent="0.3">
      <c r="A236" s="119" t="s">
        <v>68</v>
      </c>
      <c r="B236" s="119">
        <v>2022</v>
      </c>
      <c r="C236" s="119">
        <v>33</v>
      </c>
      <c r="D236" s="119" t="s">
        <v>124</v>
      </c>
      <c r="E236" s="119" t="s">
        <v>3545</v>
      </c>
      <c r="F236" s="120">
        <f>LUCK!E131</f>
        <v>0</v>
      </c>
      <c r="G236" s="120">
        <f>LUCK!E99/LUCK!E129</f>
        <v>47.309216853498242</v>
      </c>
      <c r="H236" s="120">
        <f t="shared" si="6"/>
        <v>0</v>
      </c>
      <c r="I236" s="120">
        <v>0</v>
      </c>
      <c r="J236" s="120">
        <v>47.309216853498242</v>
      </c>
      <c r="K236" s="120">
        <v>0</v>
      </c>
      <c r="L236" s="125">
        <v>0</v>
      </c>
      <c r="M236" s="125">
        <f>LUCK!E174</f>
        <v>0</v>
      </c>
      <c r="N236" s="126" t="str">
        <f t="shared" si="7"/>
        <v>PASS</v>
      </c>
      <c r="O236" s="122"/>
      <c r="P236" s="119" t="s">
        <v>519</v>
      </c>
    </row>
    <row r="237" spans="1:16" ht="25.95" customHeight="1" x14ac:dyDescent="0.3">
      <c r="A237" s="50" t="s">
        <v>68</v>
      </c>
      <c r="B237" s="50">
        <v>2023</v>
      </c>
      <c r="C237" s="50">
        <v>1</v>
      </c>
      <c r="D237" s="50" t="s">
        <v>19</v>
      </c>
      <c r="E237" s="50" t="s">
        <v>3544</v>
      </c>
      <c r="F237" s="121">
        <f>LUCK!F36</f>
        <v>59576.642</v>
      </c>
      <c r="G237" s="121">
        <f>LUCK!F61</f>
        <v>46180.879000000001</v>
      </c>
      <c r="H237" s="121">
        <f t="shared" si="6"/>
        <v>1.290071633326858</v>
      </c>
      <c r="I237" s="121">
        <v>59576.642</v>
      </c>
      <c r="J237" s="121">
        <v>46180.879000000001</v>
      </c>
      <c r="K237" s="121">
        <v>1.290071633326858</v>
      </c>
      <c r="L237" s="127">
        <v>1.290071633326858</v>
      </c>
      <c r="M237" s="127">
        <f>LUCK!F138</f>
        <v>1.290071633326858</v>
      </c>
      <c r="N237" s="128" t="str">
        <f t="shared" si="7"/>
        <v>PASS</v>
      </c>
      <c r="O237" s="68"/>
      <c r="P237" s="50" t="s">
        <v>459</v>
      </c>
    </row>
    <row r="238" spans="1:16" ht="25.95" customHeight="1" x14ac:dyDescent="0.3">
      <c r="A238" s="119" t="s">
        <v>68</v>
      </c>
      <c r="B238" s="119">
        <v>2023</v>
      </c>
      <c r="C238" s="119">
        <v>2</v>
      </c>
      <c r="D238" s="119" t="s">
        <v>30</v>
      </c>
      <c r="E238" s="119" t="s">
        <v>3544</v>
      </c>
      <c r="F238" s="120">
        <f>LUCK!F36-LUCK!F65</f>
        <v>39444.116999999998</v>
      </c>
      <c r="G238" s="120">
        <f>LUCK!F61</f>
        <v>46180.879000000001</v>
      </c>
      <c r="H238" s="120">
        <f t="shared" si="6"/>
        <v>0.85412226562426408</v>
      </c>
      <c r="I238" s="120">
        <v>39444.116999999998</v>
      </c>
      <c r="J238" s="120">
        <v>46180.879000000001</v>
      </c>
      <c r="K238" s="120">
        <v>0.85412226562426408</v>
      </c>
      <c r="L238" s="125">
        <v>0.85412226562426408</v>
      </c>
      <c r="M238" s="125">
        <f>LUCK!F139</f>
        <v>0.85412226562426408</v>
      </c>
      <c r="N238" s="126" t="str">
        <f t="shared" si="7"/>
        <v>PASS</v>
      </c>
      <c r="O238" s="122"/>
      <c r="P238" s="119" t="s">
        <v>459</v>
      </c>
    </row>
    <row r="239" spans="1:16" ht="25.95" customHeight="1" x14ac:dyDescent="0.3">
      <c r="A239" s="50" t="s">
        <v>68</v>
      </c>
      <c r="B239" s="50">
        <v>2023</v>
      </c>
      <c r="C239" s="50">
        <v>3</v>
      </c>
      <c r="D239" s="50" t="s">
        <v>145</v>
      </c>
      <c r="E239" s="50" t="s">
        <v>3544</v>
      </c>
      <c r="F239" s="121">
        <f>LUCK!F34</f>
        <v>4116.1809999999996</v>
      </c>
      <c r="G239" s="121">
        <f>LUCK!F61</f>
        <v>46180.879000000001</v>
      </c>
      <c r="H239" s="121">
        <f t="shared" si="6"/>
        <v>8.9131716180629636E-2</v>
      </c>
      <c r="I239" s="121">
        <v>4116.1809999999996</v>
      </c>
      <c r="J239" s="121">
        <v>46180.879000000001</v>
      </c>
      <c r="K239" s="121">
        <v>8.9131716180629636E-2</v>
      </c>
      <c r="L239" s="127">
        <v>8.9131716180629636E-2</v>
      </c>
      <c r="M239" s="127">
        <f>LUCK!F140</f>
        <v>8.9131716180629636E-2</v>
      </c>
      <c r="N239" s="128" t="str">
        <f t="shared" si="7"/>
        <v>PASS</v>
      </c>
      <c r="O239" s="68"/>
      <c r="P239" s="50" t="s">
        <v>459</v>
      </c>
    </row>
    <row r="240" spans="1:16" ht="25.95" customHeight="1" x14ac:dyDescent="0.3">
      <c r="A240" s="119" t="s">
        <v>68</v>
      </c>
      <c r="B240" s="119">
        <v>2023</v>
      </c>
      <c r="C240" s="119">
        <v>4</v>
      </c>
      <c r="D240" s="119" t="s">
        <v>201</v>
      </c>
      <c r="E240" s="119" t="s">
        <v>3545</v>
      </c>
      <c r="F240" s="120">
        <f>LUCK!F36-LUCK!F61</f>
        <v>13395.762999999999</v>
      </c>
      <c r="G240" s="120">
        <f>1</f>
        <v>1</v>
      </c>
      <c r="H240" s="120">
        <f t="shared" si="6"/>
        <v>13395.762999999999</v>
      </c>
      <c r="I240" s="120">
        <v>13395.762999999999</v>
      </c>
      <c r="J240" s="120">
        <v>1</v>
      </c>
      <c r="K240" s="120">
        <v>13395.762999999999</v>
      </c>
      <c r="L240" s="125">
        <v>13395.762999999999</v>
      </c>
      <c r="M240" s="125">
        <f>LUCK!F141</f>
        <v>13395.762999999999</v>
      </c>
      <c r="N240" s="126" t="str">
        <f t="shared" si="7"/>
        <v>PASS</v>
      </c>
      <c r="O240" s="122"/>
      <c r="P240" s="119" t="s">
        <v>459</v>
      </c>
    </row>
    <row r="241" spans="1:16" ht="25.95" customHeight="1" x14ac:dyDescent="0.3">
      <c r="A241" s="50" t="s">
        <v>68</v>
      </c>
      <c r="B241" s="50">
        <v>2023</v>
      </c>
      <c r="C241" s="50">
        <v>5</v>
      </c>
      <c r="D241" s="50" t="s">
        <v>923</v>
      </c>
      <c r="E241" s="50" t="s">
        <v>3545</v>
      </c>
      <c r="F241" s="121">
        <f>LUCK!F72-LUCK!F73</f>
        <v>-5586.400999999998</v>
      </c>
      <c r="G241" s="121">
        <f>1</f>
        <v>1</v>
      </c>
      <c r="H241" s="121">
        <f t="shared" si="6"/>
        <v>-5586.400999999998</v>
      </c>
      <c r="I241" s="121">
        <v>-5586.400999999998</v>
      </c>
      <c r="J241" s="121">
        <v>1</v>
      </c>
      <c r="K241" s="121">
        <v>-5586.400999999998</v>
      </c>
      <c r="L241" s="127" t="s">
        <v>3546</v>
      </c>
      <c r="M241" s="127" t="str">
        <f>LUCK!F142</f>
        <v>n/m</v>
      </c>
      <c r="N241" s="128" t="str">
        <f t="shared" si="7"/>
        <v>PASS</v>
      </c>
      <c r="O241" s="68" t="s">
        <v>3547</v>
      </c>
      <c r="P241" s="50" t="s">
        <v>459</v>
      </c>
    </row>
    <row r="242" spans="1:16" ht="25.95" customHeight="1" x14ac:dyDescent="0.3">
      <c r="A242" s="119" t="s">
        <v>68</v>
      </c>
      <c r="B242" s="119">
        <v>2023</v>
      </c>
      <c r="C242" s="119">
        <v>6</v>
      </c>
      <c r="D242" s="119" t="s">
        <v>31</v>
      </c>
      <c r="E242" s="119" t="s">
        <v>3544</v>
      </c>
      <c r="F242" s="120">
        <f>-LUCK!F85</f>
        <v>69771.468999999997</v>
      </c>
      <c r="G242" s="120">
        <f>AVERAGE(LUCK!E65,LUCK!F65)</f>
        <v>19255.366000000002</v>
      </c>
      <c r="H242" s="120">
        <f t="shared" si="6"/>
        <v>3.6234818387767853</v>
      </c>
      <c r="I242" s="120">
        <v>69771.468999999997</v>
      </c>
      <c r="J242" s="120">
        <v>19255.366000000002</v>
      </c>
      <c r="K242" s="120">
        <v>3.6234818387767853</v>
      </c>
      <c r="L242" s="125">
        <v>3.6234818387767853</v>
      </c>
      <c r="M242" s="125">
        <f>LUCK!F144</f>
        <v>3.6234818387767853</v>
      </c>
      <c r="N242" s="126" t="str">
        <f t="shared" si="7"/>
        <v>PASS</v>
      </c>
      <c r="O242" s="122"/>
      <c r="P242" s="119" t="s">
        <v>471</v>
      </c>
    </row>
    <row r="243" spans="1:16" ht="25.95" customHeight="1" x14ac:dyDescent="0.3">
      <c r="A243" s="50" t="s">
        <v>68</v>
      </c>
      <c r="B243" s="50">
        <v>2023</v>
      </c>
      <c r="C243" s="50">
        <v>7</v>
      </c>
      <c r="D243" s="50" t="s">
        <v>129</v>
      </c>
      <c r="E243" s="50" t="s">
        <v>3545</v>
      </c>
      <c r="F243" s="121">
        <f>LUCK!F84</f>
        <v>95832.146999999997</v>
      </c>
      <c r="G243" s="121">
        <f>AVERAGE(LUCK!E32,LUCK!F32)</f>
        <v>4306.299</v>
      </c>
      <c r="H243" s="121">
        <f t="shared" si="6"/>
        <v>22.253946370189343</v>
      </c>
      <c r="I243" s="121">
        <v>95832.146999999997</v>
      </c>
      <c r="J243" s="121">
        <v>4306.299</v>
      </c>
      <c r="K243" s="121">
        <v>22.253946370189343</v>
      </c>
      <c r="L243" s="127">
        <v>22.253946370189343</v>
      </c>
      <c r="M243" s="127">
        <f>LUCK!F145</f>
        <v>22.253946370189343</v>
      </c>
      <c r="N243" s="128" t="str">
        <f t="shared" si="7"/>
        <v>PASS</v>
      </c>
      <c r="O243" s="68"/>
      <c r="P243" s="50" t="s">
        <v>471</v>
      </c>
    </row>
    <row r="244" spans="1:16" ht="25.95" customHeight="1" x14ac:dyDescent="0.3">
      <c r="A244" s="119" t="s">
        <v>68</v>
      </c>
      <c r="B244" s="119">
        <v>2023</v>
      </c>
      <c r="C244" s="119">
        <v>8</v>
      </c>
      <c r="D244" s="119" t="s">
        <v>133</v>
      </c>
      <c r="E244" s="119" t="s">
        <v>3545</v>
      </c>
      <c r="F244" s="120">
        <f>-LUCK!F85</f>
        <v>69771.468999999997</v>
      </c>
      <c r="G244" s="120">
        <f>AVERAGE(LUCK!E51,LUCK!F51)</f>
        <v>4191.7719999999999</v>
      </c>
      <c r="H244" s="120">
        <f t="shared" si="6"/>
        <v>16.644862602259856</v>
      </c>
      <c r="I244" s="120">
        <v>69771.468999999997</v>
      </c>
      <c r="J244" s="120">
        <v>4191.7719999999999</v>
      </c>
      <c r="K244" s="120">
        <v>16.644862602259856</v>
      </c>
      <c r="L244" s="125">
        <v>16.644862602259856</v>
      </c>
      <c r="M244" s="125">
        <f>LUCK!F146</f>
        <v>16.644862602259856</v>
      </c>
      <c r="N244" s="126" t="str">
        <f t="shared" si="7"/>
        <v>PASS</v>
      </c>
      <c r="O244" s="122"/>
      <c r="P244" s="119" t="s">
        <v>471</v>
      </c>
    </row>
    <row r="245" spans="1:16" ht="25.95" customHeight="1" x14ac:dyDescent="0.3">
      <c r="A245" s="50" t="s">
        <v>68</v>
      </c>
      <c r="B245" s="50">
        <v>2023</v>
      </c>
      <c r="C245" s="50">
        <v>9</v>
      </c>
      <c r="D245" s="50" t="s">
        <v>134</v>
      </c>
      <c r="E245" s="50" t="s">
        <v>3545</v>
      </c>
      <c r="F245" s="121">
        <f>365*AVERAGE(LUCK!E65,LUCK!F65)</f>
        <v>7028208.5900000008</v>
      </c>
      <c r="G245" s="121">
        <f>-LUCK!F85</f>
        <v>69771.468999999997</v>
      </c>
      <c r="H245" s="121">
        <f t="shared" si="6"/>
        <v>100.73184197970664</v>
      </c>
      <c r="I245" s="121">
        <v>7028208.5900000008</v>
      </c>
      <c r="J245" s="121">
        <v>69771.468999999997</v>
      </c>
      <c r="K245" s="121">
        <v>100.73184197970664</v>
      </c>
      <c r="L245" s="127">
        <v>100.73184197970664</v>
      </c>
      <c r="M245" s="127">
        <f>LUCK!F147</f>
        <v>100.73184197970664</v>
      </c>
      <c r="N245" s="128" t="str">
        <f t="shared" si="7"/>
        <v>PASS</v>
      </c>
      <c r="O245" s="68"/>
      <c r="P245" s="50" t="s">
        <v>471</v>
      </c>
    </row>
    <row r="246" spans="1:16" ht="25.95" customHeight="1" x14ac:dyDescent="0.3">
      <c r="A246" s="119" t="s">
        <v>68</v>
      </c>
      <c r="B246" s="119">
        <v>2023</v>
      </c>
      <c r="C246" s="119">
        <v>10</v>
      </c>
      <c r="D246" s="119" t="s">
        <v>187</v>
      </c>
      <c r="E246" s="119" t="s">
        <v>3544</v>
      </c>
      <c r="F246" s="120">
        <f>365*AVERAGE(LUCK!E32,LUCK!F32)</f>
        <v>1571799.135</v>
      </c>
      <c r="G246" s="120">
        <f>LUCK!F84</f>
        <v>95832.146999999997</v>
      </c>
      <c r="H246" s="120">
        <f t="shared" si="6"/>
        <v>16.401585315624828</v>
      </c>
      <c r="I246" s="120">
        <v>1571799.135</v>
      </c>
      <c r="J246" s="120">
        <v>95832.146999999997</v>
      </c>
      <c r="K246" s="120">
        <v>16.401585315624828</v>
      </c>
      <c r="L246" s="125">
        <v>16.401585315624828</v>
      </c>
      <c r="M246" s="125">
        <f>LUCK!F148</f>
        <v>16.401585315624828</v>
      </c>
      <c r="N246" s="126" t="str">
        <f t="shared" si="7"/>
        <v>PASS</v>
      </c>
      <c r="O246" s="122"/>
      <c r="P246" s="119" t="s">
        <v>471</v>
      </c>
    </row>
    <row r="247" spans="1:16" ht="25.95" customHeight="1" x14ac:dyDescent="0.3">
      <c r="A247" s="50" t="s">
        <v>68</v>
      </c>
      <c r="B247" s="50">
        <v>2023</v>
      </c>
      <c r="C247" s="50">
        <v>11</v>
      </c>
      <c r="D247" s="50" t="s">
        <v>190</v>
      </c>
      <c r="E247" s="50" t="s">
        <v>3545</v>
      </c>
      <c r="F247" s="121">
        <f>365*AVERAGE(LUCK!E51,LUCK!F51)</f>
        <v>1529996.78</v>
      </c>
      <c r="G247" s="121">
        <f>-LUCK!F85</f>
        <v>69771.468999999997</v>
      </c>
      <c r="H247" s="121">
        <f t="shared" si="6"/>
        <v>21.928688071624236</v>
      </c>
      <c r="I247" s="121">
        <v>1529996.78</v>
      </c>
      <c r="J247" s="121">
        <v>69771.468999999997</v>
      </c>
      <c r="K247" s="121">
        <v>21.928688071624236</v>
      </c>
      <c r="L247" s="127">
        <v>21.928688071624236</v>
      </c>
      <c r="M247" s="127">
        <f>LUCK!F149</f>
        <v>21.928688071624236</v>
      </c>
      <c r="N247" s="128" t="str">
        <f t="shared" si="7"/>
        <v>PASS</v>
      </c>
      <c r="O247" s="68"/>
      <c r="P247" s="50" t="s">
        <v>471</v>
      </c>
    </row>
    <row r="248" spans="1:16" ht="25.95" customHeight="1" x14ac:dyDescent="0.3">
      <c r="A248" s="119" t="s">
        <v>68</v>
      </c>
      <c r="B248" s="119">
        <v>2023</v>
      </c>
      <c r="C248" s="119">
        <v>12</v>
      </c>
      <c r="D248" s="119" t="s">
        <v>192</v>
      </c>
      <c r="E248" s="119" t="s">
        <v>3545</v>
      </c>
      <c r="F248" s="120">
        <f>365*AVERAGE(LUCK!E65,LUCK!F65)/(-LUCK!F85)+365*AVERAGE(LUCK!E32,LUCK!F32)/LUCK!F84</f>
        <v>117.13342729533147</v>
      </c>
      <c r="G248" s="120">
        <f>1</f>
        <v>1</v>
      </c>
      <c r="H248" s="120">
        <f t="shared" si="6"/>
        <v>117.13342729533147</v>
      </c>
      <c r="I248" s="120">
        <v>117.13342729533147</v>
      </c>
      <c r="J248" s="120">
        <v>1</v>
      </c>
      <c r="K248" s="120">
        <v>117.13342729533147</v>
      </c>
      <c r="L248" s="125">
        <v>117.13342729533147</v>
      </c>
      <c r="M248" s="125">
        <f>LUCK!F150</f>
        <v>117.13342729533147</v>
      </c>
      <c r="N248" s="126" t="str">
        <f t="shared" si="7"/>
        <v>PASS</v>
      </c>
      <c r="O248" s="122"/>
      <c r="P248" s="119" t="s">
        <v>471</v>
      </c>
    </row>
    <row r="249" spans="1:16" ht="25.95" customHeight="1" x14ac:dyDescent="0.3">
      <c r="A249" s="50" t="s">
        <v>68</v>
      </c>
      <c r="B249" s="50">
        <v>2023</v>
      </c>
      <c r="C249" s="50">
        <v>13</v>
      </c>
      <c r="D249" s="50" t="s">
        <v>150</v>
      </c>
      <c r="E249" s="50" t="s">
        <v>3545</v>
      </c>
      <c r="F249" s="121">
        <f>365*AVERAGE(LUCK!E65,LUCK!F65)/(-LUCK!F85)+365*AVERAGE(LUCK!E32,LUCK!F32)/LUCK!F84-365*AVERAGE(LUCK!E51,LUCK!F51)/(-LUCK!F85)</f>
        <v>95.204739223707236</v>
      </c>
      <c r="G249" s="121">
        <f>1</f>
        <v>1</v>
      </c>
      <c r="H249" s="121">
        <f t="shared" si="6"/>
        <v>95.204739223707236</v>
      </c>
      <c r="I249" s="121">
        <v>95.204739223707236</v>
      </c>
      <c r="J249" s="121">
        <v>1</v>
      </c>
      <c r="K249" s="121">
        <v>95.204739223707236</v>
      </c>
      <c r="L249" s="127">
        <v>95.204739223707236</v>
      </c>
      <c r="M249" s="127">
        <f>LUCK!F151</f>
        <v>95.204739223707236</v>
      </c>
      <c r="N249" s="128" t="str">
        <f t="shared" si="7"/>
        <v>PASS</v>
      </c>
      <c r="O249" s="68"/>
      <c r="P249" s="50" t="s">
        <v>471</v>
      </c>
    </row>
    <row r="250" spans="1:16" ht="25.95" customHeight="1" x14ac:dyDescent="0.3">
      <c r="A250" s="119" t="s">
        <v>68</v>
      </c>
      <c r="B250" s="119">
        <v>2023</v>
      </c>
      <c r="C250" s="119">
        <v>14</v>
      </c>
      <c r="D250" s="119" t="s">
        <v>196</v>
      </c>
      <c r="E250" s="119" t="s">
        <v>3544</v>
      </c>
      <c r="F250" s="120">
        <f>LUCK!F84</f>
        <v>95832.146999999997</v>
      </c>
      <c r="G250" s="120">
        <f>AVERAGE(LUCK!E37,LUCK!F37)</f>
        <v>199020.71750000003</v>
      </c>
      <c r="H250" s="120">
        <f t="shared" si="6"/>
        <v>0.4815184479475107</v>
      </c>
      <c r="I250" s="120">
        <v>95832.146999999997</v>
      </c>
      <c r="J250" s="120">
        <v>199020.71749999997</v>
      </c>
      <c r="K250" s="120">
        <v>0.48151844794751086</v>
      </c>
      <c r="L250" s="125">
        <v>0.48151844794751086</v>
      </c>
      <c r="M250" s="125">
        <f>LUCK!F152</f>
        <v>0.4815184479475107</v>
      </c>
      <c r="N250" s="126" t="str">
        <f t="shared" si="7"/>
        <v>PASS</v>
      </c>
      <c r="O250" s="122"/>
      <c r="P250" s="119" t="s">
        <v>471</v>
      </c>
    </row>
    <row r="251" spans="1:16" ht="25.95" customHeight="1" x14ac:dyDescent="0.3">
      <c r="A251" s="50" t="s">
        <v>68</v>
      </c>
      <c r="B251" s="50">
        <v>2023</v>
      </c>
      <c r="C251" s="50">
        <v>15</v>
      </c>
      <c r="D251" s="50" t="s">
        <v>199</v>
      </c>
      <c r="E251" s="50" t="s">
        <v>3544</v>
      </c>
      <c r="F251" s="121">
        <f>LUCK!F84</f>
        <v>95832.146999999997</v>
      </c>
      <c r="G251" s="121">
        <f>AVERAGE(LUCK!E22,LUCK!F22)</f>
        <v>75223.998500000002</v>
      </c>
      <c r="H251" s="121">
        <f t="shared" si="6"/>
        <v>1.2739571002729932</v>
      </c>
      <c r="I251" s="121">
        <v>95832.146999999997</v>
      </c>
      <c r="J251" s="121">
        <v>75223.998500000002</v>
      </c>
      <c r="K251" s="121">
        <v>1.2739571002729932</v>
      </c>
      <c r="L251" s="127">
        <v>1.2739571002729932</v>
      </c>
      <c r="M251" s="127">
        <f>LUCK!F153</f>
        <v>1.2739571002729932</v>
      </c>
      <c r="N251" s="128" t="str">
        <f t="shared" si="7"/>
        <v>PASS</v>
      </c>
      <c r="O251" s="68"/>
      <c r="P251" s="50" t="s">
        <v>471</v>
      </c>
    </row>
    <row r="252" spans="1:16" ht="25.95" customHeight="1" x14ac:dyDescent="0.3">
      <c r="A252" s="119" t="s">
        <v>68</v>
      </c>
      <c r="B252" s="119">
        <v>2023</v>
      </c>
      <c r="C252" s="119">
        <v>16</v>
      </c>
      <c r="D252" s="119" t="s">
        <v>932</v>
      </c>
      <c r="E252" s="119" t="s">
        <v>3544</v>
      </c>
      <c r="F252" s="120">
        <f>LUCK!F62</f>
        <v>75712.740999999995</v>
      </c>
      <c r="G252" s="120">
        <f>LUCK!F37</f>
        <v>213079.06700000001</v>
      </c>
      <c r="H252" s="120">
        <f t="shared" si="6"/>
        <v>0.35532697822447284</v>
      </c>
      <c r="I252" s="120">
        <v>75712.741000000009</v>
      </c>
      <c r="J252" s="120">
        <v>213079.06699999998</v>
      </c>
      <c r="K252" s="120">
        <v>0.35532697822447296</v>
      </c>
      <c r="L252" s="125">
        <v>0.35532697822447296</v>
      </c>
      <c r="M252" s="125">
        <f>LUCK!F155</f>
        <v>0.35532697822447284</v>
      </c>
      <c r="N252" s="126" t="str">
        <f t="shared" si="7"/>
        <v>PASS</v>
      </c>
      <c r="O252" s="122"/>
      <c r="P252" s="119" t="s">
        <v>493</v>
      </c>
    </row>
    <row r="253" spans="1:16" ht="25.95" customHeight="1" x14ac:dyDescent="0.3">
      <c r="A253" s="50" t="s">
        <v>68</v>
      </c>
      <c r="B253" s="50">
        <v>2023</v>
      </c>
      <c r="C253" s="50">
        <v>17</v>
      </c>
      <c r="D253" s="50" t="s">
        <v>151</v>
      </c>
      <c r="E253" s="50" t="s">
        <v>3544</v>
      </c>
      <c r="F253" s="121">
        <f>LUCK!F62</f>
        <v>75712.740999999995</v>
      </c>
      <c r="G253" s="121">
        <f>LUCK!F41</f>
        <v>137366.326</v>
      </c>
      <c r="H253" s="121">
        <f t="shared" si="6"/>
        <v>0.5511739536514938</v>
      </c>
      <c r="I253" s="121">
        <v>75712.741000000009</v>
      </c>
      <c r="J253" s="121">
        <v>137366.326</v>
      </c>
      <c r="K253" s="121">
        <v>0.55117395365149391</v>
      </c>
      <c r="L253" s="127">
        <v>0.55117395365149391</v>
      </c>
      <c r="M253" s="127">
        <f>LUCK!F156</f>
        <v>0.5511739536514938</v>
      </c>
      <c r="N253" s="128" t="str">
        <f t="shared" si="7"/>
        <v>PASS</v>
      </c>
      <c r="O253" s="68"/>
      <c r="P253" s="50" t="s">
        <v>493</v>
      </c>
    </row>
    <row r="254" spans="1:16" ht="25.95" customHeight="1" x14ac:dyDescent="0.3">
      <c r="A254" s="119" t="s">
        <v>68</v>
      </c>
      <c r="B254" s="119">
        <v>2023</v>
      </c>
      <c r="C254" s="119">
        <v>18</v>
      </c>
      <c r="D254" s="119" t="s">
        <v>935</v>
      </c>
      <c r="E254" s="119" t="s">
        <v>3545</v>
      </c>
      <c r="F254" s="120">
        <f>LUCK!F66</f>
        <v>21041.947</v>
      </c>
      <c r="G254" s="120">
        <f>LUCK!F66+LUCK!F41</f>
        <v>158408.27299999999</v>
      </c>
      <c r="H254" s="120">
        <f t="shared" si="6"/>
        <v>0.13283363678865434</v>
      </c>
      <c r="I254" s="120">
        <v>21041.947</v>
      </c>
      <c r="J254" s="120">
        <v>158408.27299999999</v>
      </c>
      <c r="K254" s="120">
        <v>0.13283363678865434</v>
      </c>
      <c r="L254" s="125">
        <v>0.13283363678865434</v>
      </c>
      <c r="M254" s="125">
        <f>LUCK!F157</f>
        <v>0.13283363678865434</v>
      </c>
      <c r="N254" s="126" t="str">
        <f t="shared" si="7"/>
        <v>PASS</v>
      </c>
      <c r="O254" s="122"/>
      <c r="P254" s="119" t="s">
        <v>493</v>
      </c>
    </row>
    <row r="255" spans="1:16" ht="25.95" customHeight="1" x14ac:dyDescent="0.3">
      <c r="A255" s="50" t="s">
        <v>68</v>
      </c>
      <c r="B255" s="50">
        <v>2023</v>
      </c>
      <c r="C255" s="50">
        <v>19</v>
      </c>
      <c r="D255" s="50" t="s">
        <v>936</v>
      </c>
      <c r="E255" s="50" t="s">
        <v>3545</v>
      </c>
      <c r="F255" s="121">
        <f>LUCK!F67</f>
        <v>14557.294</v>
      </c>
      <c r="G255" s="121">
        <f>LUCK!F37</f>
        <v>213079.06700000001</v>
      </c>
      <c r="H255" s="121">
        <f t="shared" si="6"/>
        <v>6.8318742919969699E-2</v>
      </c>
      <c r="I255" s="121">
        <v>14557.294</v>
      </c>
      <c r="J255" s="121">
        <v>213079.06699999998</v>
      </c>
      <c r="K255" s="121">
        <v>6.8318742919969713E-2</v>
      </c>
      <c r="L255" s="127">
        <v>6.8318742919969713E-2</v>
      </c>
      <c r="M255" s="127">
        <f>LUCK!F158</f>
        <v>6.8318742919969699E-2</v>
      </c>
      <c r="N255" s="128" t="str">
        <f t="shared" si="7"/>
        <v>PASS</v>
      </c>
      <c r="O255" s="68"/>
      <c r="P255" s="50" t="s">
        <v>493</v>
      </c>
    </row>
    <row r="256" spans="1:16" ht="25.95" customHeight="1" x14ac:dyDescent="0.3">
      <c r="A256" s="119" t="s">
        <v>68</v>
      </c>
      <c r="B256" s="119">
        <v>2023</v>
      </c>
      <c r="C256" s="119">
        <v>20</v>
      </c>
      <c r="D256" s="119" t="s">
        <v>938</v>
      </c>
      <c r="E256" s="119" t="s">
        <v>3544</v>
      </c>
      <c r="F256" s="120">
        <f>LUCK!F108</f>
        <v>22513.043999999998</v>
      </c>
      <c r="G256" s="120">
        <f>LUCK!F106</f>
        <v>1158.796</v>
      </c>
      <c r="H256" s="120">
        <f t="shared" si="6"/>
        <v>19.427961435835122</v>
      </c>
      <c r="I256" s="120">
        <v>22513.043999999998</v>
      </c>
      <c r="J256" s="120">
        <v>1158.796</v>
      </c>
      <c r="K256" s="120">
        <v>19.427961435835122</v>
      </c>
      <c r="L256" s="125">
        <v>19.427961435835122</v>
      </c>
      <c r="M256" s="125">
        <f>LUCK!F159</f>
        <v>19.427961435835122</v>
      </c>
      <c r="N256" s="126" t="str">
        <f t="shared" si="7"/>
        <v>PASS</v>
      </c>
      <c r="O256" s="122"/>
      <c r="P256" s="119" t="s">
        <v>493</v>
      </c>
    </row>
    <row r="257" spans="1:16" ht="25.95" customHeight="1" x14ac:dyDescent="0.3">
      <c r="A257" s="50" t="s">
        <v>68</v>
      </c>
      <c r="B257" s="50">
        <v>2023</v>
      </c>
      <c r="C257" s="50">
        <v>21</v>
      </c>
      <c r="D257" s="50" t="s">
        <v>154</v>
      </c>
      <c r="E257" s="50" t="s">
        <v>3544</v>
      </c>
      <c r="F257" s="121">
        <f>LUCK!F86</f>
        <v>26060.678</v>
      </c>
      <c r="G257" s="121">
        <f>LUCK!F84</f>
        <v>95832.146999999997</v>
      </c>
      <c r="H257" s="121">
        <f t="shared" si="6"/>
        <v>0.27194087595679139</v>
      </c>
      <c r="I257" s="121">
        <v>26060.678</v>
      </c>
      <c r="J257" s="121">
        <v>95832.146999999997</v>
      </c>
      <c r="K257" s="121">
        <v>0.27194087595679139</v>
      </c>
      <c r="L257" s="127">
        <v>0.27194087595679139</v>
      </c>
      <c r="M257" s="127">
        <f>LUCK!F161</f>
        <v>0.27194087595679139</v>
      </c>
      <c r="N257" s="128" t="str">
        <f t="shared" si="7"/>
        <v>PASS</v>
      </c>
      <c r="O257" s="68"/>
      <c r="P257" s="50" t="s">
        <v>504</v>
      </c>
    </row>
    <row r="258" spans="1:16" ht="25.95" customHeight="1" x14ac:dyDescent="0.3">
      <c r="A258" s="119" t="s">
        <v>68</v>
      </c>
      <c r="B258" s="119">
        <v>2023</v>
      </c>
      <c r="C258" s="119">
        <v>22</v>
      </c>
      <c r="D258" s="119" t="s">
        <v>942</v>
      </c>
      <c r="E258" s="119" t="s">
        <v>3544</v>
      </c>
      <c r="F258" s="120">
        <f>LUCK!F91</f>
        <v>16465.620999999999</v>
      </c>
      <c r="G258" s="120">
        <f>LUCK!F84</f>
        <v>95832.146999999997</v>
      </c>
      <c r="H258" s="120">
        <f t="shared" si="6"/>
        <v>0.17181730260097375</v>
      </c>
      <c r="I258" s="120">
        <v>16465.620999999999</v>
      </c>
      <c r="J258" s="120">
        <v>95832.146999999997</v>
      </c>
      <c r="K258" s="120">
        <v>0.17181730260097375</v>
      </c>
      <c r="L258" s="125">
        <v>0.17181730260097375</v>
      </c>
      <c r="M258" s="125">
        <f>LUCK!F162</f>
        <v>0.17181730260097375</v>
      </c>
      <c r="N258" s="126" t="str">
        <f t="shared" si="7"/>
        <v>PASS</v>
      </c>
      <c r="O258" s="122"/>
      <c r="P258" s="119" t="s">
        <v>504</v>
      </c>
    </row>
    <row r="259" spans="1:16" ht="25.95" customHeight="1" x14ac:dyDescent="0.3">
      <c r="A259" s="50" t="s">
        <v>68</v>
      </c>
      <c r="B259" s="50">
        <v>2023</v>
      </c>
      <c r="C259" s="50">
        <v>23</v>
      </c>
      <c r="D259" s="50" t="s">
        <v>155</v>
      </c>
      <c r="E259" s="50" t="s">
        <v>3544</v>
      </c>
      <c r="F259" s="121">
        <f>LUCK!F99</f>
        <v>13725.813999999998</v>
      </c>
      <c r="G259" s="121">
        <f>LUCK!F84</f>
        <v>95832.146999999997</v>
      </c>
      <c r="H259" s="121">
        <f t="shared" si="6"/>
        <v>0.14322765825125466</v>
      </c>
      <c r="I259" s="121">
        <v>13725.813999999998</v>
      </c>
      <c r="J259" s="121">
        <v>95832.146999999997</v>
      </c>
      <c r="K259" s="121">
        <v>0.14322765825125466</v>
      </c>
      <c r="L259" s="127">
        <v>0.14322765825125466</v>
      </c>
      <c r="M259" s="127">
        <f>LUCK!F163</f>
        <v>0.14322765825125466</v>
      </c>
      <c r="N259" s="128" t="str">
        <f t="shared" si="7"/>
        <v>PASS</v>
      </c>
      <c r="O259" s="68"/>
      <c r="P259" s="50" t="s">
        <v>504</v>
      </c>
    </row>
    <row r="260" spans="1:16" ht="25.95" customHeight="1" x14ac:dyDescent="0.3">
      <c r="A260" s="119" t="s">
        <v>68</v>
      </c>
      <c r="B260" s="119">
        <v>2023</v>
      </c>
      <c r="C260" s="119">
        <v>24</v>
      </c>
      <c r="D260" s="119" t="s">
        <v>136</v>
      </c>
      <c r="E260" s="119" t="s">
        <v>3544</v>
      </c>
      <c r="F260" s="120">
        <f>LUCK!F99</f>
        <v>13725.813999999998</v>
      </c>
      <c r="G260" s="120">
        <f>AVERAGE(LUCK!E37,LUCK!F37)</f>
        <v>199020.71750000003</v>
      </c>
      <c r="H260" s="120">
        <f t="shared" si="6"/>
        <v>6.896675970430062E-2</v>
      </c>
      <c r="I260" s="120">
        <v>13725.813999999998</v>
      </c>
      <c r="J260" s="120">
        <v>199020.71749999997</v>
      </c>
      <c r="K260" s="120">
        <v>6.8966759704300634E-2</v>
      </c>
      <c r="L260" s="125">
        <v>6.8966759704300634E-2</v>
      </c>
      <c r="M260" s="125">
        <f>LUCK!F164</f>
        <v>6.896675970430062E-2</v>
      </c>
      <c r="N260" s="126" t="str">
        <f t="shared" si="7"/>
        <v>PASS</v>
      </c>
      <c r="O260" s="122"/>
      <c r="P260" s="119" t="s">
        <v>504</v>
      </c>
    </row>
    <row r="261" spans="1:16" ht="25.95" customHeight="1" x14ac:dyDescent="0.3">
      <c r="A261" s="50" t="s">
        <v>68</v>
      </c>
      <c r="B261" s="50">
        <v>2023</v>
      </c>
      <c r="C261" s="50">
        <v>25</v>
      </c>
      <c r="D261" s="50" t="s">
        <v>53</v>
      </c>
      <c r="E261" s="50" t="s">
        <v>3544</v>
      </c>
      <c r="F261" s="121">
        <f>LUCK!F99</f>
        <v>13725.813999999998</v>
      </c>
      <c r="G261" s="121">
        <f>AVERAGE(LUCK!E41,LUCK!F41)</f>
        <v>132953.32500000001</v>
      </c>
      <c r="H261" s="121">
        <f t="shared" si="6"/>
        <v>0.10323783929435384</v>
      </c>
      <c r="I261" s="121">
        <v>13725.813999999998</v>
      </c>
      <c r="J261" s="121">
        <v>132953.32500000001</v>
      </c>
      <c r="K261" s="121">
        <v>0.10323783929435384</v>
      </c>
      <c r="L261" s="127">
        <v>0.10323783929435384</v>
      </c>
      <c r="M261" s="127">
        <f>LUCK!F165</f>
        <v>0.10323783929435384</v>
      </c>
      <c r="N261" s="128" t="str">
        <f t="shared" si="7"/>
        <v>PASS</v>
      </c>
      <c r="O261" s="68"/>
      <c r="P261" s="50" t="s">
        <v>504</v>
      </c>
    </row>
    <row r="262" spans="1:16" ht="25.95" customHeight="1" x14ac:dyDescent="0.3">
      <c r="A262" s="119" t="s">
        <v>68</v>
      </c>
      <c r="B262" s="119">
        <v>2023</v>
      </c>
      <c r="C262" s="119">
        <v>26</v>
      </c>
      <c r="D262" s="119" t="s">
        <v>944</v>
      </c>
      <c r="E262" s="119" t="s">
        <v>3545</v>
      </c>
      <c r="F262" s="120">
        <f>LUCK!F113</f>
        <v>14478.090592746734</v>
      </c>
      <c r="G262" s="120">
        <f>AVERAGE(LUCK!E70,LUCK!F70)</f>
        <v>151272.1225</v>
      </c>
      <c r="H262" s="120">
        <f t="shared" ref="H262:H325" si="8">IF(G262&lt;=0,"n/m",F262/G262)</f>
        <v>9.5708914196974623E-2</v>
      </c>
      <c r="I262" s="120">
        <v>14478.090592746734</v>
      </c>
      <c r="J262" s="120">
        <v>151272.1225</v>
      </c>
      <c r="K262" s="120">
        <v>9.5708914196974623E-2</v>
      </c>
      <c r="L262" s="125">
        <v>9.5708914196974623E-2</v>
      </c>
      <c r="M262" s="125">
        <f>LUCK!F166</f>
        <v>9.5708914196974623E-2</v>
      </c>
      <c r="N262" s="126" t="str">
        <f t="shared" ref="N262:N325" si="9">IF(AND(ABS(F262-I262)&lt;0.000001,ABS(G262-J262)&lt;0.000001,IF(ISNUMBER(L262),IF(ISNUMBER(M262),ABS(L262-M262)&lt;0.00000001,FALSE),M262=L262)),"PASS","FAIL")</f>
        <v>PASS</v>
      </c>
      <c r="O262" s="122"/>
      <c r="P262" s="119" t="s">
        <v>504</v>
      </c>
    </row>
    <row r="263" spans="1:16" ht="25.95" customHeight="1" x14ac:dyDescent="0.3">
      <c r="A263" s="50" t="s">
        <v>68</v>
      </c>
      <c r="B263" s="50">
        <v>2023</v>
      </c>
      <c r="C263" s="50">
        <v>27</v>
      </c>
      <c r="D263" s="50" t="s">
        <v>945</v>
      </c>
      <c r="E263" s="50" t="s">
        <v>3545</v>
      </c>
      <c r="F263" s="121">
        <f>LUCK!F108</f>
        <v>22513.043999999998</v>
      </c>
      <c r="G263" s="121">
        <f>AVERAGE(LUCK!E37,LUCK!F37)</f>
        <v>199020.71750000003</v>
      </c>
      <c r="H263" s="121">
        <f t="shared" si="8"/>
        <v>0.11311909776428172</v>
      </c>
      <c r="I263" s="121">
        <v>22513.043999999998</v>
      </c>
      <c r="J263" s="121">
        <v>199020.71749999997</v>
      </c>
      <c r="K263" s="121">
        <v>0.11311909776428176</v>
      </c>
      <c r="L263" s="127">
        <v>0.11311909776428176</v>
      </c>
      <c r="M263" s="127">
        <f>LUCK!F167</f>
        <v>0.11311909776428172</v>
      </c>
      <c r="N263" s="128" t="str">
        <f t="shared" si="9"/>
        <v>PASS</v>
      </c>
      <c r="O263" s="68"/>
      <c r="P263" s="50" t="s">
        <v>504</v>
      </c>
    </row>
    <row r="264" spans="1:16" ht="25.95" customHeight="1" x14ac:dyDescent="0.3">
      <c r="A264" s="119" t="s">
        <v>68</v>
      </c>
      <c r="B264" s="119">
        <v>2023</v>
      </c>
      <c r="C264" s="119">
        <v>28</v>
      </c>
      <c r="D264" s="119" t="s">
        <v>139</v>
      </c>
      <c r="E264" s="119" t="s">
        <v>3545</v>
      </c>
      <c r="F264" s="120">
        <f>LUCK!F41</f>
        <v>137366.326</v>
      </c>
      <c r="G264" s="120">
        <f>LUCK!F128</f>
        <v>311.83859999999999</v>
      </c>
      <c r="H264" s="120">
        <f t="shared" si="8"/>
        <v>440.50456229600826</v>
      </c>
      <c r="I264" s="120">
        <v>137366.326</v>
      </c>
      <c r="J264" s="120">
        <v>311.83859999999999</v>
      </c>
      <c r="K264" s="120">
        <v>440.50456229600826</v>
      </c>
      <c r="L264" s="125">
        <v>440.50456229600826</v>
      </c>
      <c r="M264" s="125">
        <f>LUCK!F169</f>
        <v>440.50456229600826</v>
      </c>
      <c r="N264" s="126" t="str">
        <f t="shared" si="9"/>
        <v>PASS</v>
      </c>
      <c r="O264" s="122"/>
      <c r="P264" s="119" t="s">
        <v>519</v>
      </c>
    </row>
    <row r="265" spans="1:16" ht="25.95" customHeight="1" x14ac:dyDescent="0.3">
      <c r="A265" s="50" t="s">
        <v>68</v>
      </c>
      <c r="B265" s="50">
        <v>2023</v>
      </c>
      <c r="C265" s="50">
        <v>29</v>
      </c>
      <c r="D265" s="50" t="s">
        <v>162</v>
      </c>
      <c r="E265" s="50" t="s">
        <v>3544</v>
      </c>
      <c r="F265" s="121">
        <f>LUCK!F130</f>
        <v>522.09</v>
      </c>
      <c r="G265" s="121">
        <f>LUCK!F41/LUCK!F128</f>
        <v>440.50456229600826</v>
      </c>
      <c r="H265" s="121">
        <f t="shared" si="8"/>
        <v>1.1852090640758639</v>
      </c>
      <c r="I265" s="121">
        <v>522.09</v>
      </c>
      <c r="J265" s="121">
        <v>440.50456229600826</v>
      </c>
      <c r="K265" s="121">
        <v>1.1852090640758639</v>
      </c>
      <c r="L265" s="127">
        <v>1.1852090640758639</v>
      </c>
      <c r="M265" s="127">
        <f>LUCK!F170</f>
        <v>1.1852090640758639</v>
      </c>
      <c r="N265" s="128" t="str">
        <f t="shared" si="9"/>
        <v>PASS</v>
      </c>
      <c r="O265" s="68"/>
      <c r="P265" s="50" t="s">
        <v>519</v>
      </c>
    </row>
    <row r="266" spans="1:16" ht="25.95" customHeight="1" x14ac:dyDescent="0.3">
      <c r="A266" s="119" t="s">
        <v>68</v>
      </c>
      <c r="B266" s="119">
        <v>2023</v>
      </c>
      <c r="C266" s="119">
        <v>30</v>
      </c>
      <c r="D266" s="119" t="s">
        <v>143</v>
      </c>
      <c r="E266" s="119" t="s">
        <v>3544</v>
      </c>
      <c r="F266" s="120">
        <f>LUCK!F99</f>
        <v>13725.813999999998</v>
      </c>
      <c r="G266" s="120">
        <f>LUCK!F129</f>
        <v>318.74900000000002</v>
      </c>
      <c r="H266" s="120">
        <f t="shared" si="8"/>
        <v>43.061512349842658</v>
      </c>
      <c r="I266" s="120">
        <v>13725.813999999998</v>
      </c>
      <c r="J266" s="120">
        <v>318.74900000000002</v>
      </c>
      <c r="K266" s="120">
        <v>43.061512349842658</v>
      </c>
      <c r="L266" s="125">
        <v>43.061512349842658</v>
      </c>
      <c r="M266" s="125">
        <f>LUCK!F171</f>
        <v>43.061512349842658</v>
      </c>
      <c r="N266" s="126" t="str">
        <f t="shared" si="9"/>
        <v>PASS</v>
      </c>
      <c r="O266" s="122"/>
      <c r="P266" s="119" t="s">
        <v>519</v>
      </c>
    </row>
    <row r="267" spans="1:16" ht="25.95" customHeight="1" x14ac:dyDescent="0.3">
      <c r="A267" s="50" t="s">
        <v>68</v>
      </c>
      <c r="B267" s="50">
        <v>2023</v>
      </c>
      <c r="C267" s="50">
        <v>31</v>
      </c>
      <c r="D267" s="50" t="s">
        <v>952</v>
      </c>
      <c r="E267" s="50" t="s">
        <v>3544</v>
      </c>
      <c r="F267" s="121">
        <f>LUCK!F130</f>
        <v>522.09</v>
      </c>
      <c r="G267" s="121">
        <f>LUCK!F99/LUCK!F129</f>
        <v>43.061512349842658</v>
      </c>
      <c r="H267" s="121">
        <f t="shared" si="8"/>
        <v>12.124283879265743</v>
      </c>
      <c r="I267" s="121">
        <v>522.09</v>
      </c>
      <c r="J267" s="121">
        <v>43.061512349842658</v>
      </c>
      <c r="K267" s="121">
        <v>12.124283879265743</v>
      </c>
      <c r="L267" s="127">
        <v>12.124283879265743</v>
      </c>
      <c r="M267" s="127">
        <f>LUCK!F172</f>
        <v>12.124283879265743</v>
      </c>
      <c r="N267" s="128" t="str">
        <f t="shared" si="9"/>
        <v>PASS</v>
      </c>
      <c r="O267" s="68"/>
      <c r="P267" s="50" t="s">
        <v>519</v>
      </c>
    </row>
    <row r="268" spans="1:16" ht="25.95" customHeight="1" x14ac:dyDescent="0.3">
      <c r="A268" s="119" t="s">
        <v>68</v>
      </c>
      <c r="B268" s="119">
        <v>2023</v>
      </c>
      <c r="C268" s="119">
        <v>32</v>
      </c>
      <c r="D268" s="119" t="s">
        <v>104</v>
      </c>
      <c r="E268" s="119" t="s">
        <v>3544</v>
      </c>
      <c r="F268" s="120">
        <f>LUCK!F131</f>
        <v>18</v>
      </c>
      <c r="G268" s="120">
        <f>LUCK!F130</f>
        <v>522.09</v>
      </c>
      <c r="H268" s="120">
        <f t="shared" si="8"/>
        <v>3.4476814342354764E-2</v>
      </c>
      <c r="I268" s="120">
        <v>18</v>
      </c>
      <c r="J268" s="120">
        <v>522.09</v>
      </c>
      <c r="K268" s="120">
        <v>3.4476814342354764E-2</v>
      </c>
      <c r="L268" s="125">
        <v>3.4476814342354764E-2</v>
      </c>
      <c r="M268" s="125">
        <f>LUCK!F173</f>
        <v>3.4476814342354764E-2</v>
      </c>
      <c r="N268" s="126" t="str">
        <f t="shared" si="9"/>
        <v>PASS</v>
      </c>
      <c r="O268" s="122"/>
      <c r="P268" s="119" t="s">
        <v>519</v>
      </c>
    </row>
    <row r="269" spans="1:16" ht="25.95" customHeight="1" x14ac:dyDescent="0.3">
      <c r="A269" s="50" t="s">
        <v>68</v>
      </c>
      <c r="B269" s="50">
        <v>2023</v>
      </c>
      <c r="C269" s="50">
        <v>33</v>
      </c>
      <c r="D269" s="50" t="s">
        <v>124</v>
      </c>
      <c r="E269" s="50" t="s">
        <v>3545</v>
      </c>
      <c r="F269" s="121">
        <f>LUCK!F131</f>
        <v>18</v>
      </c>
      <c r="G269" s="121">
        <f>LUCK!F99/LUCK!F129</f>
        <v>43.061512349842658</v>
      </c>
      <c r="H269" s="121">
        <f t="shared" si="8"/>
        <v>0.41800668433944982</v>
      </c>
      <c r="I269" s="121">
        <v>18</v>
      </c>
      <c r="J269" s="121">
        <v>43.061512349842658</v>
      </c>
      <c r="K269" s="121">
        <v>0.41800668433944982</v>
      </c>
      <c r="L269" s="127">
        <v>0.41800668433944982</v>
      </c>
      <c r="M269" s="127">
        <f>LUCK!F174</f>
        <v>0.41800668433944982</v>
      </c>
      <c r="N269" s="128" t="str">
        <f t="shared" si="9"/>
        <v>PASS</v>
      </c>
      <c r="O269" s="68"/>
      <c r="P269" s="50" t="s">
        <v>519</v>
      </c>
    </row>
    <row r="270" spans="1:16" ht="25.95" customHeight="1" x14ac:dyDescent="0.3">
      <c r="A270" s="119" t="s">
        <v>68</v>
      </c>
      <c r="B270" s="119">
        <v>2024</v>
      </c>
      <c r="C270" s="119">
        <v>1</v>
      </c>
      <c r="D270" s="119" t="s">
        <v>19</v>
      </c>
      <c r="E270" s="119" t="s">
        <v>3544</v>
      </c>
      <c r="F270" s="120">
        <f>LUCK!G36</f>
        <v>68452.084000000003</v>
      </c>
      <c r="G270" s="120">
        <f>LUCK!G61</f>
        <v>54188.472999999998</v>
      </c>
      <c r="H270" s="120">
        <f t="shared" si="8"/>
        <v>1.2632222354743232</v>
      </c>
      <c r="I270" s="120">
        <v>68452.084000000003</v>
      </c>
      <c r="J270" s="120">
        <v>54188.472999999998</v>
      </c>
      <c r="K270" s="120">
        <v>1.2632222354743232</v>
      </c>
      <c r="L270" s="125">
        <v>1.2632222354743232</v>
      </c>
      <c r="M270" s="125">
        <f>LUCK!G138</f>
        <v>1.2632222354743232</v>
      </c>
      <c r="N270" s="126" t="str">
        <f t="shared" si="9"/>
        <v>PASS</v>
      </c>
      <c r="O270" s="122"/>
      <c r="P270" s="119" t="s">
        <v>459</v>
      </c>
    </row>
    <row r="271" spans="1:16" ht="25.95" customHeight="1" x14ac:dyDescent="0.3">
      <c r="A271" s="50" t="s">
        <v>68</v>
      </c>
      <c r="B271" s="50">
        <v>2024</v>
      </c>
      <c r="C271" s="50">
        <v>2</v>
      </c>
      <c r="D271" s="50" t="s">
        <v>30</v>
      </c>
      <c r="E271" s="50" t="s">
        <v>3544</v>
      </c>
      <c r="F271" s="121">
        <f>LUCK!G36-LUCK!G65</f>
        <v>45354.837</v>
      </c>
      <c r="G271" s="121">
        <f>LUCK!G61</f>
        <v>54188.472999999998</v>
      </c>
      <c r="H271" s="121">
        <f t="shared" si="8"/>
        <v>0.83698311631700717</v>
      </c>
      <c r="I271" s="121">
        <v>45354.837</v>
      </c>
      <c r="J271" s="121">
        <v>54188.472999999998</v>
      </c>
      <c r="K271" s="121">
        <v>0.83698311631700717</v>
      </c>
      <c r="L271" s="127">
        <v>0.83698311631700717</v>
      </c>
      <c r="M271" s="127">
        <f>LUCK!G139</f>
        <v>0.83698311631700717</v>
      </c>
      <c r="N271" s="128" t="str">
        <f t="shared" si="9"/>
        <v>PASS</v>
      </c>
      <c r="O271" s="68"/>
      <c r="P271" s="50" t="s">
        <v>459</v>
      </c>
    </row>
    <row r="272" spans="1:16" ht="25.95" customHeight="1" x14ac:dyDescent="0.3">
      <c r="A272" s="119" t="s">
        <v>68</v>
      </c>
      <c r="B272" s="119">
        <v>2024</v>
      </c>
      <c r="C272" s="119">
        <v>3</v>
      </c>
      <c r="D272" s="119" t="s">
        <v>145</v>
      </c>
      <c r="E272" s="119" t="s">
        <v>3544</v>
      </c>
      <c r="F272" s="120">
        <f>LUCK!G34</f>
        <v>2567.1759999999999</v>
      </c>
      <c r="G272" s="120">
        <f>LUCK!G61</f>
        <v>54188.472999999998</v>
      </c>
      <c r="H272" s="120">
        <f t="shared" si="8"/>
        <v>4.7374946328530058E-2</v>
      </c>
      <c r="I272" s="120">
        <v>2567.1759999999999</v>
      </c>
      <c r="J272" s="120">
        <v>54188.472999999998</v>
      </c>
      <c r="K272" s="120">
        <v>4.7374946328530058E-2</v>
      </c>
      <c r="L272" s="125">
        <v>4.7374946328530058E-2</v>
      </c>
      <c r="M272" s="125">
        <f>LUCK!G140</f>
        <v>4.7374946328530058E-2</v>
      </c>
      <c r="N272" s="126" t="str">
        <f t="shared" si="9"/>
        <v>PASS</v>
      </c>
      <c r="O272" s="122"/>
      <c r="P272" s="119" t="s">
        <v>459</v>
      </c>
    </row>
    <row r="273" spans="1:16" ht="25.95" customHeight="1" x14ac:dyDescent="0.3">
      <c r="A273" s="50" t="s">
        <v>68</v>
      </c>
      <c r="B273" s="50">
        <v>2024</v>
      </c>
      <c r="C273" s="50">
        <v>4</v>
      </c>
      <c r="D273" s="50" t="s">
        <v>201</v>
      </c>
      <c r="E273" s="50" t="s">
        <v>3545</v>
      </c>
      <c r="F273" s="121">
        <f>LUCK!G36-LUCK!G61</f>
        <v>14263.611000000004</v>
      </c>
      <c r="G273" s="121">
        <f>1</f>
        <v>1</v>
      </c>
      <c r="H273" s="121">
        <f t="shared" si="8"/>
        <v>14263.611000000004</v>
      </c>
      <c r="I273" s="121">
        <v>14263.611000000004</v>
      </c>
      <c r="J273" s="121">
        <v>1</v>
      </c>
      <c r="K273" s="121">
        <v>14263.611000000004</v>
      </c>
      <c r="L273" s="127">
        <v>14263.611000000004</v>
      </c>
      <c r="M273" s="127">
        <f>LUCK!G141</f>
        <v>14263.611000000004</v>
      </c>
      <c r="N273" s="128" t="str">
        <f t="shared" si="9"/>
        <v>PASS</v>
      </c>
      <c r="O273" s="68"/>
      <c r="P273" s="50" t="s">
        <v>459</v>
      </c>
    </row>
    <row r="274" spans="1:16" ht="25.95" customHeight="1" x14ac:dyDescent="0.3">
      <c r="A274" s="119" t="s">
        <v>68</v>
      </c>
      <c r="B274" s="119">
        <v>2024</v>
      </c>
      <c r="C274" s="119">
        <v>5</v>
      </c>
      <c r="D274" s="119" t="s">
        <v>923</v>
      </c>
      <c r="E274" s="119" t="s">
        <v>3545</v>
      </c>
      <c r="F274" s="120">
        <f>LUCK!G72-LUCK!G73</f>
        <v>-10154.963000000003</v>
      </c>
      <c r="G274" s="120">
        <f>1</f>
        <v>1</v>
      </c>
      <c r="H274" s="120">
        <f t="shared" si="8"/>
        <v>-10154.963000000003</v>
      </c>
      <c r="I274" s="120">
        <v>-10154.963000000003</v>
      </c>
      <c r="J274" s="120">
        <v>1</v>
      </c>
      <c r="K274" s="120">
        <v>-10154.963000000003</v>
      </c>
      <c r="L274" s="125" t="s">
        <v>3546</v>
      </c>
      <c r="M274" s="125" t="str">
        <f>LUCK!G142</f>
        <v>n/m</v>
      </c>
      <c r="N274" s="126" t="str">
        <f t="shared" si="9"/>
        <v>PASS</v>
      </c>
      <c r="O274" s="122" t="s">
        <v>3547</v>
      </c>
      <c r="P274" s="119" t="s">
        <v>459</v>
      </c>
    </row>
    <row r="275" spans="1:16" ht="25.95" customHeight="1" x14ac:dyDescent="0.3">
      <c r="A275" s="50" t="s">
        <v>68</v>
      </c>
      <c r="B275" s="50">
        <v>2024</v>
      </c>
      <c r="C275" s="50">
        <v>6</v>
      </c>
      <c r="D275" s="50" t="s">
        <v>31</v>
      </c>
      <c r="E275" s="50" t="s">
        <v>3544</v>
      </c>
      <c r="F275" s="121">
        <f>-LUCK!G85</f>
        <v>76520.37</v>
      </c>
      <c r="G275" s="121">
        <f>AVERAGE(LUCK!F65,LUCK!G65)</f>
        <v>21614.885999999999</v>
      </c>
      <c r="H275" s="121">
        <f t="shared" si="8"/>
        <v>3.5401699550948362</v>
      </c>
      <c r="I275" s="121">
        <v>76520.37</v>
      </c>
      <c r="J275" s="121">
        <v>21614.885999999999</v>
      </c>
      <c r="K275" s="121">
        <v>3.5401699550948362</v>
      </c>
      <c r="L275" s="127">
        <v>3.5401699550948362</v>
      </c>
      <c r="M275" s="127">
        <f>LUCK!G144</f>
        <v>3.5401699550948362</v>
      </c>
      <c r="N275" s="128" t="str">
        <f t="shared" si="9"/>
        <v>PASS</v>
      </c>
      <c r="O275" s="68"/>
      <c r="P275" s="50" t="s">
        <v>471</v>
      </c>
    </row>
    <row r="276" spans="1:16" ht="25.95" customHeight="1" x14ac:dyDescent="0.3">
      <c r="A276" s="119" t="s">
        <v>68</v>
      </c>
      <c r="B276" s="119">
        <v>2024</v>
      </c>
      <c r="C276" s="119">
        <v>7</v>
      </c>
      <c r="D276" s="119" t="s">
        <v>129</v>
      </c>
      <c r="E276" s="119" t="s">
        <v>3545</v>
      </c>
      <c r="F276" s="120">
        <f>LUCK!G84</f>
        <v>115324.942</v>
      </c>
      <c r="G276" s="120">
        <f>AVERAGE(LUCK!F32,LUCK!G32)</f>
        <v>6011.0730000000003</v>
      </c>
      <c r="H276" s="120">
        <f t="shared" si="8"/>
        <v>19.185416979630755</v>
      </c>
      <c r="I276" s="120">
        <v>115324.942</v>
      </c>
      <c r="J276" s="120">
        <v>6011.0730000000003</v>
      </c>
      <c r="K276" s="120">
        <v>19.185416979630755</v>
      </c>
      <c r="L276" s="125">
        <v>19.185416979630755</v>
      </c>
      <c r="M276" s="125">
        <f>LUCK!G145</f>
        <v>19.185416979630755</v>
      </c>
      <c r="N276" s="126" t="str">
        <f t="shared" si="9"/>
        <v>PASS</v>
      </c>
      <c r="O276" s="122"/>
      <c r="P276" s="119" t="s">
        <v>471</v>
      </c>
    </row>
    <row r="277" spans="1:16" ht="25.95" customHeight="1" x14ac:dyDescent="0.3">
      <c r="A277" s="50" t="s">
        <v>68</v>
      </c>
      <c r="B277" s="50">
        <v>2024</v>
      </c>
      <c r="C277" s="50">
        <v>8</v>
      </c>
      <c r="D277" s="50" t="s">
        <v>133</v>
      </c>
      <c r="E277" s="50" t="s">
        <v>3545</v>
      </c>
      <c r="F277" s="121">
        <f>-LUCK!G85</f>
        <v>76520.37</v>
      </c>
      <c r="G277" s="121">
        <f>AVERAGE(LUCK!F51,LUCK!G51)</f>
        <v>6101.3450000000003</v>
      </c>
      <c r="H277" s="121">
        <f t="shared" si="8"/>
        <v>12.541557640159668</v>
      </c>
      <c r="I277" s="121">
        <v>76520.37</v>
      </c>
      <c r="J277" s="121">
        <v>6101.3450000000003</v>
      </c>
      <c r="K277" s="121">
        <v>12.541557640159668</v>
      </c>
      <c r="L277" s="127">
        <v>12.541557640159668</v>
      </c>
      <c r="M277" s="127">
        <f>LUCK!G146</f>
        <v>12.541557640159668</v>
      </c>
      <c r="N277" s="128" t="str">
        <f t="shared" si="9"/>
        <v>PASS</v>
      </c>
      <c r="O277" s="68"/>
      <c r="P277" s="50" t="s">
        <v>471</v>
      </c>
    </row>
    <row r="278" spans="1:16" ht="25.95" customHeight="1" x14ac:dyDescent="0.3">
      <c r="A278" s="119" t="s">
        <v>68</v>
      </c>
      <c r="B278" s="119">
        <v>2024</v>
      </c>
      <c r="C278" s="119">
        <v>9</v>
      </c>
      <c r="D278" s="119" t="s">
        <v>134</v>
      </c>
      <c r="E278" s="119" t="s">
        <v>3545</v>
      </c>
      <c r="F278" s="120">
        <f>365*AVERAGE(LUCK!F65,LUCK!G65)</f>
        <v>7889433.3899999997</v>
      </c>
      <c r="G278" s="120">
        <f>-LUCK!G85</f>
        <v>76520.37</v>
      </c>
      <c r="H278" s="120">
        <f t="shared" si="8"/>
        <v>103.10239469568691</v>
      </c>
      <c r="I278" s="120">
        <v>7889433.3899999997</v>
      </c>
      <c r="J278" s="120">
        <v>76520.37</v>
      </c>
      <c r="K278" s="120">
        <v>103.10239469568691</v>
      </c>
      <c r="L278" s="125">
        <v>103.10239469568691</v>
      </c>
      <c r="M278" s="125">
        <f>LUCK!G147</f>
        <v>103.10239469568691</v>
      </c>
      <c r="N278" s="126" t="str">
        <f t="shared" si="9"/>
        <v>PASS</v>
      </c>
      <c r="O278" s="122"/>
      <c r="P278" s="119" t="s">
        <v>471</v>
      </c>
    </row>
    <row r="279" spans="1:16" ht="25.95" customHeight="1" x14ac:dyDescent="0.3">
      <c r="A279" s="50" t="s">
        <v>68</v>
      </c>
      <c r="B279" s="50">
        <v>2024</v>
      </c>
      <c r="C279" s="50">
        <v>10</v>
      </c>
      <c r="D279" s="50" t="s">
        <v>187</v>
      </c>
      <c r="E279" s="50" t="s">
        <v>3544</v>
      </c>
      <c r="F279" s="121">
        <f>365*AVERAGE(LUCK!F32,LUCK!G32)</f>
        <v>2194041.645</v>
      </c>
      <c r="G279" s="121">
        <f>LUCK!G84</f>
        <v>115324.942</v>
      </c>
      <c r="H279" s="121">
        <f t="shared" si="8"/>
        <v>19.024866667611246</v>
      </c>
      <c r="I279" s="121">
        <v>2194041.645</v>
      </c>
      <c r="J279" s="121">
        <v>115324.942</v>
      </c>
      <c r="K279" s="121">
        <v>19.024866667611246</v>
      </c>
      <c r="L279" s="127">
        <v>19.024866667611246</v>
      </c>
      <c r="M279" s="127">
        <f>LUCK!G148</f>
        <v>19.024866667611246</v>
      </c>
      <c r="N279" s="128" t="str">
        <f t="shared" si="9"/>
        <v>PASS</v>
      </c>
      <c r="O279" s="68"/>
      <c r="P279" s="50" t="s">
        <v>471</v>
      </c>
    </row>
    <row r="280" spans="1:16" ht="25.95" customHeight="1" x14ac:dyDescent="0.3">
      <c r="A280" s="119" t="s">
        <v>68</v>
      </c>
      <c r="B280" s="119">
        <v>2024</v>
      </c>
      <c r="C280" s="119">
        <v>11</v>
      </c>
      <c r="D280" s="119" t="s">
        <v>190</v>
      </c>
      <c r="E280" s="119" t="s">
        <v>3545</v>
      </c>
      <c r="F280" s="120">
        <f>365*AVERAGE(LUCK!F51,LUCK!G51)</f>
        <v>2226990.9250000003</v>
      </c>
      <c r="G280" s="120">
        <f>-LUCK!G85</f>
        <v>76520.37</v>
      </c>
      <c r="H280" s="120">
        <f t="shared" si="8"/>
        <v>29.103243031888116</v>
      </c>
      <c r="I280" s="120">
        <v>2226990.9250000003</v>
      </c>
      <c r="J280" s="120">
        <v>76520.37</v>
      </c>
      <c r="K280" s="120">
        <v>29.103243031888116</v>
      </c>
      <c r="L280" s="125">
        <v>29.103243031888116</v>
      </c>
      <c r="M280" s="125">
        <f>LUCK!G149</f>
        <v>29.103243031888116</v>
      </c>
      <c r="N280" s="126" t="str">
        <f t="shared" si="9"/>
        <v>PASS</v>
      </c>
      <c r="O280" s="122"/>
      <c r="P280" s="119" t="s">
        <v>471</v>
      </c>
    </row>
    <row r="281" spans="1:16" ht="25.95" customHeight="1" x14ac:dyDescent="0.3">
      <c r="A281" s="50" t="s">
        <v>68</v>
      </c>
      <c r="B281" s="50">
        <v>2024</v>
      </c>
      <c r="C281" s="50">
        <v>12</v>
      </c>
      <c r="D281" s="50" t="s">
        <v>192</v>
      </c>
      <c r="E281" s="50" t="s">
        <v>3545</v>
      </c>
      <c r="F281" s="121">
        <f>365*AVERAGE(LUCK!F65,LUCK!G65)/(-LUCK!G85)+365*AVERAGE(LUCK!F32,LUCK!G32)/LUCK!G84</f>
        <v>122.12726136329816</v>
      </c>
      <c r="G281" s="121">
        <f>1</f>
        <v>1</v>
      </c>
      <c r="H281" s="121">
        <f t="shared" si="8"/>
        <v>122.12726136329816</v>
      </c>
      <c r="I281" s="121">
        <v>122.12726136329816</v>
      </c>
      <c r="J281" s="121">
        <v>1</v>
      </c>
      <c r="K281" s="121">
        <v>122.12726136329816</v>
      </c>
      <c r="L281" s="127">
        <v>122.12726136329816</v>
      </c>
      <c r="M281" s="127">
        <f>LUCK!G150</f>
        <v>122.12726136329816</v>
      </c>
      <c r="N281" s="128" t="str">
        <f t="shared" si="9"/>
        <v>PASS</v>
      </c>
      <c r="O281" s="68"/>
      <c r="P281" s="50" t="s">
        <v>471</v>
      </c>
    </row>
    <row r="282" spans="1:16" ht="25.95" customHeight="1" x14ac:dyDescent="0.3">
      <c r="A282" s="119" t="s">
        <v>68</v>
      </c>
      <c r="B282" s="119">
        <v>2024</v>
      </c>
      <c r="C282" s="119">
        <v>13</v>
      </c>
      <c r="D282" s="119" t="s">
        <v>150</v>
      </c>
      <c r="E282" s="119" t="s">
        <v>3545</v>
      </c>
      <c r="F282" s="120">
        <f>365*AVERAGE(LUCK!F65,LUCK!G65)/(-LUCK!G85)+365*AVERAGE(LUCK!F32,LUCK!G32)/LUCK!G84-365*AVERAGE(LUCK!F51,LUCK!G51)/(-LUCK!G85)</f>
        <v>93.024018331410048</v>
      </c>
      <c r="G282" s="120">
        <f>1</f>
        <v>1</v>
      </c>
      <c r="H282" s="120">
        <f t="shared" si="8"/>
        <v>93.024018331410048</v>
      </c>
      <c r="I282" s="120">
        <v>93.024018331410048</v>
      </c>
      <c r="J282" s="120">
        <v>1</v>
      </c>
      <c r="K282" s="120">
        <v>93.024018331410048</v>
      </c>
      <c r="L282" s="125">
        <v>93.024018331410048</v>
      </c>
      <c r="M282" s="125">
        <f>LUCK!G151</f>
        <v>93.024018331410048</v>
      </c>
      <c r="N282" s="126" t="str">
        <f t="shared" si="9"/>
        <v>PASS</v>
      </c>
      <c r="O282" s="122"/>
      <c r="P282" s="119" t="s">
        <v>471</v>
      </c>
    </row>
    <row r="283" spans="1:16" ht="25.95" customHeight="1" x14ac:dyDescent="0.3">
      <c r="A283" s="50" t="s">
        <v>68</v>
      </c>
      <c r="B283" s="50">
        <v>2024</v>
      </c>
      <c r="C283" s="50">
        <v>14</v>
      </c>
      <c r="D283" s="50" t="s">
        <v>196</v>
      </c>
      <c r="E283" s="50" t="s">
        <v>3544</v>
      </c>
      <c r="F283" s="121">
        <f>LUCK!G84</f>
        <v>115324.942</v>
      </c>
      <c r="G283" s="121">
        <f>AVERAGE(LUCK!F37,LUCK!G37)</f>
        <v>223548.5785</v>
      </c>
      <c r="H283" s="121">
        <f t="shared" si="8"/>
        <v>0.51588313723050583</v>
      </c>
      <c r="I283" s="121">
        <v>115324.942</v>
      </c>
      <c r="J283" s="121">
        <v>223548.5785</v>
      </c>
      <c r="K283" s="121">
        <v>0.51588313723050583</v>
      </c>
      <c r="L283" s="127">
        <v>0.51588313723050583</v>
      </c>
      <c r="M283" s="127">
        <f>LUCK!G152</f>
        <v>0.51588313723050583</v>
      </c>
      <c r="N283" s="128" t="str">
        <f t="shared" si="9"/>
        <v>PASS</v>
      </c>
      <c r="O283" s="68"/>
      <c r="P283" s="50" t="s">
        <v>471</v>
      </c>
    </row>
    <row r="284" spans="1:16" ht="25.95" customHeight="1" x14ac:dyDescent="0.3">
      <c r="A284" s="119" t="s">
        <v>68</v>
      </c>
      <c r="B284" s="119">
        <v>2024</v>
      </c>
      <c r="C284" s="119">
        <v>15</v>
      </c>
      <c r="D284" s="119" t="s">
        <v>199</v>
      </c>
      <c r="E284" s="119" t="s">
        <v>3544</v>
      </c>
      <c r="F284" s="120">
        <f>LUCK!G84</f>
        <v>115324.942</v>
      </c>
      <c r="G284" s="120">
        <f>AVERAGE(LUCK!F22,LUCK!G22)</f>
        <v>92841.915500000003</v>
      </c>
      <c r="H284" s="120">
        <f t="shared" si="8"/>
        <v>1.242164612598929</v>
      </c>
      <c r="I284" s="120">
        <v>115324.942</v>
      </c>
      <c r="J284" s="120">
        <v>92841.915500000003</v>
      </c>
      <c r="K284" s="120">
        <v>1.242164612598929</v>
      </c>
      <c r="L284" s="125">
        <v>1.242164612598929</v>
      </c>
      <c r="M284" s="125">
        <f>LUCK!G153</f>
        <v>1.242164612598929</v>
      </c>
      <c r="N284" s="126" t="str">
        <f t="shared" si="9"/>
        <v>PASS</v>
      </c>
      <c r="O284" s="122"/>
      <c r="P284" s="119" t="s">
        <v>471</v>
      </c>
    </row>
    <row r="285" spans="1:16" ht="25.95" customHeight="1" x14ac:dyDescent="0.3">
      <c r="A285" s="50" t="s">
        <v>68</v>
      </c>
      <c r="B285" s="50">
        <v>2024</v>
      </c>
      <c r="C285" s="50">
        <v>16</v>
      </c>
      <c r="D285" s="50" t="s">
        <v>932</v>
      </c>
      <c r="E285" s="50" t="s">
        <v>3544</v>
      </c>
      <c r="F285" s="121">
        <f>LUCK!G62</f>
        <v>86256.812999999995</v>
      </c>
      <c r="G285" s="121">
        <f>LUCK!G37</f>
        <v>234018.09</v>
      </c>
      <c r="H285" s="121">
        <f t="shared" si="8"/>
        <v>0.36859036410390322</v>
      </c>
      <c r="I285" s="121">
        <v>86256.812999999995</v>
      </c>
      <c r="J285" s="121">
        <v>234018.09</v>
      </c>
      <c r="K285" s="121">
        <v>0.36859036410390322</v>
      </c>
      <c r="L285" s="127">
        <v>0.36859036410390322</v>
      </c>
      <c r="M285" s="127">
        <f>LUCK!G155</f>
        <v>0.36859036410390322</v>
      </c>
      <c r="N285" s="128" t="str">
        <f t="shared" si="9"/>
        <v>PASS</v>
      </c>
      <c r="O285" s="68"/>
      <c r="P285" s="50" t="s">
        <v>493</v>
      </c>
    </row>
    <row r="286" spans="1:16" ht="25.95" customHeight="1" x14ac:dyDescent="0.3">
      <c r="A286" s="119" t="s">
        <v>68</v>
      </c>
      <c r="B286" s="119">
        <v>2024</v>
      </c>
      <c r="C286" s="119">
        <v>17</v>
      </c>
      <c r="D286" s="119" t="s">
        <v>151</v>
      </c>
      <c r="E286" s="119" t="s">
        <v>3544</v>
      </c>
      <c r="F286" s="120">
        <f>LUCK!G62</f>
        <v>86256.812999999995</v>
      </c>
      <c r="G286" s="120">
        <f>LUCK!G41</f>
        <v>147761.277</v>
      </c>
      <c r="H286" s="120">
        <f t="shared" si="8"/>
        <v>0.58375790160503283</v>
      </c>
      <c r="I286" s="120">
        <v>86256.812999999995</v>
      </c>
      <c r="J286" s="120">
        <v>147761.277</v>
      </c>
      <c r="K286" s="120">
        <v>0.58375790160503283</v>
      </c>
      <c r="L286" s="125">
        <v>0.58375790160503283</v>
      </c>
      <c r="M286" s="125">
        <f>LUCK!G156</f>
        <v>0.58375790160503283</v>
      </c>
      <c r="N286" s="126" t="str">
        <f t="shared" si="9"/>
        <v>PASS</v>
      </c>
      <c r="O286" s="122"/>
      <c r="P286" s="119" t="s">
        <v>493</v>
      </c>
    </row>
    <row r="287" spans="1:16" ht="25.95" customHeight="1" x14ac:dyDescent="0.3">
      <c r="A287" s="50" t="s">
        <v>68</v>
      </c>
      <c r="B287" s="50">
        <v>2024</v>
      </c>
      <c r="C287" s="50">
        <v>18</v>
      </c>
      <c r="D287" s="50" t="s">
        <v>935</v>
      </c>
      <c r="E287" s="50" t="s">
        <v>3545</v>
      </c>
      <c r="F287" s="121">
        <f>LUCK!G66</f>
        <v>20344.784000000003</v>
      </c>
      <c r="G287" s="121">
        <f>LUCK!G66+LUCK!G41</f>
        <v>168106.06100000002</v>
      </c>
      <c r="H287" s="121">
        <f t="shared" si="8"/>
        <v>0.12102350075289672</v>
      </c>
      <c r="I287" s="121">
        <v>20344.784</v>
      </c>
      <c r="J287" s="121">
        <v>168106.06099999999</v>
      </c>
      <c r="K287" s="121">
        <v>0.12102350075289671</v>
      </c>
      <c r="L287" s="127">
        <v>0.12102350075289671</v>
      </c>
      <c r="M287" s="127">
        <f>LUCK!G157</f>
        <v>0.12102350075289672</v>
      </c>
      <c r="N287" s="128" t="str">
        <f t="shared" si="9"/>
        <v>PASS</v>
      </c>
      <c r="O287" s="68"/>
      <c r="P287" s="50" t="s">
        <v>493</v>
      </c>
    </row>
    <row r="288" spans="1:16" ht="25.95" customHeight="1" x14ac:dyDescent="0.3">
      <c r="A288" s="119" t="s">
        <v>68</v>
      </c>
      <c r="B288" s="119">
        <v>2024</v>
      </c>
      <c r="C288" s="119">
        <v>19</v>
      </c>
      <c r="D288" s="119" t="s">
        <v>936</v>
      </c>
      <c r="E288" s="119" t="s">
        <v>3545</v>
      </c>
      <c r="F288" s="120">
        <f>LUCK!G67</f>
        <v>12760.637000000001</v>
      </c>
      <c r="G288" s="120">
        <f>LUCK!G37</f>
        <v>234018.09</v>
      </c>
      <c r="H288" s="120">
        <f t="shared" si="8"/>
        <v>5.4528421285721974E-2</v>
      </c>
      <c r="I288" s="120">
        <v>12760.637000000001</v>
      </c>
      <c r="J288" s="120">
        <v>234018.09</v>
      </c>
      <c r="K288" s="120">
        <v>5.4528421285721974E-2</v>
      </c>
      <c r="L288" s="125">
        <v>5.4528421285721974E-2</v>
      </c>
      <c r="M288" s="125">
        <f>LUCK!G158</f>
        <v>5.4528421285721974E-2</v>
      </c>
      <c r="N288" s="126" t="str">
        <f t="shared" si="9"/>
        <v>PASS</v>
      </c>
      <c r="O288" s="122"/>
      <c r="P288" s="119" t="s">
        <v>493</v>
      </c>
    </row>
    <row r="289" spans="1:16" ht="25.95" customHeight="1" x14ac:dyDescent="0.3">
      <c r="A289" s="50" t="s">
        <v>68</v>
      </c>
      <c r="B289" s="50">
        <v>2024</v>
      </c>
      <c r="C289" s="50">
        <v>20</v>
      </c>
      <c r="D289" s="50" t="s">
        <v>938</v>
      </c>
      <c r="E289" s="50" t="s">
        <v>3544</v>
      </c>
      <c r="F289" s="121">
        <f>LUCK!G108</f>
        <v>42968.732000000004</v>
      </c>
      <c r="G289" s="121">
        <f>LUCK!G106</f>
        <v>1560.5349999999999</v>
      </c>
      <c r="H289" s="121">
        <f t="shared" si="8"/>
        <v>27.534616013098077</v>
      </c>
      <c r="I289" s="121">
        <v>42968.731999999996</v>
      </c>
      <c r="J289" s="121">
        <v>1560.5349999999999</v>
      </c>
      <c r="K289" s="121">
        <v>27.534616013098073</v>
      </c>
      <c r="L289" s="127">
        <v>27.534616013098073</v>
      </c>
      <c r="M289" s="127">
        <f>LUCK!G159</f>
        <v>27.534616013098077</v>
      </c>
      <c r="N289" s="128" t="str">
        <f t="shared" si="9"/>
        <v>PASS</v>
      </c>
      <c r="O289" s="68"/>
      <c r="P289" s="50" t="s">
        <v>493</v>
      </c>
    </row>
    <row r="290" spans="1:16" ht="25.95" customHeight="1" x14ac:dyDescent="0.3">
      <c r="A290" s="119" t="s">
        <v>68</v>
      </c>
      <c r="B290" s="119">
        <v>2024</v>
      </c>
      <c r="C290" s="119">
        <v>21</v>
      </c>
      <c r="D290" s="119" t="s">
        <v>154</v>
      </c>
      <c r="E290" s="119" t="s">
        <v>3544</v>
      </c>
      <c r="F290" s="120">
        <f>LUCK!G86</f>
        <v>38804.572</v>
      </c>
      <c r="G290" s="120">
        <f>LUCK!G84</f>
        <v>115324.942</v>
      </c>
      <c r="H290" s="120">
        <f t="shared" si="8"/>
        <v>0.33648030796321582</v>
      </c>
      <c r="I290" s="120">
        <v>38804.572</v>
      </c>
      <c r="J290" s="120">
        <v>115324.942</v>
      </c>
      <c r="K290" s="120">
        <v>0.33648030796321582</v>
      </c>
      <c r="L290" s="125">
        <v>0.33648030796321582</v>
      </c>
      <c r="M290" s="125">
        <f>LUCK!G161</f>
        <v>0.33648030796321582</v>
      </c>
      <c r="N290" s="126" t="str">
        <f t="shared" si="9"/>
        <v>PASS</v>
      </c>
      <c r="O290" s="122"/>
      <c r="P290" s="119" t="s">
        <v>504</v>
      </c>
    </row>
    <row r="291" spans="1:16" ht="25.95" customHeight="1" x14ac:dyDescent="0.3">
      <c r="A291" s="50" t="s">
        <v>68</v>
      </c>
      <c r="B291" s="50">
        <v>2024</v>
      </c>
      <c r="C291" s="50">
        <v>22</v>
      </c>
      <c r="D291" s="50" t="s">
        <v>942</v>
      </c>
      <c r="E291" s="50" t="s">
        <v>3544</v>
      </c>
      <c r="F291" s="121">
        <f>LUCK!G91</f>
        <v>26393.368999999999</v>
      </c>
      <c r="G291" s="121">
        <f>LUCK!G84</f>
        <v>115324.942</v>
      </c>
      <c r="H291" s="121">
        <f t="shared" si="8"/>
        <v>0.22886089116784467</v>
      </c>
      <c r="I291" s="121">
        <v>26393.368999999999</v>
      </c>
      <c r="J291" s="121">
        <v>115324.942</v>
      </c>
      <c r="K291" s="121">
        <v>0.22886089116784467</v>
      </c>
      <c r="L291" s="127">
        <v>0.22886089116784467</v>
      </c>
      <c r="M291" s="127">
        <f>LUCK!G162</f>
        <v>0.22886089116784467</v>
      </c>
      <c r="N291" s="128" t="str">
        <f t="shared" si="9"/>
        <v>PASS</v>
      </c>
      <c r="O291" s="68"/>
      <c r="P291" s="50" t="s">
        <v>504</v>
      </c>
    </row>
    <row r="292" spans="1:16" ht="25.95" customHeight="1" x14ac:dyDescent="0.3">
      <c r="A292" s="119" t="s">
        <v>68</v>
      </c>
      <c r="B292" s="119">
        <v>2024</v>
      </c>
      <c r="C292" s="119">
        <v>23</v>
      </c>
      <c r="D292" s="119" t="s">
        <v>155</v>
      </c>
      <c r="E292" s="119" t="s">
        <v>3544</v>
      </c>
      <c r="F292" s="120">
        <f>LUCK!G99</f>
        <v>28106.539000000004</v>
      </c>
      <c r="G292" s="120">
        <f>LUCK!G84</f>
        <v>115324.942</v>
      </c>
      <c r="H292" s="120">
        <f t="shared" si="8"/>
        <v>0.24371604713228476</v>
      </c>
      <c r="I292" s="120">
        <v>28106.538999999997</v>
      </c>
      <c r="J292" s="120">
        <v>115324.942</v>
      </c>
      <c r="K292" s="120">
        <v>0.2437160471322847</v>
      </c>
      <c r="L292" s="125">
        <v>0.2437160471322847</v>
      </c>
      <c r="M292" s="125">
        <f>LUCK!G163</f>
        <v>0.24371604713228476</v>
      </c>
      <c r="N292" s="126" t="str">
        <f t="shared" si="9"/>
        <v>PASS</v>
      </c>
      <c r="O292" s="122"/>
      <c r="P292" s="119" t="s">
        <v>504</v>
      </c>
    </row>
    <row r="293" spans="1:16" ht="25.95" customHeight="1" x14ac:dyDescent="0.3">
      <c r="A293" s="50" t="s">
        <v>68</v>
      </c>
      <c r="B293" s="50">
        <v>2024</v>
      </c>
      <c r="C293" s="50">
        <v>24</v>
      </c>
      <c r="D293" s="50" t="s">
        <v>136</v>
      </c>
      <c r="E293" s="50" t="s">
        <v>3544</v>
      </c>
      <c r="F293" s="121">
        <f>LUCK!G99</f>
        <v>28106.539000000004</v>
      </c>
      <c r="G293" s="121">
        <f>AVERAGE(LUCK!F37,LUCK!G37)</f>
        <v>223548.5785</v>
      </c>
      <c r="H293" s="121">
        <f t="shared" si="8"/>
        <v>0.12572899898802087</v>
      </c>
      <c r="I293" s="121">
        <v>28106.538999999997</v>
      </c>
      <c r="J293" s="121">
        <v>223548.5785</v>
      </c>
      <c r="K293" s="121">
        <v>0.12572899898802084</v>
      </c>
      <c r="L293" s="127">
        <v>0.12572899898802084</v>
      </c>
      <c r="M293" s="127">
        <f>LUCK!G164</f>
        <v>0.12572899898802087</v>
      </c>
      <c r="N293" s="128" t="str">
        <f t="shared" si="9"/>
        <v>PASS</v>
      </c>
      <c r="O293" s="68"/>
      <c r="P293" s="50" t="s">
        <v>504</v>
      </c>
    </row>
    <row r="294" spans="1:16" ht="25.95" customHeight="1" x14ac:dyDescent="0.3">
      <c r="A294" s="119" t="s">
        <v>68</v>
      </c>
      <c r="B294" s="119">
        <v>2024</v>
      </c>
      <c r="C294" s="119">
        <v>25</v>
      </c>
      <c r="D294" s="119" t="s">
        <v>53</v>
      </c>
      <c r="E294" s="119" t="s">
        <v>3544</v>
      </c>
      <c r="F294" s="120">
        <f>LUCK!G99</f>
        <v>28106.539000000004</v>
      </c>
      <c r="G294" s="120">
        <f>AVERAGE(LUCK!F41,LUCK!G41)</f>
        <v>142563.8015</v>
      </c>
      <c r="H294" s="120">
        <f t="shared" si="8"/>
        <v>0.19715059997190104</v>
      </c>
      <c r="I294" s="120">
        <v>28106.538999999997</v>
      </c>
      <c r="J294" s="120">
        <v>142563.8015</v>
      </c>
      <c r="K294" s="120">
        <v>0.19715059997190099</v>
      </c>
      <c r="L294" s="125">
        <v>0.19715059997190099</v>
      </c>
      <c r="M294" s="125">
        <f>LUCK!G165</f>
        <v>0.19715059997190104</v>
      </c>
      <c r="N294" s="126" t="str">
        <f t="shared" si="9"/>
        <v>PASS</v>
      </c>
      <c r="O294" s="122"/>
      <c r="P294" s="119" t="s">
        <v>504</v>
      </c>
    </row>
    <row r="295" spans="1:16" ht="25.95" customHeight="1" x14ac:dyDescent="0.3">
      <c r="A295" s="50" t="s">
        <v>68</v>
      </c>
      <c r="B295" s="50">
        <v>2024</v>
      </c>
      <c r="C295" s="50">
        <v>26</v>
      </c>
      <c r="D295" s="50" t="s">
        <v>944</v>
      </c>
      <c r="E295" s="50" t="s">
        <v>3545</v>
      </c>
      <c r="F295" s="121">
        <f>LUCK!G113</f>
        <v>29180.319521548747</v>
      </c>
      <c r="G295" s="121">
        <f>AVERAGE(LUCK!F70,LUCK!G70)</f>
        <v>163257.16700000002</v>
      </c>
      <c r="H295" s="121">
        <f t="shared" si="8"/>
        <v>0.17873836755692779</v>
      </c>
      <c r="I295" s="121">
        <v>29180.319521548743</v>
      </c>
      <c r="J295" s="121">
        <v>163257.16699999999</v>
      </c>
      <c r="K295" s="121">
        <v>0.17873836755692782</v>
      </c>
      <c r="L295" s="127">
        <v>0.17873836755692782</v>
      </c>
      <c r="M295" s="127">
        <f>LUCK!G166</f>
        <v>0.17873836755692779</v>
      </c>
      <c r="N295" s="128" t="str">
        <f t="shared" si="9"/>
        <v>PASS</v>
      </c>
      <c r="O295" s="68"/>
      <c r="P295" s="50" t="s">
        <v>504</v>
      </c>
    </row>
    <row r="296" spans="1:16" ht="25.95" customHeight="1" x14ac:dyDescent="0.3">
      <c r="A296" s="119" t="s">
        <v>68</v>
      </c>
      <c r="B296" s="119">
        <v>2024</v>
      </c>
      <c r="C296" s="119">
        <v>27</v>
      </c>
      <c r="D296" s="119" t="s">
        <v>945</v>
      </c>
      <c r="E296" s="119" t="s">
        <v>3545</v>
      </c>
      <c r="F296" s="120">
        <f>LUCK!G108</f>
        <v>42968.732000000004</v>
      </c>
      <c r="G296" s="120">
        <f>AVERAGE(LUCK!F37,LUCK!G37)</f>
        <v>223548.5785</v>
      </c>
      <c r="H296" s="120">
        <f t="shared" si="8"/>
        <v>0.19221205649491527</v>
      </c>
      <c r="I296" s="120">
        <v>42968.731999999996</v>
      </c>
      <c r="J296" s="120">
        <v>223548.5785</v>
      </c>
      <c r="K296" s="120">
        <v>0.19221205649491524</v>
      </c>
      <c r="L296" s="125">
        <v>0.19221205649491524</v>
      </c>
      <c r="M296" s="125">
        <f>LUCK!G167</f>
        <v>0.19221205649491527</v>
      </c>
      <c r="N296" s="126" t="str">
        <f t="shared" si="9"/>
        <v>PASS</v>
      </c>
      <c r="O296" s="122"/>
      <c r="P296" s="119" t="s">
        <v>504</v>
      </c>
    </row>
    <row r="297" spans="1:16" ht="25.95" customHeight="1" x14ac:dyDescent="0.3">
      <c r="A297" s="50" t="s">
        <v>68</v>
      </c>
      <c r="B297" s="50">
        <v>2024</v>
      </c>
      <c r="C297" s="50">
        <v>28</v>
      </c>
      <c r="D297" s="50" t="s">
        <v>139</v>
      </c>
      <c r="E297" s="50" t="s">
        <v>3545</v>
      </c>
      <c r="F297" s="121">
        <f>LUCK!G41</f>
        <v>147761.277</v>
      </c>
      <c r="G297" s="121">
        <f>LUCK!G128</f>
        <v>293</v>
      </c>
      <c r="H297" s="121">
        <f t="shared" si="8"/>
        <v>504.3046996587031</v>
      </c>
      <c r="I297" s="121">
        <v>147761.277</v>
      </c>
      <c r="J297" s="121">
        <v>293</v>
      </c>
      <c r="K297" s="121">
        <v>504.3046996587031</v>
      </c>
      <c r="L297" s="127">
        <v>504.3046996587031</v>
      </c>
      <c r="M297" s="127">
        <f>LUCK!G169</f>
        <v>504.3046996587031</v>
      </c>
      <c r="N297" s="128" t="str">
        <f t="shared" si="9"/>
        <v>PASS</v>
      </c>
      <c r="O297" s="68"/>
      <c r="P297" s="50" t="s">
        <v>519</v>
      </c>
    </row>
    <row r="298" spans="1:16" ht="25.95" customHeight="1" x14ac:dyDescent="0.3">
      <c r="A298" s="119" t="s">
        <v>68</v>
      </c>
      <c r="B298" s="119">
        <v>2024</v>
      </c>
      <c r="C298" s="119">
        <v>29</v>
      </c>
      <c r="D298" s="119" t="s">
        <v>162</v>
      </c>
      <c r="E298" s="119" t="s">
        <v>3544</v>
      </c>
      <c r="F298" s="120">
        <f>LUCK!G130</f>
        <v>906.73</v>
      </c>
      <c r="G298" s="120">
        <f>LUCK!G41/LUCK!G128</f>
        <v>504.3046996587031</v>
      </c>
      <c r="H298" s="120">
        <f t="shared" si="8"/>
        <v>1.7979804681845026</v>
      </c>
      <c r="I298" s="120">
        <v>906.73</v>
      </c>
      <c r="J298" s="120">
        <v>504.3046996587031</v>
      </c>
      <c r="K298" s="120">
        <v>1.7979804681845026</v>
      </c>
      <c r="L298" s="125">
        <v>1.7979804681845026</v>
      </c>
      <c r="M298" s="125">
        <f>LUCK!G170</f>
        <v>1.7979804681845026</v>
      </c>
      <c r="N298" s="126" t="str">
        <f t="shared" si="9"/>
        <v>PASS</v>
      </c>
      <c r="O298" s="122"/>
      <c r="P298" s="119" t="s">
        <v>519</v>
      </c>
    </row>
    <row r="299" spans="1:16" ht="25.95" customHeight="1" x14ac:dyDescent="0.3">
      <c r="A299" s="50" t="s">
        <v>68</v>
      </c>
      <c r="B299" s="50">
        <v>2024</v>
      </c>
      <c r="C299" s="50">
        <v>30</v>
      </c>
      <c r="D299" s="50" t="s">
        <v>143</v>
      </c>
      <c r="E299" s="50" t="s">
        <v>3544</v>
      </c>
      <c r="F299" s="121">
        <f>LUCK!G99</f>
        <v>28106.539000000004</v>
      </c>
      <c r="G299" s="121">
        <f>LUCK!G129</f>
        <v>297.29599999999999</v>
      </c>
      <c r="H299" s="121">
        <f t="shared" si="8"/>
        <v>94.540589177116431</v>
      </c>
      <c r="I299" s="121">
        <v>28106.538999999997</v>
      </c>
      <c r="J299" s="121">
        <v>297.29599999999999</v>
      </c>
      <c r="K299" s="121">
        <v>94.540589177116402</v>
      </c>
      <c r="L299" s="127">
        <v>94.540589177116402</v>
      </c>
      <c r="M299" s="127">
        <f>LUCK!G171</f>
        <v>94.540589177116431</v>
      </c>
      <c r="N299" s="128" t="str">
        <f t="shared" si="9"/>
        <v>PASS</v>
      </c>
      <c r="O299" s="68"/>
      <c r="P299" s="50" t="s">
        <v>519</v>
      </c>
    </row>
    <row r="300" spans="1:16" ht="25.95" customHeight="1" x14ac:dyDescent="0.3">
      <c r="A300" s="119" t="s">
        <v>68</v>
      </c>
      <c r="B300" s="119">
        <v>2024</v>
      </c>
      <c r="C300" s="119">
        <v>31</v>
      </c>
      <c r="D300" s="119" t="s">
        <v>952</v>
      </c>
      <c r="E300" s="119" t="s">
        <v>3544</v>
      </c>
      <c r="F300" s="120">
        <f>LUCK!G130</f>
        <v>906.73</v>
      </c>
      <c r="G300" s="120">
        <f>LUCK!G99/LUCK!G129</f>
        <v>94.540589177116431</v>
      </c>
      <c r="H300" s="120">
        <f t="shared" si="8"/>
        <v>9.5909070156236584</v>
      </c>
      <c r="I300" s="120">
        <v>906.73</v>
      </c>
      <c r="J300" s="120">
        <v>94.540589177116402</v>
      </c>
      <c r="K300" s="120">
        <v>9.5909070156236602</v>
      </c>
      <c r="L300" s="125">
        <v>9.5909070156236602</v>
      </c>
      <c r="M300" s="125">
        <f>LUCK!G172</f>
        <v>9.5909070156236584</v>
      </c>
      <c r="N300" s="126" t="str">
        <f t="shared" si="9"/>
        <v>PASS</v>
      </c>
      <c r="O300" s="122"/>
      <c r="P300" s="119" t="s">
        <v>519</v>
      </c>
    </row>
    <row r="301" spans="1:16" ht="25.95" customHeight="1" x14ac:dyDescent="0.3">
      <c r="A301" s="50" t="s">
        <v>68</v>
      </c>
      <c r="B301" s="50">
        <v>2024</v>
      </c>
      <c r="C301" s="50">
        <v>32</v>
      </c>
      <c r="D301" s="50" t="s">
        <v>104</v>
      </c>
      <c r="E301" s="50" t="s">
        <v>3544</v>
      </c>
      <c r="F301" s="121">
        <f>LUCK!G131</f>
        <v>15</v>
      </c>
      <c r="G301" s="121">
        <f>LUCK!G130</f>
        <v>906.73</v>
      </c>
      <c r="H301" s="121">
        <f t="shared" si="8"/>
        <v>1.6542962072502287E-2</v>
      </c>
      <c r="I301" s="121">
        <v>15</v>
      </c>
      <c r="J301" s="121">
        <v>906.73</v>
      </c>
      <c r="K301" s="121">
        <v>1.6542962072502287E-2</v>
      </c>
      <c r="L301" s="127">
        <v>1.6542962072502287E-2</v>
      </c>
      <c r="M301" s="127">
        <f>LUCK!G173</f>
        <v>1.6542962072502287E-2</v>
      </c>
      <c r="N301" s="128" t="str">
        <f t="shared" si="9"/>
        <v>PASS</v>
      </c>
      <c r="O301" s="68"/>
      <c r="P301" s="50" t="s">
        <v>519</v>
      </c>
    </row>
    <row r="302" spans="1:16" ht="25.95" customHeight="1" x14ac:dyDescent="0.3">
      <c r="A302" s="119" t="s">
        <v>68</v>
      </c>
      <c r="B302" s="119">
        <v>2024</v>
      </c>
      <c r="C302" s="119">
        <v>33</v>
      </c>
      <c r="D302" s="119" t="s">
        <v>124</v>
      </c>
      <c r="E302" s="119" t="s">
        <v>3545</v>
      </c>
      <c r="F302" s="120">
        <f>LUCK!G131</f>
        <v>15</v>
      </c>
      <c r="G302" s="120">
        <f>LUCK!G99/LUCK!G129</f>
        <v>94.540589177116431</v>
      </c>
      <c r="H302" s="120">
        <f t="shared" si="8"/>
        <v>0.15866201100035829</v>
      </c>
      <c r="I302" s="120">
        <v>15</v>
      </c>
      <c r="J302" s="120">
        <v>94.540589177116402</v>
      </c>
      <c r="K302" s="120">
        <v>0.15866201100035832</v>
      </c>
      <c r="L302" s="125">
        <v>0.15866201100035832</v>
      </c>
      <c r="M302" s="125">
        <f>LUCK!G174</f>
        <v>0.15866201100035829</v>
      </c>
      <c r="N302" s="126" t="str">
        <f t="shared" si="9"/>
        <v>PASS</v>
      </c>
      <c r="O302" s="122"/>
      <c r="P302" s="119" t="s">
        <v>519</v>
      </c>
    </row>
    <row r="303" spans="1:16" ht="25.95" customHeight="1" x14ac:dyDescent="0.3">
      <c r="A303" s="50" t="s">
        <v>68</v>
      </c>
      <c r="B303" s="50">
        <v>2025</v>
      </c>
      <c r="C303" s="50">
        <v>1</v>
      </c>
      <c r="D303" s="50" t="s">
        <v>19</v>
      </c>
      <c r="E303" s="50" t="s">
        <v>3544</v>
      </c>
      <c r="F303" s="121">
        <f>LUCK!H36</f>
        <v>100547.35900000001</v>
      </c>
      <c r="G303" s="121">
        <f>LUCK!H61</f>
        <v>58641.383000000002</v>
      </c>
      <c r="H303" s="121">
        <f t="shared" si="8"/>
        <v>1.7146143875904156</v>
      </c>
      <c r="I303" s="121">
        <v>100547.35900000001</v>
      </c>
      <c r="J303" s="121">
        <v>58641.383000000002</v>
      </c>
      <c r="K303" s="121">
        <v>1.7146143875904156</v>
      </c>
      <c r="L303" s="127">
        <v>1.7146143875904156</v>
      </c>
      <c r="M303" s="127">
        <f>LUCK!H138</f>
        <v>1.7146143875904156</v>
      </c>
      <c r="N303" s="128" t="str">
        <f t="shared" si="9"/>
        <v>PASS</v>
      </c>
      <c r="O303" s="68"/>
      <c r="P303" s="50" t="s">
        <v>459</v>
      </c>
    </row>
    <row r="304" spans="1:16" ht="25.95" customHeight="1" x14ac:dyDescent="0.3">
      <c r="A304" s="119" t="s">
        <v>68</v>
      </c>
      <c r="B304" s="119">
        <v>2025</v>
      </c>
      <c r="C304" s="119">
        <v>2</v>
      </c>
      <c r="D304" s="119" t="s">
        <v>30</v>
      </c>
      <c r="E304" s="119" t="s">
        <v>3544</v>
      </c>
      <c r="F304" s="120">
        <f>LUCK!H36-LUCK!H65</f>
        <v>75877.652000000002</v>
      </c>
      <c r="G304" s="120">
        <f>LUCK!H61</f>
        <v>58641.383000000002</v>
      </c>
      <c r="H304" s="120">
        <f t="shared" si="8"/>
        <v>1.2939267138361998</v>
      </c>
      <c r="I304" s="120">
        <v>75877.652000000002</v>
      </c>
      <c r="J304" s="120">
        <v>58641.383000000002</v>
      </c>
      <c r="K304" s="120">
        <v>1.2939267138361998</v>
      </c>
      <c r="L304" s="125">
        <v>1.2939267138361998</v>
      </c>
      <c r="M304" s="125">
        <f>LUCK!H139</f>
        <v>1.2939267138361998</v>
      </c>
      <c r="N304" s="126" t="str">
        <f t="shared" si="9"/>
        <v>PASS</v>
      </c>
      <c r="O304" s="122"/>
      <c r="P304" s="119" t="s">
        <v>459</v>
      </c>
    </row>
    <row r="305" spans="1:16" ht="25.95" customHeight="1" x14ac:dyDescent="0.3">
      <c r="A305" s="50" t="s">
        <v>68</v>
      </c>
      <c r="B305" s="50">
        <v>2025</v>
      </c>
      <c r="C305" s="50">
        <v>3</v>
      </c>
      <c r="D305" s="50" t="s">
        <v>145</v>
      </c>
      <c r="E305" s="50" t="s">
        <v>3544</v>
      </c>
      <c r="F305" s="121">
        <f>LUCK!H34</f>
        <v>2790.3229999999999</v>
      </c>
      <c r="G305" s="121">
        <f>LUCK!H61</f>
        <v>58641.383000000002</v>
      </c>
      <c r="H305" s="121">
        <f t="shared" si="8"/>
        <v>4.7582830711888222E-2</v>
      </c>
      <c r="I305" s="121">
        <v>2790.3229999999999</v>
      </c>
      <c r="J305" s="121">
        <v>58641.383000000002</v>
      </c>
      <c r="K305" s="121">
        <v>4.7582830711888222E-2</v>
      </c>
      <c r="L305" s="127">
        <v>4.7582830711888222E-2</v>
      </c>
      <c r="M305" s="127">
        <f>LUCK!H140</f>
        <v>4.7582830711888222E-2</v>
      </c>
      <c r="N305" s="128" t="str">
        <f t="shared" si="9"/>
        <v>PASS</v>
      </c>
      <c r="O305" s="68"/>
      <c r="P305" s="50" t="s">
        <v>459</v>
      </c>
    </row>
    <row r="306" spans="1:16" ht="25.95" customHeight="1" x14ac:dyDescent="0.3">
      <c r="A306" s="119" t="s">
        <v>68</v>
      </c>
      <c r="B306" s="119">
        <v>2025</v>
      </c>
      <c r="C306" s="119">
        <v>4</v>
      </c>
      <c r="D306" s="119" t="s">
        <v>201</v>
      </c>
      <c r="E306" s="119" t="s">
        <v>3545</v>
      </c>
      <c r="F306" s="120">
        <f>LUCK!H36-LUCK!H61</f>
        <v>41905.97600000001</v>
      </c>
      <c r="G306" s="120">
        <f>1</f>
        <v>1</v>
      </c>
      <c r="H306" s="120">
        <f t="shared" si="8"/>
        <v>41905.97600000001</v>
      </c>
      <c r="I306" s="120">
        <v>41905.97600000001</v>
      </c>
      <c r="J306" s="120">
        <v>1</v>
      </c>
      <c r="K306" s="120">
        <v>41905.97600000001</v>
      </c>
      <c r="L306" s="125">
        <v>41905.97600000001</v>
      </c>
      <c r="M306" s="125">
        <f>LUCK!H141</f>
        <v>41905.97600000001</v>
      </c>
      <c r="N306" s="126" t="str">
        <f t="shared" si="9"/>
        <v>PASS</v>
      </c>
      <c r="O306" s="122"/>
      <c r="P306" s="119" t="s">
        <v>459</v>
      </c>
    </row>
    <row r="307" spans="1:16" ht="25.95" customHeight="1" x14ac:dyDescent="0.3">
      <c r="A307" s="50" t="s">
        <v>68</v>
      </c>
      <c r="B307" s="50">
        <v>2025</v>
      </c>
      <c r="C307" s="50">
        <v>5</v>
      </c>
      <c r="D307" s="50" t="s">
        <v>923</v>
      </c>
      <c r="E307" s="50" t="s">
        <v>3545</v>
      </c>
      <c r="F307" s="121">
        <f>LUCK!H72-LUCK!H73</f>
        <v>-13579.952999999994</v>
      </c>
      <c r="G307" s="121">
        <f>1</f>
        <v>1</v>
      </c>
      <c r="H307" s="121">
        <f t="shared" si="8"/>
        <v>-13579.952999999994</v>
      </c>
      <c r="I307" s="121">
        <v>-13579.953000000001</v>
      </c>
      <c r="J307" s="121">
        <v>1</v>
      </c>
      <c r="K307" s="121">
        <v>-13579.953000000001</v>
      </c>
      <c r="L307" s="127" t="s">
        <v>3546</v>
      </c>
      <c r="M307" s="127" t="str">
        <f>LUCK!H142</f>
        <v>n/m</v>
      </c>
      <c r="N307" s="128" t="str">
        <f t="shared" si="9"/>
        <v>PASS</v>
      </c>
      <c r="O307" s="68" t="s">
        <v>3547</v>
      </c>
      <c r="P307" s="50" t="s">
        <v>459</v>
      </c>
    </row>
    <row r="308" spans="1:16" ht="25.95" customHeight="1" x14ac:dyDescent="0.3">
      <c r="A308" s="119" t="s">
        <v>68</v>
      </c>
      <c r="B308" s="119">
        <v>2025</v>
      </c>
      <c r="C308" s="119">
        <v>6</v>
      </c>
      <c r="D308" s="119" t="s">
        <v>31</v>
      </c>
      <c r="E308" s="119" t="s">
        <v>3544</v>
      </c>
      <c r="F308" s="120">
        <f>-LUCK!H85</f>
        <v>81827.06</v>
      </c>
      <c r="G308" s="120">
        <f>AVERAGE(LUCK!G65,LUCK!H65)</f>
        <v>23883.476999999999</v>
      </c>
      <c r="H308" s="120">
        <f t="shared" si="8"/>
        <v>3.4260949525900268</v>
      </c>
      <c r="I308" s="120">
        <v>81827.06</v>
      </c>
      <c r="J308" s="120">
        <v>23883.476999999999</v>
      </c>
      <c r="K308" s="120">
        <v>3.4260949525900268</v>
      </c>
      <c r="L308" s="125">
        <v>3.4260949525900268</v>
      </c>
      <c r="M308" s="125">
        <f>LUCK!H144</f>
        <v>3.4260949525900268</v>
      </c>
      <c r="N308" s="126" t="str">
        <f t="shared" si="9"/>
        <v>PASS</v>
      </c>
      <c r="O308" s="122"/>
      <c r="P308" s="119" t="s">
        <v>471</v>
      </c>
    </row>
    <row r="309" spans="1:16" ht="25.95" customHeight="1" x14ac:dyDescent="0.3">
      <c r="A309" s="50" t="s">
        <v>68</v>
      </c>
      <c r="B309" s="50">
        <v>2025</v>
      </c>
      <c r="C309" s="50">
        <v>7</v>
      </c>
      <c r="D309" s="50" t="s">
        <v>129</v>
      </c>
      <c r="E309" s="50" t="s">
        <v>3545</v>
      </c>
      <c r="F309" s="121">
        <f>LUCK!H84</f>
        <v>124511.74400000001</v>
      </c>
      <c r="G309" s="121">
        <f>AVERAGE(LUCK!G32,LUCK!H32)</f>
        <v>6642.8365000000003</v>
      </c>
      <c r="H309" s="121">
        <f t="shared" si="8"/>
        <v>18.743761644592638</v>
      </c>
      <c r="I309" s="121">
        <v>124511.74400000001</v>
      </c>
      <c r="J309" s="121">
        <v>6642.8365000000003</v>
      </c>
      <c r="K309" s="121">
        <v>18.743761644592638</v>
      </c>
      <c r="L309" s="127">
        <v>18.743761644592638</v>
      </c>
      <c r="M309" s="127">
        <f>LUCK!H145</f>
        <v>18.743761644592638</v>
      </c>
      <c r="N309" s="128" t="str">
        <f t="shared" si="9"/>
        <v>PASS</v>
      </c>
      <c r="O309" s="68"/>
      <c r="P309" s="50" t="s">
        <v>471</v>
      </c>
    </row>
    <row r="310" spans="1:16" ht="25.95" customHeight="1" x14ac:dyDescent="0.3">
      <c r="A310" s="119" t="s">
        <v>68</v>
      </c>
      <c r="B310" s="119">
        <v>2025</v>
      </c>
      <c r="C310" s="119">
        <v>8</v>
      </c>
      <c r="D310" s="119" t="s">
        <v>133</v>
      </c>
      <c r="E310" s="119" t="s">
        <v>3545</v>
      </c>
      <c r="F310" s="120">
        <f>-LUCK!H85</f>
        <v>81827.06</v>
      </c>
      <c r="G310" s="120">
        <f>AVERAGE(LUCK!G51,LUCK!H51)</f>
        <v>6799.5595000000003</v>
      </c>
      <c r="H310" s="120">
        <f t="shared" si="8"/>
        <v>12.034170742972393</v>
      </c>
      <c r="I310" s="120">
        <v>81827.06</v>
      </c>
      <c r="J310" s="120">
        <v>6799.5595000000003</v>
      </c>
      <c r="K310" s="120">
        <v>12.034170742972393</v>
      </c>
      <c r="L310" s="125">
        <v>12.034170742972393</v>
      </c>
      <c r="M310" s="125">
        <f>LUCK!H146</f>
        <v>12.034170742972393</v>
      </c>
      <c r="N310" s="126" t="str">
        <f t="shared" si="9"/>
        <v>PASS</v>
      </c>
      <c r="O310" s="122"/>
      <c r="P310" s="119" t="s">
        <v>471</v>
      </c>
    </row>
    <row r="311" spans="1:16" ht="25.95" customHeight="1" x14ac:dyDescent="0.3">
      <c r="A311" s="50" t="s">
        <v>68</v>
      </c>
      <c r="B311" s="50">
        <v>2025</v>
      </c>
      <c r="C311" s="50">
        <v>9</v>
      </c>
      <c r="D311" s="50" t="s">
        <v>134</v>
      </c>
      <c r="E311" s="50" t="s">
        <v>3545</v>
      </c>
      <c r="F311" s="121">
        <f>365*AVERAGE(LUCK!G65,LUCK!H65)</f>
        <v>8717469.1050000004</v>
      </c>
      <c r="G311" s="121">
        <f>-LUCK!H85</f>
        <v>81827.06</v>
      </c>
      <c r="H311" s="121">
        <f t="shared" si="8"/>
        <v>106.53528435458882</v>
      </c>
      <c r="I311" s="121">
        <v>8717469.1050000004</v>
      </c>
      <c r="J311" s="121">
        <v>81827.06</v>
      </c>
      <c r="K311" s="121">
        <v>106.53528435458882</v>
      </c>
      <c r="L311" s="127">
        <v>106.53528435458882</v>
      </c>
      <c r="M311" s="127">
        <f>LUCK!H147</f>
        <v>106.53528435458882</v>
      </c>
      <c r="N311" s="128" t="str">
        <f t="shared" si="9"/>
        <v>PASS</v>
      </c>
      <c r="O311" s="68"/>
      <c r="P311" s="50" t="s">
        <v>471</v>
      </c>
    </row>
    <row r="312" spans="1:16" ht="25.95" customHeight="1" x14ac:dyDescent="0.3">
      <c r="A312" s="119" t="s">
        <v>68</v>
      </c>
      <c r="B312" s="119">
        <v>2025</v>
      </c>
      <c r="C312" s="119">
        <v>10</v>
      </c>
      <c r="D312" s="119" t="s">
        <v>187</v>
      </c>
      <c r="E312" s="119" t="s">
        <v>3544</v>
      </c>
      <c r="F312" s="120">
        <f>365*AVERAGE(LUCK!G32,LUCK!H32)</f>
        <v>2424635.3225000002</v>
      </c>
      <c r="G312" s="120">
        <f>LUCK!H84</f>
        <v>124511.74400000001</v>
      </c>
      <c r="H312" s="120">
        <f t="shared" si="8"/>
        <v>19.473145621508603</v>
      </c>
      <c r="I312" s="120">
        <v>2424635.3225000002</v>
      </c>
      <c r="J312" s="120">
        <v>124511.74400000001</v>
      </c>
      <c r="K312" s="120">
        <v>19.473145621508603</v>
      </c>
      <c r="L312" s="125">
        <v>19.473145621508603</v>
      </c>
      <c r="M312" s="125">
        <f>LUCK!H148</f>
        <v>19.473145621508603</v>
      </c>
      <c r="N312" s="126" t="str">
        <f t="shared" si="9"/>
        <v>PASS</v>
      </c>
      <c r="O312" s="122"/>
      <c r="P312" s="119" t="s">
        <v>471</v>
      </c>
    </row>
    <row r="313" spans="1:16" ht="25.95" customHeight="1" x14ac:dyDescent="0.3">
      <c r="A313" s="50" t="s">
        <v>68</v>
      </c>
      <c r="B313" s="50">
        <v>2025</v>
      </c>
      <c r="C313" s="50">
        <v>11</v>
      </c>
      <c r="D313" s="50" t="s">
        <v>190</v>
      </c>
      <c r="E313" s="50" t="s">
        <v>3545</v>
      </c>
      <c r="F313" s="121">
        <f>365*AVERAGE(LUCK!G51,LUCK!H51)</f>
        <v>2481839.2175000003</v>
      </c>
      <c r="G313" s="121">
        <f>-LUCK!H85</f>
        <v>81827.06</v>
      </c>
      <c r="H313" s="121">
        <f t="shared" si="8"/>
        <v>30.330299261637901</v>
      </c>
      <c r="I313" s="121">
        <v>2481839.2175000003</v>
      </c>
      <c r="J313" s="121">
        <v>81827.06</v>
      </c>
      <c r="K313" s="121">
        <v>30.330299261637901</v>
      </c>
      <c r="L313" s="127">
        <v>30.330299261637901</v>
      </c>
      <c r="M313" s="127">
        <f>LUCK!H149</f>
        <v>30.330299261637901</v>
      </c>
      <c r="N313" s="128" t="str">
        <f t="shared" si="9"/>
        <v>PASS</v>
      </c>
      <c r="O313" s="68"/>
      <c r="P313" s="50" t="s">
        <v>471</v>
      </c>
    </row>
    <row r="314" spans="1:16" ht="25.95" customHeight="1" x14ac:dyDescent="0.3">
      <c r="A314" s="119" t="s">
        <v>68</v>
      </c>
      <c r="B314" s="119">
        <v>2025</v>
      </c>
      <c r="C314" s="119">
        <v>12</v>
      </c>
      <c r="D314" s="119" t="s">
        <v>192</v>
      </c>
      <c r="E314" s="119" t="s">
        <v>3545</v>
      </c>
      <c r="F314" s="120">
        <f>365*AVERAGE(LUCK!G65,LUCK!H65)/(-LUCK!H85)+365*AVERAGE(LUCK!G32,LUCK!H32)/LUCK!H84</f>
        <v>126.00842997609743</v>
      </c>
      <c r="G314" s="120">
        <f>1</f>
        <v>1</v>
      </c>
      <c r="H314" s="120">
        <f t="shared" si="8"/>
        <v>126.00842997609743</v>
      </c>
      <c r="I314" s="120">
        <v>126.00842997609743</v>
      </c>
      <c r="J314" s="120">
        <v>1</v>
      </c>
      <c r="K314" s="120">
        <v>126.00842997609743</v>
      </c>
      <c r="L314" s="125">
        <v>126.00842997609743</v>
      </c>
      <c r="M314" s="125">
        <f>LUCK!H150</f>
        <v>126.00842997609743</v>
      </c>
      <c r="N314" s="126" t="str">
        <f t="shared" si="9"/>
        <v>PASS</v>
      </c>
      <c r="O314" s="122"/>
      <c r="P314" s="119" t="s">
        <v>471</v>
      </c>
    </row>
    <row r="315" spans="1:16" ht="25.95" customHeight="1" x14ac:dyDescent="0.3">
      <c r="A315" s="50" t="s">
        <v>68</v>
      </c>
      <c r="B315" s="50">
        <v>2025</v>
      </c>
      <c r="C315" s="50">
        <v>13</v>
      </c>
      <c r="D315" s="50" t="s">
        <v>150</v>
      </c>
      <c r="E315" s="50" t="s">
        <v>3545</v>
      </c>
      <c r="F315" s="121">
        <f>365*AVERAGE(LUCK!G65,LUCK!H65)/(-LUCK!H85)+365*AVERAGE(LUCK!G32,LUCK!H32)/LUCK!H84-365*AVERAGE(LUCK!G51,LUCK!H51)/(-LUCK!H85)</f>
        <v>95.678130714459527</v>
      </c>
      <c r="G315" s="121">
        <f>1</f>
        <v>1</v>
      </c>
      <c r="H315" s="121">
        <f t="shared" si="8"/>
        <v>95.678130714459527</v>
      </c>
      <c r="I315" s="121">
        <v>95.678130714459527</v>
      </c>
      <c r="J315" s="121">
        <v>1</v>
      </c>
      <c r="K315" s="121">
        <v>95.678130714459527</v>
      </c>
      <c r="L315" s="127">
        <v>95.678130714459527</v>
      </c>
      <c r="M315" s="127">
        <f>LUCK!H151</f>
        <v>95.678130714459527</v>
      </c>
      <c r="N315" s="128" t="str">
        <f t="shared" si="9"/>
        <v>PASS</v>
      </c>
      <c r="O315" s="68"/>
      <c r="P315" s="50" t="s">
        <v>471</v>
      </c>
    </row>
    <row r="316" spans="1:16" ht="25.95" customHeight="1" x14ac:dyDescent="0.3">
      <c r="A316" s="119" t="s">
        <v>68</v>
      </c>
      <c r="B316" s="119">
        <v>2025</v>
      </c>
      <c r="C316" s="119">
        <v>14</v>
      </c>
      <c r="D316" s="119" t="s">
        <v>196</v>
      </c>
      <c r="E316" s="119" t="s">
        <v>3544</v>
      </c>
      <c r="F316" s="120">
        <f>LUCK!H84</f>
        <v>124511.74400000001</v>
      </c>
      <c r="G316" s="120">
        <f>AVERAGE(LUCK!G37,LUCK!H37)</f>
        <v>250383.06</v>
      </c>
      <c r="H316" s="120">
        <f t="shared" si="8"/>
        <v>0.49728501600707337</v>
      </c>
      <c r="I316" s="120">
        <v>124511.74400000001</v>
      </c>
      <c r="J316" s="120">
        <v>250383.06</v>
      </c>
      <c r="K316" s="120">
        <v>0.49728501600707337</v>
      </c>
      <c r="L316" s="125">
        <v>0.49728501600707337</v>
      </c>
      <c r="M316" s="125">
        <f>LUCK!H152</f>
        <v>0.49728501600707337</v>
      </c>
      <c r="N316" s="126" t="str">
        <f t="shared" si="9"/>
        <v>PASS</v>
      </c>
      <c r="O316" s="122"/>
      <c r="P316" s="119" t="s">
        <v>471</v>
      </c>
    </row>
    <row r="317" spans="1:16" ht="25.95" customHeight="1" x14ac:dyDescent="0.3">
      <c r="A317" s="50" t="s">
        <v>68</v>
      </c>
      <c r="B317" s="50">
        <v>2025</v>
      </c>
      <c r="C317" s="50">
        <v>15</v>
      </c>
      <c r="D317" s="50" t="s">
        <v>199</v>
      </c>
      <c r="E317" s="50" t="s">
        <v>3544</v>
      </c>
      <c r="F317" s="121">
        <f>LUCK!H84</f>
        <v>124511.74400000001</v>
      </c>
      <c r="G317" s="121">
        <f>AVERAGE(LUCK!G22,LUCK!H22)</f>
        <v>98807.258000000002</v>
      </c>
      <c r="H317" s="121">
        <f t="shared" si="8"/>
        <v>1.2601477514941262</v>
      </c>
      <c r="I317" s="121">
        <v>124511.74400000001</v>
      </c>
      <c r="J317" s="121">
        <v>98807.258000000002</v>
      </c>
      <c r="K317" s="121">
        <v>1.2601477514941262</v>
      </c>
      <c r="L317" s="127">
        <v>1.2601477514941262</v>
      </c>
      <c r="M317" s="127">
        <f>LUCK!H153</f>
        <v>1.2601477514941262</v>
      </c>
      <c r="N317" s="128" t="str">
        <f t="shared" si="9"/>
        <v>PASS</v>
      </c>
      <c r="O317" s="68"/>
      <c r="P317" s="50" t="s">
        <v>471</v>
      </c>
    </row>
    <row r="318" spans="1:16" ht="25.95" customHeight="1" x14ac:dyDescent="0.3">
      <c r="A318" s="119" t="s">
        <v>68</v>
      </c>
      <c r="B318" s="119">
        <v>2025</v>
      </c>
      <c r="C318" s="119">
        <v>16</v>
      </c>
      <c r="D318" s="119" t="s">
        <v>932</v>
      </c>
      <c r="E318" s="119" t="s">
        <v>3544</v>
      </c>
      <c r="F318" s="120">
        <f>LUCK!H62</f>
        <v>90837.63</v>
      </c>
      <c r="G318" s="120">
        <f>LUCK!H37</f>
        <v>266748.03000000003</v>
      </c>
      <c r="H318" s="120">
        <f t="shared" si="8"/>
        <v>0.34053721034041001</v>
      </c>
      <c r="I318" s="120">
        <v>90837.63</v>
      </c>
      <c r="J318" s="120">
        <v>266748.03000000003</v>
      </c>
      <c r="K318" s="120">
        <v>0.34053721034041001</v>
      </c>
      <c r="L318" s="125">
        <v>0.34053721034041001</v>
      </c>
      <c r="M318" s="125">
        <f>LUCK!H155</f>
        <v>0.34053721034041001</v>
      </c>
      <c r="N318" s="126" t="str">
        <f t="shared" si="9"/>
        <v>PASS</v>
      </c>
      <c r="O318" s="122"/>
      <c r="P318" s="119" t="s">
        <v>493</v>
      </c>
    </row>
    <row r="319" spans="1:16" ht="25.95" customHeight="1" x14ac:dyDescent="0.3">
      <c r="A319" s="50" t="s">
        <v>68</v>
      </c>
      <c r="B319" s="50">
        <v>2025</v>
      </c>
      <c r="C319" s="50">
        <v>17</v>
      </c>
      <c r="D319" s="50" t="s">
        <v>151</v>
      </c>
      <c r="E319" s="50" t="s">
        <v>3544</v>
      </c>
      <c r="F319" s="121">
        <f>LUCK!H62</f>
        <v>90837.63</v>
      </c>
      <c r="G319" s="121">
        <f>LUCK!H41</f>
        <v>175910.39999999999</v>
      </c>
      <c r="H319" s="121">
        <f t="shared" si="8"/>
        <v>0.5163857850360184</v>
      </c>
      <c r="I319" s="121">
        <v>90837.63</v>
      </c>
      <c r="J319" s="121">
        <v>175910.39999999999</v>
      </c>
      <c r="K319" s="121">
        <v>0.5163857850360184</v>
      </c>
      <c r="L319" s="127">
        <v>0.5163857850360184</v>
      </c>
      <c r="M319" s="127">
        <f>LUCK!H156</f>
        <v>0.5163857850360184</v>
      </c>
      <c r="N319" s="128" t="str">
        <f t="shared" si="9"/>
        <v>PASS</v>
      </c>
      <c r="O319" s="68"/>
      <c r="P319" s="50" t="s">
        <v>493</v>
      </c>
    </row>
    <row r="320" spans="1:16" ht="25.95" customHeight="1" x14ac:dyDescent="0.3">
      <c r="A320" s="119" t="s">
        <v>68</v>
      </c>
      <c r="B320" s="119">
        <v>2025</v>
      </c>
      <c r="C320" s="119">
        <v>18</v>
      </c>
      <c r="D320" s="119" t="s">
        <v>935</v>
      </c>
      <c r="E320" s="119" t="s">
        <v>3545</v>
      </c>
      <c r="F320" s="120">
        <f>LUCK!H66</f>
        <v>17535.607</v>
      </c>
      <c r="G320" s="120">
        <f>LUCK!H66+LUCK!H41</f>
        <v>193446.00699999998</v>
      </c>
      <c r="H320" s="120">
        <f t="shared" si="8"/>
        <v>9.0648585990198302E-2</v>
      </c>
      <c r="I320" s="120">
        <v>17535.607</v>
      </c>
      <c r="J320" s="120">
        <v>193446.00699999998</v>
      </c>
      <c r="K320" s="120">
        <v>9.0648585990198302E-2</v>
      </c>
      <c r="L320" s="125">
        <v>9.0648585990198302E-2</v>
      </c>
      <c r="M320" s="125">
        <f>LUCK!H157</f>
        <v>9.0648585990198302E-2</v>
      </c>
      <c r="N320" s="126" t="str">
        <f t="shared" si="9"/>
        <v>PASS</v>
      </c>
      <c r="O320" s="122"/>
      <c r="P320" s="119" t="s">
        <v>493</v>
      </c>
    </row>
    <row r="321" spans="1:16" ht="25.95" customHeight="1" x14ac:dyDescent="0.3">
      <c r="A321" s="50" t="s">
        <v>68</v>
      </c>
      <c r="B321" s="50">
        <v>2025</v>
      </c>
      <c r="C321" s="50">
        <v>19</v>
      </c>
      <c r="D321" s="50" t="s">
        <v>936</v>
      </c>
      <c r="E321" s="50" t="s">
        <v>3545</v>
      </c>
      <c r="F321" s="121">
        <f>LUCK!H67</f>
        <v>9184.5220000000008</v>
      </c>
      <c r="G321" s="121">
        <f>LUCK!H37</f>
        <v>266748.03000000003</v>
      </c>
      <c r="H321" s="121">
        <f t="shared" si="8"/>
        <v>3.4431452033591402E-2</v>
      </c>
      <c r="I321" s="121">
        <v>9184.5220000000008</v>
      </c>
      <c r="J321" s="121">
        <v>266748.03000000003</v>
      </c>
      <c r="K321" s="121">
        <v>3.4431452033591402E-2</v>
      </c>
      <c r="L321" s="127">
        <v>3.4431452033591402E-2</v>
      </c>
      <c r="M321" s="127">
        <f>LUCK!H158</f>
        <v>3.4431452033591402E-2</v>
      </c>
      <c r="N321" s="128" t="str">
        <f t="shared" si="9"/>
        <v>PASS</v>
      </c>
      <c r="O321" s="68"/>
      <c r="P321" s="50" t="s">
        <v>493</v>
      </c>
    </row>
    <row r="322" spans="1:16" ht="25.95" customHeight="1" x14ac:dyDescent="0.3">
      <c r="A322" s="119" t="s">
        <v>68</v>
      </c>
      <c r="B322" s="119">
        <v>2025</v>
      </c>
      <c r="C322" s="119">
        <v>20</v>
      </c>
      <c r="D322" s="119" t="s">
        <v>938</v>
      </c>
      <c r="E322" s="119" t="s">
        <v>3544</v>
      </c>
      <c r="F322" s="120">
        <f>LUCK!H108</f>
        <v>48693.628000000004</v>
      </c>
      <c r="G322" s="120">
        <f>LUCK!H106</f>
        <v>1326.047</v>
      </c>
      <c r="H322" s="120">
        <f t="shared" si="8"/>
        <v>36.720891491779703</v>
      </c>
      <c r="I322" s="120">
        <v>48693.628000000012</v>
      </c>
      <c r="J322" s="120">
        <v>1326.047</v>
      </c>
      <c r="K322" s="120">
        <v>36.72089149177971</v>
      </c>
      <c r="L322" s="125">
        <v>36.72089149177971</v>
      </c>
      <c r="M322" s="125">
        <f>LUCK!H159</f>
        <v>36.720891491779703</v>
      </c>
      <c r="N322" s="126" t="str">
        <f t="shared" si="9"/>
        <v>PASS</v>
      </c>
      <c r="O322" s="122"/>
      <c r="P322" s="119" t="s">
        <v>493</v>
      </c>
    </row>
    <row r="323" spans="1:16" ht="25.95" customHeight="1" x14ac:dyDescent="0.3">
      <c r="A323" s="50" t="s">
        <v>68</v>
      </c>
      <c r="B323" s="50">
        <v>2025</v>
      </c>
      <c r="C323" s="50">
        <v>21</v>
      </c>
      <c r="D323" s="50" t="s">
        <v>154</v>
      </c>
      <c r="E323" s="50" t="s">
        <v>3544</v>
      </c>
      <c r="F323" s="121">
        <f>LUCK!H86</f>
        <v>42684.684000000008</v>
      </c>
      <c r="G323" s="121">
        <f>LUCK!H84</f>
        <v>124511.74400000001</v>
      </c>
      <c r="H323" s="121">
        <f t="shared" si="8"/>
        <v>0.34281652982067301</v>
      </c>
      <c r="I323" s="121">
        <v>42684.684000000008</v>
      </c>
      <c r="J323" s="121">
        <v>124511.74400000001</v>
      </c>
      <c r="K323" s="121">
        <v>0.34281652982067301</v>
      </c>
      <c r="L323" s="127">
        <v>0.34281652982067301</v>
      </c>
      <c r="M323" s="127">
        <f>LUCK!H161</f>
        <v>0.34281652982067301</v>
      </c>
      <c r="N323" s="128" t="str">
        <f t="shared" si="9"/>
        <v>PASS</v>
      </c>
      <c r="O323" s="68"/>
      <c r="P323" s="50" t="s">
        <v>504</v>
      </c>
    </row>
    <row r="324" spans="1:16" ht="25.95" customHeight="1" x14ac:dyDescent="0.3">
      <c r="A324" s="119" t="s">
        <v>68</v>
      </c>
      <c r="B324" s="119">
        <v>2025</v>
      </c>
      <c r="C324" s="119">
        <v>22</v>
      </c>
      <c r="D324" s="119" t="s">
        <v>942</v>
      </c>
      <c r="E324" s="119" t="s">
        <v>3544</v>
      </c>
      <c r="F324" s="120">
        <f>LUCK!H91</f>
        <v>28227.707000000006</v>
      </c>
      <c r="G324" s="120">
        <f>LUCK!H84</f>
        <v>124511.74400000001</v>
      </c>
      <c r="H324" s="120">
        <f t="shared" si="8"/>
        <v>0.22670718514712962</v>
      </c>
      <c r="I324" s="120">
        <v>28227.707000000009</v>
      </c>
      <c r="J324" s="120">
        <v>124511.74400000001</v>
      </c>
      <c r="K324" s="120">
        <v>0.22670718514712965</v>
      </c>
      <c r="L324" s="125">
        <v>0.22670718514712965</v>
      </c>
      <c r="M324" s="125">
        <f>LUCK!H162</f>
        <v>0.22670718514712962</v>
      </c>
      <c r="N324" s="126" t="str">
        <f t="shared" si="9"/>
        <v>PASS</v>
      </c>
      <c r="O324" s="122"/>
      <c r="P324" s="119" t="s">
        <v>504</v>
      </c>
    </row>
    <row r="325" spans="1:16" ht="25.95" customHeight="1" x14ac:dyDescent="0.3">
      <c r="A325" s="50" t="s">
        <v>68</v>
      </c>
      <c r="B325" s="50">
        <v>2025</v>
      </c>
      <c r="C325" s="50">
        <v>23</v>
      </c>
      <c r="D325" s="50" t="s">
        <v>155</v>
      </c>
      <c r="E325" s="50" t="s">
        <v>3544</v>
      </c>
      <c r="F325" s="121">
        <f>LUCK!H99</f>
        <v>33092.162000000004</v>
      </c>
      <c r="G325" s="121">
        <f>LUCK!H84</f>
        <v>124511.74400000001</v>
      </c>
      <c r="H325" s="121">
        <f t="shared" si="8"/>
        <v>0.26577542757733763</v>
      </c>
      <c r="I325" s="121">
        <v>33092.162000000011</v>
      </c>
      <c r="J325" s="121">
        <v>124511.74400000001</v>
      </c>
      <c r="K325" s="121">
        <v>0.26577542757733769</v>
      </c>
      <c r="L325" s="127">
        <v>0.26577542757733769</v>
      </c>
      <c r="M325" s="127">
        <f>LUCK!H163</f>
        <v>0.26577542757733763</v>
      </c>
      <c r="N325" s="128" t="str">
        <f t="shared" si="9"/>
        <v>PASS</v>
      </c>
      <c r="O325" s="68"/>
      <c r="P325" s="50" t="s">
        <v>504</v>
      </c>
    </row>
    <row r="326" spans="1:16" ht="25.95" customHeight="1" x14ac:dyDescent="0.3">
      <c r="A326" s="119" t="s">
        <v>68</v>
      </c>
      <c r="B326" s="119">
        <v>2025</v>
      </c>
      <c r="C326" s="119">
        <v>24</v>
      </c>
      <c r="D326" s="119" t="s">
        <v>136</v>
      </c>
      <c r="E326" s="119" t="s">
        <v>3544</v>
      </c>
      <c r="F326" s="120">
        <f>LUCK!H99</f>
        <v>33092.162000000004</v>
      </c>
      <c r="G326" s="120">
        <f>AVERAGE(LUCK!G37,LUCK!H37)</f>
        <v>250383.06</v>
      </c>
      <c r="H326" s="120">
        <f t="shared" ref="H326:H389" si="10">IF(G326&lt;=0,"n/m",F326/G326)</f>
        <v>0.13216613775708311</v>
      </c>
      <c r="I326" s="120">
        <v>33092.162000000011</v>
      </c>
      <c r="J326" s="120">
        <v>250383.06</v>
      </c>
      <c r="K326" s="120">
        <v>0.13216613775708314</v>
      </c>
      <c r="L326" s="125">
        <v>0.13216613775708314</v>
      </c>
      <c r="M326" s="125">
        <f>LUCK!H164</f>
        <v>0.13216613775708311</v>
      </c>
      <c r="N326" s="126" t="str">
        <f t="shared" ref="N326:N389" si="11">IF(AND(ABS(F326-I326)&lt;0.000001,ABS(G326-J326)&lt;0.000001,IF(ISNUMBER(L326),IF(ISNUMBER(M326),ABS(L326-M326)&lt;0.00000001,FALSE),M326=L326)),"PASS","FAIL")</f>
        <v>PASS</v>
      </c>
      <c r="O326" s="122"/>
      <c r="P326" s="119" t="s">
        <v>504</v>
      </c>
    </row>
    <row r="327" spans="1:16" ht="25.95" customHeight="1" x14ac:dyDescent="0.3">
      <c r="A327" s="50" t="s">
        <v>68</v>
      </c>
      <c r="B327" s="50">
        <v>2025</v>
      </c>
      <c r="C327" s="50">
        <v>25</v>
      </c>
      <c r="D327" s="50" t="s">
        <v>53</v>
      </c>
      <c r="E327" s="50" t="s">
        <v>3544</v>
      </c>
      <c r="F327" s="121">
        <f>LUCK!H99</f>
        <v>33092.162000000004</v>
      </c>
      <c r="G327" s="121">
        <f>AVERAGE(LUCK!G41,LUCK!H41)</f>
        <v>161835.83850000001</v>
      </c>
      <c r="H327" s="121">
        <f t="shared" si="10"/>
        <v>0.2044798130421526</v>
      </c>
      <c r="I327" s="121">
        <v>33092.162000000011</v>
      </c>
      <c r="J327" s="121">
        <v>161835.83850000001</v>
      </c>
      <c r="K327" s="121">
        <v>0.20447981304215265</v>
      </c>
      <c r="L327" s="127">
        <v>0.20447981304215265</v>
      </c>
      <c r="M327" s="127">
        <f>LUCK!H165</f>
        <v>0.2044798130421526</v>
      </c>
      <c r="N327" s="128" t="str">
        <f t="shared" si="11"/>
        <v>PASS</v>
      </c>
      <c r="O327" s="68"/>
      <c r="P327" s="50" t="s">
        <v>504</v>
      </c>
    </row>
    <row r="328" spans="1:16" ht="25.95" customHeight="1" x14ac:dyDescent="0.3">
      <c r="A328" s="119" t="s">
        <v>68</v>
      </c>
      <c r="B328" s="119">
        <v>2025</v>
      </c>
      <c r="C328" s="119">
        <v>26</v>
      </c>
      <c r="D328" s="119" t="s">
        <v>944</v>
      </c>
      <c r="E328" s="119" t="s">
        <v>3545</v>
      </c>
      <c r="F328" s="120">
        <f>LUCK!H113</f>
        <v>34050.576192543595</v>
      </c>
      <c r="G328" s="120">
        <f>AVERAGE(LUCK!G70,LUCK!H70)</f>
        <v>180776.03399999999</v>
      </c>
      <c r="H328" s="120">
        <f t="shared" si="10"/>
        <v>0.18835780074997993</v>
      </c>
      <c r="I328" s="120">
        <v>34050.576192543609</v>
      </c>
      <c r="J328" s="120">
        <v>180776.03399999999</v>
      </c>
      <c r="K328" s="120">
        <v>0.18835780074998001</v>
      </c>
      <c r="L328" s="125">
        <v>0.18835780074998001</v>
      </c>
      <c r="M328" s="125">
        <f>LUCK!H166</f>
        <v>0.18835780074997993</v>
      </c>
      <c r="N328" s="126" t="str">
        <f t="shared" si="11"/>
        <v>PASS</v>
      </c>
      <c r="O328" s="122"/>
      <c r="P328" s="119" t="s">
        <v>504</v>
      </c>
    </row>
    <row r="329" spans="1:16" ht="25.95" customHeight="1" x14ac:dyDescent="0.3">
      <c r="A329" s="50" t="s">
        <v>68</v>
      </c>
      <c r="B329" s="50">
        <v>2025</v>
      </c>
      <c r="C329" s="50">
        <v>27</v>
      </c>
      <c r="D329" s="50" t="s">
        <v>945</v>
      </c>
      <c r="E329" s="50" t="s">
        <v>3545</v>
      </c>
      <c r="F329" s="121">
        <f>LUCK!H108</f>
        <v>48693.628000000004</v>
      </c>
      <c r="G329" s="121">
        <f>AVERAGE(LUCK!G37,LUCK!H37)</f>
        <v>250383.06</v>
      </c>
      <c r="H329" s="121">
        <f t="shared" si="10"/>
        <v>0.19447652728583156</v>
      </c>
      <c r="I329" s="121">
        <v>48693.628000000012</v>
      </c>
      <c r="J329" s="121">
        <v>250383.06</v>
      </c>
      <c r="K329" s="121">
        <v>0.19447652728583162</v>
      </c>
      <c r="L329" s="127">
        <v>0.19447652728583162</v>
      </c>
      <c r="M329" s="127">
        <f>LUCK!H167</f>
        <v>0.19447652728583156</v>
      </c>
      <c r="N329" s="128" t="str">
        <f t="shared" si="11"/>
        <v>PASS</v>
      </c>
      <c r="O329" s="68"/>
      <c r="P329" s="50" t="s">
        <v>504</v>
      </c>
    </row>
    <row r="330" spans="1:16" ht="25.95" customHeight="1" x14ac:dyDescent="0.3">
      <c r="A330" s="119" t="s">
        <v>68</v>
      </c>
      <c r="B330" s="119">
        <v>2025</v>
      </c>
      <c r="C330" s="119">
        <v>28</v>
      </c>
      <c r="D330" s="119" t="s">
        <v>139</v>
      </c>
      <c r="E330" s="119" t="s">
        <v>3545</v>
      </c>
      <c r="F330" s="120">
        <f>LUCK!H41</f>
        <v>175910.39999999999</v>
      </c>
      <c r="G330" s="120">
        <f>LUCK!H128</f>
        <v>1465</v>
      </c>
      <c r="H330" s="120">
        <f t="shared" si="10"/>
        <v>120.07535836177475</v>
      </c>
      <c r="I330" s="120">
        <v>175910.39999999999</v>
      </c>
      <c r="J330" s="120">
        <v>1465</v>
      </c>
      <c r="K330" s="120">
        <v>120.07535836177475</v>
      </c>
      <c r="L330" s="125">
        <v>120.07535836177475</v>
      </c>
      <c r="M330" s="125">
        <f>LUCK!H169</f>
        <v>120.07535836177475</v>
      </c>
      <c r="N330" s="126" t="str">
        <f t="shared" si="11"/>
        <v>PASS</v>
      </c>
      <c r="O330" s="122"/>
      <c r="P330" s="119" t="s">
        <v>519</v>
      </c>
    </row>
    <row r="331" spans="1:16" ht="25.95" customHeight="1" x14ac:dyDescent="0.3">
      <c r="A331" s="50" t="s">
        <v>68</v>
      </c>
      <c r="B331" s="50">
        <v>2025</v>
      </c>
      <c r="C331" s="50">
        <v>29</v>
      </c>
      <c r="D331" s="50" t="s">
        <v>162</v>
      </c>
      <c r="E331" s="50" t="s">
        <v>3544</v>
      </c>
      <c r="F331" s="121">
        <f>LUCK!H130</f>
        <v>355.24</v>
      </c>
      <c r="G331" s="121">
        <f>LUCK!H41/LUCK!H128</f>
        <v>120.07535836177475</v>
      </c>
      <c r="H331" s="121">
        <f t="shared" si="10"/>
        <v>2.9584754511387614</v>
      </c>
      <c r="I331" s="121">
        <v>355.24</v>
      </c>
      <c r="J331" s="121">
        <v>120.07535836177475</v>
      </c>
      <c r="K331" s="121">
        <v>2.9584754511387614</v>
      </c>
      <c r="L331" s="127">
        <v>2.9584754511387614</v>
      </c>
      <c r="M331" s="127">
        <f>LUCK!H170</f>
        <v>2.9584754511387614</v>
      </c>
      <c r="N331" s="128" t="str">
        <f t="shared" si="11"/>
        <v>PASS</v>
      </c>
      <c r="O331" s="68"/>
      <c r="P331" s="50" t="s">
        <v>519</v>
      </c>
    </row>
    <row r="332" spans="1:16" ht="25.95" customHeight="1" x14ac:dyDescent="0.3">
      <c r="A332" s="119" t="s">
        <v>68</v>
      </c>
      <c r="B332" s="119">
        <v>2025</v>
      </c>
      <c r="C332" s="119">
        <v>30</v>
      </c>
      <c r="D332" s="119" t="s">
        <v>143</v>
      </c>
      <c r="E332" s="119" t="s">
        <v>3544</v>
      </c>
      <c r="F332" s="120">
        <f>LUCK!H99</f>
        <v>33092.162000000004</v>
      </c>
      <c r="G332" s="120">
        <f>LUCK!H129</f>
        <v>1465</v>
      </c>
      <c r="H332" s="120">
        <f t="shared" si="10"/>
        <v>22.588506484641641</v>
      </c>
      <c r="I332" s="120">
        <v>33092.162000000011</v>
      </c>
      <c r="J332" s="120">
        <v>1465</v>
      </c>
      <c r="K332" s="120">
        <v>22.588506484641645</v>
      </c>
      <c r="L332" s="125">
        <v>22.588506484641645</v>
      </c>
      <c r="M332" s="125">
        <f>LUCK!H171</f>
        <v>22.588506484641641</v>
      </c>
      <c r="N332" s="126" t="str">
        <f t="shared" si="11"/>
        <v>PASS</v>
      </c>
      <c r="O332" s="122"/>
      <c r="P332" s="119" t="s">
        <v>519</v>
      </c>
    </row>
    <row r="333" spans="1:16" ht="25.95" customHeight="1" x14ac:dyDescent="0.3">
      <c r="A333" s="50" t="s">
        <v>68</v>
      </c>
      <c r="B333" s="50">
        <v>2025</v>
      </c>
      <c r="C333" s="50">
        <v>31</v>
      </c>
      <c r="D333" s="50" t="s">
        <v>952</v>
      </c>
      <c r="E333" s="50" t="s">
        <v>3544</v>
      </c>
      <c r="F333" s="121">
        <f>LUCK!H130</f>
        <v>355.24</v>
      </c>
      <c r="G333" s="121">
        <f>LUCK!H99/LUCK!H129</f>
        <v>22.588506484641641</v>
      </c>
      <c r="H333" s="121">
        <f t="shared" si="10"/>
        <v>15.726582022655393</v>
      </c>
      <c r="I333" s="121">
        <v>355.24</v>
      </c>
      <c r="J333" s="121">
        <v>22.588506484641645</v>
      </c>
      <c r="K333" s="121">
        <v>15.726582022655391</v>
      </c>
      <c r="L333" s="127">
        <v>15.726582022655391</v>
      </c>
      <c r="M333" s="127">
        <f>LUCK!H172</f>
        <v>15.726582022655393</v>
      </c>
      <c r="N333" s="128" t="str">
        <f t="shared" si="11"/>
        <v>PASS</v>
      </c>
      <c r="O333" s="68"/>
      <c r="P333" s="50" t="s">
        <v>519</v>
      </c>
    </row>
    <row r="334" spans="1:16" ht="25.95" customHeight="1" x14ac:dyDescent="0.3">
      <c r="A334" s="119" t="s">
        <v>68</v>
      </c>
      <c r="B334" s="119">
        <v>2025</v>
      </c>
      <c r="C334" s="119">
        <v>32</v>
      </c>
      <c r="D334" s="119" t="s">
        <v>104</v>
      </c>
      <c r="E334" s="119" t="s">
        <v>3544</v>
      </c>
      <c r="F334" s="120">
        <f>LUCK!H131</f>
        <v>4</v>
      </c>
      <c r="G334" s="120">
        <f>LUCK!H130</f>
        <v>355.24</v>
      </c>
      <c r="H334" s="120">
        <f t="shared" si="10"/>
        <v>1.1259993244004052E-2</v>
      </c>
      <c r="I334" s="120">
        <v>4</v>
      </c>
      <c r="J334" s="120">
        <v>355.24</v>
      </c>
      <c r="K334" s="120">
        <v>1.1259993244004052E-2</v>
      </c>
      <c r="L334" s="125">
        <v>1.1259993244004052E-2</v>
      </c>
      <c r="M334" s="125">
        <f>LUCK!H173</f>
        <v>1.1259993244004052E-2</v>
      </c>
      <c r="N334" s="126" t="str">
        <f t="shared" si="11"/>
        <v>PASS</v>
      </c>
      <c r="O334" s="122"/>
      <c r="P334" s="119" t="s">
        <v>519</v>
      </c>
    </row>
    <row r="335" spans="1:16" ht="25.95" customHeight="1" x14ac:dyDescent="0.3">
      <c r="A335" s="50" t="s">
        <v>68</v>
      </c>
      <c r="B335" s="50">
        <v>2025</v>
      </c>
      <c r="C335" s="50">
        <v>33</v>
      </c>
      <c r="D335" s="50" t="s">
        <v>124</v>
      </c>
      <c r="E335" s="50" t="s">
        <v>3545</v>
      </c>
      <c r="F335" s="121">
        <f>LUCK!H131</f>
        <v>4</v>
      </c>
      <c r="G335" s="121">
        <f>LUCK!H99/LUCK!H129</f>
        <v>22.588506484641641</v>
      </c>
      <c r="H335" s="121">
        <f t="shared" si="10"/>
        <v>0.17708120732637533</v>
      </c>
      <c r="I335" s="121">
        <v>4</v>
      </c>
      <c r="J335" s="121">
        <v>22.588506484641645</v>
      </c>
      <c r="K335" s="121">
        <v>0.17708120732637531</v>
      </c>
      <c r="L335" s="127">
        <v>0.17708120732637531</v>
      </c>
      <c r="M335" s="127">
        <f>LUCK!H174</f>
        <v>0.17708120732637533</v>
      </c>
      <c r="N335" s="128" t="str">
        <f t="shared" si="11"/>
        <v>PASS</v>
      </c>
      <c r="O335" s="68"/>
      <c r="P335" s="50" t="s">
        <v>519</v>
      </c>
    </row>
    <row r="336" spans="1:16" ht="25.95" customHeight="1" x14ac:dyDescent="0.3">
      <c r="A336" s="119" t="s">
        <v>86</v>
      </c>
      <c r="B336" s="119">
        <v>2021</v>
      </c>
      <c r="C336" s="119">
        <v>1</v>
      </c>
      <c r="D336" s="119" t="s">
        <v>19</v>
      </c>
      <c r="E336" s="119" t="s">
        <v>3544</v>
      </c>
      <c r="F336" s="120">
        <f>DGKC!D36</f>
        <v>36851.264000000003</v>
      </c>
      <c r="G336" s="120">
        <f>DGKC!D61</f>
        <v>40295.519999999997</v>
      </c>
      <c r="H336" s="120">
        <f t="shared" si="10"/>
        <v>0.91452508864509019</v>
      </c>
      <c r="I336" s="120">
        <v>36851.264000000003</v>
      </c>
      <c r="J336" s="120">
        <v>40295.519999999997</v>
      </c>
      <c r="K336" s="120">
        <v>0.91452508864509019</v>
      </c>
      <c r="L336" s="125">
        <v>0.91452508864509019</v>
      </c>
      <c r="M336" s="125">
        <f>DGKC!D138</f>
        <v>0.91452508864509019</v>
      </c>
      <c r="N336" s="126" t="str">
        <f t="shared" si="11"/>
        <v>PASS</v>
      </c>
      <c r="O336" s="122"/>
      <c r="P336" s="119" t="s">
        <v>459</v>
      </c>
    </row>
    <row r="337" spans="1:16" ht="25.95" customHeight="1" x14ac:dyDescent="0.3">
      <c r="A337" s="50" t="s">
        <v>86</v>
      </c>
      <c r="B337" s="50">
        <v>2021</v>
      </c>
      <c r="C337" s="50">
        <v>2</v>
      </c>
      <c r="D337" s="50" t="s">
        <v>30</v>
      </c>
      <c r="E337" s="50" t="s">
        <v>3544</v>
      </c>
      <c r="F337" s="121">
        <f>DGKC!D36-DGKC!D65</f>
        <v>21243.327000000005</v>
      </c>
      <c r="G337" s="121">
        <f>DGKC!D61</f>
        <v>40295.519999999997</v>
      </c>
      <c r="H337" s="121">
        <f t="shared" si="10"/>
        <v>0.52718830778210601</v>
      </c>
      <c r="I337" s="121">
        <v>21243.327000000005</v>
      </c>
      <c r="J337" s="121">
        <v>40295.519999999997</v>
      </c>
      <c r="K337" s="121">
        <v>0.52718830778210601</v>
      </c>
      <c r="L337" s="127">
        <v>0.52718830778210601</v>
      </c>
      <c r="M337" s="127">
        <f>DGKC!D139</f>
        <v>0.52718830778210601</v>
      </c>
      <c r="N337" s="128" t="str">
        <f t="shared" si="11"/>
        <v>PASS</v>
      </c>
      <c r="O337" s="68"/>
      <c r="P337" s="50" t="s">
        <v>459</v>
      </c>
    </row>
    <row r="338" spans="1:16" ht="25.95" customHeight="1" x14ac:dyDescent="0.3">
      <c r="A338" s="119" t="s">
        <v>86</v>
      </c>
      <c r="B338" s="119">
        <v>2021</v>
      </c>
      <c r="C338" s="119">
        <v>3</v>
      </c>
      <c r="D338" s="119" t="s">
        <v>145</v>
      </c>
      <c r="E338" s="119" t="s">
        <v>3544</v>
      </c>
      <c r="F338" s="120">
        <f>DGKC!D34</f>
        <v>806.37300000000005</v>
      </c>
      <c r="G338" s="120">
        <f>DGKC!D61</f>
        <v>40295.519999999997</v>
      </c>
      <c r="H338" s="120">
        <f t="shared" si="10"/>
        <v>2.0011480184397672E-2</v>
      </c>
      <c r="I338" s="120">
        <v>806.37300000000005</v>
      </c>
      <c r="J338" s="120">
        <v>40295.519999999997</v>
      </c>
      <c r="K338" s="120">
        <v>2.0011480184397672E-2</v>
      </c>
      <c r="L338" s="125">
        <v>2.0011480184397672E-2</v>
      </c>
      <c r="M338" s="125">
        <f>DGKC!D140</f>
        <v>2.0011480184397672E-2</v>
      </c>
      <c r="N338" s="126" t="str">
        <f t="shared" si="11"/>
        <v>PASS</v>
      </c>
      <c r="O338" s="122"/>
      <c r="P338" s="119" t="s">
        <v>459</v>
      </c>
    </row>
    <row r="339" spans="1:16" ht="25.95" customHeight="1" x14ac:dyDescent="0.3">
      <c r="A339" s="50" t="s">
        <v>86</v>
      </c>
      <c r="B339" s="50">
        <v>2021</v>
      </c>
      <c r="C339" s="50">
        <v>4</v>
      </c>
      <c r="D339" s="50" t="s">
        <v>201</v>
      </c>
      <c r="E339" s="50" t="s">
        <v>3545</v>
      </c>
      <c r="F339" s="121">
        <f>DGKC!D36-DGKC!D61</f>
        <v>-3444.2559999999939</v>
      </c>
      <c r="G339" s="121">
        <f>1</f>
        <v>1</v>
      </c>
      <c r="H339" s="121">
        <f t="shared" si="10"/>
        <v>-3444.2559999999939</v>
      </c>
      <c r="I339" s="121">
        <v>-3444.2559999999939</v>
      </c>
      <c r="J339" s="121">
        <v>1</v>
      </c>
      <c r="K339" s="121">
        <v>-3444.2559999999939</v>
      </c>
      <c r="L339" s="127" t="s">
        <v>3546</v>
      </c>
      <c r="M339" s="127" t="str">
        <f>DGKC!D141</f>
        <v>n/m</v>
      </c>
      <c r="N339" s="128" t="str">
        <f t="shared" si="11"/>
        <v>PASS</v>
      </c>
      <c r="O339" s="68" t="s">
        <v>3547</v>
      </c>
      <c r="P339" s="50" t="s">
        <v>459</v>
      </c>
    </row>
    <row r="340" spans="1:16" ht="25.95" customHeight="1" x14ac:dyDescent="0.3">
      <c r="A340" s="119" t="s">
        <v>86</v>
      </c>
      <c r="B340" s="119">
        <v>2021</v>
      </c>
      <c r="C340" s="119">
        <v>5</v>
      </c>
      <c r="D340" s="119" t="s">
        <v>923</v>
      </c>
      <c r="E340" s="119" t="s">
        <v>3545</v>
      </c>
      <c r="F340" s="120">
        <f>DGKC!D72-DGKC!D73</f>
        <v>8099.1470000000063</v>
      </c>
      <c r="G340" s="120">
        <f>1</f>
        <v>1</v>
      </c>
      <c r="H340" s="120">
        <f t="shared" si="10"/>
        <v>8099.1470000000063</v>
      </c>
      <c r="I340" s="120">
        <v>8099.1470000000045</v>
      </c>
      <c r="J340" s="120">
        <v>1</v>
      </c>
      <c r="K340" s="120">
        <v>8099.1470000000045</v>
      </c>
      <c r="L340" s="125">
        <v>8099.1470000000045</v>
      </c>
      <c r="M340" s="125">
        <f>DGKC!D142</f>
        <v>8099.1470000000063</v>
      </c>
      <c r="N340" s="126" t="str">
        <f t="shared" si="11"/>
        <v>PASS</v>
      </c>
      <c r="O340" s="122"/>
      <c r="P340" s="119" t="s">
        <v>459</v>
      </c>
    </row>
    <row r="341" spans="1:16" ht="25.95" customHeight="1" x14ac:dyDescent="0.3">
      <c r="A341" s="50" t="s">
        <v>86</v>
      </c>
      <c r="B341" s="50">
        <v>2021</v>
      </c>
      <c r="C341" s="50">
        <v>6</v>
      </c>
      <c r="D341" s="50" t="s">
        <v>31</v>
      </c>
      <c r="E341" s="50" t="s">
        <v>3544</v>
      </c>
      <c r="F341" s="121">
        <f>-DGKC!D85</f>
        <v>37035.798000000003</v>
      </c>
      <c r="G341" s="121">
        <f>AVERAGE(DGKC!C65,DGKC!D65)</f>
        <v>14099.460999999999</v>
      </c>
      <c r="H341" s="121">
        <f t="shared" si="10"/>
        <v>2.6267527531726218</v>
      </c>
      <c r="I341" s="121">
        <v>37035.798000000003</v>
      </c>
      <c r="J341" s="121">
        <v>14099.460999999999</v>
      </c>
      <c r="K341" s="121">
        <v>2.6267527531726218</v>
      </c>
      <c r="L341" s="127">
        <v>2.6267527531726218</v>
      </c>
      <c r="M341" s="127">
        <f>DGKC!D144</f>
        <v>2.6267527531726218</v>
      </c>
      <c r="N341" s="128" t="str">
        <f t="shared" si="11"/>
        <v>PASS</v>
      </c>
      <c r="O341" s="68"/>
      <c r="P341" s="50" t="s">
        <v>471</v>
      </c>
    </row>
    <row r="342" spans="1:16" ht="25.95" customHeight="1" x14ac:dyDescent="0.3">
      <c r="A342" s="119" t="s">
        <v>86</v>
      </c>
      <c r="B342" s="119">
        <v>2021</v>
      </c>
      <c r="C342" s="119">
        <v>7</v>
      </c>
      <c r="D342" s="119" t="s">
        <v>129</v>
      </c>
      <c r="E342" s="119" t="s">
        <v>3545</v>
      </c>
      <c r="F342" s="120">
        <f>DGKC!D84</f>
        <v>45107.69</v>
      </c>
      <c r="G342" s="120">
        <f>AVERAGE(DGKC!C32,DGKC!D32)</f>
        <v>1981.1644999999999</v>
      </c>
      <c r="H342" s="120">
        <f t="shared" si="10"/>
        <v>22.768270883109405</v>
      </c>
      <c r="I342" s="120">
        <v>45107.69</v>
      </c>
      <c r="J342" s="120">
        <v>1981.1644999999999</v>
      </c>
      <c r="K342" s="120">
        <v>22.768270883109405</v>
      </c>
      <c r="L342" s="125">
        <v>22.768270883109405</v>
      </c>
      <c r="M342" s="125">
        <f>DGKC!D145</f>
        <v>22.768270883109405</v>
      </c>
      <c r="N342" s="126" t="str">
        <f t="shared" si="11"/>
        <v>PASS</v>
      </c>
      <c r="O342" s="122"/>
      <c r="P342" s="119" t="s">
        <v>471</v>
      </c>
    </row>
    <row r="343" spans="1:16" ht="25.95" customHeight="1" x14ac:dyDescent="0.3">
      <c r="A343" s="50" t="s">
        <v>86</v>
      </c>
      <c r="B343" s="50">
        <v>2021</v>
      </c>
      <c r="C343" s="50">
        <v>8</v>
      </c>
      <c r="D343" s="50" t="s">
        <v>133</v>
      </c>
      <c r="E343" s="50" t="s">
        <v>3545</v>
      </c>
      <c r="F343" s="121">
        <f>-DGKC!D85</f>
        <v>37035.798000000003</v>
      </c>
      <c r="G343" s="121">
        <f>AVERAGE(DGKC!C51,DGKC!D51)</f>
        <v>5850.4750000000004</v>
      </c>
      <c r="H343" s="121">
        <f t="shared" si="10"/>
        <v>6.3303916348672544</v>
      </c>
      <c r="I343" s="121">
        <v>37035.798000000003</v>
      </c>
      <c r="J343" s="121">
        <v>5850.4750000000004</v>
      </c>
      <c r="K343" s="121">
        <v>6.3303916348672544</v>
      </c>
      <c r="L343" s="127">
        <v>6.3303916348672544</v>
      </c>
      <c r="M343" s="127">
        <f>DGKC!D146</f>
        <v>6.3303916348672544</v>
      </c>
      <c r="N343" s="128" t="str">
        <f t="shared" si="11"/>
        <v>PASS</v>
      </c>
      <c r="O343" s="68"/>
      <c r="P343" s="50" t="s">
        <v>471</v>
      </c>
    </row>
    <row r="344" spans="1:16" ht="25.95" customHeight="1" x14ac:dyDescent="0.3">
      <c r="A344" s="119" t="s">
        <v>86</v>
      </c>
      <c r="B344" s="119">
        <v>2021</v>
      </c>
      <c r="C344" s="119">
        <v>9</v>
      </c>
      <c r="D344" s="119" t="s">
        <v>134</v>
      </c>
      <c r="E344" s="119" t="s">
        <v>3545</v>
      </c>
      <c r="F344" s="120">
        <f>365*AVERAGE(DGKC!C65,DGKC!D65)</f>
        <v>5146303.2649999997</v>
      </c>
      <c r="G344" s="120">
        <f>-DGKC!D85</f>
        <v>37035.798000000003</v>
      </c>
      <c r="H344" s="120">
        <f t="shared" si="10"/>
        <v>138.95483675010863</v>
      </c>
      <c r="I344" s="120">
        <v>5146303.2649999997</v>
      </c>
      <c r="J344" s="120">
        <v>37035.798000000003</v>
      </c>
      <c r="K344" s="120">
        <v>138.95483675010863</v>
      </c>
      <c r="L344" s="125">
        <v>138.95483675010863</v>
      </c>
      <c r="M344" s="125">
        <f>DGKC!D147</f>
        <v>138.95483675010863</v>
      </c>
      <c r="N344" s="126" t="str">
        <f t="shared" si="11"/>
        <v>PASS</v>
      </c>
      <c r="O344" s="122"/>
      <c r="P344" s="119" t="s">
        <v>471</v>
      </c>
    </row>
    <row r="345" spans="1:16" ht="25.95" customHeight="1" x14ac:dyDescent="0.3">
      <c r="A345" s="50" t="s">
        <v>86</v>
      </c>
      <c r="B345" s="50">
        <v>2021</v>
      </c>
      <c r="C345" s="50">
        <v>10</v>
      </c>
      <c r="D345" s="50" t="s">
        <v>187</v>
      </c>
      <c r="E345" s="50" t="s">
        <v>3544</v>
      </c>
      <c r="F345" s="121">
        <f>365*AVERAGE(DGKC!C32,DGKC!D32)</f>
        <v>723125.04249999998</v>
      </c>
      <c r="G345" s="121">
        <f>DGKC!D84</f>
        <v>45107.69</v>
      </c>
      <c r="H345" s="121">
        <f t="shared" si="10"/>
        <v>16.031081230273596</v>
      </c>
      <c r="I345" s="121">
        <v>723125.04249999998</v>
      </c>
      <c r="J345" s="121">
        <v>45107.69</v>
      </c>
      <c r="K345" s="121">
        <v>16.031081230273596</v>
      </c>
      <c r="L345" s="127">
        <v>16.031081230273596</v>
      </c>
      <c r="M345" s="127">
        <f>DGKC!D148</f>
        <v>16.031081230273596</v>
      </c>
      <c r="N345" s="128" t="str">
        <f t="shared" si="11"/>
        <v>PASS</v>
      </c>
      <c r="O345" s="68"/>
      <c r="P345" s="50" t="s">
        <v>471</v>
      </c>
    </row>
    <row r="346" spans="1:16" ht="25.95" customHeight="1" x14ac:dyDescent="0.3">
      <c r="A346" s="119" t="s">
        <v>86</v>
      </c>
      <c r="B346" s="119">
        <v>2021</v>
      </c>
      <c r="C346" s="119">
        <v>11</v>
      </c>
      <c r="D346" s="119" t="s">
        <v>190</v>
      </c>
      <c r="E346" s="119" t="s">
        <v>3545</v>
      </c>
      <c r="F346" s="120">
        <f>365*AVERAGE(DGKC!C51,DGKC!D51)</f>
        <v>2135423.375</v>
      </c>
      <c r="G346" s="120">
        <f>-DGKC!D85</f>
        <v>37035.798000000003</v>
      </c>
      <c r="H346" s="120">
        <f t="shared" si="10"/>
        <v>57.658360027776368</v>
      </c>
      <c r="I346" s="120">
        <v>2135423.375</v>
      </c>
      <c r="J346" s="120">
        <v>37035.798000000003</v>
      </c>
      <c r="K346" s="120">
        <v>57.658360027776368</v>
      </c>
      <c r="L346" s="125">
        <v>57.658360027776368</v>
      </c>
      <c r="M346" s="125">
        <f>DGKC!D149</f>
        <v>57.658360027776368</v>
      </c>
      <c r="N346" s="126" t="str">
        <f t="shared" si="11"/>
        <v>PASS</v>
      </c>
      <c r="O346" s="122"/>
      <c r="P346" s="119" t="s">
        <v>471</v>
      </c>
    </row>
    <row r="347" spans="1:16" ht="25.95" customHeight="1" x14ac:dyDescent="0.3">
      <c r="A347" s="50" t="s">
        <v>86</v>
      </c>
      <c r="B347" s="50">
        <v>2021</v>
      </c>
      <c r="C347" s="50">
        <v>12</v>
      </c>
      <c r="D347" s="50" t="s">
        <v>192</v>
      </c>
      <c r="E347" s="50" t="s">
        <v>3545</v>
      </c>
      <c r="F347" s="121">
        <f>365*AVERAGE(DGKC!C65,DGKC!D65)/(-DGKC!D85)+365*AVERAGE(DGKC!C32,DGKC!D32)/DGKC!D84</f>
        <v>154.98591798038223</v>
      </c>
      <c r="G347" s="121">
        <f>1</f>
        <v>1</v>
      </c>
      <c r="H347" s="121">
        <f t="shared" si="10"/>
        <v>154.98591798038223</v>
      </c>
      <c r="I347" s="121">
        <v>154.98591798038223</v>
      </c>
      <c r="J347" s="121">
        <v>1</v>
      </c>
      <c r="K347" s="121">
        <v>154.98591798038223</v>
      </c>
      <c r="L347" s="127">
        <v>154.98591798038223</v>
      </c>
      <c r="M347" s="127">
        <f>DGKC!D150</f>
        <v>154.98591798038223</v>
      </c>
      <c r="N347" s="128" t="str">
        <f t="shared" si="11"/>
        <v>PASS</v>
      </c>
      <c r="O347" s="68"/>
      <c r="P347" s="50" t="s">
        <v>471</v>
      </c>
    </row>
    <row r="348" spans="1:16" ht="25.95" customHeight="1" x14ac:dyDescent="0.3">
      <c r="A348" s="119" t="s">
        <v>86</v>
      </c>
      <c r="B348" s="119">
        <v>2021</v>
      </c>
      <c r="C348" s="119">
        <v>13</v>
      </c>
      <c r="D348" s="119" t="s">
        <v>150</v>
      </c>
      <c r="E348" s="119" t="s">
        <v>3545</v>
      </c>
      <c r="F348" s="120">
        <f>365*AVERAGE(DGKC!C65,DGKC!D65)/(-DGKC!D85)+365*AVERAGE(DGKC!C32,DGKC!D32)/DGKC!D84-365*AVERAGE(DGKC!C51,DGKC!D51)/(-DGKC!D85)</f>
        <v>97.327557952605858</v>
      </c>
      <c r="G348" s="120">
        <f>1</f>
        <v>1</v>
      </c>
      <c r="H348" s="120">
        <f t="shared" si="10"/>
        <v>97.327557952605858</v>
      </c>
      <c r="I348" s="120">
        <v>97.327557952605858</v>
      </c>
      <c r="J348" s="120">
        <v>1</v>
      </c>
      <c r="K348" s="120">
        <v>97.327557952605858</v>
      </c>
      <c r="L348" s="125">
        <v>97.327557952605858</v>
      </c>
      <c r="M348" s="125">
        <f>DGKC!D151</f>
        <v>97.327557952605858</v>
      </c>
      <c r="N348" s="126" t="str">
        <f t="shared" si="11"/>
        <v>PASS</v>
      </c>
      <c r="O348" s="122"/>
      <c r="P348" s="119" t="s">
        <v>471</v>
      </c>
    </row>
    <row r="349" spans="1:16" ht="25.95" customHeight="1" x14ac:dyDescent="0.3">
      <c r="A349" s="50" t="s">
        <v>86</v>
      </c>
      <c r="B349" s="50">
        <v>2021</v>
      </c>
      <c r="C349" s="50">
        <v>14</v>
      </c>
      <c r="D349" s="50" t="s">
        <v>196</v>
      </c>
      <c r="E349" s="50" t="s">
        <v>3544</v>
      </c>
      <c r="F349" s="121">
        <f>DGKC!D84</f>
        <v>45107.69</v>
      </c>
      <c r="G349" s="121">
        <f>AVERAGE(DGKC!C37,DGKC!D37)</f>
        <v>133723.11550000001</v>
      </c>
      <c r="H349" s="121">
        <f t="shared" si="10"/>
        <v>0.33732156053453599</v>
      </c>
      <c r="I349" s="121">
        <v>45107.69</v>
      </c>
      <c r="J349" s="121">
        <v>133723.11550000001</v>
      </c>
      <c r="K349" s="121">
        <v>0.33732156053453599</v>
      </c>
      <c r="L349" s="127">
        <v>0.33732156053453599</v>
      </c>
      <c r="M349" s="127">
        <f>DGKC!D152</f>
        <v>0.33732156053453599</v>
      </c>
      <c r="N349" s="128" t="str">
        <f t="shared" si="11"/>
        <v>PASS</v>
      </c>
      <c r="O349" s="68"/>
      <c r="P349" s="50" t="s">
        <v>471</v>
      </c>
    </row>
    <row r="350" spans="1:16" ht="25.95" customHeight="1" x14ac:dyDescent="0.3">
      <c r="A350" s="119" t="s">
        <v>86</v>
      </c>
      <c r="B350" s="119">
        <v>2021</v>
      </c>
      <c r="C350" s="119">
        <v>15</v>
      </c>
      <c r="D350" s="119" t="s">
        <v>199</v>
      </c>
      <c r="E350" s="119" t="s">
        <v>3544</v>
      </c>
      <c r="F350" s="120">
        <f>DGKC!D84</f>
        <v>45107.69</v>
      </c>
      <c r="G350" s="120">
        <f>AVERAGE(DGKC!C22,DGKC!D22)</f>
        <v>77236.212499999994</v>
      </c>
      <c r="H350" s="120">
        <f t="shared" si="10"/>
        <v>0.58402255289253091</v>
      </c>
      <c r="I350" s="120">
        <v>45107.69</v>
      </c>
      <c r="J350" s="120">
        <v>77236.212499999994</v>
      </c>
      <c r="K350" s="120">
        <v>0.58402255289253091</v>
      </c>
      <c r="L350" s="125">
        <v>0.58402255289253091</v>
      </c>
      <c r="M350" s="125">
        <f>DGKC!D153</f>
        <v>0.58402255289253091</v>
      </c>
      <c r="N350" s="126" t="str">
        <f t="shared" si="11"/>
        <v>PASS</v>
      </c>
      <c r="O350" s="122"/>
      <c r="P350" s="119" t="s">
        <v>471</v>
      </c>
    </row>
    <row r="351" spans="1:16" ht="25.95" customHeight="1" x14ac:dyDescent="0.3">
      <c r="A351" s="50" t="s">
        <v>86</v>
      </c>
      <c r="B351" s="50">
        <v>2021</v>
      </c>
      <c r="C351" s="50">
        <v>16</v>
      </c>
      <c r="D351" s="50" t="s">
        <v>932</v>
      </c>
      <c r="E351" s="50" t="s">
        <v>3544</v>
      </c>
      <c r="F351" s="121">
        <f>DGKC!D62</f>
        <v>64416.823999999993</v>
      </c>
      <c r="G351" s="121">
        <f>DGKC!D37</f>
        <v>137894.69700000001</v>
      </c>
      <c r="H351" s="121">
        <f t="shared" si="10"/>
        <v>0.46714504184305206</v>
      </c>
      <c r="I351" s="121">
        <v>64416.823999999993</v>
      </c>
      <c r="J351" s="121">
        <v>137894.69699999999</v>
      </c>
      <c r="K351" s="121">
        <v>0.46714504184305217</v>
      </c>
      <c r="L351" s="127">
        <v>0.46714504184305217</v>
      </c>
      <c r="M351" s="127">
        <f>DGKC!D155</f>
        <v>0.46714504184305206</v>
      </c>
      <c r="N351" s="128" t="str">
        <f t="shared" si="11"/>
        <v>PASS</v>
      </c>
      <c r="O351" s="68"/>
      <c r="P351" s="50" t="s">
        <v>493</v>
      </c>
    </row>
    <row r="352" spans="1:16" ht="25.95" customHeight="1" x14ac:dyDescent="0.3">
      <c r="A352" s="119" t="s">
        <v>86</v>
      </c>
      <c r="B352" s="119">
        <v>2021</v>
      </c>
      <c r="C352" s="119">
        <v>17</v>
      </c>
      <c r="D352" s="119" t="s">
        <v>151</v>
      </c>
      <c r="E352" s="119" t="s">
        <v>3544</v>
      </c>
      <c r="F352" s="120">
        <f>DGKC!D62</f>
        <v>64416.823999999993</v>
      </c>
      <c r="G352" s="120">
        <f>DGKC!D41</f>
        <v>73477.873000000007</v>
      </c>
      <c r="H352" s="120">
        <f t="shared" si="10"/>
        <v>0.87668329756905172</v>
      </c>
      <c r="I352" s="120">
        <v>64416.823999999993</v>
      </c>
      <c r="J352" s="120">
        <v>73477.873000000007</v>
      </c>
      <c r="K352" s="120">
        <v>0.87668329756905172</v>
      </c>
      <c r="L352" s="125">
        <v>0.87668329756905172</v>
      </c>
      <c r="M352" s="125">
        <f>DGKC!D156</f>
        <v>0.87668329756905172</v>
      </c>
      <c r="N352" s="126" t="str">
        <f t="shared" si="11"/>
        <v>PASS</v>
      </c>
      <c r="O352" s="122"/>
      <c r="P352" s="119" t="s">
        <v>493</v>
      </c>
    </row>
    <row r="353" spans="1:16" ht="25.95" customHeight="1" x14ac:dyDescent="0.3">
      <c r="A353" s="50" t="s">
        <v>86</v>
      </c>
      <c r="B353" s="50">
        <v>2021</v>
      </c>
      <c r="C353" s="50">
        <v>18</v>
      </c>
      <c r="D353" s="50" t="s">
        <v>935</v>
      </c>
      <c r="E353" s="50" t="s">
        <v>3545</v>
      </c>
      <c r="F353" s="121">
        <f>DGKC!D66</f>
        <v>43792.817000000003</v>
      </c>
      <c r="G353" s="121">
        <f>DGKC!D66+DGKC!D41</f>
        <v>117270.69</v>
      </c>
      <c r="H353" s="121">
        <f t="shared" si="10"/>
        <v>0.37343360902882045</v>
      </c>
      <c r="I353" s="121">
        <v>43792.816999999995</v>
      </c>
      <c r="J353" s="121">
        <v>117270.69</v>
      </c>
      <c r="K353" s="121">
        <v>0.37343360902882039</v>
      </c>
      <c r="L353" s="127">
        <v>0.37343360902882039</v>
      </c>
      <c r="M353" s="127">
        <f>DGKC!D157</f>
        <v>0.37343360902882045</v>
      </c>
      <c r="N353" s="128" t="str">
        <f t="shared" si="11"/>
        <v>PASS</v>
      </c>
      <c r="O353" s="68"/>
      <c r="P353" s="50" t="s">
        <v>493</v>
      </c>
    </row>
    <row r="354" spans="1:16" ht="25.95" customHeight="1" x14ac:dyDescent="0.3">
      <c r="A354" s="119" t="s">
        <v>86</v>
      </c>
      <c r="B354" s="119">
        <v>2021</v>
      </c>
      <c r="C354" s="119">
        <v>19</v>
      </c>
      <c r="D354" s="119" t="s">
        <v>936</v>
      </c>
      <c r="E354" s="119" t="s">
        <v>3545</v>
      </c>
      <c r="F354" s="120">
        <f>DGKC!D67</f>
        <v>19300.063999999998</v>
      </c>
      <c r="G354" s="120">
        <f>DGKC!D37</f>
        <v>137894.69700000001</v>
      </c>
      <c r="H354" s="120">
        <f t="shared" si="10"/>
        <v>0.13996233662270563</v>
      </c>
      <c r="I354" s="120">
        <v>19300.063999999998</v>
      </c>
      <c r="J354" s="120">
        <v>137894.69699999999</v>
      </c>
      <c r="K354" s="120">
        <v>0.13996233662270566</v>
      </c>
      <c r="L354" s="125">
        <v>0.13996233662270566</v>
      </c>
      <c r="M354" s="125">
        <f>DGKC!D158</f>
        <v>0.13996233662270563</v>
      </c>
      <c r="N354" s="126" t="str">
        <f t="shared" si="11"/>
        <v>PASS</v>
      </c>
      <c r="O354" s="122"/>
      <c r="P354" s="119" t="s">
        <v>493</v>
      </c>
    </row>
    <row r="355" spans="1:16" ht="25.95" customHeight="1" x14ac:dyDescent="0.3">
      <c r="A355" s="50" t="s">
        <v>86</v>
      </c>
      <c r="B355" s="50">
        <v>2021</v>
      </c>
      <c r="C355" s="50">
        <v>20</v>
      </c>
      <c r="D355" s="50" t="s">
        <v>938</v>
      </c>
      <c r="E355" s="50" t="s">
        <v>3544</v>
      </c>
      <c r="F355" s="121">
        <f>DGKC!D108</f>
        <v>7692.2800000000007</v>
      </c>
      <c r="G355" s="121">
        <f>DGKC!D106</f>
        <v>2886.1089999999999</v>
      </c>
      <c r="H355" s="121">
        <f t="shared" si="10"/>
        <v>2.6652770217618258</v>
      </c>
      <c r="I355" s="121">
        <v>7692.28</v>
      </c>
      <c r="J355" s="121">
        <v>2886.1089999999999</v>
      </c>
      <c r="K355" s="121">
        <v>2.6652770217618253</v>
      </c>
      <c r="L355" s="127">
        <v>2.6652770217618253</v>
      </c>
      <c r="M355" s="127">
        <f>DGKC!D159</f>
        <v>2.6652770217618258</v>
      </c>
      <c r="N355" s="128" t="str">
        <f t="shared" si="11"/>
        <v>PASS</v>
      </c>
      <c r="O355" s="68"/>
      <c r="P355" s="50" t="s">
        <v>493</v>
      </c>
    </row>
    <row r="356" spans="1:16" ht="25.95" customHeight="1" x14ac:dyDescent="0.3">
      <c r="A356" s="119" t="s">
        <v>86</v>
      </c>
      <c r="B356" s="119">
        <v>2021</v>
      </c>
      <c r="C356" s="119">
        <v>21</v>
      </c>
      <c r="D356" s="119" t="s">
        <v>154</v>
      </c>
      <c r="E356" s="119" t="s">
        <v>3544</v>
      </c>
      <c r="F356" s="120">
        <f>DGKC!D86</f>
        <v>8071.8919999999998</v>
      </c>
      <c r="G356" s="120">
        <f>DGKC!D84</f>
        <v>45107.69</v>
      </c>
      <c r="H356" s="120">
        <f t="shared" si="10"/>
        <v>0.17894713739497631</v>
      </c>
      <c r="I356" s="120">
        <v>8071.8919999999998</v>
      </c>
      <c r="J356" s="120">
        <v>45107.69</v>
      </c>
      <c r="K356" s="120">
        <v>0.17894713739497631</v>
      </c>
      <c r="L356" s="125">
        <v>0.17894713739497631</v>
      </c>
      <c r="M356" s="125">
        <f>DGKC!D161</f>
        <v>0.17894713739497631</v>
      </c>
      <c r="N356" s="126" t="str">
        <f t="shared" si="11"/>
        <v>PASS</v>
      </c>
      <c r="O356" s="122"/>
      <c r="P356" s="119" t="s">
        <v>504</v>
      </c>
    </row>
    <row r="357" spans="1:16" ht="25.95" customHeight="1" x14ac:dyDescent="0.3">
      <c r="A357" s="50" t="s">
        <v>86</v>
      </c>
      <c r="B357" s="50">
        <v>2021</v>
      </c>
      <c r="C357" s="50">
        <v>22</v>
      </c>
      <c r="D357" s="50" t="s">
        <v>942</v>
      </c>
      <c r="E357" s="50" t="s">
        <v>3544</v>
      </c>
      <c r="F357" s="121">
        <f>DGKC!D91</f>
        <v>5165.4620000000004</v>
      </c>
      <c r="G357" s="121">
        <f>DGKC!D84</f>
        <v>45107.69</v>
      </c>
      <c r="H357" s="121">
        <f t="shared" si="10"/>
        <v>0.11451399971933833</v>
      </c>
      <c r="I357" s="121">
        <v>5165.4619999999995</v>
      </c>
      <c r="J357" s="121">
        <v>45107.69</v>
      </c>
      <c r="K357" s="121">
        <v>0.1145139997193383</v>
      </c>
      <c r="L357" s="127">
        <v>0.1145139997193383</v>
      </c>
      <c r="M357" s="127">
        <f>DGKC!D162</f>
        <v>0.11451399971933833</v>
      </c>
      <c r="N357" s="128" t="str">
        <f t="shared" si="11"/>
        <v>PASS</v>
      </c>
      <c r="O357" s="68"/>
      <c r="P357" s="50" t="s">
        <v>504</v>
      </c>
    </row>
    <row r="358" spans="1:16" ht="25.95" customHeight="1" x14ac:dyDescent="0.3">
      <c r="A358" s="119" t="s">
        <v>86</v>
      </c>
      <c r="B358" s="119">
        <v>2021</v>
      </c>
      <c r="C358" s="119">
        <v>23</v>
      </c>
      <c r="D358" s="119" t="s">
        <v>155</v>
      </c>
      <c r="E358" s="119" t="s">
        <v>3544</v>
      </c>
      <c r="F358" s="120">
        <f>DGKC!D99</f>
        <v>3721.2730000000006</v>
      </c>
      <c r="G358" s="120">
        <f>DGKC!D84</f>
        <v>45107.69</v>
      </c>
      <c r="H358" s="120">
        <f t="shared" si="10"/>
        <v>8.2497529800351119E-2</v>
      </c>
      <c r="I358" s="120">
        <v>3721.2729999999997</v>
      </c>
      <c r="J358" s="120">
        <v>45107.69</v>
      </c>
      <c r="K358" s="120">
        <v>8.2497529800351105E-2</v>
      </c>
      <c r="L358" s="125">
        <v>8.2497529800351105E-2</v>
      </c>
      <c r="M358" s="125">
        <f>DGKC!D163</f>
        <v>8.2497529800351119E-2</v>
      </c>
      <c r="N358" s="126" t="str">
        <f t="shared" si="11"/>
        <v>PASS</v>
      </c>
      <c r="O358" s="122"/>
      <c r="P358" s="119" t="s">
        <v>504</v>
      </c>
    </row>
    <row r="359" spans="1:16" ht="25.95" customHeight="1" x14ac:dyDescent="0.3">
      <c r="A359" s="50" t="s">
        <v>86</v>
      </c>
      <c r="B359" s="50">
        <v>2021</v>
      </c>
      <c r="C359" s="50">
        <v>24</v>
      </c>
      <c r="D359" s="50" t="s">
        <v>136</v>
      </c>
      <c r="E359" s="50" t="s">
        <v>3544</v>
      </c>
      <c r="F359" s="121">
        <f>DGKC!D99</f>
        <v>3721.2730000000006</v>
      </c>
      <c r="G359" s="121">
        <f>AVERAGE(DGKC!C37,DGKC!D37)</f>
        <v>133723.11550000001</v>
      </c>
      <c r="H359" s="121">
        <f t="shared" si="10"/>
        <v>2.782819549249883E-2</v>
      </c>
      <c r="I359" s="121">
        <v>3721.2729999999997</v>
      </c>
      <c r="J359" s="121">
        <v>133723.11550000001</v>
      </c>
      <c r="K359" s="121">
        <v>2.7828195492498823E-2</v>
      </c>
      <c r="L359" s="127">
        <v>2.7828195492498823E-2</v>
      </c>
      <c r="M359" s="127">
        <f>DGKC!D164</f>
        <v>2.782819549249883E-2</v>
      </c>
      <c r="N359" s="128" t="str">
        <f t="shared" si="11"/>
        <v>PASS</v>
      </c>
      <c r="O359" s="68"/>
      <c r="P359" s="50" t="s">
        <v>504</v>
      </c>
    </row>
    <row r="360" spans="1:16" ht="25.95" customHeight="1" x14ac:dyDescent="0.3">
      <c r="A360" s="119" t="s">
        <v>86</v>
      </c>
      <c r="B360" s="119">
        <v>2021</v>
      </c>
      <c r="C360" s="119">
        <v>25</v>
      </c>
      <c r="D360" s="119" t="s">
        <v>53</v>
      </c>
      <c r="E360" s="119" t="s">
        <v>3544</v>
      </c>
      <c r="F360" s="120">
        <f>DGKC!D99</f>
        <v>3721.2730000000006</v>
      </c>
      <c r="G360" s="120">
        <f>AVERAGE(DGKC!C41,DGKC!D41)</f>
        <v>70061.015000000014</v>
      </c>
      <c r="H360" s="120">
        <f t="shared" si="10"/>
        <v>5.3114745768384881E-2</v>
      </c>
      <c r="I360" s="120">
        <v>3721.2729999999997</v>
      </c>
      <c r="J360" s="120">
        <v>70061.015000000014</v>
      </c>
      <c r="K360" s="120">
        <v>5.3114745768384868E-2</v>
      </c>
      <c r="L360" s="125">
        <v>5.3114745768384868E-2</v>
      </c>
      <c r="M360" s="125">
        <f>DGKC!D165</f>
        <v>5.3114745768384881E-2</v>
      </c>
      <c r="N360" s="126" t="str">
        <f t="shared" si="11"/>
        <v>PASS</v>
      </c>
      <c r="O360" s="122"/>
      <c r="P360" s="119" t="s">
        <v>504</v>
      </c>
    </row>
    <row r="361" spans="1:16" ht="25.95" customHeight="1" x14ac:dyDescent="0.3">
      <c r="A361" s="50" t="s">
        <v>86</v>
      </c>
      <c r="B361" s="50">
        <v>2021</v>
      </c>
      <c r="C361" s="50">
        <v>26</v>
      </c>
      <c r="D361" s="50" t="s">
        <v>944</v>
      </c>
      <c r="E361" s="50" t="s">
        <v>3545</v>
      </c>
      <c r="F361" s="121">
        <f>DGKC!D113</f>
        <v>5999.2966164976569</v>
      </c>
      <c r="G361" s="121">
        <f>AVERAGE(DGKC!C70,DGKC!D70)</f>
        <v>115696.7175</v>
      </c>
      <c r="H361" s="121">
        <f t="shared" si="10"/>
        <v>5.1853645860762271E-2</v>
      </c>
      <c r="I361" s="121">
        <v>5999.296616497656</v>
      </c>
      <c r="J361" s="121">
        <v>115696.7175</v>
      </c>
      <c r="K361" s="121">
        <v>5.1853645860762264E-2</v>
      </c>
      <c r="L361" s="127">
        <v>5.1853645860762264E-2</v>
      </c>
      <c r="M361" s="127">
        <f>DGKC!D166</f>
        <v>5.1853645860762271E-2</v>
      </c>
      <c r="N361" s="128" t="str">
        <f t="shared" si="11"/>
        <v>PASS</v>
      </c>
      <c r="O361" s="68"/>
      <c r="P361" s="50" t="s">
        <v>504</v>
      </c>
    </row>
    <row r="362" spans="1:16" ht="25.95" customHeight="1" x14ac:dyDescent="0.3">
      <c r="A362" s="119" t="s">
        <v>86</v>
      </c>
      <c r="B362" s="119">
        <v>2021</v>
      </c>
      <c r="C362" s="119">
        <v>27</v>
      </c>
      <c r="D362" s="119" t="s">
        <v>945</v>
      </c>
      <c r="E362" s="119" t="s">
        <v>3545</v>
      </c>
      <c r="F362" s="120">
        <f>DGKC!D108</f>
        <v>7692.2800000000007</v>
      </c>
      <c r="G362" s="120">
        <f>AVERAGE(DGKC!C37,DGKC!D37)</f>
        <v>133723.11550000001</v>
      </c>
      <c r="H362" s="120">
        <f t="shared" si="10"/>
        <v>5.7523936465569407E-2</v>
      </c>
      <c r="I362" s="120">
        <v>7692.28</v>
      </c>
      <c r="J362" s="120">
        <v>133723.11550000001</v>
      </c>
      <c r="K362" s="120">
        <v>5.75239364655694E-2</v>
      </c>
      <c r="L362" s="125">
        <v>5.75239364655694E-2</v>
      </c>
      <c r="M362" s="125">
        <f>DGKC!D167</f>
        <v>5.7523936465569407E-2</v>
      </c>
      <c r="N362" s="126" t="str">
        <f t="shared" si="11"/>
        <v>PASS</v>
      </c>
      <c r="O362" s="122"/>
      <c r="P362" s="119" t="s">
        <v>504</v>
      </c>
    </row>
    <row r="363" spans="1:16" ht="25.95" customHeight="1" x14ac:dyDescent="0.3">
      <c r="A363" s="50" t="s">
        <v>86</v>
      </c>
      <c r="B363" s="50">
        <v>2021</v>
      </c>
      <c r="C363" s="50">
        <v>28</v>
      </c>
      <c r="D363" s="50" t="s">
        <v>139</v>
      </c>
      <c r="E363" s="50" t="s">
        <v>3545</v>
      </c>
      <c r="F363" s="121">
        <f>DGKC!D41</f>
        <v>73477.873000000007</v>
      </c>
      <c r="G363" s="121">
        <f>DGKC!D128</f>
        <v>438.1191</v>
      </c>
      <c r="H363" s="121">
        <f t="shared" si="10"/>
        <v>167.71209700741193</v>
      </c>
      <c r="I363" s="121">
        <v>73477.873000000007</v>
      </c>
      <c r="J363" s="121">
        <v>438.1191</v>
      </c>
      <c r="K363" s="121">
        <v>167.71209700741193</v>
      </c>
      <c r="L363" s="127">
        <v>167.71209700741193</v>
      </c>
      <c r="M363" s="127">
        <f>DGKC!D169</f>
        <v>167.71209700741193</v>
      </c>
      <c r="N363" s="128" t="str">
        <f t="shared" si="11"/>
        <v>PASS</v>
      </c>
      <c r="O363" s="68"/>
      <c r="P363" s="50" t="s">
        <v>519</v>
      </c>
    </row>
    <row r="364" spans="1:16" ht="25.95" customHeight="1" x14ac:dyDescent="0.3">
      <c r="A364" s="119" t="s">
        <v>86</v>
      </c>
      <c r="B364" s="119">
        <v>2021</v>
      </c>
      <c r="C364" s="119">
        <v>29</v>
      </c>
      <c r="D364" s="119" t="s">
        <v>162</v>
      </c>
      <c r="E364" s="119" t="s">
        <v>3544</v>
      </c>
      <c r="F364" s="120">
        <f>DGKC!D130</f>
        <v>117.92</v>
      </c>
      <c r="G364" s="120">
        <f>DGKC!D41/DGKC!D128</f>
        <v>167.71209700741193</v>
      </c>
      <c r="H364" s="120">
        <f t="shared" si="10"/>
        <v>0.7031096868032638</v>
      </c>
      <c r="I364" s="120">
        <v>117.92</v>
      </c>
      <c r="J364" s="120">
        <v>167.71209700741193</v>
      </c>
      <c r="K364" s="120">
        <v>0.7031096868032638</v>
      </c>
      <c r="L364" s="125">
        <v>0.7031096868032638</v>
      </c>
      <c r="M364" s="125">
        <f>DGKC!D170</f>
        <v>0.7031096868032638</v>
      </c>
      <c r="N364" s="126" t="str">
        <f t="shared" si="11"/>
        <v>PASS</v>
      </c>
      <c r="O364" s="122"/>
      <c r="P364" s="119" t="s">
        <v>519</v>
      </c>
    </row>
    <row r="365" spans="1:16" ht="25.95" customHeight="1" x14ac:dyDescent="0.3">
      <c r="A365" s="50" t="s">
        <v>86</v>
      </c>
      <c r="B365" s="50">
        <v>2021</v>
      </c>
      <c r="C365" s="50">
        <v>30</v>
      </c>
      <c r="D365" s="50" t="s">
        <v>143</v>
      </c>
      <c r="E365" s="50" t="s">
        <v>3544</v>
      </c>
      <c r="F365" s="121">
        <f>DGKC!D99</f>
        <v>3721.2730000000006</v>
      </c>
      <c r="G365" s="121">
        <f>DGKC!D129</f>
        <v>438.11911800000001</v>
      </c>
      <c r="H365" s="121">
        <f t="shared" si="10"/>
        <v>8.4937471274650029</v>
      </c>
      <c r="I365" s="121">
        <v>3721.2729999999997</v>
      </c>
      <c r="J365" s="121">
        <v>438.11911800000001</v>
      </c>
      <c r="K365" s="121">
        <v>8.4937471274650012</v>
      </c>
      <c r="L365" s="127">
        <v>8.4937471274650012</v>
      </c>
      <c r="M365" s="127">
        <f>DGKC!D171</f>
        <v>8.4937471274650029</v>
      </c>
      <c r="N365" s="128" t="str">
        <f t="shared" si="11"/>
        <v>PASS</v>
      </c>
      <c r="O365" s="68"/>
      <c r="P365" s="50" t="s">
        <v>519</v>
      </c>
    </row>
    <row r="366" spans="1:16" ht="25.95" customHeight="1" x14ac:dyDescent="0.3">
      <c r="A366" s="119" t="s">
        <v>86</v>
      </c>
      <c r="B366" s="119">
        <v>2021</v>
      </c>
      <c r="C366" s="119">
        <v>31</v>
      </c>
      <c r="D366" s="119" t="s">
        <v>952</v>
      </c>
      <c r="E366" s="119" t="s">
        <v>3544</v>
      </c>
      <c r="F366" s="120">
        <f>DGKC!D130</f>
        <v>117.92</v>
      </c>
      <c r="G366" s="120">
        <f>DGKC!D99/DGKC!D129</f>
        <v>8.4937471274650029</v>
      </c>
      <c r="H366" s="120">
        <f t="shared" si="10"/>
        <v>13.883154069739035</v>
      </c>
      <c r="I366" s="120">
        <v>117.92</v>
      </c>
      <c r="J366" s="120">
        <v>8.4937471274650012</v>
      </c>
      <c r="K366" s="120">
        <v>13.883154069739039</v>
      </c>
      <c r="L366" s="125">
        <v>13.883154069739039</v>
      </c>
      <c r="M366" s="125">
        <f>DGKC!D172</f>
        <v>13.883154069739035</v>
      </c>
      <c r="N366" s="126" t="str">
        <f t="shared" si="11"/>
        <v>PASS</v>
      </c>
      <c r="O366" s="122"/>
      <c r="P366" s="119" t="s">
        <v>519</v>
      </c>
    </row>
    <row r="367" spans="1:16" ht="25.95" customHeight="1" x14ac:dyDescent="0.3">
      <c r="A367" s="50" t="s">
        <v>86</v>
      </c>
      <c r="B367" s="50">
        <v>2021</v>
      </c>
      <c r="C367" s="50">
        <v>32</v>
      </c>
      <c r="D367" s="50" t="s">
        <v>104</v>
      </c>
      <c r="E367" s="50" t="s">
        <v>3544</v>
      </c>
      <c r="F367" s="121">
        <f>DGKC!D131</f>
        <v>1</v>
      </c>
      <c r="G367" s="121">
        <f>DGKC!D130</f>
        <v>117.92</v>
      </c>
      <c r="H367" s="121">
        <f t="shared" si="10"/>
        <v>8.4803256445047485E-3</v>
      </c>
      <c r="I367" s="121">
        <v>1</v>
      </c>
      <c r="J367" s="121">
        <v>117.92</v>
      </c>
      <c r="K367" s="121">
        <v>8.4803256445047485E-3</v>
      </c>
      <c r="L367" s="127">
        <v>8.4803256445047485E-3</v>
      </c>
      <c r="M367" s="127">
        <f>DGKC!D173</f>
        <v>8.4803256445047485E-3</v>
      </c>
      <c r="N367" s="128" t="str">
        <f t="shared" si="11"/>
        <v>PASS</v>
      </c>
      <c r="O367" s="68"/>
      <c r="P367" s="50" t="s">
        <v>519</v>
      </c>
    </row>
    <row r="368" spans="1:16" ht="25.95" customHeight="1" x14ac:dyDescent="0.3">
      <c r="A368" s="119" t="s">
        <v>86</v>
      </c>
      <c r="B368" s="119">
        <v>2021</v>
      </c>
      <c r="C368" s="119">
        <v>33</v>
      </c>
      <c r="D368" s="119" t="s">
        <v>124</v>
      </c>
      <c r="E368" s="119" t="s">
        <v>3545</v>
      </c>
      <c r="F368" s="120">
        <f>DGKC!D131</f>
        <v>1</v>
      </c>
      <c r="G368" s="120">
        <f>DGKC!D99/DGKC!D129</f>
        <v>8.4937471274650029</v>
      </c>
      <c r="H368" s="120">
        <f t="shared" si="10"/>
        <v>0.11773366748421842</v>
      </c>
      <c r="I368" s="120">
        <v>1</v>
      </c>
      <c r="J368" s="120">
        <v>8.4937471274650012</v>
      </c>
      <c r="K368" s="120">
        <v>0.11773366748421844</v>
      </c>
      <c r="L368" s="125">
        <v>0.11773366748421844</v>
      </c>
      <c r="M368" s="125">
        <f>DGKC!D174</f>
        <v>0.11773366748421842</v>
      </c>
      <c r="N368" s="126" t="str">
        <f t="shared" si="11"/>
        <v>PASS</v>
      </c>
      <c r="O368" s="122"/>
      <c r="P368" s="119" t="s">
        <v>519</v>
      </c>
    </row>
    <row r="369" spans="1:16" ht="25.95" customHeight="1" x14ac:dyDescent="0.3">
      <c r="A369" s="50" t="s">
        <v>86</v>
      </c>
      <c r="B369" s="50">
        <v>2022</v>
      </c>
      <c r="C369" s="50">
        <v>1</v>
      </c>
      <c r="D369" s="50" t="s">
        <v>19</v>
      </c>
      <c r="E369" s="50" t="s">
        <v>3544</v>
      </c>
      <c r="F369" s="121">
        <f>DGKC!E36</f>
        <v>40813.163</v>
      </c>
      <c r="G369" s="121">
        <f>DGKC!E61</f>
        <v>46089.031000000003</v>
      </c>
      <c r="H369" s="121">
        <f t="shared" si="10"/>
        <v>0.88552877147710041</v>
      </c>
      <c r="I369" s="121">
        <v>40813.163</v>
      </c>
      <c r="J369" s="121">
        <v>46089.031000000003</v>
      </c>
      <c r="K369" s="121">
        <v>0.88552877147710041</v>
      </c>
      <c r="L369" s="127">
        <v>0.88552877147710041</v>
      </c>
      <c r="M369" s="127">
        <f>DGKC!E138</f>
        <v>0.88552877147710041</v>
      </c>
      <c r="N369" s="128" t="str">
        <f t="shared" si="11"/>
        <v>PASS</v>
      </c>
      <c r="O369" s="68"/>
      <c r="P369" s="50" t="s">
        <v>459</v>
      </c>
    </row>
    <row r="370" spans="1:16" ht="25.95" customHeight="1" x14ac:dyDescent="0.3">
      <c r="A370" s="119" t="s">
        <v>86</v>
      </c>
      <c r="B370" s="119">
        <v>2022</v>
      </c>
      <c r="C370" s="119">
        <v>2</v>
      </c>
      <c r="D370" s="119" t="s">
        <v>30</v>
      </c>
      <c r="E370" s="119" t="s">
        <v>3544</v>
      </c>
      <c r="F370" s="120">
        <f>DGKC!E36-DGKC!E65</f>
        <v>18017.764999999999</v>
      </c>
      <c r="G370" s="120">
        <f>DGKC!E61</f>
        <v>46089.031000000003</v>
      </c>
      <c r="H370" s="120">
        <f t="shared" si="10"/>
        <v>0.39093390789665328</v>
      </c>
      <c r="I370" s="120">
        <v>18017.764999999999</v>
      </c>
      <c r="J370" s="120">
        <v>46089.031000000003</v>
      </c>
      <c r="K370" s="120">
        <v>0.39093390789665328</v>
      </c>
      <c r="L370" s="125">
        <v>0.39093390789665328</v>
      </c>
      <c r="M370" s="125">
        <f>DGKC!E139</f>
        <v>0.39093390789665328</v>
      </c>
      <c r="N370" s="126" t="str">
        <f t="shared" si="11"/>
        <v>PASS</v>
      </c>
      <c r="O370" s="122"/>
      <c r="P370" s="119" t="s">
        <v>459</v>
      </c>
    </row>
    <row r="371" spans="1:16" ht="25.95" customHeight="1" x14ac:dyDescent="0.3">
      <c r="A371" s="50" t="s">
        <v>86</v>
      </c>
      <c r="B371" s="50">
        <v>2022</v>
      </c>
      <c r="C371" s="50">
        <v>3</v>
      </c>
      <c r="D371" s="50" t="s">
        <v>145</v>
      </c>
      <c r="E371" s="50" t="s">
        <v>3544</v>
      </c>
      <c r="F371" s="121">
        <f>DGKC!E34</f>
        <v>410.803</v>
      </c>
      <c r="G371" s="121">
        <f>DGKC!E61</f>
        <v>46089.031000000003</v>
      </c>
      <c r="H371" s="121">
        <f t="shared" si="10"/>
        <v>8.913248794490819E-3</v>
      </c>
      <c r="I371" s="121">
        <v>410.803</v>
      </c>
      <c r="J371" s="121">
        <v>46089.031000000003</v>
      </c>
      <c r="K371" s="121">
        <v>8.913248794490819E-3</v>
      </c>
      <c r="L371" s="127">
        <v>8.913248794490819E-3</v>
      </c>
      <c r="M371" s="127">
        <f>DGKC!E140</f>
        <v>8.913248794490819E-3</v>
      </c>
      <c r="N371" s="128" t="str">
        <f t="shared" si="11"/>
        <v>PASS</v>
      </c>
      <c r="O371" s="68"/>
      <c r="P371" s="50" t="s">
        <v>459</v>
      </c>
    </row>
    <row r="372" spans="1:16" ht="25.95" customHeight="1" x14ac:dyDescent="0.3">
      <c r="A372" s="119" t="s">
        <v>86</v>
      </c>
      <c r="B372" s="119">
        <v>2022</v>
      </c>
      <c r="C372" s="119">
        <v>4</v>
      </c>
      <c r="D372" s="119" t="s">
        <v>201</v>
      </c>
      <c r="E372" s="119" t="s">
        <v>3545</v>
      </c>
      <c r="F372" s="120">
        <f>DGKC!E36-DGKC!E61</f>
        <v>-5275.8680000000022</v>
      </c>
      <c r="G372" s="120">
        <f>1</f>
        <v>1</v>
      </c>
      <c r="H372" s="120">
        <f t="shared" si="10"/>
        <v>-5275.8680000000022</v>
      </c>
      <c r="I372" s="120">
        <v>-5275.8680000000022</v>
      </c>
      <c r="J372" s="120">
        <v>1</v>
      </c>
      <c r="K372" s="120">
        <v>-5275.8680000000022</v>
      </c>
      <c r="L372" s="125" t="s">
        <v>3546</v>
      </c>
      <c r="M372" s="125" t="str">
        <f>DGKC!E141</f>
        <v>n/m</v>
      </c>
      <c r="N372" s="126" t="str">
        <f t="shared" si="11"/>
        <v>PASS</v>
      </c>
      <c r="O372" s="122" t="s">
        <v>3547</v>
      </c>
      <c r="P372" s="119" t="s">
        <v>459</v>
      </c>
    </row>
    <row r="373" spans="1:16" ht="25.95" customHeight="1" x14ac:dyDescent="0.3">
      <c r="A373" s="50" t="s">
        <v>86</v>
      </c>
      <c r="B373" s="50">
        <v>2022</v>
      </c>
      <c r="C373" s="50">
        <v>5</v>
      </c>
      <c r="D373" s="50" t="s">
        <v>923</v>
      </c>
      <c r="E373" s="50" t="s">
        <v>3545</v>
      </c>
      <c r="F373" s="121">
        <f>DGKC!E72-DGKC!E73</f>
        <v>17790.203999999998</v>
      </c>
      <c r="G373" s="121">
        <f>1</f>
        <v>1</v>
      </c>
      <c r="H373" s="121">
        <f t="shared" si="10"/>
        <v>17790.203999999998</v>
      </c>
      <c r="I373" s="121">
        <v>17790.203999999998</v>
      </c>
      <c r="J373" s="121">
        <v>1</v>
      </c>
      <c r="K373" s="121">
        <v>17790.203999999998</v>
      </c>
      <c r="L373" s="127">
        <v>17790.203999999998</v>
      </c>
      <c r="M373" s="127">
        <f>DGKC!E142</f>
        <v>17790.203999999998</v>
      </c>
      <c r="N373" s="128" t="str">
        <f t="shared" si="11"/>
        <v>PASS</v>
      </c>
      <c r="O373" s="68"/>
      <c r="P373" s="50" t="s">
        <v>459</v>
      </c>
    </row>
    <row r="374" spans="1:16" ht="25.95" customHeight="1" x14ac:dyDescent="0.3">
      <c r="A374" s="119" t="s">
        <v>86</v>
      </c>
      <c r="B374" s="119">
        <v>2022</v>
      </c>
      <c r="C374" s="119">
        <v>6</v>
      </c>
      <c r="D374" s="119" t="s">
        <v>31</v>
      </c>
      <c r="E374" s="119" t="s">
        <v>3544</v>
      </c>
      <c r="F374" s="120">
        <f>-DGKC!E85</f>
        <v>47615.550999999999</v>
      </c>
      <c r="G374" s="120">
        <f>AVERAGE(DGKC!D65,DGKC!E65)</f>
        <v>19201.6675</v>
      </c>
      <c r="H374" s="120">
        <f t="shared" si="10"/>
        <v>2.479761249901864</v>
      </c>
      <c r="I374" s="120">
        <v>47615.550999999999</v>
      </c>
      <c r="J374" s="120">
        <v>19201.6675</v>
      </c>
      <c r="K374" s="120">
        <v>2.479761249901864</v>
      </c>
      <c r="L374" s="125">
        <v>2.479761249901864</v>
      </c>
      <c r="M374" s="125">
        <f>DGKC!E144</f>
        <v>2.479761249901864</v>
      </c>
      <c r="N374" s="126" t="str">
        <f t="shared" si="11"/>
        <v>PASS</v>
      </c>
      <c r="O374" s="122"/>
      <c r="P374" s="119" t="s">
        <v>471</v>
      </c>
    </row>
    <row r="375" spans="1:16" ht="25.95" customHeight="1" x14ac:dyDescent="0.3">
      <c r="A375" s="50" t="s">
        <v>86</v>
      </c>
      <c r="B375" s="50">
        <v>2022</v>
      </c>
      <c r="C375" s="50">
        <v>7</v>
      </c>
      <c r="D375" s="50" t="s">
        <v>129</v>
      </c>
      <c r="E375" s="50" t="s">
        <v>3545</v>
      </c>
      <c r="F375" s="121">
        <f>DGKC!E84</f>
        <v>58043.862999999998</v>
      </c>
      <c r="G375" s="121">
        <f>AVERAGE(DGKC!D32,DGKC!E32)</f>
        <v>1572.0535</v>
      </c>
      <c r="H375" s="121">
        <f t="shared" si="10"/>
        <v>36.922320391767833</v>
      </c>
      <c r="I375" s="121">
        <v>58043.862999999998</v>
      </c>
      <c r="J375" s="121">
        <v>1572.0535</v>
      </c>
      <c r="K375" s="121">
        <v>36.922320391767833</v>
      </c>
      <c r="L375" s="127">
        <v>36.922320391767833</v>
      </c>
      <c r="M375" s="127">
        <f>DGKC!E145</f>
        <v>36.922320391767833</v>
      </c>
      <c r="N375" s="128" t="str">
        <f t="shared" si="11"/>
        <v>PASS</v>
      </c>
      <c r="O375" s="68"/>
      <c r="P375" s="50" t="s">
        <v>471</v>
      </c>
    </row>
    <row r="376" spans="1:16" ht="25.95" customHeight="1" x14ac:dyDescent="0.3">
      <c r="A376" s="119" t="s">
        <v>86</v>
      </c>
      <c r="B376" s="119">
        <v>2022</v>
      </c>
      <c r="C376" s="119">
        <v>8</v>
      </c>
      <c r="D376" s="119" t="s">
        <v>133</v>
      </c>
      <c r="E376" s="119" t="s">
        <v>3545</v>
      </c>
      <c r="F376" s="120">
        <f>-DGKC!E85</f>
        <v>47615.550999999999</v>
      </c>
      <c r="G376" s="120">
        <f>AVERAGE(DGKC!D51,DGKC!E51)</f>
        <v>5623.4184999999998</v>
      </c>
      <c r="H376" s="120">
        <f t="shared" si="10"/>
        <v>8.4673674918557111</v>
      </c>
      <c r="I376" s="120">
        <v>47615.550999999999</v>
      </c>
      <c r="J376" s="120">
        <v>5623.4184999999998</v>
      </c>
      <c r="K376" s="120">
        <v>8.4673674918557111</v>
      </c>
      <c r="L376" s="125">
        <v>8.4673674918557111</v>
      </c>
      <c r="M376" s="125">
        <f>DGKC!E146</f>
        <v>8.4673674918557111</v>
      </c>
      <c r="N376" s="126" t="str">
        <f t="shared" si="11"/>
        <v>PASS</v>
      </c>
      <c r="O376" s="122"/>
      <c r="P376" s="119" t="s">
        <v>471</v>
      </c>
    </row>
    <row r="377" spans="1:16" ht="25.95" customHeight="1" x14ac:dyDescent="0.3">
      <c r="A377" s="50" t="s">
        <v>86</v>
      </c>
      <c r="B377" s="50">
        <v>2022</v>
      </c>
      <c r="C377" s="50">
        <v>9</v>
      </c>
      <c r="D377" s="50" t="s">
        <v>134</v>
      </c>
      <c r="E377" s="50" t="s">
        <v>3545</v>
      </c>
      <c r="F377" s="121">
        <f>365*AVERAGE(DGKC!D65,DGKC!E65)</f>
        <v>7008608.6375000002</v>
      </c>
      <c r="G377" s="121">
        <f>-DGKC!E85</f>
        <v>47615.550999999999</v>
      </c>
      <c r="H377" s="121">
        <f t="shared" si="10"/>
        <v>147.19158951872677</v>
      </c>
      <c r="I377" s="121">
        <v>7008608.6375000002</v>
      </c>
      <c r="J377" s="121">
        <v>47615.550999999999</v>
      </c>
      <c r="K377" s="121">
        <v>147.19158951872677</v>
      </c>
      <c r="L377" s="127">
        <v>147.19158951872677</v>
      </c>
      <c r="M377" s="127">
        <f>DGKC!E147</f>
        <v>147.19158951872677</v>
      </c>
      <c r="N377" s="128" t="str">
        <f t="shared" si="11"/>
        <v>PASS</v>
      </c>
      <c r="O377" s="68"/>
      <c r="P377" s="50" t="s">
        <v>471</v>
      </c>
    </row>
    <row r="378" spans="1:16" ht="25.95" customHeight="1" x14ac:dyDescent="0.3">
      <c r="A378" s="119" t="s">
        <v>86</v>
      </c>
      <c r="B378" s="119">
        <v>2022</v>
      </c>
      <c r="C378" s="119">
        <v>10</v>
      </c>
      <c r="D378" s="119" t="s">
        <v>187</v>
      </c>
      <c r="E378" s="119" t="s">
        <v>3544</v>
      </c>
      <c r="F378" s="120">
        <f>365*AVERAGE(DGKC!D32,DGKC!E32)</f>
        <v>573799.52749999997</v>
      </c>
      <c r="G378" s="120">
        <f>DGKC!E84</f>
        <v>58043.862999999998</v>
      </c>
      <c r="H378" s="120">
        <f t="shared" si="10"/>
        <v>9.8856192169704489</v>
      </c>
      <c r="I378" s="120">
        <v>573799.52749999997</v>
      </c>
      <c r="J378" s="120">
        <v>58043.862999999998</v>
      </c>
      <c r="K378" s="120">
        <v>9.8856192169704489</v>
      </c>
      <c r="L378" s="125">
        <v>9.8856192169704489</v>
      </c>
      <c r="M378" s="125">
        <f>DGKC!E148</f>
        <v>9.8856192169704489</v>
      </c>
      <c r="N378" s="126" t="str">
        <f t="shared" si="11"/>
        <v>PASS</v>
      </c>
      <c r="O378" s="122"/>
      <c r="P378" s="119" t="s">
        <v>471</v>
      </c>
    </row>
    <row r="379" spans="1:16" ht="25.95" customHeight="1" x14ac:dyDescent="0.3">
      <c r="A379" s="50" t="s">
        <v>86</v>
      </c>
      <c r="B379" s="50">
        <v>2022</v>
      </c>
      <c r="C379" s="50">
        <v>11</v>
      </c>
      <c r="D379" s="50" t="s">
        <v>190</v>
      </c>
      <c r="E379" s="50" t="s">
        <v>3545</v>
      </c>
      <c r="F379" s="121">
        <f>365*AVERAGE(DGKC!D51,DGKC!E51)</f>
        <v>2052547.7524999999</v>
      </c>
      <c r="G379" s="121">
        <f>-DGKC!E85</f>
        <v>47615.550999999999</v>
      </c>
      <c r="H379" s="121">
        <f t="shared" si="10"/>
        <v>43.106668082030595</v>
      </c>
      <c r="I379" s="121">
        <v>2052547.7524999999</v>
      </c>
      <c r="J379" s="121">
        <v>47615.550999999999</v>
      </c>
      <c r="K379" s="121">
        <v>43.106668082030595</v>
      </c>
      <c r="L379" s="127">
        <v>43.106668082030595</v>
      </c>
      <c r="M379" s="127">
        <f>DGKC!E149</f>
        <v>43.106668082030595</v>
      </c>
      <c r="N379" s="128" t="str">
        <f t="shared" si="11"/>
        <v>PASS</v>
      </c>
      <c r="O379" s="68"/>
      <c r="P379" s="50" t="s">
        <v>471</v>
      </c>
    </row>
    <row r="380" spans="1:16" ht="25.95" customHeight="1" x14ac:dyDescent="0.3">
      <c r="A380" s="119" t="s">
        <v>86</v>
      </c>
      <c r="B380" s="119">
        <v>2022</v>
      </c>
      <c r="C380" s="119">
        <v>12</v>
      </c>
      <c r="D380" s="119" t="s">
        <v>192</v>
      </c>
      <c r="E380" s="119" t="s">
        <v>3545</v>
      </c>
      <c r="F380" s="120">
        <f>365*AVERAGE(DGKC!D65,DGKC!E65)/(-DGKC!E85)+365*AVERAGE(DGKC!D32,DGKC!E32)/DGKC!E84</f>
        <v>157.07720873569721</v>
      </c>
      <c r="G380" s="120">
        <f>1</f>
        <v>1</v>
      </c>
      <c r="H380" s="120">
        <f t="shared" si="10"/>
        <v>157.07720873569721</v>
      </c>
      <c r="I380" s="120">
        <v>157.07720873569721</v>
      </c>
      <c r="J380" s="120">
        <v>1</v>
      </c>
      <c r="K380" s="120">
        <v>157.07720873569721</v>
      </c>
      <c r="L380" s="125">
        <v>157.07720873569721</v>
      </c>
      <c r="M380" s="125">
        <f>DGKC!E150</f>
        <v>157.07720873569721</v>
      </c>
      <c r="N380" s="126" t="str">
        <f t="shared" si="11"/>
        <v>PASS</v>
      </c>
      <c r="O380" s="122"/>
      <c r="P380" s="119" t="s">
        <v>471</v>
      </c>
    </row>
    <row r="381" spans="1:16" ht="25.95" customHeight="1" x14ac:dyDescent="0.3">
      <c r="A381" s="50" t="s">
        <v>86</v>
      </c>
      <c r="B381" s="50">
        <v>2022</v>
      </c>
      <c r="C381" s="50">
        <v>13</v>
      </c>
      <c r="D381" s="50" t="s">
        <v>150</v>
      </c>
      <c r="E381" s="50" t="s">
        <v>3545</v>
      </c>
      <c r="F381" s="121">
        <f>365*AVERAGE(DGKC!D65,DGKC!E65)/(-DGKC!E85)+365*AVERAGE(DGKC!D32,DGKC!E32)/DGKC!E84-365*AVERAGE(DGKC!D51,DGKC!E51)/(-DGKC!E85)</f>
        <v>113.97054065366662</v>
      </c>
      <c r="G381" s="121">
        <f>1</f>
        <v>1</v>
      </c>
      <c r="H381" s="121">
        <f t="shared" si="10"/>
        <v>113.97054065366662</v>
      </c>
      <c r="I381" s="121">
        <v>113.97054065366662</v>
      </c>
      <c r="J381" s="121">
        <v>1</v>
      </c>
      <c r="K381" s="121">
        <v>113.97054065366662</v>
      </c>
      <c r="L381" s="127">
        <v>113.97054065366662</v>
      </c>
      <c r="M381" s="127">
        <f>DGKC!E151</f>
        <v>113.97054065366662</v>
      </c>
      <c r="N381" s="128" t="str">
        <f t="shared" si="11"/>
        <v>PASS</v>
      </c>
      <c r="O381" s="68"/>
      <c r="P381" s="50" t="s">
        <v>471</v>
      </c>
    </row>
    <row r="382" spans="1:16" ht="25.95" customHeight="1" x14ac:dyDescent="0.3">
      <c r="A382" s="119" t="s">
        <v>86</v>
      </c>
      <c r="B382" s="119">
        <v>2022</v>
      </c>
      <c r="C382" s="119">
        <v>14</v>
      </c>
      <c r="D382" s="119" t="s">
        <v>196</v>
      </c>
      <c r="E382" s="119" t="s">
        <v>3544</v>
      </c>
      <c r="F382" s="120">
        <f>DGKC!E84</f>
        <v>58043.862999999998</v>
      </c>
      <c r="G382" s="120">
        <f>AVERAGE(DGKC!D37,DGKC!E37)</f>
        <v>137228.35500000001</v>
      </c>
      <c r="H382" s="120">
        <f t="shared" si="10"/>
        <v>0.42297281053904634</v>
      </c>
      <c r="I382" s="120">
        <v>58043.862999999998</v>
      </c>
      <c r="J382" s="120">
        <v>137228.35499999998</v>
      </c>
      <c r="K382" s="120">
        <v>0.42297281053904645</v>
      </c>
      <c r="L382" s="125">
        <v>0.42297281053904645</v>
      </c>
      <c r="M382" s="125">
        <f>DGKC!E152</f>
        <v>0.42297281053904634</v>
      </c>
      <c r="N382" s="126" t="str">
        <f t="shared" si="11"/>
        <v>PASS</v>
      </c>
      <c r="O382" s="122"/>
      <c r="P382" s="119" t="s">
        <v>471</v>
      </c>
    </row>
    <row r="383" spans="1:16" ht="25.95" customHeight="1" x14ac:dyDescent="0.3">
      <c r="A383" s="50" t="s">
        <v>86</v>
      </c>
      <c r="B383" s="50">
        <v>2022</v>
      </c>
      <c r="C383" s="50">
        <v>15</v>
      </c>
      <c r="D383" s="50" t="s">
        <v>199</v>
      </c>
      <c r="E383" s="50" t="s">
        <v>3544</v>
      </c>
      <c r="F383" s="121">
        <f>DGKC!E84</f>
        <v>58043.862999999998</v>
      </c>
      <c r="G383" s="121">
        <f>AVERAGE(DGKC!D22,DGKC!E22)</f>
        <v>79686.540500000003</v>
      </c>
      <c r="H383" s="121">
        <f t="shared" si="10"/>
        <v>0.72840234543749571</v>
      </c>
      <c r="I383" s="121">
        <v>58043.862999999998</v>
      </c>
      <c r="J383" s="121">
        <v>79686.540500000003</v>
      </c>
      <c r="K383" s="121">
        <v>0.72840234543749571</v>
      </c>
      <c r="L383" s="127">
        <v>0.72840234543749571</v>
      </c>
      <c r="M383" s="127">
        <f>DGKC!E153</f>
        <v>0.72840234543749571</v>
      </c>
      <c r="N383" s="128" t="str">
        <f t="shared" si="11"/>
        <v>PASS</v>
      </c>
      <c r="O383" s="68"/>
      <c r="P383" s="50" t="s">
        <v>471</v>
      </c>
    </row>
    <row r="384" spans="1:16" ht="25.95" customHeight="1" x14ac:dyDescent="0.3">
      <c r="A384" s="119" t="s">
        <v>86</v>
      </c>
      <c r="B384" s="119">
        <v>2022</v>
      </c>
      <c r="C384" s="119">
        <v>16</v>
      </c>
      <c r="D384" s="119" t="s">
        <v>932</v>
      </c>
      <c r="E384" s="119" t="s">
        <v>3544</v>
      </c>
      <c r="F384" s="120">
        <f>DGKC!E62</f>
        <v>66643.910999999993</v>
      </c>
      <c r="G384" s="120">
        <f>DGKC!E37</f>
        <v>136562.01300000001</v>
      </c>
      <c r="H384" s="120">
        <f t="shared" si="10"/>
        <v>0.48801207258126744</v>
      </c>
      <c r="I384" s="120">
        <v>66643.910999999993</v>
      </c>
      <c r="J384" s="120">
        <v>136562.01300000001</v>
      </c>
      <c r="K384" s="120">
        <v>0.48801207258126744</v>
      </c>
      <c r="L384" s="125">
        <v>0.48801207258126744</v>
      </c>
      <c r="M384" s="125">
        <f>DGKC!E155</f>
        <v>0.48801207258126744</v>
      </c>
      <c r="N384" s="126" t="str">
        <f t="shared" si="11"/>
        <v>PASS</v>
      </c>
      <c r="O384" s="122"/>
      <c r="P384" s="119" t="s">
        <v>493</v>
      </c>
    </row>
    <row r="385" spans="1:16" ht="25.95" customHeight="1" x14ac:dyDescent="0.3">
      <c r="A385" s="50" t="s">
        <v>86</v>
      </c>
      <c r="B385" s="50">
        <v>2022</v>
      </c>
      <c r="C385" s="50">
        <v>17</v>
      </c>
      <c r="D385" s="50" t="s">
        <v>151</v>
      </c>
      <c r="E385" s="50" t="s">
        <v>3544</v>
      </c>
      <c r="F385" s="121">
        <f>DGKC!E62</f>
        <v>66643.910999999993</v>
      </c>
      <c r="G385" s="121">
        <f>DGKC!E41</f>
        <v>69918.101999999999</v>
      </c>
      <c r="H385" s="121">
        <f t="shared" si="10"/>
        <v>0.95317105432867721</v>
      </c>
      <c r="I385" s="121">
        <v>66643.910999999993</v>
      </c>
      <c r="J385" s="121">
        <v>69918.101999999999</v>
      </c>
      <c r="K385" s="121">
        <v>0.95317105432867721</v>
      </c>
      <c r="L385" s="127">
        <v>0.95317105432867721</v>
      </c>
      <c r="M385" s="127">
        <f>DGKC!E156</f>
        <v>0.95317105432867721</v>
      </c>
      <c r="N385" s="128" t="str">
        <f t="shared" si="11"/>
        <v>PASS</v>
      </c>
      <c r="O385" s="68"/>
      <c r="P385" s="50" t="s">
        <v>493</v>
      </c>
    </row>
    <row r="386" spans="1:16" ht="25.95" customHeight="1" x14ac:dyDescent="0.3">
      <c r="A386" s="119" t="s">
        <v>86</v>
      </c>
      <c r="B386" s="119">
        <v>2022</v>
      </c>
      <c r="C386" s="119">
        <v>18</v>
      </c>
      <c r="D386" s="119" t="s">
        <v>935</v>
      </c>
      <c r="E386" s="119" t="s">
        <v>3545</v>
      </c>
      <c r="F386" s="120">
        <f>DGKC!E66</f>
        <v>46475.900999999998</v>
      </c>
      <c r="G386" s="120">
        <f>DGKC!E66+DGKC!E41</f>
        <v>116394.003</v>
      </c>
      <c r="H386" s="120">
        <f t="shared" si="10"/>
        <v>0.39929807208366225</v>
      </c>
      <c r="I386" s="120">
        <v>46475.900999999998</v>
      </c>
      <c r="J386" s="120">
        <v>116394.003</v>
      </c>
      <c r="K386" s="120">
        <v>0.39929807208366225</v>
      </c>
      <c r="L386" s="125">
        <v>0.39929807208366225</v>
      </c>
      <c r="M386" s="125">
        <f>DGKC!E157</f>
        <v>0.39929807208366225</v>
      </c>
      <c r="N386" s="126" t="str">
        <f t="shared" si="11"/>
        <v>PASS</v>
      </c>
      <c r="O386" s="122"/>
      <c r="P386" s="119" t="s">
        <v>493</v>
      </c>
    </row>
    <row r="387" spans="1:16" ht="25.95" customHeight="1" x14ac:dyDescent="0.3">
      <c r="A387" s="50" t="s">
        <v>86</v>
      </c>
      <c r="B387" s="50">
        <v>2022</v>
      </c>
      <c r="C387" s="50">
        <v>19</v>
      </c>
      <c r="D387" s="50" t="s">
        <v>936</v>
      </c>
      <c r="E387" s="50" t="s">
        <v>3545</v>
      </c>
      <c r="F387" s="121">
        <f>DGKC!E67</f>
        <v>14168.228999999999</v>
      </c>
      <c r="G387" s="121">
        <f>DGKC!E37</f>
        <v>136562.01300000001</v>
      </c>
      <c r="H387" s="121">
        <f t="shared" si="10"/>
        <v>0.10374941529310935</v>
      </c>
      <c r="I387" s="121">
        <v>14168.228999999999</v>
      </c>
      <c r="J387" s="121">
        <v>136562.01300000001</v>
      </c>
      <c r="K387" s="121">
        <v>0.10374941529310935</v>
      </c>
      <c r="L387" s="127">
        <v>0.10374941529310935</v>
      </c>
      <c r="M387" s="127">
        <f>DGKC!E158</f>
        <v>0.10374941529310935</v>
      </c>
      <c r="N387" s="128" t="str">
        <f t="shared" si="11"/>
        <v>PASS</v>
      </c>
      <c r="O387" s="68"/>
      <c r="P387" s="50" t="s">
        <v>493</v>
      </c>
    </row>
    <row r="388" spans="1:16" ht="25.95" customHeight="1" x14ac:dyDescent="0.3">
      <c r="A388" s="119" t="s">
        <v>86</v>
      </c>
      <c r="B388" s="119">
        <v>2022</v>
      </c>
      <c r="C388" s="119">
        <v>20</v>
      </c>
      <c r="D388" s="119" t="s">
        <v>938</v>
      </c>
      <c r="E388" s="119" t="s">
        <v>3544</v>
      </c>
      <c r="F388" s="120">
        <f>DGKC!E108</f>
        <v>9590.9479999999985</v>
      </c>
      <c r="G388" s="120">
        <f>DGKC!E106</f>
        <v>3544.6569999999997</v>
      </c>
      <c r="H388" s="120">
        <f t="shared" si="10"/>
        <v>2.7057478339935286</v>
      </c>
      <c r="I388" s="120">
        <v>9590.9479999999985</v>
      </c>
      <c r="J388" s="120">
        <v>3544.6569999999997</v>
      </c>
      <c r="K388" s="120">
        <v>2.7057478339935286</v>
      </c>
      <c r="L388" s="125">
        <v>2.7057478339935286</v>
      </c>
      <c r="M388" s="125">
        <f>DGKC!E159</f>
        <v>2.7057478339935286</v>
      </c>
      <c r="N388" s="126" t="str">
        <f t="shared" si="11"/>
        <v>PASS</v>
      </c>
      <c r="O388" s="122"/>
      <c r="P388" s="119" t="s">
        <v>493</v>
      </c>
    </row>
    <row r="389" spans="1:16" ht="25.95" customHeight="1" x14ac:dyDescent="0.3">
      <c r="A389" s="50" t="s">
        <v>86</v>
      </c>
      <c r="B389" s="50">
        <v>2022</v>
      </c>
      <c r="C389" s="50">
        <v>21</v>
      </c>
      <c r="D389" s="50" t="s">
        <v>154</v>
      </c>
      <c r="E389" s="50" t="s">
        <v>3544</v>
      </c>
      <c r="F389" s="121">
        <f>DGKC!E86</f>
        <v>10428.311999999998</v>
      </c>
      <c r="G389" s="121">
        <f>DGKC!E84</f>
        <v>58043.862999999998</v>
      </c>
      <c r="H389" s="121">
        <f t="shared" si="10"/>
        <v>0.17966261135996409</v>
      </c>
      <c r="I389" s="121">
        <v>10428.311999999998</v>
      </c>
      <c r="J389" s="121">
        <v>58043.862999999998</v>
      </c>
      <c r="K389" s="121">
        <v>0.17966261135996409</v>
      </c>
      <c r="L389" s="127">
        <v>0.17966261135996409</v>
      </c>
      <c r="M389" s="127">
        <f>DGKC!E161</f>
        <v>0.17966261135996409</v>
      </c>
      <c r="N389" s="128" t="str">
        <f t="shared" si="11"/>
        <v>PASS</v>
      </c>
      <c r="O389" s="68"/>
      <c r="P389" s="50" t="s">
        <v>504</v>
      </c>
    </row>
    <row r="390" spans="1:16" ht="25.95" customHeight="1" x14ac:dyDescent="0.3">
      <c r="A390" s="119" t="s">
        <v>86</v>
      </c>
      <c r="B390" s="119">
        <v>2022</v>
      </c>
      <c r="C390" s="119">
        <v>22</v>
      </c>
      <c r="D390" s="119" t="s">
        <v>942</v>
      </c>
      <c r="E390" s="119" t="s">
        <v>3544</v>
      </c>
      <c r="F390" s="120">
        <f>DGKC!E91</f>
        <v>6876.6079999999984</v>
      </c>
      <c r="G390" s="120">
        <f>DGKC!E84</f>
        <v>58043.862999999998</v>
      </c>
      <c r="H390" s="120">
        <f t="shared" ref="H390:H453" si="12">IF(G390&lt;=0,"n/m",F390/G390)</f>
        <v>0.11847261096319517</v>
      </c>
      <c r="I390" s="120">
        <v>6876.6079999999984</v>
      </c>
      <c r="J390" s="120">
        <v>58043.862999999998</v>
      </c>
      <c r="K390" s="120">
        <v>0.11847261096319517</v>
      </c>
      <c r="L390" s="125">
        <v>0.11847261096319517</v>
      </c>
      <c r="M390" s="125">
        <f>DGKC!E162</f>
        <v>0.11847261096319517</v>
      </c>
      <c r="N390" s="126" t="str">
        <f t="shared" ref="N390:N453" si="13">IF(AND(ABS(F390-I390)&lt;0.000001,ABS(G390-J390)&lt;0.000001,IF(ISNUMBER(L390),IF(ISNUMBER(M390),ABS(L390-M390)&lt;0.00000001,FALSE),M390=L390)),"PASS","FAIL")</f>
        <v>PASS</v>
      </c>
      <c r="O390" s="122"/>
      <c r="P390" s="119" t="s">
        <v>504</v>
      </c>
    </row>
    <row r="391" spans="1:16" ht="25.95" customHeight="1" x14ac:dyDescent="0.3">
      <c r="A391" s="50" t="s">
        <v>86</v>
      </c>
      <c r="B391" s="50">
        <v>2022</v>
      </c>
      <c r="C391" s="50">
        <v>23</v>
      </c>
      <c r="D391" s="50" t="s">
        <v>155</v>
      </c>
      <c r="E391" s="50" t="s">
        <v>3544</v>
      </c>
      <c r="F391" s="121">
        <f>DGKC!E99</f>
        <v>2972.1319999999987</v>
      </c>
      <c r="G391" s="121">
        <f>DGKC!E84</f>
        <v>58043.862999999998</v>
      </c>
      <c r="H391" s="121">
        <f t="shared" si="12"/>
        <v>5.120493100192175E-2</v>
      </c>
      <c r="I391" s="121">
        <v>2972.1319999999987</v>
      </c>
      <c r="J391" s="121">
        <v>58043.862999999998</v>
      </c>
      <c r="K391" s="121">
        <v>5.120493100192175E-2</v>
      </c>
      <c r="L391" s="127">
        <v>5.120493100192175E-2</v>
      </c>
      <c r="M391" s="127">
        <f>DGKC!E163</f>
        <v>5.120493100192175E-2</v>
      </c>
      <c r="N391" s="128" t="str">
        <f t="shared" si="13"/>
        <v>PASS</v>
      </c>
      <c r="O391" s="68"/>
      <c r="P391" s="50" t="s">
        <v>504</v>
      </c>
    </row>
    <row r="392" spans="1:16" ht="25.95" customHeight="1" x14ac:dyDescent="0.3">
      <c r="A392" s="119" t="s">
        <v>86</v>
      </c>
      <c r="B392" s="119">
        <v>2022</v>
      </c>
      <c r="C392" s="119">
        <v>24</v>
      </c>
      <c r="D392" s="119" t="s">
        <v>136</v>
      </c>
      <c r="E392" s="119" t="s">
        <v>3544</v>
      </c>
      <c r="F392" s="120">
        <f>DGKC!E99</f>
        <v>2972.1319999999987</v>
      </c>
      <c r="G392" s="120">
        <f>AVERAGE(DGKC!D37,DGKC!E37)</f>
        <v>137228.35500000001</v>
      </c>
      <c r="H392" s="120">
        <f t="shared" si="12"/>
        <v>2.1658293579340789E-2</v>
      </c>
      <c r="I392" s="120">
        <v>2972.1319999999987</v>
      </c>
      <c r="J392" s="120">
        <v>137228.35499999998</v>
      </c>
      <c r="K392" s="120">
        <v>2.1658293579340793E-2</v>
      </c>
      <c r="L392" s="125">
        <v>2.1658293579340793E-2</v>
      </c>
      <c r="M392" s="125">
        <f>DGKC!E164</f>
        <v>2.1658293579340789E-2</v>
      </c>
      <c r="N392" s="126" t="str">
        <f t="shared" si="13"/>
        <v>PASS</v>
      </c>
      <c r="O392" s="122"/>
      <c r="P392" s="119" t="s">
        <v>504</v>
      </c>
    </row>
    <row r="393" spans="1:16" ht="25.95" customHeight="1" x14ac:dyDescent="0.3">
      <c r="A393" s="50" t="s">
        <v>86</v>
      </c>
      <c r="B393" s="50">
        <v>2022</v>
      </c>
      <c r="C393" s="50">
        <v>25</v>
      </c>
      <c r="D393" s="50" t="s">
        <v>53</v>
      </c>
      <c r="E393" s="50" t="s">
        <v>3544</v>
      </c>
      <c r="F393" s="121">
        <f>DGKC!E99</f>
        <v>2972.1319999999987</v>
      </c>
      <c r="G393" s="121">
        <f>AVERAGE(DGKC!D41,DGKC!E41)</f>
        <v>71697.987500000003</v>
      </c>
      <c r="H393" s="121">
        <f t="shared" si="12"/>
        <v>4.1453492679972344E-2</v>
      </c>
      <c r="I393" s="121">
        <v>2972.1319999999987</v>
      </c>
      <c r="J393" s="121">
        <v>71697.987500000003</v>
      </c>
      <c r="K393" s="121">
        <v>4.1453492679972344E-2</v>
      </c>
      <c r="L393" s="127">
        <v>4.1453492679972344E-2</v>
      </c>
      <c r="M393" s="127">
        <f>DGKC!E165</f>
        <v>4.1453492679972344E-2</v>
      </c>
      <c r="N393" s="128" t="str">
        <f t="shared" si="13"/>
        <v>PASS</v>
      </c>
      <c r="O393" s="68"/>
      <c r="P393" s="50" t="s">
        <v>504</v>
      </c>
    </row>
    <row r="394" spans="1:16" ht="25.95" customHeight="1" x14ac:dyDescent="0.3">
      <c r="A394" s="119" t="s">
        <v>86</v>
      </c>
      <c r="B394" s="119">
        <v>2022</v>
      </c>
      <c r="C394" s="119">
        <v>26</v>
      </c>
      <c r="D394" s="119" t="s">
        <v>944</v>
      </c>
      <c r="E394" s="119" t="s">
        <v>3545</v>
      </c>
      <c r="F394" s="120">
        <f>DGKC!E113</f>
        <v>4735.3314294597394</v>
      </c>
      <c r="G394" s="120">
        <f>AVERAGE(DGKC!D70,DGKC!E70)</f>
        <v>116832.3465</v>
      </c>
      <c r="H394" s="120">
        <f t="shared" si="12"/>
        <v>4.05309965203835E-2</v>
      </c>
      <c r="I394" s="120">
        <v>4735.3314294597394</v>
      </c>
      <c r="J394" s="120">
        <v>116832.3465</v>
      </c>
      <c r="K394" s="120">
        <v>4.05309965203835E-2</v>
      </c>
      <c r="L394" s="125">
        <v>4.05309965203835E-2</v>
      </c>
      <c r="M394" s="125">
        <f>DGKC!E166</f>
        <v>4.05309965203835E-2</v>
      </c>
      <c r="N394" s="126" t="str">
        <f t="shared" si="13"/>
        <v>PASS</v>
      </c>
      <c r="O394" s="122"/>
      <c r="P394" s="119" t="s">
        <v>504</v>
      </c>
    </row>
    <row r="395" spans="1:16" ht="25.95" customHeight="1" x14ac:dyDescent="0.3">
      <c r="A395" s="50" t="s">
        <v>86</v>
      </c>
      <c r="B395" s="50">
        <v>2022</v>
      </c>
      <c r="C395" s="50">
        <v>27</v>
      </c>
      <c r="D395" s="50" t="s">
        <v>945</v>
      </c>
      <c r="E395" s="50" t="s">
        <v>3545</v>
      </c>
      <c r="F395" s="121">
        <f>DGKC!E108</f>
        <v>9590.9479999999985</v>
      </c>
      <c r="G395" s="121">
        <f>AVERAGE(DGKC!D37,DGKC!E37)</f>
        <v>137228.35500000001</v>
      </c>
      <c r="H395" s="121">
        <f t="shared" si="12"/>
        <v>6.989042461377605E-2</v>
      </c>
      <c r="I395" s="121">
        <v>9590.9479999999985</v>
      </c>
      <c r="J395" s="121">
        <v>137228.35499999998</v>
      </c>
      <c r="K395" s="121">
        <v>6.9890424613776064E-2</v>
      </c>
      <c r="L395" s="127">
        <v>6.9890424613776064E-2</v>
      </c>
      <c r="M395" s="127">
        <f>DGKC!E167</f>
        <v>6.989042461377605E-2</v>
      </c>
      <c r="N395" s="128" t="str">
        <f t="shared" si="13"/>
        <v>PASS</v>
      </c>
      <c r="O395" s="68"/>
      <c r="P395" s="50" t="s">
        <v>504</v>
      </c>
    </row>
    <row r="396" spans="1:16" ht="25.95" customHeight="1" x14ac:dyDescent="0.3">
      <c r="A396" s="119" t="s">
        <v>86</v>
      </c>
      <c r="B396" s="119">
        <v>2022</v>
      </c>
      <c r="C396" s="119">
        <v>28</v>
      </c>
      <c r="D396" s="119" t="s">
        <v>139</v>
      </c>
      <c r="E396" s="119" t="s">
        <v>3545</v>
      </c>
      <c r="F396" s="120">
        <f>DGKC!E41</f>
        <v>69918.101999999999</v>
      </c>
      <c r="G396" s="120">
        <f>DGKC!E128</f>
        <v>438.1191</v>
      </c>
      <c r="H396" s="120">
        <f t="shared" si="12"/>
        <v>159.58697532246367</v>
      </c>
      <c r="I396" s="120">
        <v>69918.101999999999</v>
      </c>
      <c r="J396" s="120">
        <v>438.1191</v>
      </c>
      <c r="K396" s="120">
        <v>159.58697532246367</v>
      </c>
      <c r="L396" s="125">
        <v>159.58697532246367</v>
      </c>
      <c r="M396" s="125">
        <f>DGKC!E169</f>
        <v>159.58697532246367</v>
      </c>
      <c r="N396" s="126" t="str">
        <f t="shared" si="13"/>
        <v>PASS</v>
      </c>
      <c r="O396" s="122"/>
      <c r="P396" s="119" t="s">
        <v>519</v>
      </c>
    </row>
    <row r="397" spans="1:16" ht="25.95" customHeight="1" x14ac:dyDescent="0.3">
      <c r="A397" s="50" t="s">
        <v>86</v>
      </c>
      <c r="B397" s="50">
        <v>2022</v>
      </c>
      <c r="C397" s="50">
        <v>29</v>
      </c>
      <c r="D397" s="50" t="s">
        <v>162</v>
      </c>
      <c r="E397" s="50" t="s">
        <v>3544</v>
      </c>
      <c r="F397" s="121">
        <f>DGKC!E130</f>
        <v>62.5</v>
      </c>
      <c r="G397" s="121">
        <f>DGKC!E41/DGKC!E128</f>
        <v>159.58697532246367</v>
      </c>
      <c r="H397" s="121">
        <f t="shared" si="12"/>
        <v>0.39163597075332512</v>
      </c>
      <c r="I397" s="121">
        <v>62.5</v>
      </c>
      <c r="J397" s="121">
        <v>159.58697532246367</v>
      </c>
      <c r="K397" s="121">
        <v>0.39163597075332512</v>
      </c>
      <c r="L397" s="127">
        <v>0.39163597075332512</v>
      </c>
      <c r="M397" s="127">
        <f>DGKC!E170</f>
        <v>0.39163597075332512</v>
      </c>
      <c r="N397" s="128" t="str">
        <f t="shared" si="13"/>
        <v>PASS</v>
      </c>
      <c r="O397" s="68"/>
      <c r="P397" s="50" t="s">
        <v>519</v>
      </c>
    </row>
    <row r="398" spans="1:16" ht="25.95" customHeight="1" x14ac:dyDescent="0.3">
      <c r="A398" s="119" t="s">
        <v>86</v>
      </c>
      <c r="B398" s="119">
        <v>2022</v>
      </c>
      <c r="C398" s="119">
        <v>30</v>
      </c>
      <c r="D398" s="119" t="s">
        <v>143</v>
      </c>
      <c r="E398" s="119" t="s">
        <v>3544</v>
      </c>
      <c r="F398" s="120">
        <f>DGKC!E99</f>
        <v>2972.1319999999987</v>
      </c>
      <c r="G398" s="120">
        <f>DGKC!E129</f>
        <v>438.11911800000001</v>
      </c>
      <c r="H398" s="120">
        <f t="shared" si="12"/>
        <v>6.7838445707817723</v>
      </c>
      <c r="I398" s="120">
        <v>2972.1319999999987</v>
      </c>
      <c r="J398" s="120">
        <v>438.11911800000001</v>
      </c>
      <c r="K398" s="120">
        <v>6.7838445707817723</v>
      </c>
      <c r="L398" s="125">
        <v>6.7838445707817723</v>
      </c>
      <c r="M398" s="125">
        <f>DGKC!E171</f>
        <v>6.7838445707817723</v>
      </c>
      <c r="N398" s="126" t="str">
        <f t="shared" si="13"/>
        <v>PASS</v>
      </c>
      <c r="O398" s="122"/>
      <c r="P398" s="119" t="s">
        <v>519</v>
      </c>
    </row>
    <row r="399" spans="1:16" ht="25.95" customHeight="1" x14ac:dyDescent="0.3">
      <c r="A399" s="50" t="s">
        <v>86</v>
      </c>
      <c r="B399" s="50">
        <v>2022</v>
      </c>
      <c r="C399" s="50">
        <v>31</v>
      </c>
      <c r="D399" s="50" t="s">
        <v>952</v>
      </c>
      <c r="E399" s="50" t="s">
        <v>3544</v>
      </c>
      <c r="F399" s="121">
        <f>DGKC!E130</f>
        <v>62.5</v>
      </c>
      <c r="G399" s="121">
        <f>DGKC!E99/DGKC!E129</f>
        <v>6.7838445707817723</v>
      </c>
      <c r="H399" s="121">
        <f t="shared" si="12"/>
        <v>9.2130648554640278</v>
      </c>
      <c r="I399" s="121">
        <v>62.5</v>
      </c>
      <c r="J399" s="121">
        <v>6.7838445707817723</v>
      </c>
      <c r="K399" s="121">
        <v>9.2130648554640278</v>
      </c>
      <c r="L399" s="127">
        <v>9.2130648554640278</v>
      </c>
      <c r="M399" s="127">
        <f>DGKC!E172</f>
        <v>9.2130648554640278</v>
      </c>
      <c r="N399" s="128" t="str">
        <f t="shared" si="13"/>
        <v>PASS</v>
      </c>
      <c r="O399" s="68"/>
      <c r="P399" s="50" t="s">
        <v>519</v>
      </c>
    </row>
    <row r="400" spans="1:16" ht="25.95" customHeight="1" x14ac:dyDescent="0.3">
      <c r="A400" s="119" t="s">
        <v>86</v>
      </c>
      <c r="B400" s="119">
        <v>2022</v>
      </c>
      <c r="C400" s="119">
        <v>32</v>
      </c>
      <c r="D400" s="119" t="s">
        <v>104</v>
      </c>
      <c r="E400" s="119" t="s">
        <v>3544</v>
      </c>
      <c r="F400" s="120">
        <f>DGKC!E131</f>
        <v>1</v>
      </c>
      <c r="G400" s="120">
        <f>DGKC!E130</f>
        <v>62.5</v>
      </c>
      <c r="H400" s="120">
        <f t="shared" si="12"/>
        <v>1.6E-2</v>
      </c>
      <c r="I400" s="120">
        <v>1</v>
      </c>
      <c r="J400" s="120">
        <v>62.5</v>
      </c>
      <c r="K400" s="120">
        <v>1.6E-2</v>
      </c>
      <c r="L400" s="125">
        <v>1.6E-2</v>
      </c>
      <c r="M400" s="125">
        <f>DGKC!E173</f>
        <v>1.6E-2</v>
      </c>
      <c r="N400" s="126" t="str">
        <f t="shared" si="13"/>
        <v>PASS</v>
      </c>
      <c r="O400" s="122"/>
      <c r="P400" s="119" t="s">
        <v>519</v>
      </c>
    </row>
    <row r="401" spans="1:16" ht="25.95" customHeight="1" x14ac:dyDescent="0.3">
      <c r="A401" s="50" t="s">
        <v>86</v>
      </c>
      <c r="B401" s="50">
        <v>2022</v>
      </c>
      <c r="C401" s="50">
        <v>33</v>
      </c>
      <c r="D401" s="50" t="s">
        <v>124</v>
      </c>
      <c r="E401" s="50" t="s">
        <v>3545</v>
      </c>
      <c r="F401" s="121">
        <f>DGKC!E131</f>
        <v>1</v>
      </c>
      <c r="G401" s="121">
        <f>DGKC!E99/DGKC!E129</f>
        <v>6.7838445707817723</v>
      </c>
      <c r="H401" s="121">
        <f t="shared" si="12"/>
        <v>0.14740903768742444</v>
      </c>
      <c r="I401" s="121">
        <v>1</v>
      </c>
      <c r="J401" s="121">
        <v>6.7838445707817723</v>
      </c>
      <c r="K401" s="121">
        <v>0.14740903768742444</v>
      </c>
      <c r="L401" s="127">
        <v>0.14740903768742444</v>
      </c>
      <c r="M401" s="127">
        <f>DGKC!E174</f>
        <v>0.14740903768742444</v>
      </c>
      <c r="N401" s="128" t="str">
        <f t="shared" si="13"/>
        <v>PASS</v>
      </c>
      <c r="O401" s="68"/>
      <c r="P401" s="50" t="s">
        <v>519</v>
      </c>
    </row>
    <row r="402" spans="1:16" ht="25.95" customHeight="1" x14ac:dyDescent="0.3">
      <c r="A402" s="119" t="s">
        <v>86</v>
      </c>
      <c r="B402" s="119">
        <v>2023</v>
      </c>
      <c r="C402" s="119">
        <v>1</v>
      </c>
      <c r="D402" s="119" t="s">
        <v>19</v>
      </c>
      <c r="E402" s="119" t="s">
        <v>3544</v>
      </c>
      <c r="F402" s="120">
        <f>DGKC!F36</f>
        <v>39026.665999999997</v>
      </c>
      <c r="G402" s="120">
        <f>DGKC!F61</f>
        <v>48675.789999999994</v>
      </c>
      <c r="H402" s="120">
        <f t="shared" si="12"/>
        <v>0.80176749057385621</v>
      </c>
      <c r="I402" s="120">
        <v>39026.665999999997</v>
      </c>
      <c r="J402" s="120">
        <v>48675.79</v>
      </c>
      <c r="K402" s="120">
        <v>0.8017674905738561</v>
      </c>
      <c r="L402" s="125">
        <v>0.8017674905738561</v>
      </c>
      <c r="M402" s="125">
        <f>DGKC!F138</f>
        <v>0.80176749057385621</v>
      </c>
      <c r="N402" s="126" t="str">
        <f t="shared" si="13"/>
        <v>PASS</v>
      </c>
      <c r="O402" s="122"/>
      <c r="P402" s="119" t="s">
        <v>459</v>
      </c>
    </row>
    <row r="403" spans="1:16" ht="25.95" customHeight="1" x14ac:dyDescent="0.3">
      <c r="A403" s="50" t="s">
        <v>86</v>
      </c>
      <c r="B403" s="50">
        <v>2023</v>
      </c>
      <c r="C403" s="50">
        <v>2</v>
      </c>
      <c r="D403" s="50" t="s">
        <v>30</v>
      </c>
      <c r="E403" s="50" t="s">
        <v>3544</v>
      </c>
      <c r="F403" s="121">
        <f>DGKC!F36-DGKC!F65</f>
        <v>16301.490999999998</v>
      </c>
      <c r="G403" s="121">
        <f>DGKC!F61</f>
        <v>48675.789999999994</v>
      </c>
      <c r="H403" s="121">
        <f t="shared" si="12"/>
        <v>0.33489936167445872</v>
      </c>
      <c r="I403" s="121">
        <v>16301.490999999998</v>
      </c>
      <c r="J403" s="121">
        <v>48675.79</v>
      </c>
      <c r="K403" s="121">
        <v>0.33489936167445866</v>
      </c>
      <c r="L403" s="127">
        <v>0.33489936167445866</v>
      </c>
      <c r="M403" s="127">
        <f>DGKC!F139</f>
        <v>0.33489936167445872</v>
      </c>
      <c r="N403" s="128" t="str">
        <f t="shared" si="13"/>
        <v>PASS</v>
      </c>
      <c r="O403" s="68"/>
      <c r="P403" s="50" t="s">
        <v>459</v>
      </c>
    </row>
    <row r="404" spans="1:16" ht="25.95" customHeight="1" x14ac:dyDescent="0.3">
      <c r="A404" s="119" t="s">
        <v>86</v>
      </c>
      <c r="B404" s="119">
        <v>2023</v>
      </c>
      <c r="C404" s="119">
        <v>3</v>
      </c>
      <c r="D404" s="119" t="s">
        <v>145</v>
      </c>
      <c r="E404" s="119" t="s">
        <v>3544</v>
      </c>
      <c r="F404" s="120">
        <f>DGKC!F34</f>
        <v>674.97199999999998</v>
      </c>
      <c r="G404" s="120">
        <f>DGKC!F61</f>
        <v>48675.789999999994</v>
      </c>
      <c r="H404" s="120">
        <f t="shared" si="12"/>
        <v>1.3866688142092815E-2</v>
      </c>
      <c r="I404" s="120">
        <v>674.97199999999998</v>
      </c>
      <c r="J404" s="120">
        <v>48675.79</v>
      </c>
      <c r="K404" s="120">
        <v>1.3866688142092813E-2</v>
      </c>
      <c r="L404" s="125">
        <v>1.3866688142092813E-2</v>
      </c>
      <c r="M404" s="125">
        <f>DGKC!F140</f>
        <v>1.3866688142092815E-2</v>
      </c>
      <c r="N404" s="126" t="str">
        <f t="shared" si="13"/>
        <v>PASS</v>
      </c>
      <c r="O404" s="122"/>
      <c r="P404" s="119" t="s">
        <v>459</v>
      </c>
    </row>
    <row r="405" spans="1:16" ht="25.95" customHeight="1" x14ac:dyDescent="0.3">
      <c r="A405" s="50" t="s">
        <v>86</v>
      </c>
      <c r="B405" s="50">
        <v>2023</v>
      </c>
      <c r="C405" s="50">
        <v>4</v>
      </c>
      <c r="D405" s="50" t="s">
        <v>201</v>
      </c>
      <c r="E405" s="50" t="s">
        <v>3545</v>
      </c>
      <c r="F405" s="121">
        <f>DGKC!F36-DGKC!F61</f>
        <v>-9649.1239999999962</v>
      </c>
      <c r="G405" s="121">
        <f>1</f>
        <v>1</v>
      </c>
      <c r="H405" s="121">
        <f t="shared" si="12"/>
        <v>-9649.1239999999962</v>
      </c>
      <c r="I405" s="121">
        <v>-9649.1240000000034</v>
      </c>
      <c r="J405" s="121">
        <v>1</v>
      </c>
      <c r="K405" s="121">
        <v>-9649.1240000000034</v>
      </c>
      <c r="L405" s="127" t="s">
        <v>3546</v>
      </c>
      <c r="M405" s="127" t="str">
        <f>DGKC!F141</f>
        <v>n/m</v>
      </c>
      <c r="N405" s="128" t="str">
        <f t="shared" si="13"/>
        <v>PASS</v>
      </c>
      <c r="O405" s="68" t="s">
        <v>3547</v>
      </c>
      <c r="P405" s="50" t="s">
        <v>459</v>
      </c>
    </row>
    <row r="406" spans="1:16" ht="25.95" customHeight="1" x14ac:dyDescent="0.3">
      <c r="A406" s="119" t="s">
        <v>86</v>
      </c>
      <c r="B406" s="119">
        <v>2023</v>
      </c>
      <c r="C406" s="119">
        <v>5</v>
      </c>
      <c r="D406" s="119" t="s">
        <v>923</v>
      </c>
      <c r="E406" s="119" t="s">
        <v>3545</v>
      </c>
      <c r="F406" s="120">
        <f>DGKC!F72-DGKC!F73</f>
        <v>15215.495000000003</v>
      </c>
      <c r="G406" s="120">
        <f>1</f>
        <v>1</v>
      </c>
      <c r="H406" s="120">
        <f t="shared" si="12"/>
        <v>15215.495000000003</v>
      </c>
      <c r="I406" s="120">
        <v>15215.494999999995</v>
      </c>
      <c r="J406" s="120">
        <v>1</v>
      </c>
      <c r="K406" s="120">
        <v>15215.494999999995</v>
      </c>
      <c r="L406" s="125">
        <v>15215.494999999995</v>
      </c>
      <c r="M406" s="125">
        <f>DGKC!F142</f>
        <v>15215.495000000003</v>
      </c>
      <c r="N406" s="126" t="str">
        <f t="shared" si="13"/>
        <v>PASS</v>
      </c>
      <c r="O406" s="122"/>
      <c r="P406" s="119" t="s">
        <v>459</v>
      </c>
    </row>
    <row r="407" spans="1:16" ht="25.95" customHeight="1" x14ac:dyDescent="0.3">
      <c r="A407" s="50" t="s">
        <v>86</v>
      </c>
      <c r="B407" s="50">
        <v>2023</v>
      </c>
      <c r="C407" s="50">
        <v>6</v>
      </c>
      <c r="D407" s="50" t="s">
        <v>31</v>
      </c>
      <c r="E407" s="50" t="s">
        <v>3544</v>
      </c>
      <c r="F407" s="121">
        <f>-DGKC!F85</f>
        <v>55428.046000000002</v>
      </c>
      <c r="G407" s="121">
        <f>AVERAGE(DGKC!E65,DGKC!F65)</f>
        <v>22760.286500000002</v>
      </c>
      <c r="H407" s="121">
        <f t="shared" si="12"/>
        <v>2.4352964976956684</v>
      </c>
      <c r="I407" s="121">
        <v>55428.046000000002</v>
      </c>
      <c r="J407" s="121">
        <v>22760.286500000002</v>
      </c>
      <c r="K407" s="121">
        <v>2.4352964976956684</v>
      </c>
      <c r="L407" s="127">
        <v>2.4352964976956684</v>
      </c>
      <c r="M407" s="127">
        <f>DGKC!F144</f>
        <v>2.4352964976956684</v>
      </c>
      <c r="N407" s="128" t="str">
        <f t="shared" si="13"/>
        <v>PASS</v>
      </c>
      <c r="O407" s="68"/>
      <c r="P407" s="50" t="s">
        <v>471</v>
      </c>
    </row>
    <row r="408" spans="1:16" ht="25.95" customHeight="1" x14ac:dyDescent="0.3">
      <c r="A408" s="119" t="s">
        <v>86</v>
      </c>
      <c r="B408" s="119">
        <v>2023</v>
      </c>
      <c r="C408" s="119">
        <v>7</v>
      </c>
      <c r="D408" s="119" t="s">
        <v>129</v>
      </c>
      <c r="E408" s="119" t="s">
        <v>3545</v>
      </c>
      <c r="F408" s="120">
        <f>DGKC!F84</f>
        <v>64983.821000000004</v>
      </c>
      <c r="G408" s="120">
        <f>AVERAGE(DGKC!E32,DGKC!F32)</f>
        <v>1330.6510000000001</v>
      </c>
      <c r="H408" s="120">
        <f t="shared" si="12"/>
        <v>48.836111797909446</v>
      </c>
      <c r="I408" s="120">
        <v>64983.821000000004</v>
      </c>
      <c r="J408" s="120">
        <v>1330.6510000000001</v>
      </c>
      <c r="K408" s="120">
        <v>48.836111797909446</v>
      </c>
      <c r="L408" s="125">
        <v>48.836111797909446</v>
      </c>
      <c r="M408" s="125">
        <f>DGKC!F145</f>
        <v>48.836111797909446</v>
      </c>
      <c r="N408" s="126" t="str">
        <f t="shared" si="13"/>
        <v>PASS</v>
      </c>
      <c r="O408" s="122"/>
      <c r="P408" s="119" t="s">
        <v>471</v>
      </c>
    </row>
    <row r="409" spans="1:16" ht="25.95" customHeight="1" x14ac:dyDescent="0.3">
      <c r="A409" s="50" t="s">
        <v>86</v>
      </c>
      <c r="B409" s="50">
        <v>2023</v>
      </c>
      <c r="C409" s="50">
        <v>8</v>
      </c>
      <c r="D409" s="50" t="s">
        <v>133</v>
      </c>
      <c r="E409" s="50" t="s">
        <v>3545</v>
      </c>
      <c r="F409" s="121">
        <f>-DGKC!F85</f>
        <v>55428.046000000002</v>
      </c>
      <c r="G409" s="121">
        <f>AVERAGE(DGKC!E51,DGKC!F51)</f>
        <v>5200.6279999999997</v>
      </c>
      <c r="H409" s="121">
        <f t="shared" si="12"/>
        <v>10.657952462664126</v>
      </c>
      <c r="I409" s="121">
        <v>55428.046000000002</v>
      </c>
      <c r="J409" s="121">
        <v>5200.6279999999997</v>
      </c>
      <c r="K409" s="121">
        <v>10.657952462664126</v>
      </c>
      <c r="L409" s="127">
        <v>10.657952462664126</v>
      </c>
      <c r="M409" s="127">
        <f>DGKC!F146</f>
        <v>10.657952462664126</v>
      </c>
      <c r="N409" s="128" t="str">
        <f t="shared" si="13"/>
        <v>PASS</v>
      </c>
      <c r="O409" s="68"/>
      <c r="P409" s="50" t="s">
        <v>471</v>
      </c>
    </row>
    <row r="410" spans="1:16" ht="25.95" customHeight="1" x14ac:dyDescent="0.3">
      <c r="A410" s="119" t="s">
        <v>86</v>
      </c>
      <c r="B410" s="119">
        <v>2023</v>
      </c>
      <c r="C410" s="119">
        <v>9</v>
      </c>
      <c r="D410" s="119" t="s">
        <v>134</v>
      </c>
      <c r="E410" s="119" t="s">
        <v>3545</v>
      </c>
      <c r="F410" s="120">
        <f>365*AVERAGE(DGKC!E65,DGKC!F65)</f>
        <v>8307504.5725000007</v>
      </c>
      <c r="G410" s="120">
        <f>-DGKC!F85</f>
        <v>55428.046000000002</v>
      </c>
      <c r="H410" s="120">
        <f t="shared" si="12"/>
        <v>149.87908057411946</v>
      </c>
      <c r="I410" s="120">
        <v>8307504.5725000007</v>
      </c>
      <c r="J410" s="120">
        <v>55428.046000000002</v>
      </c>
      <c r="K410" s="120">
        <v>149.87908057411946</v>
      </c>
      <c r="L410" s="125">
        <v>149.87908057411946</v>
      </c>
      <c r="M410" s="125">
        <f>DGKC!F147</f>
        <v>149.87908057411946</v>
      </c>
      <c r="N410" s="126" t="str">
        <f t="shared" si="13"/>
        <v>PASS</v>
      </c>
      <c r="O410" s="122"/>
      <c r="P410" s="119" t="s">
        <v>471</v>
      </c>
    </row>
    <row r="411" spans="1:16" ht="25.95" customHeight="1" x14ac:dyDescent="0.3">
      <c r="A411" s="50" t="s">
        <v>86</v>
      </c>
      <c r="B411" s="50">
        <v>2023</v>
      </c>
      <c r="C411" s="50">
        <v>10</v>
      </c>
      <c r="D411" s="50" t="s">
        <v>187</v>
      </c>
      <c r="E411" s="50" t="s">
        <v>3544</v>
      </c>
      <c r="F411" s="121">
        <f>365*AVERAGE(DGKC!E32,DGKC!F32)</f>
        <v>485687.61500000005</v>
      </c>
      <c r="G411" s="121">
        <f>DGKC!F84</f>
        <v>64983.821000000004</v>
      </c>
      <c r="H411" s="121">
        <f t="shared" si="12"/>
        <v>7.4739774843341396</v>
      </c>
      <c r="I411" s="121">
        <v>485687.61500000005</v>
      </c>
      <c r="J411" s="121">
        <v>64983.821000000004</v>
      </c>
      <c r="K411" s="121">
        <v>7.4739774843341396</v>
      </c>
      <c r="L411" s="127">
        <v>7.4739774843341396</v>
      </c>
      <c r="M411" s="127">
        <f>DGKC!F148</f>
        <v>7.4739774843341396</v>
      </c>
      <c r="N411" s="128" t="str">
        <f t="shared" si="13"/>
        <v>PASS</v>
      </c>
      <c r="O411" s="68"/>
      <c r="P411" s="50" t="s">
        <v>471</v>
      </c>
    </row>
    <row r="412" spans="1:16" ht="25.95" customHeight="1" x14ac:dyDescent="0.3">
      <c r="A412" s="119" t="s">
        <v>86</v>
      </c>
      <c r="B412" s="119">
        <v>2023</v>
      </c>
      <c r="C412" s="119">
        <v>11</v>
      </c>
      <c r="D412" s="119" t="s">
        <v>190</v>
      </c>
      <c r="E412" s="119" t="s">
        <v>3545</v>
      </c>
      <c r="F412" s="120">
        <f>365*AVERAGE(DGKC!E51,DGKC!F51)</f>
        <v>1898229.22</v>
      </c>
      <c r="G412" s="120">
        <f>-DGKC!F85</f>
        <v>55428.046000000002</v>
      </c>
      <c r="H412" s="120">
        <f t="shared" si="12"/>
        <v>34.246728091407007</v>
      </c>
      <c r="I412" s="120">
        <v>1898229.22</v>
      </c>
      <c r="J412" s="120">
        <v>55428.046000000002</v>
      </c>
      <c r="K412" s="120">
        <v>34.246728091407007</v>
      </c>
      <c r="L412" s="125">
        <v>34.246728091407007</v>
      </c>
      <c r="M412" s="125">
        <f>DGKC!F149</f>
        <v>34.246728091407007</v>
      </c>
      <c r="N412" s="126" t="str">
        <f t="shared" si="13"/>
        <v>PASS</v>
      </c>
      <c r="O412" s="122"/>
      <c r="P412" s="119" t="s">
        <v>471</v>
      </c>
    </row>
    <row r="413" spans="1:16" ht="25.95" customHeight="1" x14ac:dyDescent="0.3">
      <c r="A413" s="50" t="s">
        <v>86</v>
      </c>
      <c r="B413" s="50">
        <v>2023</v>
      </c>
      <c r="C413" s="50">
        <v>12</v>
      </c>
      <c r="D413" s="50" t="s">
        <v>192</v>
      </c>
      <c r="E413" s="50" t="s">
        <v>3545</v>
      </c>
      <c r="F413" s="121">
        <f>365*AVERAGE(DGKC!E65,DGKC!F65)/(-DGKC!F85)+365*AVERAGE(DGKC!E32,DGKC!F32)/DGKC!F84</f>
        <v>157.3530580584536</v>
      </c>
      <c r="G413" s="121">
        <f>1</f>
        <v>1</v>
      </c>
      <c r="H413" s="121">
        <f t="shared" si="12"/>
        <v>157.3530580584536</v>
      </c>
      <c r="I413" s="121">
        <v>157.3530580584536</v>
      </c>
      <c r="J413" s="121">
        <v>1</v>
      </c>
      <c r="K413" s="121">
        <v>157.3530580584536</v>
      </c>
      <c r="L413" s="127">
        <v>157.3530580584536</v>
      </c>
      <c r="M413" s="127">
        <f>DGKC!F150</f>
        <v>157.3530580584536</v>
      </c>
      <c r="N413" s="128" t="str">
        <f t="shared" si="13"/>
        <v>PASS</v>
      </c>
      <c r="O413" s="68"/>
      <c r="P413" s="50" t="s">
        <v>471</v>
      </c>
    </row>
    <row r="414" spans="1:16" ht="25.95" customHeight="1" x14ac:dyDescent="0.3">
      <c r="A414" s="119" t="s">
        <v>86</v>
      </c>
      <c r="B414" s="119">
        <v>2023</v>
      </c>
      <c r="C414" s="119">
        <v>13</v>
      </c>
      <c r="D414" s="119" t="s">
        <v>150</v>
      </c>
      <c r="E414" s="119" t="s">
        <v>3545</v>
      </c>
      <c r="F414" s="120">
        <f>365*AVERAGE(DGKC!E65,DGKC!F65)/(-DGKC!F85)+365*AVERAGE(DGKC!E32,DGKC!F32)/DGKC!F84-365*AVERAGE(DGKC!E51,DGKC!F51)/(-DGKC!F85)</f>
        <v>123.10632996704659</v>
      </c>
      <c r="G414" s="120">
        <f>1</f>
        <v>1</v>
      </c>
      <c r="H414" s="120">
        <f t="shared" si="12"/>
        <v>123.10632996704659</v>
      </c>
      <c r="I414" s="120">
        <v>123.10632996704659</v>
      </c>
      <c r="J414" s="120">
        <v>1</v>
      </c>
      <c r="K414" s="120">
        <v>123.10632996704659</v>
      </c>
      <c r="L414" s="125">
        <v>123.10632996704659</v>
      </c>
      <c r="M414" s="125">
        <f>DGKC!F151</f>
        <v>123.10632996704659</v>
      </c>
      <c r="N414" s="126" t="str">
        <f t="shared" si="13"/>
        <v>PASS</v>
      </c>
      <c r="O414" s="122"/>
      <c r="P414" s="119" t="s">
        <v>471</v>
      </c>
    </row>
    <row r="415" spans="1:16" ht="25.95" customHeight="1" x14ac:dyDescent="0.3">
      <c r="A415" s="50" t="s">
        <v>86</v>
      </c>
      <c r="B415" s="50">
        <v>2023</v>
      </c>
      <c r="C415" s="50">
        <v>14</v>
      </c>
      <c r="D415" s="50" t="s">
        <v>196</v>
      </c>
      <c r="E415" s="50" t="s">
        <v>3544</v>
      </c>
      <c r="F415" s="121">
        <f>DGKC!F84</f>
        <v>64983.821000000004</v>
      </c>
      <c r="G415" s="121">
        <f>AVERAGE(DGKC!E37,DGKC!F37)</f>
        <v>135637.6335</v>
      </c>
      <c r="H415" s="121">
        <f t="shared" si="12"/>
        <v>0.47909875248597583</v>
      </c>
      <c r="I415" s="121">
        <v>64983.821000000004</v>
      </c>
      <c r="J415" s="121">
        <v>135637.6335</v>
      </c>
      <c r="K415" s="121">
        <v>0.47909875248597583</v>
      </c>
      <c r="L415" s="127">
        <v>0.47909875248597583</v>
      </c>
      <c r="M415" s="127">
        <f>DGKC!F152</f>
        <v>0.47909875248597583</v>
      </c>
      <c r="N415" s="128" t="str">
        <f t="shared" si="13"/>
        <v>PASS</v>
      </c>
      <c r="O415" s="68"/>
      <c r="P415" s="50" t="s">
        <v>471</v>
      </c>
    </row>
    <row r="416" spans="1:16" ht="25.95" customHeight="1" x14ac:dyDescent="0.3">
      <c r="A416" s="119" t="s">
        <v>86</v>
      </c>
      <c r="B416" s="119">
        <v>2023</v>
      </c>
      <c r="C416" s="119">
        <v>15</v>
      </c>
      <c r="D416" s="119" t="s">
        <v>199</v>
      </c>
      <c r="E416" s="119" t="s">
        <v>3544</v>
      </c>
      <c r="F416" s="120">
        <f>DGKC!F84</f>
        <v>64983.821000000004</v>
      </c>
      <c r="G416" s="120">
        <f>AVERAGE(DGKC!E22,DGKC!F22)</f>
        <v>81159.239000000001</v>
      </c>
      <c r="H416" s="120">
        <f t="shared" si="12"/>
        <v>0.80069529730312039</v>
      </c>
      <c r="I416" s="120">
        <v>64983.821000000004</v>
      </c>
      <c r="J416" s="120">
        <v>81159.239000000001</v>
      </c>
      <c r="K416" s="120">
        <v>0.80069529730312039</v>
      </c>
      <c r="L416" s="125">
        <v>0.80069529730312039</v>
      </c>
      <c r="M416" s="125">
        <f>DGKC!F153</f>
        <v>0.80069529730312039</v>
      </c>
      <c r="N416" s="126" t="str">
        <f t="shared" si="13"/>
        <v>PASS</v>
      </c>
      <c r="O416" s="122"/>
      <c r="P416" s="119" t="s">
        <v>471</v>
      </c>
    </row>
    <row r="417" spans="1:16" ht="25.95" customHeight="1" x14ac:dyDescent="0.3">
      <c r="A417" s="50" t="s">
        <v>86</v>
      </c>
      <c r="B417" s="50">
        <v>2023</v>
      </c>
      <c r="C417" s="50">
        <v>16</v>
      </c>
      <c r="D417" s="50" t="s">
        <v>932</v>
      </c>
      <c r="E417" s="50" t="s">
        <v>3544</v>
      </c>
      <c r="F417" s="121">
        <f>DGKC!F62</f>
        <v>70520.976999999984</v>
      </c>
      <c r="G417" s="121">
        <f>DGKC!F37</f>
        <v>134713.25400000002</v>
      </c>
      <c r="H417" s="121">
        <f t="shared" si="12"/>
        <v>0.52348952241922664</v>
      </c>
      <c r="I417" s="121">
        <v>70520.976999999999</v>
      </c>
      <c r="J417" s="121">
        <v>134713.25399999999</v>
      </c>
      <c r="K417" s="121">
        <v>0.52348952241922686</v>
      </c>
      <c r="L417" s="127">
        <v>0.52348952241922686</v>
      </c>
      <c r="M417" s="127">
        <f>DGKC!F155</f>
        <v>0.52348952241922664</v>
      </c>
      <c r="N417" s="128" t="str">
        <f t="shared" si="13"/>
        <v>PASS</v>
      </c>
      <c r="O417" s="68"/>
      <c r="P417" s="50" t="s">
        <v>493</v>
      </c>
    </row>
    <row r="418" spans="1:16" ht="25.95" customHeight="1" x14ac:dyDescent="0.3">
      <c r="A418" s="119" t="s">
        <v>86</v>
      </c>
      <c r="B418" s="119">
        <v>2023</v>
      </c>
      <c r="C418" s="119">
        <v>17</v>
      </c>
      <c r="D418" s="119" t="s">
        <v>151</v>
      </c>
      <c r="E418" s="119" t="s">
        <v>3544</v>
      </c>
      <c r="F418" s="120">
        <f>DGKC!F62</f>
        <v>70520.976999999984</v>
      </c>
      <c r="G418" s="120">
        <f>DGKC!F41</f>
        <v>64192.277000000002</v>
      </c>
      <c r="H418" s="120">
        <f t="shared" si="12"/>
        <v>1.0985897415665749</v>
      </c>
      <c r="I418" s="120">
        <v>70520.976999999999</v>
      </c>
      <c r="J418" s="120">
        <v>64192.277000000002</v>
      </c>
      <c r="K418" s="120">
        <v>1.0985897415665751</v>
      </c>
      <c r="L418" s="125">
        <v>1.0985897415665751</v>
      </c>
      <c r="M418" s="125">
        <f>DGKC!F156</f>
        <v>1.0985897415665749</v>
      </c>
      <c r="N418" s="126" t="str">
        <f t="shared" si="13"/>
        <v>PASS</v>
      </c>
      <c r="O418" s="122"/>
      <c r="P418" s="119" t="s">
        <v>493</v>
      </c>
    </row>
    <row r="419" spans="1:16" ht="25.95" customHeight="1" x14ac:dyDescent="0.3">
      <c r="A419" s="50" t="s">
        <v>86</v>
      </c>
      <c r="B419" s="50">
        <v>2023</v>
      </c>
      <c r="C419" s="50">
        <v>18</v>
      </c>
      <c r="D419" s="50" t="s">
        <v>935</v>
      </c>
      <c r="E419" s="50" t="s">
        <v>3545</v>
      </c>
      <c r="F419" s="121">
        <f>DGKC!F66</f>
        <v>42528.276000000005</v>
      </c>
      <c r="G419" s="121">
        <f>DGKC!F66+DGKC!F41</f>
        <v>106720.55300000001</v>
      </c>
      <c r="H419" s="121">
        <f t="shared" si="12"/>
        <v>0.39850127088453147</v>
      </c>
      <c r="I419" s="121">
        <v>42528.275999999998</v>
      </c>
      <c r="J419" s="121">
        <v>106720.553</v>
      </c>
      <c r="K419" s="121">
        <v>0.39850127088453147</v>
      </c>
      <c r="L419" s="127">
        <v>0.39850127088453147</v>
      </c>
      <c r="M419" s="127">
        <f>DGKC!F157</f>
        <v>0.39850127088453147</v>
      </c>
      <c r="N419" s="128" t="str">
        <f t="shared" si="13"/>
        <v>PASS</v>
      </c>
      <c r="O419" s="68"/>
      <c r="P419" s="50" t="s">
        <v>493</v>
      </c>
    </row>
    <row r="420" spans="1:16" ht="25.95" customHeight="1" x14ac:dyDescent="0.3">
      <c r="A420" s="119" t="s">
        <v>86</v>
      </c>
      <c r="B420" s="119">
        <v>2023</v>
      </c>
      <c r="C420" s="119">
        <v>19</v>
      </c>
      <c r="D420" s="119" t="s">
        <v>936</v>
      </c>
      <c r="E420" s="119" t="s">
        <v>3545</v>
      </c>
      <c r="F420" s="120">
        <f>DGKC!F67</f>
        <v>9663.6190000000006</v>
      </c>
      <c r="G420" s="120">
        <f>DGKC!F37</f>
        <v>134713.25400000002</v>
      </c>
      <c r="H420" s="120">
        <f t="shared" si="12"/>
        <v>7.1734730719220832E-2</v>
      </c>
      <c r="I420" s="120">
        <v>9663.6190000000006</v>
      </c>
      <c r="J420" s="120">
        <v>134713.25399999999</v>
      </c>
      <c r="K420" s="120">
        <v>7.173473071922086E-2</v>
      </c>
      <c r="L420" s="125">
        <v>7.173473071922086E-2</v>
      </c>
      <c r="M420" s="125">
        <f>DGKC!F158</f>
        <v>7.1734730719220832E-2</v>
      </c>
      <c r="N420" s="126" t="str">
        <f t="shared" si="13"/>
        <v>PASS</v>
      </c>
      <c r="O420" s="122"/>
      <c r="P420" s="119" t="s">
        <v>493</v>
      </c>
    </row>
    <row r="421" spans="1:16" ht="25.95" customHeight="1" x14ac:dyDescent="0.3">
      <c r="A421" s="50" t="s">
        <v>86</v>
      </c>
      <c r="B421" s="50">
        <v>2023</v>
      </c>
      <c r="C421" s="50">
        <v>20</v>
      </c>
      <c r="D421" s="50" t="s">
        <v>938</v>
      </c>
      <c r="E421" s="50" t="s">
        <v>3544</v>
      </c>
      <c r="F421" s="121">
        <f>DGKC!F108</f>
        <v>9904.8350000000009</v>
      </c>
      <c r="G421" s="121">
        <f>DGKC!F106</f>
        <v>6703.799</v>
      </c>
      <c r="H421" s="121">
        <f t="shared" si="12"/>
        <v>1.4774958199074884</v>
      </c>
      <c r="I421" s="121">
        <v>9904.8350000000009</v>
      </c>
      <c r="J421" s="121">
        <v>6703.799</v>
      </c>
      <c r="K421" s="121">
        <v>1.4774958199074884</v>
      </c>
      <c r="L421" s="127">
        <v>1.4774958199074884</v>
      </c>
      <c r="M421" s="127">
        <f>DGKC!F159</f>
        <v>1.4774958199074884</v>
      </c>
      <c r="N421" s="128" t="str">
        <f t="shared" si="13"/>
        <v>PASS</v>
      </c>
      <c r="O421" s="68"/>
      <c r="P421" s="50" t="s">
        <v>493</v>
      </c>
    </row>
    <row r="422" spans="1:16" ht="25.95" customHeight="1" x14ac:dyDescent="0.3">
      <c r="A422" s="119" t="s">
        <v>86</v>
      </c>
      <c r="B422" s="119">
        <v>2023</v>
      </c>
      <c r="C422" s="119">
        <v>21</v>
      </c>
      <c r="D422" s="119" t="s">
        <v>154</v>
      </c>
      <c r="E422" s="119" t="s">
        <v>3544</v>
      </c>
      <c r="F422" s="120">
        <f>DGKC!F86</f>
        <v>9555.7750000000015</v>
      </c>
      <c r="G422" s="120">
        <f>DGKC!F84</f>
        <v>64983.821000000004</v>
      </c>
      <c r="H422" s="120">
        <f t="shared" si="12"/>
        <v>0.14704852458583501</v>
      </c>
      <c r="I422" s="120">
        <v>9555.7750000000015</v>
      </c>
      <c r="J422" s="120">
        <v>64983.821000000004</v>
      </c>
      <c r="K422" s="120">
        <v>0.14704852458583501</v>
      </c>
      <c r="L422" s="125">
        <v>0.14704852458583501</v>
      </c>
      <c r="M422" s="125">
        <f>DGKC!F161</f>
        <v>0.14704852458583501</v>
      </c>
      <c r="N422" s="126" t="str">
        <f t="shared" si="13"/>
        <v>PASS</v>
      </c>
      <c r="O422" s="122"/>
      <c r="P422" s="119" t="s">
        <v>504</v>
      </c>
    </row>
    <row r="423" spans="1:16" ht="25.95" customHeight="1" x14ac:dyDescent="0.3">
      <c r="A423" s="50" t="s">
        <v>86</v>
      </c>
      <c r="B423" s="50">
        <v>2023</v>
      </c>
      <c r="C423" s="50">
        <v>22</v>
      </c>
      <c r="D423" s="50" t="s">
        <v>942</v>
      </c>
      <c r="E423" s="50" t="s">
        <v>3544</v>
      </c>
      <c r="F423" s="121">
        <f>DGKC!F91</f>
        <v>6657.8360000000011</v>
      </c>
      <c r="G423" s="121">
        <f>DGKC!F84</f>
        <v>64983.821000000004</v>
      </c>
      <c r="H423" s="121">
        <f t="shared" si="12"/>
        <v>0.10245374767974941</v>
      </c>
      <c r="I423" s="121">
        <v>6657.8360000000011</v>
      </c>
      <c r="J423" s="121">
        <v>64983.821000000004</v>
      </c>
      <c r="K423" s="121">
        <v>0.10245374767974941</v>
      </c>
      <c r="L423" s="127">
        <v>0.10245374767974941</v>
      </c>
      <c r="M423" s="127">
        <f>DGKC!F162</f>
        <v>0.10245374767974941</v>
      </c>
      <c r="N423" s="128" t="str">
        <f t="shared" si="13"/>
        <v>PASS</v>
      </c>
      <c r="O423" s="68"/>
      <c r="P423" s="50" t="s">
        <v>504</v>
      </c>
    </row>
    <row r="424" spans="1:16" ht="25.95" customHeight="1" x14ac:dyDescent="0.3">
      <c r="A424" s="119" t="s">
        <v>86</v>
      </c>
      <c r="B424" s="119">
        <v>2023</v>
      </c>
      <c r="C424" s="119">
        <v>23</v>
      </c>
      <c r="D424" s="119" t="s">
        <v>155</v>
      </c>
      <c r="E424" s="119" t="s">
        <v>3544</v>
      </c>
      <c r="F424" s="120">
        <f>DGKC!F99</f>
        <v>-3635.9759999999997</v>
      </c>
      <c r="G424" s="120">
        <f>DGKC!F84</f>
        <v>64983.821000000004</v>
      </c>
      <c r="H424" s="120">
        <f t="shared" si="12"/>
        <v>-5.595201919567025E-2</v>
      </c>
      <c r="I424" s="120">
        <v>-3635.9759999999997</v>
      </c>
      <c r="J424" s="120">
        <v>64983.821000000004</v>
      </c>
      <c r="K424" s="120">
        <v>-5.595201919567025E-2</v>
      </c>
      <c r="L424" s="125" t="s">
        <v>3546</v>
      </c>
      <c r="M424" s="125" t="str">
        <f>DGKC!F163</f>
        <v>n/m</v>
      </c>
      <c r="N424" s="126" t="str">
        <f t="shared" si="13"/>
        <v>PASS</v>
      </c>
      <c r="O424" s="122" t="s">
        <v>3547</v>
      </c>
      <c r="P424" s="119" t="s">
        <v>504</v>
      </c>
    </row>
    <row r="425" spans="1:16" ht="25.95" customHeight="1" x14ac:dyDescent="0.3">
      <c r="A425" s="50" t="s">
        <v>86</v>
      </c>
      <c r="B425" s="50">
        <v>2023</v>
      </c>
      <c r="C425" s="50">
        <v>24</v>
      </c>
      <c r="D425" s="50" t="s">
        <v>136</v>
      </c>
      <c r="E425" s="50" t="s">
        <v>3544</v>
      </c>
      <c r="F425" s="121">
        <f>DGKC!F99</f>
        <v>-3635.9759999999997</v>
      </c>
      <c r="G425" s="121">
        <f>AVERAGE(DGKC!E37,DGKC!F37)</f>
        <v>135637.6335</v>
      </c>
      <c r="H425" s="121">
        <f t="shared" si="12"/>
        <v>-2.6806542595716989E-2</v>
      </c>
      <c r="I425" s="121">
        <v>-3635.9759999999997</v>
      </c>
      <c r="J425" s="121">
        <v>135637.6335</v>
      </c>
      <c r="K425" s="121">
        <v>-2.6806542595716989E-2</v>
      </c>
      <c r="L425" s="127" t="s">
        <v>3546</v>
      </c>
      <c r="M425" s="127" t="str">
        <f>DGKC!F164</f>
        <v>n/m</v>
      </c>
      <c r="N425" s="128" t="str">
        <f t="shared" si="13"/>
        <v>PASS</v>
      </c>
      <c r="O425" s="68" t="s">
        <v>3547</v>
      </c>
      <c r="P425" s="50" t="s">
        <v>504</v>
      </c>
    </row>
    <row r="426" spans="1:16" ht="25.95" customHeight="1" x14ac:dyDescent="0.3">
      <c r="A426" s="119" t="s">
        <v>86</v>
      </c>
      <c r="B426" s="119">
        <v>2023</v>
      </c>
      <c r="C426" s="119">
        <v>25</v>
      </c>
      <c r="D426" s="119" t="s">
        <v>53</v>
      </c>
      <c r="E426" s="119" t="s">
        <v>3544</v>
      </c>
      <c r="F426" s="120">
        <f>DGKC!F99</f>
        <v>-3635.9759999999997</v>
      </c>
      <c r="G426" s="120">
        <f>AVERAGE(DGKC!E41,DGKC!F41)</f>
        <v>67055.189500000008</v>
      </c>
      <c r="H426" s="120">
        <f t="shared" si="12"/>
        <v>-5.4223633205898243E-2</v>
      </c>
      <c r="I426" s="120">
        <v>-3635.9759999999997</v>
      </c>
      <c r="J426" s="120">
        <v>67055.189500000008</v>
      </c>
      <c r="K426" s="120">
        <v>-5.4223633205898243E-2</v>
      </c>
      <c r="L426" s="125" t="s">
        <v>3546</v>
      </c>
      <c r="M426" s="125" t="str">
        <f>DGKC!F165</f>
        <v>n/m</v>
      </c>
      <c r="N426" s="126" t="str">
        <f t="shared" si="13"/>
        <v>PASS</v>
      </c>
      <c r="O426" s="122" t="s">
        <v>3547</v>
      </c>
      <c r="P426" s="119" t="s">
        <v>504</v>
      </c>
    </row>
    <row r="427" spans="1:16" ht="25.95" customHeight="1" x14ac:dyDescent="0.3">
      <c r="A427" s="50" t="s">
        <v>86</v>
      </c>
      <c r="B427" s="50">
        <v>2023</v>
      </c>
      <c r="C427" s="50">
        <v>26</v>
      </c>
      <c r="D427" s="50" t="s">
        <v>944</v>
      </c>
      <c r="E427" s="50" t="s">
        <v>3545</v>
      </c>
      <c r="F427" s="121">
        <f>DGKC!F113</f>
        <v>-11387.589779478094</v>
      </c>
      <c r="G427" s="121">
        <f>AVERAGE(DGKC!E70,DGKC!F70)</f>
        <v>111557.27800000001</v>
      </c>
      <c r="H427" s="121">
        <f t="shared" si="12"/>
        <v>-0.10207841194796895</v>
      </c>
      <c r="I427" s="121">
        <v>-11387.589779478094</v>
      </c>
      <c r="J427" s="121">
        <v>111557.27799999999</v>
      </c>
      <c r="K427" s="121">
        <v>-0.10207841194796896</v>
      </c>
      <c r="L427" s="127" t="s">
        <v>3546</v>
      </c>
      <c r="M427" s="127" t="str">
        <f>DGKC!F166</f>
        <v>n/m</v>
      </c>
      <c r="N427" s="128" t="str">
        <f t="shared" si="13"/>
        <v>PASS</v>
      </c>
      <c r="O427" s="68" t="s">
        <v>3547</v>
      </c>
      <c r="P427" s="50" t="s">
        <v>504</v>
      </c>
    </row>
    <row r="428" spans="1:16" ht="25.95" customHeight="1" x14ac:dyDescent="0.3">
      <c r="A428" s="119" t="s">
        <v>86</v>
      </c>
      <c r="B428" s="119">
        <v>2023</v>
      </c>
      <c r="C428" s="119">
        <v>27</v>
      </c>
      <c r="D428" s="119" t="s">
        <v>945</v>
      </c>
      <c r="E428" s="119" t="s">
        <v>3545</v>
      </c>
      <c r="F428" s="120">
        <f>DGKC!F108</f>
        <v>9904.8350000000009</v>
      </c>
      <c r="G428" s="120">
        <f>AVERAGE(DGKC!E37,DGKC!F37)</f>
        <v>135637.6335</v>
      </c>
      <c r="H428" s="120">
        <f t="shared" si="12"/>
        <v>7.3024239249942391E-2</v>
      </c>
      <c r="I428" s="120">
        <v>9904.8350000000009</v>
      </c>
      <c r="J428" s="120">
        <v>135637.6335</v>
      </c>
      <c r="K428" s="120">
        <v>7.3024239249942391E-2</v>
      </c>
      <c r="L428" s="125">
        <v>7.3024239249942391E-2</v>
      </c>
      <c r="M428" s="125">
        <f>DGKC!F167</f>
        <v>7.3024239249942391E-2</v>
      </c>
      <c r="N428" s="126" t="str">
        <f t="shared" si="13"/>
        <v>PASS</v>
      </c>
      <c r="O428" s="122"/>
      <c r="P428" s="119" t="s">
        <v>504</v>
      </c>
    </row>
    <row r="429" spans="1:16" ht="25.95" customHeight="1" x14ac:dyDescent="0.3">
      <c r="A429" s="50" t="s">
        <v>86</v>
      </c>
      <c r="B429" s="50">
        <v>2023</v>
      </c>
      <c r="C429" s="50">
        <v>28</v>
      </c>
      <c r="D429" s="50" t="s">
        <v>139</v>
      </c>
      <c r="E429" s="50" t="s">
        <v>3545</v>
      </c>
      <c r="F429" s="121">
        <f>DGKC!F41</f>
        <v>64192.277000000002</v>
      </c>
      <c r="G429" s="121">
        <f>DGKC!F128</f>
        <v>438.1191</v>
      </c>
      <c r="H429" s="121">
        <f t="shared" si="12"/>
        <v>146.51786922779672</v>
      </c>
      <c r="I429" s="121">
        <v>64192.277000000002</v>
      </c>
      <c r="J429" s="121">
        <v>438.1191</v>
      </c>
      <c r="K429" s="121">
        <v>146.51786922779672</v>
      </c>
      <c r="L429" s="127">
        <v>146.51786922779672</v>
      </c>
      <c r="M429" s="127">
        <f>DGKC!F169</f>
        <v>146.51786922779672</v>
      </c>
      <c r="N429" s="128" t="str">
        <f t="shared" si="13"/>
        <v>PASS</v>
      </c>
      <c r="O429" s="68"/>
      <c r="P429" s="50" t="s">
        <v>519</v>
      </c>
    </row>
    <row r="430" spans="1:16" ht="25.95" customHeight="1" x14ac:dyDescent="0.3">
      <c r="A430" s="119" t="s">
        <v>86</v>
      </c>
      <c r="B430" s="119">
        <v>2023</v>
      </c>
      <c r="C430" s="119">
        <v>29</v>
      </c>
      <c r="D430" s="119" t="s">
        <v>162</v>
      </c>
      <c r="E430" s="119" t="s">
        <v>3544</v>
      </c>
      <c r="F430" s="120">
        <f>DGKC!F130</f>
        <v>51.3</v>
      </c>
      <c r="G430" s="120">
        <f>DGKC!F41/DGKC!F128</f>
        <v>146.51786922779672</v>
      </c>
      <c r="H430" s="120">
        <f t="shared" si="12"/>
        <v>0.35012794187063967</v>
      </c>
      <c r="I430" s="120">
        <v>51.3</v>
      </c>
      <c r="J430" s="120">
        <v>146.51786922779672</v>
      </c>
      <c r="K430" s="120">
        <v>0.35012794187063967</v>
      </c>
      <c r="L430" s="125">
        <v>0.35012794187063967</v>
      </c>
      <c r="M430" s="125">
        <f>DGKC!F170</f>
        <v>0.35012794187063967</v>
      </c>
      <c r="N430" s="126" t="str">
        <f t="shared" si="13"/>
        <v>PASS</v>
      </c>
      <c r="O430" s="122"/>
      <c r="P430" s="119" t="s">
        <v>519</v>
      </c>
    </row>
    <row r="431" spans="1:16" ht="25.95" customHeight="1" x14ac:dyDescent="0.3">
      <c r="A431" s="50" t="s">
        <v>86</v>
      </c>
      <c r="B431" s="50">
        <v>2023</v>
      </c>
      <c r="C431" s="50">
        <v>30</v>
      </c>
      <c r="D431" s="50" t="s">
        <v>143</v>
      </c>
      <c r="E431" s="50" t="s">
        <v>3544</v>
      </c>
      <c r="F431" s="121">
        <f>DGKC!F99</f>
        <v>-3635.9759999999997</v>
      </c>
      <c r="G431" s="121">
        <f>DGKC!F129</f>
        <v>438.11911800000001</v>
      </c>
      <c r="H431" s="121">
        <f t="shared" si="12"/>
        <v>-8.2990580657564443</v>
      </c>
      <c r="I431" s="121">
        <v>-3635.9759999999997</v>
      </c>
      <c r="J431" s="121">
        <v>438.11911800000001</v>
      </c>
      <c r="K431" s="121">
        <v>-8.2990580657564443</v>
      </c>
      <c r="L431" s="127" t="s">
        <v>3546</v>
      </c>
      <c r="M431" s="127" t="str">
        <f>DGKC!F171</f>
        <v>n/m</v>
      </c>
      <c r="N431" s="128" t="str">
        <f t="shared" si="13"/>
        <v>PASS</v>
      </c>
      <c r="O431" s="68" t="s">
        <v>3547</v>
      </c>
      <c r="P431" s="50" t="s">
        <v>519</v>
      </c>
    </row>
    <row r="432" spans="1:16" ht="25.95" customHeight="1" x14ac:dyDescent="0.3">
      <c r="A432" s="119" t="s">
        <v>86</v>
      </c>
      <c r="B432" s="119">
        <v>2023</v>
      </c>
      <c r="C432" s="119">
        <v>31</v>
      </c>
      <c r="D432" s="119" t="s">
        <v>952</v>
      </c>
      <c r="E432" s="119" t="s">
        <v>3544</v>
      </c>
      <c r="F432" s="120">
        <f>DGKC!F130</f>
        <v>51.3</v>
      </c>
      <c r="G432" s="120">
        <f>DGKC!F99/DGKC!F129</f>
        <v>-8.2990580657564443</v>
      </c>
      <c r="H432" s="120" t="str">
        <f t="shared" si="12"/>
        <v>n/m</v>
      </c>
      <c r="I432" s="120">
        <v>51.3</v>
      </c>
      <c r="J432" s="120">
        <v>-8.2990580657564443</v>
      </c>
      <c r="K432" s="120" t="s">
        <v>3546</v>
      </c>
      <c r="L432" s="125" t="s">
        <v>3546</v>
      </c>
      <c r="M432" s="125" t="str">
        <f>DGKC!F172</f>
        <v>n/m</v>
      </c>
      <c r="N432" s="126" t="str">
        <f t="shared" si="13"/>
        <v>PASS</v>
      </c>
      <c r="O432" s="122" t="s">
        <v>3548</v>
      </c>
      <c r="P432" s="119" t="s">
        <v>519</v>
      </c>
    </row>
    <row r="433" spans="1:16" ht="25.95" customHeight="1" x14ac:dyDescent="0.3">
      <c r="A433" s="50" t="s">
        <v>86</v>
      </c>
      <c r="B433" s="50">
        <v>2023</v>
      </c>
      <c r="C433" s="50">
        <v>32</v>
      </c>
      <c r="D433" s="50" t="s">
        <v>104</v>
      </c>
      <c r="E433" s="50" t="s">
        <v>3544</v>
      </c>
      <c r="F433" s="121">
        <f>DGKC!F131</f>
        <v>0</v>
      </c>
      <c r="G433" s="121">
        <f>DGKC!F130</f>
        <v>51.3</v>
      </c>
      <c r="H433" s="121">
        <f t="shared" si="12"/>
        <v>0</v>
      </c>
      <c r="I433" s="121">
        <v>0</v>
      </c>
      <c r="J433" s="121">
        <v>51.3</v>
      </c>
      <c r="K433" s="121">
        <v>0</v>
      </c>
      <c r="L433" s="127">
        <v>0</v>
      </c>
      <c r="M433" s="127">
        <f>DGKC!F173</f>
        <v>0</v>
      </c>
      <c r="N433" s="128" t="str">
        <f t="shared" si="13"/>
        <v>PASS</v>
      </c>
      <c r="O433" s="68"/>
      <c r="P433" s="50" t="s">
        <v>519</v>
      </c>
    </row>
    <row r="434" spans="1:16" ht="25.95" customHeight="1" x14ac:dyDescent="0.3">
      <c r="A434" s="119" t="s">
        <v>86</v>
      </c>
      <c r="B434" s="119">
        <v>2023</v>
      </c>
      <c r="C434" s="119">
        <v>33</v>
      </c>
      <c r="D434" s="119" t="s">
        <v>124</v>
      </c>
      <c r="E434" s="119" t="s">
        <v>3545</v>
      </c>
      <c r="F434" s="120">
        <f>DGKC!F131</f>
        <v>0</v>
      </c>
      <c r="G434" s="120">
        <f>DGKC!F99/DGKC!F129</f>
        <v>-8.2990580657564443</v>
      </c>
      <c r="H434" s="120" t="str">
        <f t="shared" si="12"/>
        <v>n/m</v>
      </c>
      <c r="I434" s="120">
        <v>0</v>
      </c>
      <c r="J434" s="120">
        <v>-8.2990580657564443</v>
      </c>
      <c r="K434" s="120" t="s">
        <v>3546</v>
      </c>
      <c r="L434" s="125" t="s">
        <v>3546</v>
      </c>
      <c r="M434" s="125" t="str">
        <f>DGKC!F174</f>
        <v>n/m</v>
      </c>
      <c r="N434" s="126" t="str">
        <f t="shared" si="13"/>
        <v>PASS</v>
      </c>
      <c r="O434" s="122" t="s">
        <v>3548</v>
      </c>
      <c r="P434" s="119" t="s">
        <v>519</v>
      </c>
    </row>
    <row r="435" spans="1:16" ht="25.95" customHeight="1" x14ac:dyDescent="0.3">
      <c r="A435" s="50" t="s">
        <v>86</v>
      </c>
      <c r="B435" s="50">
        <v>2024</v>
      </c>
      <c r="C435" s="50">
        <v>1</v>
      </c>
      <c r="D435" s="50" t="s">
        <v>19</v>
      </c>
      <c r="E435" s="50" t="s">
        <v>3544</v>
      </c>
      <c r="F435" s="121">
        <f>DGKC!G36</f>
        <v>41770.520999999993</v>
      </c>
      <c r="G435" s="121">
        <f>DGKC!G61</f>
        <v>32225.717000000001</v>
      </c>
      <c r="H435" s="121">
        <f t="shared" si="12"/>
        <v>1.296185931254842</v>
      </c>
      <c r="I435" s="121">
        <v>41770.521000000001</v>
      </c>
      <c r="J435" s="121">
        <v>32225.716999999997</v>
      </c>
      <c r="K435" s="121">
        <v>1.2961859312548423</v>
      </c>
      <c r="L435" s="127">
        <v>1.2961859312548423</v>
      </c>
      <c r="M435" s="127">
        <f>DGKC!G138</f>
        <v>1.296185931254842</v>
      </c>
      <c r="N435" s="128" t="str">
        <f t="shared" si="13"/>
        <v>PASS</v>
      </c>
      <c r="O435" s="68"/>
      <c r="P435" s="50" t="s">
        <v>459</v>
      </c>
    </row>
    <row r="436" spans="1:16" ht="25.95" customHeight="1" x14ac:dyDescent="0.3">
      <c r="A436" s="119" t="s">
        <v>86</v>
      </c>
      <c r="B436" s="119">
        <v>2024</v>
      </c>
      <c r="C436" s="119">
        <v>2</v>
      </c>
      <c r="D436" s="119" t="s">
        <v>30</v>
      </c>
      <c r="E436" s="119" t="s">
        <v>3544</v>
      </c>
      <c r="F436" s="120">
        <f>DGKC!G36-DGKC!G65</f>
        <v>21517.679999999993</v>
      </c>
      <c r="G436" s="120">
        <f>DGKC!G61</f>
        <v>32225.717000000001</v>
      </c>
      <c r="H436" s="120">
        <f t="shared" si="12"/>
        <v>0.66771764923027133</v>
      </c>
      <c r="I436" s="120">
        <v>21517.68</v>
      </c>
      <c r="J436" s="120">
        <v>32225.716999999997</v>
      </c>
      <c r="K436" s="120">
        <v>0.66771764923027166</v>
      </c>
      <c r="L436" s="125">
        <v>0.66771764923027166</v>
      </c>
      <c r="M436" s="125">
        <f>DGKC!G139</f>
        <v>0.66771764923027133</v>
      </c>
      <c r="N436" s="126" t="str">
        <f t="shared" si="13"/>
        <v>PASS</v>
      </c>
      <c r="O436" s="122"/>
      <c r="P436" s="119" t="s">
        <v>459</v>
      </c>
    </row>
    <row r="437" spans="1:16" ht="25.95" customHeight="1" x14ac:dyDescent="0.3">
      <c r="A437" s="50" t="s">
        <v>86</v>
      </c>
      <c r="B437" s="50">
        <v>2024</v>
      </c>
      <c r="C437" s="50">
        <v>3</v>
      </c>
      <c r="D437" s="50" t="s">
        <v>145</v>
      </c>
      <c r="E437" s="50" t="s">
        <v>3544</v>
      </c>
      <c r="F437" s="121">
        <f>DGKC!G34</f>
        <v>732.16800000000001</v>
      </c>
      <c r="G437" s="121">
        <f>DGKC!G61</f>
        <v>32225.717000000001</v>
      </c>
      <c r="H437" s="121">
        <f t="shared" si="12"/>
        <v>2.2719990993528554E-2</v>
      </c>
      <c r="I437" s="121">
        <v>732.16800000000001</v>
      </c>
      <c r="J437" s="121">
        <v>32225.716999999997</v>
      </c>
      <c r="K437" s="121">
        <v>2.2719990993528557E-2</v>
      </c>
      <c r="L437" s="127">
        <v>2.2719990993528557E-2</v>
      </c>
      <c r="M437" s="127">
        <f>DGKC!G140</f>
        <v>2.2719990993528554E-2</v>
      </c>
      <c r="N437" s="128" t="str">
        <f t="shared" si="13"/>
        <v>PASS</v>
      </c>
      <c r="O437" s="68"/>
      <c r="P437" s="50" t="s">
        <v>459</v>
      </c>
    </row>
    <row r="438" spans="1:16" ht="25.95" customHeight="1" x14ac:dyDescent="0.3">
      <c r="A438" s="119" t="s">
        <v>86</v>
      </c>
      <c r="B438" s="119">
        <v>2024</v>
      </c>
      <c r="C438" s="119">
        <v>4</v>
      </c>
      <c r="D438" s="119" t="s">
        <v>201</v>
      </c>
      <c r="E438" s="119" t="s">
        <v>3545</v>
      </c>
      <c r="F438" s="120">
        <f>DGKC!G36-DGKC!G61</f>
        <v>9544.8039999999928</v>
      </c>
      <c r="G438" s="120">
        <f>1</f>
        <v>1</v>
      </c>
      <c r="H438" s="120">
        <f t="shared" si="12"/>
        <v>9544.8039999999928</v>
      </c>
      <c r="I438" s="120">
        <v>9544.8040000000037</v>
      </c>
      <c r="J438" s="120">
        <v>1</v>
      </c>
      <c r="K438" s="120">
        <v>9544.8040000000037</v>
      </c>
      <c r="L438" s="125">
        <v>9544.8040000000037</v>
      </c>
      <c r="M438" s="125">
        <f>DGKC!G141</f>
        <v>9544.8039999999928</v>
      </c>
      <c r="N438" s="126" t="str">
        <f t="shared" si="13"/>
        <v>PASS</v>
      </c>
      <c r="O438" s="122"/>
      <c r="P438" s="119" t="s">
        <v>459</v>
      </c>
    </row>
    <row r="439" spans="1:16" ht="25.95" customHeight="1" x14ac:dyDescent="0.3">
      <c r="A439" s="50" t="s">
        <v>86</v>
      </c>
      <c r="B439" s="50">
        <v>2024</v>
      </c>
      <c r="C439" s="50">
        <v>5</v>
      </c>
      <c r="D439" s="50" t="s">
        <v>923</v>
      </c>
      <c r="E439" s="50" t="s">
        <v>3545</v>
      </c>
      <c r="F439" s="121">
        <f>DGKC!G72-DGKC!G73</f>
        <v>10223.228999999994</v>
      </c>
      <c r="G439" s="121">
        <f>1</f>
        <v>1</v>
      </c>
      <c r="H439" s="121">
        <f t="shared" si="12"/>
        <v>10223.228999999994</v>
      </c>
      <c r="I439" s="121">
        <v>10223.229000000007</v>
      </c>
      <c r="J439" s="121">
        <v>1</v>
      </c>
      <c r="K439" s="121">
        <v>10223.229000000007</v>
      </c>
      <c r="L439" s="127">
        <v>10223.229000000007</v>
      </c>
      <c r="M439" s="127">
        <f>DGKC!G142</f>
        <v>10223.228999999994</v>
      </c>
      <c r="N439" s="128" t="str">
        <f t="shared" si="13"/>
        <v>PASS</v>
      </c>
      <c r="O439" s="68"/>
      <c r="P439" s="50" t="s">
        <v>459</v>
      </c>
    </row>
    <row r="440" spans="1:16" ht="25.95" customHeight="1" x14ac:dyDescent="0.3">
      <c r="A440" s="119" t="s">
        <v>86</v>
      </c>
      <c r="B440" s="119">
        <v>2024</v>
      </c>
      <c r="C440" s="119">
        <v>6</v>
      </c>
      <c r="D440" s="119" t="s">
        <v>31</v>
      </c>
      <c r="E440" s="119" t="s">
        <v>3544</v>
      </c>
      <c r="F440" s="120">
        <f>-DGKC!G85</f>
        <v>55510.428999999996</v>
      </c>
      <c r="G440" s="120">
        <f>AVERAGE(DGKC!F65,DGKC!G65)</f>
        <v>21489.008000000002</v>
      </c>
      <c r="H440" s="120">
        <f t="shared" si="12"/>
        <v>2.5832010951831741</v>
      </c>
      <c r="I440" s="120">
        <v>55510.428999999996</v>
      </c>
      <c r="J440" s="120">
        <v>21489.008000000002</v>
      </c>
      <c r="K440" s="120">
        <v>2.5832010951831741</v>
      </c>
      <c r="L440" s="125">
        <v>2.5832010951831741</v>
      </c>
      <c r="M440" s="125">
        <f>DGKC!G144</f>
        <v>2.5832010951831741</v>
      </c>
      <c r="N440" s="126" t="str">
        <f t="shared" si="13"/>
        <v>PASS</v>
      </c>
      <c r="O440" s="122"/>
      <c r="P440" s="119" t="s">
        <v>471</v>
      </c>
    </row>
    <row r="441" spans="1:16" ht="25.95" customHeight="1" x14ac:dyDescent="0.3">
      <c r="A441" s="50" t="s">
        <v>86</v>
      </c>
      <c r="B441" s="50">
        <v>2024</v>
      </c>
      <c r="C441" s="50">
        <v>7</v>
      </c>
      <c r="D441" s="50" t="s">
        <v>129</v>
      </c>
      <c r="E441" s="50" t="s">
        <v>3545</v>
      </c>
      <c r="F441" s="121">
        <f>DGKC!G84</f>
        <v>66038.688999999998</v>
      </c>
      <c r="G441" s="121">
        <f>AVERAGE(DGKC!F32,DGKC!G32)</f>
        <v>1024.5909999999999</v>
      </c>
      <c r="H441" s="121">
        <f t="shared" si="12"/>
        <v>64.453707869774377</v>
      </c>
      <c r="I441" s="121">
        <v>66038.688999999998</v>
      </c>
      <c r="J441" s="121">
        <v>1024.5909999999999</v>
      </c>
      <c r="K441" s="121">
        <v>64.453707869774377</v>
      </c>
      <c r="L441" s="127">
        <v>64.453707869774377</v>
      </c>
      <c r="M441" s="127">
        <f>DGKC!G145</f>
        <v>64.453707869774377</v>
      </c>
      <c r="N441" s="128" t="str">
        <f t="shared" si="13"/>
        <v>PASS</v>
      </c>
      <c r="O441" s="68"/>
      <c r="P441" s="50" t="s">
        <v>471</v>
      </c>
    </row>
    <row r="442" spans="1:16" ht="25.95" customHeight="1" x14ac:dyDescent="0.3">
      <c r="A442" s="119" t="s">
        <v>86</v>
      </c>
      <c r="B442" s="119">
        <v>2024</v>
      </c>
      <c r="C442" s="119">
        <v>8</v>
      </c>
      <c r="D442" s="119" t="s">
        <v>133</v>
      </c>
      <c r="E442" s="119" t="s">
        <v>3545</v>
      </c>
      <c r="F442" s="120">
        <f>-DGKC!G85</f>
        <v>55510.428999999996</v>
      </c>
      <c r="G442" s="120">
        <f>AVERAGE(DGKC!F51,DGKC!G51)</f>
        <v>5788.3964999999998</v>
      </c>
      <c r="H442" s="120">
        <f t="shared" si="12"/>
        <v>9.58994930634071</v>
      </c>
      <c r="I442" s="120">
        <v>55510.428999999996</v>
      </c>
      <c r="J442" s="120">
        <v>5788.3964999999998</v>
      </c>
      <c r="K442" s="120">
        <v>9.58994930634071</v>
      </c>
      <c r="L442" s="125">
        <v>9.58994930634071</v>
      </c>
      <c r="M442" s="125">
        <f>DGKC!G146</f>
        <v>9.58994930634071</v>
      </c>
      <c r="N442" s="126" t="str">
        <f t="shared" si="13"/>
        <v>PASS</v>
      </c>
      <c r="O442" s="122"/>
      <c r="P442" s="119" t="s">
        <v>471</v>
      </c>
    </row>
    <row r="443" spans="1:16" ht="25.95" customHeight="1" x14ac:dyDescent="0.3">
      <c r="A443" s="50" t="s">
        <v>86</v>
      </c>
      <c r="B443" s="50">
        <v>2024</v>
      </c>
      <c r="C443" s="50">
        <v>9</v>
      </c>
      <c r="D443" s="50" t="s">
        <v>134</v>
      </c>
      <c r="E443" s="50" t="s">
        <v>3545</v>
      </c>
      <c r="F443" s="121">
        <f>365*AVERAGE(DGKC!F65,DGKC!G65)</f>
        <v>7843487.9200000009</v>
      </c>
      <c r="G443" s="121">
        <f>-DGKC!G85</f>
        <v>55510.428999999996</v>
      </c>
      <c r="H443" s="121">
        <f t="shared" si="12"/>
        <v>141.29755545575051</v>
      </c>
      <c r="I443" s="121">
        <v>7843487.9200000009</v>
      </c>
      <c r="J443" s="121">
        <v>55510.428999999996</v>
      </c>
      <c r="K443" s="121">
        <v>141.29755545575051</v>
      </c>
      <c r="L443" s="127">
        <v>141.29755545575051</v>
      </c>
      <c r="M443" s="127">
        <f>DGKC!G147</f>
        <v>141.29755545575051</v>
      </c>
      <c r="N443" s="128" t="str">
        <f t="shared" si="13"/>
        <v>PASS</v>
      </c>
      <c r="O443" s="68"/>
      <c r="P443" s="50" t="s">
        <v>471</v>
      </c>
    </row>
    <row r="444" spans="1:16" ht="25.95" customHeight="1" x14ac:dyDescent="0.3">
      <c r="A444" s="119" t="s">
        <v>86</v>
      </c>
      <c r="B444" s="119">
        <v>2024</v>
      </c>
      <c r="C444" s="119">
        <v>10</v>
      </c>
      <c r="D444" s="119" t="s">
        <v>187</v>
      </c>
      <c r="E444" s="119" t="s">
        <v>3544</v>
      </c>
      <c r="F444" s="120">
        <f>365*AVERAGE(DGKC!F32,DGKC!G32)</f>
        <v>373975.71499999997</v>
      </c>
      <c r="G444" s="120">
        <f>DGKC!G84</f>
        <v>66038.688999999998</v>
      </c>
      <c r="H444" s="120">
        <f t="shared" si="12"/>
        <v>5.6629790909386459</v>
      </c>
      <c r="I444" s="120">
        <v>373975.71499999997</v>
      </c>
      <c r="J444" s="120">
        <v>66038.688999999998</v>
      </c>
      <c r="K444" s="120">
        <v>5.6629790909386459</v>
      </c>
      <c r="L444" s="125">
        <v>5.6629790909386459</v>
      </c>
      <c r="M444" s="125">
        <f>DGKC!G148</f>
        <v>5.6629790909386459</v>
      </c>
      <c r="N444" s="126" t="str">
        <f t="shared" si="13"/>
        <v>PASS</v>
      </c>
      <c r="O444" s="122"/>
      <c r="P444" s="119" t="s">
        <v>471</v>
      </c>
    </row>
    <row r="445" spans="1:16" ht="25.95" customHeight="1" x14ac:dyDescent="0.3">
      <c r="A445" s="50" t="s">
        <v>86</v>
      </c>
      <c r="B445" s="50">
        <v>2024</v>
      </c>
      <c r="C445" s="50">
        <v>11</v>
      </c>
      <c r="D445" s="50" t="s">
        <v>190</v>
      </c>
      <c r="E445" s="50" t="s">
        <v>3545</v>
      </c>
      <c r="F445" s="121">
        <f>365*AVERAGE(DGKC!F51,DGKC!G51)</f>
        <v>2112764.7225000001</v>
      </c>
      <c r="G445" s="121">
        <f>-DGKC!G85</f>
        <v>55510.428999999996</v>
      </c>
      <c r="H445" s="121">
        <f t="shared" si="12"/>
        <v>38.06068085872657</v>
      </c>
      <c r="I445" s="121">
        <v>2112764.7225000001</v>
      </c>
      <c r="J445" s="121">
        <v>55510.428999999996</v>
      </c>
      <c r="K445" s="121">
        <v>38.06068085872657</v>
      </c>
      <c r="L445" s="127">
        <v>38.06068085872657</v>
      </c>
      <c r="M445" s="127">
        <f>DGKC!G149</f>
        <v>38.06068085872657</v>
      </c>
      <c r="N445" s="128" t="str">
        <f t="shared" si="13"/>
        <v>PASS</v>
      </c>
      <c r="O445" s="68"/>
      <c r="P445" s="50" t="s">
        <v>471</v>
      </c>
    </row>
    <row r="446" spans="1:16" ht="25.95" customHeight="1" x14ac:dyDescent="0.3">
      <c r="A446" s="119" t="s">
        <v>86</v>
      </c>
      <c r="B446" s="119">
        <v>2024</v>
      </c>
      <c r="C446" s="119">
        <v>12</v>
      </c>
      <c r="D446" s="119" t="s">
        <v>192</v>
      </c>
      <c r="E446" s="119" t="s">
        <v>3545</v>
      </c>
      <c r="F446" s="120">
        <f>365*AVERAGE(DGKC!F65,DGKC!G65)/(-DGKC!G85)+365*AVERAGE(DGKC!F32,DGKC!G32)/DGKC!G84</f>
        <v>146.96053454668916</v>
      </c>
      <c r="G446" s="120">
        <f>1</f>
        <v>1</v>
      </c>
      <c r="H446" s="120">
        <f t="shared" si="12"/>
        <v>146.96053454668916</v>
      </c>
      <c r="I446" s="120">
        <v>146.96053454668916</v>
      </c>
      <c r="J446" s="120">
        <v>1</v>
      </c>
      <c r="K446" s="120">
        <v>146.96053454668916</v>
      </c>
      <c r="L446" s="125">
        <v>146.96053454668916</v>
      </c>
      <c r="M446" s="125">
        <f>DGKC!G150</f>
        <v>146.96053454668916</v>
      </c>
      <c r="N446" s="126" t="str">
        <f t="shared" si="13"/>
        <v>PASS</v>
      </c>
      <c r="O446" s="122"/>
      <c r="P446" s="119" t="s">
        <v>471</v>
      </c>
    </row>
    <row r="447" spans="1:16" ht="25.95" customHeight="1" x14ac:dyDescent="0.3">
      <c r="A447" s="50" t="s">
        <v>86</v>
      </c>
      <c r="B447" s="50">
        <v>2024</v>
      </c>
      <c r="C447" s="50">
        <v>13</v>
      </c>
      <c r="D447" s="50" t="s">
        <v>150</v>
      </c>
      <c r="E447" s="50" t="s">
        <v>3545</v>
      </c>
      <c r="F447" s="121">
        <f>365*AVERAGE(DGKC!F65,DGKC!G65)/(-DGKC!G85)+365*AVERAGE(DGKC!F32,DGKC!G32)/DGKC!G84-365*AVERAGE(DGKC!F51,DGKC!G51)/(-DGKC!G85)</f>
        <v>108.89985368796259</v>
      </c>
      <c r="G447" s="121">
        <f>1</f>
        <v>1</v>
      </c>
      <c r="H447" s="121">
        <f t="shared" si="12"/>
        <v>108.89985368796259</v>
      </c>
      <c r="I447" s="121">
        <v>108.89985368796259</v>
      </c>
      <c r="J447" s="121">
        <v>1</v>
      </c>
      <c r="K447" s="121">
        <v>108.89985368796259</v>
      </c>
      <c r="L447" s="127">
        <v>108.89985368796259</v>
      </c>
      <c r="M447" s="127">
        <f>DGKC!G151</f>
        <v>108.89985368796259</v>
      </c>
      <c r="N447" s="128" t="str">
        <f t="shared" si="13"/>
        <v>PASS</v>
      </c>
      <c r="O447" s="68"/>
      <c r="P447" s="50" t="s">
        <v>471</v>
      </c>
    </row>
    <row r="448" spans="1:16" ht="25.95" customHeight="1" x14ac:dyDescent="0.3">
      <c r="A448" s="119" t="s">
        <v>86</v>
      </c>
      <c r="B448" s="119">
        <v>2024</v>
      </c>
      <c r="C448" s="119">
        <v>14</v>
      </c>
      <c r="D448" s="119" t="s">
        <v>196</v>
      </c>
      <c r="E448" s="119" t="s">
        <v>3544</v>
      </c>
      <c r="F448" s="120">
        <f>DGKC!G84</f>
        <v>66038.688999999998</v>
      </c>
      <c r="G448" s="120">
        <f>AVERAGE(DGKC!F37,DGKC!G37)</f>
        <v>136549.50400000002</v>
      </c>
      <c r="H448" s="120">
        <f t="shared" si="12"/>
        <v>0.48362452491954855</v>
      </c>
      <c r="I448" s="120">
        <v>66038.688999999998</v>
      </c>
      <c r="J448" s="120">
        <v>136549.50400000002</v>
      </c>
      <c r="K448" s="120">
        <v>0.48362452491954855</v>
      </c>
      <c r="L448" s="125">
        <v>0.48362452491954855</v>
      </c>
      <c r="M448" s="125">
        <f>DGKC!G152</f>
        <v>0.48362452491954855</v>
      </c>
      <c r="N448" s="126" t="str">
        <f t="shared" si="13"/>
        <v>PASS</v>
      </c>
      <c r="O448" s="122"/>
      <c r="P448" s="119" t="s">
        <v>471</v>
      </c>
    </row>
    <row r="449" spans="1:16" ht="25.95" customHeight="1" x14ac:dyDescent="0.3">
      <c r="A449" s="50" t="s">
        <v>86</v>
      </c>
      <c r="B449" s="50">
        <v>2024</v>
      </c>
      <c r="C449" s="50">
        <v>15</v>
      </c>
      <c r="D449" s="50" t="s">
        <v>199</v>
      </c>
      <c r="E449" s="50" t="s">
        <v>3544</v>
      </c>
      <c r="F449" s="121">
        <f>DGKC!G84</f>
        <v>66038.688999999998</v>
      </c>
      <c r="G449" s="121">
        <f>AVERAGE(DGKC!F22,DGKC!G22)</f>
        <v>79387.79800000001</v>
      </c>
      <c r="H449" s="121">
        <f t="shared" si="12"/>
        <v>0.83184936052767189</v>
      </c>
      <c r="I449" s="121">
        <v>66038.688999999998</v>
      </c>
      <c r="J449" s="121">
        <v>79387.79800000001</v>
      </c>
      <c r="K449" s="121">
        <v>0.83184936052767189</v>
      </c>
      <c r="L449" s="127">
        <v>0.83184936052767189</v>
      </c>
      <c r="M449" s="127">
        <f>DGKC!G153</f>
        <v>0.83184936052767189</v>
      </c>
      <c r="N449" s="128" t="str">
        <f t="shared" si="13"/>
        <v>PASS</v>
      </c>
      <c r="O449" s="68"/>
      <c r="P449" s="50" t="s">
        <v>471</v>
      </c>
    </row>
    <row r="450" spans="1:16" ht="25.95" customHeight="1" x14ac:dyDescent="0.3">
      <c r="A450" s="119" t="s">
        <v>86</v>
      </c>
      <c r="B450" s="119">
        <v>2024</v>
      </c>
      <c r="C450" s="119">
        <v>16</v>
      </c>
      <c r="D450" s="119" t="s">
        <v>932</v>
      </c>
      <c r="E450" s="119" t="s">
        <v>3544</v>
      </c>
      <c r="F450" s="120">
        <f>DGKC!G62</f>
        <v>62538.216</v>
      </c>
      <c r="G450" s="120">
        <f>DGKC!G37</f>
        <v>138385.75400000002</v>
      </c>
      <c r="H450" s="120">
        <f t="shared" si="12"/>
        <v>0.45191223946360831</v>
      </c>
      <c r="I450" s="120">
        <v>62538.216</v>
      </c>
      <c r="J450" s="120">
        <v>138385.75400000002</v>
      </c>
      <c r="K450" s="120">
        <v>0.45191223946360831</v>
      </c>
      <c r="L450" s="125">
        <v>0.45191223946360831</v>
      </c>
      <c r="M450" s="125">
        <f>DGKC!G155</f>
        <v>0.45191223946360831</v>
      </c>
      <c r="N450" s="126" t="str">
        <f t="shared" si="13"/>
        <v>PASS</v>
      </c>
      <c r="O450" s="122"/>
      <c r="P450" s="119" t="s">
        <v>493</v>
      </c>
    </row>
    <row r="451" spans="1:16" ht="25.95" customHeight="1" x14ac:dyDescent="0.3">
      <c r="A451" s="50" t="s">
        <v>86</v>
      </c>
      <c r="B451" s="50">
        <v>2024</v>
      </c>
      <c r="C451" s="50">
        <v>17</v>
      </c>
      <c r="D451" s="50" t="s">
        <v>151</v>
      </c>
      <c r="E451" s="50" t="s">
        <v>3544</v>
      </c>
      <c r="F451" s="121">
        <f>DGKC!G62</f>
        <v>62538.216</v>
      </c>
      <c r="G451" s="121">
        <f>DGKC!G41</f>
        <v>75847.538</v>
      </c>
      <c r="H451" s="121">
        <f t="shared" si="12"/>
        <v>0.82452532605606788</v>
      </c>
      <c r="I451" s="121">
        <v>62538.216</v>
      </c>
      <c r="J451" s="121">
        <v>75847.538</v>
      </c>
      <c r="K451" s="121">
        <v>0.82452532605606788</v>
      </c>
      <c r="L451" s="127">
        <v>0.82452532605606788</v>
      </c>
      <c r="M451" s="127">
        <f>DGKC!G156</f>
        <v>0.82452532605606788</v>
      </c>
      <c r="N451" s="128" t="str">
        <f t="shared" si="13"/>
        <v>PASS</v>
      </c>
      <c r="O451" s="68"/>
      <c r="P451" s="50" t="s">
        <v>493</v>
      </c>
    </row>
    <row r="452" spans="1:16" ht="25.95" customHeight="1" x14ac:dyDescent="0.3">
      <c r="A452" s="119" t="s">
        <v>86</v>
      </c>
      <c r="B452" s="119">
        <v>2024</v>
      </c>
      <c r="C452" s="119">
        <v>18</v>
      </c>
      <c r="D452" s="119" t="s">
        <v>935</v>
      </c>
      <c r="E452" s="119" t="s">
        <v>3545</v>
      </c>
      <c r="F452" s="120">
        <f>DGKC!G66</f>
        <v>34321.806000000004</v>
      </c>
      <c r="G452" s="120">
        <f>DGKC!G66+DGKC!G41</f>
        <v>110169.34400000001</v>
      </c>
      <c r="H452" s="120">
        <f t="shared" si="12"/>
        <v>0.31153681009483003</v>
      </c>
      <c r="I452" s="120">
        <v>34321.805999999997</v>
      </c>
      <c r="J452" s="120">
        <v>110169.344</v>
      </c>
      <c r="K452" s="120">
        <v>0.31153681009482997</v>
      </c>
      <c r="L452" s="125">
        <v>0.31153681009482997</v>
      </c>
      <c r="M452" s="125">
        <f>DGKC!G157</f>
        <v>0.31153681009483003</v>
      </c>
      <c r="N452" s="126" t="str">
        <f t="shared" si="13"/>
        <v>PASS</v>
      </c>
      <c r="O452" s="122"/>
      <c r="P452" s="119" t="s">
        <v>493</v>
      </c>
    </row>
    <row r="453" spans="1:16" ht="25.95" customHeight="1" x14ac:dyDescent="0.3">
      <c r="A453" s="50" t="s">
        <v>86</v>
      </c>
      <c r="B453" s="50">
        <v>2024</v>
      </c>
      <c r="C453" s="50">
        <v>19</v>
      </c>
      <c r="D453" s="50" t="s">
        <v>936</v>
      </c>
      <c r="E453" s="50" t="s">
        <v>3545</v>
      </c>
      <c r="F453" s="121">
        <f>DGKC!G67</f>
        <v>15965.116</v>
      </c>
      <c r="G453" s="121">
        <f>DGKC!G37</f>
        <v>138385.75400000002</v>
      </c>
      <c r="H453" s="121">
        <f t="shared" si="12"/>
        <v>0.11536675950040348</v>
      </c>
      <c r="I453" s="121">
        <v>15965.116</v>
      </c>
      <c r="J453" s="121">
        <v>138385.75400000002</v>
      </c>
      <c r="K453" s="121">
        <v>0.11536675950040348</v>
      </c>
      <c r="L453" s="127">
        <v>0.11536675950040348</v>
      </c>
      <c r="M453" s="127">
        <f>DGKC!G158</f>
        <v>0.11536675950040348</v>
      </c>
      <c r="N453" s="128" t="str">
        <f t="shared" si="13"/>
        <v>PASS</v>
      </c>
      <c r="O453" s="68"/>
      <c r="P453" s="50" t="s">
        <v>493</v>
      </c>
    </row>
    <row r="454" spans="1:16" ht="25.95" customHeight="1" x14ac:dyDescent="0.3">
      <c r="A454" s="119" t="s">
        <v>86</v>
      </c>
      <c r="B454" s="119">
        <v>2024</v>
      </c>
      <c r="C454" s="119">
        <v>20</v>
      </c>
      <c r="D454" s="119" t="s">
        <v>938</v>
      </c>
      <c r="E454" s="119" t="s">
        <v>3544</v>
      </c>
      <c r="F454" s="120">
        <f>DGKC!G108</f>
        <v>10840.015000000001</v>
      </c>
      <c r="G454" s="120">
        <f>DGKC!G106</f>
        <v>7924.9779999999992</v>
      </c>
      <c r="H454" s="120">
        <f t="shared" ref="H454:H517" si="14">IF(G454&lt;=0,"n/m",F454/G454)</f>
        <v>1.3678290337209771</v>
      </c>
      <c r="I454" s="120">
        <v>10840.015000000003</v>
      </c>
      <c r="J454" s="120">
        <v>7924.9779999999992</v>
      </c>
      <c r="K454" s="120">
        <v>1.3678290337209775</v>
      </c>
      <c r="L454" s="125">
        <v>1.3678290337209775</v>
      </c>
      <c r="M454" s="125">
        <f>DGKC!G159</f>
        <v>1.3678290337209771</v>
      </c>
      <c r="N454" s="126" t="str">
        <f t="shared" ref="N454:N517" si="15">IF(AND(ABS(F454-I454)&lt;0.000001,ABS(G454-J454)&lt;0.000001,IF(ISNUMBER(L454),IF(ISNUMBER(M454),ABS(L454-M454)&lt;0.00000001,FALSE),M454=L454)),"PASS","FAIL")</f>
        <v>PASS</v>
      </c>
      <c r="O454" s="122"/>
      <c r="P454" s="119" t="s">
        <v>493</v>
      </c>
    </row>
    <row r="455" spans="1:16" ht="25.95" customHeight="1" x14ac:dyDescent="0.3">
      <c r="A455" s="50" t="s">
        <v>86</v>
      </c>
      <c r="B455" s="50">
        <v>2024</v>
      </c>
      <c r="C455" s="50">
        <v>21</v>
      </c>
      <c r="D455" s="50" t="s">
        <v>154</v>
      </c>
      <c r="E455" s="50" t="s">
        <v>3544</v>
      </c>
      <c r="F455" s="121">
        <f>DGKC!G86</f>
        <v>10528.260000000002</v>
      </c>
      <c r="G455" s="121">
        <f>DGKC!G84</f>
        <v>66038.688999999998</v>
      </c>
      <c r="H455" s="121">
        <f t="shared" si="14"/>
        <v>0.15942563608432631</v>
      </c>
      <c r="I455" s="121">
        <v>10528.260000000002</v>
      </c>
      <c r="J455" s="121">
        <v>66038.688999999998</v>
      </c>
      <c r="K455" s="121">
        <v>0.15942563608432631</v>
      </c>
      <c r="L455" s="127">
        <v>0.15942563608432631</v>
      </c>
      <c r="M455" s="127">
        <f>DGKC!G161</f>
        <v>0.15942563608432631</v>
      </c>
      <c r="N455" s="128" t="str">
        <f t="shared" si="15"/>
        <v>PASS</v>
      </c>
      <c r="O455" s="68"/>
      <c r="P455" s="50" t="s">
        <v>504</v>
      </c>
    </row>
    <row r="456" spans="1:16" ht="25.95" customHeight="1" x14ac:dyDescent="0.3">
      <c r="A456" s="119" t="s">
        <v>86</v>
      </c>
      <c r="B456" s="119">
        <v>2024</v>
      </c>
      <c r="C456" s="119">
        <v>22</v>
      </c>
      <c r="D456" s="119" t="s">
        <v>942</v>
      </c>
      <c r="E456" s="119" t="s">
        <v>3544</v>
      </c>
      <c r="F456" s="120">
        <f>DGKC!G91</f>
        <v>6605.2180000000017</v>
      </c>
      <c r="G456" s="120">
        <f>DGKC!G84</f>
        <v>66038.688999999998</v>
      </c>
      <c r="H456" s="120">
        <f t="shared" si="14"/>
        <v>0.10002042893371189</v>
      </c>
      <c r="I456" s="120">
        <v>6605.2180000000026</v>
      </c>
      <c r="J456" s="120">
        <v>66038.688999999998</v>
      </c>
      <c r="K456" s="120">
        <v>0.10002042893371191</v>
      </c>
      <c r="L456" s="125">
        <v>0.10002042893371191</v>
      </c>
      <c r="M456" s="125">
        <f>DGKC!G162</f>
        <v>0.10002042893371189</v>
      </c>
      <c r="N456" s="126" t="str">
        <f t="shared" si="15"/>
        <v>PASS</v>
      </c>
      <c r="O456" s="122"/>
      <c r="P456" s="119" t="s">
        <v>504</v>
      </c>
    </row>
    <row r="457" spans="1:16" ht="25.95" customHeight="1" x14ac:dyDescent="0.3">
      <c r="A457" s="50" t="s">
        <v>86</v>
      </c>
      <c r="B457" s="50">
        <v>2024</v>
      </c>
      <c r="C457" s="50">
        <v>23</v>
      </c>
      <c r="D457" s="50" t="s">
        <v>155</v>
      </c>
      <c r="E457" s="50" t="s">
        <v>3544</v>
      </c>
      <c r="F457" s="121">
        <f>DGKC!G99</f>
        <v>542.39600000000178</v>
      </c>
      <c r="G457" s="121">
        <f>DGKC!G84</f>
        <v>66038.688999999998</v>
      </c>
      <c r="H457" s="121">
        <f t="shared" si="14"/>
        <v>8.2133065966830711E-3</v>
      </c>
      <c r="I457" s="121">
        <v>542.39600000000269</v>
      </c>
      <c r="J457" s="121">
        <v>66038.688999999998</v>
      </c>
      <c r="K457" s="121">
        <v>8.213306596683085E-3</v>
      </c>
      <c r="L457" s="127">
        <v>8.213306596683085E-3</v>
      </c>
      <c r="M457" s="127">
        <f>DGKC!G163</f>
        <v>8.2133065966830711E-3</v>
      </c>
      <c r="N457" s="128" t="str">
        <f t="shared" si="15"/>
        <v>PASS</v>
      </c>
      <c r="O457" s="68"/>
      <c r="P457" s="50" t="s">
        <v>504</v>
      </c>
    </row>
    <row r="458" spans="1:16" ht="25.95" customHeight="1" x14ac:dyDescent="0.3">
      <c r="A458" s="119" t="s">
        <v>86</v>
      </c>
      <c r="B458" s="119">
        <v>2024</v>
      </c>
      <c r="C458" s="119">
        <v>24</v>
      </c>
      <c r="D458" s="119" t="s">
        <v>136</v>
      </c>
      <c r="E458" s="119" t="s">
        <v>3544</v>
      </c>
      <c r="F458" s="120">
        <f>DGKC!G99</f>
        <v>542.39600000000178</v>
      </c>
      <c r="G458" s="120">
        <f>AVERAGE(DGKC!F37,DGKC!G37)</f>
        <v>136549.50400000002</v>
      </c>
      <c r="H458" s="120">
        <f t="shared" si="14"/>
        <v>3.9721565008394447E-3</v>
      </c>
      <c r="I458" s="120">
        <v>542.39600000000269</v>
      </c>
      <c r="J458" s="120">
        <v>136549.50400000002</v>
      </c>
      <c r="K458" s="120">
        <v>3.9721565008394508E-3</v>
      </c>
      <c r="L458" s="125">
        <v>3.9721565008394508E-3</v>
      </c>
      <c r="M458" s="125">
        <f>DGKC!G164</f>
        <v>3.9721565008394447E-3</v>
      </c>
      <c r="N458" s="126" t="str">
        <f t="shared" si="15"/>
        <v>PASS</v>
      </c>
      <c r="O458" s="122"/>
      <c r="P458" s="119" t="s">
        <v>504</v>
      </c>
    </row>
    <row r="459" spans="1:16" ht="25.95" customHeight="1" x14ac:dyDescent="0.3">
      <c r="A459" s="50" t="s">
        <v>86</v>
      </c>
      <c r="B459" s="50">
        <v>2024</v>
      </c>
      <c r="C459" s="50">
        <v>25</v>
      </c>
      <c r="D459" s="50" t="s">
        <v>53</v>
      </c>
      <c r="E459" s="50" t="s">
        <v>3544</v>
      </c>
      <c r="F459" s="121">
        <f>DGKC!G99</f>
        <v>542.39600000000178</v>
      </c>
      <c r="G459" s="121">
        <f>AVERAGE(DGKC!F41,DGKC!G41)</f>
        <v>70019.907500000001</v>
      </c>
      <c r="H459" s="121">
        <f t="shared" si="14"/>
        <v>7.7463112901141971E-3</v>
      </c>
      <c r="I459" s="121">
        <v>542.39600000000269</v>
      </c>
      <c r="J459" s="121">
        <v>70019.907500000001</v>
      </c>
      <c r="K459" s="121">
        <v>7.7463112901142101E-3</v>
      </c>
      <c r="L459" s="127">
        <v>7.7463112901142101E-3</v>
      </c>
      <c r="M459" s="127">
        <f>DGKC!G165</f>
        <v>7.7463112901141971E-3</v>
      </c>
      <c r="N459" s="128" t="str">
        <f t="shared" si="15"/>
        <v>PASS</v>
      </c>
      <c r="O459" s="68"/>
      <c r="P459" s="50" t="s">
        <v>504</v>
      </c>
    </row>
    <row r="460" spans="1:16" ht="25.95" customHeight="1" x14ac:dyDescent="0.3">
      <c r="A460" s="119" t="s">
        <v>86</v>
      </c>
      <c r="B460" s="119">
        <v>2024</v>
      </c>
      <c r="C460" s="119">
        <v>26</v>
      </c>
      <c r="D460" s="119" t="s">
        <v>944</v>
      </c>
      <c r="E460" s="119" t="s">
        <v>3545</v>
      </c>
      <c r="F460" s="120">
        <f>DGKC!G113</f>
        <v>2071.0698035302335</v>
      </c>
      <c r="G460" s="120">
        <f>AVERAGE(DGKC!F70,DGKC!G70)</f>
        <v>108444.94850000001</v>
      </c>
      <c r="H460" s="120">
        <f t="shared" si="14"/>
        <v>1.909789097765336E-2</v>
      </c>
      <c r="I460" s="120">
        <v>2071.0698035302362</v>
      </c>
      <c r="J460" s="120">
        <v>108444.9485</v>
      </c>
      <c r="K460" s="120">
        <v>1.9097890977653388E-2</v>
      </c>
      <c r="L460" s="125">
        <v>1.9097890977653388E-2</v>
      </c>
      <c r="M460" s="125">
        <f>DGKC!G166</f>
        <v>1.909789097765336E-2</v>
      </c>
      <c r="N460" s="126" t="str">
        <f t="shared" si="15"/>
        <v>PASS</v>
      </c>
      <c r="O460" s="122"/>
      <c r="P460" s="119" t="s">
        <v>504</v>
      </c>
    </row>
    <row r="461" spans="1:16" ht="25.95" customHeight="1" x14ac:dyDescent="0.3">
      <c r="A461" s="50" t="s">
        <v>86</v>
      </c>
      <c r="B461" s="50">
        <v>2024</v>
      </c>
      <c r="C461" s="50">
        <v>27</v>
      </c>
      <c r="D461" s="50" t="s">
        <v>945</v>
      </c>
      <c r="E461" s="50" t="s">
        <v>3545</v>
      </c>
      <c r="F461" s="121">
        <f>DGKC!G108</f>
        <v>10840.015000000001</v>
      </c>
      <c r="G461" s="121">
        <f>AVERAGE(DGKC!F37,DGKC!G37)</f>
        <v>136549.50400000002</v>
      </c>
      <c r="H461" s="121">
        <f t="shared" si="14"/>
        <v>7.9385238924046184E-2</v>
      </c>
      <c r="I461" s="121">
        <v>10840.015000000003</v>
      </c>
      <c r="J461" s="121">
        <v>136549.50400000002</v>
      </c>
      <c r="K461" s="121">
        <v>7.9385238924046198E-2</v>
      </c>
      <c r="L461" s="127">
        <v>7.9385238924046198E-2</v>
      </c>
      <c r="M461" s="127">
        <f>DGKC!G167</f>
        <v>7.9385238924046184E-2</v>
      </c>
      <c r="N461" s="128" t="str">
        <f t="shared" si="15"/>
        <v>PASS</v>
      </c>
      <c r="O461" s="68"/>
      <c r="P461" s="50" t="s">
        <v>504</v>
      </c>
    </row>
    <row r="462" spans="1:16" ht="25.95" customHeight="1" x14ac:dyDescent="0.3">
      <c r="A462" s="119" t="s">
        <v>86</v>
      </c>
      <c r="B462" s="119">
        <v>2024</v>
      </c>
      <c r="C462" s="119">
        <v>28</v>
      </c>
      <c r="D462" s="119" t="s">
        <v>139</v>
      </c>
      <c r="E462" s="119" t="s">
        <v>3545</v>
      </c>
      <c r="F462" s="120">
        <f>DGKC!G41</f>
        <v>75847.538</v>
      </c>
      <c r="G462" s="120">
        <f>DGKC!G128</f>
        <v>438.1191</v>
      </c>
      <c r="H462" s="120">
        <f t="shared" si="14"/>
        <v>173.12082034314415</v>
      </c>
      <c r="I462" s="120">
        <v>75847.538</v>
      </c>
      <c r="J462" s="120">
        <v>438.1191</v>
      </c>
      <c r="K462" s="120">
        <v>173.12082034314415</v>
      </c>
      <c r="L462" s="125">
        <v>173.12082034314415</v>
      </c>
      <c r="M462" s="125">
        <f>DGKC!G169</f>
        <v>173.12082034314415</v>
      </c>
      <c r="N462" s="126" t="str">
        <f t="shared" si="15"/>
        <v>PASS</v>
      </c>
      <c r="O462" s="122"/>
      <c r="P462" s="119" t="s">
        <v>519</v>
      </c>
    </row>
    <row r="463" spans="1:16" ht="25.95" customHeight="1" x14ac:dyDescent="0.3">
      <c r="A463" s="50" t="s">
        <v>86</v>
      </c>
      <c r="B463" s="50">
        <v>2024</v>
      </c>
      <c r="C463" s="50">
        <v>29</v>
      </c>
      <c r="D463" s="50" t="s">
        <v>162</v>
      </c>
      <c r="E463" s="50" t="s">
        <v>3544</v>
      </c>
      <c r="F463" s="121">
        <f>DGKC!G130</f>
        <v>90.27</v>
      </c>
      <c r="G463" s="121">
        <f>DGKC!G41/DGKC!G128</f>
        <v>173.12082034314415</v>
      </c>
      <c r="H463" s="121">
        <f t="shared" si="14"/>
        <v>0.52142775098382221</v>
      </c>
      <c r="I463" s="121">
        <v>90.27</v>
      </c>
      <c r="J463" s="121">
        <v>173.12082034314415</v>
      </c>
      <c r="K463" s="121">
        <v>0.52142775098382221</v>
      </c>
      <c r="L463" s="127">
        <v>0.52142775098382221</v>
      </c>
      <c r="M463" s="127">
        <f>DGKC!G170</f>
        <v>0.52142775098382221</v>
      </c>
      <c r="N463" s="128" t="str">
        <f t="shared" si="15"/>
        <v>PASS</v>
      </c>
      <c r="O463" s="68"/>
      <c r="P463" s="50" t="s">
        <v>519</v>
      </c>
    </row>
    <row r="464" spans="1:16" ht="25.95" customHeight="1" x14ac:dyDescent="0.3">
      <c r="A464" s="119" t="s">
        <v>86</v>
      </c>
      <c r="B464" s="119">
        <v>2024</v>
      </c>
      <c r="C464" s="119">
        <v>30</v>
      </c>
      <c r="D464" s="119" t="s">
        <v>143</v>
      </c>
      <c r="E464" s="119" t="s">
        <v>3544</v>
      </c>
      <c r="F464" s="120">
        <f>DGKC!G99</f>
        <v>542.39600000000178</v>
      </c>
      <c r="G464" s="120">
        <f>DGKC!G129</f>
        <v>438.11911800000001</v>
      </c>
      <c r="H464" s="120">
        <f t="shared" si="14"/>
        <v>1.2380103440270365</v>
      </c>
      <c r="I464" s="120">
        <v>542.39600000000269</v>
      </c>
      <c r="J464" s="120">
        <v>438.11911800000001</v>
      </c>
      <c r="K464" s="120">
        <v>1.2380103440270385</v>
      </c>
      <c r="L464" s="125">
        <v>1.2380103440270385</v>
      </c>
      <c r="M464" s="125">
        <f>DGKC!G171</f>
        <v>1.2380103440270365</v>
      </c>
      <c r="N464" s="126" t="str">
        <f t="shared" si="15"/>
        <v>PASS</v>
      </c>
      <c r="O464" s="122"/>
      <c r="P464" s="119" t="s">
        <v>519</v>
      </c>
    </row>
    <row r="465" spans="1:16" ht="25.95" customHeight="1" x14ac:dyDescent="0.3">
      <c r="A465" s="50" t="s">
        <v>86</v>
      </c>
      <c r="B465" s="50">
        <v>2024</v>
      </c>
      <c r="C465" s="50">
        <v>31</v>
      </c>
      <c r="D465" s="50" t="s">
        <v>952</v>
      </c>
      <c r="E465" s="50" t="s">
        <v>3544</v>
      </c>
      <c r="F465" s="121">
        <f>DGKC!G130</f>
        <v>90.27</v>
      </c>
      <c r="G465" s="121">
        <f>DGKC!G99/DGKC!G129</f>
        <v>1.2380103440270365</v>
      </c>
      <c r="H465" s="121">
        <f t="shared" si="14"/>
        <v>72.91538429829842</v>
      </c>
      <c r="I465" s="121">
        <v>90.27</v>
      </c>
      <c r="J465" s="121">
        <v>1.2380103440270385</v>
      </c>
      <c r="K465" s="121">
        <v>72.915384298298292</v>
      </c>
      <c r="L465" s="127">
        <v>72.915384298298292</v>
      </c>
      <c r="M465" s="127">
        <f>DGKC!G172</f>
        <v>72.91538429829842</v>
      </c>
      <c r="N465" s="128" t="str">
        <f t="shared" si="15"/>
        <v>PASS</v>
      </c>
      <c r="O465" s="68"/>
      <c r="P465" s="50" t="s">
        <v>519</v>
      </c>
    </row>
    <row r="466" spans="1:16" ht="25.95" customHeight="1" x14ac:dyDescent="0.3">
      <c r="A466" s="119" t="s">
        <v>86</v>
      </c>
      <c r="B466" s="119">
        <v>2024</v>
      </c>
      <c r="C466" s="119">
        <v>32</v>
      </c>
      <c r="D466" s="119" t="s">
        <v>104</v>
      </c>
      <c r="E466" s="119" t="s">
        <v>3544</v>
      </c>
      <c r="F466" s="120">
        <f>DGKC!G131</f>
        <v>0</v>
      </c>
      <c r="G466" s="120">
        <f>DGKC!G130</f>
        <v>90.27</v>
      </c>
      <c r="H466" s="120">
        <f t="shared" si="14"/>
        <v>0</v>
      </c>
      <c r="I466" s="120">
        <v>0</v>
      </c>
      <c r="J466" s="120">
        <v>90.27</v>
      </c>
      <c r="K466" s="120">
        <v>0</v>
      </c>
      <c r="L466" s="125">
        <v>0</v>
      </c>
      <c r="M466" s="125">
        <f>DGKC!G173</f>
        <v>0</v>
      </c>
      <c r="N466" s="126" t="str">
        <f t="shared" si="15"/>
        <v>PASS</v>
      </c>
      <c r="O466" s="122"/>
      <c r="P466" s="119" t="s">
        <v>519</v>
      </c>
    </row>
    <row r="467" spans="1:16" ht="25.95" customHeight="1" x14ac:dyDescent="0.3">
      <c r="A467" s="50" t="s">
        <v>86</v>
      </c>
      <c r="B467" s="50">
        <v>2024</v>
      </c>
      <c r="C467" s="50">
        <v>33</v>
      </c>
      <c r="D467" s="50" t="s">
        <v>124</v>
      </c>
      <c r="E467" s="50" t="s">
        <v>3545</v>
      </c>
      <c r="F467" s="121">
        <f>DGKC!G131</f>
        <v>0</v>
      </c>
      <c r="G467" s="121">
        <f>DGKC!G99/DGKC!G129</f>
        <v>1.2380103440270365</v>
      </c>
      <c r="H467" s="121">
        <f t="shared" si="14"/>
        <v>0</v>
      </c>
      <c r="I467" s="121">
        <v>0</v>
      </c>
      <c r="J467" s="121">
        <v>1.2380103440270385</v>
      </c>
      <c r="K467" s="121">
        <v>0</v>
      </c>
      <c r="L467" s="127">
        <v>0</v>
      </c>
      <c r="M467" s="127">
        <f>DGKC!G174</f>
        <v>0</v>
      </c>
      <c r="N467" s="128" t="str">
        <f t="shared" si="15"/>
        <v>PASS</v>
      </c>
      <c r="O467" s="68"/>
      <c r="P467" s="50" t="s">
        <v>519</v>
      </c>
    </row>
    <row r="468" spans="1:16" ht="25.95" customHeight="1" x14ac:dyDescent="0.3">
      <c r="A468" s="119" t="s">
        <v>86</v>
      </c>
      <c r="B468" s="119">
        <v>2025</v>
      </c>
      <c r="C468" s="119">
        <v>1</v>
      </c>
      <c r="D468" s="119" t="s">
        <v>19</v>
      </c>
      <c r="E468" s="119" t="s">
        <v>3544</v>
      </c>
      <c r="F468" s="120">
        <f>DGKC!H36</f>
        <v>47908.042000000001</v>
      </c>
      <c r="G468" s="120">
        <f>DGKC!H61</f>
        <v>25910.920000000002</v>
      </c>
      <c r="H468" s="120">
        <f t="shared" si="14"/>
        <v>1.8489517932979607</v>
      </c>
      <c r="I468" s="120">
        <v>47908.042000000001</v>
      </c>
      <c r="J468" s="120">
        <v>25910.92</v>
      </c>
      <c r="K468" s="120">
        <v>1.8489517932979611</v>
      </c>
      <c r="L468" s="125">
        <v>1.8489517932979611</v>
      </c>
      <c r="M468" s="125">
        <f>DGKC!H138</f>
        <v>1.8489517932979607</v>
      </c>
      <c r="N468" s="126" t="str">
        <f t="shared" si="15"/>
        <v>PASS</v>
      </c>
      <c r="O468" s="122"/>
      <c r="P468" s="119" t="s">
        <v>459</v>
      </c>
    </row>
    <row r="469" spans="1:16" ht="25.95" customHeight="1" x14ac:dyDescent="0.3">
      <c r="A469" s="50" t="s">
        <v>86</v>
      </c>
      <c r="B469" s="50">
        <v>2025</v>
      </c>
      <c r="C469" s="50">
        <v>2</v>
      </c>
      <c r="D469" s="50" t="s">
        <v>30</v>
      </c>
      <c r="E469" s="50" t="s">
        <v>3544</v>
      </c>
      <c r="F469" s="121">
        <f>DGKC!H36-DGKC!H65</f>
        <v>27412.685000000001</v>
      </c>
      <c r="G469" s="121">
        <f>DGKC!H61</f>
        <v>25910.920000000002</v>
      </c>
      <c r="H469" s="121">
        <f t="shared" si="14"/>
        <v>1.0579587679634685</v>
      </c>
      <c r="I469" s="121">
        <v>27412.685000000001</v>
      </c>
      <c r="J469" s="121">
        <v>25910.92</v>
      </c>
      <c r="K469" s="121">
        <v>1.0579587679634688</v>
      </c>
      <c r="L469" s="127">
        <v>1.0579587679634688</v>
      </c>
      <c r="M469" s="127">
        <f>DGKC!H139</f>
        <v>1.0579587679634685</v>
      </c>
      <c r="N469" s="128" t="str">
        <f t="shared" si="15"/>
        <v>PASS</v>
      </c>
      <c r="O469" s="68"/>
      <c r="P469" s="50" t="s">
        <v>459</v>
      </c>
    </row>
    <row r="470" spans="1:16" ht="25.95" customHeight="1" x14ac:dyDescent="0.3">
      <c r="A470" s="119" t="s">
        <v>86</v>
      </c>
      <c r="B470" s="119">
        <v>2025</v>
      </c>
      <c r="C470" s="119">
        <v>3</v>
      </c>
      <c r="D470" s="119" t="s">
        <v>145</v>
      </c>
      <c r="E470" s="119" t="s">
        <v>3544</v>
      </c>
      <c r="F470" s="120">
        <f>DGKC!H34</f>
        <v>568.83199999999999</v>
      </c>
      <c r="G470" s="120">
        <f>DGKC!H61</f>
        <v>25910.920000000002</v>
      </c>
      <c r="H470" s="120">
        <f t="shared" si="14"/>
        <v>2.1953369467390581E-2</v>
      </c>
      <c r="I470" s="120">
        <v>568.83199999999999</v>
      </c>
      <c r="J470" s="120">
        <v>25910.92</v>
      </c>
      <c r="K470" s="120">
        <v>2.1953369467390585E-2</v>
      </c>
      <c r="L470" s="125">
        <v>2.1953369467390585E-2</v>
      </c>
      <c r="M470" s="125">
        <f>DGKC!H140</f>
        <v>2.1953369467390581E-2</v>
      </c>
      <c r="N470" s="126" t="str">
        <f t="shared" si="15"/>
        <v>PASS</v>
      </c>
      <c r="O470" s="122"/>
      <c r="P470" s="119" t="s">
        <v>459</v>
      </c>
    </row>
    <row r="471" spans="1:16" ht="25.95" customHeight="1" x14ac:dyDescent="0.3">
      <c r="A471" s="50" t="s">
        <v>86</v>
      </c>
      <c r="B471" s="50">
        <v>2025</v>
      </c>
      <c r="C471" s="50">
        <v>4</v>
      </c>
      <c r="D471" s="50" t="s">
        <v>201</v>
      </c>
      <c r="E471" s="50" t="s">
        <v>3545</v>
      </c>
      <c r="F471" s="121">
        <f>DGKC!H36-DGKC!H61</f>
        <v>21997.121999999999</v>
      </c>
      <c r="G471" s="121">
        <f>1</f>
        <v>1</v>
      </c>
      <c r="H471" s="121">
        <f t="shared" si="14"/>
        <v>21997.121999999999</v>
      </c>
      <c r="I471" s="121">
        <v>21997.122000000003</v>
      </c>
      <c r="J471" s="121">
        <v>1</v>
      </c>
      <c r="K471" s="121">
        <v>21997.122000000003</v>
      </c>
      <c r="L471" s="127">
        <v>21997.122000000003</v>
      </c>
      <c r="M471" s="127">
        <f>DGKC!H141</f>
        <v>21997.121999999999</v>
      </c>
      <c r="N471" s="128" t="str">
        <f t="shared" si="15"/>
        <v>PASS</v>
      </c>
      <c r="O471" s="68"/>
      <c r="P471" s="50" t="s">
        <v>459</v>
      </c>
    </row>
    <row r="472" spans="1:16" ht="25.95" customHeight="1" x14ac:dyDescent="0.3">
      <c r="A472" s="119" t="s">
        <v>86</v>
      </c>
      <c r="B472" s="119">
        <v>2025</v>
      </c>
      <c r="C472" s="119">
        <v>5</v>
      </c>
      <c r="D472" s="119" t="s">
        <v>923</v>
      </c>
      <c r="E472" s="119" t="s">
        <v>3545</v>
      </c>
      <c r="F472" s="120">
        <f>DGKC!H72-DGKC!H73</f>
        <v>9579.732</v>
      </c>
      <c r="G472" s="120">
        <f>1</f>
        <v>1</v>
      </c>
      <c r="H472" s="120">
        <f t="shared" si="14"/>
        <v>9579.732</v>
      </c>
      <c r="I472" s="120">
        <v>9579.7320000000018</v>
      </c>
      <c r="J472" s="120">
        <v>1</v>
      </c>
      <c r="K472" s="120">
        <v>9579.7320000000018</v>
      </c>
      <c r="L472" s="125">
        <v>9579.7320000000018</v>
      </c>
      <c r="M472" s="125">
        <f>DGKC!H142</f>
        <v>9579.732</v>
      </c>
      <c r="N472" s="126" t="str">
        <f t="shared" si="15"/>
        <v>PASS</v>
      </c>
      <c r="O472" s="122"/>
      <c r="P472" s="119" t="s">
        <v>459</v>
      </c>
    </row>
    <row r="473" spans="1:16" ht="25.95" customHeight="1" x14ac:dyDescent="0.3">
      <c r="A473" s="50" t="s">
        <v>86</v>
      </c>
      <c r="B473" s="50">
        <v>2025</v>
      </c>
      <c r="C473" s="50">
        <v>6</v>
      </c>
      <c r="D473" s="50" t="s">
        <v>31</v>
      </c>
      <c r="E473" s="50" t="s">
        <v>3544</v>
      </c>
      <c r="F473" s="121">
        <f>-DGKC!H85</f>
        <v>53387.165999999997</v>
      </c>
      <c r="G473" s="121">
        <f>AVERAGE(DGKC!G65,DGKC!H65)</f>
        <v>20374.099000000002</v>
      </c>
      <c r="H473" s="121">
        <f t="shared" si="14"/>
        <v>2.6203448800361673</v>
      </c>
      <c r="I473" s="121">
        <v>53387.165999999997</v>
      </c>
      <c r="J473" s="121">
        <v>20374.099000000002</v>
      </c>
      <c r="K473" s="121">
        <v>2.6203448800361673</v>
      </c>
      <c r="L473" s="127">
        <v>2.6203448800361673</v>
      </c>
      <c r="M473" s="127">
        <f>DGKC!H144</f>
        <v>2.6203448800361673</v>
      </c>
      <c r="N473" s="128" t="str">
        <f t="shared" si="15"/>
        <v>PASS</v>
      </c>
      <c r="O473" s="68"/>
      <c r="P473" s="50" t="s">
        <v>471</v>
      </c>
    </row>
    <row r="474" spans="1:16" ht="25.95" customHeight="1" x14ac:dyDescent="0.3">
      <c r="A474" s="119" t="s">
        <v>86</v>
      </c>
      <c r="B474" s="119">
        <v>2025</v>
      </c>
      <c r="C474" s="119">
        <v>7</v>
      </c>
      <c r="D474" s="119" t="s">
        <v>129</v>
      </c>
      <c r="E474" s="119" t="s">
        <v>3545</v>
      </c>
      <c r="F474" s="120">
        <f>DGKC!H84</f>
        <v>71892.837</v>
      </c>
      <c r="G474" s="120">
        <f>AVERAGE(DGKC!G32,DGKC!H32)</f>
        <v>1174.4110000000001</v>
      </c>
      <c r="H474" s="120">
        <f t="shared" si="14"/>
        <v>61.216079379365482</v>
      </c>
      <c r="I474" s="120">
        <v>71892.837</v>
      </c>
      <c r="J474" s="120">
        <v>1174.4110000000001</v>
      </c>
      <c r="K474" s="120">
        <v>61.216079379365482</v>
      </c>
      <c r="L474" s="125">
        <v>61.216079379365482</v>
      </c>
      <c r="M474" s="125">
        <f>DGKC!H145</f>
        <v>61.216079379365482</v>
      </c>
      <c r="N474" s="126" t="str">
        <f t="shared" si="15"/>
        <v>PASS</v>
      </c>
      <c r="O474" s="122"/>
      <c r="P474" s="119" t="s">
        <v>471</v>
      </c>
    </row>
    <row r="475" spans="1:16" ht="25.95" customHeight="1" x14ac:dyDescent="0.3">
      <c r="A475" s="50" t="s">
        <v>86</v>
      </c>
      <c r="B475" s="50">
        <v>2025</v>
      </c>
      <c r="C475" s="50">
        <v>8</v>
      </c>
      <c r="D475" s="50" t="s">
        <v>133</v>
      </c>
      <c r="E475" s="50" t="s">
        <v>3545</v>
      </c>
      <c r="F475" s="121">
        <f>-DGKC!H85</f>
        <v>53387.165999999997</v>
      </c>
      <c r="G475" s="121">
        <f>AVERAGE(DGKC!G51,DGKC!H51)</f>
        <v>4473.4429999999993</v>
      </c>
      <c r="H475" s="121">
        <f t="shared" si="14"/>
        <v>11.934245278189531</v>
      </c>
      <c r="I475" s="121">
        <v>53387.165999999997</v>
      </c>
      <c r="J475" s="121">
        <v>4473.4429999999993</v>
      </c>
      <c r="K475" s="121">
        <v>11.934245278189531</v>
      </c>
      <c r="L475" s="127">
        <v>11.934245278189531</v>
      </c>
      <c r="M475" s="127">
        <f>DGKC!H146</f>
        <v>11.934245278189531</v>
      </c>
      <c r="N475" s="128" t="str">
        <f t="shared" si="15"/>
        <v>PASS</v>
      </c>
      <c r="O475" s="68"/>
      <c r="P475" s="50" t="s">
        <v>471</v>
      </c>
    </row>
    <row r="476" spans="1:16" ht="25.95" customHeight="1" x14ac:dyDescent="0.3">
      <c r="A476" s="119" t="s">
        <v>86</v>
      </c>
      <c r="B476" s="119">
        <v>2025</v>
      </c>
      <c r="C476" s="119">
        <v>9</v>
      </c>
      <c r="D476" s="119" t="s">
        <v>134</v>
      </c>
      <c r="E476" s="119" t="s">
        <v>3545</v>
      </c>
      <c r="F476" s="120">
        <f>365*AVERAGE(DGKC!G65,DGKC!H65)</f>
        <v>7436546.1350000007</v>
      </c>
      <c r="G476" s="120">
        <f>-DGKC!H85</f>
        <v>53387.165999999997</v>
      </c>
      <c r="H476" s="120">
        <f t="shared" si="14"/>
        <v>139.29464124392746</v>
      </c>
      <c r="I476" s="120">
        <v>7436546.1350000007</v>
      </c>
      <c r="J476" s="120">
        <v>53387.165999999997</v>
      </c>
      <c r="K476" s="120">
        <v>139.29464124392746</v>
      </c>
      <c r="L476" s="125">
        <v>139.29464124392746</v>
      </c>
      <c r="M476" s="125">
        <f>DGKC!H147</f>
        <v>139.29464124392746</v>
      </c>
      <c r="N476" s="126" t="str">
        <f t="shared" si="15"/>
        <v>PASS</v>
      </c>
      <c r="O476" s="122"/>
      <c r="P476" s="119" t="s">
        <v>471</v>
      </c>
    </row>
    <row r="477" spans="1:16" ht="25.95" customHeight="1" x14ac:dyDescent="0.3">
      <c r="A477" s="50" t="s">
        <v>86</v>
      </c>
      <c r="B477" s="50">
        <v>2025</v>
      </c>
      <c r="C477" s="50">
        <v>10</v>
      </c>
      <c r="D477" s="50" t="s">
        <v>187</v>
      </c>
      <c r="E477" s="50" t="s">
        <v>3544</v>
      </c>
      <c r="F477" s="121">
        <f>365*AVERAGE(DGKC!G32,DGKC!H32)</f>
        <v>428660.01500000001</v>
      </c>
      <c r="G477" s="121">
        <f>DGKC!H84</f>
        <v>71892.837</v>
      </c>
      <c r="H477" s="121">
        <f t="shared" si="14"/>
        <v>5.9624857341490083</v>
      </c>
      <c r="I477" s="121">
        <v>428660.01500000001</v>
      </c>
      <c r="J477" s="121">
        <v>71892.837</v>
      </c>
      <c r="K477" s="121">
        <v>5.9624857341490083</v>
      </c>
      <c r="L477" s="127">
        <v>5.9624857341490083</v>
      </c>
      <c r="M477" s="127">
        <f>DGKC!H148</f>
        <v>5.9624857341490083</v>
      </c>
      <c r="N477" s="128" t="str">
        <f t="shared" si="15"/>
        <v>PASS</v>
      </c>
      <c r="O477" s="68"/>
      <c r="P477" s="50" t="s">
        <v>471</v>
      </c>
    </row>
    <row r="478" spans="1:16" ht="25.95" customHeight="1" x14ac:dyDescent="0.3">
      <c r="A478" s="119" t="s">
        <v>86</v>
      </c>
      <c r="B478" s="119">
        <v>2025</v>
      </c>
      <c r="C478" s="119">
        <v>11</v>
      </c>
      <c r="D478" s="119" t="s">
        <v>190</v>
      </c>
      <c r="E478" s="119" t="s">
        <v>3545</v>
      </c>
      <c r="F478" s="120">
        <f>365*AVERAGE(DGKC!G51,DGKC!H51)</f>
        <v>1632806.6949999998</v>
      </c>
      <c r="G478" s="120">
        <f>-DGKC!H85</f>
        <v>53387.165999999997</v>
      </c>
      <c r="H478" s="120">
        <f t="shared" si="14"/>
        <v>30.584254931231971</v>
      </c>
      <c r="I478" s="120">
        <v>1632806.6949999998</v>
      </c>
      <c r="J478" s="120">
        <v>53387.165999999997</v>
      </c>
      <c r="K478" s="120">
        <v>30.584254931231971</v>
      </c>
      <c r="L478" s="125">
        <v>30.584254931231971</v>
      </c>
      <c r="M478" s="125">
        <f>DGKC!H149</f>
        <v>30.584254931231971</v>
      </c>
      <c r="N478" s="126" t="str">
        <f t="shared" si="15"/>
        <v>PASS</v>
      </c>
      <c r="O478" s="122"/>
      <c r="P478" s="119" t="s">
        <v>471</v>
      </c>
    </row>
    <row r="479" spans="1:16" ht="25.95" customHeight="1" x14ac:dyDescent="0.3">
      <c r="A479" s="50" t="s">
        <v>86</v>
      </c>
      <c r="B479" s="50">
        <v>2025</v>
      </c>
      <c r="C479" s="50">
        <v>12</v>
      </c>
      <c r="D479" s="50" t="s">
        <v>192</v>
      </c>
      <c r="E479" s="50" t="s">
        <v>3545</v>
      </c>
      <c r="F479" s="121">
        <f>365*AVERAGE(DGKC!G65,DGKC!H65)/(-DGKC!H85)+365*AVERAGE(DGKC!G32,DGKC!H32)/DGKC!H84</f>
        <v>145.25712697807646</v>
      </c>
      <c r="G479" s="121">
        <f>1</f>
        <v>1</v>
      </c>
      <c r="H479" s="121">
        <f t="shared" si="14"/>
        <v>145.25712697807646</v>
      </c>
      <c r="I479" s="121">
        <v>145.25712697807646</v>
      </c>
      <c r="J479" s="121">
        <v>1</v>
      </c>
      <c r="K479" s="121">
        <v>145.25712697807646</v>
      </c>
      <c r="L479" s="127">
        <v>145.25712697807646</v>
      </c>
      <c r="M479" s="127">
        <f>DGKC!H150</f>
        <v>145.25712697807646</v>
      </c>
      <c r="N479" s="128" t="str">
        <f t="shared" si="15"/>
        <v>PASS</v>
      </c>
      <c r="O479" s="68"/>
      <c r="P479" s="50" t="s">
        <v>471</v>
      </c>
    </row>
    <row r="480" spans="1:16" ht="25.95" customHeight="1" x14ac:dyDescent="0.3">
      <c r="A480" s="119" t="s">
        <v>86</v>
      </c>
      <c r="B480" s="119">
        <v>2025</v>
      </c>
      <c r="C480" s="119">
        <v>13</v>
      </c>
      <c r="D480" s="119" t="s">
        <v>150</v>
      </c>
      <c r="E480" s="119" t="s">
        <v>3545</v>
      </c>
      <c r="F480" s="120">
        <f>365*AVERAGE(DGKC!G65,DGKC!H65)/(-DGKC!H85)+365*AVERAGE(DGKC!G32,DGKC!H32)/DGKC!H84-365*AVERAGE(DGKC!G51,DGKC!H51)/(-DGKC!H85)</f>
        <v>114.67287204684449</v>
      </c>
      <c r="G480" s="120">
        <f>1</f>
        <v>1</v>
      </c>
      <c r="H480" s="120">
        <f t="shared" si="14"/>
        <v>114.67287204684449</v>
      </c>
      <c r="I480" s="120">
        <v>114.67287204684449</v>
      </c>
      <c r="J480" s="120">
        <v>1</v>
      </c>
      <c r="K480" s="120">
        <v>114.67287204684449</v>
      </c>
      <c r="L480" s="125">
        <v>114.67287204684449</v>
      </c>
      <c r="M480" s="125">
        <f>DGKC!H151</f>
        <v>114.67287204684449</v>
      </c>
      <c r="N480" s="126" t="str">
        <f t="shared" si="15"/>
        <v>PASS</v>
      </c>
      <c r="O480" s="122"/>
      <c r="P480" s="119" t="s">
        <v>471</v>
      </c>
    </row>
    <row r="481" spans="1:16" ht="25.95" customHeight="1" x14ac:dyDescent="0.3">
      <c r="A481" s="50" t="s">
        <v>86</v>
      </c>
      <c r="B481" s="50">
        <v>2025</v>
      </c>
      <c r="C481" s="50">
        <v>14</v>
      </c>
      <c r="D481" s="50" t="s">
        <v>196</v>
      </c>
      <c r="E481" s="50" t="s">
        <v>3544</v>
      </c>
      <c r="F481" s="121">
        <f>DGKC!H84</f>
        <v>71892.837</v>
      </c>
      <c r="G481" s="121">
        <f>AVERAGE(DGKC!G37,DGKC!H37)</f>
        <v>142154.9945</v>
      </c>
      <c r="H481" s="121">
        <f t="shared" si="14"/>
        <v>0.50573556879142922</v>
      </c>
      <c r="I481" s="121">
        <v>71892.837</v>
      </c>
      <c r="J481" s="121">
        <v>142154.9945</v>
      </c>
      <c r="K481" s="121">
        <v>0.50573556879142922</v>
      </c>
      <c r="L481" s="127">
        <v>0.50573556879142922</v>
      </c>
      <c r="M481" s="127">
        <f>DGKC!H152</f>
        <v>0.50573556879142922</v>
      </c>
      <c r="N481" s="128" t="str">
        <f t="shared" si="15"/>
        <v>PASS</v>
      </c>
      <c r="O481" s="68"/>
      <c r="P481" s="50" t="s">
        <v>471</v>
      </c>
    </row>
    <row r="482" spans="1:16" ht="25.95" customHeight="1" x14ac:dyDescent="0.3">
      <c r="A482" s="119" t="s">
        <v>86</v>
      </c>
      <c r="B482" s="119">
        <v>2025</v>
      </c>
      <c r="C482" s="119">
        <v>15</v>
      </c>
      <c r="D482" s="119" t="s">
        <v>199</v>
      </c>
      <c r="E482" s="119" t="s">
        <v>3544</v>
      </c>
      <c r="F482" s="120">
        <f>DGKC!H84</f>
        <v>71892.837</v>
      </c>
      <c r="G482" s="120">
        <f>AVERAGE(DGKC!G22,DGKC!H22)</f>
        <v>77495.5285</v>
      </c>
      <c r="H482" s="120">
        <f t="shared" si="14"/>
        <v>0.92770303514995711</v>
      </c>
      <c r="I482" s="120">
        <v>71892.837</v>
      </c>
      <c r="J482" s="120">
        <v>77495.5285</v>
      </c>
      <c r="K482" s="120">
        <v>0.92770303514995711</v>
      </c>
      <c r="L482" s="125">
        <v>0.92770303514995711</v>
      </c>
      <c r="M482" s="125">
        <f>DGKC!H153</f>
        <v>0.92770303514995711</v>
      </c>
      <c r="N482" s="126" t="str">
        <f t="shared" si="15"/>
        <v>PASS</v>
      </c>
      <c r="O482" s="122"/>
      <c r="P482" s="119" t="s">
        <v>471</v>
      </c>
    </row>
    <row r="483" spans="1:16" ht="25.95" customHeight="1" x14ac:dyDescent="0.3">
      <c r="A483" s="50" t="s">
        <v>86</v>
      </c>
      <c r="B483" s="50">
        <v>2025</v>
      </c>
      <c r="C483" s="50">
        <v>16</v>
      </c>
      <c r="D483" s="50" t="s">
        <v>932</v>
      </c>
      <c r="E483" s="50" t="s">
        <v>3544</v>
      </c>
      <c r="F483" s="121">
        <f>DGKC!H62</f>
        <v>51256.756999999998</v>
      </c>
      <c r="G483" s="121">
        <f>DGKC!H37</f>
        <v>145924.23499999999</v>
      </c>
      <c r="H483" s="121">
        <f t="shared" si="14"/>
        <v>0.35125595827177031</v>
      </c>
      <c r="I483" s="121">
        <v>51256.756999999998</v>
      </c>
      <c r="J483" s="121">
        <v>145924.23499999999</v>
      </c>
      <c r="K483" s="121">
        <v>0.35125595827177031</v>
      </c>
      <c r="L483" s="127">
        <v>0.35125595827177031</v>
      </c>
      <c r="M483" s="127">
        <f>DGKC!H155</f>
        <v>0.35125595827177031</v>
      </c>
      <c r="N483" s="128" t="str">
        <f t="shared" si="15"/>
        <v>PASS</v>
      </c>
      <c r="O483" s="68"/>
      <c r="P483" s="50" t="s">
        <v>493</v>
      </c>
    </row>
    <row r="484" spans="1:16" ht="25.95" customHeight="1" x14ac:dyDescent="0.3">
      <c r="A484" s="119" t="s">
        <v>86</v>
      </c>
      <c r="B484" s="119">
        <v>2025</v>
      </c>
      <c r="C484" s="119">
        <v>17</v>
      </c>
      <c r="D484" s="119" t="s">
        <v>151</v>
      </c>
      <c r="E484" s="119" t="s">
        <v>3544</v>
      </c>
      <c r="F484" s="120">
        <f>DGKC!H62</f>
        <v>51256.756999999998</v>
      </c>
      <c r="G484" s="120">
        <f>DGKC!H41</f>
        <v>94667.478000000003</v>
      </c>
      <c r="H484" s="120">
        <f t="shared" si="14"/>
        <v>0.54143997582781278</v>
      </c>
      <c r="I484" s="120">
        <v>51256.756999999998</v>
      </c>
      <c r="J484" s="120">
        <v>94667.478000000003</v>
      </c>
      <c r="K484" s="120">
        <v>0.54143997582781278</v>
      </c>
      <c r="L484" s="125">
        <v>0.54143997582781278</v>
      </c>
      <c r="M484" s="125">
        <f>DGKC!H156</f>
        <v>0.54143997582781278</v>
      </c>
      <c r="N484" s="126" t="str">
        <f t="shared" si="15"/>
        <v>PASS</v>
      </c>
      <c r="O484" s="122"/>
      <c r="P484" s="119" t="s">
        <v>493</v>
      </c>
    </row>
    <row r="485" spans="1:16" ht="25.95" customHeight="1" x14ac:dyDescent="0.3">
      <c r="A485" s="50" t="s">
        <v>86</v>
      </c>
      <c r="B485" s="50">
        <v>2025</v>
      </c>
      <c r="C485" s="50">
        <v>18</v>
      </c>
      <c r="D485" s="50" t="s">
        <v>935</v>
      </c>
      <c r="E485" s="50" t="s">
        <v>3545</v>
      </c>
      <c r="F485" s="121">
        <f>DGKC!H66</f>
        <v>21907.100000000002</v>
      </c>
      <c r="G485" s="121">
        <f>DGKC!H66+DGKC!H41</f>
        <v>116574.57800000001</v>
      </c>
      <c r="H485" s="121">
        <f t="shared" si="14"/>
        <v>0.18792347676351873</v>
      </c>
      <c r="I485" s="121">
        <v>21907.1</v>
      </c>
      <c r="J485" s="121">
        <v>116574.57800000001</v>
      </c>
      <c r="K485" s="121">
        <v>0.1879234767635187</v>
      </c>
      <c r="L485" s="127">
        <v>0.1879234767635187</v>
      </c>
      <c r="M485" s="127">
        <f>DGKC!H157</f>
        <v>0.18792347676351873</v>
      </c>
      <c r="N485" s="128" t="str">
        <f t="shared" si="15"/>
        <v>PASS</v>
      </c>
      <c r="O485" s="68"/>
      <c r="P485" s="50" t="s">
        <v>493</v>
      </c>
    </row>
    <row r="486" spans="1:16" ht="25.95" customHeight="1" x14ac:dyDescent="0.3">
      <c r="A486" s="119" t="s">
        <v>86</v>
      </c>
      <c r="B486" s="119">
        <v>2025</v>
      </c>
      <c r="C486" s="119">
        <v>19</v>
      </c>
      <c r="D486" s="119" t="s">
        <v>936</v>
      </c>
      <c r="E486" s="119" t="s">
        <v>3545</v>
      </c>
      <c r="F486" s="120">
        <f>DGKC!H67</f>
        <v>10093.829</v>
      </c>
      <c r="G486" s="120">
        <f>DGKC!H37</f>
        <v>145924.23499999999</v>
      </c>
      <c r="H486" s="120">
        <f t="shared" si="14"/>
        <v>6.9171710922452334E-2</v>
      </c>
      <c r="I486" s="120">
        <v>10093.829</v>
      </c>
      <c r="J486" s="120">
        <v>145924.23499999999</v>
      </c>
      <c r="K486" s="120">
        <v>6.9171710922452334E-2</v>
      </c>
      <c r="L486" s="125">
        <v>6.9171710922452334E-2</v>
      </c>
      <c r="M486" s="125">
        <f>DGKC!H158</f>
        <v>6.9171710922452334E-2</v>
      </c>
      <c r="N486" s="126" t="str">
        <f t="shared" si="15"/>
        <v>PASS</v>
      </c>
      <c r="O486" s="122"/>
      <c r="P486" s="119" t="s">
        <v>493</v>
      </c>
    </row>
    <row r="487" spans="1:16" ht="25.95" customHeight="1" x14ac:dyDescent="0.3">
      <c r="A487" s="50" t="s">
        <v>86</v>
      </c>
      <c r="B487" s="50">
        <v>2025</v>
      </c>
      <c r="C487" s="50">
        <v>20</v>
      </c>
      <c r="D487" s="50" t="s">
        <v>938</v>
      </c>
      <c r="E487" s="50" t="s">
        <v>3544</v>
      </c>
      <c r="F487" s="121">
        <f>DGKC!H108</f>
        <v>16875.017</v>
      </c>
      <c r="G487" s="121">
        <f>DGKC!H106</f>
        <v>3816.7360000000003</v>
      </c>
      <c r="H487" s="121">
        <f t="shared" si="14"/>
        <v>4.4213215166047632</v>
      </c>
      <c r="I487" s="121">
        <v>16875.017</v>
      </c>
      <c r="J487" s="121">
        <v>3816.7360000000003</v>
      </c>
      <c r="K487" s="121">
        <v>4.4213215166047632</v>
      </c>
      <c r="L487" s="127">
        <v>4.4213215166047632</v>
      </c>
      <c r="M487" s="127">
        <f>DGKC!H159</f>
        <v>4.4213215166047632</v>
      </c>
      <c r="N487" s="128" t="str">
        <f t="shared" si="15"/>
        <v>PASS</v>
      </c>
      <c r="O487" s="68"/>
      <c r="P487" s="50" t="s">
        <v>493</v>
      </c>
    </row>
    <row r="488" spans="1:16" ht="25.95" customHeight="1" x14ac:dyDescent="0.3">
      <c r="A488" s="119" t="s">
        <v>86</v>
      </c>
      <c r="B488" s="119">
        <v>2025</v>
      </c>
      <c r="C488" s="119">
        <v>21</v>
      </c>
      <c r="D488" s="119" t="s">
        <v>154</v>
      </c>
      <c r="E488" s="119" t="s">
        <v>3544</v>
      </c>
      <c r="F488" s="120">
        <f>DGKC!H86</f>
        <v>18505.671000000002</v>
      </c>
      <c r="G488" s="120">
        <f>DGKC!H84</f>
        <v>71892.837</v>
      </c>
      <c r="H488" s="120">
        <f t="shared" si="14"/>
        <v>0.25740632547300923</v>
      </c>
      <c r="I488" s="120">
        <v>18505.671000000002</v>
      </c>
      <c r="J488" s="120">
        <v>71892.837</v>
      </c>
      <c r="K488" s="120">
        <v>0.25740632547300923</v>
      </c>
      <c r="L488" s="125">
        <v>0.25740632547300923</v>
      </c>
      <c r="M488" s="125">
        <f>DGKC!H161</f>
        <v>0.25740632547300923</v>
      </c>
      <c r="N488" s="126" t="str">
        <f t="shared" si="15"/>
        <v>PASS</v>
      </c>
      <c r="O488" s="122"/>
      <c r="P488" s="119" t="s">
        <v>504</v>
      </c>
    </row>
    <row r="489" spans="1:16" ht="25.95" customHeight="1" x14ac:dyDescent="0.3">
      <c r="A489" s="50" t="s">
        <v>86</v>
      </c>
      <c r="B489" s="50">
        <v>2025</v>
      </c>
      <c r="C489" s="50">
        <v>22</v>
      </c>
      <c r="D489" s="50" t="s">
        <v>942</v>
      </c>
      <c r="E489" s="50" t="s">
        <v>3544</v>
      </c>
      <c r="F489" s="121">
        <f>DGKC!H91</f>
        <v>12603.447000000002</v>
      </c>
      <c r="G489" s="121">
        <f>DGKC!H84</f>
        <v>71892.837</v>
      </c>
      <c r="H489" s="121">
        <f t="shared" si="14"/>
        <v>0.17530880023555062</v>
      </c>
      <c r="I489" s="121">
        <v>12603.447000000002</v>
      </c>
      <c r="J489" s="121">
        <v>71892.837</v>
      </c>
      <c r="K489" s="121">
        <v>0.17530880023555062</v>
      </c>
      <c r="L489" s="127">
        <v>0.17530880023555062</v>
      </c>
      <c r="M489" s="127">
        <f>DGKC!H162</f>
        <v>0.17530880023555062</v>
      </c>
      <c r="N489" s="128" t="str">
        <f t="shared" si="15"/>
        <v>PASS</v>
      </c>
      <c r="O489" s="68"/>
      <c r="P489" s="50" t="s">
        <v>504</v>
      </c>
    </row>
    <row r="490" spans="1:16" ht="25.95" customHeight="1" x14ac:dyDescent="0.3">
      <c r="A490" s="119" t="s">
        <v>86</v>
      </c>
      <c r="B490" s="119">
        <v>2025</v>
      </c>
      <c r="C490" s="119">
        <v>23</v>
      </c>
      <c r="D490" s="119" t="s">
        <v>155</v>
      </c>
      <c r="E490" s="119" t="s">
        <v>3544</v>
      </c>
      <c r="F490" s="120">
        <f>DGKC!H99</f>
        <v>8675.0589999999993</v>
      </c>
      <c r="G490" s="120">
        <f>DGKC!H84</f>
        <v>71892.837</v>
      </c>
      <c r="H490" s="120">
        <f t="shared" si="14"/>
        <v>0.12066652759857006</v>
      </c>
      <c r="I490" s="120">
        <v>8675.0590000000011</v>
      </c>
      <c r="J490" s="120">
        <v>71892.837</v>
      </c>
      <c r="K490" s="120">
        <v>0.12066652759857009</v>
      </c>
      <c r="L490" s="125">
        <v>0.12066652759857009</v>
      </c>
      <c r="M490" s="125">
        <f>DGKC!H163</f>
        <v>0.12066652759857006</v>
      </c>
      <c r="N490" s="126" t="str">
        <f t="shared" si="15"/>
        <v>PASS</v>
      </c>
      <c r="O490" s="122"/>
      <c r="P490" s="119" t="s">
        <v>504</v>
      </c>
    </row>
    <row r="491" spans="1:16" ht="25.95" customHeight="1" x14ac:dyDescent="0.3">
      <c r="A491" s="50" t="s">
        <v>86</v>
      </c>
      <c r="B491" s="50">
        <v>2025</v>
      </c>
      <c r="C491" s="50">
        <v>24</v>
      </c>
      <c r="D491" s="50" t="s">
        <v>136</v>
      </c>
      <c r="E491" s="50" t="s">
        <v>3544</v>
      </c>
      <c r="F491" s="121">
        <f>DGKC!H99</f>
        <v>8675.0589999999993</v>
      </c>
      <c r="G491" s="121">
        <f>AVERAGE(DGKC!G37,DGKC!H37)</f>
        <v>142154.9945</v>
      </c>
      <c r="H491" s="121">
        <f t="shared" si="14"/>
        <v>6.1025354969149528E-2</v>
      </c>
      <c r="I491" s="121">
        <v>8675.0590000000011</v>
      </c>
      <c r="J491" s="121">
        <v>142154.9945</v>
      </c>
      <c r="K491" s="121">
        <v>6.1025354969149542E-2</v>
      </c>
      <c r="L491" s="127">
        <v>6.1025354969149542E-2</v>
      </c>
      <c r="M491" s="127">
        <f>DGKC!H164</f>
        <v>6.1025354969149528E-2</v>
      </c>
      <c r="N491" s="128" t="str">
        <f t="shared" si="15"/>
        <v>PASS</v>
      </c>
      <c r="O491" s="68"/>
      <c r="P491" s="50" t="s">
        <v>504</v>
      </c>
    </row>
    <row r="492" spans="1:16" ht="25.95" customHeight="1" x14ac:dyDescent="0.3">
      <c r="A492" s="119" t="s">
        <v>86</v>
      </c>
      <c r="B492" s="119">
        <v>2025</v>
      </c>
      <c r="C492" s="119">
        <v>25</v>
      </c>
      <c r="D492" s="119" t="s">
        <v>53</v>
      </c>
      <c r="E492" s="119" t="s">
        <v>3544</v>
      </c>
      <c r="F492" s="120">
        <f>DGKC!H99</f>
        <v>8675.0589999999993</v>
      </c>
      <c r="G492" s="120">
        <f>AVERAGE(DGKC!G41,DGKC!H41)</f>
        <v>85257.508000000002</v>
      </c>
      <c r="H492" s="120">
        <f t="shared" si="14"/>
        <v>0.10175126160150023</v>
      </c>
      <c r="I492" s="120">
        <v>8675.0590000000011</v>
      </c>
      <c r="J492" s="120">
        <v>85257.508000000002</v>
      </c>
      <c r="K492" s="120">
        <v>0.10175126160150026</v>
      </c>
      <c r="L492" s="125">
        <v>0.10175126160150026</v>
      </c>
      <c r="M492" s="125">
        <f>DGKC!H165</f>
        <v>0.10175126160150023</v>
      </c>
      <c r="N492" s="126" t="str">
        <f t="shared" si="15"/>
        <v>PASS</v>
      </c>
      <c r="O492" s="122"/>
      <c r="P492" s="119" t="s">
        <v>504</v>
      </c>
    </row>
    <row r="493" spans="1:16" ht="25.95" customHeight="1" x14ac:dyDescent="0.3">
      <c r="A493" s="50" t="s">
        <v>86</v>
      </c>
      <c r="B493" s="50">
        <v>2025</v>
      </c>
      <c r="C493" s="50">
        <v>26</v>
      </c>
      <c r="D493" s="50" t="s">
        <v>944</v>
      </c>
      <c r="E493" s="50" t="s">
        <v>3545</v>
      </c>
      <c r="F493" s="121">
        <f>DGKC!H113</f>
        <v>11256.911632657935</v>
      </c>
      <c r="G493" s="121">
        <f>AVERAGE(DGKC!G70,DGKC!H70)</f>
        <v>113371.96100000001</v>
      </c>
      <c r="H493" s="121">
        <f t="shared" si="14"/>
        <v>9.9291849001870353E-2</v>
      </c>
      <c r="I493" s="121">
        <v>11256.911632657939</v>
      </c>
      <c r="J493" s="121">
        <v>113371.96100000001</v>
      </c>
      <c r="K493" s="121">
        <v>9.929184900187038E-2</v>
      </c>
      <c r="L493" s="127">
        <v>9.929184900187038E-2</v>
      </c>
      <c r="M493" s="127">
        <f>DGKC!H166</f>
        <v>9.9291849001870353E-2</v>
      </c>
      <c r="N493" s="128" t="str">
        <f t="shared" si="15"/>
        <v>PASS</v>
      </c>
      <c r="O493" s="68"/>
      <c r="P493" s="50" t="s">
        <v>504</v>
      </c>
    </row>
    <row r="494" spans="1:16" ht="25.95" customHeight="1" x14ac:dyDescent="0.3">
      <c r="A494" s="119" t="s">
        <v>86</v>
      </c>
      <c r="B494" s="119">
        <v>2025</v>
      </c>
      <c r="C494" s="119">
        <v>27</v>
      </c>
      <c r="D494" s="119" t="s">
        <v>945</v>
      </c>
      <c r="E494" s="119" t="s">
        <v>3545</v>
      </c>
      <c r="F494" s="120">
        <f>DGKC!H108</f>
        <v>16875.017</v>
      </c>
      <c r="G494" s="120">
        <f>AVERAGE(DGKC!G37,DGKC!H37)</f>
        <v>142154.9945</v>
      </c>
      <c r="H494" s="120">
        <f t="shared" si="14"/>
        <v>0.11870857622241335</v>
      </c>
      <c r="I494" s="120">
        <v>16875.017</v>
      </c>
      <c r="J494" s="120">
        <v>142154.9945</v>
      </c>
      <c r="K494" s="120">
        <v>0.11870857622241335</v>
      </c>
      <c r="L494" s="125">
        <v>0.11870857622241335</v>
      </c>
      <c r="M494" s="125">
        <f>DGKC!H167</f>
        <v>0.11870857622241335</v>
      </c>
      <c r="N494" s="126" t="str">
        <f t="shared" si="15"/>
        <v>PASS</v>
      </c>
      <c r="O494" s="122"/>
      <c r="P494" s="119" t="s">
        <v>504</v>
      </c>
    </row>
    <row r="495" spans="1:16" ht="25.95" customHeight="1" x14ac:dyDescent="0.3">
      <c r="A495" s="50" t="s">
        <v>86</v>
      </c>
      <c r="B495" s="50">
        <v>2025</v>
      </c>
      <c r="C495" s="50">
        <v>28</v>
      </c>
      <c r="D495" s="50" t="s">
        <v>139</v>
      </c>
      <c r="E495" s="50" t="s">
        <v>3545</v>
      </c>
      <c r="F495" s="121">
        <f>DGKC!H41</f>
        <v>94667.478000000003</v>
      </c>
      <c r="G495" s="121">
        <f>DGKC!H128</f>
        <v>438.1191</v>
      </c>
      <c r="H495" s="121">
        <f t="shared" si="14"/>
        <v>216.07703932560804</v>
      </c>
      <c r="I495" s="121">
        <v>94667.478000000003</v>
      </c>
      <c r="J495" s="121">
        <v>438.1191</v>
      </c>
      <c r="K495" s="121">
        <v>216.07703932560804</v>
      </c>
      <c r="L495" s="127">
        <v>216.07703932560804</v>
      </c>
      <c r="M495" s="127">
        <f>DGKC!H169</f>
        <v>216.07703932560804</v>
      </c>
      <c r="N495" s="128" t="str">
        <f t="shared" si="15"/>
        <v>PASS</v>
      </c>
      <c r="O495" s="68"/>
      <c r="P495" s="50" t="s">
        <v>519</v>
      </c>
    </row>
    <row r="496" spans="1:16" ht="25.95" customHeight="1" x14ac:dyDescent="0.3">
      <c r="A496" s="119" t="s">
        <v>86</v>
      </c>
      <c r="B496" s="119">
        <v>2025</v>
      </c>
      <c r="C496" s="119">
        <v>29</v>
      </c>
      <c r="D496" s="119" t="s">
        <v>162</v>
      </c>
      <c r="E496" s="119" t="s">
        <v>3544</v>
      </c>
      <c r="F496" s="120">
        <f>DGKC!H130</f>
        <v>165.56</v>
      </c>
      <c r="G496" s="120">
        <f>DGKC!H41/DGKC!H128</f>
        <v>216.07703932560804</v>
      </c>
      <c r="H496" s="120">
        <f t="shared" si="14"/>
        <v>0.76620820294800718</v>
      </c>
      <c r="I496" s="120">
        <v>165.56</v>
      </c>
      <c r="J496" s="120">
        <v>216.07703932560804</v>
      </c>
      <c r="K496" s="120">
        <v>0.76620820294800718</v>
      </c>
      <c r="L496" s="125">
        <v>0.76620820294800718</v>
      </c>
      <c r="M496" s="125">
        <f>DGKC!H170</f>
        <v>0.76620820294800718</v>
      </c>
      <c r="N496" s="126" t="str">
        <f t="shared" si="15"/>
        <v>PASS</v>
      </c>
      <c r="O496" s="122"/>
      <c r="P496" s="119" t="s">
        <v>519</v>
      </c>
    </row>
    <row r="497" spans="1:16" ht="25.95" customHeight="1" x14ac:dyDescent="0.3">
      <c r="A497" s="50" t="s">
        <v>86</v>
      </c>
      <c r="B497" s="50">
        <v>2025</v>
      </c>
      <c r="C497" s="50">
        <v>30</v>
      </c>
      <c r="D497" s="50" t="s">
        <v>143</v>
      </c>
      <c r="E497" s="50" t="s">
        <v>3544</v>
      </c>
      <c r="F497" s="121">
        <f>DGKC!H99</f>
        <v>8675.0589999999993</v>
      </c>
      <c r="G497" s="121">
        <f>DGKC!H129</f>
        <v>438.11911800000001</v>
      </c>
      <c r="H497" s="121">
        <f t="shared" si="14"/>
        <v>19.800685803443983</v>
      </c>
      <c r="I497" s="121">
        <v>8675.0590000000011</v>
      </c>
      <c r="J497" s="121">
        <v>438.11911800000001</v>
      </c>
      <c r="K497" s="121">
        <v>19.800685803443987</v>
      </c>
      <c r="L497" s="127">
        <v>19.800685803443987</v>
      </c>
      <c r="M497" s="127">
        <f>DGKC!H171</f>
        <v>19.800685803443983</v>
      </c>
      <c r="N497" s="128" t="str">
        <f t="shared" si="15"/>
        <v>PASS</v>
      </c>
      <c r="O497" s="68"/>
      <c r="P497" s="50" t="s">
        <v>519</v>
      </c>
    </row>
    <row r="498" spans="1:16" ht="25.95" customHeight="1" x14ac:dyDescent="0.3">
      <c r="A498" s="119" t="s">
        <v>86</v>
      </c>
      <c r="B498" s="119">
        <v>2025</v>
      </c>
      <c r="C498" s="119">
        <v>31</v>
      </c>
      <c r="D498" s="119" t="s">
        <v>952</v>
      </c>
      <c r="E498" s="119" t="s">
        <v>3544</v>
      </c>
      <c r="F498" s="120">
        <f>DGKC!H130</f>
        <v>165.56</v>
      </c>
      <c r="G498" s="120">
        <f>DGKC!H99/DGKC!H129</f>
        <v>19.800685803443983</v>
      </c>
      <c r="H498" s="120">
        <f t="shared" si="14"/>
        <v>8.3613265542147914</v>
      </c>
      <c r="I498" s="120">
        <v>165.56</v>
      </c>
      <c r="J498" s="120">
        <v>19.800685803443987</v>
      </c>
      <c r="K498" s="120">
        <v>8.3613265542147897</v>
      </c>
      <c r="L498" s="125">
        <v>8.3613265542147897</v>
      </c>
      <c r="M498" s="125">
        <f>DGKC!H172</f>
        <v>8.3613265542147914</v>
      </c>
      <c r="N498" s="126" t="str">
        <f t="shared" si="15"/>
        <v>PASS</v>
      </c>
      <c r="O498" s="122"/>
      <c r="P498" s="119" t="s">
        <v>519</v>
      </c>
    </row>
    <row r="499" spans="1:16" ht="25.95" customHeight="1" x14ac:dyDescent="0.3">
      <c r="A499" s="50" t="s">
        <v>86</v>
      </c>
      <c r="B499" s="50">
        <v>2025</v>
      </c>
      <c r="C499" s="50">
        <v>32</v>
      </c>
      <c r="D499" s="50" t="s">
        <v>104</v>
      </c>
      <c r="E499" s="50" t="s">
        <v>3544</v>
      </c>
      <c r="F499" s="121">
        <f>DGKC!H131</f>
        <v>2</v>
      </c>
      <c r="G499" s="121">
        <f>DGKC!H130</f>
        <v>165.56</v>
      </c>
      <c r="H499" s="121">
        <f t="shared" si="14"/>
        <v>1.2080212611741966E-2</v>
      </c>
      <c r="I499" s="121">
        <v>2</v>
      </c>
      <c r="J499" s="121">
        <v>165.56</v>
      </c>
      <c r="K499" s="121">
        <v>1.2080212611741966E-2</v>
      </c>
      <c r="L499" s="127">
        <v>1.2080212611741966E-2</v>
      </c>
      <c r="M499" s="127">
        <f>DGKC!H173</f>
        <v>1.2080212611741966E-2</v>
      </c>
      <c r="N499" s="128" t="str">
        <f t="shared" si="15"/>
        <v>PASS</v>
      </c>
      <c r="O499" s="68"/>
      <c r="P499" s="50" t="s">
        <v>519</v>
      </c>
    </row>
    <row r="500" spans="1:16" ht="25.95" customHeight="1" x14ac:dyDescent="0.3">
      <c r="A500" s="119" t="s">
        <v>86</v>
      </c>
      <c r="B500" s="119">
        <v>2025</v>
      </c>
      <c r="C500" s="119">
        <v>33</v>
      </c>
      <c r="D500" s="119" t="s">
        <v>124</v>
      </c>
      <c r="E500" s="119" t="s">
        <v>3545</v>
      </c>
      <c r="F500" s="120">
        <f>DGKC!H131</f>
        <v>2</v>
      </c>
      <c r="G500" s="120">
        <f>DGKC!H99/DGKC!H129</f>
        <v>19.800685803443983</v>
      </c>
      <c r="H500" s="120">
        <f t="shared" si="14"/>
        <v>0.10100660249111851</v>
      </c>
      <c r="I500" s="120">
        <v>2</v>
      </c>
      <c r="J500" s="120">
        <v>19.800685803443987</v>
      </c>
      <c r="K500" s="120">
        <v>0.10100660249111849</v>
      </c>
      <c r="L500" s="125">
        <v>0.10100660249111849</v>
      </c>
      <c r="M500" s="125">
        <f>DGKC!H174</f>
        <v>0.10100660249111851</v>
      </c>
      <c r="N500" s="126" t="str">
        <f t="shared" si="15"/>
        <v>PASS</v>
      </c>
      <c r="O500" s="122"/>
      <c r="P500" s="119" t="s">
        <v>519</v>
      </c>
    </row>
    <row r="501" spans="1:16" ht="25.95" customHeight="1" x14ac:dyDescent="0.3">
      <c r="A501" s="50" t="s">
        <v>106</v>
      </c>
      <c r="B501" s="50">
        <v>2021</v>
      </c>
      <c r="C501" s="50">
        <v>1</v>
      </c>
      <c r="D501" s="50" t="s">
        <v>19</v>
      </c>
      <c r="E501" s="50" t="s">
        <v>3544</v>
      </c>
      <c r="F501" s="121">
        <f>MLCF!D36</f>
        <v>16923.416000000001</v>
      </c>
      <c r="G501" s="121">
        <f>MLCF!D61</f>
        <v>11449.447999999999</v>
      </c>
      <c r="H501" s="121">
        <f t="shared" si="14"/>
        <v>1.4780988568182505</v>
      </c>
      <c r="I501" s="121">
        <v>16923.416000000001</v>
      </c>
      <c r="J501" s="121">
        <v>11449.448</v>
      </c>
      <c r="K501" s="121">
        <v>1.4780988568182503</v>
      </c>
      <c r="L501" s="127">
        <v>1.4780988568182503</v>
      </c>
      <c r="M501" s="127">
        <f>MLCF!D138</f>
        <v>1.4780988568182505</v>
      </c>
      <c r="N501" s="128" t="str">
        <f t="shared" si="15"/>
        <v>PASS</v>
      </c>
      <c r="O501" s="68"/>
      <c r="P501" s="50" t="s">
        <v>459</v>
      </c>
    </row>
    <row r="502" spans="1:16" ht="25.95" customHeight="1" x14ac:dyDescent="0.3">
      <c r="A502" s="119" t="s">
        <v>106</v>
      </c>
      <c r="B502" s="119">
        <v>2021</v>
      </c>
      <c r="C502" s="119">
        <v>2</v>
      </c>
      <c r="D502" s="119" t="s">
        <v>30</v>
      </c>
      <c r="E502" s="119" t="s">
        <v>3544</v>
      </c>
      <c r="F502" s="120">
        <f>MLCF!D36-MLCF!D65</f>
        <v>5034.5159999999996</v>
      </c>
      <c r="G502" s="120">
        <f>MLCF!D61</f>
        <v>11449.447999999999</v>
      </c>
      <c r="H502" s="120">
        <f t="shared" si="14"/>
        <v>0.43971691910387301</v>
      </c>
      <c r="I502" s="120">
        <v>5034.5159999999996</v>
      </c>
      <c r="J502" s="120">
        <v>11449.448</v>
      </c>
      <c r="K502" s="120">
        <v>0.43971691910387289</v>
      </c>
      <c r="L502" s="125">
        <v>0.43971691910387289</v>
      </c>
      <c r="M502" s="125">
        <f>MLCF!D139</f>
        <v>0.43971691910387301</v>
      </c>
      <c r="N502" s="126" t="str">
        <f t="shared" si="15"/>
        <v>PASS</v>
      </c>
      <c r="O502" s="122"/>
      <c r="P502" s="119" t="s">
        <v>459</v>
      </c>
    </row>
    <row r="503" spans="1:16" ht="25.95" customHeight="1" x14ac:dyDescent="0.3">
      <c r="A503" s="50" t="s">
        <v>106</v>
      </c>
      <c r="B503" s="50">
        <v>2021</v>
      </c>
      <c r="C503" s="50">
        <v>3</v>
      </c>
      <c r="D503" s="50" t="s">
        <v>145</v>
      </c>
      <c r="E503" s="50" t="s">
        <v>3544</v>
      </c>
      <c r="F503" s="121">
        <f>MLCF!D34</f>
        <v>490.32900000000001</v>
      </c>
      <c r="G503" s="121">
        <f>MLCF!D61</f>
        <v>11449.447999999999</v>
      </c>
      <c r="H503" s="121">
        <f t="shared" si="14"/>
        <v>4.2825558053104403E-2</v>
      </c>
      <c r="I503" s="121">
        <v>490.32900000000001</v>
      </c>
      <c r="J503" s="121">
        <v>11449.448</v>
      </c>
      <c r="K503" s="121">
        <v>4.2825558053104396E-2</v>
      </c>
      <c r="L503" s="127">
        <v>4.2825558053104396E-2</v>
      </c>
      <c r="M503" s="127">
        <f>MLCF!D140</f>
        <v>4.2825558053104403E-2</v>
      </c>
      <c r="N503" s="128" t="str">
        <f t="shared" si="15"/>
        <v>PASS</v>
      </c>
      <c r="O503" s="68"/>
      <c r="P503" s="50" t="s">
        <v>459</v>
      </c>
    </row>
    <row r="504" spans="1:16" ht="25.95" customHeight="1" x14ac:dyDescent="0.3">
      <c r="A504" s="119" t="s">
        <v>106</v>
      </c>
      <c r="B504" s="119">
        <v>2021</v>
      </c>
      <c r="C504" s="119">
        <v>4</v>
      </c>
      <c r="D504" s="119" t="s">
        <v>201</v>
      </c>
      <c r="E504" s="119" t="s">
        <v>3545</v>
      </c>
      <c r="F504" s="120">
        <f>MLCF!D36-MLCF!D61</f>
        <v>5473.9680000000026</v>
      </c>
      <c r="G504" s="120">
        <f>1</f>
        <v>1</v>
      </c>
      <c r="H504" s="120">
        <f t="shared" si="14"/>
        <v>5473.9680000000026</v>
      </c>
      <c r="I504" s="120">
        <v>5473.9680000000008</v>
      </c>
      <c r="J504" s="120">
        <v>1</v>
      </c>
      <c r="K504" s="120">
        <v>5473.9680000000008</v>
      </c>
      <c r="L504" s="125">
        <v>5473.9680000000008</v>
      </c>
      <c r="M504" s="125">
        <f>MLCF!D141</f>
        <v>5473.9680000000026</v>
      </c>
      <c r="N504" s="126" t="str">
        <f t="shared" si="15"/>
        <v>PASS</v>
      </c>
      <c r="O504" s="122"/>
      <c r="P504" s="119" t="s">
        <v>459</v>
      </c>
    </row>
    <row r="505" spans="1:16" ht="25.95" customHeight="1" x14ac:dyDescent="0.3">
      <c r="A505" s="50" t="s">
        <v>106</v>
      </c>
      <c r="B505" s="50">
        <v>2021</v>
      </c>
      <c r="C505" s="50">
        <v>5</v>
      </c>
      <c r="D505" s="50" t="s">
        <v>923</v>
      </c>
      <c r="E505" s="50" t="s">
        <v>3545</v>
      </c>
      <c r="F505" s="121">
        <f>MLCF!D72-MLCF!D73</f>
        <v>8772.3020000000015</v>
      </c>
      <c r="G505" s="121">
        <f>1</f>
        <v>1</v>
      </c>
      <c r="H505" s="121">
        <f t="shared" si="14"/>
        <v>8772.3020000000015</v>
      </c>
      <c r="I505" s="121">
        <v>8772.3019999999997</v>
      </c>
      <c r="J505" s="121">
        <v>1</v>
      </c>
      <c r="K505" s="121">
        <v>8772.3019999999997</v>
      </c>
      <c r="L505" s="127">
        <v>8772.3019999999997</v>
      </c>
      <c r="M505" s="127">
        <f>MLCF!D142</f>
        <v>8772.3020000000015</v>
      </c>
      <c r="N505" s="128" t="str">
        <f t="shared" si="15"/>
        <v>PASS</v>
      </c>
      <c r="O505" s="68"/>
      <c r="P505" s="50" t="s">
        <v>459</v>
      </c>
    </row>
    <row r="506" spans="1:16" ht="25.95" customHeight="1" x14ac:dyDescent="0.3">
      <c r="A506" s="119" t="s">
        <v>106</v>
      </c>
      <c r="B506" s="119">
        <v>2021</v>
      </c>
      <c r="C506" s="119">
        <v>6</v>
      </c>
      <c r="D506" s="119" t="s">
        <v>31</v>
      </c>
      <c r="E506" s="119" t="s">
        <v>3544</v>
      </c>
      <c r="F506" s="120">
        <f>-MLCF!D85</f>
        <v>28135.419000000002</v>
      </c>
      <c r="G506" s="120">
        <f>AVERAGE(MLCF!C65,MLCF!D65)</f>
        <v>11031.957000000002</v>
      </c>
      <c r="H506" s="120">
        <f t="shared" si="14"/>
        <v>2.5503561154199565</v>
      </c>
      <c r="I506" s="120">
        <v>28135.419000000002</v>
      </c>
      <c r="J506" s="120">
        <v>11031.957000000002</v>
      </c>
      <c r="K506" s="120">
        <v>2.5503561154199565</v>
      </c>
      <c r="L506" s="125">
        <v>2.5503561154199565</v>
      </c>
      <c r="M506" s="125">
        <f>MLCF!D144</f>
        <v>2.5503561154199565</v>
      </c>
      <c r="N506" s="126" t="str">
        <f t="shared" si="15"/>
        <v>PASS</v>
      </c>
      <c r="O506" s="122"/>
      <c r="P506" s="119" t="s">
        <v>471</v>
      </c>
    </row>
    <row r="507" spans="1:16" ht="25.95" customHeight="1" x14ac:dyDescent="0.3">
      <c r="A507" s="50" t="s">
        <v>106</v>
      </c>
      <c r="B507" s="50">
        <v>2021</v>
      </c>
      <c r="C507" s="50">
        <v>7</v>
      </c>
      <c r="D507" s="50" t="s">
        <v>129</v>
      </c>
      <c r="E507" s="50" t="s">
        <v>3545</v>
      </c>
      <c r="F507" s="121">
        <f>MLCF!D84</f>
        <v>35538.300999999999</v>
      </c>
      <c r="G507" s="121">
        <f>AVERAGE(MLCF!C32,MLCF!D32)</f>
        <v>2365.9169999999999</v>
      </c>
      <c r="H507" s="121">
        <f t="shared" si="14"/>
        <v>15.020941563038772</v>
      </c>
      <c r="I507" s="121">
        <v>35538.300999999999</v>
      </c>
      <c r="J507" s="121">
        <v>2365.9169999999999</v>
      </c>
      <c r="K507" s="121">
        <v>15.020941563038772</v>
      </c>
      <c r="L507" s="127">
        <v>15.020941563038772</v>
      </c>
      <c r="M507" s="127">
        <f>MLCF!D145</f>
        <v>15.020941563038772</v>
      </c>
      <c r="N507" s="128" t="str">
        <f t="shared" si="15"/>
        <v>PASS</v>
      </c>
      <c r="O507" s="68"/>
      <c r="P507" s="50" t="s">
        <v>471</v>
      </c>
    </row>
    <row r="508" spans="1:16" ht="25.95" customHeight="1" x14ac:dyDescent="0.3">
      <c r="A508" s="119" t="s">
        <v>106</v>
      </c>
      <c r="B508" s="119">
        <v>2021</v>
      </c>
      <c r="C508" s="119">
        <v>8</v>
      </c>
      <c r="D508" s="119" t="s">
        <v>133</v>
      </c>
      <c r="E508" s="119" t="s">
        <v>3545</v>
      </c>
      <c r="F508" s="120">
        <f>-MLCF!D85</f>
        <v>28135.419000000002</v>
      </c>
      <c r="G508" s="120">
        <f>AVERAGE(MLCF!C51,MLCF!D51)</f>
        <v>3875.2875000000004</v>
      </c>
      <c r="H508" s="120">
        <f t="shared" si="14"/>
        <v>7.2602146292371854</v>
      </c>
      <c r="I508" s="120">
        <v>28135.419000000002</v>
      </c>
      <c r="J508" s="120">
        <v>3875.2875000000004</v>
      </c>
      <c r="K508" s="120">
        <v>7.2602146292371854</v>
      </c>
      <c r="L508" s="125">
        <v>7.2602146292371854</v>
      </c>
      <c r="M508" s="125">
        <f>MLCF!D146</f>
        <v>7.2602146292371854</v>
      </c>
      <c r="N508" s="126" t="str">
        <f t="shared" si="15"/>
        <v>PASS</v>
      </c>
      <c r="O508" s="122"/>
      <c r="P508" s="119" t="s">
        <v>471</v>
      </c>
    </row>
    <row r="509" spans="1:16" ht="25.95" customHeight="1" x14ac:dyDescent="0.3">
      <c r="A509" s="50" t="s">
        <v>106</v>
      </c>
      <c r="B509" s="50">
        <v>2021</v>
      </c>
      <c r="C509" s="50">
        <v>9</v>
      </c>
      <c r="D509" s="50" t="s">
        <v>134</v>
      </c>
      <c r="E509" s="50" t="s">
        <v>3545</v>
      </c>
      <c r="F509" s="121">
        <f>365*AVERAGE(MLCF!C65,MLCF!D65)</f>
        <v>4026664.3050000006</v>
      </c>
      <c r="G509" s="121">
        <f>-MLCF!D85</f>
        <v>28135.419000000002</v>
      </c>
      <c r="H509" s="121">
        <f t="shared" si="14"/>
        <v>143.11726813096334</v>
      </c>
      <c r="I509" s="121">
        <v>4026664.3050000006</v>
      </c>
      <c r="J509" s="121">
        <v>28135.419000000002</v>
      </c>
      <c r="K509" s="121">
        <v>143.11726813096334</v>
      </c>
      <c r="L509" s="127">
        <v>143.11726813096334</v>
      </c>
      <c r="M509" s="127">
        <f>MLCF!D147</f>
        <v>143.11726813096334</v>
      </c>
      <c r="N509" s="128" t="str">
        <f t="shared" si="15"/>
        <v>PASS</v>
      </c>
      <c r="O509" s="68"/>
      <c r="P509" s="50" t="s">
        <v>471</v>
      </c>
    </row>
    <row r="510" spans="1:16" ht="25.95" customHeight="1" x14ac:dyDescent="0.3">
      <c r="A510" s="119" t="s">
        <v>106</v>
      </c>
      <c r="B510" s="119">
        <v>2021</v>
      </c>
      <c r="C510" s="119">
        <v>10</v>
      </c>
      <c r="D510" s="119" t="s">
        <v>187</v>
      </c>
      <c r="E510" s="119" t="s">
        <v>3544</v>
      </c>
      <c r="F510" s="120">
        <f>365*AVERAGE(MLCF!C32,MLCF!D32)</f>
        <v>863559.70499999996</v>
      </c>
      <c r="G510" s="120">
        <f>MLCF!D84</f>
        <v>35538.300999999999</v>
      </c>
      <c r="H510" s="120">
        <f t="shared" si="14"/>
        <v>24.299408826550263</v>
      </c>
      <c r="I510" s="120">
        <v>863559.70499999996</v>
      </c>
      <c r="J510" s="120">
        <v>35538.300999999999</v>
      </c>
      <c r="K510" s="120">
        <v>24.299408826550263</v>
      </c>
      <c r="L510" s="125">
        <v>24.299408826550263</v>
      </c>
      <c r="M510" s="125">
        <f>MLCF!D148</f>
        <v>24.299408826550263</v>
      </c>
      <c r="N510" s="126" t="str">
        <f t="shared" si="15"/>
        <v>PASS</v>
      </c>
      <c r="O510" s="122"/>
      <c r="P510" s="119" t="s">
        <v>471</v>
      </c>
    </row>
    <row r="511" spans="1:16" ht="25.95" customHeight="1" x14ac:dyDescent="0.3">
      <c r="A511" s="50" t="s">
        <v>106</v>
      </c>
      <c r="B511" s="50">
        <v>2021</v>
      </c>
      <c r="C511" s="50">
        <v>11</v>
      </c>
      <c r="D511" s="50" t="s">
        <v>190</v>
      </c>
      <c r="E511" s="50" t="s">
        <v>3545</v>
      </c>
      <c r="F511" s="121">
        <f>365*AVERAGE(MLCF!C51,MLCF!D51)</f>
        <v>1414479.9375000002</v>
      </c>
      <c r="G511" s="121">
        <f>-MLCF!D85</f>
        <v>28135.419000000002</v>
      </c>
      <c r="H511" s="121">
        <f t="shared" si="14"/>
        <v>50.273995830664546</v>
      </c>
      <c r="I511" s="121">
        <v>1414479.9375000002</v>
      </c>
      <c r="J511" s="121">
        <v>28135.419000000002</v>
      </c>
      <c r="K511" s="121">
        <v>50.273995830664546</v>
      </c>
      <c r="L511" s="127">
        <v>50.273995830664546</v>
      </c>
      <c r="M511" s="127">
        <f>MLCF!D149</f>
        <v>50.273995830664546</v>
      </c>
      <c r="N511" s="128" t="str">
        <f t="shared" si="15"/>
        <v>PASS</v>
      </c>
      <c r="O511" s="68"/>
      <c r="P511" s="50" t="s">
        <v>471</v>
      </c>
    </row>
    <row r="512" spans="1:16" ht="25.95" customHeight="1" x14ac:dyDescent="0.3">
      <c r="A512" s="119" t="s">
        <v>106</v>
      </c>
      <c r="B512" s="119">
        <v>2021</v>
      </c>
      <c r="C512" s="119">
        <v>12</v>
      </c>
      <c r="D512" s="119" t="s">
        <v>192</v>
      </c>
      <c r="E512" s="119" t="s">
        <v>3545</v>
      </c>
      <c r="F512" s="120">
        <f>365*AVERAGE(MLCF!C65,MLCF!D65)/(-MLCF!D85)+365*AVERAGE(MLCF!C32,MLCF!D32)/MLCF!D84</f>
        <v>167.4166769575136</v>
      </c>
      <c r="G512" s="120">
        <f>1</f>
        <v>1</v>
      </c>
      <c r="H512" s="120">
        <f t="shared" si="14"/>
        <v>167.4166769575136</v>
      </c>
      <c r="I512" s="120">
        <v>167.4166769575136</v>
      </c>
      <c r="J512" s="120">
        <v>1</v>
      </c>
      <c r="K512" s="120">
        <v>167.4166769575136</v>
      </c>
      <c r="L512" s="125">
        <v>167.4166769575136</v>
      </c>
      <c r="M512" s="125">
        <f>MLCF!D150</f>
        <v>167.4166769575136</v>
      </c>
      <c r="N512" s="126" t="str">
        <f t="shared" si="15"/>
        <v>PASS</v>
      </c>
      <c r="O512" s="122"/>
      <c r="P512" s="119" t="s">
        <v>471</v>
      </c>
    </row>
    <row r="513" spans="1:16" ht="25.95" customHeight="1" x14ac:dyDescent="0.3">
      <c r="A513" s="50" t="s">
        <v>106</v>
      </c>
      <c r="B513" s="50">
        <v>2021</v>
      </c>
      <c r="C513" s="50">
        <v>13</v>
      </c>
      <c r="D513" s="50" t="s">
        <v>150</v>
      </c>
      <c r="E513" s="50" t="s">
        <v>3545</v>
      </c>
      <c r="F513" s="121">
        <f>365*AVERAGE(MLCF!C65,MLCF!D65)/(-MLCF!D85)+365*AVERAGE(MLCF!C32,MLCF!D32)/MLCF!D84-365*AVERAGE(MLCF!C51,MLCF!D51)/(-MLCF!D85)</f>
        <v>117.14268112684906</v>
      </c>
      <c r="G513" s="121">
        <f>1</f>
        <v>1</v>
      </c>
      <c r="H513" s="121">
        <f t="shared" si="14"/>
        <v>117.14268112684906</v>
      </c>
      <c r="I513" s="121">
        <v>117.14268112684906</v>
      </c>
      <c r="J513" s="121">
        <v>1</v>
      </c>
      <c r="K513" s="121">
        <v>117.14268112684906</v>
      </c>
      <c r="L513" s="127">
        <v>117.14268112684906</v>
      </c>
      <c r="M513" s="127">
        <f>MLCF!D151</f>
        <v>117.14268112684906</v>
      </c>
      <c r="N513" s="128" t="str">
        <f t="shared" si="15"/>
        <v>PASS</v>
      </c>
      <c r="O513" s="68"/>
      <c r="P513" s="50" t="s">
        <v>471</v>
      </c>
    </row>
    <row r="514" spans="1:16" ht="25.95" customHeight="1" x14ac:dyDescent="0.3">
      <c r="A514" s="119" t="s">
        <v>106</v>
      </c>
      <c r="B514" s="119">
        <v>2021</v>
      </c>
      <c r="C514" s="119">
        <v>14</v>
      </c>
      <c r="D514" s="119" t="s">
        <v>196</v>
      </c>
      <c r="E514" s="119" t="s">
        <v>3544</v>
      </c>
      <c r="F514" s="120">
        <f>MLCF!D84</f>
        <v>35538.300999999999</v>
      </c>
      <c r="G514" s="120">
        <f>AVERAGE(MLCF!C37,MLCF!D37)</f>
        <v>66124.5245</v>
      </c>
      <c r="H514" s="120">
        <f t="shared" si="14"/>
        <v>0.53744508968075833</v>
      </c>
      <c r="I514" s="120">
        <v>35538.300999999999</v>
      </c>
      <c r="J514" s="120">
        <v>66124.5245</v>
      </c>
      <c r="K514" s="120">
        <v>0.53744508968075833</v>
      </c>
      <c r="L514" s="125">
        <v>0.53744508968075833</v>
      </c>
      <c r="M514" s="125">
        <f>MLCF!D152</f>
        <v>0.53744508968075833</v>
      </c>
      <c r="N514" s="126" t="str">
        <f t="shared" si="15"/>
        <v>PASS</v>
      </c>
      <c r="O514" s="122"/>
      <c r="P514" s="119" t="s">
        <v>471</v>
      </c>
    </row>
    <row r="515" spans="1:16" ht="25.95" customHeight="1" x14ac:dyDescent="0.3">
      <c r="A515" s="50" t="s">
        <v>106</v>
      </c>
      <c r="B515" s="50">
        <v>2021</v>
      </c>
      <c r="C515" s="50">
        <v>15</v>
      </c>
      <c r="D515" s="50" t="s">
        <v>199</v>
      </c>
      <c r="E515" s="50" t="s">
        <v>3544</v>
      </c>
      <c r="F515" s="121">
        <f>MLCF!D84</f>
        <v>35538.300999999999</v>
      </c>
      <c r="G515" s="121">
        <f>AVERAGE(MLCF!C22,MLCF!D22)</f>
        <v>42393.900500000003</v>
      </c>
      <c r="H515" s="121">
        <f t="shared" si="14"/>
        <v>0.83828806929430799</v>
      </c>
      <c r="I515" s="121">
        <v>35538.300999999999</v>
      </c>
      <c r="J515" s="121">
        <v>42393.900500000003</v>
      </c>
      <c r="K515" s="121">
        <v>0.83828806929430799</v>
      </c>
      <c r="L515" s="127">
        <v>0.83828806929430799</v>
      </c>
      <c r="M515" s="127">
        <f>MLCF!D153</f>
        <v>0.83828806929430799</v>
      </c>
      <c r="N515" s="128" t="str">
        <f t="shared" si="15"/>
        <v>PASS</v>
      </c>
      <c r="O515" s="68"/>
      <c r="P515" s="50" t="s">
        <v>471</v>
      </c>
    </row>
    <row r="516" spans="1:16" ht="25.95" customHeight="1" x14ac:dyDescent="0.3">
      <c r="A516" s="119" t="s">
        <v>106</v>
      </c>
      <c r="B516" s="119">
        <v>2021</v>
      </c>
      <c r="C516" s="119">
        <v>16</v>
      </c>
      <c r="D516" s="119" t="s">
        <v>932</v>
      </c>
      <c r="E516" s="119" t="s">
        <v>3544</v>
      </c>
      <c r="F516" s="120">
        <f>MLCF!D62</f>
        <v>28696.736999999994</v>
      </c>
      <c r="G516" s="120">
        <f>MLCF!D37</f>
        <v>66239.277999999991</v>
      </c>
      <c r="H516" s="120">
        <f t="shared" si="14"/>
        <v>0.43322840867921292</v>
      </c>
      <c r="I516" s="120">
        <v>28696.737000000001</v>
      </c>
      <c r="J516" s="120">
        <v>66239.277999999991</v>
      </c>
      <c r="K516" s="120">
        <v>0.43322840867921303</v>
      </c>
      <c r="L516" s="125">
        <v>0.43322840867921303</v>
      </c>
      <c r="M516" s="125">
        <f>MLCF!D155</f>
        <v>0.43322840867921292</v>
      </c>
      <c r="N516" s="126" t="str">
        <f t="shared" si="15"/>
        <v>PASS</v>
      </c>
      <c r="O516" s="122"/>
      <c r="P516" s="119" t="s">
        <v>493</v>
      </c>
    </row>
    <row r="517" spans="1:16" ht="25.95" customHeight="1" x14ac:dyDescent="0.3">
      <c r="A517" s="50" t="s">
        <v>106</v>
      </c>
      <c r="B517" s="50">
        <v>2021</v>
      </c>
      <c r="C517" s="50">
        <v>17</v>
      </c>
      <c r="D517" s="50" t="s">
        <v>151</v>
      </c>
      <c r="E517" s="50" t="s">
        <v>3544</v>
      </c>
      <c r="F517" s="121">
        <f>MLCF!D62</f>
        <v>28696.736999999994</v>
      </c>
      <c r="G517" s="121">
        <f>MLCF!D41</f>
        <v>37542.540999999997</v>
      </c>
      <c r="H517" s="121">
        <f t="shared" si="14"/>
        <v>0.76437918786583992</v>
      </c>
      <c r="I517" s="121">
        <v>28696.737000000001</v>
      </c>
      <c r="J517" s="121">
        <v>37542.540999999997</v>
      </c>
      <c r="K517" s="121">
        <v>0.76437918786584003</v>
      </c>
      <c r="L517" s="127">
        <v>0.76437918786584003</v>
      </c>
      <c r="M517" s="127">
        <f>MLCF!D156</f>
        <v>0.76437918786583992</v>
      </c>
      <c r="N517" s="128" t="str">
        <f t="shared" si="15"/>
        <v>PASS</v>
      </c>
      <c r="O517" s="68"/>
      <c r="P517" s="50" t="s">
        <v>493</v>
      </c>
    </row>
    <row r="518" spans="1:16" ht="25.95" customHeight="1" x14ac:dyDescent="0.3">
      <c r="A518" s="119" t="s">
        <v>106</v>
      </c>
      <c r="B518" s="119">
        <v>2021</v>
      </c>
      <c r="C518" s="119">
        <v>18</v>
      </c>
      <c r="D518" s="119" t="s">
        <v>935</v>
      </c>
      <c r="E518" s="119" t="s">
        <v>3545</v>
      </c>
      <c r="F518" s="120">
        <f>MLCF!D66</f>
        <v>16235.475999999999</v>
      </c>
      <c r="G518" s="120">
        <f>MLCF!D66+MLCF!D41</f>
        <v>53778.016999999993</v>
      </c>
      <c r="H518" s="120">
        <f t="shared" ref="H518:H581" si="16">IF(G518&lt;=0,"n/m",F518/G518)</f>
        <v>0.30189800416032447</v>
      </c>
      <c r="I518" s="120">
        <v>16235.476000000001</v>
      </c>
      <c r="J518" s="120">
        <v>53778.017</v>
      </c>
      <c r="K518" s="120">
        <v>0.30189800416032447</v>
      </c>
      <c r="L518" s="125">
        <v>0.30189800416032447</v>
      </c>
      <c r="M518" s="125">
        <f>MLCF!D157</f>
        <v>0.30189800416032447</v>
      </c>
      <c r="N518" s="126" t="str">
        <f t="shared" ref="N518:N581" si="17">IF(AND(ABS(F518-I518)&lt;0.000001,ABS(G518-J518)&lt;0.000001,IF(ISNUMBER(L518),IF(ISNUMBER(M518),ABS(L518-M518)&lt;0.00000001,FALSE),M518=L518)),"PASS","FAIL")</f>
        <v>PASS</v>
      </c>
      <c r="O518" s="122"/>
      <c r="P518" s="119" t="s">
        <v>493</v>
      </c>
    </row>
    <row r="519" spans="1:16" ht="25.95" customHeight="1" x14ac:dyDescent="0.3">
      <c r="A519" s="50" t="s">
        <v>106</v>
      </c>
      <c r="B519" s="50">
        <v>2021</v>
      </c>
      <c r="C519" s="50">
        <v>19</v>
      </c>
      <c r="D519" s="50" t="s">
        <v>936</v>
      </c>
      <c r="E519" s="50" t="s">
        <v>3545</v>
      </c>
      <c r="F519" s="121">
        <f>MLCF!D67</f>
        <v>12636.749</v>
      </c>
      <c r="G519" s="121">
        <f>MLCF!D37</f>
        <v>66239.277999999991</v>
      </c>
      <c r="H519" s="121">
        <f t="shared" si="16"/>
        <v>0.19077425632568037</v>
      </c>
      <c r="I519" s="121">
        <v>12636.749</v>
      </c>
      <c r="J519" s="121">
        <v>66239.277999999991</v>
      </c>
      <c r="K519" s="121">
        <v>0.19077425632568037</v>
      </c>
      <c r="L519" s="127">
        <v>0.19077425632568037</v>
      </c>
      <c r="M519" s="127">
        <f>MLCF!D158</f>
        <v>0.19077425632568037</v>
      </c>
      <c r="N519" s="128" t="str">
        <f t="shared" si="17"/>
        <v>PASS</v>
      </c>
      <c r="O519" s="68"/>
      <c r="P519" s="50" t="s">
        <v>493</v>
      </c>
    </row>
    <row r="520" spans="1:16" ht="25.95" customHeight="1" x14ac:dyDescent="0.3">
      <c r="A520" s="119" t="s">
        <v>106</v>
      </c>
      <c r="B520" s="119">
        <v>2021</v>
      </c>
      <c r="C520" s="119">
        <v>20</v>
      </c>
      <c r="D520" s="119" t="s">
        <v>938</v>
      </c>
      <c r="E520" s="119" t="s">
        <v>3544</v>
      </c>
      <c r="F520" s="120">
        <f>MLCF!D108</f>
        <v>8783.5309999999972</v>
      </c>
      <c r="G520" s="120">
        <f>MLCF!D106</f>
        <v>1447.278</v>
      </c>
      <c r="H520" s="120">
        <f t="shared" si="16"/>
        <v>6.0690005651989436</v>
      </c>
      <c r="I520" s="120">
        <v>8783.5309999999972</v>
      </c>
      <c r="J520" s="120">
        <v>1447.278</v>
      </c>
      <c r="K520" s="120">
        <v>6.0690005651989436</v>
      </c>
      <c r="L520" s="125">
        <v>6.0690005651989436</v>
      </c>
      <c r="M520" s="125">
        <f>MLCF!D159</f>
        <v>6.0690005651989436</v>
      </c>
      <c r="N520" s="126" t="str">
        <f t="shared" si="17"/>
        <v>PASS</v>
      </c>
      <c r="O520" s="122"/>
      <c r="P520" s="119" t="s">
        <v>493</v>
      </c>
    </row>
    <row r="521" spans="1:16" ht="25.95" customHeight="1" x14ac:dyDescent="0.3">
      <c r="A521" s="50" t="s">
        <v>106</v>
      </c>
      <c r="B521" s="50">
        <v>2021</v>
      </c>
      <c r="C521" s="50">
        <v>21</v>
      </c>
      <c r="D521" s="50" t="s">
        <v>154</v>
      </c>
      <c r="E521" s="50" t="s">
        <v>3544</v>
      </c>
      <c r="F521" s="121">
        <f>MLCF!D86</f>
        <v>7402.8819999999978</v>
      </c>
      <c r="G521" s="121">
        <f>MLCF!D84</f>
        <v>35538.300999999999</v>
      </c>
      <c r="H521" s="121">
        <f t="shared" si="16"/>
        <v>0.20830714445240356</v>
      </c>
      <c r="I521" s="121">
        <v>7402.8819999999978</v>
      </c>
      <c r="J521" s="121">
        <v>35538.300999999999</v>
      </c>
      <c r="K521" s="121">
        <v>0.20830714445240356</v>
      </c>
      <c r="L521" s="127">
        <v>0.20830714445240356</v>
      </c>
      <c r="M521" s="127">
        <f>MLCF!D161</f>
        <v>0.20830714445240356</v>
      </c>
      <c r="N521" s="128" t="str">
        <f t="shared" si="17"/>
        <v>PASS</v>
      </c>
      <c r="O521" s="68"/>
      <c r="P521" s="50" t="s">
        <v>504</v>
      </c>
    </row>
    <row r="522" spans="1:16" ht="25.95" customHeight="1" x14ac:dyDescent="0.3">
      <c r="A522" s="119" t="s">
        <v>106</v>
      </c>
      <c r="B522" s="119">
        <v>2021</v>
      </c>
      <c r="C522" s="119">
        <v>22</v>
      </c>
      <c r="D522" s="119" t="s">
        <v>942</v>
      </c>
      <c r="E522" s="119" t="s">
        <v>3544</v>
      </c>
      <c r="F522" s="120">
        <f>MLCF!D91</f>
        <v>5051.3989999999976</v>
      </c>
      <c r="G522" s="120">
        <f>MLCF!D84</f>
        <v>35538.300999999999</v>
      </c>
      <c r="H522" s="120">
        <f t="shared" si="16"/>
        <v>0.14213957498981164</v>
      </c>
      <c r="I522" s="120">
        <v>5051.3989999999976</v>
      </c>
      <c r="J522" s="120">
        <v>35538.300999999999</v>
      </c>
      <c r="K522" s="120">
        <v>0.14213957498981164</v>
      </c>
      <c r="L522" s="125">
        <v>0.14213957498981164</v>
      </c>
      <c r="M522" s="125">
        <f>MLCF!D162</f>
        <v>0.14213957498981164</v>
      </c>
      <c r="N522" s="126" t="str">
        <f t="shared" si="17"/>
        <v>PASS</v>
      </c>
      <c r="O522" s="122"/>
      <c r="P522" s="119" t="s">
        <v>504</v>
      </c>
    </row>
    <row r="523" spans="1:16" ht="25.95" customHeight="1" x14ac:dyDescent="0.3">
      <c r="A523" s="50" t="s">
        <v>106</v>
      </c>
      <c r="B523" s="50">
        <v>2021</v>
      </c>
      <c r="C523" s="50">
        <v>23</v>
      </c>
      <c r="D523" s="50" t="s">
        <v>155</v>
      </c>
      <c r="E523" s="50" t="s">
        <v>3544</v>
      </c>
      <c r="F523" s="121">
        <f>MLCF!D99</f>
        <v>6254.1089999999967</v>
      </c>
      <c r="G523" s="121">
        <f>MLCF!D84</f>
        <v>35538.300999999999</v>
      </c>
      <c r="H523" s="121">
        <f t="shared" si="16"/>
        <v>0.1759822170452098</v>
      </c>
      <c r="I523" s="121">
        <v>6254.1089999999976</v>
      </c>
      <c r="J523" s="121">
        <v>35538.300999999999</v>
      </c>
      <c r="K523" s="121">
        <v>0.17598221704520983</v>
      </c>
      <c r="L523" s="127">
        <v>0.17598221704520983</v>
      </c>
      <c r="M523" s="127">
        <f>MLCF!D163</f>
        <v>0.1759822170452098</v>
      </c>
      <c r="N523" s="128" t="str">
        <f t="shared" si="17"/>
        <v>PASS</v>
      </c>
      <c r="O523" s="68"/>
      <c r="P523" s="50" t="s">
        <v>504</v>
      </c>
    </row>
    <row r="524" spans="1:16" ht="25.95" customHeight="1" x14ac:dyDescent="0.3">
      <c r="A524" s="119" t="s">
        <v>106</v>
      </c>
      <c r="B524" s="119">
        <v>2021</v>
      </c>
      <c r="C524" s="119">
        <v>24</v>
      </c>
      <c r="D524" s="119" t="s">
        <v>136</v>
      </c>
      <c r="E524" s="119" t="s">
        <v>3544</v>
      </c>
      <c r="F524" s="120">
        <f>MLCF!D99</f>
        <v>6254.1089999999967</v>
      </c>
      <c r="G524" s="120">
        <f>AVERAGE(MLCF!C37,MLCF!D37)</f>
        <v>66124.5245</v>
      </c>
      <c r="H524" s="120">
        <f t="shared" si="16"/>
        <v>9.4580778422081457E-2</v>
      </c>
      <c r="I524" s="120">
        <v>6254.1089999999976</v>
      </c>
      <c r="J524" s="120">
        <v>66124.5245</v>
      </c>
      <c r="K524" s="120">
        <v>9.4580778422081471E-2</v>
      </c>
      <c r="L524" s="125">
        <v>9.4580778422081471E-2</v>
      </c>
      <c r="M524" s="125">
        <f>MLCF!D164</f>
        <v>9.4580778422081457E-2</v>
      </c>
      <c r="N524" s="126" t="str">
        <f t="shared" si="17"/>
        <v>PASS</v>
      </c>
      <c r="O524" s="122"/>
      <c r="P524" s="119" t="s">
        <v>504</v>
      </c>
    </row>
    <row r="525" spans="1:16" ht="25.95" customHeight="1" x14ac:dyDescent="0.3">
      <c r="A525" s="50" t="s">
        <v>106</v>
      </c>
      <c r="B525" s="50">
        <v>2021</v>
      </c>
      <c r="C525" s="50">
        <v>25</v>
      </c>
      <c r="D525" s="50" t="s">
        <v>53</v>
      </c>
      <c r="E525" s="50" t="s">
        <v>3544</v>
      </c>
      <c r="F525" s="121">
        <f>MLCF!D99</f>
        <v>6254.1089999999967</v>
      </c>
      <c r="G525" s="121">
        <f>AVERAGE(MLCF!C41,MLCF!D41)</f>
        <v>34431.686000000002</v>
      </c>
      <c r="H525" s="121">
        <f t="shared" si="16"/>
        <v>0.18163818640771748</v>
      </c>
      <c r="I525" s="121">
        <v>6254.1089999999976</v>
      </c>
      <c r="J525" s="121">
        <v>34431.686000000002</v>
      </c>
      <c r="K525" s="121">
        <v>0.18163818640771751</v>
      </c>
      <c r="L525" s="127">
        <v>0.18163818640771751</v>
      </c>
      <c r="M525" s="127">
        <f>MLCF!D165</f>
        <v>0.18163818640771748</v>
      </c>
      <c r="N525" s="128" t="str">
        <f t="shared" si="17"/>
        <v>PASS</v>
      </c>
      <c r="O525" s="68"/>
      <c r="P525" s="50" t="s">
        <v>504</v>
      </c>
    </row>
    <row r="526" spans="1:16" ht="25.95" customHeight="1" x14ac:dyDescent="0.3">
      <c r="A526" s="119" t="s">
        <v>106</v>
      </c>
      <c r="B526" s="119">
        <v>2021</v>
      </c>
      <c r="C526" s="119">
        <v>26</v>
      </c>
      <c r="D526" s="119" t="s">
        <v>944</v>
      </c>
      <c r="E526" s="119" t="s">
        <v>3545</v>
      </c>
      <c r="F526" s="120">
        <f>MLCF!D113</f>
        <v>7535.8253872713994</v>
      </c>
      <c r="G526" s="120">
        <f>AVERAGE(MLCF!C70,MLCF!D70)</f>
        <v>53519.630999999994</v>
      </c>
      <c r="H526" s="120">
        <f t="shared" si="16"/>
        <v>0.14080488311422401</v>
      </c>
      <c r="I526" s="120">
        <v>7535.8253872713994</v>
      </c>
      <c r="J526" s="120">
        <v>53519.630999999994</v>
      </c>
      <c r="K526" s="120">
        <v>0.14080488311422401</v>
      </c>
      <c r="L526" s="125">
        <v>0.14080488311422401</v>
      </c>
      <c r="M526" s="125">
        <f>MLCF!D166</f>
        <v>0.14080488311422401</v>
      </c>
      <c r="N526" s="126" t="str">
        <f t="shared" si="17"/>
        <v>PASS</v>
      </c>
      <c r="O526" s="122"/>
      <c r="P526" s="119" t="s">
        <v>504</v>
      </c>
    </row>
    <row r="527" spans="1:16" ht="25.95" customHeight="1" x14ac:dyDescent="0.3">
      <c r="A527" s="50" t="s">
        <v>106</v>
      </c>
      <c r="B527" s="50">
        <v>2021</v>
      </c>
      <c r="C527" s="50">
        <v>27</v>
      </c>
      <c r="D527" s="50" t="s">
        <v>945</v>
      </c>
      <c r="E527" s="50" t="s">
        <v>3545</v>
      </c>
      <c r="F527" s="121">
        <f>MLCF!D108</f>
        <v>8783.5309999999972</v>
      </c>
      <c r="G527" s="121">
        <f>AVERAGE(MLCF!C37,MLCF!D37)</f>
        <v>66124.5245</v>
      </c>
      <c r="H527" s="121">
        <f t="shared" si="16"/>
        <v>0.13283318203671918</v>
      </c>
      <c r="I527" s="121">
        <v>8783.5309999999972</v>
      </c>
      <c r="J527" s="121">
        <v>66124.5245</v>
      </c>
      <c r="K527" s="121">
        <v>0.13283318203671918</v>
      </c>
      <c r="L527" s="127">
        <v>0.13283318203671918</v>
      </c>
      <c r="M527" s="127">
        <f>MLCF!D167</f>
        <v>0.13283318203671918</v>
      </c>
      <c r="N527" s="128" t="str">
        <f t="shared" si="17"/>
        <v>PASS</v>
      </c>
      <c r="O527" s="68"/>
      <c r="P527" s="50" t="s">
        <v>504</v>
      </c>
    </row>
    <row r="528" spans="1:16" ht="25.95" customHeight="1" x14ac:dyDescent="0.3">
      <c r="A528" s="119" t="s">
        <v>106</v>
      </c>
      <c r="B528" s="119">
        <v>2021</v>
      </c>
      <c r="C528" s="119">
        <v>28</v>
      </c>
      <c r="D528" s="119" t="s">
        <v>139</v>
      </c>
      <c r="E528" s="119" t="s">
        <v>3545</v>
      </c>
      <c r="F528" s="120">
        <f>MLCF!D41</f>
        <v>37542.540999999997</v>
      </c>
      <c r="G528" s="120">
        <f>MLCF!D128</f>
        <v>1098.3462</v>
      </c>
      <c r="H528" s="120">
        <f t="shared" si="16"/>
        <v>34.180972265393187</v>
      </c>
      <c r="I528" s="120">
        <v>37542.540999999997</v>
      </c>
      <c r="J528" s="120">
        <v>1098.3462</v>
      </c>
      <c r="K528" s="120">
        <v>34.180972265393187</v>
      </c>
      <c r="L528" s="125">
        <v>34.180972265393187</v>
      </c>
      <c r="M528" s="125">
        <f>MLCF!D169</f>
        <v>34.180972265393187</v>
      </c>
      <c r="N528" s="126" t="str">
        <f t="shared" si="17"/>
        <v>PASS</v>
      </c>
      <c r="O528" s="122"/>
      <c r="P528" s="119" t="s">
        <v>519</v>
      </c>
    </row>
    <row r="529" spans="1:16" ht="25.95" customHeight="1" x14ac:dyDescent="0.3">
      <c r="A529" s="50" t="s">
        <v>106</v>
      </c>
      <c r="B529" s="50">
        <v>2021</v>
      </c>
      <c r="C529" s="50">
        <v>29</v>
      </c>
      <c r="D529" s="50" t="s">
        <v>162</v>
      </c>
      <c r="E529" s="50" t="s">
        <v>3544</v>
      </c>
      <c r="F529" s="121">
        <f>MLCF!D130</f>
        <v>46.98</v>
      </c>
      <c r="G529" s="121">
        <f>MLCF!D41/MLCF!D128</f>
        <v>34.180972265393187</v>
      </c>
      <c r="H529" s="121">
        <f t="shared" si="16"/>
        <v>1.3744489078669448</v>
      </c>
      <c r="I529" s="121">
        <v>46.98</v>
      </c>
      <c r="J529" s="121">
        <v>34.180972265393187</v>
      </c>
      <c r="K529" s="121">
        <v>1.3744489078669448</v>
      </c>
      <c r="L529" s="127">
        <v>1.3744489078669448</v>
      </c>
      <c r="M529" s="127">
        <f>MLCF!D170</f>
        <v>1.3744489078669448</v>
      </c>
      <c r="N529" s="128" t="str">
        <f t="shared" si="17"/>
        <v>PASS</v>
      </c>
      <c r="O529" s="68"/>
      <c r="P529" s="50" t="s">
        <v>519</v>
      </c>
    </row>
    <row r="530" spans="1:16" ht="25.95" customHeight="1" x14ac:dyDescent="0.3">
      <c r="A530" s="119" t="s">
        <v>106</v>
      </c>
      <c r="B530" s="119">
        <v>2021</v>
      </c>
      <c r="C530" s="119">
        <v>30</v>
      </c>
      <c r="D530" s="119" t="s">
        <v>143</v>
      </c>
      <c r="E530" s="119" t="s">
        <v>3544</v>
      </c>
      <c r="F530" s="120">
        <f>MLCF!D99</f>
        <v>6254.1089999999967</v>
      </c>
      <c r="G530" s="120">
        <f>MLCF!D129</f>
        <v>1098.346</v>
      </c>
      <c r="H530" s="120">
        <f t="shared" si="16"/>
        <v>5.6941155155115029</v>
      </c>
      <c r="I530" s="120">
        <v>6254.1089999999976</v>
      </c>
      <c r="J530" s="120">
        <v>1098.346</v>
      </c>
      <c r="K530" s="120">
        <v>5.6941155155115037</v>
      </c>
      <c r="L530" s="125">
        <v>5.6941155155115037</v>
      </c>
      <c r="M530" s="125">
        <f>MLCF!D171</f>
        <v>5.6941155155115029</v>
      </c>
      <c r="N530" s="126" t="str">
        <f t="shared" si="17"/>
        <v>PASS</v>
      </c>
      <c r="O530" s="122"/>
      <c r="P530" s="119" t="s">
        <v>519</v>
      </c>
    </row>
    <row r="531" spans="1:16" ht="25.95" customHeight="1" x14ac:dyDescent="0.3">
      <c r="A531" s="50" t="s">
        <v>106</v>
      </c>
      <c r="B531" s="50">
        <v>2021</v>
      </c>
      <c r="C531" s="50">
        <v>31</v>
      </c>
      <c r="D531" s="50" t="s">
        <v>952</v>
      </c>
      <c r="E531" s="50" t="s">
        <v>3544</v>
      </c>
      <c r="F531" s="121">
        <f>MLCF!D130</f>
        <v>46.98</v>
      </c>
      <c r="G531" s="121">
        <f>MLCF!D99/MLCF!D129</f>
        <v>5.6941155155115029</v>
      </c>
      <c r="H531" s="121">
        <f t="shared" si="16"/>
        <v>8.2506229232653325</v>
      </c>
      <c r="I531" s="121">
        <v>46.98</v>
      </c>
      <c r="J531" s="121">
        <v>5.6941155155115037</v>
      </c>
      <c r="K531" s="121">
        <v>8.2506229232653308</v>
      </c>
      <c r="L531" s="127">
        <v>8.2506229232653308</v>
      </c>
      <c r="M531" s="127">
        <f>MLCF!D172</f>
        <v>8.2506229232653325</v>
      </c>
      <c r="N531" s="128" t="str">
        <f t="shared" si="17"/>
        <v>PASS</v>
      </c>
      <c r="O531" s="68"/>
      <c r="P531" s="50" t="s">
        <v>519</v>
      </c>
    </row>
    <row r="532" spans="1:16" ht="25.95" customHeight="1" x14ac:dyDescent="0.3">
      <c r="A532" s="119" t="s">
        <v>106</v>
      </c>
      <c r="B532" s="119">
        <v>2021</v>
      </c>
      <c r="C532" s="119">
        <v>32</v>
      </c>
      <c r="D532" s="119" t="s">
        <v>104</v>
      </c>
      <c r="E532" s="119" t="s">
        <v>3544</v>
      </c>
      <c r="F532" s="120">
        <f>MLCF!D131</f>
        <v>0</v>
      </c>
      <c r="G532" s="120">
        <f>MLCF!D130</f>
        <v>46.98</v>
      </c>
      <c r="H532" s="120">
        <f t="shared" si="16"/>
        <v>0</v>
      </c>
      <c r="I532" s="120">
        <v>0</v>
      </c>
      <c r="J532" s="120">
        <v>46.98</v>
      </c>
      <c r="K532" s="120">
        <v>0</v>
      </c>
      <c r="L532" s="125">
        <v>0</v>
      </c>
      <c r="M532" s="125">
        <f>MLCF!D173</f>
        <v>0</v>
      </c>
      <c r="N532" s="126" t="str">
        <f t="shared" si="17"/>
        <v>PASS</v>
      </c>
      <c r="O532" s="122"/>
      <c r="P532" s="119" t="s">
        <v>519</v>
      </c>
    </row>
    <row r="533" spans="1:16" ht="25.95" customHeight="1" x14ac:dyDescent="0.3">
      <c r="A533" s="50" t="s">
        <v>106</v>
      </c>
      <c r="B533" s="50">
        <v>2021</v>
      </c>
      <c r="C533" s="50">
        <v>33</v>
      </c>
      <c r="D533" s="50" t="s">
        <v>124</v>
      </c>
      <c r="E533" s="50" t="s">
        <v>3545</v>
      </c>
      <c r="F533" s="121">
        <f>MLCF!D131</f>
        <v>0</v>
      </c>
      <c r="G533" s="121">
        <f>MLCF!D99/MLCF!D129</f>
        <v>5.6941155155115029</v>
      </c>
      <c r="H533" s="121">
        <f t="shared" si="16"/>
        <v>0</v>
      </c>
      <c r="I533" s="121">
        <v>0</v>
      </c>
      <c r="J533" s="121">
        <v>5.6941155155115037</v>
      </c>
      <c r="K533" s="121">
        <v>0</v>
      </c>
      <c r="L533" s="127">
        <v>0</v>
      </c>
      <c r="M533" s="127">
        <f>MLCF!D174</f>
        <v>0</v>
      </c>
      <c r="N533" s="128" t="str">
        <f t="shared" si="17"/>
        <v>PASS</v>
      </c>
      <c r="O533" s="68"/>
      <c r="P533" s="50" t="s">
        <v>519</v>
      </c>
    </row>
    <row r="534" spans="1:16" ht="25.95" customHeight="1" x14ac:dyDescent="0.3">
      <c r="A534" s="119" t="s">
        <v>106</v>
      </c>
      <c r="B534" s="119">
        <v>2022</v>
      </c>
      <c r="C534" s="119">
        <v>1</v>
      </c>
      <c r="D534" s="119" t="s">
        <v>19</v>
      </c>
      <c r="E534" s="119" t="s">
        <v>3544</v>
      </c>
      <c r="F534" s="120">
        <f>MLCF!E36</f>
        <v>20321.989000000001</v>
      </c>
      <c r="G534" s="120">
        <f>MLCF!E61</f>
        <v>16193.390999999998</v>
      </c>
      <c r="H534" s="120">
        <f t="shared" si="16"/>
        <v>1.2549557408945418</v>
      </c>
      <c r="I534" s="120">
        <v>20321.989000000001</v>
      </c>
      <c r="J534" s="120">
        <v>16193.391</v>
      </c>
      <c r="K534" s="120">
        <v>1.2549557408945415</v>
      </c>
      <c r="L534" s="125">
        <v>1.2549557408945415</v>
      </c>
      <c r="M534" s="125">
        <f>MLCF!E138</f>
        <v>1.2549557408945418</v>
      </c>
      <c r="N534" s="126" t="str">
        <f t="shared" si="17"/>
        <v>PASS</v>
      </c>
      <c r="O534" s="122"/>
      <c r="P534" s="119" t="s">
        <v>459</v>
      </c>
    </row>
    <row r="535" spans="1:16" ht="25.95" customHeight="1" x14ac:dyDescent="0.3">
      <c r="A535" s="50" t="s">
        <v>106</v>
      </c>
      <c r="B535" s="50">
        <v>2022</v>
      </c>
      <c r="C535" s="50">
        <v>2</v>
      </c>
      <c r="D535" s="50" t="s">
        <v>30</v>
      </c>
      <c r="E535" s="50" t="s">
        <v>3544</v>
      </c>
      <c r="F535" s="121">
        <f>MLCF!E36-MLCF!E65</f>
        <v>4772.7630000000026</v>
      </c>
      <c r="G535" s="121">
        <f>MLCF!E61</f>
        <v>16193.390999999998</v>
      </c>
      <c r="H535" s="121">
        <f t="shared" si="16"/>
        <v>0.29473524106223353</v>
      </c>
      <c r="I535" s="121">
        <v>4772.7630000000026</v>
      </c>
      <c r="J535" s="121">
        <v>16193.391</v>
      </c>
      <c r="K535" s="121">
        <v>0.29473524106223353</v>
      </c>
      <c r="L535" s="127">
        <v>0.29473524106223353</v>
      </c>
      <c r="M535" s="127">
        <f>MLCF!E139</f>
        <v>0.29473524106223353</v>
      </c>
      <c r="N535" s="128" t="str">
        <f t="shared" si="17"/>
        <v>PASS</v>
      </c>
      <c r="O535" s="68"/>
      <c r="P535" s="50" t="s">
        <v>459</v>
      </c>
    </row>
    <row r="536" spans="1:16" ht="25.95" customHeight="1" x14ac:dyDescent="0.3">
      <c r="A536" s="119" t="s">
        <v>106</v>
      </c>
      <c r="B536" s="119">
        <v>2022</v>
      </c>
      <c r="C536" s="119">
        <v>3</v>
      </c>
      <c r="D536" s="119" t="s">
        <v>145</v>
      </c>
      <c r="E536" s="119" t="s">
        <v>3544</v>
      </c>
      <c r="F536" s="120">
        <f>MLCF!E34</f>
        <v>793.57600000000002</v>
      </c>
      <c r="G536" s="120">
        <f>MLCF!E61</f>
        <v>16193.390999999998</v>
      </c>
      <c r="H536" s="120">
        <f t="shared" si="16"/>
        <v>4.9006165540003331E-2</v>
      </c>
      <c r="I536" s="120">
        <v>793.57600000000002</v>
      </c>
      <c r="J536" s="120">
        <v>16193.391</v>
      </c>
      <c r="K536" s="120">
        <v>4.9006165540003331E-2</v>
      </c>
      <c r="L536" s="125">
        <v>4.9006165540003331E-2</v>
      </c>
      <c r="M536" s="125">
        <f>MLCF!E140</f>
        <v>4.9006165540003331E-2</v>
      </c>
      <c r="N536" s="126" t="str">
        <f t="shared" si="17"/>
        <v>PASS</v>
      </c>
      <c r="O536" s="122"/>
      <c r="P536" s="119" t="s">
        <v>459</v>
      </c>
    </row>
    <row r="537" spans="1:16" ht="25.95" customHeight="1" x14ac:dyDescent="0.3">
      <c r="A537" s="50" t="s">
        <v>106</v>
      </c>
      <c r="B537" s="50">
        <v>2022</v>
      </c>
      <c r="C537" s="50">
        <v>4</v>
      </c>
      <c r="D537" s="50" t="s">
        <v>201</v>
      </c>
      <c r="E537" s="50" t="s">
        <v>3545</v>
      </c>
      <c r="F537" s="121">
        <f>MLCF!E36-MLCF!E61</f>
        <v>4128.5980000000036</v>
      </c>
      <c r="G537" s="121">
        <f>1</f>
        <v>1</v>
      </c>
      <c r="H537" s="121">
        <f t="shared" si="16"/>
        <v>4128.5980000000036</v>
      </c>
      <c r="I537" s="121">
        <v>4128.5980000000018</v>
      </c>
      <c r="J537" s="121">
        <v>1</v>
      </c>
      <c r="K537" s="121">
        <v>4128.5980000000018</v>
      </c>
      <c r="L537" s="127">
        <v>4128.5980000000018</v>
      </c>
      <c r="M537" s="127">
        <f>MLCF!E141</f>
        <v>4128.5980000000036</v>
      </c>
      <c r="N537" s="128" t="str">
        <f t="shared" si="17"/>
        <v>PASS</v>
      </c>
      <c r="O537" s="68"/>
      <c r="P537" s="50" t="s">
        <v>459</v>
      </c>
    </row>
    <row r="538" spans="1:16" ht="25.95" customHeight="1" x14ac:dyDescent="0.3">
      <c r="A538" s="119" t="s">
        <v>106</v>
      </c>
      <c r="B538" s="119">
        <v>2022</v>
      </c>
      <c r="C538" s="119">
        <v>5</v>
      </c>
      <c r="D538" s="119" t="s">
        <v>923</v>
      </c>
      <c r="E538" s="119" t="s">
        <v>3545</v>
      </c>
      <c r="F538" s="120">
        <f>MLCF!E72-MLCF!E73</f>
        <v>10212.653</v>
      </c>
      <c r="G538" s="120">
        <f>1</f>
        <v>1</v>
      </c>
      <c r="H538" s="120">
        <f t="shared" si="16"/>
        <v>10212.653</v>
      </c>
      <c r="I538" s="120">
        <v>10212.652999999998</v>
      </c>
      <c r="J538" s="120">
        <v>1</v>
      </c>
      <c r="K538" s="120">
        <v>10212.652999999998</v>
      </c>
      <c r="L538" s="125">
        <v>10212.652999999998</v>
      </c>
      <c r="M538" s="125">
        <f>MLCF!E142</f>
        <v>10212.653</v>
      </c>
      <c r="N538" s="126" t="str">
        <f t="shared" si="17"/>
        <v>PASS</v>
      </c>
      <c r="O538" s="122"/>
      <c r="P538" s="119" t="s">
        <v>459</v>
      </c>
    </row>
    <row r="539" spans="1:16" ht="25.95" customHeight="1" x14ac:dyDescent="0.3">
      <c r="A539" s="50" t="s">
        <v>106</v>
      </c>
      <c r="B539" s="50">
        <v>2022</v>
      </c>
      <c r="C539" s="50">
        <v>6</v>
      </c>
      <c r="D539" s="50" t="s">
        <v>31</v>
      </c>
      <c r="E539" s="50" t="s">
        <v>3544</v>
      </c>
      <c r="F539" s="121">
        <f>-MLCF!E85</f>
        <v>36244.156000000003</v>
      </c>
      <c r="G539" s="121">
        <f>AVERAGE(MLCF!D65,MLCF!E65)</f>
        <v>13719.063</v>
      </c>
      <c r="H539" s="121">
        <f t="shared" si="16"/>
        <v>2.6418827583195736</v>
      </c>
      <c r="I539" s="121">
        <v>36244.156000000003</v>
      </c>
      <c r="J539" s="121">
        <v>13719.063</v>
      </c>
      <c r="K539" s="121">
        <v>2.6418827583195736</v>
      </c>
      <c r="L539" s="127">
        <v>2.6418827583195736</v>
      </c>
      <c r="M539" s="127">
        <f>MLCF!E144</f>
        <v>2.6418827583195736</v>
      </c>
      <c r="N539" s="128" t="str">
        <f t="shared" si="17"/>
        <v>PASS</v>
      </c>
      <c r="O539" s="68"/>
      <c r="P539" s="50" t="s">
        <v>471</v>
      </c>
    </row>
    <row r="540" spans="1:16" ht="25.95" customHeight="1" x14ac:dyDescent="0.3">
      <c r="A540" s="119" t="s">
        <v>106</v>
      </c>
      <c r="B540" s="119">
        <v>2022</v>
      </c>
      <c r="C540" s="119">
        <v>7</v>
      </c>
      <c r="D540" s="119" t="s">
        <v>129</v>
      </c>
      <c r="E540" s="119" t="s">
        <v>3545</v>
      </c>
      <c r="F540" s="120">
        <f>MLCF!E84</f>
        <v>48519.622000000003</v>
      </c>
      <c r="G540" s="120">
        <f>AVERAGE(MLCF!D32,MLCF!E32)</f>
        <v>1872.9580000000001</v>
      </c>
      <c r="H540" s="120">
        <f t="shared" si="16"/>
        <v>25.905344380386534</v>
      </c>
      <c r="I540" s="120">
        <v>48519.622000000003</v>
      </c>
      <c r="J540" s="120">
        <v>1872.9580000000001</v>
      </c>
      <c r="K540" s="120">
        <v>25.905344380386534</v>
      </c>
      <c r="L540" s="125">
        <v>25.905344380386534</v>
      </c>
      <c r="M540" s="125">
        <f>MLCF!E145</f>
        <v>25.905344380386534</v>
      </c>
      <c r="N540" s="126" t="str">
        <f t="shared" si="17"/>
        <v>PASS</v>
      </c>
      <c r="O540" s="122"/>
      <c r="P540" s="119" t="s">
        <v>471</v>
      </c>
    </row>
    <row r="541" spans="1:16" ht="25.95" customHeight="1" x14ac:dyDescent="0.3">
      <c r="A541" s="50" t="s">
        <v>106</v>
      </c>
      <c r="B541" s="50">
        <v>2022</v>
      </c>
      <c r="C541" s="50">
        <v>8</v>
      </c>
      <c r="D541" s="50" t="s">
        <v>133</v>
      </c>
      <c r="E541" s="50" t="s">
        <v>3545</v>
      </c>
      <c r="F541" s="121">
        <f>-MLCF!E85</f>
        <v>36244.156000000003</v>
      </c>
      <c r="G541" s="121">
        <f>AVERAGE(MLCF!D51,MLCF!E51)</f>
        <v>3842.4695000000002</v>
      </c>
      <c r="H541" s="121">
        <f t="shared" si="16"/>
        <v>9.4325162502916413</v>
      </c>
      <c r="I541" s="121">
        <v>36244.156000000003</v>
      </c>
      <c r="J541" s="121">
        <v>3842.4695000000002</v>
      </c>
      <c r="K541" s="121">
        <v>9.4325162502916413</v>
      </c>
      <c r="L541" s="127">
        <v>9.4325162502916413</v>
      </c>
      <c r="M541" s="127">
        <f>MLCF!E146</f>
        <v>9.4325162502916413</v>
      </c>
      <c r="N541" s="128" t="str">
        <f t="shared" si="17"/>
        <v>PASS</v>
      </c>
      <c r="O541" s="68"/>
      <c r="P541" s="50" t="s">
        <v>471</v>
      </c>
    </row>
    <row r="542" spans="1:16" ht="25.95" customHeight="1" x14ac:dyDescent="0.3">
      <c r="A542" s="119" t="s">
        <v>106</v>
      </c>
      <c r="B542" s="119">
        <v>2022</v>
      </c>
      <c r="C542" s="119">
        <v>9</v>
      </c>
      <c r="D542" s="119" t="s">
        <v>134</v>
      </c>
      <c r="E542" s="119" t="s">
        <v>3545</v>
      </c>
      <c r="F542" s="120">
        <f>365*AVERAGE(MLCF!D65,MLCF!E65)</f>
        <v>5007457.9950000001</v>
      </c>
      <c r="G542" s="120">
        <f>-MLCF!E85</f>
        <v>36244.156000000003</v>
      </c>
      <c r="H542" s="120">
        <f t="shared" si="16"/>
        <v>138.1590454196257</v>
      </c>
      <c r="I542" s="120">
        <v>5007457.9950000001</v>
      </c>
      <c r="J542" s="120">
        <v>36244.156000000003</v>
      </c>
      <c r="K542" s="120">
        <v>138.1590454196257</v>
      </c>
      <c r="L542" s="125">
        <v>138.1590454196257</v>
      </c>
      <c r="M542" s="125">
        <f>MLCF!E147</f>
        <v>138.1590454196257</v>
      </c>
      <c r="N542" s="126" t="str">
        <f t="shared" si="17"/>
        <v>PASS</v>
      </c>
      <c r="O542" s="122"/>
      <c r="P542" s="119" t="s">
        <v>471</v>
      </c>
    </row>
    <row r="543" spans="1:16" ht="25.95" customHeight="1" x14ac:dyDescent="0.3">
      <c r="A543" s="50" t="s">
        <v>106</v>
      </c>
      <c r="B543" s="50">
        <v>2022</v>
      </c>
      <c r="C543" s="50">
        <v>10</v>
      </c>
      <c r="D543" s="50" t="s">
        <v>187</v>
      </c>
      <c r="E543" s="50" t="s">
        <v>3544</v>
      </c>
      <c r="F543" s="121">
        <f>365*AVERAGE(MLCF!D32,MLCF!E32)</f>
        <v>683629.67</v>
      </c>
      <c r="G543" s="121">
        <f>MLCF!E84</f>
        <v>48519.622000000003</v>
      </c>
      <c r="H543" s="121">
        <f t="shared" si="16"/>
        <v>14.089756717395696</v>
      </c>
      <c r="I543" s="121">
        <v>683629.67</v>
      </c>
      <c r="J543" s="121">
        <v>48519.622000000003</v>
      </c>
      <c r="K543" s="121">
        <v>14.089756717395696</v>
      </c>
      <c r="L543" s="127">
        <v>14.089756717395696</v>
      </c>
      <c r="M543" s="127">
        <f>MLCF!E148</f>
        <v>14.089756717395696</v>
      </c>
      <c r="N543" s="128" t="str">
        <f t="shared" si="17"/>
        <v>PASS</v>
      </c>
      <c r="O543" s="68"/>
      <c r="P543" s="50" t="s">
        <v>471</v>
      </c>
    </row>
    <row r="544" spans="1:16" ht="25.95" customHeight="1" x14ac:dyDescent="0.3">
      <c r="A544" s="119" t="s">
        <v>106</v>
      </c>
      <c r="B544" s="119">
        <v>2022</v>
      </c>
      <c r="C544" s="119">
        <v>11</v>
      </c>
      <c r="D544" s="119" t="s">
        <v>190</v>
      </c>
      <c r="E544" s="119" t="s">
        <v>3545</v>
      </c>
      <c r="F544" s="120">
        <f>365*AVERAGE(MLCF!D51,MLCF!E51)</f>
        <v>1402501.3675000002</v>
      </c>
      <c r="G544" s="120">
        <f>-MLCF!E85</f>
        <v>36244.156000000003</v>
      </c>
      <c r="H544" s="120">
        <f t="shared" si="16"/>
        <v>38.695931214400467</v>
      </c>
      <c r="I544" s="120">
        <v>1402501.3675000002</v>
      </c>
      <c r="J544" s="120">
        <v>36244.156000000003</v>
      </c>
      <c r="K544" s="120">
        <v>38.695931214400467</v>
      </c>
      <c r="L544" s="125">
        <v>38.695931214400467</v>
      </c>
      <c r="M544" s="125">
        <f>MLCF!E149</f>
        <v>38.695931214400467</v>
      </c>
      <c r="N544" s="126" t="str">
        <f t="shared" si="17"/>
        <v>PASS</v>
      </c>
      <c r="O544" s="122"/>
      <c r="P544" s="119" t="s">
        <v>471</v>
      </c>
    </row>
    <row r="545" spans="1:16" ht="25.95" customHeight="1" x14ac:dyDescent="0.3">
      <c r="A545" s="50" t="s">
        <v>106</v>
      </c>
      <c r="B545" s="50">
        <v>2022</v>
      </c>
      <c r="C545" s="50">
        <v>12</v>
      </c>
      <c r="D545" s="50" t="s">
        <v>192</v>
      </c>
      <c r="E545" s="50" t="s">
        <v>3545</v>
      </c>
      <c r="F545" s="121">
        <f>365*AVERAGE(MLCF!D65,MLCF!E65)/(-MLCF!E85)+365*AVERAGE(MLCF!D32,MLCF!E32)/MLCF!E84</f>
        <v>152.24880213702139</v>
      </c>
      <c r="G545" s="121">
        <f>1</f>
        <v>1</v>
      </c>
      <c r="H545" s="121">
        <f t="shared" si="16"/>
        <v>152.24880213702139</v>
      </c>
      <c r="I545" s="121">
        <v>152.24880213702139</v>
      </c>
      <c r="J545" s="121">
        <v>1</v>
      </c>
      <c r="K545" s="121">
        <v>152.24880213702139</v>
      </c>
      <c r="L545" s="127">
        <v>152.24880213702139</v>
      </c>
      <c r="M545" s="127">
        <f>MLCF!E150</f>
        <v>152.24880213702139</v>
      </c>
      <c r="N545" s="128" t="str">
        <f t="shared" si="17"/>
        <v>PASS</v>
      </c>
      <c r="O545" s="68"/>
      <c r="P545" s="50" t="s">
        <v>471</v>
      </c>
    </row>
    <row r="546" spans="1:16" ht="25.95" customHeight="1" x14ac:dyDescent="0.3">
      <c r="A546" s="119" t="s">
        <v>106</v>
      </c>
      <c r="B546" s="119">
        <v>2022</v>
      </c>
      <c r="C546" s="119">
        <v>13</v>
      </c>
      <c r="D546" s="119" t="s">
        <v>150</v>
      </c>
      <c r="E546" s="119" t="s">
        <v>3545</v>
      </c>
      <c r="F546" s="120">
        <f>365*AVERAGE(MLCF!D65,MLCF!E65)/(-MLCF!E85)+365*AVERAGE(MLCF!D32,MLCF!E32)/MLCF!E84-365*AVERAGE(MLCF!D51,MLCF!E51)/(-MLCF!E85)</f>
        <v>113.55287092262091</v>
      </c>
      <c r="G546" s="120">
        <f>1</f>
        <v>1</v>
      </c>
      <c r="H546" s="120">
        <f t="shared" si="16"/>
        <v>113.55287092262091</v>
      </c>
      <c r="I546" s="120">
        <v>113.55287092262091</v>
      </c>
      <c r="J546" s="120">
        <v>1</v>
      </c>
      <c r="K546" s="120">
        <v>113.55287092262091</v>
      </c>
      <c r="L546" s="125">
        <v>113.55287092262091</v>
      </c>
      <c r="M546" s="125">
        <f>MLCF!E151</f>
        <v>113.55287092262091</v>
      </c>
      <c r="N546" s="126" t="str">
        <f t="shared" si="17"/>
        <v>PASS</v>
      </c>
      <c r="O546" s="122"/>
      <c r="P546" s="119" t="s">
        <v>471</v>
      </c>
    </row>
    <row r="547" spans="1:16" ht="25.95" customHeight="1" x14ac:dyDescent="0.3">
      <c r="A547" s="50" t="s">
        <v>106</v>
      </c>
      <c r="B547" s="50">
        <v>2022</v>
      </c>
      <c r="C547" s="50">
        <v>14</v>
      </c>
      <c r="D547" s="50" t="s">
        <v>196</v>
      </c>
      <c r="E547" s="50" t="s">
        <v>3544</v>
      </c>
      <c r="F547" s="121">
        <f>MLCF!E84</f>
        <v>48519.622000000003</v>
      </c>
      <c r="G547" s="121">
        <f>AVERAGE(MLCF!D37,MLCF!E37)</f>
        <v>74226.743999999992</v>
      </c>
      <c r="H547" s="121">
        <f t="shared" si="16"/>
        <v>0.65366765919302627</v>
      </c>
      <c r="I547" s="121">
        <v>48519.622000000003</v>
      </c>
      <c r="J547" s="121">
        <v>74226.743999999992</v>
      </c>
      <c r="K547" s="121">
        <v>0.65366765919302627</v>
      </c>
      <c r="L547" s="127">
        <v>0.65366765919302627</v>
      </c>
      <c r="M547" s="127">
        <f>MLCF!E152</f>
        <v>0.65366765919302627</v>
      </c>
      <c r="N547" s="128" t="str">
        <f t="shared" si="17"/>
        <v>PASS</v>
      </c>
      <c r="O547" s="68"/>
      <c r="P547" s="50" t="s">
        <v>471</v>
      </c>
    </row>
    <row r="548" spans="1:16" ht="25.95" customHeight="1" x14ac:dyDescent="0.3">
      <c r="A548" s="119" t="s">
        <v>106</v>
      </c>
      <c r="B548" s="119">
        <v>2022</v>
      </c>
      <c r="C548" s="119">
        <v>15</v>
      </c>
      <c r="D548" s="119" t="s">
        <v>199</v>
      </c>
      <c r="E548" s="119" t="s">
        <v>3544</v>
      </c>
      <c r="F548" s="120">
        <f>MLCF!E84</f>
        <v>48519.622000000003</v>
      </c>
      <c r="G548" s="120">
        <f>AVERAGE(MLCF!D22,MLCF!E22)</f>
        <v>41396.642999999996</v>
      </c>
      <c r="H548" s="120">
        <f t="shared" si="16"/>
        <v>1.1720665852059551</v>
      </c>
      <c r="I548" s="120">
        <v>48519.622000000003</v>
      </c>
      <c r="J548" s="120">
        <v>41396.642999999996</v>
      </c>
      <c r="K548" s="120">
        <v>1.1720665852059551</v>
      </c>
      <c r="L548" s="125">
        <v>1.1720665852059551</v>
      </c>
      <c r="M548" s="125">
        <f>MLCF!E153</f>
        <v>1.1720665852059551</v>
      </c>
      <c r="N548" s="126" t="str">
        <f t="shared" si="17"/>
        <v>PASS</v>
      </c>
      <c r="O548" s="122"/>
      <c r="P548" s="119" t="s">
        <v>471</v>
      </c>
    </row>
    <row r="549" spans="1:16" ht="25.95" customHeight="1" x14ac:dyDescent="0.3">
      <c r="A549" s="50" t="s">
        <v>106</v>
      </c>
      <c r="B549" s="50">
        <v>2022</v>
      </c>
      <c r="C549" s="50">
        <v>16</v>
      </c>
      <c r="D549" s="50" t="s">
        <v>932</v>
      </c>
      <c r="E549" s="50" t="s">
        <v>3544</v>
      </c>
      <c r="F549" s="121">
        <f>MLCF!E62</f>
        <v>41655.195</v>
      </c>
      <c r="G549" s="121">
        <f>MLCF!E37</f>
        <v>82214.209999999992</v>
      </c>
      <c r="H549" s="121">
        <f t="shared" si="16"/>
        <v>0.50666660909348882</v>
      </c>
      <c r="I549" s="121">
        <v>41655.195</v>
      </c>
      <c r="J549" s="121">
        <v>82214.209999999992</v>
      </c>
      <c r="K549" s="121">
        <v>0.50666660909348882</v>
      </c>
      <c r="L549" s="127">
        <v>0.50666660909348882</v>
      </c>
      <c r="M549" s="127">
        <f>MLCF!E155</f>
        <v>0.50666660909348882</v>
      </c>
      <c r="N549" s="128" t="str">
        <f t="shared" si="17"/>
        <v>PASS</v>
      </c>
      <c r="O549" s="68"/>
      <c r="P549" s="50" t="s">
        <v>493</v>
      </c>
    </row>
    <row r="550" spans="1:16" ht="25.95" customHeight="1" x14ac:dyDescent="0.3">
      <c r="A550" s="119" t="s">
        <v>106</v>
      </c>
      <c r="B550" s="119">
        <v>2022</v>
      </c>
      <c r="C550" s="119">
        <v>17</v>
      </c>
      <c r="D550" s="119" t="s">
        <v>151</v>
      </c>
      <c r="E550" s="119" t="s">
        <v>3544</v>
      </c>
      <c r="F550" s="120">
        <f>MLCF!E62</f>
        <v>41655.195</v>
      </c>
      <c r="G550" s="120">
        <f>MLCF!E41</f>
        <v>40559.014999999999</v>
      </c>
      <c r="H550" s="120">
        <f t="shared" si="16"/>
        <v>1.0270267904681609</v>
      </c>
      <c r="I550" s="120">
        <v>41655.195</v>
      </c>
      <c r="J550" s="120">
        <v>40559.014999999999</v>
      </c>
      <c r="K550" s="120">
        <v>1.0270267904681609</v>
      </c>
      <c r="L550" s="125">
        <v>1.0270267904681609</v>
      </c>
      <c r="M550" s="125">
        <f>MLCF!E156</f>
        <v>1.0270267904681609</v>
      </c>
      <c r="N550" s="126" t="str">
        <f t="shared" si="17"/>
        <v>PASS</v>
      </c>
      <c r="O550" s="122"/>
      <c r="P550" s="119" t="s">
        <v>493</v>
      </c>
    </row>
    <row r="551" spans="1:16" ht="25.95" customHeight="1" x14ac:dyDescent="0.3">
      <c r="A551" s="50" t="s">
        <v>106</v>
      </c>
      <c r="B551" s="50">
        <v>2022</v>
      </c>
      <c r="C551" s="50">
        <v>18</v>
      </c>
      <c r="D551" s="50" t="s">
        <v>935</v>
      </c>
      <c r="E551" s="50" t="s">
        <v>3545</v>
      </c>
      <c r="F551" s="121">
        <f>MLCF!E66</f>
        <v>24973.713999999996</v>
      </c>
      <c r="G551" s="121">
        <f>MLCF!E66+MLCF!E41</f>
        <v>65532.728999999992</v>
      </c>
      <c r="H551" s="121">
        <f t="shared" si="16"/>
        <v>0.381087654689308</v>
      </c>
      <c r="I551" s="121">
        <v>24973.714</v>
      </c>
      <c r="J551" s="121">
        <v>65532.728999999999</v>
      </c>
      <c r="K551" s="121">
        <v>0.381087654689308</v>
      </c>
      <c r="L551" s="127">
        <v>0.381087654689308</v>
      </c>
      <c r="M551" s="127">
        <f>MLCF!E157</f>
        <v>0.381087654689308</v>
      </c>
      <c r="N551" s="128" t="str">
        <f t="shared" si="17"/>
        <v>PASS</v>
      </c>
      <c r="O551" s="68"/>
      <c r="P551" s="50" t="s">
        <v>493</v>
      </c>
    </row>
    <row r="552" spans="1:16" ht="25.95" customHeight="1" x14ac:dyDescent="0.3">
      <c r="A552" s="119" t="s">
        <v>106</v>
      </c>
      <c r="B552" s="119">
        <v>2022</v>
      </c>
      <c r="C552" s="119">
        <v>19</v>
      </c>
      <c r="D552" s="119" t="s">
        <v>936</v>
      </c>
      <c r="E552" s="119" t="s">
        <v>3545</v>
      </c>
      <c r="F552" s="120">
        <f>MLCF!E67</f>
        <v>18775.003999999997</v>
      </c>
      <c r="G552" s="120">
        <f>MLCF!E37</f>
        <v>82214.209999999992</v>
      </c>
      <c r="H552" s="120">
        <f t="shared" si="16"/>
        <v>0.22836689667151214</v>
      </c>
      <c r="I552" s="120">
        <v>18775.003999999997</v>
      </c>
      <c r="J552" s="120">
        <v>82214.209999999992</v>
      </c>
      <c r="K552" s="120">
        <v>0.22836689667151214</v>
      </c>
      <c r="L552" s="125">
        <v>0.22836689667151214</v>
      </c>
      <c r="M552" s="125">
        <f>MLCF!E158</f>
        <v>0.22836689667151214</v>
      </c>
      <c r="N552" s="126" t="str">
        <f t="shared" si="17"/>
        <v>PASS</v>
      </c>
      <c r="O552" s="122"/>
      <c r="P552" s="119" t="s">
        <v>493</v>
      </c>
    </row>
    <row r="553" spans="1:16" ht="25.95" customHeight="1" x14ac:dyDescent="0.3">
      <c r="A553" s="50" t="s">
        <v>106</v>
      </c>
      <c r="B553" s="50">
        <v>2022</v>
      </c>
      <c r="C553" s="50">
        <v>20</v>
      </c>
      <c r="D553" s="50" t="s">
        <v>938</v>
      </c>
      <c r="E553" s="50" t="s">
        <v>3544</v>
      </c>
      <c r="F553" s="121">
        <f>MLCF!E108</f>
        <v>8924.5380000000005</v>
      </c>
      <c r="G553" s="121">
        <f>MLCF!E106</f>
        <v>1690.0250000000001</v>
      </c>
      <c r="H553" s="121">
        <f t="shared" si="16"/>
        <v>5.2807135989112588</v>
      </c>
      <c r="I553" s="121">
        <v>8924.5380000000005</v>
      </c>
      <c r="J553" s="121">
        <v>1690.0250000000001</v>
      </c>
      <c r="K553" s="121">
        <v>5.2807135989112588</v>
      </c>
      <c r="L553" s="127">
        <v>5.2807135989112588</v>
      </c>
      <c r="M553" s="127">
        <f>MLCF!E159</f>
        <v>5.2807135989112588</v>
      </c>
      <c r="N553" s="128" t="str">
        <f t="shared" si="17"/>
        <v>PASS</v>
      </c>
      <c r="O553" s="68"/>
      <c r="P553" s="50" t="s">
        <v>493</v>
      </c>
    </row>
    <row r="554" spans="1:16" ht="25.95" customHeight="1" x14ac:dyDescent="0.3">
      <c r="A554" s="119" t="s">
        <v>106</v>
      </c>
      <c r="B554" s="119">
        <v>2022</v>
      </c>
      <c r="C554" s="119">
        <v>21</v>
      </c>
      <c r="D554" s="119" t="s">
        <v>154</v>
      </c>
      <c r="E554" s="119" t="s">
        <v>3544</v>
      </c>
      <c r="F554" s="120">
        <f>MLCF!E86</f>
        <v>12275.466</v>
      </c>
      <c r="G554" s="120">
        <f>MLCF!E84</f>
        <v>48519.622000000003</v>
      </c>
      <c r="H554" s="120">
        <f t="shared" si="16"/>
        <v>0.25300003367709667</v>
      </c>
      <c r="I554" s="120">
        <v>12275.466</v>
      </c>
      <c r="J554" s="120">
        <v>48519.622000000003</v>
      </c>
      <c r="K554" s="120">
        <v>0.25300003367709667</v>
      </c>
      <c r="L554" s="125">
        <v>0.25300003367709667</v>
      </c>
      <c r="M554" s="125">
        <f>MLCF!E161</f>
        <v>0.25300003367709667</v>
      </c>
      <c r="N554" s="126" t="str">
        <f t="shared" si="17"/>
        <v>PASS</v>
      </c>
      <c r="O554" s="122"/>
      <c r="P554" s="119" t="s">
        <v>504</v>
      </c>
    </row>
    <row r="555" spans="1:16" ht="25.95" customHeight="1" x14ac:dyDescent="0.3">
      <c r="A555" s="50" t="s">
        <v>106</v>
      </c>
      <c r="B555" s="50">
        <v>2022</v>
      </c>
      <c r="C555" s="50">
        <v>22</v>
      </c>
      <c r="D555" s="50" t="s">
        <v>942</v>
      </c>
      <c r="E555" s="50" t="s">
        <v>3544</v>
      </c>
      <c r="F555" s="121">
        <f>MLCF!E91</f>
        <v>8867.9369999999999</v>
      </c>
      <c r="G555" s="121">
        <f>MLCF!E84</f>
        <v>48519.622000000003</v>
      </c>
      <c r="H555" s="121">
        <f t="shared" si="16"/>
        <v>0.18277011721154793</v>
      </c>
      <c r="I555" s="121">
        <v>8867.9369999999999</v>
      </c>
      <c r="J555" s="121">
        <v>48519.622000000003</v>
      </c>
      <c r="K555" s="121">
        <v>0.18277011721154793</v>
      </c>
      <c r="L555" s="127">
        <v>0.18277011721154793</v>
      </c>
      <c r="M555" s="127">
        <f>MLCF!E162</f>
        <v>0.18277011721154793</v>
      </c>
      <c r="N555" s="128" t="str">
        <f t="shared" si="17"/>
        <v>PASS</v>
      </c>
      <c r="O555" s="68"/>
      <c r="P555" s="50" t="s">
        <v>504</v>
      </c>
    </row>
    <row r="556" spans="1:16" ht="25.95" customHeight="1" x14ac:dyDescent="0.3">
      <c r="A556" s="119" t="s">
        <v>106</v>
      </c>
      <c r="B556" s="119">
        <v>2022</v>
      </c>
      <c r="C556" s="119">
        <v>23</v>
      </c>
      <c r="D556" s="119" t="s">
        <v>155</v>
      </c>
      <c r="E556" s="119" t="s">
        <v>3544</v>
      </c>
      <c r="F556" s="120">
        <f>MLCF!E99</f>
        <v>3626.3400000000006</v>
      </c>
      <c r="G556" s="120">
        <f>MLCF!E84</f>
        <v>48519.622000000003</v>
      </c>
      <c r="H556" s="120">
        <f t="shared" si="16"/>
        <v>7.4739658936337147E-2</v>
      </c>
      <c r="I556" s="120">
        <v>3626.3399999999997</v>
      </c>
      <c r="J556" s="120">
        <v>48519.622000000003</v>
      </c>
      <c r="K556" s="120">
        <v>7.4739658936337133E-2</v>
      </c>
      <c r="L556" s="125">
        <v>7.4739658936337133E-2</v>
      </c>
      <c r="M556" s="125">
        <f>MLCF!E163</f>
        <v>7.4739658936337147E-2</v>
      </c>
      <c r="N556" s="126" t="str">
        <f t="shared" si="17"/>
        <v>PASS</v>
      </c>
      <c r="O556" s="122"/>
      <c r="P556" s="119" t="s">
        <v>504</v>
      </c>
    </row>
    <row r="557" spans="1:16" ht="25.95" customHeight="1" x14ac:dyDescent="0.3">
      <c r="A557" s="50" t="s">
        <v>106</v>
      </c>
      <c r="B557" s="50">
        <v>2022</v>
      </c>
      <c r="C557" s="50">
        <v>24</v>
      </c>
      <c r="D557" s="50" t="s">
        <v>136</v>
      </c>
      <c r="E557" s="50" t="s">
        <v>3544</v>
      </c>
      <c r="F557" s="121">
        <f>MLCF!E99</f>
        <v>3626.3400000000006</v>
      </c>
      <c r="G557" s="121">
        <f>AVERAGE(MLCF!D37,MLCF!E37)</f>
        <v>74226.743999999992</v>
      </c>
      <c r="H557" s="121">
        <f t="shared" si="16"/>
        <v>4.8854897905800651E-2</v>
      </c>
      <c r="I557" s="121">
        <v>3626.3399999999997</v>
      </c>
      <c r="J557" s="121">
        <v>74226.743999999992</v>
      </c>
      <c r="K557" s="121">
        <v>4.8854897905800637E-2</v>
      </c>
      <c r="L557" s="127">
        <v>4.8854897905800637E-2</v>
      </c>
      <c r="M557" s="127">
        <f>MLCF!E164</f>
        <v>4.8854897905800651E-2</v>
      </c>
      <c r="N557" s="128" t="str">
        <f t="shared" si="17"/>
        <v>PASS</v>
      </c>
      <c r="O557" s="68"/>
      <c r="P557" s="50" t="s">
        <v>504</v>
      </c>
    </row>
    <row r="558" spans="1:16" ht="25.95" customHeight="1" x14ac:dyDescent="0.3">
      <c r="A558" s="119" t="s">
        <v>106</v>
      </c>
      <c r="B558" s="119">
        <v>2022</v>
      </c>
      <c r="C558" s="119">
        <v>25</v>
      </c>
      <c r="D558" s="119" t="s">
        <v>53</v>
      </c>
      <c r="E558" s="119" t="s">
        <v>3544</v>
      </c>
      <c r="F558" s="120">
        <f>MLCF!E99</f>
        <v>3626.3400000000006</v>
      </c>
      <c r="G558" s="120">
        <f>AVERAGE(MLCF!D41,MLCF!E41)</f>
        <v>39050.777999999998</v>
      </c>
      <c r="H558" s="120">
        <f t="shared" si="16"/>
        <v>9.286217037724577E-2</v>
      </c>
      <c r="I558" s="120">
        <v>3626.3399999999997</v>
      </c>
      <c r="J558" s="120">
        <v>39050.777999999998</v>
      </c>
      <c r="K558" s="120">
        <v>9.2862170377245742E-2</v>
      </c>
      <c r="L558" s="125">
        <v>9.2862170377245742E-2</v>
      </c>
      <c r="M558" s="125">
        <f>MLCF!E165</f>
        <v>9.286217037724577E-2</v>
      </c>
      <c r="N558" s="126" t="str">
        <f t="shared" si="17"/>
        <v>PASS</v>
      </c>
      <c r="O558" s="122"/>
      <c r="P558" s="119" t="s">
        <v>504</v>
      </c>
    </row>
    <row r="559" spans="1:16" ht="25.95" customHeight="1" x14ac:dyDescent="0.3">
      <c r="A559" s="50" t="s">
        <v>106</v>
      </c>
      <c r="B559" s="50">
        <v>2022</v>
      </c>
      <c r="C559" s="50">
        <v>26</v>
      </c>
      <c r="D559" s="50" t="s">
        <v>944</v>
      </c>
      <c r="E559" s="50" t="s">
        <v>3545</v>
      </c>
      <c r="F559" s="121">
        <f>MLCF!E113</f>
        <v>4505.2349228232661</v>
      </c>
      <c r="G559" s="121">
        <f>AVERAGE(MLCF!D70,MLCF!E70)</f>
        <v>59655.372999999992</v>
      </c>
      <c r="H559" s="121">
        <f t="shared" si="16"/>
        <v>7.5521025119116542E-2</v>
      </c>
      <c r="I559" s="121">
        <v>4505.2349228232661</v>
      </c>
      <c r="J559" s="121">
        <v>59655.373</v>
      </c>
      <c r="K559" s="121">
        <v>7.5521025119116528E-2</v>
      </c>
      <c r="L559" s="127">
        <v>7.5521025119116528E-2</v>
      </c>
      <c r="M559" s="127">
        <f>MLCF!E166</f>
        <v>7.5521025119116542E-2</v>
      </c>
      <c r="N559" s="128" t="str">
        <f t="shared" si="17"/>
        <v>PASS</v>
      </c>
      <c r="O559" s="68"/>
      <c r="P559" s="50" t="s">
        <v>504</v>
      </c>
    </row>
    <row r="560" spans="1:16" ht="25.95" customHeight="1" x14ac:dyDescent="0.3">
      <c r="A560" s="119" t="s">
        <v>106</v>
      </c>
      <c r="B560" s="119">
        <v>2022</v>
      </c>
      <c r="C560" s="119">
        <v>27</v>
      </c>
      <c r="D560" s="119" t="s">
        <v>945</v>
      </c>
      <c r="E560" s="119" t="s">
        <v>3545</v>
      </c>
      <c r="F560" s="120">
        <f>MLCF!E108</f>
        <v>8924.5380000000005</v>
      </c>
      <c r="G560" s="120">
        <f>AVERAGE(MLCF!D37,MLCF!E37)</f>
        <v>74226.743999999992</v>
      </c>
      <c r="H560" s="120">
        <f t="shared" si="16"/>
        <v>0.12023345655576649</v>
      </c>
      <c r="I560" s="120">
        <v>8924.5380000000005</v>
      </c>
      <c r="J560" s="120">
        <v>74226.743999999992</v>
      </c>
      <c r="K560" s="120">
        <v>0.12023345655576649</v>
      </c>
      <c r="L560" s="125">
        <v>0.12023345655576649</v>
      </c>
      <c r="M560" s="125">
        <f>MLCF!E167</f>
        <v>0.12023345655576649</v>
      </c>
      <c r="N560" s="126" t="str">
        <f t="shared" si="17"/>
        <v>PASS</v>
      </c>
      <c r="O560" s="122"/>
      <c r="P560" s="119" t="s">
        <v>504</v>
      </c>
    </row>
    <row r="561" spans="1:16" ht="25.95" customHeight="1" x14ac:dyDescent="0.3">
      <c r="A561" s="50" t="s">
        <v>106</v>
      </c>
      <c r="B561" s="50">
        <v>2022</v>
      </c>
      <c r="C561" s="50">
        <v>28</v>
      </c>
      <c r="D561" s="50" t="s">
        <v>139</v>
      </c>
      <c r="E561" s="50" t="s">
        <v>3545</v>
      </c>
      <c r="F561" s="121">
        <f>MLCF!E41</f>
        <v>40559.014999999999</v>
      </c>
      <c r="G561" s="121">
        <f>MLCF!E128</f>
        <v>1079.8011999999999</v>
      </c>
      <c r="H561" s="121">
        <f t="shared" si="16"/>
        <v>37.561557627459578</v>
      </c>
      <c r="I561" s="121">
        <v>40559.014999999999</v>
      </c>
      <c r="J561" s="121">
        <v>1079.8011999999999</v>
      </c>
      <c r="K561" s="121">
        <v>37.561557627459578</v>
      </c>
      <c r="L561" s="127">
        <v>37.561557627459578</v>
      </c>
      <c r="M561" s="127">
        <f>MLCF!E169</f>
        <v>37.561557627459578</v>
      </c>
      <c r="N561" s="128" t="str">
        <f t="shared" si="17"/>
        <v>PASS</v>
      </c>
      <c r="O561" s="68"/>
      <c r="P561" s="50" t="s">
        <v>519</v>
      </c>
    </row>
    <row r="562" spans="1:16" ht="25.95" customHeight="1" x14ac:dyDescent="0.3">
      <c r="A562" s="119" t="s">
        <v>106</v>
      </c>
      <c r="B562" s="119">
        <v>2022</v>
      </c>
      <c r="C562" s="119">
        <v>29</v>
      </c>
      <c r="D562" s="119" t="s">
        <v>162</v>
      </c>
      <c r="E562" s="119" t="s">
        <v>3544</v>
      </c>
      <c r="F562" s="120">
        <f>MLCF!E130</f>
        <v>27.35</v>
      </c>
      <c r="G562" s="120">
        <f>MLCF!E41/MLCF!E128</f>
        <v>37.561557627459578</v>
      </c>
      <c r="H562" s="120">
        <f t="shared" si="16"/>
        <v>0.72813806794864222</v>
      </c>
      <c r="I562" s="120">
        <v>27.35</v>
      </c>
      <c r="J562" s="120">
        <v>37.561557627459578</v>
      </c>
      <c r="K562" s="120">
        <v>0.72813806794864222</v>
      </c>
      <c r="L562" s="125">
        <v>0.72813806794864222</v>
      </c>
      <c r="M562" s="125">
        <f>MLCF!E170</f>
        <v>0.72813806794864222</v>
      </c>
      <c r="N562" s="126" t="str">
        <f t="shared" si="17"/>
        <v>PASS</v>
      </c>
      <c r="O562" s="122"/>
      <c r="P562" s="119" t="s">
        <v>519</v>
      </c>
    </row>
    <row r="563" spans="1:16" ht="25.95" customHeight="1" x14ac:dyDescent="0.3">
      <c r="A563" s="50" t="s">
        <v>106</v>
      </c>
      <c r="B563" s="50">
        <v>2022</v>
      </c>
      <c r="C563" s="50">
        <v>30</v>
      </c>
      <c r="D563" s="50" t="s">
        <v>143</v>
      </c>
      <c r="E563" s="50" t="s">
        <v>3544</v>
      </c>
      <c r="F563" s="121">
        <f>MLCF!E99</f>
        <v>3626.3400000000006</v>
      </c>
      <c r="G563" s="121">
        <f>MLCF!E129</f>
        <v>1097.5239999999999</v>
      </c>
      <c r="H563" s="121">
        <f t="shared" si="16"/>
        <v>3.3041099784606085</v>
      </c>
      <c r="I563" s="121">
        <v>3626.3399999999997</v>
      </c>
      <c r="J563" s="121">
        <v>1097.5239999999999</v>
      </c>
      <c r="K563" s="121">
        <v>3.3041099784606076</v>
      </c>
      <c r="L563" s="127">
        <v>3.3041099784606076</v>
      </c>
      <c r="M563" s="127">
        <f>MLCF!E171</f>
        <v>3.3041099784606085</v>
      </c>
      <c r="N563" s="128" t="str">
        <f t="shared" si="17"/>
        <v>PASS</v>
      </c>
      <c r="O563" s="68"/>
      <c r="P563" s="50" t="s">
        <v>519</v>
      </c>
    </row>
    <row r="564" spans="1:16" ht="25.95" customHeight="1" x14ac:dyDescent="0.3">
      <c r="A564" s="119" t="s">
        <v>106</v>
      </c>
      <c r="B564" s="119">
        <v>2022</v>
      </c>
      <c r="C564" s="119">
        <v>31</v>
      </c>
      <c r="D564" s="119" t="s">
        <v>952</v>
      </c>
      <c r="E564" s="119" t="s">
        <v>3544</v>
      </c>
      <c r="F564" s="120">
        <f>MLCF!E130</f>
        <v>27.35</v>
      </c>
      <c r="G564" s="120">
        <f>MLCF!E99/MLCF!E129</f>
        <v>3.3041099784606085</v>
      </c>
      <c r="H564" s="120">
        <f t="shared" si="16"/>
        <v>8.2775695053414715</v>
      </c>
      <c r="I564" s="120">
        <v>27.35</v>
      </c>
      <c r="J564" s="120">
        <v>3.3041099784606076</v>
      </c>
      <c r="K564" s="120">
        <v>8.2775695053414751</v>
      </c>
      <c r="L564" s="125">
        <v>8.2775695053414751</v>
      </c>
      <c r="M564" s="125">
        <f>MLCF!E172</f>
        <v>8.2775695053414715</v>
      </c>
      <c r="N564" s="126" t="str">
        <f t="shared" si="17"/>
        <v>PASS</v>
      </c>
      <c r="O564" s="122"/>
      <c r="P564" s="119" t="s">
        <v>519</v>
      </c>
    </row>
    <row r="565" spans="1:16" ht="25.95" customHeight="1" x14ac:dyDescent="0.3">
      <c r="A565" s="50" t="s">
        <v>106</v>
      </c>
      <c r="B565" s="50">
        <v>2022</v>
      </c>
      <c r="C565" s="50">
        <v>32</v>
      </c>
      <c r="D565" s="50" t="s">
        <v>104</v>
      </c>
      <c r="E565" s="50" t="s">
        <v>3544</v>
      </c>
      <c r="F565" s="121">
        <f>MLCF!E131</f>
        <v>0</v>
      </c>
      <c r="G565" s="121">
        <f>MLCF!E130</f>
        <v>27.35</v>
      </c>
      <c r="H565" s="121">
        <f t="shared" si="16"/>
        <v>0</v>
      </c>
      <c r="I565" s="121">
        <v>0</v>
      </c>
      <c r="J565" s="121">
        <v>27.35</v>
      </c>
      <c r="K565" s="121">
        <v>0</v>
      </c>
      <c r="L565" s="127">
        <v>0</v>
      </c>
      <c r="M565" s="127">
        <f>MLCF!E173</f>
        <v>0</v>
      </c>
      <c r="N565" s="128" t="str">
        <f t="shared" si="17"/>
        <v>PASS</v>
      </c>
      <c r="O565" s="68"/>
      <c r="P565" s="50" t="s">
        <v>519</v>
      </c>
    </row>
    <row r="566" spans="1:16" ht="25.95" customHeight="1" x14ac:dyDescent="0.3">
      <c r="A566" s="119" t="s">
        <v>106</v>
      </c>
      <c r="B566" s="119">
        <v>2022</v>
      </c>
      <c r="C566" s="119">
        <v>33</v>
      </c>
      <c r="D566" s="119" t="s">
        <v>124</v>
      </c>
      <c r="E566" s="119" t="s">
        <v>3545</v>
      </c>
      <c r="F566" s="120">
        <f>MLCF!E131</f>
        <v>0</v>
      </c>
      <c r="G566" s="120">
        <f>MLCF!E99/MLCF!E129</f>
        <v>3.3041099784606085</v>
      </c>
      <c r="H566" s="120">
        <f t="shared" si="16"/>
        <v>0</v>
      </c>
      <c r="I566" s="120">
        <v>0</v>
      </c>
      <c r="J566" s="120">
        <v>3.3041099784606076</v>
      </c>
      <c r="K566" s="120">
        <v>0</v>
      </c>
      <c r="L566" s="125">
        <v>0</v>
      </c>
      <c r="M566" s="125">
        <f>MLCF!E174</f>
        <v>0</v>
      </c>
      <c r="N566" s="126" t="str">
        <f t="shared" si="17"/>
        <v>PASS</v>
      </c>
      <c r="O566" s="122"/>
      <c r="P566" s="119" t="s">
        <v>519</v>
      </c>
    </row>
    <row r="567" spans="1:16" ht="25.95" customHeight="1" x14ac:dyDescent="0.3">
      <c r="A567" s="50" t="s">
        <v>106</v>
      </c>
      <c r="B567" s="50">
        <v>2023</v>
      </c>
      <c r="C567" s="50">
        <v>1</v>
      </c>
      <c r="D567" s="50" t="s">
        <v>19</v>
      </c>
      <c r="E567" s="50" t="s">
        <v>3544</v>
      </c>
      <c r="F567" s="121">
        <f>MLCF!F36</f>
        <v>22239.666999999998</v>
      </c>
      <c r="G567" s="121">
        <f>MLCF!F61</f>
        <v>16215.021000000001</v>
      </c>
      <c r="H567" s="121">
        <f t="shared" si="16"/>
        <v>1.3715472215546312</v>
      </c>
      <c r="I567" s="121">
        <v>22239.667000000001</v>
      </c>
      <c r="J567" s="121">
        <v>16215.021000000001</v>
      </c>
      <c r="K567" s="121">
        <v>1.3715472215546314</v>
      </c>
      <c r="L567" s="127">
        <v>1.3715472215546314</v>
      </c>
      <c r="M567" s="127">
        <f>MLCF!F138</f>
        <v>1.3715472215546312</v>
      </c>
      <c r="N567" s="128" t="str">
        <f t="shared" si="17"/>
        <v>PASS</v>
      </c>
      <c r="O567" s="68"/>
      <c r="P567" s="50" t="s">
        <v>459</v>
      </c>
    </row>
    <row r="568" spans="1:16" ht="25.95" customHeight="1" x14ac:dyDescent="0.3">
      <c r="A568" s="119" t="s">
        <v>106</v>
      </c>
      <c r="B568" s="119">
        <v>2023</v>
      </c>
      <c r="C568" s="119">
        <v>2</v>
      </c>
      <c r="D568" s="119" t="s">
        <v>30</v>
      </c>
      <c r="E568" s="119" t="s">
        <v>3544</v>
      </c>
      <c r="F568" s="120">
        <f>MLCF!F36-MLCF!F65</f>
        <v>8439.2069999999985</v>
      </c>
      <c r="G568" s="120">
        <f>MLCF!F61</f>
        <v>16215.021000000001</v>
      </c>
      <c r="H568" s="120">
        <f t="shared" si="16"/>
        <v>0.5204561252187091</v>
      </c>
      <c r="I568" s="120">
        <v>8439.2070000000022</v>
      </c>
      <c r="J568" s="120">
        <v>16215.021000000001</v>
      </c>
      <c r="K568" s="120">
        <v>0.52045612521870932</v>
      </c>
      <c r="L568" s="125">
        <v>0.52045612521870932</v>
      </c>
      <c r="M568" s="125">
        <f>MLCF!F139</f>
        <v>0.5204561252187091</v>
      </c>
      <c r="N568" s="126" t="str">
        <f t="shared" si="17"/>
        <v>PASS</v>
      </c>
      <c r="O568" s="122"/>
      <c r="P568" s="119" t="s">
        <v>459</v>
      </c>
    </row>
    <row r="569" spans="1:16" ht="25.95" customHeight="1" x14ac:dyDescent="0.3">
      <c r="A569" s="50" t="s">
        <v>106</v>
      </c>
      <c r="B569" s="50">
        <v>2023</v>
      </c>
      <c r="C569" s="50">
        <v>3</v>
      </c>
      <c r="D569" s="50" t="s">
        <v>145</v>
      </c>
      <c r="E569" s="50" t="s">
        <v>3544</v>
      </c>
      <c r="F569" s="121">
        <f>MLCF!F34</f>
        <v>740.70699999999999</v>
      </c>
      <c r="G569" s="121">
        <f>MLCF!F61</f>
        <v>16215.021000000001</v>
      </c>
      <c r="H569" s="121">
        <f t="shared" si="16"/>
        <v>4.5680298533070048E-2</v>
      </c>
      <c r="I569" s="121">
        <v>740.70699999999999</v>
      </c>
      <c r="J569" s="121">
        <v>16215.021000000001</v>
      </c>
      <c r="K569" s="121">
        <v>4.5680298533070048E-2</v>
      </c>
      <c r="L569" s="127">
        <v>4.5680298533070048E-2</v>
      </c>
      <c r="M569" s="127">
        <f>MLCF!F140</f>
        <v>4.5680298533070048E-2</v>
      </c>
      <c r="N569" s="128" t="str">
        <f t="shared" si="17"/>
        <v>PASS</v>
      </c>
      <c r="O569" s="68"/>
      <c r="P569" s="50" t="s">
        <v>459</v>
      </c>
    </row>
    <row r="570" spans="1:16" ht="25.95" customHeight="1" x14ac:dyDescent="0.3">
      <c r="A570" s="119" t="s">
        <v>106</v>
      </c>
      <c r="B570" s="119">
        <v>2023</v>
      </c>
      <c r="C570" s="119">
        <v>4</v>
      </c>
      <c r="D570" s="119" t="s">
        <v>201</v>
      </c>
      <c r="E570" s="119" t="s">
        <v>3545</v>
      </c>
      <c r="F570" s="120">
        <f>MLCF!F36-MLCF!F61</f>
        <v>6024.645999999997</v>
      </c>
      <c r="G570" s="120">
        <f>1</f>
        <v>1</v>
      </c>
      <c r="H570" s="120">
        <f t="shared" si="16"/>
        <v>6024.645999999997</v>
      </c>
      <c r="I570" s="120">
        <v>6024.6460000000006</v>
      </c>
      <c r="J570" s="120">
        <v>1</v>
      </c>
      <c r="K570" s="120">
        <v>6024.6460000000006</v>
      </c>
      <c r="L570" s="125">
        <v>6024.6460000000006</v>
      </c>
      <c r="M570" s="125">
        <f>MLCF!F141</f>
        <v>6024.645999999997</v>
      </c>
      <c r="N570" s="126" t="str">
        <f t="shared" si="17"/>
        <v>PASS</v>
      </c>
      <c r="O570" s="122"/>
      <c r="P570" s="119" t="s">
        <v>459</v>
      </c>
    </row>
    <row r="571" spans="1:16" ht="25.95" customHeight="1" x14ac:dyDescent="0.3">
      <c r="A571" s="50" t="s">
        <v>106</v>
      </c>
      <c r="B571" s="50">
        <v>2023</v>
      </c>
      <c r="C571" s="50">
        <v>5</v>
      </c>
      <c r="D571" s="50" t="s">
        <v>923</v>
      </c>
      <c r="E571" s="50" t="s">
        <v>3545</v>
      </c>
      <c r="F571" s="121">
        <f>MLCF!F72-MLCF!F73</f>
        <v>5291.2239999999983</v>
      </c>
      <c r="G571" s="121">
        <f>1</f>
        <v>1</v>
      </c>
      <c r="H571" s="121">
        <f t="shared" si="16"/>
        <v>5291.2239999999983</v>
      </c>
      <c r="I571" s="121">
        <v>5291.224000000002</v>
      </c>
      <c r="J571" s="121">
        <v>1</v>
      </c>
      <c r="K571" s="121">
        <v>5291.224000000002</v>
      </c>
      <c r="L571" s="127">
        <v>5291.224000000002</v>
      </c>
      <c r="M571" s="127">
        <f>MLCF!F142</f>
        <v>5291.2239999999983</v>
      </c>
      <c r="N571" s="128" t="str">
        <f t="shared" si="17"/>
        <v>PASS</v>
      </c>
      <c r="O571" s="68"/>
      <c r="P571" s="50" t="s">
        <v>459</v>
      </c>
    </row>
    <row r="572" spans="1:16" ht="25.95" customHeight="1" x14ac:dyDescent="0.3">
      <c r="A572" s="119" t="s">
        <v>106</v>
      </c>
      <c r="B572" s="119">
        <v>2023</v>
      </c>
      <c r="C572" s="119">
        <v>6</v>
      </c>
      <c r="D572" s="119" t="s">
        <v>31</v>
      </c>
      <c r="E572" s="119" t="s">
        <v>3544</v>
      </c>
      <c r="F572" s="120">
        <f>-MLCF!F85</f>
        <v>43901.906000000003</v>
      </c>
      <c r="G572" s="120">
        <f>AVERAGE(MLCF!E65,MLCF!F65)</f>
        <v>14674.842999999999</v>
      </c>
      <c r="H572" s="120">
        <f t="shared" si="16"/>
        <v>2.991643999189634</v>
      </c>
      <c r="I572" s="120">
        <v>43901.906000000003</v>
      </c>
      <c r="J572" s="120">
        <v>14674.842999999999</v>
      </c>
      <c r="K572" s="120">
        <v>2.991643999189634</v>
      </c>
      <c r="L572" s="125">
        <v>2.991643999189634</v>
      </c>
      <c r="M572" s="125">
        <f>MLCF!F144</f>
        <v>2.991643999189634</v>
      </c>
      <c r="N572" s="126" t="str">
        <f t="shared" si="17"/>
        <v>PASS</v>
      </c>
      <c r="O572" s="122"/>
      <c r="P572" s="119" t="s">
        <v>471</v>
      </c>
    </row>
    <row r="573" spans="1:16" ht="25.95" customHeight="1" x14ac:dyDescent="0.3">
      <c r="A573" s="50" t="s">
        <v>106</v>
      </c>
      <c r="B573" s="50">
        <v>2023</v>
      </c>
      <c r="C573" s="50">
        <v>7</v>
      </c>
      <c r="D573" s="50" t="s">
        <v>129</v>
      </c>
      <c r="E573" s="50" t="s">
        <v>3545</v>
      </c>
      <c r="F573" s="121">
        <f>MLCF!F84</f>
        <v>62075.258999999998</v>
      </c>
      <c r="G573" s="121">
        <f>AVERAGE(MLCF!E32,MLCF!F32)</f>
        <v>2333.5985000000001</v>
      </c>
      <c r="H573" s="121">
        <f t="shared" si="16"/>
        <v>26.600659453629234</v>
      </c>
      <c r="I573" s="121">
        <v>62075.258999999998</v>
      </c>
      <c r="J573" s="121">
        <v>2333.5985000000001</v>
      </c>
      <c r="K573" s="121">
        <v>26.600659453629234</v>
      </c>
      <c r="L573" s="127">
        <v>26.600659453629234</v>
      </c>
      <c r="M573" s="127">
        <f>MLCF!F145</f>
        <v>26.600659453629234</v>
      </c>
      <c r="N573" s="128" t="str">
        <f t="shared" si="17"/>
        <v>PASS</v>
      </c>
      <c r="O573" s="68"/>
      <c r="P573" s="50" t="s">
        <v>471</v>
      </c>
    </row>
    <row r="574" spans="1:16" ht="25.95" customHeight="1" x14ac:dyDescent="0.3">
      <c r="A574" s="119" t="s">
        <v>106</v>
      </c>
      <c r="B574" s="119">
        <v>2023</v>
      </c>
      <c r="C574" s="119">
        <v>8</v>
      </c>
      <c r="D574" s="119" t="s">
        <v>133</v>
      </c>
      <c r="E574" s="119" t="s">
        <v>3545</v>
      </c>
      <c r="F574" s="120">
        <f>-MLCF!F85</f>
        <v>43901.906000000003</v>
      </c>
      <c r="G574" s="120">
        <f>AVERAGE(MLCF!E51,MLCF!F51)</f>
        <v>5392.2639999999992</v>
      </c>
      <c r="H574" s="120">
        <f t="shared" si="16"/>
        <v>8.1416462547085988</v>
      </c>
      <c r="I574" s="120">
        <v>43901.906000000003</v>
      </c>
      <c r="J574" s="120">
        <v>5392.2639999999992</v>
      </c>
      <c r="K574" s="120">
        <v>8.1416462547085988</v>
      </c>
      <c r="L574" s="125">
        <v>8.1416462547085988</v>
      </c>
      <c r="M574" s="125">
        <f>MLCF!F146</f>
        <v>8.1416462547085988</v>
      </c>
      <c r="N574" s="126" t="str">
        <f t="shared" si="17"/>
        <v>PASS</v>
      </c>
      <c r="O574" s="122"/>
      <c r="P574" s="119" t="s">
        <v>471</v>
      </c>
    </row>
    <row r="575" spans="1:16" ht="25.95" customHeight="1" x14ac:dyDescent="0.3">
      <c r="A575" s="50" t="s">
        <v>106</v>
      </c>
      <c r="B575" s="50">
        <v>2023</v>
      </c>
      <c r="C575" s="50">
        <v>9</v>
      </c>
      <c r="D575" s="50" t="s">
        <v>134</v>
      </c>
      <c r="E575" s="50" t="s">
        <v>3545</v>
      </c>
      <c r="F575" s="121">
        <f>365*AVERAGE(MLCF!E65,MLCF!F65)</f>
        <v>5356317.6949999994</v>
      </c>
      <c r="G575" s="121">
        <f>-MLCF!F85</f>
        <v>43901.906000000003</v>
      </c>
      <c r="H575" s="121">
        <f t="shared" si="16"/>
        <v>122.0064954583065</v>
      </c>
      <c r="I575" s="121">
        <v>5356317.6949999994</v>
      </c>
      <c r="J575" s="121">
        <v>43901.906000000003</v>
      </c>
      <c r="K575" s="121">
        <v>122.0064954583065</v>
      </c>
      <c r="L575" s="127">
        <v>122.0064954583065</v>
      </c>
      <c r="M575" s="127">
        <f>MLCF!F147</f>
        <v>122.0064954583065</v>
      </c>
      <c r="N575" s="128" t="str">
        <f t="shared" si="17"/>
        <v>PASS</v>
      </c>
      <c r="O575" s="68"/>
      <c r="P575" s="50" t="s">
        <v>471</v>
      </c>
    </row>
    <row r="576" spans="1:16" ht="25.95" customHeight="1" x14ac:dyDescent="0.3">
      <c r="A576" s="119" t="s">
        <v>106</v>
      </c>
      <c r="B576" s="119">
        <v>2023</v>
      </c>
      <c r="C576" s="119">
        <v>10</v>
      </c>
      <c r="D576" s="119" t="s">
        <v>187</v>
      </c>
      <c r="E576" s="119" t="s">
        <v>3544</v>
      </c>
      <c r="F576" s="120">
        <f>365*AVERAGE(MLCF!E32,MLCF!F32)</f>
        <v>851763.45250000001</v>
      </c>
      <c r="G576" s="120">
        <f>MLCF!F84</f>
        <v>62075.258999999998</v>
      </c>
      <c r="H576" s="120">
        <f t="shared" si="16"/>
        <v>13.72146433573479</v>
      </c>
      <c r="I576" s="120">
        <v>851763.45250000001</v>
      </c>
      <c r="J576" s="120">
        <v>62075.258999999998</v>
      </c>
      <c r="K576" s="120">
        <v>13.72146433573479</v>
      </c>
      <c r="L576" s="125">
        <v>13.72146433573479</v>
      </c>
      <c r="M576" s="125">
        <f>MLCF!F148</f>
        <v>13.72146433573479</v>
      </c>
      <c r="N576" s="126" t="str">
        <f t="shared" si="17"/>
        <v>PASS</v>
      </c>
      <c r="O576" s="122"/>
      <c r="P576" s="119" t="s">
        <v>471</v>
      </c>
    </row>
    <row r="577" spans="1:16" ht="25.95" customHeight="1" x14ac:dyDescent="0.3">
      <c r="A577" s="50" t="s">
        <v>106</v>
      </c>
      <c r="B577" s="50">
        <v>2023</v>
      </c>
      <c r="C577" s="50">
        <v>11</v>
      </c>
      <c r="D577" s="50" t="s">
        <v>190</v>
      </c>
      <c r="E577" s="50" t="s">
        <v>3545</v>
      </c>
      <c r="F577" s="121">
        <f>365*AVERAGE(MLCF!E51,MLCF!F51)</f>
        <v>1968176.3599999996</v>
      </c>
      <c r="G577" s="121">
        <f>-MLCF!F85</f>
        <v>43901.906000000003</v>
      </c>
      <c r="H577" s="121">
        <f t="shared" si="16"/>
        <v>44.831228056476625</v>
      </c>
      <c r="I577" s="121">
        <v>1968176.3599999996</v>
      </c>
      <c r="J577" s="121">
        <v>43901.906000000003</v>
      </c>
      <c r="K577" s="121">
        <v>44.831228056476625</v>
      </c>
      <c r="L577" s="127">
        <v>44.831228056476625</v>
      </c>
      <c r="M577" s="127">
        <f>MLCF!F149</f>
        <v>44.831228056476625</v>
      </c>
      <c r="N577" s="128" t="str">
        <f t="shared" si="17"/>
        <v>PASS</v>
      </c>
      <c r="O577" s="68"/>
      <c r="P577" s="50" t="s">
        <v>471</v>
      </c>
    </row>
    <row r="578" spans="1:16" ht="25.95" customHeight="1" x14ac:dyDescent="0.3">
      <c r="A578" s="119" t="s">
        <v>106</v>
      </c>
      <c r="B578" s="119">
        <v>2023</v>
      </c>
      <c r="C578" s="119">
        <v>12</v>
      </c>
      <c r="D578" s="119" t="s">
        <v>192</v>
      </c>
      <c r="E578" s="119" t="s">
        <v>3545</v>
      </c>
      <c r="F578" s="120">
        <f>365*AVERAGE(MLCF!E65,MLCF!F65)/(-MLCF!F85)+365*AVERAGE(MLCF!E32,MLCF!F32)/MLCF!F84</f>
        <v>135.72795979404128</v>
      </c>
      <c r="G578" s="120">
        <f>1</f>
        <v>1</v>
      </c>
      <c r="H578" s="120">
        <f t="shared" si="16"/>
        <v>135.72795979404128</v>
      </c>
      <c r="I578" s="120">
        <v>135.72795979404128</v>
      </c>
      <c r="J578" s="120">
        <v>1</v>
      </c>
      <c r="K578" s="120">
        <v>135.72795979404128</v>
      </c>
      <c r="L578" s="125">
        <v>135.72795979404128</v>
      </c>
      <c r="M578" s="125">
        <f>MLCF!F150</f>
        <v>135.72795979404128</v>
      </c>
      <c r="N578" s="126" t="str">
        <f t="shared" si="17"/>
        <v>PASS</v>
      </c>
      <c r="O578" s="122"/>
      <c r="P578" s="119" t="s">
        <v>471</v>
      </c>
    </row>
    <row r="579" spans="1:16" ht="25.95" customHeight="1" x14ac:dyDescent="0.3">
      <c r="A579" s="50" t="s">
        <v>106</v>
      </c>
      <c r="B579" s="50">
        <v>2023</v>
      </c>
      <c r="C579" s="50">
        <v>13</v>
      </c>
      <c r="D579" s="50" t="s">
        <v>150</v>
      </c>
      <c r="E579" s="50" t="s">
        <v>3545</v>
      </c>
      <c r="F579" s="121">
        <f>365*AVERAGE(MLCF!E65,MLCF!F65)/(-MLCF!F85)+365*AVERAGE(MLCF!E32,MLCF!F32)/MLCF!F84-365*AVERAGE(MLCF!E51,MLCF!F51)/(-MLCF!F85)</f>
        <v>90.896731737564664</v>
      </c>
      <c r="G579" s="121">
        <f>1</f>
        <v>1</v>
      </c>
      <c r="H579" s="121">
        <f t="shared" si="16"/>
        <v>90.896731737564664</v>
      </c>
      <c r="I579" s="121">
        <v>90.896731737564664</v>
      </c>
      <c r="J579" s="121">
        <v>1</v>
      </c>
      <c r="K579" s="121">
        <v>90.896731737564664</v>
      </c>
      <c r="L579" s="127">
        <v>90.896731737564664</v>
      </c>
      <c r="M579" s="127">
        <f>MLCF!F151</f>
        <v>90.896731737564664</v>
      </c>
      <c r="N579" s="128" t="str">
        <f t="shared" si="17"/>
        <v>PASS</v>
      </c>
      <c r="O579" s="68"/>
      <c r="P579" s="50" t="s">
        <v>471</v>
      </c>
    </row>
    <row r="580" spans="1:16" ht="25.95" customHeight="1" x14ac:dyDescent="0.3">
      <c r="A580" s="119" t="s">
        <v>106</v>
      </c>
      <c r="B580" s="119">
        <v>2023</v>
      </c>
      <c r="C580" s="119">
        <v>14</v>
      </c>
      <c r="D580" s="119" t="s">
        <v>196</v>
      </c>
      <c r="E580" s="119" t="s">
        <v>3544</v>
      </c>
      <c r="F580" s="120">
        <f>MLCF!F84</f>
        <v>62075.258999999998</v>
      </c>
      <c r="G580" s="120">
        <f>AVERAGE(MLCF!E37,MLCF!F37)</f>
        <v>85960.960500000001</v>
      </c>
      <c r="H580" s="120">
        <f t="shared" si="16"/>
        <v>0.72213314787239957</v>
      </c>
      <c r="I580" s="120">
        <v>62075.258999999998</v>
      </c>
      <c r="J580" s="120">
        <v>85960.960499999986</v>
      </c>
      <c r="K580" s="120">
        <v>0.72213314787239968</v>
      </c>
      <c r="L580" s="125">
        <v>0.72213314787239968</v>
      </c>
      <c r="M580" s="125">
        <f>MLCF!F152</f>
        <v>0.72213314787239957</v>
      </c>
      <c r="N580" s="126" t="str">
        <f t="shared" si="17"/>
        <v>PASS</v>
      </c>
      <c r="O580" s="122"/>
      <c r="P580" s="119" t="s">
        <v>471</v>
      </c>
    </row>
    <row r="581" spans="1:16" ht="25.95" customHeight="1" x14ac:dyDescent="0.3">
      <c r="A581" s="50" t="s">
        <v>106</v>
      </c>
      <c r="B581" s="50">
        <v>2023</v>
      </c>
      <c r="C581" s="50">
        <v>15</v>
      </c>
      <c r="D581" s="50" t="s">
        <v>199</v>
      </c>
      <c r="E581" s="50" t="s">
        <v>3544</v>
      </c>
      <c r="F581" s="121">
        <f>MLCF!F84</f>
        <v>62075.258999999998</v>
      </c>
      <c r="G581" s="121">
        <f>AVERAGE(MLCF!E22,MLCF!F22)</f>
        <v>51054.925999999992</v>
      </c>
      <c r="H581" s="121">
        <f t="shared" si="16"/>
        <v>1.2158524918829576</v>
      </c>
      <c r="I581" s="121">
        <v>62075.258999999998</v>
      </c>
      <c r="J581" s="121">
        <v>51054.925999999992</v>
      </c>
      <c r="K581" s="121">
        <v>1.2158524918829576</v>
      </c>
      <c r="L581" s="127">
        <v>1.2158524918829576</v>
      </c>
      <c r="M581" s="127">
        <f>MLCF!F153</f>
        <v>1.2158524918829576</v>
      </c>
      <c r="N581" s="128" t="str">
        <f t="shared" si="17"/>
        <v>PASS</v>
      </c>
      <c r="O581" s="68"/>
      <c r="P581" s="50" t="s">
        <v>471</v>
      </c>
    </row>
    <row r="582" spans="1:16" ht="25.95" customHeight="1" x14ac:dyDescent="0.3">
      <c r="A582" s="119" t="s">
        <v>106</v>
      </c>
      <c r="B582" s="119">
        <v>2023</v>
      </c>
      <c r="C582" s="119">
        <v>16</v>
      </c>
      <c r="D582" s="119" t="s">
        <v>932</v>
      </c>
      <c r="E582" s="119" t="s">
        <v>3544</v>
      </c>
      <c r="F582" s="120">
        <f>MLCF!F62</f>
        <v>44794.596999999994</v>
      </c>
      <c r="G582" s="120">
        <f>MLCF!F37</f>
        <v>89707.71100000001</v>
      </c>
      <c r="H582" s="120">
        <f t="shared" ref="H582:H645" si="18">IF(G582&lt;=0,"n/m",F582/G582)</f>
        <v>0.49933942690835115</v>
      </c>
      <c r="I582" s="120">
        <v>44794.596999999994</v>
      </c>
      <c r="J582" s="120">
        <v>89707.710999999996</v>
      </c>
      <c r="K582" s="120">
        <v>0.49933942690835126</v>
      </c>
      <c r="L582" s="125">
        <v>0.49933942690835126</v>
      </c>
      <c r="M582" s="125">
        <f>MLCF!F155</f>
        <v>0.49933942690835115</v>
      </c>
      <c r="N582" s="126" t="str">
        <f t="shared" ref="N582:N645" si="19">IF(AND(ABS(F582-I582)&lt;0.000001,ABS(G582-J582)&lt;0.000001,IF(ISNUMBER(L582),IF(ISNUMBER(M582),ABS(L582-M582)&lt;0.00000001,FALSE),M582=L582)),"PASS","FAIL")</f>
        <v>PASS</v>
      </c>
      <c r="O582" s="122"/>
      <c r="P582" s="119" t="s">
        <v>493</v>
      </c>
    </row>
    <row r="583" spans="1:16" ht="25.95" customHeight="1" x14ac:dyDescent="0.3">
      <c r="A583" s="50" t="s">
        <v>106</v>
      </c>
      <c r="B583" s="50">
        <v>2023</v>
      </c>
      <c r="C583" s="50">
        <v>17</v>
      </c>
      <c r="D583" s="50" t="s">
        <v>151</v>
      </c>
      <c r="E583" s="50" t="s">
        <v>3544</v>
      </c>
      <c r="F583" s="121">
        <f>MLCF!F62</f>
        <v>44794.596999999994</v>
      </c>
      <c r="G583" s="121">
        <f>MLCF!F41</f>
        <v>44913.114000000001</v>
      </c>
      <c r="H583" s="121">
        <f t="shared" si="18"/>
        <v>0.99736119388203615</v>
      </c>
      <c r="I583" s="121">
        <v>44794.596999999994</v>
      </c>
      <c r="J583" s="121">
        <v>44913.114000000001</v>
      </c>
      <c r="K583" s="121">
        <v>0.99736119388203615</v>
      </c>
      <c r="L583" s="127">
        <v>0.99736119388203615</v>
      </c>
      <c r="M583" s="127">
        <f>MLCF!F156</f>
        <v>0.99736119388203615</v>
      </c>
      <c r="N583" s="128" t="str">
        <f t="shared" si="19"/>
        <v>PASS</v>
      </c>
      <c r="O583" s="68"/>
      <c r="P583" s="50" t="s">
        <v>493</v>
      </c>
    </row>
    <row r="584" spans="1:16" ht="25.95" customHeight="1" x14ac:dyDescent="0.3">
      <c r="A584" s="119" t="s">
        <v>106</v>
      </c>
      <c r="B584" s="119">
        <v>2023</v>
      </c>
      <c r="C584" s="119">
        <v>18</v>
      </c>
      <c r="D584" s="119" t="s">
        <v>935</v>
      </c>
      <c r="E584" s="119" t="s">
        <v>3545</v>
      </c>
      <c r="F584" s="120">
        <f>MLCF!F66</f>
        <v>19874.403000000002</v>
      </c>
      <c r="G584" s="120">
        <f>MLCF!F66+MLCF!F41</f>
        <v>64787.517000000007</v>
      </c>
      <c r="H584" s="120">
        <f t="shared" si="18"/>
        <v>0.30676284445350793</v>
      </c>
      <c r="I584" s="120">
        <v>19874.402999999998</v>
      </c>
      <c r="J584" s="120">
        <v>64787.517</v>
      </c>
      <c r="K584" s="120">
        <v>0.30676284445350788</v>
      </c>
      <c r="L584" s="125">
        <v>0.30676284445350788</v>
      </c>
      <c r="M584" s="125">
        <f>MLCF!F157</f>
        <v>0.30676284445350793</v>
      </c>
      <c r="N584" s="126" t="str">
        <f t="shared" si="19"/>
        <v>PASS</v>
      </c>
      <c r="O584" s="122"/>
      <c r="P584" s="119" t="s">
        <v>493</v>
      </c>
    </row>
    <row r="585" spans="1:16" ht="25.95" customHeight="1" x14ac:dyDescent="0.3">
      <c r="A585" s="50" t="s">
        <v>106</v>
      </c>
      <c r="B585" s="50">
        <v>2023</v>
      </c>
      <c r="C585" s="50">
        <v>19</v>
      </c>
      <c r="D585" s="50" t="s">
        <v>936</v>
      </c>
      <c r="E585" s="50" t="s">
        <v>3545</v>
      </c>
      <c r="F585" s="121">
        <f>MLCF!F67</f>
        <v>17264.744999999999</v>
      </c>
      <c r="G585" s="121">
        <f>MLCF!F37</f>
        <v>89707.71100000001</v>
      </c>
      <c r="H585" s="121">
        <f t="shared" si="18"/>
        <v>0.19245552926882725</v>
      </c>
      <c r="I585" s="121">
        <v>17264.744999999999</v>
      </c>
      <c r="J585" s="121">
        <v>89707.710999999996</v>
      </c>
      <c r="K585" s="121">
        <v>0.19245552926882728</v>
      </c>
      <c r="L585" s="127">
        <v>0.19245552926882728</v>
      </c>
      <c r="M585" s="127">
        <f>MLCF!F158</f>
        <v>0.19245552926882725</v>
      </c>
      <c r="N585" s="128" t="str">
        <f t="shared" si="19"/>
        <v>PASS</v>
      </c>
      <c r="O585" s="68"/>
      <c r="P585" s="50" t="s">
        <v>493</v>
      </c>
    </row>
    <row r="586" spans="1:16" ht="25.95" customHeight="1" x14ac:dyDescent="0.3">
      <c r="A586" s="119" t="s">
        <v>106</v>
      </c>
      <c r="B586" s="119">
        <v>2023</v>
      </c>
      <c r="C586" s="119">
        <v>20</v>
      </c>
      <c r="D586" s="119" t="s">
        <v>938</v>
      </c>
      <c r="E586" s="119" t="s">
        <v>3544</v>
      </c>
      <c r="F586" s="120">
        <f>MLCF!F108</f>
        <v>12001.414999999997</v>
      </c>
      <c r="G586" s="120">
        <f>MLCF!F106</f>
        <v>2683.1750000000002</v>
      </c>
      <c r="H586" s="120">
        <f t="shared" si="18"/>
        <v>4.4728409440308576</v>
      </c>
      <c r="I586" s="120">
        <v>12001.414999999994</v>
      </c>
      <c r="J586" s="120">
        <v>2683.1750000000002</v>
      </c>
      <c r="K586" s="120">
        <v>4.4728409440308559</v>
      </c>
      <c r="L586" s="125">
        <v>4.4728409440308559</v>
      </c>
      <c r="M586" s="125">
        <f>MLCF!F159</f>
        <v>4.4728409440308576</v>
      </c>
      <c r="N586" s="126" t="str">
        <f t="shared" si="19"/>
        <v>PASS</v>
      </c>
      <c r="O586" s="122"/>
      <c r="P586" s="119" t="s">
        <v>493</v>
      </c>
    </row>
    <row r="587" spans="1:16" ht="25.95" customHeight="1" x14ac:dyDescent="0.3">
      <c r="A587" s="50" t="s">
        <v>106</v>
      </c>
      <c r="B587" s="50">
        <v>2023</v>
      </c>
      <c r="C587" s="50">
        <v>21</v>
      </c>
      <c r="D587" s="50" t="s">
        <v>154</v>
      </c>
      <c r="E587" s="50" t="s">
        <v>3544</v>
      </c>
      <c r="F587" s="121">
        <f>MLCF!F86</f>
        <v>18173.352999999996</v>
      </c>
      <c r="G587" s="121">
        <f>MLCF!F84</f>
        <v>62075.258999999998</v>
      </c>
      <c r="H587" s="121">
        <f t="shared" si="18"/>
        <v>0.29276322471727417</v>
      </c>
      <c r="I587" s="121">
        <v>18173.352999999996</v>
      </c>
      <c r="J587" s="121">
        <v>62075.258999999998</v>
      </c>
      <c r="K587" s="121">
        <v>0.29276322471727417</v>
      </c>
      <c r="L587" s="127">
        <v>0.29276322471727417</v>
      </c>
      <c r="M587" s="127">
        <f>MLCF!F161</f>
        <v>0.29276322471727417</v>
      </c>
      <c r="N587" s="128" t="str">
        <f t="shared" si="19"/>
        <v>PASS</v>
      </c>
      <c r="O587" s="68"/>
      <c r="P587" s="50" t="s">
        <v>504</v>
      </c>
    </row>
    <row r="588" spans="1:16" ht="25.95" customHeight="1" x14ac:dyDescent="0.3">
      <c r="A588" s="119" t="s">
        <v>106</v>
      </c>
      <c r="B588" s="119">
        <v>2023</v>
      </c>
      <c r="C588" s="119">
        <v>22</v>
      </c>
      <c r="D588" s="119" t="s">
        <v>942</v>
      </c>
      <c r="E588" s="119" t="s">
        <v>3544</v>
      </c>
      <c r="F588" s="120">
        <f>MLCF!F91</f>
        <v>11854.768999999997</v>
      </c>
      <c r="G588" s="120">
        <f>MLCF!F84</f>
        <v>62075.258999999998</v>
      </c>
      <c r="H588" s="120">
        <f t="shared" si="18"/>
        <v>0.19097413673296146</v>
      </c>
      <c r="I588" s="120">
        <v>11854.768999999995</v>
      </c>
      <c r="J588" s="120">
        <v>62075.258999999998</v>
      </c>
      <c r="K588" s="120">
        <v>0.19097413673296143</v>
      </c>
      <c r="L588" s="125">
        <v>0.19097413673296143</v>
      </c>
      <c r="M588" s="125">
        <f>MLCF!F162</f>
        <v>0.19097413673296146</v>
      </c>
      <c r="N588" s="126" t="str">
        <f t="shared" si="19"/>
        <v>PASS</v>
      </c>
      <c r="O588" s="122"/>
      <c r="P588" s="119" t="s">
        <v>504</v>
      </c>
    </row>
    <row r="589" spans="1:16" ht="25.95" customHeight="1" x14ac:dyDescent="0.3">
      <c r="A589" s="50" t="s">
        <v>106</v>
      </c>
      <c r="B589" s="50">
        <v>2023</v>
      </c>
      <c r="C589" s="50">
        <v>23</v>
      </c>
      <c r="D589" s="50" t="s">
        <v>155</v>
      </c>
      <c r="E589" s="50" t="s">
        <v>3544</v>
      </c>
      <c r="F589" s="121">
        <f>MLCF!F99</f>
        <v>4491.668999999999</v>
      </c>
      <c r="G589" s="121">
        <f>MLCF!F84</f>
        <v>62075.258999999998</v>
      </c>
      <c r="H589" s="121">
        <f t="shared" si="18"/>
        <v>7.2358441549152441E-2</v>
      </c>
      <c r="I589" s="121">
        <v>4491.6689999999953</v>
      </c>
      <c r="J589" s="121">
        <v>62075.258999999998</v>
      </c>
      <c r="K589" s="121">
        <v>7.2358441549152386E-2</v>
      </c>
      <c r="L589" s="127">
        <v>7.2358441549152386E-2</v>
      </c>
      <c r="M589" s="127">
        <f>MLCF!F163</f>
        <v>7.2358441549152441E-2</v>
      </c>
      <c r="N589" s="128" t="str">
        <f t="shared" si="19"/>
        <v>PASS</v>
      </c>
      <c r="O589" s="68"/>
      <c r="P589" s="50" t="s">
        <v>504</v>
      </c>
    </row>
    <row r="590" spans="1:16" ht="25.95" customHeight="1" x14ac:dyDescent="0.3">
      <c r="A590" s="119" t="s">
        <v>106</v>
      </c>
      <c r="B590" s="119">
        <v>2023</v>
      </c>
      <c r="C590" s="119">
        <v>24</v>
      </c>
      <c r="D590" s="119" t="s">
        <v>136</v>
      </c>
      <c r="E590" s="119" t="s">
        <v>3544</v>
      </c>
      <c r="F590" s="120">
        <f>MLCF!F99</f>
        <v>4491.668999999999</v>
      </c>
      <c r="G590" s="120">
        <f>AVERAGE(MLCF!E37,MLCF!F37)</f>
        <v>85960.960500000001</v>
      </c>
      <c r="H590" s="120">
        <f t="shared" si="18"/>
        <v>5.2252429171030478E-2</v>
      </c>
      <c r="I590" s="120">
        <v>4491.6689999999953</v>
      </c>
      <c r="J590" s="120">
        <v>85960.960499999986</v>
      </c>
      <c r="K590" s="120">
        <v>5.225242917103045E-2</v>
      </c>
      <c r="L590" s="125">
        <v>5.225242917103045E-2</v>
      </c>
      <c r="M590" s="125">
        <f>MLCF!F164</f>
        <v>5.2252429171030478E-2</v>
      </c>
      <c r="N590" s="126" t="str">
        <f t="shared" si="19"/>
        <v>PASS</v>
      </c>
      <c r="O590" s="122"/>
      <c r="P590" s="119" t="s">
        <v>504</v>
      </c>
    </row>
    <row r="591" spans="1:16" ht="25.95" customHeight="1" x14ac:dyDescent="0.3">
      <c r="A591" s="50" t="s">
        <v>106</v>
      </c>
      <c r="B591" s="50">
        <v>2023</v>
      </c>
      <c r="C591" s="50">
        <v>25</v>
      </c>
      <c r="D591" s="50" t="s">
        <v>53</v>
      </c>
      <c r="E591" s="50" t="s">
        <v>3544</v>
      </c>
      <c r="F591" s="121">
        <f>MLCF!F99</f>
        <v>4491.668999999999</v>
      </c>
      <c r="G591" s="121">
        <f>AVERAGE(MLCF!E41,MLCF!F41)</f>
        <v>42736.0645</v>
      </c>
      <c r="H591" s="121">
        <f t="shared" si="18"/>
        <v>0.10510254167180039</v>
      </c>
      <c r="I591" s="121">
        <v>4491.6689999999953</v>
      </c>
      <c r="J591" s="121">
        <v>42736.0645</v>
      </c>
      <c r="K591" s="121">
        <v>0.10510254167180029</v>
      </c>
      <c r="L591" s="127">
        <v>0.10510254167180029</v>
      </c>
      <c r="M591" s="127">
        <f>MLCF!F165</f>
        <v>0.10510254167180039</v>
      </c>
      <c r="N591" s="128" t="str">
        <f t="shared" si="19"/>
        <v>PASS</v>
      </c>
      <c r="O591" s="68"/>
      <c r="P591" s="50" t="s">
        <v>504</v>
      </c>
    </row>
    <row r="592" spans="1:16" ht="25.95" customHeight="1" x14ac:dyDescent="0.3">
      <c r="A592" s="119" t="s">
        <v>106</v>
      </c>
      <c r="B592" s="119">
        <v>2023</v>
      </c>
      <c r="C592" s="119">
        <v>26</v>
      </c>
      <c r="D592" s="119" t="s">
        <v>944</v>
      </c>
      <c r="E592" s="119" t="s">
        <v>3545</v>
      </c>
      <c r="F592" s="120">
        <f>MLCF!F113</f>
        <v>5827.2969626552313</v>
      </c>
      <c r="G592" s="120">
        <f>AVERAGE(MLCF!E70,MLCF!F70)</f>
        <v>65160.123</v>
      </c>
      <c r="H592" s="120">
        <f t="shared" si="18"/>
        <v>8.9430416861785711E-2</v>
      </c>
      <c r="I592" s="120">
        <v>5827.2969626552267</v>
      </c>
      <c r="J592" s="120">
        <v>65160.123</v>
      </c>
      <c r="K592" s="120">
        <v>8.9430416861785642E-2</v>
      </c>
      <c r="L592" s="125">
        <v>8.9430416861785642E-2</v>
      </c>
      <c r="M592" s="125">
        <f>MLCF!F166</f>
        <v>8.9430416861785711E-2</v>
      </c>
      <c r="N592" s="126" t="str">
        <f t="shared" si="19"/>
        <v>PASS</v>
      </c>
      <c r="O592" s="122"/>
      <c r="P592" s="119" t="s">
        <v>504</v>
      </c>
    </row>
    <row r="593" spans="1:16" ht="25.95" customHeight="1" x14ac:dyDescent="0.3">
      <c r="A593" s="50" t="s">
        <v>106</v>
      </c>
      <c r="B593" s="50">
        <v>2023</v>
      </c>
      <c r="C593" s="50">
        <v>27</v>
      </c>
      <c r="D593" s="50" t="s">
        <v>945</v>
      </c>
      <c r="E593" s="50" t="s">
        <v>3545</v>
      </c>
      <c r="F593" s="121">
        <f>MLCF!F108</f>
        <v>12001.414999999997</v>
      </c>
      <c r="G593" s="121">
        <f>AVERAGE(MLCF!E37,MLCF!F37)</f>
        <v>85960.960500000001</v>
      </c>
      <c r="H593" s="121">
        <f t="shared" si="18"/>
        <v>0.13961471498448411</v>
      </c>
      <c r="I593" s="121">
        <v>12001.414999999994</v>
      </c>
      <c r="J593" s="121">
        <v>85960.960499999986</v>
      </c>
      <c r="K593" s="121">
        <v>0.13961471498448411</v>
      </c>
      <c r="L593" s="127">
        <v>0.13961471498448411</v>
      </c>
      <c r="M593" s="127">
        <f>MLCF!F167</f>
        <v>0.13961471498448411</v>
      </c>
      <c r="N593" s="128" t="str">
        <f t="shared" si="19"/>
        <v>PASS</v>
      </c>
      <c r="O593" s="68"/>
      <c r="P593" s="50" t="s">
        <v>504</v>
      </c>
    </row>
    <row r="594" spans="1:16" ht="25.95" customHeight="1" x14ac:dyDescent="0.3">
      <c r="A594" s="119" t="s">
        <v>106</v>
      </c>
      <c r="B594" s="119">
        <v>2023</v>
      </c>
      <c r="C594" s="119">
        <v>28</v>
      </c>
      <c r="D594" s="119" t="s">
        <v>139</v>
      </c>
      <c r="E594" s="119" t="s">
        <v>3545</v>
      </c>
      <c r="F594" s="120">
        <f>MLCF!F41</f>
        <v>44913.114000000001</v>
      </c>
      <c r="G594" s="120">
        <f>MLCF!F128</f>
        <v>1073.3462</v>
      </c>
      <c r="H594" s="120">
        <f t="shared" si="18"/>
        <v>41.844014540695262</v>
      </c>
      <c r="I594" s="120">
        <v>44913.114000000001</v>
      </c>
      <c r="J594" s="120">
        <v>1073.3462</v>
      </c>
      <c r="K594" s="120">
        <v>41.844014540695262</v>
      </c>
      <c r="L594" s="125">
        <v>41.844014540695262</v>
      </c>
      <c r="M594" s="125">
        <f>MLCF!F169</f>
        <v>41.844014540695262</v>
      </c>
      <c r="N594" s="126" t="str">
        <f t="shared" si="19"/>
        <v>PASS</v>
      </c>
      <c r="O594" s="122"/>
      <c r="P594" s="119" t="s">
        <v>519</v>
      </c>
    </row>
    <row r="595" spans="1:16" ht="25.95" customHeight="1" x14ac:dyDescent="0.3">
      <c r="A595" s="50" t="s">
        <v>106</v>
      </c>
      <c r="B595" s="50">
        <v>2023</v>
      </c>
      <c r="C595" s="50">
        <v>29</v>
      </c>
      <c r="D595" s="50" t="s">
        <v>162</v>
      </c>
      <c r="E595" s="50" t="s">
        <v>3544</v>
      </c>
      <c r="F595" s="121">
        <f>MLCF!F130</f>
        <v>28.33</v>
      </c>
      <c r="G595" s="121">
        <f>MLCF!F41/MLCF!F128</f>
        <v>41.844014540695262</v>
      </c>
      <c r="H595" s="121">
        <f t="shared" si="18"/>
        <v>0.67703828877240613</v>
      </c>
      <c r="I595" s="121">
        <v>28.33</v>
      </c>
      <c r="J595" s="121">
        <v>41.844014540695262</v>
      </c>
      <c r="K595" s="121">
        <v>0.67703828877240613</v>
      </c>
      <c r="L595" s="127">
        <v>0.67703828877240613</v>
      </c>
      <c r="M595" s="127">
        <f>MLCF!F170</f>
        <v>0.67703828877240613</v>
      </c>
      <c r="N595" s="128" t="str">
        <f t="shared" si="19"/>
        <v>PASS</v>
      </c>
      <c r="O595" s="68"/>
      <c r="P595" s="50" t="s">
        <v>519</v>
      </c>
    </row>
    <row r="596" spans="1:16" ht="25.95" customHeight="1" x14ac:dyDescent="0.3">
      <c r="A596" s="119" t="s">
        <v>106</v>
      </c>
      <c r="B596" s="119">
        <v>2023</v>
      </c>
      <c r="C596" s="119">
        <v>30</v>
      </c>
      <c r="D596" s="119" t="s">
        <v>143</v>
      </c>
      <c r="E596" s="119" t="s">
        <v>3544</v>
      </c>
      <c r="F596" s="120">
        <f>MLCF!F99</f>
        <v>4491.668999999999</v>
      </c>
      <c r="G596" s="120">
        <f>MLCF!F129</f>
        <v>1073.405</v>
      </c>
      <c r="H596" s="120">
        <f t="shared" si="18"/>
        <v>4.1845053824045904</v>
      </c>
      <c r="I596" s="120">
        <v>4491.6689999999953</v>
      </c>
      <c r="J596" s="120">
        <v>1073.405</v>
      </c>
      <c r="K596" s="120">
        <v>4.1845053824045868</v>
      </c>
      <c r="L596" s="125">
        <v>4.1845053824045868</v>
      </c>
      <c r="M596" s="125">
        <f>MLCF!F171</f>
        <v>4.1845053824045904</v>
      </c>
      <c r="N596" s="126" t="str">
        <f t="shared" si="19"/>
        <v>PASS</v>
      </c>
      <c r="O596" s="122"/>
      <c r="P596" s="119" t="s">
        <v>519</v>
      </c>
    </row>
    <row r="597" spans="1:16" ht="25.95" customHeight="1" x14ac:dyDescent="0.3">
      <c r="A597" s="50" t="s">
        <v>106</v>
      </c>
      <c r="B597" s="50">
        <v>2023</v>
      </c>
      <c r="C597" s="50">
        <v>31</v>
      </c>
      <c r="D597" s="50" t="s">
        <v>952</v>
      </c>
      <c r="E597" s="50" t="s">
        <v>3544</v>
      </c>
      <c r="F597" s="121">
        <f>MLCF!F130</f>
        <v>28.33</v>
      </c>
      <c r="G597" s="121">
        <f>MLCF!F99/MLCF!F129</f>
        <v>4.1845053824045904</v>
      </c>
      <c r="H597" s="121">
        <f t="shared" si="18"/>
        <v>6.7702147353244424</v>
      </c>
      <c r="I597" s="121">
        <v>28.33</v>
      </c>
      <c r="J597" s="121">
        <v>4.1845053824045868</v>
      </c>
      <c r="K597" s="121">
        <v>6.7702147353244477</v>
      </c>
      <c r="L597" s="127">
        <v>6.7702147353244477</v>
      </c>
      <c r="M597" s="127">
        <f>MLCF!F172</f>
        <v>6.7702147353244424</v>
      </c>
      <c r="N597" s="128" t="str">
        <f t="shared" si="19"/>
        <v>PASS</v>
      </c>
      <c r="O597" s="68"/>
      <c r="P597" s="50" t="s">
        <v>519</v>
      </c>
    </row>
    <row r="598" spans="1:16" ht="25.95" customHeight="1" x14ac:dyDescent="0.3">
      <c r="A598" s="119" t="s">
        <v>106</v>
      </c>
      <c r="B598" s="119">
        <v>2023</v>
      </c>
      <c r="C598" s="119">
        <v>32</v>
      </c>
      <c r="D598" s="119" t="s">
        <v>104</v>
      </c>
      <c r="E598" s="119" t="s">
        <v>3544</v>
      </c>
      <c r="F598" s="120">
        <f>MLCF!F131</f>
        <v>0</v>
      </c>
      <c r="G598" s="120">
        <f>MLCF!F130</f>
        <v>28.33</v>
      </c>
      <c r="H598" s="120">
        <f t="shared" si="18"/>
        <v>0</v>
      </c>
      <c r="I598" s="120">
        <v>0</v>
      </c>
      <c r="J598" s="120">
        <v>28.33</v>
      </c>
      <c r="K598" s="120">
        <v>0</v>
      </c>
      <c r="L598" s="125">
        <v>0</v>
      </c>
      <c r="M598" s="125">
        <f>MLCF!F173</f>
        <v>0</v>
      </c>
      <c r="N598" s="126" t="str">
        <f t="shared" si="19"/>
        <v>PASS</v>
      </c>
      <c r="O598" s="122"/>
      <c r="P598" s="119" t="s">
        <v>519</v>
      </c>
    </row>
    <row r="599" spans="1:16" ht="25.95" customHeight="1" x14ac:dyDescent="0.3">
      <c r="A599" s="50" t="s">
        <v>106</v>
      </c>
      <c r="B599" s="50">
        <v>2023</v>
      </c>
      <c r="C599" s="50">
        <v>33</v>
      </c>
      <c r="D599" s="50" t="s">
        <v>124</v>
      </c>
      <c r="E599" s="50" t="s">
        <v>3545</v>
      </c>
      <c r="F599" s="121">
        <f>MLCF!F131</f>
        <v>0</v>
      </c>
      <c r="G599" s="121">
        <f>MLCF!F99/MLCF!F129</f>
        <v>4.1845053824045904</v>
      </c>
      <c r="H599" s="121">
        <f t="shared" si="18"/>
        <v>0</v>
      </c>
      <c r="I599" s="121">
        <v>0</v>
      </c>
      <c r="J599" s="121">
        <v>4.1845053824045868</v>
      </c>
      <c r="K599" s="121">
        <v>0</v>
      </c>
      <c r="L599" s="127">
        <v>0</v>
      </c>
      <c r="M599" s="127">
        <f>MLCF!F174</f>
        <v>0</v>
      </c>
      <c r="N599" s="128" t="str">
        <f t="shared" si="19"/>
        <v>PASS</v>
      </c>
      <c r="O599" s="68"/>
      <c r="P599" s="50" t="s">
        <v>519</v>
      </c>
    </row>
    <row r="600" spans="1:16" ht="25.95" customHeight="1" x14ac:dyDescent="0.3">
      <c r="A600" s="119" t="s">
        <v>106</v>
      </c>
      <c r="B600" s="119">
        <v>2024</v>
      </c>
      <c r="C600" s="119">
        <v>1</v>
      </c>
      <c r="D600" s="119" t="s">
        <v>19</v>
      </c>
      <c r="E600" s="119" t="s">
        <v>3544</v>
      </c>
      <c r="F600" s="120">
        <f>MLCF!G36</f>
        <v>26867.837</v>
      </c>
      <c r="G600" s="120">
        <f>MLCF!G61</f>
        <v>18597.8</v>
      </c>
      <c r="H600" s="120">
        <f t="shared" si="18"/>
        <v>1.4446782415124371</v>
      </c>
      <c r="I600" s="120">
        <v>26867.837</v>
      </c>
      <c r="J600" s="120">
        <v>18597.8</v>
      </c>
      <c r="K600" s="120">
        <v>1.4446782415124371</v>
      </c>
      <c r="L600" s="125">
        <v>1.4446782415124371</v>
      </c>
      <c r="M600" s="125">
        <f>MLCF!G138</f>
        <v>1.4446782415124371</v>
      </c>
      <c r="N600" s="126" t="str">
        <f t="shared" si="19"/>
        <v>PASS</v>
      </c>
      <c r="O600" s="122"/>
      <c r="P600" s="119" t="s">
        <v>459</v>
      </c>
    </row>
    <row r="601" spans="1:16" ht="25.95" customHeight="1" x14ac:dyDescent="0.3">
      <c r="A601" s="50" t="s">
        <v>106</v>
      </c>
      <c r="B601" s="50">
        <v>2024</v>
      </c>
      <c r="C601" s="50">
        <v>2</v>
      </c>
      <c r="D601" s="50" t="s">
        <v>30</v>
      </c>
      <c r="E601" s="50" t="s">
        <v>3544</v>
      </c>
      <c r="F601" s="121">
        <f>MLCF!G36-MLCF!G65</f>
        <v>11333.995999999999</v>
      </c>
      <c r="G601" s="121">
        <f>MLCF!G61</f>
        <v>18597.8</v>
      </c>
      <c r="H601" s="121">
        <f t="shared" si="18"/>
        <v>0.60942670638462615</v>
      </c>
      <c r="I601" s="121">
        <v>11333.995999999999</v>
      </c>
      <c r="J601" s="121">
        <v>18597.8</v>
      </c>
      <c r="K601" s="121">
        <v>0.60942670638462615</v>
      </c>
      <c r="L601" s="127">
        <v>0.60942670638462615</v>
      </c>
      <c r="M601" s="127">
        <f>MLCF!G139</f>
        <v>0.60942670638462615</v>
      </c>
      <c r="N601" s="128" t="str">
        <f t="shared" si="19"/>
        <v>PASS</v>
      </c>
      <c r="O601" s="68"/>
      <c r="P601" s="50" t="s">
        <v>459</v>
      </c>
    </row>
    <row r="602" spans="1:16" ht="25.95" customHeight="1" x14ac:dyDescent="0.3">
      <c r="A602" s="119" t="s">
        <v>106</v>
      </c>
      <c r="B602" s="119">
        <v>2024</v>
      </c>
      <c r="C602" s="119">
        <v>3</v>
      </c>
      <c r="D602" s="119" t="s">
        <v>145</v>
      </c>
      <c r="E602" s="119" t="s">
        <v>3544</v>
      </c>
      <c r="F602" s="120">
        <f>MLCF!G34</f>
        <v>1133.412</v>
      </c>
      <c r="G602" s="120">
        <f>MLCF!G61</f>
        <v>18597.8</v>
      </c>
      <c r="H602" s="120">
        <f t="shared" si="18"/>
        <v>6.0943337383991658E-2</v>
      </c>
      <c r="I602" s="120">
        <v>1133.412</v>
      </c>
      <c r="J602" s="120">
        <v>18597.8</v>
      </c>
      <c r="K602" s="120">
        <v>6.0943337383991658E-2</v>
      </c>
      <c r="L602" s="125">
        <v>6.0943337383991658E-2</v>
      </c>
      <c r="M602" s="125">
        <f>MLCF!G140</f>
        <v>6.0943337383991658E-2</v>
      </c>
      <c r="N602" s="126" t="str">
        <f t="shared" si="19"/>
        <v>PASS</v>
      </c>
      <c r="O602" s="122"/>
      <c r="P602" s="119" t="s">
        <v>459</v>
      </c>
    </row>
    <row r="603" spans="1:16" ht="25.95" customHeight="1" x14ac:dyDescent="0.3">
      <c r="A603" s="50" t="s">
        <v>106</v>
      </c>
      <c r="B603" s="50">
        <v>2024</v>
      </c>
      <c r="C603" s="50">
        <v>4</v>
      </c>
      <c r="D603" s="50" t="s">
        <v>201</v>
      </c>
      <c r="E603" s="50" t="s">
        <v>3545</v>
      </c>
      <c r="F603" s="121">
        <f>MLCF!G36-MLCF!G61</f>
        <v>8270.0370000000003</v>
      </c>
      <c r="G603" s="121">
        <f>1</f>
        <v>1</v>
      </c>
      <c r="H603" s="121">
        <f t="shared" si="18"/>
        <v>8270.0370000000003</v>
      </c>
      <c r="I603" s="121">
        <v>8270.0370000000003</v>
      </c>
      <c r="J603" s="121">
        <v>1</v>
      </c>
      <c r="K603" s="121">
        <v>8270.0370000000003</v>
      </c>
      <c r="L603" s="127">
        <v>8270.0370000000003</v>
      </c>
      <c r="M603" s="127">
        <f>MLCF!G141</f>
        <v>8270.0370000000003</v>
      </c>
      <c r="N603" s="128" t="str">
        <f t="shared" si="19"/>
        <v>PASS</v>
      </c>
      <c r="O603" s="68"/>
      <c r="P603" s="50" t="s">
        <v>459</v>
      </c>
    </row>
    <row r="604" spans="1:16" ht="25.95" customHeight="1" x14ac:dyDescent="0.3">
      <c r="A604" s="119" t="s">
        <v>106</v>
      </c>
      <c r="B604" s="119">
        <v>2024</v>
      </c>
      <c r="C604" s="119">
        <v>5</v>
      </c>
      <c r="D604" s="119" t="s">
        <v>923</v>
      </c>
      <c r="E604" s="119" t="s">
        <v>3545</v>
      </c>
      <c r="F604" s="120">
        <f>MLCF!G72-MLCF!G73</f>
        <v>9031.93</v>
      </c>
      <c r="G604" s="120">
        <f>1</f>
        <v>1</v>
      </c>
      <c r="H604" s="120">
        <f t="shared" si="18"/>
        <v>9031.93</v>
      </c>
      <c r="I604" s="120">
        <v>9031.93</v>
      </c>
      <c r="J604" s="120">
        <v>1</v>
      </c>
      <c r="K604" s="120">
        <v>9031.93</v>
      </c>
      <c r="L604" s="125">
        <v>9031.93</v>
      </c>
      <c r="M604" s="125">
        <f>MLCF!G142</f>
        <v>9031.93</v>
      </c>
      <c r="N604" s="126" t="str">
        <f t="shared" si="19"/>
        <v>PASS</v>
      </c>
      <c r="O604" s="122"/>
      <c r="P604" s="119" t="s">
        <v>459</v>
      </c>
    </row>
    <row r="605" spans="1:16" ht="25.95" customHeight="1" x14ac:dyDescent="0.3">
      <c r="A605" s="50" t="s">
        <v>106</v>
      </c>
      <c r="B605" s="50">
        <v>2024</v>
      </c>
      <c r="C605" s="50">
        <v>6</v>
      </c>
      <c r="D605" s="50" t="s">
        <v>31</v>
      </c>
      <c r="E605" s="50" t="s">
        <v>3544</v>
      </c>
      <c r="F605" s="121">
        <f>-MLCF!G85</f>
        <v>45488.063999999998</v>
      </c>
      <c r="G605" s="121">
        <f>AVERAGE(MLCF!F65,MLCF!G65)</f>
        <v>14667.1505</v>
      </c>
      <c r="H605" s="121">
        <f t="shared" si="18"/>
        <v>3.1013565995658121</v>
      </c>
      <c r="I605" s="121">
        <v>45488.063999999998</v>
      </c>
      <c r="J605" s="121">
        <v>14667.1505</v>
      </c>
      <c r="K605" s="121">
        <v>3.1013565995658121</v>
      </c>
      <c r="L605" s="127">
        <v>3.1013565995658121</v>
      </c>
      <c r="M605" s="127">
        <f>MLCF!G144</f>
        <v>3.1013565995658121</v>
      </c>
      <c r="N605" s="128" t="str">
        <f t="shared" si="19"/>
        <v>PASS</v>
      </c>
      <c r="O605" s="68"/>
      <c r="P605" s="50" t="s">
        <v>471</v>
      </c>
    </row>
    <row r="606" spans="1:16" ht="25.95" customHeight="1" x14ac:dyDescent="0.3">
      <c r="A606" s="119" t="s">
        <v>106</v>
      </c>
      <c r="B606" s="119">
        <v>2024</v>
      </c>
      <c r="C606" s="119">
        <v>7</v>
      </c>
      <c r="D606" s="119" t="s">
        <v>129</v>
      </c>
      <c r="E606" s="119" t="s">
        <v>3545</v>
      </c>
      <c r="F606" s="120">
        <f>MLCF!G84</f>
        <v>66452.347999999998</v>
      </c>
      <c r="G606" s="120">
        <f>AVERAGE(MLCF!F32,MLCF!G32)</f>
        <v>3394.8649999999998</v>
      </c>
      <c r="H606" s="120">
        <f t="shared" si="18"/>
        <v>19.574371293114748</v>
      </c>
      <c r="I606" s="120">
        <v>66452.347999999998</v>
      </c>
      <c r="J606" s="120">
        <v>3394.8649999999998</v>
      </c>
      <c r="K606" s="120">
        <v>19.574371293114748</v>
      </c>
      <c r="L606" s="125">
        <v>19.574371293114748</v>
      </c>
      <c r="M606" s="125">
        <f>MLCF!G145</f>
        <v>19.574371293114748</v>
      </c>
      <c r="N606" s="126" t="str">
        <f t="shared" si="19"/>
        <v>PASS</v>
      </c>
      <c r="O606" s="122"/>
      <c r="P606" s="119" t="s">
        <v>471</v>
      </c>
    </row>
    <row r="607" spans="1:16" ht="25.95" customHeight="1" x14ac:dyDescent="0.3">
      <c r="A607" s="50" t="s">
        <v>106</v>
      </c>
      <c r="B607" s="50">
        <v>2024</v>
      </c>
      <c r="C607" s="50">
        <v>8</v>
      </c>
      <c r="D607" s="50" t="s">
        <v>133</v>
      </c>
      <c r="E607" s="50" t="s">
        <v>3545</v>
      </c>
      <c r="F607" s="121">
        <f>-MLCF!G85</f>
        <v>45488.063999999998</v>
      </c>
      <c r="G607" s="121">
        <f>AVERAGE(MLCF!F51,MLCF!G51)</f>
        <v>6036.4130000000005</v>
      </c>
      <c r="H607" s="121">
        <f t="shared" si="18"/>
        <v>7.535611628959118</v>
      </c>
      <c r="I607" s="121">
        <v>45488.063999999998</v>
      </c>
      <c r="J607" s="121">
        <v>6036.4129999999996</v>
      </c>
      <c r="K607" s="121">
        <v>7.5356116289591188</v>
      </c>
      <c r="L607" s="127">
        <v>7.5356116289591188</v>
      </c>
      <c r="M607" s="127">
        <f>MLCF!G146</f>
        <v>7.535611628959118</v>
      </c>
      <c r="N607" s="128" t="str">
        <f t="shared" si="19"/>
        <v>PASS</v>
      </c>
      <c r="O607" s="68"/>
      <c r="P607" s="50" t="s">
        <v>471</v>
      </c>
    </row>
    <row r="608" spans="1:16" ht="25.95" customHeight="1" x14ac:dyDescent="0.3">
      <c r="A608" s="119" t="s">
        <v>106</v>
      </c>
      <c r="B608" s="119">
        <v>2024</v>
      </c>
      <c r="C608" s="119">
        <v>9</v>
      </c>
      <c r="D608" s="119" t="s">
        <v>134</v>
      </c>
      <c r="E608" s="119" t="s">
        <v>3545</v>
      </c>
      <c r="F608" s="120">
        <f>365*AVERAGE(MLCF!F65,MLCF!G65)</f>
        <v>5353509.9325000001</v>
      </c>
      <c r="G608" s="120">
        <f>-MLCF!G85</f>
        <v>45488.063999999998</v>
      </c>
      <c r="H608" s="120">
        <f t="shared" si="18"/>
        <v>117.69043264844159</v>
      </c>
      <c r="I608" s="120">
        <v>5353509.9325000001</v>
      </c>
      <c r="J608" s="120">
        <v>45488.063999999998</v>
      </c>
      <c r="K608" s="120">
        <v>117.69043264844159</v>
      </c>
      <c r="L608" s="125">
        <v>117.69043264844159</v>
      </c>
      <c r="M608" s="125">
        <f>MLCF!G147</f>
        <v>117.69043264844159</v>
      </c>
      <c r="N608" s="126" t="str">
        <f t="shared" si="19"/>
        <v>PASS</v>
      </c>
      <c r="O608" s="122"/>
      <c r="P608" s="119" t="s">
        <v>471</v>
      </c>
    </row>
    <row r="609" spans="1:16" ht="25.95" customHeight="1" x14ac:dyDescent="0.3">
      <c r="A609" s="50" t="s">
        <v>106</v>
      </c>
      <c r="B609" s="50">
        <v>2024</v>
      </c>
      <c r="C609" s="50">
        <v>10</v>
      </c>
      <c r="D609" s="50" t="s">
        <v>187</v>
      </c>
      <c r="E609" s="50" t="s">
        <v>3544</v>
      </c>
      <c r="F609" s="121">
        <f>365*AVERAGE(MLCF!F32,MLCF!G32)</f>
        <v>1239125.7249999999</v>
      </c>
      <c r="G609" s="121">
        <f>MLCF!G84</f>
        <v>66452.347999999998</v>
      </c>
      <c r="H609" s="121">
        <f t="shared" si="18"/>
        <v>18.646831335440545</v>
      </c>
      <c r="I609" s="121">
        <v>1239125.7249999999</v>
      </c>
      <c r="J609" s="121">
        <v>66452.347999999998</v>
      </c>
      <c r="K609" s="121">
        <v>18.646831335440545</v>
      </c>
      <c r="L609" s="127">
        <v>18.646831335440545</v>
      </c>
      <c r="M609" s="127">
        <f>MLCF!G148</f>
        <v>18.646831335440545</v>
      </c>
      <c r="N609" s="128" t="str">
        <f t="shared" si="19"/>
        <v>PASS</v>
      </c>
      <c r="O609" s="68"/>
      <c r="P609" s="50" t="s">
        <v>471</v>
      </c>
    </row>
    <row r="610" spans="1:16" ht="25.95" customHeight="1" x14ac:dyDescent="0.3">
      <c r="A610" s="119" t="s">
        <v>106</v>
      </c>
      <c r="B610" s="119">
        <v>2024</v>
      </c>
      <c r="C610" s="119">
        <v>11</v>
      </c>
      <c r="D610" s="119" t="s">
        <v>190</v>
      </c>
      <c r="E610" s="119" t="s">
        <v>3545</v>
      </c>
      <c r="F610" s="120">
        <f>365*AVERAGE(MLCF!F51,MLCF!G51)</f>
        <v>2203290.7450000001</v>
      </c>
      <c r="G610" s="120">
        <f>-MLCF!G85</f>
        <v>45488.063999999998</v>
      </c>
      <c r="H610" s="120">
        <f t="shared" si="18"/>
        <v>48.436678795562727</v>
      </c>
      <c r="I610" s="120">
        <v>2203290.7449999996</v>
      </c>
      <c r="J610" s="120">
        <v>45488.063999999998</v>
      </c>
      <c r="K610" s="120">
        <v>48.436678795562713</v>
      </c>
      <c r="L610" s="125">
        <v>48.436678795562713</v>
      </c>
      <c r="M610" s="125">
        <f>MLCF!G149</f>
        <v>48.436678795562727</v>
      </c>
      <c r="N610" s="126" t="str">
        <f t="shared" si="19"/>
        <v>PASS</v>
      </c>
      <c r="O610" s="122"/>
      <c r="P610" s="119" t="s">
        <v>471</v>
      </c>
    </row>
    <row r="611" spans="1:16" ht="25.95" customHeight="1" x14ac:dyDescent="0.3">
      <c r="A611" s="50" t="s">
        <v>106</v>
      </c>
      <c r="B611" s="50">
        <v>2024</v>
      </c>
      <c r="C611" s="50">
        <v>12</v>
      </c>
      <c r="D611" s="50" t="s">
        <v>192</v>
      </c>
      <c r="E611" s="50" t="s">
        <v>3545</v>
      </c>
      <c r="F611" s="121">
        <f>365*AVERAGE(MLCF!F65,MLCF!G65)/(-MLCF!G85)+365*AVERAGE(MLCF!F32,MLCF!G32)/MLCF!G84</f>
        <v>136.33726398388214</v>
      </c>
      <c r="G611" s="121">
        <f>1</f>
        <v>1</v>
      </c>
      <c r="H611" s="121">
        <f t="shared" si="18"/>
        <v>136.33726398388214</v>
      </c>
      <c r="I611" s="121">
        <v>136.33726398388214</v>
      </c>
      <c r="J611" s="121">
        <v>1</v>
      </c>
      <c r="K611" s="121">
        <v>136.33726398388214</v>
      </c>
      <c r="L611" s="127">
        <v>136.33726398388214</v>
      </c>
      <c r="M611" s="127">
        <f>MLCF!G150</f>
        <v>136.33726398388214</v>
      </c>
      <c r="N611" s="128" t="str">
        <f t="shared" si="19"/>
        <v>PASS</v>
      </c>
      <c r="O611" s="68"/>
      <c r="P611" s="50" t="s">
        <v>471</v>
      </c>
    </row>
    <row r="612" spans="1:16" ht="25.95" customHeight="1" x14ac:dyDescent="0.3">
      <c r="A612" s="119" t="s">
        <v>106</v>
      </c>
      <c r="B612" s="119">
        <v>2024</v>
      </c>
      <c r="C612" s="119">
        <v>13</v>
      </c>
      <c r="D612" s="119" t="s">
        <v>150</v>
      </c>
      <c r="E612" s="119" t="s">
        <v>3545</v>
      </c>
      <c r="F612" s="120">
        <f>365*AVERAGE(MLCF!F65,MLCF!G65)/(-MLCF!G85)+365*AVERAGE(MLCF!F32,MLCF!G32)/MLCF!G84-365*AVERAGE(MLCF!F51,MLCF!G51)/(-MLCF!G85)</f>
        <v>87.900585188319411</v>
      </c>
      <c r="G612" s="120">
        <f>1</f>
        <v>1</v>
      </c>
      <c r="H612" s="120">
        <f t="shared" si="18"/>
        <v>87.900585188319411</v>
      </c>
      <c r="I612" s="120">
        <v>87.900585188319425</v>
      </c>
      <c r="J612" s="120">
        <v>1</v>
      </c>
      <c r="K612" s="120">
        <v>87.900585188319425</v>
      </c>
      <c r="L612" s="125">
        <v>87.900585188319425</v>
      </c>
      <c r="M612" s="125">
        <f>MLCF!G151</f>
        <v>87.900585188319411</v>
      </c>
      <c r="N612" s="126" t="str">
        <f t="shared" si="19"/>
        <v>PASS</v>
      </c>
      <c r="O612" s="122"/>
      <c r="P612" s="119" t="s">
        <v>471</v>
      </c>
    </row>
    <row r="613" spans="1:16" ht="25.95" customHeight="1" x14ac:dyDescent="0.3">
      <c r="A613" s="50" t="s">
        <v>106</v>
      </c>
      <c r="B613" s="50">
        <v>2024</v>
      </c>
      <c r="C613" s="50">
        <v>14</v>
      </c>
      <c r="D613" s="50" t="s">
        <v>196</v>
      </c>
      <c r="E613" s="50" t="s">
        <v>3544</v>
      </c>
      <c r="F613" s="121">
        <f>MLCF!G84</f>
        <v>66452.347999999998</v>
      </c>
      <c r="G613" s="121">
        <f>AVERAGE(MLCF!F37,MLCF!G37)</f>
        <v>94536.696500000005</v>
      </c>
      <c r="H613" s="121">
        <f t="shared" si="18"/>
        <v>0.70292648738788954</v>
      </c>
      <c r="I613" s="121">
        <v>66452.347999999998</v>
      </c>
      <c r="J613" s="121">
        <v>94536.696499999991</v>
      </c>
      <c r="K613" s="121">
        <v>0.70292648738788965</v>
      </c>
      <c r="L613" s="127">
        <v>0.70292648738788965</v>
      </c>
      <c r="M613" s="127">
        <f>MLCF!G152</f>
        <v>0.70292648738788954</v>
      </c>
      <c r="N613" s="128" t="str">
        <f t="shared" si="19"/>
        <v>PASS</v>
      </c>
      <c r="O613" s="68"/>
      <c r="P613" s="50" t="s">
        <v>471</v>
      </c>
    </row>
    <row r="614" spans="1:16" ht="25.95" customHeight="1" x14ac:dyDescent="0.3">
      <c r="A614" s="119" t="s">
        <v>106</v>
      </c>
      <c r="B614" s="119">
        <v>2024</v>
      </c>
      <c r="C614" s="119">
        <v>15</v>
      </c>
      <c r="D614" s="119" t="s">
        <v>199</v>
      </c>
      <c r="E614" s="119" t="s">
        <v>3544</v>
      </c>
      <c r="F614" s="120">
        <f>MLCF!G84</f>
        <v>66452.347999999998</v>
      </c>
      <c r="G614" s="120">
        <f>AVERAGE(MLCF!F22,MLCF!G22)</f>
        <v>63101.118000000002</v>
      </c>
      <c r="H614" s="120">
        <f t="shared" si="18"/>
        <v>1.0531088846951966</v>
      </c>
      <c r="I614" s="120">
        <v>66452.347999999998</v>
      </c>
      <c r="J614" s="120">
        <v>63101.118000000002</v>
      </c>
      <c r="K614" s="120">
        <v>1.0531088846951966</v>
      </c>
      <c r="L614" s="125">
        <v>1.0531088846951966</v>
      </c>
      <c r="M614" s="125">
        <f>MLCF!G153</f>
        <v>1.0531088846951966</v>
      </c>
      <c r="N614" s="126" t="str">
        <f t="shared" si="19"/>
        <v>PASS</v>
      </c>
      <c r="O614" s="122"/>
      <c r="P614" s="119" t="s">
        <v>471</v>
      </c>
    </row>
    <row r="615" spans="1:16" ht="25.95" customHeight="1" x14ac:dyDescent="0.3">
      <c r="A615" s="50" t="s">
        <v>106</v>
      </c>
      <c r="B615" s="50">
        <v>2024</v>
      </c>
      <c r="C615" s="50">
        <v>16</v>
      </c>
      <c r="D615" s="50" t="s">
        <v>932</v>
      </c>
      <c r="E615" s="50" t="s">
        <v>3544</v>
      </c>
      <c r="F615" s="121">
        <f>MLCF!G62</f>
        <v>46749.774000000005</v>
      </c>
      <c r="G615" s="121">
        <f>MLCF!G37</f>
        <v>99365.682000000001</v>
      </c>
      <c r="H615" s="121">
        <f t="shared" si="18"/>
        <v>0.4704820926001394</v>
      </c>
      <c r="I615" s="121">
        <v>46749.774000000005</v>
      </c>
      <c r="J615" s="121">
        <v>99365.682000000001</v>
      </c>
      <c r="K615" s="121">
        <v>0.4704820926001394</v>
      </c>
      <c r="L615" s="127">
        <v>0.4704820926001394</v>
      </c>
      <c r="M615" s="127">
        <f>MLCF!G155</f>
        <v>0.4704820926001394</v>
      </c>
      <c r="N615" s="128" t="str">
        <f t="shared" si="19"/>
        <v>PASS</v>
      </c>
      <c r="O615" s="68"/>
      <c r="P615" s="50" t="s">
        <v>493</v>
      </c>
    </row>
    <row r="616" spans="1:16" ht="25.95" customHeight="1" x14ac:dyDescent="0.3">
      <c r="A616" s="119" t="s">
        <v>106</v>
      </c>
      <c r="B616" s="119">
        <v>2024</v>
      </c>
      <c r="C616" s="119">
        <v>17</v>
      </c>
      <c r="D616" s="119" t="s">
        <v>151</v>
      </c>
      <c r="E616" s="119" t="s">
        <v>3544</v>
      </c>
      <c r="F616" s="120">
        <f>MLCF!G62</f>
        <v>46749.774000000005</v>
      </c>
      <c r="G616" s="120">
        <f>MLCF!G41</f>
        <v>52615.907999999996</v>
      </c>
      <c r="H616" s="120">
        <f t="shared" si="18"/>
        <v>0.88851025815234452</v>
      </c>
      <c r="I616" s="120">
        <v>46749.774000000005</v>
      </c>
      <c r="J616" s="120">
        <v>52615.907999999996</v>
      </c>
      <c r="K616" s="120">
        <v>0.88851025815234452</v>
      </c>
      <c r="L616" s="125">
        <v>0.88851025815234452</v>
      </c>
      <c r="M616" s="125">
        <f>MLCF!G156</f>
        <v>0.88851025815234452</v>
      </c>
      <c r="N616" s="126" t="str">
        <f t="shared" si="19"/>
        <v>PASS</v>
      </c>
      <c r="O616" s="122"/>
      <c r="P616" s="119" t="s">
        <v>493</v>
      </c>
    </row>
    <row r="617" spans="1:16" ht="25.95" customHeight="1" x14ac:dyDescent="0.3">
      <c r="A617" s="50" t="s">
        <v>106</v>
      </c>
      <c r="B617" s="50">
        <v>2024</v>
      </c>
      <c r="C617" s="50">
        <v>18</v>
      </c>
      <c r="D617" s="50" t="s">
        <v>935</v>
      </c>
      <c r="E617" s="50" t="s">
        <v>3545</v>
      </c>
      <c r="F617" s="121">
        <f>MLCF!G66</f>
        <v>19387.383000000002</v>
      </c>
      <c r="G617" s="121">
        <f>MLCF!G66+MLCF!G41</f>
        <v>72003.290999999997</v>
      </c>
      <c r="H617" s="121">
        <f t="shared" si="18"/>
        <v>0.2692569010491479</v>
      </c>
      <c r="I617" s="121">
        <v>19387.383000000002</v>
      </c>
      <c r="J617" s="121">
        <v>72003.290999999997</v>
      </c>
      <c r="K617" s="121">
        <v>0.2692569010491479</v>
      </c>
      <c r="L617" s="127">
        <v>0.2692569010491479</v>
      </c>
      <c r="M617" s="127">
        <f>MLCF!G157</f>
        <v>0.2692569010491479</v>
      </c>
      <c r="N617" s="128" t="str">
        <f t="shared" si="19"/>
        <v>PASS</v>
      </c>
      <c r="O617" s="68"/>
      <c r="P617" s="50" t="s">
        <v>493</v>
      </c>
    </row>
    <row r="618" spans="1:16" ht="25.95" customHeight="1" x14ac:dyDescent="0.3">
      <c r="A618" s="119" t="s">
        <v>106</v>
      </c>
      <c r="B618" s="119">
        <v>2024</v>
      </c>
      <c r="C618" s="119">
        <v>19</v>
      </c>
      <c r="D618" s="119" t="s">
        <v>936</v>
      </c>
      <c r="E618" s="119" t="s">
        <v>3545</v>
      </c>
      <c r="F618" s="120">
        <f>MLCF!G67</f>
        <v>14320.456</v>
      </c>
      <c r="G618" s="120">
        <f>MLCF!G37</f>
        <v>99365.682000000001</v>
      </c>
      <c r="H618" s="120">
        <f t="shared" si="18"/>
        <v>0.14411873105243719</v>
      </c>
      <c r="I618" s="120">
        <v>14320.456</v>
      </c>
      <c r="J618" s="120">
        <v>99365.682000000001</v>
      </c>
      <c r="K618" s="120">
        <v>0.14411873105243719</v>
      </c>
      <c r="L618" s="125">
        <v>0.14411873105243719</v>
      </c>
      <c r="M618" s="125">
        <f>MLCF!G158</f>
        <v>0.14411873105243719</v>
      </c>
      <c r="N618" s="126" t="str">
        <f t="shared" si="19"/>
        <v>PASS</v>
      </c>
      <c r="O618" s="122"/>
      <c r="P618" s="119" t="s">
        <v>493</v>
      </c>
    </row>
    <row r="619" spans="1:16" ht="25.95" customHeight="1" x14ac:dyDescent="0.3">
      <c r="A619" s="50" t="s">
        <v>106</v>
      </c>
      <c r="B619" s="50">
        <v>2024</v>
      </c>
      <c r="C619" s="50">
        <v>20</v>
      </c>
      <c r="D619" s="50" t="s">
        <v>938</v>
      </c>
      <c r="E619" s="50" t="s">
        <v>3544</v>
      </c>
      <c r="F619" s="121">
        <f>MLCF!G108</f>
        <v>13069.733999999999</v>
      </c>
      <c r="G619" s="121">
        <f>MLCF!G106</f>
        <v>4055.42</v>
      </c>
      <c r="H619" s="121">
        <f t="shared" si="18"/>
        <v>3.2227818573661908</v>
      </c>
      <c r="I619" s="121">
        <v>13069.734</v>
      </c>
      <c r="J619" s="121">
        <v>4055.42</v>
      </c>
      <c r="K619" s="121">
        <v>3.2227818573661913</v>
      </c>
      <c r="L619" s="127">
        <v>3.2227818573661913</v>
      </c>
      <c r="M619" s="127">
        <f>MLCF!G159</f>
        <v>3.2227818573661908</v>
      </c>
      <c r="N619" s="128" t="str">
        <f t="shared" si="19"/>
        <v>PASS</v>
      </c>
      <c r="O619" s="68"/>
      <c r="P619" s="50" t="s">
        <v>493</v>
      </c>
    </row>
    <row r="620" spans="1:16" ht="25.95" customHeight="1" x14ac:dyDescent="0.3">
      <c r="A620" s="119" t="s">
        <v>106</v>
      </c>
      <c r="B620" s="119">
        <v>2024</v>
      </c>
      <c r="C620" s="119">
        <v>21</v>
      </c>
      <c r="D620" s="119" t="s">
        <v>154</v>
      </c>
      <c r="E620" s="119" t="s">
        <v>3544</v>
      </c>
      <c r="F620" s="120">
        <f>MLCF!G86</f>
        <v>20964.284</v>
      </c>
      <c r="G620" s="120">
        <f>MLCF!G84</f>
        <v>66452.347999999998</v>
      </c>
      <c r="H620" s="120">
        <f t="shared" si="18"/>
        <v>0.31547845382378364</v>
      </c>
      <c r="I620" s="120">
        <v>20964.284</v>
      </c>
      <c r="J620" s="120">
        <v>66452.347999999998</v>
      </c>
      <c r="K620" s="120">
        <v>0.31547845382378364</v>
      </c>
      <c r="L620" s="125">
        <v>0.31547845382378364</v>
      </c>
      <c r="M620" s="125">
        <f>MLCF!G161</f>
        <v>0.31547845382378364</v>
      </c>
      <c r="N620" s="126" t="str">
        <f t="shared" si="19"/>
        <v>PASS</v>
      </c>
      <c r="O620" s="122"/>
      <c r="P620" s="119" t="s">
        <v>504</v>
      </c>
    </row>
    <row r="621" spans="1:16" ht="25.95" customHeight="1" x14ac:dyDescent="0.3">
      <c r="A621" s="50" t="s">
        <v>106</v>
      </c>
      <c r="B621" s="50">
        <v>2024</v>
      </c>
      <c r="C621" s="50">
        <v>22</v>
      </c>
      <c r="D621" s="50" t="s">
        <v>942</v>
      </c>
      <c r="E621" s="50" t="s">
        <v>3544</v>
      </c>
      <c r="F621" s="121">
        <f>MLCF!G91</f>
        <v>12713.591999999999</v>
      </c>
      <c r="G621" s="121">
        <f>MLCF!G84</f>
        <v>66452.347999999998</v>
      </c>
      <c r="H621" s="121">
        <f t="shared" si="18"/>
        <v>0.19131892826420518</v>
      </c>
      <c r="I621" s="121">
        <v>12713.592000000001</v>
      </c>
      <c r="J621" s="121">
        <v>66452.347999999998</v>
      </c>
      <c r="K621" s="121">
        <v>0.19131892826420521</v>
      </c>
      <c r="L621" s="127">
        <v>0.19131892826420521</v>
      </c>
      <c r="M621" s="127">
        <f>MLCF!G162</f>
        <v>0.19131892826420518</v>
      </c>
      <c r="N621" s="128" t="str">
        <f t="shared" si="19"/>
        <v>PASS</v>
      </c>
      <c r="O621" s="68"/>
      <c r="P621" s="50" t="s">
        <v>504</v>
      </c>
    </row>
    <row r="622" spans="1:16" ht="25.95" customHeight="1" x14ac:dyDescent="0.3">
      <c r="A622" s="119" t="s">
        <v>106</v>
      </c>
      <c r="B622" s="119">
        <v>2024</v>
      </c>
      <c r="C622" s="119">
        <v>23</v>
      </c>
      <c r="D622" s="119" t="s">
        <v>155</v>
      </c>
      <c r="E622" s="119" t="s">
        <v>3544</v>
      </c>
      <c r="F622" s="120">
        <f>MLCF!G99</f>
        <v>5272.5269999999982</v>
      </c>
      <c r="G622" s="120">
        <f>MLCF!G84</f>
        <v>66452.347999999998</v>
      </c>
      <c r="H622" s="120">
        <f t="shared" si="18"/>
        <v>7.9342975209845082E-2</v>
      </c>
      <c r="I622" s="120">
        <v>5272.527</v>
      </c>
      <c r="J622" s="120">
        <v>66452.347999999998</v>
      </c>
      <c r="K622" s="120">
        <v>7.934297520984511E-2</v>
      </c>
      <c r="L622" s="125">
        <v>7.934297520984511E-2</v>
      </c>
      <c r="M622" s="125">
        <f>MLCF!G163</f>
        <v>7.9342975209845082E-2</v>
      </c>
      <c r="N622" s="126" t="str">
        <f t="shared" si="19"/>
        <v>PASS</v>
      </c>
      <c r="O622" s="122"/>
      <c r="P622" s="119" t="s">
        <v>504</v>
      </c>
    </row>
    <row r="623" spans="1:16" ht="25.95" customHeight="1" x14ac:dyDescent="0.3">
      <c r="A623" s="50" t="s">
        <v>106</v>
      </c>
      <c r="B623" s="50">
        <v>2024</v>
      </c>
      <c r="C623" s="50">
        <v>24</v>
      </c>
      <c r="D623" s="50" t="s">
        <v>136</v>
      </c>
      <c r="E623" s="50" t="s">
        <v>3544</v>
      </c>
      <c r="F623" s="121">
        <f>MLCF!G99</f>
        <v>5272.5269999999982</v>
      </c>
      <c r="G623" s="121">
        <f>AVERAGE(MLCF!F37,MLCF!G37)</f>
        <v>94536.696500000005</v>
      </c>
      <c r="H623" s="121">
        <f t="shared" si="18"/>
        <v>5.5772278863160801E-2</v>
      </c>
      <c r="I623" s="121">
        <v>5272.527</v>
      </c>
      <c r="J623" s="121">
        <v>94536.696499999991</v>
      </c>
      <c r="K623" s="121">
        <v>5.5772278863160829E-2</v>
      </c>
      <c r="L623" s="127">
        <v>5.5772278863160829E-2</v>
      </c>
      <c r="M623" s="127">
        <f>MLCF!G164</f>
        <v>5.5772278863160801E-2</v>
      </c>
      <c r="N623" s="128" t="str">
        <f t="shared" si="19"/>
        <v>PASS</v>
      </c>
      <c r="O623" s="68"/>
      <c r="P623" s="50" t="s">
        <v>504</v>
      </c>
    </row>
    <row r="624" spans="1:16" ht="25.95" customHeight="1" x14ac:dyDescent="0.3">
      <c r="A624" s="119" t="s">
        <v>106</v>
      </c>
      <c r="B624" s="119">
        <v>2024</v>
      </c>
      <c r="C624" s="119">
        <v>25</v>
      </c>
      <c r="D624" s="119" t="s">
        <v>53</v>
      </c>
      <c r="E624" s="119" t="s">
        <v>3544</v>
      </c>
      <c r="F624" s="120">
        <f>MLCF!G99</f>
        <v>5272.5269999999982</v>
      </c>
      <c r="G624" s="120">
        <f>AVERAGE(MLCF!F41,MLCF!G41)</f>
        <v>48764.510999999999</v>
      </c>
      <c r="H624" s="120">
        <f t="shared" si="18"/>
        <v>0.10812221617479151</v>
      </c>
      <c r="I624" s="120">
        <v>5272.527</v>
      </c>
      <c r="J624" s="120">
        <v>48764.510999999999</v>
      </c>
      <c r="K624" s="120">
        <v>0.10812221617479155</v>
      </c>
      <c r="L624" s="125">
        <v>0.10812221617479155</v>
      </c>
      <c r="M624" s="125">
        <f>MLCF!G165</f>
        <v>0.10812221617479151</v>
      </c>
      <c r="N624" s="126" t="str">
        <f t="shared" si="19"/>
        <v>PASS</v>
      </c>
      <c r="O624" s="122"/>
      <c r="P624" s="119" t="s">
        <v>504</v>
      </c>
    </row>
    <row r="625" spans="1:16" ht="25.95" customHeight="1" x14ac:dyDescent="0.3">
      <c r="A625" s="50" t="s">
        <v>106</v>
      </c>
      <c r="B625" s="50">
        <v>2024</v>
      </c>
      <c r="C625" s="50">
        <v>26</v>
      </c>
      <c r="D625" s="50" t="s">
        <v>944</v>
      </c>
      <c r="E625" s="50" t="s">
        <v>3545</v>
      </c>
      <c r="F625" s="121">
        <f>MLCF!G113</f>
        <v>7715.4930978513212</v>
      </c>
      <c r="G625" s="121">
        <f>AVERAGE(MLCF!F70,MLCF!G70)</f>
        <v>68395.40400000001</v>
      </c>
      <c r="H625" s="121">
        <f t="shared" si="18"/>
        <v>0.1128071865450392</v>
      </c>
      <c r="I625" s="121">
        <v>7715.4930978513221</v>
      </c>
      <c r="J625" s="121">
        <v>68395.403999999995</v>
      </c>
      <c r="K625" s="121">
        <v>0.11280718654503924</v>
      </c>
      <c r="L625" s="127">
        <v>0.11280718654503924</v>
      </c>
      <c r="M625" s="127">
        <f>MLCF!G166</f>
        <v>0.1128071865450392</v>
      </c>
      <c r="N625" s="128" t="str">
        <f t="shared" si="19"/>
        <v>PASS</v>
      </c>
      <c r="O625" s="68"/>
      <c r="P625" s="50" t="s">
        <v>504</v>
      </c>
    </row>
    <row r="626" spans="1:16" ht="25.95" customHeight="1" x14ac:dyDescent="0.3">
      <c r="A626" s="119" t="s">
        <v>106</v>
      </c>
      <c r="B626" s="119">
        <v>2024</v>
      </c>
      <c r="C626" s="119">
        <v>27</v>
      </c>
      <c r="D626" s="119" t="s">
        <v>945</v>
      </c>
      <c r="E626" s="119" t="s">
        <v>3545</v>
      </c>
      <c r="F626" s="120">
        <f>MLCF!G108</f>
        <v>13069.733999999999</v>
      </c>
      <c r="G626" s="120">
        <f>AVERAGE(MLCF!F37,MLCF!G37)</f>
        <v>94536.696500000005</v>
      </c>
      <c r="H626" s="120">
        <f t="shared" si="18"/>
        <v>0.13825037772501389</v>
      </c>
      <c r="I626" s="120">
        <v>13069.734</v>
      </c>
      <c r="J626" s="120">
        <v>94536.696499999991</v>
      </c>
      <c r="K626" s="120">
        <v>0.13825037772501392</v>
      </c>
      <c r="L626" s="125">
        <v>0.13825037772501392</v>
      </c>
      <c r="M626" s="125">
        <f>MLCF!G167</f>
        <v>0.13825037772501389</v>
      </c>
      <c r="N626" s="126" t="str">
        <f t="shared" si="19"/>
        <v>PASS</v>
      </c>
      <c r="O626" s="122"/>
      <c r="P626" s="119" t="s">
        <v>504</v>
      </c>
    </row>
    <row r="627" spans="1:16" ht="25.95" customHeight="1" x14ac:dyDescent="0.3">
      <c r="A627" s="50" t="s">
        <v>106</v>
      </c>
      <c r="B627" s="50">
        <v>2024</v>
      </c>
      <c r="C627" s="50">
        <v>28</v>
      </c>
      <c r="D627" s="50" t="s">
        <v>139</v>
      </c>
      <c r="E627" s="50" t="s">
        <v>3545</v>
      </c>
      <c r="F627" s="121">
        <f>MLCF!G41</f>
        <v>52615.907999999996</v>
      </c>
      <c r="G627" s="121">
        <f>MLCF!G128</f>
        <v>1047.5626</v>
      </c>
      <c r="H627" s="121">
        <f t="shared" si="18"/>
        <v>50.226982139301263</v>
      </c>
      <c r="I627" s="121">
        <v>52615.907999999996</v>
      </c>
      <c r="J627" s="121">
        <v>1047.5626</v>
      </c>
      <c r="K627" s="121">
        <v>50.226982139301263</v>
      </c>
      <c r="L627" s="127">
        <v>50.226982139301263</v>
      </c>
      <c r="M627" s="127">
        <f>MLCF!G169</f>
        <v>50.226982139301263</v>
      </c>
      <c r="N627" s="128" t="str">
        <f t="shared" si="19"/>
        <v>PASS</v>
      </c>
      <c r="O627" s="68"/>
      <c r="P627" s="50" t="s">
        <v>519</v>
      </c>
    </row>
    <row r="628" spans="1:16" ht="25.95" customHeight="1" x14ac:dyDescent="0.3">
      <c r="A628" s="119" t="s">
        <v>106</v>
      </c>
      <c r="B628" s="119">
        <v>2024</v>
      </c>
      <c r="C628" s="119">
        <v>29</v>
      </c>
      <c r="D628" s="119" t="s">
        <v>162</v>
      </c>
      <c r="E628" s="119" t="s">
        <v>3544</v>
      </c>
      <c r="F628" s="120">
        <f>MLCF!G130</f>
        <v>38</v>
      </c>
      <c r="G628" s="120">
        <f>MLCF!G41/MLCF!G128</f>
        <v>50.226982139301263</v>
      </c>
      <c r="H628" s="120">
        <f t="shared" si="18"/>
        <v>0.75656546305349337</v>
      </c>
      <c r="I628" s="120">
        <v>38</v>
      </c>
      <c r="J628" s="120">
        <v>50.226982139301263</v>
      </c>
      <c r="K628" s="120">
        <v>0.75656546305349337</v>
      </c>
      <c r="L628" s="125">
        <v>0.75656546305349337</v>
      </c>
      <c r="M628" s="125">
        <f>MLCF!G170</f>
        <v>0.75656546305349337</v>
      </c>
      <c r="N628" s="126" t="str">
        <f t="shared" si="19"/>
        <v>PASS</v>
      </c>
      <c r="O628" s="122"/>
      <c r="P628" s="119" t="s">
        <v>519</v>
      </c>
    </row>
    <row r="629" spans="1:16" ht="25.95" customHeight="1" x14ac:dyDescent="0.3">
      <c r="A629" s="50" t="s">
        <v>106</v>
      </c>
      <c r="B629" s="50">
        <v>2024</v>
      </c>
      <c r="C629" s="50">
        <v>30</v>
      </c>
      <c r="D629" s="50" t="s">
        <v>143</v>
      </c>
      <c r="E629" s="50" t="s">
        <v>3544</v>
      </c>
      <c r="F629" s="121">
        <f>MLCF!G99</f>
        <v>5272.5269999999982</v>
      </c>
      <c r="G629" s="121">
        <f>MLCF!G129</f>
        <v>1058.9110000000001</v>
      </c>
      <c r="H629" s="121">
        <f t="shared" si="18"/>
        <v>4.9791974962957211</v>
      </c>
      <c r="I629" s="121">
        <v>5272.527</v>
      </c>
      <c r="J629" s="121">
        <v>1058.9110000000001</v>
      </c>
      <c r="K629" s="121">
        <v>4.9791974962957228</v>
      </c>
      <c r="L629" s="127">
        <v>4.9791974962957228</v>
      </c>
      <c r="M629" s="127">
        <f>MLCF!G171</f>
        <v>4.9791974962957211</v>
      </c>
      <c r="N629" s="128" t="str">
        <f t="shared" si="19"/>
        <v>PASS</v>
      </c>
      <c r="O629" s="68"/>
      <c r="P629" s="50" t="s">
        <v>519</v>
      </c>
    </row>
    <row r="630" spans="1:16" ht="25.95" customHeight="1" x14ac:dyDescent="0.3">
      <c r="A630" s="119" t="s">
        <v>106</v>
      </c>
      <c r="B630" s="119">
        <v>2024</v>
      </c>
      <c r="C630" s="119">
        <v>31</v>
      </c>
      <c r="D630" s="119" t="s">
        <v>952</v>
      </c>
      <c r="E630" s="119" t="s">
        <v>3544</v>
      </c>
      <c r="F630" s="120">
        <f>MLCF!G130</f>
        <v>38</v>
      </c>
      <c r="G630" s="120">
        <f>MLCF!G99/MLCF!G129</f>
        <v>4.9791974962957211</v>
      </c>
      <c r="H630" s="120">
        <f t="shared" si="18"/>
        <v>7.6317519094733912</v>
      </c>
      <c r="I630" s="120">
        <v>38</v>
      </c>
      <c r="J630" s="120">
        <v>4.9791974962957228</v>
      </c>
      <c r="K630" s="120">
        <v>7.6317519094733886</v>
      </c>
      <c r="L630" s="125">
        <v>7.6317519094733886</v>
      </c>
      <c r="M630" s="125">
        <f>MLCF!G172</f>
        <v>7.6317519094733912</v>
      </c>
      <c r="N630" s="126" t="str">
        <f t="shared" si="19"/>
        <v>PASS</v>
      </c>
      <c r="O630" s="122"/>
      <c r="P630" s="119" t="s">
        <v>519</v>
      </c>
    </row>
    <row r="631" spans="1:16" ht="25.95" customHeight="1" x14ac:dyDescent="0.3">
      <c r="A631" s="50" t="s">
        <v>106</v>
      </c>
      <c r="B631" s="50">
        <v>2024</v>
      </c>
      <c r="C631" s="50">
        <v>32</v>
      </c>
      <c r="D631" s="50" t="s">
        <v>104</v>
      </c>
      <c r="E631" s="50" t="s">
        <v>3544</v>
      </c>
      <c r="F631" s="121">
        <f>MLCF!G131</f>
        <v>0</v>
      </c>
      <c r="G631" s="121">
        <f>MLCF!G130</f>
        <v>38</v>
      </c>
      <c r="H631" s="121">
        <f t="shared" si="18"/>
        <v>0</v>
      </c>
      <c r="I631" s="121">
        <v>0</v>
      </c>
      <c r="J631" s="121">
        <v>38</v>
      </c>
      <c r="K631" s="121">
        <v>0</v>
      </c>
      <c r="L631" s="127">
        <v>0</v>
      </c>
      <c r="M631" s="127">
        <f>MLCF!G173</f>
        <v>0</v>
      </c>
      <c r="N631" s="128" t="str">
        <f t="shared" si="19"/>
        <v>PASS</v>
      </c>
      <c r="O631" s="68"/>
      <c r="P631" s="50" t="s">
        <v>519</v>
      </c>
    </row>
    <row r="632" spans="1:16" ht="25.95" customHeight="1" x14ac:dyDescent="0.3">
      <c r="A632" s="119" t="s">
        <v>106</v>
      </c>
      <c r="B632" s="119">
        <v>2024</v>
      </c>
      <c r="C632" s="119">
        <v>33</v>
      </c>
      <c r="D632" s="119" t="s">
        <v>124</v>
      </c>
      <c r="E632" s="119" t="s">
        <v>3545</v>
      </c>
      <c r="F632" s="120">
        <f>MLCF!G131</f>
        <v>0</v>
      </c>
      <c r="G632" s="120">
        <f>MLCF!G99/MLCF!G129</f>
        <v>4.9791974962957211</v>
      </c>
      <c r="H632" s="120">
        <f t="shared" si="18"/>
        <v>0</v>
      </c>
      <c r="I632" s="120">
        <v>0</v>
      </c>
      <c r="J632" s="120">
        <v>4.9791974962957228</v>
      </c>
      <c r="K632" s="120">
        <v>0</v>
      </c>
      <c r="L632" s="125">
        <v>0</v>
      </c>
      <c r="M632" s="125">
        <f>MLCF!G174</f>
        <v>0</v>
      </c>
      <c r="N632" s="126" t="str">
        <f t="shared" si="19"/>
        <v>PASS</v>
      </c>
      <c r="O632" s="122"/>
      <c r="P632" s="119" t="s">
        <v>519</v>
      </c>
    </row>
    <row r="633" spans="1:16" ht="25.95" customHeight="1" x14ac:dyDescent="0.3">
      <c r="A633" s="50" t="s">
        <v>106</v>
      </c>
      <c r="B633" s="50">
        <v>2025</v>
      </c>
      <c r="C633" s="50">
        <v>1</v>
      </c>
      <c r="D633" s="50" t="s">
        <v>19</v>
      </c>
      <c r="E633" s="50" t="s">
        <v>3544</v>
      </c>
      <c r="F633" s="121">
        <f>MLCF!H36</f>
        <v>35752.603999999999</v>
      </c>
      <c r="G633" s="121">
        <f>MLCF!H61</f>
        <v>23330.491000000005</v>
      </c>
      <c r="H633" s="121">
        <f t="shared" si="18"/>
        <v>1.5324411303645513</v>
      </c>
      <c r="I633" s="121">
        <v>35752.603999999999</v>
      </c>
      <c r="J633" s="121">
        <v>23330.491000000002</v>
      </c>
      <c r="K633" s="121">
        <v>1.5324411303645515</v>
      </c>
      <c r="L633" s="127">
        <v>1.5324411303645515</v>
      </c>
      <c r="M633" s="127">
        <f>MLCF!H138</f>
        <v>1.5324411303645513</v>
      </c>
      <c r="N633" s="128" t="str">
        <f t="shared" si="19"/>
        <v>PASS</v>
      </c>
      <c r="O633" s="68"/>
      <c r="P633" s="50" t="s">
        <v>459</v>
      </c>
    </row>
    <row r="634" spans="1:16" ht="25.95" customHeight="1" x14ac:dyDescent="0.3">
      <c r="A634" s="119" t="s">
        <v>106</v>
      </c>
      <c r="B634" s="119">
        <v>2025</v>
      </c>
      <c r="C634" s="119">
        <v>2</v>
      </c>
      <c r="D634" s="119" t="s">
        <v>30</v>
      </c>
      <c r="E634" s="119" t="s">
        <v>3544</v>
      </c>
      <c r="F634" s="120">
        <f>MLCF!H36-MLCF!H65</f>
        <v>18848.303</v>
      </c>
      <c r="G634" s="120">
        <f>MLCF!H61</f>
        <v>23330.491000000005</v>
      </c>
      <c r="H634" s="120">
        <f t="shared" si="18"/>
        <v>0.80788282595509864</v>
      </c>
      <c r="I634" s="120">
        <v>18848.303</v>
      </c>
      <c r="J634" s="120">
        <v>23330.491000000002</v>
      </c>
      <c r="K634" s="120">
        <v>0.80788282595509875</v>
      </c>
      <c r="L634" s="125">
        <v>0.80788282595509875</v>
      </c>
      <c r="M634" s="125">
        <f>MLCF!H139</f>
        <v>0.80788282595509864</v>
      </c>
      <c r="N634" s="126" t="str">
        <f t="shared" si="19"/>
        <v>PASS</v>
      </c>
      <c r="O634" s="122"/>
      <c r="P634" s="119" t="s">
        <v>459</v>
      </c>
    </row>
    <row r="635" spans="1:16" ht="25.95" customHeight="1" x14ac:dyDescent="0.3">
      <c r="A635" s="50" t="s">
        <v>106</v>
      </c>
      <c r="B635" s="50">
        <v>2025</v>
      </c>
      <c r="C635" s="50">
        <v>3</v>
      </c>
      <c r="D635" s="50" t="s">
        <v>145</v>
      </c>
      <c r="E635" s="50" t="s">
        <v>3544</v>
      </c>
      <c r="F635" s="121">
        <f>MLCF!H34</f>
        <v>1615.481</v>
      </c>
      <c r="G635" s="121">
        <f>MLCF!H61</f>
        <v>23330.491000000005</v>
      </c>
      <c r="H635" s="121">
        <f t="shared" si="18"/>
        <v>6.9243334827372452E-2</v>
      </c>
      <c r="I635" s="121">
        <v>1615.481</v>
      </c>
      <c r="J635" s="121">
        <v>23330.491000000002</v>
      </c>
      <c r="K635" s="121">
        <v>6.9243334827372466E-2</v>
      </c>
      <c r="L635" s="127">
        <v>6.9243334827372466E-2</v>
      </c>
      <c r="M635" s="127">
        <f>MLCF!H140</f>
        <v>6.9243334827372452E-2</v>
      </c>
      <c r="N635" s="128" t="str">
        <f t="shared" si="19"/>
        <v>PASS</v>
      </c>
      <c r="O635" s="68"/>
      <c r="P635" s="50" t="s">
        <v>459</v>
      </c>
    </row>
    <row r="636" spans="1:16" ht="25.95" customHeight="1" x14ac:dyDescent="0.3">
      <c r="A636" s="119" t="s">
        <v>106</v>
      </c>
      <c r="B636" s="119">
        <v>2025</v>
      </c>
      <c r="C636" s="119">
        <v>4</v>
      </c>
      <c r="D636" s="119" t="s">
        <v>201</v>
      </c>
      <c r="E636" s="119" t="s">
        <v>3545</v>
      </c>
      <c r="F636" s="120">
        <f>MLCF!H36-MLCF!H61</f>
        <v>12422.112999999994</v>
      </c>
      <c r="G636" s="120">
        <f>1</f>
        <v>1</v>
      </c>
      <c r="H636" s="120">
        <f t="shared" si="18"/>
        <v>12422.112999999994</v>
      </c>
      <c r="I636" s="120">
        <v>12422.112999999998</v>
      </c>
      <c r="J636" s="120">
        <v>1</v>
      </c>
      <c r="K636" s="120">
        <v>12422.112999999998</v>
      </c>
      <c r="L636" s="125">
        <v>12422.112999999998</v>
      </c>
      <c r="M636" s="125">
        <f>MLCF!H141</f>
        <v>12422.112999999994</v>
      </c>
      <c r="N636" s="126" t="str">
        <f t="shared" si="19"/>
        <v>PASS</v>
      </c>
      <c r="O636" s="122"/>
      <c r="P636" s="119" t="s">
        <v>459</v>
      </c>
    </row>
    <row r="637" spans="1:16" ht="25.95" customHeight="1" x14ac:dyDescent="0.3">
      <c r="A637" s="50" t="s">
        <v>106</v>
      </c>
      <c r="B637" s="50">
        <v>2025</v>
      </c>
      <c r="C637" s="50">
        <v>5</v>
      </c>
      <c r="D637" s="50" t="s">
        <v>923</v>
      </c>
      <c r="E637" s="50" t="s">
        <v>3545</v>
      </c>
      <c r="F637" s="121">
        <f>MLCF!H72-MLCF!H73</f>
        <v>4949.6489999999976</v>
      </c>
      <c r="G637" s="121">
        <f>1</f>
        <v>1</v>
      </c>
      <c r="H637" s="121">
        <f t="shared" si="18"/>
        <v>4949.6489999999976</v>
      </c>
      <c r="I637" s="121">
        <v>4949.6489999999976</v>
      </c>
      <c r="J637" s="121">
        <v>1</v>
      </c>
      <c r="K637" s="121">
        <v>4949.6489999999976</v>
      </c>
      <c r="L637" s="127">
        <v>4949.6489999999976</v>
      </c>
      <c r="M637" s="127">
        <f>MLCF!H142</f>
        <v>4949.6489999999976</v>
      </c>
      <c r="N637" s="128" t="str">
        <f t="shared" si="19"/>
        <v>PASS</v>
      </c>
      <c r="O637" s="68"/>
      <c r="P637" s="50" t="s">
        <v>459</v>
      </c>
    </row>
    <row r="638" spans="1:16" ht="25.95" customHeight="1" x14ac:dyDescent="0.3">
      <c r="A638" s="119" t="s">
        <v>106</v>
      </c>
      <c r="B638" s="119">
        <v>2025</v>
      </c>
      <c r="C638" s="119">
        <v>6</v>
      </c>
      <c r="D638" s="119" t="s">
        <v>31</v>
      </c>
      <c r="E638" s="119" t="s">
        <v>3544</v>
      </c>
      <c r="F638" s="120">
        <f>-MLCF!H85</f>
        <v>45195.63</v>
      </c>
      <c r="G638" s="120">
        <f>AVERAGE(MLCF!G65,MLCF!H65)</f>
        <v>16219.071</v>
      </c>
      <c r="H638" s="120">
        <f t="shared" si="18"/>
        <v>2.7865732877055658</v>
      </c>
      <c r="I638" s="120">
        <v>45195.63</v>
      </c>
      <c r="J638" s="120">
        <v>16219.071</v>
      </c>
      <c r="K638" s="120">
        <v>2.7865732877055658</v>
      </c>
      <c r="L638" s="125">
        <v>2.7865732877055658</v>
      </c>
      <c r="M638" s="125">
        <f>MLCF!H144</f>
        <v>2.7865732877055658</v>
      </c>
      <c r="N638" s="126" t="str">
        <f t="shared" si="19"/>
        <v>PASS</v>
      </c>
      <c r="O638" s="122"/>
      <c r="P638" s="119" t="s">
        <v>471</v>
      </c>
    </row>
    <row r="639" spans="1:16" ht="25.95" customHeight="1" x14ac:dyDescent="0.3">
      <c r="A639" s="50" t="s">
        <v>106</v>
      </c>
      <c r="B639" s="50">
        <v>2025</v>
      </c>
      <c r="C639" s="50">
        <v>7</v>
      </c>
      <c r="D639" s="50" t="s">
        <v>129</v>
      </c>
      <c r="E639" s="50" t="s">
        <v>3545</v>
      </c>
      <c r="F639" s="121">
        <f>MLCF!H84</f>
        <v>68942.445999999996</v>
      </c>
      <c r="G639" s="121">
        <f>AVERAGE(MLCF!G32,MLCF!H32)</f>
        <v>4399.4634999999998</v>
      </c>
      <c r="H639" s="121">
        <f t="shared" si="18"/>
        <v>15.67064847793373</v>
      </c>
      <c r="I639" s="121">
        <v>68942.445999999996</v>
      </c>
      <c r="J639" s="121">
        <v>4399.4634999999998</v>
      </c>
      <c r="K639" s="121">
        <v>15.67064847793373</v>
      </c>
      <c r="L639" s="127">
        <v>15.67064847793373</v>
      </c>
      <c r="M639" s="127">
        <f>MLCF!H145</f>
        <v>15.67064847793373</v>
      </c>
      <c r="N639" s="128" t="str">
        <f t="shared" si="19"/>
        <v>PASS</v>
      </c>
      <c r="O639" s="68"/>
      <c r="P639" s="50" t="s">
        <v>471</v>
      </c>
    </row>
    <row r="640" spans="1:16" ht="25.95" customHeight="1" x14ac:dyDescent="0.3">
      <c r="A640" s="119" t="s">
        <v>106</v>
      </c>
      <c r="B640" s="119">
        <v>2025</v>
      </c>
      <c r="C640" s="119">
        <v>8</v>
      </c>
      <c r="D640" s="119" t="s">
        <v>133</v>
      </c>
      <c r="E640" s="119" t="s">
        <v>3545</v>
      </c>
      <c r="F640" s="120">
        <f>-MLCF!H85</f>
        <v>45195.63</v>
      </c>
      <c r="G640" s="120">
        <f>AVERAGE(MLCF!G51,MLCF!H51)</f>
        <v>6359.6939999999995</v>
      </c>
      <c r="H640" s="120">
        <f t="shared" si="18"/>
        <v>7.1065730520996766</v>
      </c>
      <c r="I640" s="120">
        <v>45195.63</v>
      </c>
      <c r="J640" s="120">
        <v>6359.6939999999995</v>
      </c>
      <c r="K640" s="120">
        <v>7.1065730520996766</v>
      </c>
      <c r="L640" s="125">
        <v>7.1065730520996766</v>
      </c>
      <c r="M640" s="125">
        <f>MLCF!H146</f>
        <v>7.1065730520996766</v>
      </c>
      <c r="N640" s="126" t="str">
        <f t="shared" si="19"/>
        <v>PASS</v>
      </c>
      <c r="O640" s="122"/>
      <c r="P640" s="119" t="s">
        <v>471</v>
      </c>
    </row>
    <row r="641" spans="1:16" ht="25.95" customHeight="1" x14ac:dyDescent="0.3">
      <c r="A641" s="50" t="s">
        <v>106</v>
      </c>
      <c r="B641" s="50">
        <v>2025</v>
      </c>
      <c r="C641" s="50">
        <v>9</v>
      </c>
      <c r="D641" s="50" t="s">
        <v>134</v>
      </c>
      <c r="E641" s="50" t="s">
        <v>3545</v>
      </c>
      <c r="F641" s="121">
        <f>365*AVERAGE(MLCF!G65,MLCF!H65)</f>
        <v>5919960.915</v>
      </c>
      <c r="G641" s="121">
        <f>-MLCF!H85</f>
        <v>45195.63</v>
      </c>
      <c r="H641" s="121">
        <f t="shared" si="18"/>
        <v>130.98525045452405</v>
      </c>
      <c r="I641" s="121">
        <v>5919960.915</v>
      </c>
      <c r="J641" s="121">
        <v>45195.63</v>
      </c>
      <c r="K641" s="121">
        <v>130.98525045452405</v>
      </c>
      <c r="L641" s="127">
        <v>130.98525045452405</v>
      </c>
      <c r="M641" s="127">
        <f>MLCF!H147</f>
        <v>130.98525045452405</v>
      </c>
      <c r="N641" s="128" t="str">
        <f t="shared" si="19"/>
        <v>PASS</v>
      </c>
      <c r="O641" s="68"/>
      <c r="P641" s="50" t="s">
        <v>471</v>
      </c>
    </row>
    <row r="642" spans="1:16" ht="25.95" customHeight="1" x14ac:dyDescent="0.3">
      <c r="A642" s="119" t="s">
        <v>106</v>
      </c>
      <c r="B642" s="119">
        <v>2025</v>
      </c>
      <c r="C642" s="119">
        <v>10</v>
      </c>
      <c r="D642" s="119" t="s">
        <v>187</v>
      </c>
      <c r="E642" s="119" t="s">
        <v>3544</v>
      </c>
      <c r="F642" s="120">
        <f>365*AVERAGE(MLCF!G32,MLCF!H32)</f>
        <v>1605804.1775</v>
      </c>
      <c r="G642" s="120">
        <f>MLCF!H84</f>
        <v>68942.445999999996</v>
      </c>
      <c r="H642" s="120">
        <f t="shared" si="18"/>
        <v>23.291952500495849</v>
      </c>
      <c r="I642" s="120">
        <v>1605804.1775</v>
      </c>
      <c r="J642" s="120">
        <v>68942.445999999996</v>
      </c>
      <c r="K642" s="120">
        <v>23.291952500495849</v>
      </c>
      <c r="L642" s="125">
        <v>23.291952500495849</v>
      </c>
      <c r="M642" s="125">
        <f>MLCF!H148</f>
        <v>23.291952500495849</v>
      </c>
      <c r="N642" s="126" t="str">
        <f t="shared" si="19"/>
        <v>PASS</v>
      </c>
      <c r="O642" s="122"/>
      <c r="P642" s="119" t="s">
        <v>471</v>
      </c>
    </row>
    <row r="643" spans="1:16" ht="25.95" customHeight="1" x14ac:dyDescent="0.3">
      <c r="A643" s="50" t="s">
        <v>106</v>
      </c>
      <c r="B643" s="50">
        <v>2025</v>
      </c>
      <c r="C643" s="50">
        <v>11</v>
      </c>
      <c r="D643" s="50" t="s">
        <v>190</v>
      </c>
      <c r="E643" s="50" t="s">
        <v>3545</v>
      </c>
      <c r="F643" s="121">
        <f>365*AVERAGE(MLCF!G51,MLCF!H51)</f>
        <v>2321288.3099999996</v>
      </c>
      <c r="G643" s="121">
        <f>-MLCF!H85</f>
        <v>45195.63</v>
      </c>
      <c r="H643" s="121">
        <f t="shared" si="18"/>
        <v>51.360901706647297</v>
      </c>
      <c r="I643" s="121">
        <v>2321288.3099999996</v>
      </c>
      <c r="J643" s="121">
        <v>45195.63</v>
      </c>
      <c r="K643" s="121">
        <v>51.360901706647297</v>
      </c>
      <c r="L643" s="127">
        <v>51.360901706647297</v>
      </c>
      <c r="M643" s="127">
        <f>MLCF!H149</f>
        <v>51.360901706647297</v>
      </c>
      <c r="N643" s="128" t="str">
        <f t="shared" si="19"/>
        <v>PASS</v>
      </c>
      <c r="O643" s="68"/>
      <c r="P643" s="50" t="s">
        <v>471</v>
      </c>
    </row>
    <row r="644" spans="1:16" ht="25.95" customHeight="1" x14ac:dyDescent="0.3">
      <c r="A644" s="119" t="s">
        <v>106</v>
      </c>
      <c r="B644" s="119">
        <v>2025</v>
      </c>
      <c r="C644" s="119">
        <v>12</v>
      </c>
      <c r="D644" s="119" t="s">
        <v>192</v>
      </c>
      <c r="E644" s="119" t="s">
        <v>3545</v>
      </c>
      <c r="F644" s="120">
        <f>365*AVERAGE(MLCF!G65,MLCF!H65)/(-MLCF!H85)+365*AVERAGE(MLCF!G32,MLCF!H32)/MLCF!H84</f>
        <v>154.2772029550199</v>
      </c>
      <c r="G644" s="120">
        <f>1</f>
        <v>1</v>
      </c>
      <c r="H644" s="120">
        <f t="shared" si="18"/>
        <v>154.2772029550199</v>
      </c>
      <c r="I644" s="120">
        <v>154.2772029550199</v>
      </c>
      <c r="J644" s="120">
        <v>1</v>
      </c>
      <c r="K644" s="120">
        <v>154.2772029550199</v>
      </c>
      <c r="L644" s="125">
        <v>154.2772029550199</v>
      </c>
      <c r="M644" s="125">
        <f>MLCF!H150</f>
        <v>154.2772029550199</v>
      </c>
      <c r="N644" s="126" t="str">
        <f t="shared" si="19"/>
        <v>PASS</v>
      </c>
      <c r="O644" s="122"/>
      <c r="P644" s="119" t="s">
        <v>471</v>
      </c>
    </row>
    <row r="645" spans="1:16" ht="25.95" customHeight="1" x14ac:dyDescent="0.3">
      <c r="A645" s="50" t="s">
        <v>106</v>
      </c>
      <c r="B645" s="50">
        <v>2025</v>
      </c>
      <c r="C645" s="50">
        <v>13</v>
      </c>
      <c r="D645" s="50" t="s">
        <v>150</v>
      </c>
      <c r="E645" s="50" t="s">
        <v>3545</v>
      </c>
      <c r="F645" s="121">
        <f>365*AVERAGE(MLCF!G65,MLCF!H65)/(-MLCF!H85)+365*AVERAGE(MLCF!G32,MLCF!H32)/MLCF!H84-365*AVERAGE(MLCF!G51,MLCF!H51)/(-MLCF!H85)</f>
        <v>102.9163012483726</v>
      </c>
      <c r="G645" s="121">
        <f>1</f>
        <v>1</v>
      </c>
      <c r="H645" s="121">
        <f t="shared" si="18"/>
        <v>102.9163012483726</v>
      </c>
      <c r="I645" s="121">
        <v>102.9163012483726</v>
      </c>
      <c r="J645" s="121">
        <v>1</v>
      </c>
      <c r="K645" s="121">
        <v>102.9163012483726</v>
      </c>
      <c r="L645" s="127">
        <v>102.9163012483726</v>
      </c>
      <c r="M645" s="127">
        <f>MLCF!H151</f>
        <v>102.9163012483726</v>
      </c>
      <c r="N645" s="128" t="str">
        <f t="shared" si="19"/>
        <v>PASS</v>
      </c>
      <c r="O645" s="68"/>
      <c r="P645" s="50" t="s">
        <v>471</v>
      </c>
    </row>
    <row r="646" spans="1:16" ht="25.95" customHeight="1" x14ac:dyDescent="0.3">
      <c r="A646" s="119" t="s">
        <v>106</v>
      </c>
      <c r="B646" s="119">
        <v>2025</v>
      </c>
      <c r="C646" s="119">
        <v>14</v>
      </c>
      <c r="D646" s="119" t="s">
        <v>196</v>
      </c>
      <c r="E646" s="119" t="s">
        <v>3544</v>
      </c>
      <c r="F646" s="120">
        <f>MLCF!H84</f>
        <v>68942.445999999996</v>
      </c>
      <c r="G646" s="120">
        <f>AVERAGE(MLCF!G37,MLCF!H37)</f>
        <v>109235.97649999999</v>
      </c>
      <c r="H646" s="120">
        <f t="shared" ref="H646:H709" si="20">IF(G646&lt;=0,"n/m",F646/G646)</f>
        <v>0.63113315053305719</v>
      </c>
      <c r="I646" s="120">
        <v>68942.445999999996</v>
      </c>
      <c r="J646" s="120">
        <v>109235.9765</v>
      </c>
      <c r="K646" s="120">
        <v>0.63113315053305719</v>
      </c>
      <c r="L646" s="125">
        <v>0.63113315053305719</v>
      </c>
      <c r="M646" s="125">
        <f>MLCF!H152</f>
        <v>0.63113315053305719</v>
      </c>
      <c r="N646" s="126" t="str">
        <f t="shared" ref="N646:N709" si="21">IF(AND(ABS(F646-I646)&lt;0.000001,ABS(G646-J646)&lt;0.000001,IF(ISNUMBER(L646),IF(ISNUMBER(M646),ABS(L646-M646)&lt;0.00000001,FALSE),M646=L646)),"PASS","FAIL")</f>
        <v>PASS</v>
      </c>
      <c r="O646" s="122"/>
      <c r="P646" s="119" t="s">
        <v>471</v>
      </c>
    </row>
    <row r="647" spans="1:16" ht="25.95" customHeight="1" x14ac:dyDescent="0.3">
      <c r="A647" s="50" t="s">
        <v>106</v>
      </c>
      <c r="B647" s="50">
        <v>2025</v>
      </c>
      <c r="C647" s="50">
        <v>15</v>
      </c>
      <c r="D647" s="50" t="s">
        <v>199</v>
      </c>
      <c r="E647" s="50" t="s">
        <v>3544</v>
      </c>
      <c r="F647" s="121">
        <f>MLCF!H84</f>
        <v>68942.445999999996</v>
      </c>
      <c r="G647" s="121">
        <f>AVERAGE(MLCF!G22,MLCF!H22)</f>
        <v>64117.466</v>
      </c>
      <c r="H647" s="121">
        <f t="shared" si="20"/>
        <v>1.0752521941525262</v>
      </c>
      <c r="I647" s="121">
        <v>68942.445999999996</v>
      </c>
      <c r="J647" s="121">
        <v>64117.466</v>
      </c>
      <c r="K647" s="121">
        <v>1.0752521941525262</v>
      </c>
      <c r="L647" s="127">
        <v>1.0752521941525262</v>
      </c>
      <c r="M647" s="127">
        <f>MLCF!H153</f>
        <v>1.0752521941525262</v>
      </c>
      <c r="N647" s="128" t="str">
        <f t="shared" si="21"/>
        <v>PASS</v>
      </c>
      <c r="O647" s="68"/>
      <c r="P647" s="50" t="s">
        <v>471</v>
      </c>
    </row>
    <row r="648" spans="1:16" ht="25.95" customHeight="1" x14ac:dyDescent="0.3">
      <c r="A648" s="119" t="s">
        <v>106</v>
      </c>
      <c r="B648" s="119">
        <v>2025</v>
      </c>
      <c r="C648" s="119">
        <v>16</v>
      </c>
      <c r="D648" s="119" t="s">
        <v>932</v>
      </c>
      <c r="E648" s="119" t="s">
        <v>3544</v>
      </c>
      <c r="F648" s="120">
        <f>MLCF!H62</f>
        <v>47644.679000000004</v>
      </c>
      <c r="G648" s="120">
        <f>MLCF!H37</f>
        <v>119106.27099999998</v>
      </c>
      <c r="H648" s="120">
        <f t="shared" si="20"/>
        <v>0.40001822406143511</v>
      </c>
      <c r="I648" s="120">
        <v>47644.679000000004</v>
      </c>
      <c r="J648" s="120">
        <v>119106.27100000001</v>
      </c>
      <c r="K648" s="120">
        <v>0.400018224061435</v>
      </c>
      <c r="L648" s="125">
        <v>0.400018224061435</v>
      </c>
      <c r="M648" s="125">
        <f>MLCF!H155</f>
        <v>0.40001822406143511</v>
      </c>
      <c r="N648" s="126" t="str">
        <f t="shared" si="21"/>
        <v>PASS</v>
      </c>
      <c r="O648" s="122"/>
      <c r="P648" s="119" t="s">
        <v>493</v>
      </c>
    </row>
    <row r="649" spans="1:16" ht="25.95" customHeight="1" x14ac:dyDescent="0.3">
      <c r="A649" s="50" t="s">
        <v>106</v>
      </c>
      <c r="B649" s="50">
        <v>2025</v>
      </c>
      <c r="C649" s="50">
        <v>17</v>
      </c>
      <c r="D649" s="50" t="s">
        <v>151</v>
      </c>
      <c r="E649" s="50" t="s">
        <v>3544</v>
      </c>
      <c r="F649" s="121">
        <f>MLCF!H62</f>
        <v>47644.679000000004</v>
      </c>
      <c r="G649" s="121">
        <f>MLCF!H41</f>
        <v>71461.592000000004</v>
      </c>
      <c r="H649" s="121">
        <f t="shared" si="20"/>
        <v>0.66671729059716445</v>
      </c>
      <c r="I649" s="121">
        <v>47644.679000000004</v>
      </c>
      <c r="J649" s="121">
        <v>71461.592000000004</v>
      </c>
      <c r="K649" s="121">
        <v>0.66671729059716445</v>
      </c>
      <c r="L649" s="127">
        <v>0.66671729059716445</v>
      </c>
      <c r="M649" s="127">
        <f>MLCF!H156</f>
        <v>0.66671729059716445</v>
      </c>
      <c r="N649" s="128" t="str">
        <f t="shared" si="21"/>
        <v>PASS</v>
      </c>
      <c r="O649" s="68"/>
      <c r="P649" s="50" t="s">
        <v>493</v>
      </c>
    </row>
    <row r="650" spans="1:16" ht="25.95" customHeight="1" x14ac:dyDescent="0.3">
      <c r="A650" s="119" t="s">
        <v>106</v>
      </c>
      <c r="B650" s="119">
        <v>2025</v>
      </c>
      <c r="C650" s="119">
        <v>18</v>
      </c>
      <c r="D650" s="119" t="s">
        <v>935</v>
      </c>
      <c r="E650" s="119" t="s">
        <v>3545</v>
      </c>
      <c r="F650" s="120">
        <f>MLCF!H66</f>
        <v>14580.07</v>
      </c>
      <c r="G650" s="120">
        <f>MLCF!H66+MLCF!H41</f>
        <v>86041.662000000011</v>
      </c>
      <c r="H650" s="120">
        <f t="shared" si="20"/>
        <v>0.1694536072536581</v>
      </c>
      <c r="I650" s="120">
        <v>14580.07</v>
      </c>
      <c r="J650" s="120">
        <v>86041.662000000011</v>
      </c>
      <c r="K650" s="120">
        <v>0.1694536072536581</v>
      </c>
      <c r="L650" s="125">
        <v>0.1694536072536581</v>
      </c>
      <c r="M650" s="125">
        <f>MLCF!H157</f>
        <v>0.1694536072536581</v>
      </c>
      <c r="N650" s="126" t="str">
        <f t="shared" si="21"/>
        <v>PASS</v>
      </c>
      <c r="O650" s="122"/>
      <c r="P650" s="119" t="s">
        <v>493</v>
      </c>
    </row>
    <row r="651" spans="1:16" ht="25.95" customHeight="1" x14ac:dyDescent="0.3">
      <c r="A651" s="50" t="s">
        <v>106</v>
      </c>
      <c r="B651" s="50">
        <v>2025</v>
      </c>
      <c r="C651" s="50">
        <v>19</v>
      </c>
      <c r="D651" s="50" t="s">
        <v>936</v>
      </c>
      <c r="E651" s="50" t="s">
        <v>3545</v>
      </c>
      <c r="F651" s="121">
        <f>MLCF!H67</f>
        <v>9810.134</v>
      </c>
      <c r="G651" s="121">
        <f>MLCF!H37</f>
        <v>119106.27099999998</v>
      </c>
      <c r="H651" s="121">
        <f t="shared" si="20"/>
        <v>8.2364546531727131E-2</v>
      </c>
      <c r="I651" s="121">
        <v>9810.134</v>
      </c>
      <c r="J651" s="121">
        <v>119106.27100000001</v>
      </c>
      <c r="K651" s="121">
        <v>8.2364546531727117E-2</v>
      </c>
      <c r="L651" s="127">
        <v>8.2364546531727117E-2</v>
      </c>
      <c r="M651" s="127">
        <f>MLCF!H158</f>
        <v>8.2364546531727131E-2</v>
      </c>
      <c r="N651" s="128" t="str">
        <f t="shared" si="21"/>
        <v>PASS</v>
      </c>
      <c r="O651" s="68"/>
      <c r="P651" s="50" t="s">
        <v>493</v>
      </c>
    </row>
    <row r="652" spans="1:16" ht="25.95" customHeight="1" x14ac:dyDescent="0.3">
      <c r="A652" s="119" t="s">
        <v>106</v>
      </c>
      <c r="B652" s="119">
        <v>2025</v>
      </c>
      <c r="C652" s="119">
        <v>20</v>
      </c>
      <c r="D652" s="119" t="s">
        <v>938</v>
      </c>
      <c r="E652" s="119" t="s">
        <v>3544</v>
      </c>
      <c r="F652" s="120">
        <f>MLCF!H108</f>
        <v>25219.024999999998</v>
      </c>
      <c r="G652" s="120">
        <f>MLCF!H106</f>
        <v>3413.9540000000002</v>
      </c>
      <c r="H652" s="120">
        <f t="shared" si="20"/>
        <v>7.3870430005793857</v>
      </c>
      <c r="I652" s="120">
        <v>25219.024999999998</v>
      </c>
      <c r="J652" s="120">
        <v>3413.9540000000002</v>
      </c>
      <c r="K652" s="120">
        <v>7.3870430005793857</v>
      </c>
      <c r="L652" s="125">
        <v>7.3870430005793857</v>
      </c>
      <c r="M652" s="125">
        <f>MLCF!H159</f>
        <v>7.3870430005793857</v>
      </c>
      <c r="N652" s="126" t="str">
        <f t="shared" si="21"/>
        <v>PASS</v>
      </c>
      <c r="O652" s="122"/>
      <c r="P652" s="119" t="s">
        <v>493</v>
      </c>
    </row>
    <row r="653" spans="1:16" ht="25.95" customHeight="1" x14ac:dyDescent="0.3">
      <c r="A653" s="50" t="s">
        <v>106</v>
      </c>
      <c r="B653" s="50">
        <v>2025</v>
      </c>
      <c r="C653" s="50">
        <v>21</v>
      </c>
      <c r="D653" s="50" t="s">
        <v>154</v>
      </c>
      <c r="E653" s="50" t="s">
        <v>3544</v>
      </c>
      <c r="F653" s="121">
        <f>MLCF!H86</f>
        <v>23746.815999999999</v>
      </c>
      <c r="G653" s="121">
        <f>MLCF!H84</f>
        <v>68942.445999999996</v>
      </c>
      <c r="H653" s="121">
        <f t="shared" si="20"/>
        <v>0.34444405990469212</v>
      </c>
      <c r="I653" s="121">
        <v>23746.815999999999</v>
      </c>
      <c r="J653" s="121">
        <v>68942.445999999996</v>
      </c>
      <c r="K653" s="121">
        <v>0.34444405990469212</v>
      </c>
      <c r="L653" s="127">
        <v>0.34444405990469212</v>
      </c>
      <c r="M653" s="127">
        <f>MLCF!H161</f>
        <v>0.34444405990469212</v>
      </c>
      <c r="N653" s="128" t="str">
        <f t="shared" si="21"/>
        <v>PASS</v>
      </c>
      <c r="O653" s="68"/>
      <c r="P653" s="50" t="s">
        <v>504</v>
      </c>
    </row>
    <row r="654" spans="1:16" ht="25.95" customHeight="1" x14ac:dyDescent="0.3">
      <c r="A654" s="119" t="s">
        <v>106</v>
      </c>
      <c r="B654" s="119">
        <v>2025</v>
      </c>
      <c r="C654" s="119">
        <v>22</v>
      </c>
      <c r="D654" s="119" t="s">
        <v>942</v>
      </c>
      <c r="E654" s="119" t="s">
        <v>3544</v>
      </c>
      <c r="F654" s="120">
        <f>MLCF!H91</f>
        <v>15725.293999999998</v>
      </c>
      <c r="G654" s="120">
        <f>MLCF!H84</f>
        <v>68942.445999999996</v>
      </c>
      <c r="H654" s="120">
        <f t="shared" si="20"/>
        <v>0.22809306765820289</v>
      </c>
      <c r="I654" s="120">
        <v>15725.293999999998</v>
      </c>
      <c r="J654" s="120">
        <v>68942.445999999996</v>
      </c>
      <c r="K654" s="120">
        <v>0.22809306765820289</v>
      </c>
      <c r="L654" s="125">
        <v>0.22809306765820289</v>
      </c>
      <c r="M654" s="125">
        <f>MLCF!H162</f>
        <v>0.22809306765820289</v>
      </c>
      <c r="N654" s="126" t="str">
        <f t="shared" si="21"/>
        <v>PASS</v>
      </c>
      <c r="O654" s="122"/>
      <c r="P654" s="119" t="s">
        <v>504</v>
      </c>
    </row>
    <row r="655" spans="1:16" ht="25.95" customHeight="1" x14ac:dyDescent="0.3">
      <c r="A655" s="50" t="s">
        <v>106</v>
      </c>
      <c r="B655" s="50">
        <v>2025</v>
      </c>
      <c r="C655" s="50">
        <v>23</v>
      </c>
      <c r="D655" s="50" t="s">
        <v>155</v>
      </c>
      <c r="E655" s="50" t="s">
        <v>3544</v>
      </c>
      <c r="F655" s="121">
        <f>MLCF!H99</f>
        <v>17036.373999999996</v>
      </c>
      <c r="G655" s="121">
        <f>MLCF!H84</f>
        <v>68942.445999999996</v>
      </c>
      <c r="H655" s="121">
        <f t="shared" si="20"/>
        <v>0.24711008947956384</v>
      </c>
      <c r="I655" s="121">
        <v>17036.373999999996</v>
      </c>
      <c r="J655" s="121">
        <v>68942.445999999996</v>
      </c>
      <c r="K655" s="121">
        <v>0.24711008947956384</v>
      </c>
      <c r="L655" s="127">
        <v>0.24711008947956384</v>
      </c>
      <c r="M655" s="127">
        <f>MLCF!H163</f>
        <v>0.24711008947956384</v>
      </c>
      <c r="N655" s="128" t="str">
        <f t="shared" si="21"/>
        <v>PASS</v>
      </c>
      <c r="O655" s="68"/>
      <c r="P655" s="50" t="s">
        <v>504</v>
      </c>
    </row>
    <row r="656" spans="1:16" ht="25.95" customHeight="1" x14ac:dyDescent="0.3">
      <c r="A656" s="119" t="s">
        <v>106</v>
      </c>
      <c r="B656" s="119">
        <v>2025</v>
      </c>
      <c r="C656" s="119">
        <v>24</v>
      </c>
      <c r="D656" s="119" t="s">
        <v>136</v>
      </c>
      <c r="E656" s="119" t="s">
        <v>3544</v>
      </c>
      <c r="F656" s="120">
        <f>MLCF!H99</f>
        <v>17036.373999999996</v>
      </c>
      <c r="G656" s="120">
        <f>AVERAGE(MLCF!G37,MLCF!H37)</f>
        <v>109235.97649999999</v>
      </c>
      <c r="H656" s="120">
        <f t="shared" si="20"/>
        <v>0.15595936930174281</v>
      </c>
      <c r="I656" s="120">
        <v>17036.373999999996</v>
      </c>
      <c r="J656" s="120">
        <v>109235.9765</v>
      </c>
      <c r="K656" s="120">
        <v>0.15595936930174278</v>
      </c>
      <c r="L656" s="125">
        <v>0.15595936930174278</v>
      </c>
      <c r="M656" s="125">
        <f>MLCF!H164</f>
        <v>0.15595936930174281</v>
      </c>
      <c r="N656" s="126" t="str">
        <f t="shared" si="21"/>
        <v>PASS</v>
      </c>
      <c r="O656" s="122"/>
      <c r="P656" s="119" t="s">
        <v>504</v>
      </c>
    </row>
    <row r="657" spans="1:16" ht="25.95" customHeight="1" x14ac:dyDescent="0.3">
      <c r="A657" s="50" t="s">
        <v>106</v>
      </c>
      <c r="B657" s="50">
        <v>2025</v>
      </c>
      <c r="C657" s="50">
        <v>25</v>
      </c>
      <c r="D657" s="50" t="s">
        <v>53</v>
      </c>
      <c r="E657" s="50" t="s">
        <v>3544</v>
      </c>
      <c r="F657" s="121">
        <f>MLCF!H99</f>
        <v>17036.373999999996</v>
      </c>
      <c r="G657" s="121">
        <f>AVERAGE(MLCF!G41,MLCF!H41)</f>
        <v>62038.75</v>
      </c>
      <c r="H657" s="121">
        <f t="shared" si="20"/>
        <v>0.2746085954343051</v>
      </c>
      <c r="I657" s="121">
        <v>17036.373999999996</v>
      </c>
      <c r="J657" s="121">
        <v>62038.75</v>
      </c>
      <c r="K657" s="121">
        <v>0.2746085954343051</v>
      </c>
      <c r="L657" s="127">
        <v>0.2746085954343051</v>
      </c>
      <c r="M657" s="127">
        <f>MLCF!H165</f>
        <v>0.2746085954343051</v>
      </c>
      <c r="N657" s="128" t="str">
        <f t="shared" si="21"/>
        <v>PASS</v>
      </c>
      <c r="O657" s="68"/>
      <c r="P657" s="50" t="s">
        <v>504</v>
      </c>
    </row>
    <row r="658" spans="1:16" ht="25.95" customHeight="1" x14ac:dyDescent="0.3">
      <c r="A658" s="119" t="s">
        <v>106</v>
      </c>
      <c r="B658" s="119">
        <v>2025</v>
      </c>
      <c r="C658" s="119">
        <v>26</v>
      </c>
      <c r="D658" s="119" t="s">
        <v>944</v>
      </c>
      <c r="E658" s="119" t="s">
        <v>3545</v>
      </c>
      <c r="F658" s="120">
        <f>MLCF!H113</f>
        <v>19831.796606330976</v>
      </c>
      <c r="G658" s="120">
        <f>AVERAGE(MLCF!G70,MLCF!H70)</f>
        <v>79022.476500000004</v>
      </c>
      <c r="H658" s="120">
        <f t="shared" si="20"/>
        <v>0.25096399764604915</v>
      </c>
      <c r="I658" s="120">
        <v>19831.796606330976</v>
      </c>
      <c r="J658" s="120">
        <v>79022.476500000004</v>
      </c>
      <c r="K658" s="120">
        <v>0.25096399764604915</v>
      </c>
      <c r="L658" s="125">
        <v>0.25096399764604915</v>
      </c>
      <c r="M658" s="125">
        <f>MLCF!H166</f>
        <v>0.25096399764604915</v>
      </c>
      <c r="N658" s="126" t="str">
        <f t="shared" si="21"/>
        <v>PASS</v>
      </c>
      <c r="O658" s="122"/>
      <c r="P658" s="119" t="s">
        <v>504</v>
      </c>
    </row>
    <row r="659" spans="1:16" ht="25.95" customHeight="1" x14ac:dyDescent="0.3">
      <c r="A659" s="50" t="s">
        <v>106</v>
      </c>
      <c r="B659" s="50">
        <v>2025</v>
      </c>
      <c r="C659" s="50">
        <v>27</v>
      </c>
      <c r="D659" s="50" t="s">
        <v>945</v>
      </c>
      <c r="E659" s="50" t="s">
        <v>3545</v>
      </c>
      <c r="F659" s="121">
        <f>MLCF!H108</f>
        <v>25219.024999999998</v>
      </c>
      <c r="G659" s="121">
        <f>AVERAGE(MLCF!G37,MLCF!H37)</f>
        <v>109235.97649999999</v>
      </c>
      <c r="H659" s="121">
        <f t="shared" si="20"/>
        <v>0.23086739193474415</v>
      </c>
      <c r="I659" s="121">
        <v>25219.024999999998</v>
      </c>
      <c r="J659" s="121">
        <v>109235.9765</v>
      </c>
      <c r="K659" s="121">
        <v>0.23086739193474412</v>
      </c>
      <c r="L659" s="127">
        <v>0.23086739193474412</v>
      </c>
      <c r="M659" s="127">
        <f>MLCF!H167</f>
        <v>0.23086739193474415</v>
      </c>
      <c r="N659" s="128" t="str">
        <f t="shared" si="21"/>
        <v>PASS</v>
      </c>
      <c r="O659" s="68"/>
      <c r="P659" s="50" t="s">
        <v>504</v>
      </c>
    </row>
    <row r="660" spans="1:16" ht="25.95" customHeight="1" x14ac:dyDescent="0.3">
      <c r="A660" s="119" t="s">
        <v>106</v>
      </c>
      <c r="B660" s="119">
        <v>2025</v>
      </c>
      <c r="C660" s="119">
        <v>28</v>
      </c>
      <c r="D660" s="119" t="s">
        <v>139</v>
      </c>
      <c r="E660" s="119" t="s">
        <v>3545</v>
      </c>
      <c r="F660" s="120">
        <f>MLCF!H41</f>
        <v>71461.592000000004</v>
      </c>
      <c r="G660" s="120">
        <f>MLCF!H128</f>
        <v>1047.5626</v>
      </c>
      <c r="H660" s="120">
        <f t="shared" si="20"/>
        <v>68.217013474898792</v>
      </c>
      <c r="I660" s="120">
        <v>71461.592000000004</v>
      </c>
      <c r="J660" s="120">
        <v>1047.5626</v>
      </c>
      <c r="K660" s="120">
        <v>68.217013474898792</v>
      </c>
      <c r="L660" s="125">
        <v>68.217013474898792</v>
      </c>
      <c r="M660" s="125">
        <f>MLCF!H169</f>
        <v>68.217013474898792</v>
      </c>
      <c r="N660" s="126" t="str">
        <f t="shared" si="21"/>
        <v>PASS</v>
      </c>
      <c r="O660" s="122"/>
      <c r="P660" s="119" t="s">
        <v>519</v>
      </c>
    </row>
    <row r="661" spans="1:16" ht="25.95" customHeight="1" x14ac:dyDescent="0.3">
      <c r="A661" s="50" t="s">
        <v>106</v>
      </c>
      <c r="B661" s="50">
        <v>2025</v>
      </c>
      <c r="C661" s="50">
        <v>29</v>
      </c>
      <c r="D661" s="50" t="s">
        <v>162</v>
      </c>
      <c r="E661" s="50" t="s">
        <v>3544</v>
      </c>
      <c r="F661" s="121">
        <f>MLCF!H130</f>
        <v>84.28</v>
      </c>
      <c r="G661" s="121">
        <f>MLCF!H41/MLCF!H128</f>
        <v>68.217013474898792</v>
      </c>
      <c r="H661" s="121">
        <f t="shared" si="20"/>
        <v>1.2354689205356633</v>
      </c>
      <c r="I661" s="121">
        <v>84.28</v>
      </c>
      <c r="J661" s="121">
        <v>68.217013474898792</v>
      </c>
      <c r="K661" s="121">
        <v>1.2354689205356633</v>
      </c>
      <c r="L661" s="127">
        <v>1.2354689205356633</v>
      </c>
      <c r="M661" s="127">
        <f>MLCF!H170</f>
        <v>1.2354689205356633</v>
      </c>
      <c r="N661" s="128" t="str">
        <f t="shared" si="21"/>
        <v>PASS</v>
      </c>
      <c r="O661" s="68"/>
      <c r="P661" s="50" t="s">
        <v>519</v>
      </c>
    </row>
    <row r="662" spans="1:16" ht="25.95" customHeight="1" x14ac:dyDescent="0.3">
      <c r="A662" s="119" t="s">
        <v>106</v>
      </c>
      <c r="B662" s="119">
        <v>2025</v>
      </c>
      <c r="C662" s="119">
        <v>30</v>
      </c>
      <c r="D662" s="119" t="s">
        <v>143</v>
      </c>
      <c r="E662" s="119" t="s">
        <v>3544</v>
      </c>
      <c r="F662" s="120">
        <f>MLCF!H99</f>
        <v>17036.373999999996</v>
      </c>
      <c r="G662" s="120">
        <f>MLCF!H129</f>
        <v>1047.5630000000001</v>
      </c>
      <c r="H662" s="120">
        <f t="shared" si="20"/>
        <v>16.262863426829693</v>
      </c>
      <c r="I662" s="120">
        <v>17036.373999999996</v>
      </c>
      <c r="J662" s="120">
        <v>1047.5630000000001</v>
      </c>
      <c r="K662" s="120">
        <v>16.262863426829693</v>
      </c>
      <c r="L662" s="125">
        <v>16.262863426829693</v>
      </c>
      <c r="M662" s="125">
        <f>MLCF!H171</f>
        <v>16.262863426829693</v>
      </c>
      <c r="N662" s="126" t="str">
        <f t="shared" si="21"/>
        <v>PASS</v>
      </c>
      <c r="O662" s="122"/>
      <c r="P662" s="119" t="s">
        <v>519</v>
      </c>
    </row>
    <row r="663" spans="1:16" ht="25.95" customHeight="1" x14ac:dyDescent="0.3">
      <c r="A663" s="50" t="s">
        <v>106</v>
      </c>
      <c r="B663" s="50">
        <v>2025</v>
      </c>
      <c r="C663" s="50">
        <v>31</v>
      </c>
      <c r="D663" s="50" t="s">
        <v>952</v>
      </c>
      <c r="E663" s="50" t="s">
        <v>3544</v>
      </c>
      <c r="F663" s="121">
        <f>MLCF!H130</f>
        <v>84.28</v>
      </c>
      <c r="G663" s="121">
        <f>MLCF!H99/MLCF!H129</f>
        <v>16.262863426829693</v>
      </c>
      <c r="H663" s="121">
        <f t="shared" si="20"/>
        <v>5.1823592062489379</v>
      </c>
      <c r="I663" s="121">
        <v>84.28</v>
      </c>
      <c r="J663" s="121">
        <v>16.262863426829693</v>
      </c>
      <c r="K663" s="121">
        <v>5.1823592062489379</v>
      </c>
      <c r="L663" s="127">
        <v>5.1823592062489379</v>
      </c>
      <c r="M663" s="127">
        <f>MLCF!H172</f>
        <v>5.1823592062489379</v>
      </c>
      <c r="N663" s="128" t="str">
        <f t="shared" si="21"/>
        <v>PASS</v>
      </c>
      <c r="O663" s="68"/>
      <c r="P663" s="50" t="s">
        <v>519</v>
      </c>
    </row>
    <row r="664" spans="1:16" ht="25.95" customHeight="1" x14ac:dyDescent="0.3">
      <c r="A664" s="119" t="s">
        <v>106</v>
      </c>
      <c r="B664" s="119">
        <v>2025</v>
      </c>
      <c r="C664" s="119">
        <v>32</v>
      </c>
      <c r="D664" s="119" t="s">
        <v>104</v>
      </c>
      <c r="E664" s="119" t="s">
        <v>3544</v>
      </c>
      <c r="F664" s="120">
        <f>MLCF!H131</f>
        <v>0</v>
      </c>
      <c r="G664" s="120">
        <f>MLCF!H130</f>
        <v>84.28</v>
      </c>
      <c r="H664" s="120">
        <f t="shared" si="20"/>
        <v>0</v>
      </c>
      <c r="I664" s="120">
        <v>0</v>
      </c>
      <c r="J664" s="120">
        <v>84.28</v>
      </c>
      <c r="K664" s="120">
        <v>0</v>
      </c>
      <c r="L664" s="125">
        <v>0</v>
      </c>
      <c r="M664" s="125">
        <f>MLCF!H173</f>
        <v>0</v>
      </c>
      <c r="N664" s="126" t="str">
        <f t="shared" si="21"/>
        <v>PASS</v>
      </c>
      <c r="O664" s="122"/>
      <c r="P664" s="119" t="s">
        <v>519</v>
      </c>
    </row>
    <row r="665" spans="1:16" ht="25.95" customHeight="1" x14ac:dyDescent="0.3">
      <c r="A665" s="50" t="s">
        <v>106</v>
      </c>
      <c r="B665" s="50">
        <v>2025</v>
      </c>
      <c r="C665" s="50">
        <v>33</v>
      </c>
      <c r="D665" s="50" t="s">
        <v>124</v>
      </c>
      <c r="E665" s="50" t="s">
        <v>3545</v>
      </c>
      <c r="F665" s="121">
        <f>MLCF!H131</f>
        <v>0</v>
      </c>
      <c r="G665" s="121">
        <f>MLCF!H99/MLCF!H129</f>
        <v>16.262863426829693</v>
      </c>
      <c r="H665" s="121">
        <f t="shared" si="20"/>
        <v>0</v>
      </c>
      <c r="I665" s="121">
        <v>0</v>
      </c>
      <c r="J665" s="121">
        <v>16.262863426829693</v>
      </c>
      <c r="K665" s="121">
        <v>0</v>
      </c>
      <c r="L665" s="127">
        <v>0</v>
      </c>
      <c r="M665" s="127">
        <f>MLCF!H174</f>
        <v>0</v>
      </c>
      <c r="N665" s="128" t="str">
        <f t="shared" si="21"/>
        <v>PASS</v>
      </c>
      <c r="O665" s="68"/>
      <c r="P665" s="50" t="s">
        <v>519</v>
      </c>
    </row>
    <row r="666" spans="1:16" ht="25.95" customHeight="1" x14ac:dyDescent="0.3">
      <c r="A666" s="119" t="s">
        <v>114</v>
      </c>
      <c r="B666" s="119">
        <v>2021</v>
      </c>
      <c r="C666" s="119">
        <v>1</v>
      </c>
      <c r="D666" s="119" t="s">
        <v>19</v>
      </c>
      <c r="E666" s="119" t="s">
        <v>3544</v>
      </c>
      <c r="F666" s="120">
        <f>FCCL!D36</f>
        <v>12438.732</v>
      </c>
      <c r="G666" s="120">
        <f>FCCL!D61</f>
        <v>6161.9889999999996</v>
      </c>
      <c r="H666" s="120">
        <f t="shared" si="20"/>
        <v>2.01862288296847</v>
      </c>
      <c r="I666" s="120">
        <v>12438.732</v>
      </c>
      <c r="J666" s="120">
        <v>6161.9889999999996</v>
      </c>
      <c r="K666" s="120">
        <v>2.01862288296847</v>
      </c>
      <c r="L666" s="125">
        <v>2.01862288296847</v>
      </c>
      <c r="M666" s="125">
        <f>FCCL!D138</f>
        <v>2.01862288296847</v>
      </c>
      <c r="N666" s="126" t="str">
        <f t="shared" si="21"/>
        <v>PASS</v>
      </c>
      <c r="O666" s="122"/>
      <c r="P666" s="119" t="s">
        <v>459</v>
      </c>
    </row>
    <row r="667" spans="1:16" ht="25.95" customHeight="1" x14ac:dyDescent="0.3">
      <c r="A667" s="50" t="s">
        <v>114</v>
      </c>
      <c r="B667" s="50">
        <v>2021</v>
      </c>
      <c r="C667" s="50">
        <v>2</v>
      </c>
      <c r="D667" s="50" t="s">
        <v>30</v>
      </c>
      <c r="E667" s="50" t="s">
        <v>3544</v>
      </c>
      <c r="F667" s="121">
        <f>FCCL!D36-FCCL!D65</f>
        <v>6998.78</v>
      </c>
      <c r="G667" s="121">
        <f>FCCL!D61</f>
        <v>6161.9889999999996</v>
      </c>
      <c r="H667" s="121">
        <f t="shared" si="20"/>
        <v>1.1357988467684703</v>
      </c>
      <c r="I667" s="121">
        <v>6998.78</v>
      </c>
      <c r="J667" s="121">
        <v>6161.9889999999996</v>
      </c>
      <c r="K667" s="121">
        <v>1.1357988467684703</v>
      </c>
      <c r="L667" s="127">
        <v>1.1357988467684703</v>
      </c>
      <c r="M667" s="127">
        <f>FCCL!D139</f>
        <v>1.1357988467684703</v>
      </c>
      <c r="N667" s="128" t="str">
        <f t="shared" si="21"/>
        <v>PASS</v>
      </c>
      <c r="O667" s="68"/>
      <c r="P667" s="50" t="s">
        <v>459</v>
      </c>
    </row>
    <row r="668" spans="1:16" ht="25.95" customHeight="1" x14ac:dyDescent="0.3">
      <c r="A668" s="119" t="s">
        <v>114</v>
      </c>
      <c r="B668" s="119">
        <v>2021</v>
      </c>
      <c r="C668" s="119">
        <v>3</v>
      </c>
      <c r="D668" s="119" t="s">
        <v>145</v>
      </c>
      <c r="E668" s="119" t="s">
        <v>3544</v>
      </c>
      <c r="F668" s="120">
        <f>FCCL!D34</f>
        <v>900.77800000000002</v>
      </c>
      <c r="G668" s="120">
        <f>FCCL!D61</f>
        <v>6161.9889999999996</v>
      </c>
      <c r="H668" s="120">
        <f t="shared" si="20"/>
        <v>0.14618299383526975</v>
      </c>
      <c r="I668" s="120">
        <v>900.77800000000002</v>
      </c>
      <c r="J668" s="120">
        <v>6161.9889999999996</v>
      </c>
      <c r="K668" s="120">
        <v>0.14618299383526975</v>
      </c>
      <c r="L668" s="125">
        <v>0.14618299383526975</v>
      </c>
      <c r="M668" s="125">
        <f>FCCL!D140</f>
        <v>0.14618299383526975</v>
      </c>
      <c r="N668" s="126" t="str">
        <f t="shared" si="21"/>
        <v>PASS</v>
      </c>
      <c r="O668" s="122"/>
      <c r="P668" s="119" t="s">
        <v>459</v>
      </c>
    </row>
    <row r="669" spans="1:16" ht="25.95" customHeight="1" x14ac:dyDescent="0.3">
      <c r="A669" s="50" t="s">
        <v>114</v>
      </c>
      <c r="B669" s="50">
        <v>2021</v>
      </c>
      <c r="C669" s="50">
        <v>4</v>
      </c>
      <c r="D669" s="50" t="s">
        <v>201</v>
      </c>
      <c r="E669" s="50" t="s">
        <v>3545</v>
      </c>
      <c r="F669" s="121">
        <f>FCCL!D36-FCCL!D61</f>
        <v>6276.7430000000004</v>
      </c>
      <c r="G669" s="121">
        <f>1</f>
        <v>1</v>
      </c>
      <c r="H669" s="121">
        <f t="shared" si="20"/>
        <v>6276.7430000000004</v>
      </c>
      <c r="I669" s="121">
        <v>6276.7430000000004</v>
      </c>
      <c r="J669" s="121">
        <v>1</v>
      </c>
      <c r="K669" s="121">
        <v>6276.7430000000004</v>
      </c>
      <c r="L669" s="127">
        <v>6276.7430000000004</v>
      </c>
      <c r="M669" s="127">
        <f>FCCL!D141</f>
        <v>6276.7430000000004</v>
      </c>
      <c r="N669" s="128" t="str">
        <f t="shared" si="21"/>
        <v>PASS</v>
      </c>
      <c r="O669" s="68"/>
      <c r="P669" s="50" t="s">
        <v>459</v>
      </c>
    </row>
    <row r="670" spans="1:16" ht="25.95" customHeight="1" x14ac:dyDescent="0.3">
      <c r="A670" s="119" t="s">
        <v>114</v>
      </c>
      <c r="B670" s="119">
        <v>2021</v>
      </c>
      <c r="C670" s="119">
        <v>5</v>
      </c>
      <c r="D670" s="119" t="s">
        <v>923</v>
      </c>
      <c r="E670" s="119" t="s">
        <v>3545</v>
      </c>
      <c r="F670" s="120">
        <f>FCCL!D72-FCCL!D73</f>
        <v>3035.3930000000009</v>
      </c>
      <c r="G670" s="120">
        <f>1</f>
        <v>1</v>
      </c>
      <c r="H670" s="120">
        <f t="shared" si="20"/>
        <v>3035.3930000000009</v>
      </c>
      <c r="I670" s="120">
        <v>3035.3930000000009</v>
      </c>
      <c r="J670" s="120">
        <v>1</v>
      </c>
      <c r="K670" s="120">
        <v>3035.3930000000009</v>
      </c>
      <c r="L670" s="125">
        <v>3035.3930000000009</v>
      </c>
      <c r="M670" s="125">
        <f>FCCL!D142</f>
        <v>3035.3930000000009</v>
      </c>
      <c r="N670" s="126" t="str">
        <f t="shared" si="21"/>
        <v>PASS</v>
      </c>
      <c r="O670" s="122"/>
      <c r="P670" s="119" t="s">
        <v>459</v>
      </c>
    </row>
    <row r="671" spans="1:16" ht="25.95" customHeight="1" x14ac:dyDescent="0.3">
      <c r="A671" s="50" t="s">
        <v>114</v>
      </c>
      <c r="B671" s="50">
        <v>2021</v>
      </c>
      <c r="C671" s="50">
        <v>6</v>
      </c>
      <c r="D671" s="50" t="s">
        <v>31</v>
      </c>
      <c r="E671" s="50" t="s">
        <v>3544</v>
      </c>
      <c r="F671" s="121">
        <f>-FCCL!D85</f>
        <v>18206.88</v>
      </c>
      <c r="G671" s="121">
        <f>AVERAGE(FCCL!C65,FCCL!D65)</f>
        <v>5066.7564999999995</v>
      </c>
      <c r="H671" s="121">
        <f t="shared" si="20"/>
        <v>3.593399445976929</v>
      </c>
      <c r="I671" s="121">
        <v>18206.88</v>
      </c>
      <c r="J671" s="121">
        <v>5066.7564999999995</v>
      </c>
      <c r="K671" s="121">
        <v>3.593399445976929</v>
      </c>
      <c r="L671" s="127">
        <v>3.593399445976929</v>
      </c>
      <c r="M671" s="127">
        <f>FCCL!D144</f>
        <v>3.593399445976929</v>
      </c>
      <c r="N671" s="128" t="str">
        <f t="shared" si="21"/>
        <v>PASS</v>
      </c>
      <c r="O671" s="68"/>
      <c r="P671" s="50" t="s">
        <v>471</v>
      </c>
    </row>
    <row r="672" spans="1:16" ht="25.95" customHeight="1" x14ac:dyDescent="0.3">
      <c r="A672" s="119" t="s">
        <v>114</v>
      </c>
      <c r="B672" s="119">
        <v>2021</v>
      </c>
      <c r="C672" s="119">
        <v>7</v>
      </c>
      <c r="D672" s="119" t="s">
        <v>129</v>
      </c>
      <c r="E672" s="119" t="s">
        <v>3545</v>
      </c>
      <c r="F672" s="120">
        <f>FCCL!D84</f>
        <v>24271.285</v>
      </c>
      <c r="G672" s="120">
        <f>AVERAGE(FCCL!C32,FCCL!D32)</f>
        <v>1250.1199999999999</v>
      </c>
      <c r="H672" s="120">
        <f t="shared" si="20"/>
        <v>19.415164144242155</v>
      </c>
      <c r="I672" s="120">
        <v>24271.285</v>
      </c>
      <c r="J672" s="120">
        <v>1250.1199999999999</v>
      </c>
      <c r="K672" s="120">
        <v>19.415164144242155</v>
      </c>
      <c r="L672" s="125">
        <v>19.415164144242155</v>
      </c>
      <c r="M672" s="125">
        <f>FCCL!D145</f>
        <v>19.415164144242155</v>
      </c>
      <c r="N672" s="126" t="str">
        <f t="shared" si="21"/>
        <v>PASS</v>
      </c>
      <c r="O672" s="122"/>
      <c r="P672" s="119" t="s">
        <v>471</v>
      </c>
    </row>
    <row r="673" spans="1:16" ht="25.95" customHeight="1" x14ac:dyDescent="0.3">
      <c r="A673" s="50" t="s">
        <v>114</v>
      </c>
      <c r="B673" s="50">
        <v>2021</v>
      </c>
      <c r="C673" s="50">
        <v>8</v>
      </c>
      <c r="D673" s="50" t="s">
        <v>133</v>
      </c>
      <c r="E673" s="50" t="s">
        <v>3545</v>
      </c>
      <c r="F673" s="121">
        <f>-FCCL!D85</f>
        <v>18206.88</v>
      </c>
      <c r="G673" s="121">
        <f>AVERAGE(FCCL!C51,FCCL!D51)</f>
        <v>608.81200000000001</v>
      </c>
      <c r="H673" s="121">
        <f t="shared" si="20"/>
        <v>29.905586617872185</v>
      </c>
      <c r="I673" s="121">
        <v>18206.88</v>
      </c>
      <c r="J673" s="121">
        <v>608.81200000000001</v>
      </c>
      <c r="K673" s="121">
        <v>29.905586617872185</v>
      </c>
      <c r="L673" s="127">
        <v>29.905586617872185</v>
      </c>
      <c r="M673" s="127">
        <f>FCCL!D146</f>
        <v>29.905586617872185</v>
      </c>
      <c r="N673" s="128" t="str">
        <f t="shared" si="21"/>
        <v>PASS</v>
      </c>
      <c r="O673" s="68"/>
      <c r="P673" s="50" t="s">
        <v>471</v>
      </c>
    </row>
    <row r="674" spans="1:16" ht="25.95" customHeight="1" x14ac:dyDescent="0.3">
      <c r="A674" s="119" t="s">
        <v>114</v>
      </c>
      <c r="B674" s="119">
        <v>2021</v>
      </c>
      <c r="C674" s="119">
        <v>9</v>
      </c>
      <c r="D674" s="119" t="s">
        <v>134</v>
      </c>
      <c r="E674" s="119" t="s">
        <v>3545</v>
      </c>
      <c r="F674" s="120">
        <f>365*AVERAGE(FCCL!C65,FCCL!D65)</f>
        <v>1849366.1224999998</v>
      </c>
      <c r="G674" s="120">
        <f>-FCCL!D85</f>
        <v>18206.88</v>
      </c>
      <c r="H674" s="120">
        <f t="shared" si="20"/>
        <v>101.57512558439446</v>
      </c>
      <c r="I674" s="120">
        <v>1849366.1224999998</v>
      </c>
      <c r="J674" s="120">
        <v>18206.88</v>
      </c>
      <c r="K674" s="120">
        <v>101.57512558439446</v>
      </c>
      <c r="L674" s="125">
        <v>101.57512558439446</v>
      </c>
      <c r="M674" s="125">
        <f>FCCL!D147</f>
        <v>101.57512558439446</v>
      </c>
      <c r="N674" s="126" t="str">
        <f t="shared" si="21"/>
        <v>PASS</v>
      </c>
      <c r="O674" s="122"/>
      <c r="P674" s="119" t="s">
        <v>471</v>
      </c>
    </row>
    <row r="675" spans="1:16" ht="25.95" customHeight="1" x14ac:dyDescent="0.3">
      <c r="A675" s="50" t="s">
        <v>114</v>
      </c>
      <c r="B675" s="50">
        <v>2021</v>
      </c>
      <c r="C675" s="50">
        <v>10</v>
      </c>
      <c r="D675" s="50" t="s">
        <v>187</v>
      </c>
      <c r="E675" s="50" t="s">
        <v>3544</v>
      </c>
      <c r="F675" s="121">
        <f>365*AVERAGE(FCCL!C32,FCCL!D32)</f>
        <v>456293.8</v>
      </c>
      <c r="G675" s="121">
        <f>FCCL!D84</f>
        <v>24271.285</v>
      </c>
      <c r="H675" s="121">
        <f t="shared" si="20"/>
        <v>18.799738044359827</v>
      </c>
      <c r="I675" s="121">
        <v>456293.8</v>
      </c>
      <c r="J675" s="121">
        <v>24271.285</v>
      </c>
      <c r="K675" s="121">
        <v>18.799738044359827</v>
      </c>
      <c r="L675" s="127">
        <v>18.799738044359827</v>
      </c>
      <c r="M675" s="127">
        <f>FCCL!D148</f>
        <v>18.799738044359827</v>
      </c>
      <c r="N675" s="128" t="str">
        <f t="shared" si="21"/>
        <v>PASS</v>
      </c>
      <c r="O675" s="68"/>
      <c r="P675" s="50" t="s">
        <v>471</v>
      </c>
    </row>
    <row r="676" spans="1:16" ht="25.95" customHeight="1" x14ac:dyDescent="0.3">
      <c r="A676" s="119" t="s">
        <v>114</v>
      </c>
      <c r="B676" s="119">
        <v>2021</v>
      </c>
      <c r="C676" s="119">
        <v>11</v>
      </c>
      <c r="D676" s="119" t="s">
        <v>190</v>
      </c>
      <c r="E676" s="119" t="s">
        <v>3545</v>
      </c>
      <c r="F676" s="120">
        <f>365*AVERAGE(FCCL!C51,FCCL!D51)</f>
        <v>222216.38</v>
      </c>
      <c r="G676" s="120">
        <f>-FCCL!D85</f>
        <v>18206.88</v>
      </c>
      <c r="H676" s="120">
        <f t="shared" si="20"/>
        <v>12.205077421282503</v>
      </c>
      <c r="I676" s="120">
        <v>222216.38</v>
      </c>
      <c r="J676" s="120">
        <v>18206.88</v>
      </c>
      <c r="K676" s="120">
        <v>12.205077421282503</v>
      </c>
      <c r="L676" s="125">
        <v>12.205077421282503</v>
      </c>
      <c r="M676" s="125">
        <f>FCCL!D149</f>
        <v>12.205077421282503</v>
      </c>
      <c r="N676" s="126" t="str">
        <f t="shared" si="21"/>
        <v>PASS</v>
      </c>
      <c r="O676" s="122"/>
      <c r="P676" s="119" t="s">
        <v>471</v>
      </c>
    </row>
    <row r="677" spans="1:16" ht="25.95" customHeight="1" x14ac:dyDescent="0.3">
      <c r="A677" s="50" t="s">
        <v>114</v>
      </c>
      <c r="B677" s="50">
        <v>2021</v>
      </c>
      <c r="C677" s="50">
        <v>12</v>
      </c>
      <c r="D677" s="50" t="s">
        <v>192</v>
      </c>
      <c r="E677" s="50" t="s">
        <v>3545</v>
      </c>
      <c r="F677" s="121">
        <f>365*AVERAGE(FCCL!C65,FCCL!D65)/(-FCCL!D85)+365*AVERAGE(FCCL!C32,FCCL!D32)/FCCL!D84</f>
        <v>120.37486362875428</v>
      </c>
      <c r="G677" s="121">
        <f>1</f>
        <v>1</v>
      </c>
      <c r="H677" s="121">
        <f t="shared" si="20"/>
        <v>120.37486362875428</v>
      </c>
      <c r="I677" s="121">
        <v>120.37486362875428</v>
      </c>
      <c r="J677" s="121">
        <v>1</v>
      </c>
      <c r="K677" s="121">
        <v>120.37486362875428</v>
      </c>
      <c r="L677" s="127">
        <v>120.37486362875428</v>
      </c>
      <c r="M677" s="127">
        <f>FCCL!D150</f>
        <v>120.37486362875428</v>
      </c>
      <c r="N677" s="128" t="str">
        <f t="shared" si="21"/>
        <v>PASS</v>
      </c>
      <c r="O677" s="68"/>
      <c r="P677" s="50" t="s">
        <v>471</v>
      </c>
    </row>
    <row r="678" spans="1:16" ht="25.95" customHeight="1" x14ac:dyDescent="0.3">
      <c r="A678" s="119" t="s">
        <v>114</v>
      </c>
      <c r="B678" s="119">
        <v>2021</v>
      </c>
      <c r="C678" s="119">
        <v>13</v>
      </c>
      <c r="D678" s="119" t="s">
        <v>150</v>
      </c>
      <c r="E678" s="119" t="s">
        <v>3545</v>
      </c>
      <c r="F678" s="120">
        <f>365*AVERAGE(FCCL!C65,FCCL!D65)/(-FCCL!D85)+365*AVERAGE(FCCL!C32,FCCL!D32)/FCCL!D84-365*AVERAGE(FCCL!C51,FCCL!D51)/(-FCCL!D85)</f>
        <v>108.16978620747179</v>
      </c>
      <c r="G678" s="120">
        <f>1</f>
        <v>1</v>
      </c>
      <c r="H678" s="120">
        <f t="shared" si="20"/>
        <v>108.16978620747179</v>
      </c>
      <c r="I678" s="120">
        <v>108.16978620747179</v>
      </c>
      <c r="J678" s="120">
        <v>1</v>
      </c>
      <c r="K678" s="120">
        <v>108.16978620747179</v>
      </c>
      <c r="L678" s="125">
        <v>108.16978620747179</v>
      </c>
      <c r="M678" s="125">
        <f>FCCL!D151</f>
        <v>108.16978620747179</v>
      </c>
      <c r="N678" s="126" t="str">
        <f t="shared" si="21"/>
        <v>PASS</v>
      </c>
      <c r="O678" s="122"/>
      <c r="P678" s="119" t="s">
        <v>471</v>
      </c>
    </row>
    <row r="679" spans="1:16" ht="25.95" customHeight="1" x14ac:dyDescent="0.3">
      <c r="A679" s="50" t="s">
        <v>114</v>
      </c>
      <c r="B679" s="50">
        <v>2021</v>
      </c>
      <c r="C679" s="50">
        <v>14</v>
      </c>
      <c r="D679" s="50" t="s">
        <v>196</v>
      </c>
      <c r="E679" s="50" t="s">
        <v>3544</v>
      </c>
      <c r="F679" s="121">
        <f>FCCL!D84</f>
        <v>24271.285</v>
      </c>
      <c r="G679" s="121">
        <f>AVERAGE(FCCL!C37,FCCL!D37)</f>
        <v>31630.073499999999</v>
      </c>
      <c r="H679" s="121">
        <f t="shared" si="20"/>
        <v>0.76734835914940258</v>
      </c>
      <c r="I679" s="121">
        <v>24271.285</v>
      </c>
      <c r="J679" s="121">
        <v>31630.073499999999</v>
      </c>
      <c r="K679" s="121">
        <v>0.76734835914940258</v>
      </c>
      <c r="L679" s="127">
        <v>0.76734835914940258</v>
      </c>
      <c r="M679" s="127">
        <f>FCCL!D152</f>
        <v>0.76734835914940258</v>
      </c>
      <c r="N679" s="128" t="str">
        <f t="shared" si="21"/>
        <v>PASS</v>
      </c>
      <c r="O679" s="68"/>
      <c r="P679" s="50" t="s">
        <v>471</v>
      </c>
    </row>
    <row r="680" spans="1:16" ht="25.95" customHeight="1" x14ac:dyDescent="0.3">
      <c r="A680" s="119" t="s">
        <v>114</v>
      </c>
      <c r="B680" s="119">
        <v>2021</v>
      </c>
      <c r="C680" s="119">
        <v>15</v>
      </c>
      <c r="D680" s="119" t="s">
        <v>199</v>
      </c>
      <c r="E680" s="119" t="s">
        <v>3544</v>
      </c>
      <c r="F680" s="120">
        <f>FCCL!D84</f>
        <v>24271.285</v>
      </c>
      <c r="G680" s="120">
        <f>AVERAGE(FCCL!C22,FCCL!D22)</f>
        <v>21641.245999999999</v>
      </c>
      <c r="H680" s="120">
        <f t="shared" si="20"/>
        <v>1.121529000686929</v>
      </c>
      <c r="I680" s="120">
        <v>24271.285</v>
      </c>
      <c r="J680" s="120">
        <v>21641.245999999999</v>
      </c>
      <c r="K680" s="120">
        <v>1.121529000686929</v>
      </c>
      <c r="L680" s="125">
        <v>1.121529000686929</v>
      </c>
      <c r="M680" s="125">
        <f>FCCL!D153</f>
        <v>1.121529000686929</v>
      </c>
      <c r="N680" s="126" t="str">
        <f t="shared" si="21"/>
        <v>PASS</v>
      </c>
      <c r="O680" s="122"/>
      <c r="P680" s="119" t="s">
        <v>471</v>
      </c>
    </row>
    <row r="681" spans="1:16" ht="25.95" customHeight="1" x14ac:dyDescent="0.3">
      <c r="A681" s="50" t="s">
        <v>114</v>
      </c>
      <c r="B681" s="50">
        <v>2021</v>
      </c>
      <c r="C681" s="50">
        <v>16</v>
      </c>
      <c r="D681" s="50" t="s">
        <v>932</v>
      </c>
      <c r="E681" s="50" t="s">
        <v>3544</v>
      </c>
      <c r="F681" s="121">
        <f>FCCL!D62</f>
        <v>10776.56</v>
      </c>
      <c r="G681" s="121">
        <f>FCCL!D37</f>
        <v>34052.231</v>
      </c>
      <c r="H681" s="121">
        <f t="shared" si="20"/>
        <v>0.31647148170702821</v>
      </c>
      <c r="I681" s="121">
        <v>10776.56</v>
      </c>
      <c r="J681" s="121">
        <v>34052.231</v>
      </c>
      <c r="K681" s="121">
        <v>0.31647148170702821</v>
      </c>
      <c r="L681" s="127">
        <v>0.31647148170702821</v>
      </c>
      <c r="M681" s="127">
        <f>FCCL!D155</f>
        <v>0.31647148170702821</v>
      </c>
      <c r="N681" s="128" t="str">
        <f t="shared" si="21"/>
        <v>PASS</v>
      </c>
      <c r="O681" s="68"/>
      <c r="P681" s="50" t="s">
        <v>493</v>
      </c>
    </row>
    <row r="682" spans="1:16" ht="25.95" customHeight="1" x14ac:dyDescent="0.3">
      <c r="A682" s="119" t="s">
        <v>114</v>
      </c>
      <c r="B682" s="119">
        <v>2021</v>
      </c>
      <c r="C682" s="119">
        <v>17</v>
      </c>
      <c r="D682" s="119" t="s">
        <v>151</v>
      </c>
      <c r="E682" s="119" t="s">
        <v>3544</v>
      </c>
      <c r="F682" s="120">
        <f>FCCL!D62</f>
        <v>10776.56</v>
      </c>
      <c r="G682" s="120">
        <f>FCCL!D41</f>
        <v>23275.671000000002</v>
      </c>
      <c r="H682" s="120">
        <f t="shared" si="20"/>
        <v>0.46299674883701519</v>
      </c>
      <c r="I682" s="120">
        <v>10776.56</v>
      </c>
      <c r="J682" s="120">
        <v>23275.671000000002</v>
      </c>
      <c r="K682" s="120">
        <v>0.46299674883701519</v>
      </c>
      <c r="L682" s="125">
        <v>0.46299674883701519</v>
      </c>
      <c r="M682" s="125">
        <f>FCCL!D156</f>
        <v>0.46299674883701519</v>
      </c>
      <c r="N682" s="126" t="str">
        <f t="shared" si="21"/>
        <v>PASS</v>
      </c>
      <c r="O682" s="122"/>
      <c r="P682" s="119" t="s">
        <v>493</v>
      </c>
    </row>
    <row r="683" spans="1:16" ht="25.95" customHeight="1" x14ac:dyDescent="0.3">
      <c r="A683" s="50" t="s">
        <v>114</v>
      </c>
      <c r="B683" s="50">
        <v>2021</v>
      </c>
      <c r="C683" s="50">
        <v>18</v>
      </c>
      <c r="D683" s="50" t="s">
        <v>935</v>
      </c>
      <c r="E683" s="50" t="s">
        <v>3545</v>
      </c>
      <c r="F683" s="121">
        <f>FCCL!D66</f>
        <v>2568.0890000000004</v>
      </c>
      <c r="G683" s="121">
        <f>FCCL!D66+FCCL!D41</f>
        <v>25843.760000000002</v>
      </c>
      <c r="H683" s="121">
        <f t="shared" si="20"/>
        <v>9.9369789844821352E-2</v>
      </c>
      <c r="I683" s="121">
        <v>2568.0889999999999</v>
      </c>
      <c r="J683" s="121">
        <v>25843.760000000002</v>
      </c>
      <c r="K683" s="121">
        <v>9.9369789844821338E-2</v>
      </c>
      <c r="L683" s="127">
        <v>9.9369789844821338E-2</v>
      </c>
      <c r="M683" s="127">
        <f>FCCL!D157</f>
        <v>9.9369789844821352E-2</v>
      </c>
      <c r="N683" s="128" t="str">
        <f t="shared" si="21"/>
        <v>PASS</v>
      </c>
      <c r="O683" s="68"/>
      <c r="P683" s="50" t="s">
        <v>493</v>
      </c>
    </row>
    <row r="684" spans="1:16" ht="25.95" customHeight="1" x14ac:dyDescent="0.3">
      <c r="A684" s="119" t="s">
        <v>114</v>
      </c>
      <c r="B684" s="119">
        <v>2021</v>
      </c>
      <c r="C684" s="119">
        <v>19</v>
      </c>
      <c r="D684" s="119" t="s">
        <v>936</v>
      </c>
      <c r="E684" s="119" t="s">
        <v>3545</v>
      </c>
      <c r="F684" s="120">
        <f>FCCL!D67</f>
        <v>565.09500000000003</v>
      </c>
      <c r="G684" s="120">
        <f>FCCL!D37</f>
        <v>34052.231</v>
      </c>
      <c r="H684" s="120">
        <f t="shared" si="20"/>
        <v>1.6594947919858761E-2</v>
      </c>
      <c r="I684" s="120">
        <v>565.09500000000003</v>
      </c>
      <c r="J684" s="120">
        <v>34052.231</v>
      </c>
      <c r="K684" s="120">
        <v>1.6594947919858761E-2</v>
      </c>
      <c r="L684" s="125">
        <v>1.6594947919858761E-2</v>
      </c>
      <c r="M684" s="125">
        <f>FCCL!D158</f>
        <v>1.6594947919858761E-2</v>
      </c>
      <c r="N684" s="126" t="str">
        <f t="shared" si="21"/>
        <v>PASS</v>
      </c>
      <c r="O684" s="122"/>
      <c r="P684" s="119" t="s">
        <v>493</v>
      </c>
    </row>
    <row r="685" spans="1:16" ht="25.95" customHeight="1" x14ac:dyDescent="0.3">
      <c r="A685" s="50" t="s">
        <v>114</v>
      </c>
      <c r="B685" s="50">
        <v>2021</v>
      </c>
      <c r="C685" s="50">
        <v>20</v>
      </c>
      <c r="D685" s="50" t="s">
        <v>938</v>
      </c>
      <c r="E685" s="50" t="s">
        <v>3544</v>
      </c>
      <c r="F685" s="121">
        <f>FCCL!D108</f>
        <v>5217.3149999999987</v>
      </c>
      <c r="G685" s="121">
        <f>FCCL!D106</f>
        <v>92.112000000000009</v>
      </c>
      <c r="H685" s="121">
        <f t="shared" si="20"/>
        <v>56.640991401771736</v>
      </c>
      <c r="I685" s="121">
        <v>5217.3149999999987</v>
      </c>
      <c r="J685" s="121">
        <v>92.112000000000009</v>
      </c>
      <c r="K685" s="121">
        <v>56.640991401771736</v>
      </c>
      <c r="L685" s="127">
        <v>56.640991401771736</v>
      </c>
      <c r="M685" s="127">
        <f>FCCL!D159</f>
        <v>56.640991401771736</v>
      </c>
      <c r="N685" s="128" t="str">
        <f t="shared" si="21"/>
        <v>PASS</v>
      </c>
      <c r="O685" s="68"/>
      <c r="P685" s="50" t="s">
        <v>493</v>
      </c>
    </row>
    <row r="686" spans="1:16" ht="25.95" customHeight="1" x14ac:dyDescent="0.3">
      <c r="A686" s="119" t="s">
        <v>114</v>
      </c>
      <c r="B686" s="119">
        <v>2021</v>
      </c>
      <c r="C686" s="119">
        <v>21</v>
      </c>
      <c r="D686" s="119" t="s">
        <v>154</v>
      </c>
      <c r="E686" s="119" t="s">
        <v>3544</v>
      </c>
      <c r="F686" s="120">
        <f>FCCL!D86</f>
        <v>6064.4049999999988</v>
      </c>
      <c r="G686" s="120">
        <f>FCCL!D84</f>
        <v>24271.285</v>
      </c>
      <c r="H686" s="120">
        <f t="shared" si="20"/>
        <v>0.24985924725452316</v>
      </c>
      <c r="I686" s="120">
        <v>6064.4049999999988</v>
      </c>
      <c r="J686" s="120">
        <v>24271.285</v>
      </c>
      <c r="K686" s="120">
        <v>0.24985924725452316</v>
      </c>
      <c r="L686" s="125">
        <v>0.24985924725452316</v>
      </c>
      <c r="M686" s="125">
        <f>FCCL!D161</f>
        <v>0.24985924725452316</v>
      </c>
      <c r="N686" s="126" t="str">
        <f t="shared" si="21"/>
        <v>PASS</v>
      </c>
      <c r="O686" s="122"/>
      <c r="P686" s="119" t="s">
        <v>504</v>
      </c>
    </row>
    <row r="687" spans="1:16" ht="25.95" customHeight="1" x14ac:dyDescent="0.3">
      <c r="A687" s="50" t="s">
        <v>114</v>
      </c>
      <c r="B687" s="50">
        <v>2021</v>
      </c>
      <c r="C687" s="50">
        <v>22</v>
      </c>
      <c r="D687" s="50" t="s">
        <v>942</v>
      </c>
      <c r="E687" s="50" t="s">
        <v>3544</v>
      </c>
      <c r="F687" s="121">
        <f>FCCL!D91</f>
        <v>4972.2129999999988</v>
      </c>
      <c r="G687" s="121">
        <f>FCCL!D84</f>
        <v>24271.285</v>
      </c>
      <c r="H687" s="121">
        <f t="shared" si="20"/>
        <v>0.20485989925955708</v>
      </c>
      <c r="I687" s="121">
        <v>4972.2129999999988</v>
      </c>
      <c r="J687" s="121">
        <v>24271.285</v>
      </c>
      <c r="K687" s="121">
        <v>0.20485989925955708</v>
      </c>
      <c r="L687" s="127">
        <v>0.20485989925955708</v>
      </c>
      <c r="M687" s="127">
        <f>FCCL!D162</f>
        <v>0.20485989925955708</v>
      </c>
      <c r="N687" s="128" t="str">
        <f t="shared" si="21"/>
        <v>PASS</v>
      </c>
      <c r="O687" s="68"/>
      <c r="P687" s="50" t="s">
        <v>504</v>
      </c>
    </row>
    <row r="688" spans="1:16" ht="25.95" customHeight="1" x14ac:dyDescent="0.3">
      <c r="A688" s="119" t="s">
        <v>114</v>
      </c>
      <c r="B688" s="119">
        <v>2021</v>
      </c>
      <c r="C688" s="119">
        <v>23</v>
      </c>
      <c r="D688" s="119" t="s">
        <v>155</v>
      </c>
      <c r="E688" s="119" t="s">
        <v>3544</v>
      </c>
      <c r="F688" s="120">
        <f>FCCL!D99</f>
        <v>3471.3509999999992</v>
      </c>
      <c r="G688" s="120">
        <f>FCCL!D84</f>
        <v>24271.285</v>
      </c>
      <c r="H688" s="120">
        <f t="shared" si="20"/>
        <v>0.14302295902338913</v>
      </c>
      <c r="I688" s="120">
        <v>3471.3509999999992</v>
      </c>
      <c r="J688" s="120">
        <v>24271.285</v>
      </c>
      <c r="K688" s="120">
        <v>0.14302295902338913</v>
      </c>
      <c r="L688" s="125">
        <v>0.14302295902338913</v>
      </c>
      <c r="M688" s="125">
        <f>FCCL!D163</f>
        <v>0.14302295902338913</v>
      </c>
      <c r="N688" s="126" t="str">
        <f t="shared" si="21"/>
        <v>PASS</v>
      </c>
      <c r="O688" s="122"/>
      <c r="P688" s="119" t="s">
        <v>504</v>
      </c>
    </row>
    <row r="689" spans="1:16" ht="25.95" customHeight="1" x14ac:dyDescent="0.3">
      <c r="A689" s="50" t="s">
        <v>114</v>
      </c>
      <c r="B689" s="50">
        <v>2021</v>
      </c>
      <c r="C689" s="50">
        <v>24</v>
      </c>
      <c r="D689" s="50" t="s">
        <v>136</v>
      </c>
      <c r="E689" s="50" t="s">
        <v>3544</v>
      </c>
      <c r="F689" s="121">
        <f>FCCL!D99</f>
        <v>3471.3509999999992</v>
      </c>
      <c r="G689" s="121">
        <f>AVERAGE(FCCL!C37,FCCL!D37)</f>
        <v>31630.073499999999</v>
      </c>
      <c r="H689" s="121">
        <f t="shared" si="20"/>
        <v>0.10974843292728989</v>
      </c>
      <c r="I689" s="121">
        <v>3471.3509999999992</v>
      </c>
      <c r="J689" s="121">
        <v>31630.073499999999</v>
      </c>
      <c r="K689" s="121">
        <v>0.10974843292728989</v>
      </c>
      <c r="L689" s="127">
        <v>0.10974843292728989</v>
      </c>
      <c r="M689" s="127">
        <f>FCCL!D164</f>
        <v>0.10974843292728989</v>
      </c>
      <c r="N689" s="128" t="str">
        <f t="shared" si="21"/>
        <v>PASS</v>
      </c>
      <c r="O689" s="68"/>
      <c r="P689" s="50" t="s">
        <v>504</v>
      </c>
    </row>
    <row r="690" spans="1:16" ht="25.95" customHeight="1" x14ac:dyDescent="0.3">
      <c r="A690" s="119" t="s">
        <v>114</v>
      </c>
      <c r="B690" s="119">
        <v>2021</v>
      </c>
      <c r="C690" s="119">
        <v>25</v>
      </c>
      <c r="D690" s="119" t="s">
        <v>53</v>
      </c>
      <c r="E690" s="119" t="s">
        <v>3544</v>
      </c>
      <c r="F690" s="120">
        <f>FCCL!D99</f>
        <v>3471.3509999999992</v>
      </c>
      <c r="G690" s="120">
        <f>AVERAGE(FCCL!C41,FCCL!D41)</f>
        <v>21539.995500000001</v>
      </c>
      <c r="H690" s="120">
        <f t="shared" si="20"/>
        <v>0.16115839021414832</v>
      </c>
      <c r="I690" s="120">
        <v>3471.3509999999992</v>
      </c>
      <c r="J690" s="120">
        <v>21539.995500000001</v>
      </c>
      <c r="K690" s="120">
        <v>0.16115839021414832</v>
      </c>
      <c r="L690" s="125">
        <v>0.16115839021414832</v>
      </c>
      <c r="M690" s="125">
        <f>FCCL!D165</f>
        <v>0.16115839021414832</v>
      </c>
      <c r="N690" s="126" t="str">
        <f t="shared" si="21"/>
        <v>PASS</v>
      </c>
      <c r="O690" s="122"/>
      <c r="P690" s="119" t="s">
        <v>504</v>
      </c>
    </row>
    <row r="691" spans="1:16" ht="25.95" customHeight="1" x14ac:dyDescent="0.3">
      <c r="A691" s="50" t="s">
        <v>114</v>
      </c>
      <c r="B691" s="50">
        <v>2021</v>
      </c>
      <c r="C691" s="50">
        <v>26</v>
      </c>
      <c r="D691" s="50" t="s">
        <v>944</v>
      </c>
      <c r="E691" s="50" t="s">
        <v>3545</v>
      </c>
      <c r="F691" s="121">
        <f>FCCL!D113</f>
        <v>3545.854300252442</v>
      </c>
      <c r="G691" s="121">
        <f>AVERAGE(FCCL!C70,FCCL!D70)</f>
        <v>24174.9395</v>
      </c>
      <c r="H691" s="121">
        <f t="shared" si="20"/>
        <v>0.14667479520486254</v>
      </c>
      <c r="I691" s="121">
        <v>3545.854300252442</v>
      </c>
      <c r="J691" s="121">
        <v>24174.9395</v>
      </c>
      <c r="K691" s="121">
        <v>0.14667479520486254</v>
      </c>
      <c r="L691" s="127">
        <v>0.14667479520486254</v>
      </c>
      <c r="M691" s="127">
        <f>FCCL!D166</f>
        <v>0.14667479520486254</v>
      </c>
      <c r="N691" s="128" t="str">
        <f t="shared" si="21"/>
        <v>PASS</v>
      </c>
      <c r="O691" s="68"/>
      <c r="P691" s="50" t="s">
        <v>504</v>
      </c>
    </row>
    <row r="692" spans="1:16" ht="25.95" customHeight="1" x14ac:dyDescent="0.3">
      <c r="A692" s="119" t="s">
        <v>114</v>
      </c>
      <c r="B692" s="119">
        <v>2021</v>
      </c>
      <c r="C692" s="119">
        <v>27</v>
      </c>
      <c r="D692" s="119" t="s">
        <v>945</v>
      </c>
      <c r="E692" s="119" t="s">
        <v>3545</v>
      </c>
      <c r="F692" s="120">
        <f>FCCL!D108</f>
        <v>5217.3149999999987</v>
      </c>
      <c r="G692" s="120">
        <f>AVERAGE(FCCL!C37,FCCL!D37)</f>
        <v>31630.073499999999</v>
      </c>
      <c r="H692" s="120">
        <f t="shared" si="20"/>
        <v>0.16494792527118216</v>
      </c>
      <c r="I692" s="120">
        <v>5217.3149999999987</v>
      </c>
      <c r="J692" s="120">
        <v>31630.073499999999</v>
      </c>
      <c r="K692" s="120">
        <v>0.16494792527118216</v>
      </c>
      <c r="L692" s="125">
        <v>0.16494792527118216</v>
      </c>
      <c r="M692" s="125">
        <f>FCCL!D167</f>
        <v>0.16494792527118216</v>
      </c>
      <c r="N692" s="126" t="str">
        <f t="shared" si="21"/>
        <v>PASS</v>
      </c>
      <c r="O692" s="122"/>
      <c r="P692" s="119" t="s">
        <v>504</v>
      </c>
    </row>
    <row r="693" spans="1:16" ht="25.95" customHeight="1" x14ac:dyDescent="0.3">
      <c r="A693" s="50" t="s">
        <v>114</v>
      </c>
      <c r="B693" s="50">
        <v>2021</v>
      </c>
      <c r="C693" s="50">
        <v>28</v>
      </c>
      <c r="D693" s="50" t="s">
        <v>139</v>
      </c>
      <c r="E693" s="50" t="s">
        <v>3545</v>
      </c>
      <c r="F693" s="121">
        <f>FCCL!D41</f>
        <v>23275.671000000002</v>
      </c>
      <c r="G693" s="121">
        <f>FCCL!D128</f>
        <v>1379.8150000000001</v>
      </c>
      <c r="H693" s="121">
        <f t="shared" si="20"/>
        <v>16.868689643176804</v>
      </c>
      <c r="I693" s="121">
        <v>23275.671000000002</v>
      </c>
      <c r="J693" s="121">
        <v>1379.8150000000001</v>
      </c>
      <c r="K693" s="121">
        <v>16.868689643176804</v>
      </c>
      <c r="L693" s="127">
        <v>16.868689643176804</v>
      </c>
      <c r="M693" s="127">
        <f>FCCL!D169</f>
        <v>16.868689643176804</v>
      </c>
      <c r="N693" s="128" t="str">
        <f t="shared" si="21"/>
        <v>PASS</v>
      </c>
      <c r="O693" s="68"/>
      <c r="P693" s="50" t="s">
        <v>519</v>
      </c>
    </row>
    <row r="694" spans="1:16" ht="25.95" customHeight="1" x14ac:dyDescent="0.3">
      <c r="A694" s="119" t="s">
        <v>114</v>
      </c>
      <c r="B694" s="119">
        <v>2021</v>
      </c>
      <c r="C694" s="119">
        <v>29</v>
      </c>
      <c r="D694" s="119" t="s">
        <v>162</v>
      </c>
      <c r="E694" s="119" t="s">
        <v>3544</v>
      </c>
      <c r="F694" s="120">
        <f>FCCL!D130</f>
        <v>23</v>
      </c>
      <c r="G694" s="120">
        <f>FCCL!D41/FCCL!D128</f>
        <v>16.868689643176804</v>
      </c>
      <c r="H694" s="120">
        <f t="shared" si="20"/>
        <v>1.3634728296339984</v>
      </c>
      <c r="I694" s="120">
        <v>23</v>
      </c>
      <c r="J694" s="120">
        <v>16.868689643176804</v>
      </c>
      <c r="K694" s="120">
        <v>1.3634728296339984</v>
      </c>
      <c r="L694" s="125">
        <v>1.3634728296339984</v>
      </c>
      <c r="M694" s="125">
        <f>FCCL!D170</f>
        <v>1.3634728296339984</v>
      </c>
      <c r="N694" s="126" t="str">
        <f t="shared" si="21"/>
        <v>PASS</v>
      </c>
      <c r="O694" s="122"/>
      <c r="P694" s="119" t="s">
        <v>519</v>
      </c>
    </row>
    <row r="695" spans="1:16" ht="25.95" customHeight="1" x14ac:dyDescent="0.3">
      <c r="A695" s="50" t="s">
        <v>114</v>
      </c>
      <c r="B695" s="50">
        <v>2021</v>
      </c>
      <c r="C695" s="50">
        <v>30</v>
      </c>
      <c r="D695" s="50" t="s">
        <v>143</v>
      </c>
      <c r="E695" s="50" t="s">
        <v>3544</v>
      </c>
      <c r="F695" s="121">
        <f>FCCL!D99</f>
        <v>3471.3509999999992</v>
      </c>
      <c r="G695" s="121">
        <f>FCCL!D129</f>
        <v>1379.8150000000001</v>
      </c>
      <c r="H695" s="121">
        <f t="shared" si="20"/>
        <v>2.5158090033808875</v>
      </c>
      <c r="I695" s="121">
        <v>3471.3509999999992</v>
      </c>
      <c r="J695" s="121">
        <v>1379.8150000000001</v>
      </c>
      <c r="K695" s="121">
        <v>2.5158090033808875</v>
      </c>
      <c r="L695" s="127">
        <v>2.5158090033808875</v>
      </c>
      <c r="M695" s="127">
        <f>FCCL!D171</f>
        <v>2.5158090033808875</v>
      </c>
      <c r="N695" s="128" t="str">
        <f t="shared" si="21"/>
        <v>PASS</v>
      </c>
      <c r="O695" s="68"/>
      <c r="P695" s="50" t="s">
        <v>519</v>
      </c>
    </row>
    <row r="696" spans="1:16" ht="25.95" customHeight="1" x14ac:dyDescent="0.3">
      <c r="A696" s="119" t="s">
        <v>114</v>
      </c>
      <c r="B696" s="119">
        <v>2021</v>
      </c>
      <c r="C696" s="119">
        <v>31</v>
      </c>
      <c r="D696" s="119" t="s">
        <v>952</v>
      </c>
      <c r="E696" s="119" t="s">
        <v>3544</v>
      </c>
      <c r="F696" s="120">
        <f>FCCL!D130</f>
        <v>23</v>
      </c>
      <c r="G696" s="120">
        <f>FCCL!D99/FCCL!D129</f>
        <v>2.5158090033808875</v>
      </c>
      <c r="H696" s="120">
        <f t="shared" si="20"/>
        <v>9.1421884447870596</v>
      </c>
      <c r="I696" s="120">
        <v>23</v>
      </c>
      <c r="J696" s="120">
        <v>2.5158090033808875</v>
      </c>
      <c r="K696" s="120">
        <v>9.1421884447870596</v>
      </c>
      <c r="L696" s="125">
        <v>9.1421884447870596</v>
      </c>
      <c r="M696" s="125">
        <f>FCCL!D172</f>
        <v>9.1421884447870596</v>
      </c>
      <c r="N696" s="126" t="str">
        <f t="shared" si="21"/>
        <v>PASS</v>
      </c>
      <c r="O696" s="122"/>
      <c r="P696" s="119" t="s">
        <v>519</v>
      </c>
    </row>
    <row r="697" spans="1:16" ht="25.95" customHeight="1" x14ac:dyDescent="0.3">
      <c r="A697" s="50" t="s">
        <v>114</v>
      </c>
      <c r="B697" s="50">
        <v>2021</v>
      </c>
      <c r="C697" s="50">
        <v>32</v>
      </c>
      <c r="D697" s="50" t="s">
        <v>104</v>
      </c>
      <c r="E697" s="50" t="s">
        <v>3544</v>
      </c>
      <c r="F697" s="121">
        <f>FCCL!D131</f>
        <v>0</v>
      </c>
      <c r="G697" s="121">
        <f>FCCL!D130</f>
        <v>23</v>
      </c>
      <c r="H697" s="121">
        <f t="shared" si="20"/>
        <v>0</v>
      </c>
      <c r="I697" s="121">
        <v>0</v>
      </c>
      <c r="J697" s="121">
        <v>23</v>
      </c>
      <c r="K697" s="121">
        <v>0</v>
      </c>
      <c r="L697" s="127">
        <v>0</v>
      </c>
      <c r="M697" s="127">
        <f>FCCL!D173</f>
        <v>0</v>
      </c>
      <c r="N697" s="128" t="str">
        <f t="shared" si="21"/>
        <v>PASS</v>
      </c>
      <c r="O697" s="68"/>
      <c r="P697" s="50" t="s">
        <v>519</v>
      </c>
    </row>
    <row r="698" spans="1:16" ht="25.95" customHeight="1" x14ac:dyDescent="0.3">
      <c r="A698" s="119" t="s">
        <v>114</v>
      </c>
      <c r="B698" s="119">
        <v>2021</v>
      </c>
      <c r="C698" s="119">
        <v>33</v>
      </c>
      <c r="D698" s="119" t="s">
        <v>124</v>
      </c>
      <c r="E698" s="119" t="s">
        <v>3545</v>
      </c>
      <c r="F698" s="120">
        <f>FCCL!D131</f>
        <v>0</v>
      </c>
      <c r="G698" s="120">
        <f>FCCL!D99/FCCL!D129</f>
        <v>2.5158090033808875</v>
      </c>
      <c r="H698" s="120">
        <f t="shared" si="20"/>
        <v>0</v>
      </c>
      <c r="I698" s="120">
        <v>0</v>
      </c>
      <c r="J698" s="120">
        <v>2.5158090033808875</v>
      </c>
      <c r="K698" s="120">
        <v>0</v>
      </c>
      <c r="L698" s="125">
        <v>0</v>
      </c>
      <c r="M698" s="125">
        <f>FCCL!D174</f>
        <v>0</v>
      </c>
      <c r="N698" s="126" t="str">
        <f t="shared" si="21"/>
        <v>PASS</v>
      </c>
      <c r="O698" s="122"/>
      <c r="P698" s="119" t="s">
        <v>519</v>
      </c>
    </row>
    <row r="699" spans="1:16" ht="25.95" customHeight="1" x14ac:dyDescent="0.3">
      <c r="A699" s="50" t="s">
        <v>114</v>
      </c>
      <c r="B699" s="50">
        <v>2022</v>
      </c>
      <c r="C699" s="50">
        <v>1</v>
      </c>
      <c r="D699" s="50" t="s">
        <v>19</v>
      </c>
      <c r="E699" s="50" t="s">
        <v>3544</v>
      </c>
      <c r="F699" s="121">
        <f>FCCL!E36</f>
        <v>28216.812000000002</v>
      </c>
      <c r="G699" s="121">
        <f>FCCL!E61</f>
        <v>26721.253000000001</v>
      </c>
      <c r="H699" s="121">
        <f t="shared" si="20"/>
        <v>1.0559688948718087</v>
      </c>
      <c r="I699" s="121">
        <v>28216.812000000002</v>
      </c>
      <c r="J699" s="121">
        <v>26721.253000000001</v>
      </c>
      <c r="K699" s="121">
        <v>1.0559688948718087</v>
      </c>
      <c r="L699" s="127">
        <v>1.0559688948718087</v>
      </c>
      <c r="M699" s="127">
        <f>FCCL!E138</f>
        <v>1.0559688948718087</v>
      </c>
      <c r="N699" s="128" t="str">
        <f t="shared" si="21"/>
        <v>PASS</v>
      </c>
      <c r="O699" s="68"/>
      <c r="P699" s="50" t="s">
        <v>459</v>
      </c>
    </row>
    <row r="700" spans="1:16" ht="25.95" customHeight="1" x14ac:dyDescent="0.3">
      <c r="A700" s="119" t="s">
        <v>114</v>
      </c>
      <c r="B700" s="119">
        <v>2022</v>
      </c>
      <c r="C700" s="119">
        <v>2</v>
      </c>
      <c r="D700" s="119" t="s">
        <v>30</v>
      </c>
      <c r="E700" s="119" t="s">
        <v>3544</v>
      </c>
      <c r="F700" s="120">
        <f>FCCL!E36-FCCL!E65</f>
        <v>12579.944000000001</v>
      </c>
      <c r="G700" s="120">
        <f>FCCL!E61</f>
        <v>26721.253000000001</v>
      </c>
      <c r="H700" s="120">
        <f t="shared" si="20"/>
        <v>0.47078421060569281</v>
      </c>
      <c r="I700" s="120">
        <v>12579.944000000001</v>
      </c>
      <c r="J700" s="120">
        <v>26721.253000000001</v>
      </c>
      <c r="K700" s="120">
        <v>0.47078421060569281</v>
      </c>
      <c r="L700" s="125">
        <v>0.47078421060569281</v>
      </c>
      <c r="M700" s="125">
        <f>FCCL!E139</f>
        <v>0.47078421060569281</v>
      </c>
      <c r="N700" s="126" t="str">
        <f t="shared" si="21"/>
        <v>PASS</v>
      </c>
      <c r="O700" s="122"/>
      <c r="P700" s="119" t="s">
        <v>459</v>
      </c>
    </row>
    <row r="701" spans="1:16" ht="25.95" customHeight="1" x14ac:dyDescent="0.3">
      <c r="A701" s="50" t="s">
        <v>114</v>
      </c>
      <c r="B701" s="50">
        <v>2022</v>
      </c>
      <c r="C701" s="50">
        <v>3</v>
      </c>
      <c r="D701" s="50" t="s">
        <v>145</v>
      </c>
      <c r="E701" s="50" t="s">
        <v>3544</v>
      </c>
      <c r="F701" s="121">
        <f>FCCL!E34</f>
        <v>2306.6329999999998</v>
      </c>
      <c r="G701" s="121">
        <f>FCCL!E61</f>
        <v>26721.253000000001</v>
      </c>
      <c r="H701" s="121">
        <f t="shared" si="20"/>
        <v>8.632203736853207E-2</v>
      </c>
      <c r="I701" s="121">
        <v>2306.6329999999998</v>
      </c>
      <c r="J701" s="121">
        <v>26721.253000000001</v>
      </c>
      <c r="K701" s="121">
        <v>8.632203736853207E-2</v>
      </c>
      <c r="L701" s="127">
        <v>8.632203736853207E-2</v>
      </c>
      <c r="M701" s="127">
        <f>FCCL!E140</f>
        <v>8.632203736853207E-2</v>
      </c>
      <c r="N701" s="128" t="str">
        <f t="shared" si="21"/>
        <v>PASS</v>
      </c>
      <c r="O701" s="68"/>
      <c r="P701" s="50" t="s">
        <v>459</v>
      </c>
    </row>
    <row r="702" spans="1:16" ht="25.95" customHeight="1" x14ac:dyDescent="0.3">
      <c r="A702" s="119" t="s">
        <v>114</v>
      </c>
      <c r="B702" s="119">
        <v>2022</v>
      </c>
      <c r="C702" s="119">
        <v>4</v>
      </c>
      <c r="D702" s="119" t="s">
        <v>201</v>
      </c>
      <c r="E702" s="119" t="s">
        <v>3545</v>
      </c>
      <c r="F702" s="120">
        <f>FCCL!E36-FCCL!E61</f>
        <v>1495.5590000000011</v>
      </c>
      <c r="G702" s="120">
        <f>1</f>
        <v>1</v>
      </c>
      <c r="H702" s="120">
        <f t="shared" si="20"/>
        <v>1495.5590000000011</v>
      </c>
      <c r="I702" s="120">
        <v>1495.5590000000011</v>
      </c>
      <c r="J702" s="120">
        <v>1</v>
      </c>
      <c r="K702" s="120">
        <v>1495.5590000000011</v>
      </c>
      <c r="L702" s="125">
        <v>1495.5590000000011</v>
      </c>
      <c r="M702" s="125">
        <f>FCCL!E141</f>
        <v>1495.5590000000011</v>
      </c>
      <c r="N702" s="126" t="str">
        <f t="shared" si="21"/>
        <v>PASS</v>
      </c>
      <c r="O702" s="122"/>
      <c r="P702" s="119" t="s">
        <v>459</v>
      </c>
    </row>
    <row r="703" spans="1:16" ht="25.95" customHeight="1" x14ac:dyDescent="0.3">
      <c r="A703" s="50" t="s">
        <v>114</v>
      </c>
      <c r="B703" s="50">
        <v>2022</v>
      </c>
      <c r="C703" s="50">
        <v>5</v>
      </c>
      <c r="D703" s="50" t="s">
        <v>923</v>
      </c>
      <c r="E703" s="50" t="s">
        <v>3545</v>
      </c>
      <c r="F703" s="121">
        <f>FCCL!E72-FCCL!E73</f>
        <v>9408.2049999999999</v>
      </c>
      <c r="G703" s="121">
        <f>1</f>
        <v>1</v>
      </c>
      <c r="H703" s="121">
        <f t="shared" si="20"/>
        <v>9408.2049999999999</v>
      </c>
      <c r="I703" s="121">
        <v>9408.2050000000017</v>
      </c>
      <c r="J703" s="121">
        <v>1</v>
      </c>
      <c r="K703" s="121">
        <v>9408.2050000000017</v>
      </c>
      <c r="L703" s="127">
        <v>9408.2050000000017</v>
      </c>
      <c r="M703" s="127">
        <f>FCCL!E142</f>
        <v>9408.2049999999999</v>
      </c>
      <c r="N703" s="128" t="str">
        <f t="shared" si="21"/>
        <v>PASS</v>
      </c>
      <c r="O703" s="68"/>
      <c r="P703" s="50" t="s">
        <v>459</v>
      </c>
    </row>
    <row r="704" spans="1:16" ht="25.95" customHeight="1" x14ac:dyDescent="0.3">
      <c r="A704" s="119" t="s">
        <v>114</v>
      </c>
      <c r="B704" s="119">
        <v>2022</v>
      </c>
      <c r="C704" s="119">
        <v>6</v>
      </c>
      <c r="D704" s="119" t="s">
        <v>31</v>
      </c>
      <c r="E704" s="119" t="s">
        <v>3544</v>
      </c>
      <c r="F704" s="120">
        <f>-FCCL!E85</f>
        <v>38779.542000000001</v>
      </c>
      <c r="G704" s="120">
        <f>AVERAGE(FCCL!D65,FCCL!E65)</f>
        <v>10538.41</v>
      </c>
      <c r="H704" s="120">
        <f t="shared" si="20"/>
        <v>3.6798285509863442</v>
      </c>
      <c r="I704" s="120">
        <v>38779.542000000001</v>
      </c>
      <c r="J704" s="120">
        <v>10538.41</v>
      </c>
      <c r="K704" s="120">
        <v>3.6798285509863442</v>
      </c>
      <c r="L704" s="125">
        <v>3.6798285509863442</v>
      </c>
      <c r="M704" s="125">
        <f>FCCL!E144</f>
        <v>3.6798285509863442</v>
      </c>
      <c r="N704" s="126" t="str">
        <f t="shared" si="21"/>
        <v>PASS</v>
      </c>
      <c r="O704" s="122"/>
      <c r="P704" s="119" t="s">
        <v>471</v>
      </c>
    </row>
    <row r="705" spans="1:16" ht="25.95" customHeight="1" x14ac:dyDescent="0.3">
      <c r="A705" s="50" t="s">
        <v>114</v>
      </c>
      <c r="B705" s="50">
        <v>2022</v>
      </c>
      <c r="C705" s="50">
        <v>7</v>
      </c>
      <c r="D705" s="50" t="s">
        <v>129</v>
      </c>
      <c r="E705" s="50" t="s">
        <v>3545</v>
      </c>
      <c r="F705" s="121">
        <f>FCCL!E84</f>
        <v>54243.118000000002</v>
      </c>
      <c r="G705" s="121">
        <f>AVERAGE(FCCL!D32,FCCL!E32)</f>
        <v>1931.1789999999999</v>
      </c>
      <c r="H705" s="121">
        <f t="shared" si="20"/>
        <v>28.088084014998095</v>
      </c>
      <c r="I705" s="121">
        <v>54243.118000000002</v>
      </c>
      <c r="J705" s="121">
        <v>1931.1789999999999</v>
      </c>
      <c r="K705" s="121">
        <v>28.088084014998095</v>
      </c>
      <c r="L705" s="127">
        <v>28.088084014998095</v>
      </c>
      <c r="M705" s="127">
        <f>FCCL!E145</f>
        <v>28.088084014998095</v>
      </c>
      <c r="N705" s="128" t="str">
        <f t="shared" si="21"/>
        <v>PASS</v>
      </c>
      <c r="O705" s="68"/>
      <c r="P705" s="50" t="s">
        <v>471</v>
      </c>
    </row>
    <row r="706" spans="1:16" ht="25.95" customHeight="1" x14ac:dyDescent="0.3">
      <c r="A706" s="119" t="s">
        <v>114</v>
      </c>
      <c r="B706" s="119">
        <v>2022</v>
      </c>
      <c r="C706" s="119">
        <v>8</v>
      </c>
      <c r="D706" s="119" t="s">
        <v>133</v>
      </c>
      <c r="E706" s="119" t="s">
        <v>3545</v>
      </c>
      <c r="F706" s="120">
        <f>-FCCL!E85</f>
        <v>38779.542000000001</v>
      </c>
      <c r="G706" s="120">
        <f>AVERAGE(FCCL!D51,FCCL!E51)</f>
        <v>1773.124</v>
      </c>
      <c r="H706" s="120">
        <f t="shared" si="20"/>
        <v>21.870744516457957</v>
      </c>
      <c r="I706" s="120">
        <v>38779.542000000001</v>
      </c>
      <c r="J706" s="120">
        <v>1773.124</v>
      </c>
      <c r="K706" s="120">
        <v>21.870744516457957</v>
      </c>
      <c r="L706" s="125">
        <v>21.870744516457957</v>
      </c>
      <c r="M706" s="125">
        <f>FCCL!E146</f>
        <v>21.870744516457957</v>
      </c>
      <c r="N706" s="126" t="str">
        <f t="shared" si="21"/>
        <v>PASS</v>
      </c>
      <c r="O706" s="122"/>
      <c r="P706" s="119" t="s">
        <v>471</v>
      </c>
    </row>
    <row r="707" spans="1:16" ht="25.95" customHeight="1" x14ac:dyDescent="0.3">
      <c r="A707" s="50" t="s">
        <v>114</v>
      </c>
      <c r="B707" s="50">
        <v>2022</v>
      </c>
      <c r="C707" s="50">
        <v>9</v>
      </c>
      <c r="D707" s="50" t="s">
        <v>134</v>
      </c>
      <c r="E707" s="50" t="s">
        <v>3545</v>
      </c>
      <c r="F707" s="121">
        <f>365*AVERAGE(FCCL!D65,FCCL!E65)</f>
        <v>3846519.65</v>
      </c>
      <c r="G707" s="121">
        <f>-FCCL!E85</f>
        <v>38779.542000000001</v>
      </c>
      <c r="H707" s="121">
        <f t="shared" si="20"/>
        <v>99.189403784088</v>
      </c>
      <c r="I707" s="121">
        <v>3846519.65</v>
      </c>
      <c r="J707" s="121">
        <v>38779.542000000001</v>
      </c>
      <c r="K707" s="121">
        <v>99.189403784088</v>
      </c>
      <c r="L707" s="127">
        <v>99.189403784088</v>
      </c>
      <c r="M707" s="127">
        <f>FCCL!E147</f>
        <v>99.189403784088</v>
      </c>
      <c r="N707" s="128" t="str">
        <f t="shared" si="21"/>
        <v>PASS</v>
      </c>
      <c r="O707" s="68"/>
      <c r="P707" s="50" t="s">
        <v>471</v>
      </c>
    </row>
    <row r="708" spans="1:16" ht="25.95" customHeight="1" x14ac:dyDescent="0.3">
      <c r="A708" s="119" t="s">
        <v>114</v>
      </c>
      <c r="B708" s="119">
        <v>2022</v>
      </c>
      <c r="C708" s="119">
        <v>10</v>
      </c>
      <c r="D708" s="119" t="s">
        <v>187</v>
      </c>
      <c r="E708" s="119" t="s">
        <v>3544</v>
      </c>
      <c r="F708" s="120">
        <f>365*AVERAGE(FCCL!D32,FCCL!E32)</f>
        <v>704880.33499999996</v>
      </c>
      <c r="G708" s="120">
        <f>FCCL!E84</f>
        <v>54243.118000000002</v>
      </c>
      <c r="H708" s="120">
        <f t="shared" si="20"/>
        <v>12.994834386179642</v>
      </c>
      <c r="I708" s="120">
        <v>704880.33499999996</v>
      </c>
      <c r="J708" s="120">
        <v>54243.118000000002</v>
      </c>
      <c r="K708" s="120">
        <v>12.994834386179642</v>
      </c>
      <c r="L708" s="125">
        <v>12.994834386179642</v>
      </c>
      <c r="M708" s="125">
        <f>FCCL!E148</f>
        <v>12.994834386179642</v>
      </c>
      <c r="N708" s="126" t="str">
        <f t="shared" si="21"/>
        <v>PASS</v>
      </c>
      <c r="O708" s="122"/>
      <c r="P708" s="119" t="s">
        <v>471</v>
      </c>
    </row>
    <row r="709" spans="1:16" ht="25.95" customHeight="1" x14ac:dyDescent="0.3">
      <c r="A709" s="50" t="s">
        <v>114</v>
      </c>
      <c r="B709" s="50">
        <v>2022</v>
      </c>
      <c r="C709" s="50">
        <v>11</v>
      </c>
      <c r="D709" s="50" t="s">
        <v>190</v>
      </c>
      <c r="E709" s="50" t="s">
        <v>3545</v>
      </c>
      <c r="F709" s="121">
        <f>365*AVERAGE(FCCL!D51,FCCL!E51)</f>
        <v>647190.26</v>
      </c>
      <c r="G709" s="121">
        <f>-FCCL!E85</f>
        <v>38779.542000000001</v>
      </c>
      <c r="H709" s="121">
        <f t="shared" si="20"/>
        <v>16.688960895928066</v>
      </c>
      <c r="I709" s="121">
        <v>647190.26</v>
      </c>
      <c r="J709" s="121">
        <v>38779.542000000001</v>
      </c>
      <c r="K709" s="121">
        <v>16.688960895928066</v>
      </c>
      <c r="L709" s="127">
        <v>16.688960895928066</v>
      </c>
      <c r="M709" s="127">
        <f>FCCL!E149</f>
        <v>16.688960895928066</v>
      </c>
      <c r="N709" s="128" t="str">
        <f t="shared" si="21"/>
        <v>PASS</v>
      </c>
      <c r="O709" s="68"/>
      <c r="P709" s="50" t="s">
        <v>471</v>
      </c>
    </row>
    <row r="710" spans="1:16" ht="25.95" customHeight="1" x14ac:dyDescent="0.3">
      <c r="A710" s="119" t="s">
        <v>114</v>
      </c>
      <c r="B710" s="119">
        <v>2022</v>
      </c>
      <c r="C710" s="119">
        <v>12</v>
      </c>
      <c r="D710" s="119" t="s">
        <v>192</v>
      </c>
      <c r="E710" s="119" t="s">
        <v>3545</v>
      </c>
      <c r="F710" s="120">
        <f>365*AVERAGE(FCCL!D65,FCCL!E65)/(-FCCL!E85)+365*AVERAGE(FCCL!D32,FCCL!E32)/FCCL!E84</f>
        <v>112.18423817026765</v>
      </c>
      <c r="G710" s="120">
        <f>1</f>
        <v>1</v>
      </c>
      <c r="H710" s="120">
        <f t="shared" ref="H710:H773" si="22">IF(G710&lt;=0,"n/m",F710/G710)</f>
        <v>112.18423817026765</v>
      </c>
      <c r="I710" s="120">
        <v>112.18423817026765</v>
      </c>
      <c r="J710" s="120">
        <v>1</v>
      </c>
      <c r="K710" s="120">
        <v>112.18423817026765</v>
      </c>
      <c r="L710" s="125">
        <v>112.18423817026765</v>
      </c>
      <c r="M710" s="125">
        <f>FCCL!E150</f>
        <v>112.18423817026765</v>
      </c>
      <c r="N710" s="126" t="str">
        <f t="shared" ref="N710:N773" si="23">IF(AND(ABS(F710-I710)&lt;0.000001,ABS(G710-J710)&lt;0.000001,IF(ISNUMBER(L710),IF(ISNUMBER(M710),ABS(L710-M710)&lt;0.00000001,FALSE),M710=L710)),"PASS","FAIL")</f>
        <v>PASS</v>
      </c>
      <c r="O710" s="122"/>
      <c r="P710" s="119" t="s">
        <v>471</v>
      </c>
    </row>
    <row r="711" spans="1:16" ht="25.95" customHeight="1" x14ac:dyDescent="0.3">
      <c r="A711" s="50" t="s">
        <v>114</v>
      </c>
      <c r="B711" s="50">
        <v>2022</v>
      </c>
      <c r="C711" s="50">
        <v>13</v>
      </c>
      <c r="D711" s="50" t="s">
        <v>150</v>
      </c>
      <c r="E711" s="50" t="s">
        <v>3545</v>
      </c>
      <c r="F711" s="121">
        <f>365*AVERAGE(FCCL!D65,FCCL!E65)/(-FCCL!E85)+365*AVERAGE(FCCL!D32,FCCL!E32)/FCCL!E84-365*AVERAGE(FCCL!D51,FCCL!E51)/(-FCCL!E85)</f>
        <v>95.495277274339585</v>
      </c>
      <c r="G711" s="121">
        <f>1</f>
        <v>1</v>
      </c>
      <c r="H711" s="121">
        <f t="shared" si="22"/>
        <v>95.495277274339585</v>
      </c>
      <c r="I711" s="121">
        <v>95.495277274339585</v>
      </c>
      <c r="J711" s="121">
        <v>1</v>
      </c>
      <c r="K711" s="121">
        <v>95.495277274339585</v>
      </c>
      <c r="L711" s="127">
        <v>95.495277274339585</v>
      </c>
      <c r="M711" s="127">
        <f>FCCL!E151</f>
        <v>95.495277274339585</v>
      </c>
      <c r="N711" s="128" t="str">
        <f t="shared" si="23"/>
        <v>PASS</v>
      </c>
      <c r="O711" s="68"/>
      <c r="P711" s="50" t="s">
        <v>471</v>
      </c>
    </row>
    <row r="712" spans="1:16" ht="25.95" customHeight="1" x14ac:dyDescent="0.3">
      <c r="A712" s="119" t="s">
        <v>114</v>
      </c>
      <c r="B712" s="119">
        <v>2022</v>
      </c>
      <c r="C712" s="119">
        <v>14</v>
      </c>
      <c r="D712" s="119" t="s">
        <v>196</v>
      </c>
      <c r="E712" s="119" t="s">
        <v>3544</v>
      </c>
      <c r="F712" s="120">
        <f>FCCL!E84</f>
        <v>54243.118000000002</v>
      </c>
      <c r="G712" s="120">
        <f>AVERAGE(FCCL!D37,FCCL!E37)</f>
        <v>73875.15400000001</v>
      </c>
      <c r="H712" s="120">
        <f t="shared" si="22"/>
        <v>0.7342538737719585</v>
      </c>
      <c r="I712" s="120">
        <v>54243.118000000002</v>
      </c>
      <c r="J712" s="120">
        <v>73875.15400000001</v>
      </c>
      <c r="K712" s="120">
        <v>0.7342538737719585</v>
      </c>
      <c r="L712" s="125">
        <v>0.7342538737719585</v>
      </c>
      <c r="M712" s="125">
        <f>FCCL!E152</f>
        <v>0.7342538737719585</v>
      </c>
      <c r="N712" s="126" t="str">
        <f t="shared" si="23"/>
        <v>PASS</v>
      </c>
      <c r="O712" s="122"/>
      <c r="P712" s="119" t="s">
        <v>471</v>
      </c>
    </row>
    <row r="713" spans="1:16" ht="25.95" customHeight="1" x14ac:dyDescent="0.3">
      <c r="A713" s="50" t="s">
        <v>114</v>
      </c>
      <c r="B713" s="50">
        <v>2022</v>
      </c>
      <c r="C713" s="50">
        <v>15</v>
      </c>
      <c r="D713" s="50" t="s">
        <v>199</v>
      </c>
      <c r="E713" s="50" t="s">
        <v>3544</v>
      </c>
      <c r="F713" s="121">
        <f>FCCL!E84</f>
        <v>54243.118000000002</v>
      </c>
      <c r="G713" s="121">
        <f>AVERAGE(FCCL!D22,FCCL!E22)</f>
        <v>32772.136500000001</v>
      </c>
      <c r="H713" s="121">
        <f t="shared" si="22"/>
        <v>1.6551596506379742</v>
      </c>
      <c r="I713" s="121">
        <v>54243.118000000002</v>
      </c>
      <c r="J713" s="121">
        <v>32772.136500000001</v>
      </c>
      <c r="K713" s="121">
        <v>1.6551596506379742</v>
      </c>
      <c r="L713" s="127">
        <v>1.6551596506379742</v>
      </c>
      <c r="M713" s="127">
        <f>FCCL!E153</f>
        <v>1.6551596506379742</v>
      </c>
      <c r="N713" s="128" t="str">
        <f t="shared" si="23"/>
        <v>PASS</v>
      </c>
      <c r="O713" s="68"/>
      <c r="P713" s="50" t="s">
        <v>471</v>
      </c>
    </row>
    <row r="714" spans="1:16" ht="25.95" customHeight="1" x14ac:dyDescent="0.3">
      <c r="A714" s="119" t="s">
        <v>114</v>
      </c>
      <c r="B714" s="119">
        <v>2022</v>
      </c>
      <c r="C714" s="119">
        <v>16</v>
      </c>
      <c r="D714" s="119" t="s">
        <v>932</v>
      </c>
      <c r="E714" s="119" t="s">
        <v>3544</v>
      </c>
      <c r="F714" s="120">
        <f>FCCL!E62</f>
        <v>55962.021000000001</v>
      </c>
      <c r="G714" s="120">
        <f>FCCL!E37</f>
        <v>113698.07700000002</v>
      </c>
      <c r="H714" s="120">
        <f t="shared" si="22"/>
        <v>0.49219848282922141</v>
      </c>
      <c r="I714" s="120">
        <v>55962.021000000001</v>
      </c>
      <c r="J714" s="120">
        <v>113698.077</v>
      </c>
      <c r="K714" s="120">
        <v>0.49219848282922146</v>
      </c>
      <c r="L714" s="125">
        <v>0.49219848282922146</v>
      </c>
      <c r="M714" s="125">
        <f>FCCL!E155</f>
        <v>0.49219848282922141</v>
      </c>
      <c r="N714" s="126" t="str">
        <f t="shared" si="23"/>
        <v>PASS</v>
      </c>
      <c r="O714" s="122"/>
      <c r="P714" s="119" t="s">
        <v>493</v>
      </c>
    </row>
    <row r="715" spans="1:16" ht="25.95" customHeight="1" x14ac:dyDescent="0.3">
      <c r="A715" s="50" t="s">
        <v>114</v>
      </c>
      <c r="B715" s="50">
        <v>2022</v>
      </c>
      <c r="C715" s="50">
        <v>17</v>
      </c>
      <c r="D715" s="50" t="s">
        <v>151</v>
      </c>
      <c r="E715" s="50" t="s">
        <v>3544</v>
      </c>
      <c r="F715" s="121">
        <f>FCCL!E62</f>
        <v>55962.021000000001</v>
      </c>
      <c r="G715" s="121">
        <f>FCCL!E41</f>
        <v>57736.055999999997</v>
      </c>
      <c r="H715" s="121">
        <f t="shared" si="22"/>
        <v>0.96927336013391707</v>
      </c>
      <c r="I715" s="121">
        <v>55962.021000000001</v>
      </c>
      <c r="J715" s="121">
        <v>57736.055999999997</v>
      </c>
      <c r="K715" s="121">
        <v>0.96927336013391707</v>
      </c>
      <c r="L715" s="127">
        <v>0.96927336013391707</v>
      </c>
      <c r="M715" s="127">
        <f>FCCL!E156</f>
        <v>0.96927336013391707</v>
      </c>
      <c r="N715" s="128" t="str">
        <f t="shared" si="23"/>
        <v>PASS</v>
      </c>
      <c r="O715" s="68"/>
      <c r="P715" s="50" t="s">
        <v>493</v>
      </c>
    </row>
    <row r="716" spans="1:16" ht="25.95" customHeight="1" x14ac:dyDescent="0.3">
      <c r="A716" s="119" t="s">
        <v>114</v>
      </c>
      <c r="B716" s="119">
        <v>2022</v>
      </c>
      <c r="C716" s="119">
        <v>18</v>
      </c>
      <c r="D716" s="119" t="s">
        <v>935</v>
      </c>
      <c r="E716" s="119" t="s">
        <v>3545</v>
      </c>
      <c r="F716" s="120">
        <f>FCCL!E66</f>
        <v>25917.630000000005</v>
      </c>
      <c r="G716" s="120">
        <f>FCCL!E66+FCCL!E41</f>
        <v>83653.686000000002</v>
      </c>
      <c r="H716" s="120">
        <f t="shared" si="22"/>
        <v>0.30982053797366449</v>
      </c>
      <c r="I716" s="120">
        <v>25917.629999999997</v>
      </c>
      <c r="J716" s="120">
        <v>83653.685999999987</v>
      </c>
      <c r="K716" s="120">
        <v>0.30982053797366443</v>
      </c>
      <c r="L716" s="125">
        <v>0.30982053797366443</v>
      </c>
      <c r="M716" s="125">
        <f>FCCL!E157</f>
        <v>0.30982053797366449</v>
      </c>
      <c r="N716" s="126" t="str">
        <f t="shared" si="23"/>
        <v>PASS</v>
      </c>
      <c r="O716" s="122"/>
      <c r="P716" s="119" t="s">
        <v>493</v>
      </c>
    </row>
    <row r="717" spans="1:16" ht="25.95" customHeight="1" x14ac:dyDescent="0.3">
      <c r="A717" s="50" t="s">
        <v>114</v>
      </c>
      <c r="B717" s="50">
        <v>2022</v>
      </c>
      <c r="C717" s="50">
        <v>19</v>
      </c>
      <c r="D717" s="50" t="s">
        <v>936</v>
      </c>
      <c r="E717" s="50" t="s">
        <v>3545</v>
      </c>
      <c r="F717" s="121">
        <f>FCCL!E67</f>
        <v>19645.962</v>
      </c>
      <c r="G717" s="121">
        <f>FCCL!E37</f>
        <v>113698.07700000002</v>
      </c>
      <c r="H717" s="121">
        <f t="shared" si="22"/>
        <v>0.1727906268810509</v>
      </c>
      <c r="I717" s="121">
        <v>19645.962</v>
      </c>
      <c r="J717" s="121">
        <v>113698.077</v>
      </c>
      <c r="K717" s="121">
        <v>0.17279062688105093</v>
      </c>
      <c r="L717" s="127">
        <v>0.17279062688105093</v>
      </c>
      <c r="M717" s="127">
        <f>FCCL!E158</f>
        <v>0.1727906268810509</v>
      </c>
      <c r="N717" s="128" t="str">
        <f t="shared" si="23"/>
        <v>PASS</v>
      </c>
      <c r="O717" s="68"/>
      <c r="P717" s="50" t="s">
        <v>493</v>
      </c>
    </row>
    <row r="718" spans="1:16" ht="25.95" customHeight="1" x14ac:dyDescent="0.3">
      <c r="A718" s="119" t="s">
        <v>114</v>
      </c>
      <c r="B718" s="119">
        <v>2022</v>
      </c>
      <c r="C718" s="119">
        <v>20</v>
      </c>
      <c r="D718" s="119" t="s">
        <v>938</v>
      </c>
      <c r="E718" s="119" t="s">
        <v>3544</v>
      </c>
      <c r="F718" s="120">
        <f>FCCL!E108</f>
        <v>12729.705000000002</v>
      </c>
      <c r="G718" s="120">
        <f>FCCL!E106</f>
        <v>995.22400000000005</v>
      </c>
      <c r="H718" s="120">
        <f t="shared" si="22"/>
        <v>12.790793831338474</v>
      </c>
      <c r="I718" s="120">
        <v>12729.705000000002</v>
      </c>
      <c r="J718" s="120">
        <v>995.22400000000005</v>
      </c>
      <c r="K718" s="120">
        <v>12.790793831338474</v>
      </c>
      <c r="L718" s="125">
        <v>12.790793831338474</v>
      </c>
      <c r="M718" s="125">
        <f>FCCL!E159</f>
        <v>12.790793831338474</v>
      </c>
      <c r="N718" s="126" t="str">
        <f t="shared" si="23"/>
        <v>PASS</v>
      </c>
      <c r="O718" s="122"/>
      <c r="P718" s="119" t="s">
        <v>493</v>
      </c>
    </row>
    <row r="719" spans="1:16" ht="25.95" customHeight="1" x14ac:dyDescent="0.3">
      <c r="A719" s="50" t="s">
        <v>114</v>
      </c>
      <c r="B719" s="50">
        <v>2022</v>
      </c>
      <c r="C719" s="50">
        <v>21</v>
      </c>
      <c r="D719" s="50" t="s">
        <v>154</v>
      </c>
      <c r="E719" s="50" t="s">
        <v>3544</v>
      </c>
      <c r="F719" s="121">
        <f>FCCL!E86</f>
        <v>15463.576000000001</v>
      </c>
      <c r="G719" s="121">
        <f>FCCL!E84</f>
        <v>54243.118000000002</v>
      </c>
      <c r="H719" s="121">
        <f t="shared" si="22"/>
        <v>0.28507903988852556</v>
      </c>
      <c r="I719" s="121">
        <v>15463.576000000001</v>
      </c>
      <c r="J719" s="121">
        <v>54243.118000000002</v>
      </c>
      <c r="K719" s="121">
        <v>0.28507903988852556</v>
      </c>
      <c r="L719" s="127">
        <v>0.28507903988852556</v>
      </c>
      <c r="M719" s="127">
        <f>FCCL!E161</f>
        <v>0.28507903988852556</v>
      </c>
      <c r="N719" s="128" t="str">
        <f t="shared" si="23"/>
        <v>PASS</v>
      </c>
      <c r="O719" s="68"/>
      <c r="P719" s="50" t="s">
        <v>504</v>
      </c>
    </row>
    <row r="720" spans="1:16" ht="25.95" customHeight="1" x14ac:dyDescent="0.3">
      <c r="A720" s="119" t="s">
        <v>114</v>
      </c>
      <c r="B720" s="119">
        <v>2022</v>
      </c>
      <c r="C720" s="119">
        <v>22</v>
      </c>
      <c r="D720" s="119" t="s">
        <v>942</v>
      </c>
      <c r="E720" s="119" t="s">
        <v>3544</v>
      </c>
      <c r="F720" s="120">
        <f>FCCL!E91</f>
        <v>11751.85</v>
      </c>
      <c r="G720" s="120">
        <f>FCCL!E84</f>
        <v>54243.118000000002</v>
      </c>
      <c r="H720" s="120">
        <f t="shared" si="22"/>
        <v>0.21665144691719232</v>
      </c>
      <c r="I720" s="120">
        <v>11751.85</v>
      </c>
      <c r="J720" s="120">
        <v>54243.118000000002</v>
      </c>
      <c r="K720" s="120">
        <v>0.21665144691719232</v>
      </c>
      <c r="L720" s="125">
        <v>0.21665144691719232</v>
      </c>
      <c r="M720" s="125">
        <f>FCCL!E162</f>
        <v>0.21665144691719232</v>
      </c>
      <c r="N720" s="126" t="str">
        <f t="shared" si="23"/>
        <v>PASS</v>
      </c>
      <c r="O720" s="122"/>
      <c r="P720" s="119" t="s">
        <v>504</v>
      </c>
    </row>
    <row r="721" spans="1:16" ht="25.95" customHeight="1" x14ac:dyDescent="0.3">
      <c r="A721" s="50" t="s">
        <v>114</v>
      </c>
      <c r="B721" s="50">
        <v>2022</v>
      </c>
      <c r="C721" s="50">
        <v>23</v>
      </c>
      <c r="D721" s="50" t="s">
        <v>155</v>
      </c>
      <c r="E721" s="50" t="s">
        <v>3544</v>
      </c>
      <c r="F721" s="121">
        <f>FCCL!E99</f>
        <v>7112.5400000000009</v>
      </c>
      <c r="G721" s="121">
        <f>FCCL!E84</f>
        <v>54243.118000000002</v>
      </c>
      <c r="H721" s="121">
        <f t="shared" si="22"/>
        <v>0.13112336204567002</v>
      </c>
      <c r="I721" s="121">
        <v>7112.5400000000009</v>
      </c>
      <c r="J721" s="121">
        <v>54243.118000000002</v>
      </c>
      <c r="K721" s="121">
        <v>0.13112336204567002</v>
      </c>
      <c r="L721" s="127">
        <v>0.13112336204567002</v>
      </c>
      <c r="M721" s="127">
        <f>FCCL!E163</f>
        <v>0.13112336204567002</v>
      </c>
      <c r="N721" s="128" t="str">
        <f t="shared" si="23"/>
        <v>PASS</v>
      </c>
      <c r="O721" s="68"/>
      <c r="P721" s="50" t="s">
        <v>504</v>
      </c>
    </row>
    <row r="722" spans="1:16" ht="25.95" customHeight="1" x14ac:dyDescent="0.3">
      <c r="A722" s="119" t="s">
        <v>114</v>
      </c>
      <c r="B722" s="119">
        <v>2022</v>
      </c>
      <c r="C722" s="119">
        <v>24</v>
      </c>
      <c r="D722" s="119" t="s">
        <v>136</v>
      </c>
      <c r="E722" s="119" t="s">
        <v>3544</v>
      </c>
      <c r="F722" s="120">
        <f>FCCL!E99</f>
        <v>7112.5400000000009</v>
      </c>
      <c r="G722" s="120">
        <f>AVERAGE(FCCL!D37,FCCL!E37)</f>
        <v>73875.15400000001</v>
      </c>
      <c r="H722" s="120">
        <f t="shared" si="22"/>
        <v>9.6277836524036209E-2</v>
      </c>
      <c r="I722" s="120">
        <v>7112.5400000000009</v>
      </c>
      <c r="J722" s="120">
        <v>73875.15400000001</v>
      </c>
      <c r="K722" s="120">
        <v>9.6277836524036209E-2</v>
      </c>
      <c r="L722" s="125">
        <v>9.6277836524036209E-2</v>
      </c>
      <c r="M722" s="125">
        <f>FCCL!E164</f>
        <v>9.6277836524036209E-2</v>
      </c>
      <c r="N722" s="126" t="str">
        <f t="shared" si="23"/>
        <v>PASS</v>
      </c>
      <c r="O722" s="122"/>
      <c r="P722" s="119" t="s">
        <v>504</v>
      </c>
    </row>
    <row r="723" spans="1:16" ht="25.95" customHeight="1" x14ac:dyDescent="0.3">
      <c r="A723" s="50" t="s">
        <v>114</v>
      </c>
      <c r="B723" s="50">
        <v>2022</v>
      </c>
      <c r="C723" s="50">
        <v>25</v>
      </c>
      <c r="D723" s="50" t="s">
        <v>53</v>
      </c>
      <c r="E723" s="50" t="s">
        <v>3544</v>
      </c>
      <c r="F723" s="121">
        <f>FCCL!E99</f>
        <v>7112.5400000000009</v>
      </c>
      <c r="G723" s="121">
        <f>AVERAGE(FCCL!D41,FCCL!E41)</f>
        <v>40505.863499999999</v>
      </c>
      <c r="H723" s="121">
        <f t="shared" si="22"/>
        <v>0.17559284966237051</v>
      </c>
      <c r="I723" s="121">
        <v>7112.5400000000009</v>
      </c>
      <c r="J723" s="121">
        <v>40505.863499999999</v>
      </c>
      <c r="K723" s="121">
        <v>0.17559284966237051</v>
      </c>
      <c r="L723" s="127">
        <v>0.17559284966237051</v>
      </c>
      <c r="M723" s="127">
        <f>FCCL!E165</f>
        <v>0.17559284966237051</v>
      </c>
      <c r="N723" s="128" t="str">
        <f t="shared" si="23"/>
        <v>PASS</v>
      </c>
      <c r="O723" s="68"/>
      <c r="P723" s="50" t="s">
        <v>504</v>
      </c>
    </row>
    <row r="724" spans="1:16" ht="25.95" customHeight="1" x14ac:dyDescent="0.3">
      <c r="A724" s="119" t="s">
        <v>114</v>
      </c>
      <c r="B724" s="119">
        <v>2022</v>
      </c>
      <c r="C724" s="119">
        <v>26</v>
      </c>
      <c r="D724" s="119" t="s">
        <v>944</v>
      </c>
      <c r="E724" s="119" t="s">
        <v>3545</v>
      </c>
      <c r="F724" s="120">
        <f>FCCL!E113</f>
        <v>7853.9040239092456</v>
      </c>
      <c r="G724" s="120">
        <f>AVERAGE(FCCL!D70,FCCL!E70)</f>
        <v>54748.722999999998</v>
      </c>
      <c r="H724" s="120">
        <f t="shared" si="22"/>
        <v>0.14345364774826339</v>
      </c>
      <c r="I724" s="120">
        <v>7853.9040239092456</v>
      </c>
      <c r="J724" s="120">
        <v>54748.722999999998</v>
      </c>
      <c r="K724" s="120">
        <v>0.14345364774826339</v>
      </c>
      <c r="L724" s="125">
        <v>0.14345364774826339</v>
      </c>
      <c r="M724" s="125">
        <f>FCCL!E166</f>
        <v>0.14345364774826339</v>
      </c>
      <c r="N724" s="126" t="str">
        <f t="shared" si="23"/>
        <v>PASS</v>
      </c>
      <c r="O724" s="122"/>
      <c r="P724" s="119" t="s">
        <v>504</v>
      </c>
    </row>
    <row r="725" spans="1:16" ht="25.95" customHeight="1" x14ac:dyDescent="0.3">
      <c r="A725" s="50" t="s">
        <v>114</v>
      </c>
      <c r="B725" s="50">
        <v>2022</v>
      </c>
      <c r="C725" s="50">
        <v>27</v>
      </c>
      <c r="D725" s="50" t="s">
        <v>945</v>
      </c>
      <c r="E725" s="50" t="s">
        <v>3545</v>
      </c>
      <c r="F725" s="121">
        <f>FCCL!E108</f>
        <v>12729.705000000002</v>
      </c>
      <c r="G725" s="121">
        <f>AVERAGE(FCCL!D37,FCCL!E37)</f>
        <v>73875.15400000001</v>
      </c>
      <c r="H725" s="121">
        <f t="shared" si="22"/>
        <v>0.17231375246947031</v>
      </c>
      <c r="I725" s="121">
        <v>12729.705000000002</v>
      </c>
      <c r="J725" s="121">
        <v>73875.15400000001</v>
      </c>
      <c r="K725" s="121">
        <v>0.17231375246947031</v>
      </c>
      <c r="L725" s="127">
        <v>0.17231375246947031</v>
      </c>
      <c r="M725" s="127">
        <f>FCCL!E167</f>
        <v>0.17231375246947031</v>
      </c>
      <c r="N725" s="128" t="str">
        <f t="shared" si="23"/>
        <v>PASS</v>
      </c>
      <c r="O725" s="68"/>
      <c r="P725" s="50" t="s">
        <v>504</v>
      </c>
    </row>
    <row r="726" spans="1:16" ht="25.95" customHeight="1" x14ac:dyDescent="0.3">
      <c r="A726" s="119" t="s">
        <v>114</v>
      </c>
      <c r="B726" s="119">
        <v>2022</v>
      </c>
      <c r="C726" s="119">
        <v>28</v>
      </c>
      <c r="D726" s="119" t="s">
        <v>139</v>
      </c>
      <c r="E726" s="119" t="s">
        <v>3545</v>
      </c>
      <c r="F726" s="120">
        <f>FCCL!E41</f>
        <v>57736.055999999997</v>
      </c>
      <c r="G726" s="120">
        <f>FCCL!E128</f>
        <v>2180.3090000000002</v>
      </c>
      <c r="H726" s="120">
        <f t="shared" si="22"/>
        <v>26.480675904195227</v>
      </c>
      <c r="I726" s="120">
        <v>57736.055999999997</v>
      </c>
      <c r="J726" s="120">
        <v>2180.3090000000002</v>
      </c>
      <c r="K726" s="120">
        <v>26.480675904195227</v>
      </c>
      <c r="L726" s="125">
        <v>26.480675904195227</v>
      </c>
      <c r="M726" s="125">
        <f>FCCL!E169</f>
        <v>26.480675904195227</v>
      </c>
      <c r="N726" s="126" t="str">
        <f t="shared" si="23"/>
        <v>PASS</v>
      </c>
      <c r="O726" s="122"/>
      <c r="P726" s="119" t="s">
        <v>519</v>
      </c>
    </row>
    <row r="727" spans="1:16" ht="25.95" customHeight="1" x14ac:dyDescent="0.3">
      <c r="A727" s="50" t="s">
        <v>114</v>
      </c>
      <c r="B727" s="50">
        <v>2022</v>
      </c>
      <c r="C727" s="50">
        <v>29</v>
      </c>
      <c r="D727" s="50" t="s">
        <v>162</v>
      </c>
      <c r="E727" s="50" t="s">
        <v>3544</v>
      </c>
      <c r="F727" s="121">
        <f>FCCL!E130</f>
        <v>14.17</v>
      </c>
      <c r="G727" s="121">
        <f>FCCL!E41/FCCL!E128</f>
        <v>26.480675904195227</v>
      </c>
      <c r="H727" s="121">
        <f t="shared" si="22"/>
        <v>0.53510718726613404</v>
      </c>
      <c r="I727" s="121">
        <v>14.17</v>
      </c>
      <c r="J727" s="121">
        <v>26.480675904195227</v>
      </c>
      <c r="K727" s="121">
        <v>0.53510718726613404</v>
      </c>
      <c r="L727" s="127">
        <v>0.53510718726613404</v>
      </c>
      <c r="M727" s="127">
        <f>FCCL!E170</f>
        <v>0.53510718726613404</v>
      </c>
      <c r="N727" s="128" t="str">
        <f t="shared" si="23"/>
        <v>PASS</v>
      </c>
      <c r="O727" s="68"/>
      <c r="P727" s="50" t="s">
        <v>519</v>
      </c>
    </row>
    <row r="728" spans="1:16" ht="25.95" customHeight="1" x14ac:dyDescent="0.3">
      <c r="A728" s="119" t="s">
        <v>114</v>
      </c>
      <c r="B728" s="119">
        <v>2022</v>
      </c>
      <c r="C728" s="119">
        <v>30</v>
      </c>
      <c r="D728" s="119" t="s">
        <v>143</v>
      </c>
      <c r="E728" s="119" t="s">
        <v>3544</v>
      </c>
      <c r="F728" s="120">
        <f>FCCL!E99</f>
        <v>7112.5400000000009</v>
      </c>
      <c r="G728" s="120">
        <f>FCCL!E129</f>
        <v>2180.3090000000002</v>
      </c>
      <c r="H728" s="120">
        <f t="shared" si="22"/>
        <v>3.2621706372812294</v>
      </c>
      <c r="I728" s="120">
        <v>7112.5400000000009</v>
      </c>
      <c r="J728" s="120">
        <v>2180.3090000000002</v>
      </c>
      <c r="K728" s="120">
        <v>3.2621706372812294</v>
      </c>
      <c r="L728" s="125">
        <v>3.2621706372812294</v>
      </c>
      <c r="M728" s="125">
        <f>FCCL!E171</f>
        <v>3.2621706372812294</v>
      </c>
      <c r="N728" s="126" t="str">
        <f t="shared" si="23"/>
        <v>PASS</v>
      </c>
      <c r="O728" s="122"/>
      <c r="P728" s="119" t="s">
        <v>519</v>
      </c>
    </row>
    <row r="729" spans="1:16" ht="25.95" customHeight="1" x14ac:dyDescent="0.3">
      <c r="A729" s="50" t="s">
        <v>114</v>
      </c>
      <c r="B729" s="50">
        <v>2022</v>
      </c>
      <c r="C729" s="50">
        <v>31</v>
      </c>
      <c r="D729" s="50" t="s">
        <v>952</v>
      </c>
      <c r="E729" s="50" t="s">
        <v>3544</v>
      </c>
      <c r="F729" s="121">
        <f>FCCL!E130</f>
        <v>14.17</v>
      </c>
      <c r="G729" s="121">
        <f>FCCL!E99/FCCL!E129</f>
        <v>3.2621706372812294</v>
      </c>
      <c r="H729" s="121">
        <f t="shared" si="22"/>
        <v>4.3437335368236942</v>
      </c>
      <c r="I729" s="121">
        <v>14.17</v>
      </c>
      <c r="J729" s="121">
        <v>3.2621706372812294</v>
      </c>
      <c r="K729" s="121">
        <v>4.3437335368236942</v>
      </c>
      <c r="L729" s="127">
        <v>4.3437335368236942</v>
      </c>
      <c r="M729" s="127">
        <f>FCCL!E172</f>
        <v>4.3437335368236942</v>
      </c>
      <c r="N729" s="128" t="str">
        <f t="shared" si="23"/>
        <v>PASS</v>
      </c>
      <c r="O729" s="68"/>
      <c r="P729" s="50" t="s">
        <v>519</v>
      </c>
    </row>
    <row r="730" spans="1:16" ht="25.95" customHeight="1" x14ac:dyDescent="0.3">
      <c r="A730" s="119" t="s">
        <v>114</v>
      </c>
      <c r="B730" s="119">
        <v>2022</v>
      </c>
      <c r="C730" s="119">
        <v>32</v>
      </c>
      <c r="D730" s="119" t="s">
        <v>104</v>
      </c>
      <c r="E730" s="119" t="s">
        <v>3544</v>
      </c>
      <c r="F730" s="120">
        <f>FCCL!E131</f>
        <v>0</v>
      </c>
      <c r="G730" s="120">
        <f>FCCL!E130</f>
        <v>14.17</v>
      </c>
      <c r="H730" s="120">
        <f t="shared" si="22"/>
        <v>0</v>
      </c>
      <c r="I730" s="120">
        <v>0</v>
      </c>
      <c r="J730" s="120">
        <v>14.17</v>
      </c>
      <c r="K730" s="120">
        <v>0</v>
      </c>
      <c r="L730" s="125">
        <v>0</v>
      </c>
      <c r="M730" s="125">
        <f>FCCL!E173</f>
        <v>0</v>
      </c>
      <c r="N730" s="126" t="str">
        <f t="shared" si="23"/>
        <v>PASS</v>
      </c>
      <c r="O730" s="122"/>
      <c r="P730" s="119" t="s">
        <v>519</v>
      </c>
    </row>
    <row r="731" spans="1:16" ht="25.95" customHeight="1" x14ac:dyDescent="0.3">
      <c r="A731" s="50" t="s">
        <v>114</v>
      </c>
      <c r="B731" s="50">
        <v>2022</v>
      </c>
      <c r="C731" s="50">
        <v>33</v>
      </c>
      <c r="D731" s="50" t="s">
        <v>124</v>
      </c>
      <c r="E731" s="50" t="s">
        <v>3545</v>
      </c>
      <c r="F731" s="121">
        <f>FCCL!E131</f>
        <v>0</v>
      </c>
      <c r="G731" s="121">
        <f>FCCL!E99/FCCL!E129</f>
        <v>3.2621706372812294</v>
      </c>
      <c r="H731" s="121">
        <f t="shared" si="22"/>
        <v>0</v>
      </c>
      <c r="I731" s="121">
        <v>0</v>
      </c>
      <c r="J731" s="121">
        <v>3.2621706372812294</v>
      </c>
      <c r="K731" s="121">
        <v>0</v>
      </c>
      <c r="L731" s="127">
        <v>0</v>
      </c>
      <c r="M731" s="127">
        <f>FCCL!E174</f>
        <v>0</v>
      </c>
      <c r="N731" s="128" t="str">
        <f t="shared" si="23"/>
        <v>PASS</v>
      </c>
      <c r="O731" s="68"/>
      <c r="P731" s="50" t="s">
        <v>519</v>
      </c>
    </row>
    <row r="732" spans="1:16" ht="25.95" customHeight="1" x14ac:dyDescent="0.3">
      <c r="A732" s="119" t="s">
        <v>114</v>
      </c>
      <c r="B732" s="119">
        <v>2023</v>
      </c>
      <c r="C732" s="119">
        <v>1</v>
      </c>
      <c r="D732" s="119" t="s">
        <v>19</v>
      </c>
      <c r="E732" s="119" t="s">
        <v>3544</v>
      </c>
      <c r="F732" s="120">
        <f>FCCL!F36</f>
        <v>23134.499</v>
      </c>
      <c r="G732" s="120">
        <f>FCCL!F61</f>
        <v>28486.855000000003</v>
      </c>
      <c r="H732" s="120">
        <f t="shared" si="22"/>
        <v>0.81211137558007007</v>
      </c>
      <c r="I732" s="120">
        <v>23134.499</v>
      </c>
      <c r="J732" s="120">
        <v>28486.855</v>
      </c>
      <c r="K732" s="120">
        <v>0.81211137558007018</v>
      </c>
      <c r="L732" s="125">
        <v>0.81211137558007018</v>
      </c>
      <c r="M732" s="125">
        <f>FCCL!F138</f>
        <v>0.81211137558007007</v>
      </c>
      <c r="N732" s="126" t="str">
        <f t="shared" si="23"/>
        <v>PASS</v>
      </c>
      <c r="O732" s="122"/>
      <c r="P732" s="119" t="s">
        <v>459</v>
      </c>
    </row>
    <row r="733" spans="1:16" ht="25.95" customHeight="1" x14ac:dyDescent="0.3">
      <c r="A733" s="50" t="s">
        <v>114</v>
      </c>
      <c r="B733" s="50">
        <v>2023</v>
      </c>
      <c r="C733" s="50">
        <v>2</v>
      </c>
      <c r="D733" s="50" t="s">
        <v>30</v>
      </c>
      <c r="E733" s="50" t="s">
        <v>3544</v>
      </c>
      <c r="F733" s="121">
        <f>FCCL!F36-FCCL!F65</f>
        <v>8010.991</v>
      </c>
      <c r="G733" s="121">
        <f>FCCL!F61</f>
        <v>28486.855000000003</v>
      </c>
      <c r="H733" s="121">
        <f t="shared" si="22"/>
        <v>0.28121710873313321</v>
      </c>
      <c r="I733" s="121">
        <v>8010.991</v>
      </c>
      <c r="J733" s="121">
        <v>28486.855</v>
      </c>
      <c r="K733" s="121">
        <v>0.28121710873313321</v>
      </c>
      <c r="L733" s="127">
        <v>0.28121710873313321</v>
      </c>
      <c r="M733" s="127">
        <f>FCCL!F139</f>
        <v>0.28121710873313321</v>
      </c>
      <c r="N733" s="128" t="str">
        <f t="shared" si="23"/>
        <v>PASS</v>
      </c>
      <c r="O733" s="68"/>
      <c r="P733" s="50" t="s">
        <v>459</v>
      </c>
    </row>
    <row r="734" spans="1:16" ht="25.95" customHeight="1" x14ac:dyDescent="0.3">
      <c r="A734" s="119" t="s">
        <v>114</v>
      </c>
      <c r="B734" s="119">
        <v>2023</v>
      </c>
      <c r="C734" s="119">
        <v>3</v>
      </c>
      <c r="D734" s="119" t="s">
        <v>145</v>
      </c>
      <c r="E734" s="119" t="s">
        <v>3544</v>
      </c>
      <c r="F734" s="120">
        <f>FCCL!F34</f>
        <v>970.45699999999999</v>
      </c>
      <c r="G734" s="120">
        <f>FCCL!F61</f>
        <v>28486.855000000003</v>
      </c>
      <c r="H734" s="120">
        <f t="shared" si="22"/>
        <v>3.4066835387760418E-2</v>
      </c>
      <c r="I734" s="120">
        <v>970.45699999999999</v>
      </c>
      <c r="J734" s="120">
        <v>28486.855</v>
      </c>
      <c r="K734" s="120">
        <v>3.4066835387760425E-2</v>
      </c>
      <c r="L734" s="125">
        <v>3.4066835387760425E-2</v>
      </c>
      <c r="M734" s="125">
        <f>FCCL!F140</f>
        <v>3.4066835387760418E-2</v>
      </c>
      <c r="N734" s="126" t="str">
        <f t="shared" si="23"/>
        <v>PASS</v>
      </c>
      <c r="O734" s="122"/>
      <c r="P734" s="119" t="s">
        <v>459</v>
      </c>
    </row>
    <row r="735" spans="1:16" ht="25.95" customHeight="1" x14ac:dyDescent="0.3">
      <c r="A735" s="50" t="s">
        <v>114</v>
      </c>
      <c r="B735" s="50">
        <v>2023</v>
      </c>
      <c r="C735" s="50">
        <v>4</v>
      </c>
      <c r="D735" s="50" t="s">
        <v>201</v>
      </c>
      <c r="E735" s="50" t="s">
        <v>3545</v>
      </c>
      <c r="F735" s="121">
        <f>FCCL!F36-FCCL!F61</f>
        <v>-5352.3560000000034</v>
      </c>
      <c r="G735" s="121">
        <f>1</f>
        <v>1</v>
      </c>
      <c r="H735" s="121">
        <f t="shared" si="22"/>
        <v>-5352.3560000000034</v>
      </c>
      <c r="I735" s="121">
        <v>-5352.3559999999998</v>
      </c>
      <c r="J735" s="121">
        <v>1</v>
      </c>
      <c r="K735" s="121">
        <v>-5352.3559999999998</v>
      </c>
      <c r="L735" s="127" t="s">
        <v>3546</v>
      </c>
      <c r="M735" s="127" t="str">
        <f>FCCL!F141</f>
        <v>n/m</v>
      </c>
      <c r="N735" s="128" t="str">
        <f t="shared" si="23"/>
        <v>PASS</v>
      </c>
      <c r="O735" s="68" t="s">
        <v>3547</v>
      </c>
      <c r="P735" s="50" t="s">
        <v>459</v>
      </c>
    </row>
    <row r="736" spans="1:16" ht="25.95" customHeight="1" x14ac:dyDescent="0.3">
      <c r="A736" s="119" t="s">
        <v>114</v>
      </c>
      <c r="B736" s="119">
        <v>2023</v>
      </c>
      <c r="C736" s="119">
        <v>5</v>
      </c>
      <c r="D736" s="119" t="s">
        <v>923</v>
      </c>
      <c r="E736" s="119" t="s">
        <v>3545</v>
      </c>
      <c r="F736" s="120">
        <f>FCCL!F72-FCCL!F73</f>
        <v>10212.416999999998</v>
      </c>
      <c r="G736" s="120">
        <f>1</f>
        <v>1</v>
      </c>
      <c r="H736" s="120">
        <f t="shared" si="22"/>
        <v>10212.416999999998</v>
      </c>
      <c r="I736" s="120">
        <v>10212.417000000001</v>
      </c>
      <c r="J736" s="120">
        <v>1</v>
      </c>
      <c r="K736" s="120">
        <v>10212.417000000001</v>
      </c>
      <c r="L736" s="125">
        <v>10212.417000000001</v>
      </c>
      <c r="M736" s="125">
        <f>FCCL!F142</f>
        <v>10212.416999999998</v>
      </c>
      <c r="N736" s="126" t="str">
        <f t="shared" si="23"/>
        <v>PASS</v>
      </c>
      <c r="O736" s="122"/>
      <c r="P736" s="119" t="s">
        <v>459</v>
      </c>
    </row>
    <row r="737" spans="1:16" ht="25.95" customHeight="1" x14ac:dyDescent="0.3">
      <c r="A737" s="50" t="s">
        <v>114</v>
      </c>
      <c r="B737" s="50">
        <v>2023</v>
      </c>
      <c r="C737" s="50">
        <v>6</v>
      </c>
      <c r="D737" s="50" t="s">
        <v>31</v>
      </c>
      <c r="E737" s="50" t="s">
        <v>3544</v>
      </c>
      <c r="F737" s="121">
        <f>-FCCL!F85</f>
        <v>47650.809000000001</v>
      </c>
      <c r="G737" s="121">
        <f>AVERAGE(FCCL!E65,FCCL!F65)</f>
        <v>15380.188</v>
      </c>
      <c r="H737" s="121">
        <f t="shared" si="22"/>
        <v>3.0981941833220765</v>
      </c>
      <c r="I737" s="121">
        <v>47650.809000000001</v>
      </c>
      <c r="J737" s="121">
        <v>15380.188</v>
      </c>
      <c r="K737" s="121">
        <v>3.0981941833220765</v>
      </c>
      <c r="L737" s="127">
        <v>3.0981941833220765</v>
      </c>
      <c r="M737" s="127">
        <f>FCCL!F144</f>
        <v>3.0981941833220765</v>
      </c>
      <c r="N737" s="128" t="str">
        <f t="shared" si="23"/>
        <v>PASS</v>
      </c>
      <c r="O737" s="68"/>
      <c r="P737" s="50" t="s">
        <v>471</v>
      </c>
    </row>
    <row r="738" spans="1:16" ht="25.95" customHeight="1" x14ac:dyDescent="0.3">
      <c r="A738" s="119" t="s">
        <v>114</v>
      </c>
      <c r="B738" s="119">
        <v>2023</v>
      </c>
      <c r="C738" s="119">
        <v>7</v>
      </c>
      <c r="D738" s="119" t="s">
        <v>129</v>
      </c>
      <c r="E738" s="119" t="s">
        <v>3545</v>
      </c>
      <c r="F738" s="120">
        <f>FCCL!F84</f>
        <v>68069.282000000007</v>
      </c>
      <c r="G738" s="120">
        <f>AVERAGE(FCCL!E32,FCCL!F32)</f>
        <v>2992.6014999999998</v>
      </c>
      <c r="H738" s="120">
        <f t="shared" si="22"/>
        <v>22.745855737892271</v>
      </c>
      <c r="I738" s="120">
        <v>68069.282000000007</v>
      </c>
      <c r="J738" s="120">
        <v>2992.6014999999998</v>
      </c>
      <c r="K738" s="120">
        <v>22.745855737892271</v>
      </c>
      <c r="L738" s="125">
        <v>22.745855737892271</v>
      </c>
      <c r="M738" s="125">
        <f>FCCL!F145</f>
        <v>22.745855737892271</v>
      </c>
      <c r="N738" s="126" t="str">
        <f t="shared" si="23"/>
        <v>PASS</v>
      </c>
      <c r="O738" s="122"/>
      <c r="P738" s="119" t="s">
        <v>471</v>
      </c>
    </row>
    <row r="739" spans="1:16" ht="25.95" customHeight="1" x14ac:dyDescent="0.3">
      <c r="A739" s="50" t="s">
        <v>114</v>
      </c>
      <c r="B739" s="50">
        <v>2023</v>
      </c>
      <c r="C739" s="50">
        <v>8</v>
      </c>
      <c r="D739" s="50" t="s">
        <v>133</v>
      </c>
      <c r="E739" s="50" t="s">
        <v>3545</v>
      </c>
      <c r="F739" s="121">
        <f>-FCCL!F85</f>
        <v>47650.809000000001</v>
      </c>
      <c r="G739" s="121">
        <f>AVERAGE(FCCL!E51,FCCL!F51)</f>
        <v>2653.2759999999998</v>
      </c>
      <c r="H739" s="121">
        <f t="shared" si="22"/>
        <v>17.959235676951813</v>
      </c>
      <c r="I739" s="121">
        <v>47650.809000000001</v>
      </c>
      <c r="J739" s="121">
        <v>2653.2759999999998</v>
      </c>
      <c r="K739" s="121">
        <v>17.959235676951813</v>
      </c>
      <c r="L739" s="127">
        <v>17.959235676951813</v>
      </c>
      <c r="M739" s="127">
        <f>FCCL!F146</f>
        <v>17.959235676951813</v>
      </c>
      <c r="N739" s="128" t="str">
        <f t="shared" si="23"/>
        <v>PASS</v>
      </c>
      <c r="O739" s="68"/>
      <c r="P739" s="50" t="s">
        <v>471</v>
      </c>
    </row>
    <row r="740" spans="1:16" ht="25.95" customHeight="1" x14ac:dyDescent="0.3">
      <c r="A740" s="119" t="s">
        <v>114</v>
      </c>
      <c r="B740" s="119">
        <v>2023</v>
      </c>
      <c r="C740" s="119">
        <v>9</v>
      </c>
      <c r="D740" s="119" t="s">
        <v>134</v>
      </c>
      <c r="E740" s="119" t="s">
        <v>3545</v>
      </c>
      <c r="F740" s="120">
        <f>365*AVERAGE(FCCL!E65,FCCL!F65)</f>
        <v>5613768.6200000001</v>
      </c>
      <c r="G740" s="120">
        <f>-FCCL!F85</f>
        <v>47650.809000000001</v>
      </c>
      <c r="H740" s="120">
        <f t="shared" si="22"/>
        <v>117.81056267061489</v>
      </c>
      <c r="I740" s="120">
        <v>5613768.6200000001</v>
      </c>
      <c r="J740" s="120">
        <v>47650.809000000001</v>
      </c>
      <c r="K740" s="120">
        <v>117.81056267061489</v>
      </c>
      <c r="L740" s="125">
        <v>117.81056267061489</v>
      </c>
      <c r="M740" s="125">
        <f>FCCL!F147</f>
        <v>117.81056267061489</v>
      </c>
      <c r="N740" s="126" t="str">
        <f t="shared" si="23"/>
        <v>PASS</v>
      </c>
      <c r="O740" s="122"/>
      <c r="P740" s="119" t="s">
        <v>471</v>
      </c>
    </row>
    <row r="741" spans="1:16" ht="25.95" customHeight="1" x14ac:dyDescent="0.3">
      <c r="A741" s="50" t="s">
        <v>114</v>
      </c>
      <c r="B741" s="50">
        <v>2023</v>
      </c>
      <c r="C741" s="50">
        <v>10</v>
      </c>
      <c r="D741" s="50" t="s">
        <v>187</v>
      </c>
      <c r="E741" s="50" t="s">
        <v>3544</v>
      </c>
      <c r="F741" s="121">
        <f>365*AVERAGE(FCCL!E32,FCCL!F32)</f>
        <v>1092299.5474999999</v>
      </c>
      <c r="G741" s="121">
        <f>FCCL!F84</f>
        <v>68069.282000000007</v>
      </c>
      <c r="H741" s="121">
        <f t="shared" si="22"/>
        <v>16.046879229606091</v>
      </c>
      <c r="I741" s="121">
        <v>1092299.5474999999</v>
      </c>
      <c r="J741" s="121">
        <v>68069.282000000007</v>
      </c>
      <c r="K741" s="121">
        <v>16.046879229606091</v>
      </c>
      <c r="L741" s="127">
        <v>16.046879229606091</v>
      </c>
      <c r="M741" s="127">
        <f>FCCL!F148</f>
        <v>16.046879229606091</v>
      </c>
      <c r="N741" s="128" t="str">
        <f t="shared" si="23"/>
        <v>PASS</v>
      </c>
      <c r="O741" s="68"/>
      <c r="P741" s="50" t="s">
        <v>471</v>
      </c>
    </row>
    <row r="742" spans="1:16" ht="25.95" customHeight="1" x14ac:dyDescent="0.3">
      <c r="A742" s="119" t="s">
        <v>114</v>
      </c>
      <c r="B742" s="119">
        <v>2023</v>
      </c>
      <c r="C742" s="119">
        <v>11</v>
      </c>
      <c r="D742" s="119" t="s">
        <v>190</v>
      </c>
      <c r="E742" s="119" t="s">
        <v>3545</v>
      </c>
      <c r="F742" s="120">
        <f>365*AVERAGE(FCCL!E51,FCCL!F51)</f>
        <v>968445.74</v>
      </c>
      <c r="G742" s="120">
        <f>-FCCL!F85</f>
        <v>47650.809000000001</v>
      </c>
      <c r="H742" s="120">
        <f t="shared" si="22"/>
        <v>20.323804785769745</v>
      </c>
      <c r="I742" s="120">
        <v>968445.74</v>
      </c>
      <c r="J742" s="120">
        <v>47650.809000000001</v>
      </c>
      <c r="K742" s="120">
        <v>20.323804785769745</v>
      </c>
      <c r="L742" s="125">
        <v>20.323804785769745</v>
      </c>
      <c r="M742" s="125">
        <f>FCCL!F149</f>
        <v>20.323804785769745</v>
      </c>
      <c r="N742" s="126" t="str">
        <f t="shared" si="23"/>
        <v>PASS</v>
      </c>
      <c r="O742" s="122"/>
      <c r="P742" s="119" t="s">
        <v>471</v>
      </c>
    </row>
    <row r="743" spans="1:16" ht="25.95" customHeight="1" x14ac:dyDescent="0.3">
      <c r="A743" s="50" t="s">
        <v>114</v>
      </c>
      <c r="B743" s="50">
        <v>2023</v>
      </c>
      <c r="C743" s="50">
        <v>12</v>
      </c>
      <c r="D743" s="50" t="s">
        <v>192</v>
      </c>
      <c r="E743" s="50" t="s">
        <v>3545</v>
      </c>
      <c r="F743" s="121">
        <f>365*AVERAGE(FCCL!E65,FCCL!F65)/(-FCCL!F85)+365*AVERAGE(FCCL!E32,FCCL!F32)/FCCL!F84</f>
        <v>133.85744190022098</v>
      </c>
      <c r="G743" s="121">
        <f>1</f>
        <v>1</v>
      </c>
      <c r="H743" s="121">
        <f t="shared" si="22"/>
        <v>133.85744190022098</v>
      </c>
      <c r="I743" s="121">
        <v>133.85744190022098</v>
      </c>
      <c r="J743" s="121">
        <v>1</v>
      </c>
      <c r="K743" s="121">
        <v>133.85744190022098</v>
      </c>
      <c r="L743" s="127">
        <v>133.85744190022098</v>
      </c>
      <c r="M743" s="127">
        <f>FCCL!F150</f>
        <v>133.85744190022098</v>
      </c>
      <c r="N743" s="128" t="str">
        <f t="shared" si="23"/>
        <v>PASS</v>
      </c>
      <c r="O743" s="68"/>
      <c r="P743" s="50" t="s">
        <v>471</v>
      </c>
    </row>
    <row r="744" spans="1:16" ht="25.95" customHeight="1" x14ac:dyDescent="0.3">
      <c r="A744" s="119" t="s">
        <v>114</v>
      </c>
      <c r="B744" s="119">
        <v>2023</v>
      </c>
      <c r="C744" s="119">
        <v>13</v>
      </c>
      <c r="D744" s="119" t="s">
        <v>150</v>
      </c>
      <c r="E744" s="119" t="s">
        <v>3545</v>
      </c>
      <c r="F744" s="120">
        <f>365*AVERAGE(FCCL!E65,FCCL!F65)/(-FCCL!F85)+365*AVERAGE(FCCL!E32,FCCL!F32)/FCCL!F84-365*AVERAGE(FCCL!E51,FCCL!F51)/(-FCCL!F85)</f>
        <v>113.53363711445124</v>
      </c>
      <c r="G744" s="120">
        <f>1</f>
        <v>1</v>
      </c>
      <c r="H744" s="120">
        <f t="shared" si="22"/>
        <v>113.53363711445124</v>
      </c>
      <c r="I744" s="120">
        <v>113.53363711445124</v>
      </c>
      <c r="J744" s="120">
        <v>1</v>
      </c>
      <c r="K744" s="120">
        <v>113.53363711445124</v>
      </c>
      <c r="L744" s="125">
        <v>113.53363711445124</v>
      </c>
      <c r="M744" s="125">
        <f>FCCL!F151</f>
        <v>113.53363711445124</v>
      </c>
      <c r="N744" s="126" t="str">
        <f t="shared" si="23"/>
        <v>PASS</v>
      </c>
      <c r="O744" s="122"/>
      <c r="P744" s="119" t="s">
        <v>471</v>
      </c>
    </row>
    <row r="745" spans="1:16" ht="25.95" customHeight="1" x14ac:dyDescent="0.3">
      <c r="A745" s="50" t="s">
        <v>114</v>
      </c>
      <c r="B745" s="50">
        <v>2023</v>
      </c>
      <c r="C745" s="50">
        <v>14</v>
      </c>
      <c r="D745" s="50" t="s">
        <v>196</v>
      </c>
      <c r="E745" s="50" t="s">
        <v>3544</v>
      </c>
      <c r="F745" s="121">
        <f>FCCL!F84</f>
        <v>68069.282000000007</v>
      </c>
      <c r="G745" s="121">
        <f>AVERAGE(FCCL!E37,FCCL!F37)</f>
        <v>126263.28700000001</v>
      </c>
      <c r="H745" s="121">
        <f t="shared" si="22"/>
        <v>0.53910589227730144</v>
      </c>
      <c r="I745" s="121">
        <v>68069.282000000007</v>
      </c>
      <c r="J745" s="121">
        <v>126263.28700000001</v>
      </c>
      <c r="K745" s="121">
        <v>0.53910589227730144</v>
      </c>
      <c r="L745" s="127">
        <v>0.53910589227730144</v>
      </c>
      <c r="M745" s="127">
        <f>FCCL!F152</f>
        <v>0.53910589227730144</v>
      </c>
      <c r="N745" s="128" t="str">
        <f t="shared" si="23"/>
        <v>PASS</v>
      </c>
      <c r="O745" s="68"/>
      <c r="P745" s="50" t="s">
        <v>471</v>
      </c>
    </row>
    <row r="746" spans="1:16" ht="25.95" customHeight="1" x14ac:dyDescent="0.3">
      <c r="A746" s="119" t="s">
        <v>114</v>
      </c>
      <c r="B746" s="119">
        <v>2023</v>
      </c>
      <c r="C746" s="119">
        <v>15</v>
      </c>
      <c r="D746" s="119" t="s">
        <v>199</v>
      </c>
      <c r="E746" s="119" t="s">
        <v>3544</v>
      </c>
      <c r="F746" s="120">
        <f>FCCL!F84</f>
        <v>68069.282000000007</v>
      </c>
      <c r="G746" s="120">
        <f>AVERAGE(FCCL!E22,FCCL!F22)</f>
        <v>57109.076999999997</v>
      </c>
      <c r="H746" s="120">
        <f t="shared" si="22"/>
        <v>1.1919170397378338</v>
      </c>
      <c r="I746" s="120">
        <v>68069.282000000007</v>
      </c>
      <c r="J746" s="120">
        <v>57109.076999999997</v>
      </c>
      <c r="K746" s="120">
        <v>1.1919170397378338</v>
      </c>
      <c r="L746" s="125">
        <v>1.1919170397378338</v>
      </c>
      <c r="M746" s="125">
        <f>FCCL!F153</f>
        <v>1.1919170397378338</v>
      </c>
      <c r="N746" s="126" t="str">
        <f t="shared" si="23"/>
        <v>PASS</v>
      </c>
      <c r="O746" s="122"/>
      <c r="P746" s="119" t="s">
        <v>471</v>
      </c>
    </row>
    <row r="747" spans="1:16" ht="25.95" customHeight="1" x14ac:dyDescent="0.3">
      <c r="A747" s="50" t="s">
        <v>114</v>
      </c>
      <c r="B747" s="50">
        <v>2023</v>
      </c>
      <c r="C747" s="50">
        <v>16</v>
      </c>
      <c r="D747" s="50" t="s">
        <v>932</v>
      </c>
      <c r="E747" s="50" t="s">
        <v>3544</v>
      </c>
      <c r="F747" s="121">
        <f>FCCL!F62</f>
        <v>73652.760000000009</v>
      </c>
      <c r="G747" s="121">
        <f>FCCL!F37</f>
        <v>138828.497</v>
      </c>
      <c r="H747" s="121">
        <f t="shared" si="22"/>
        <v>0.53053055814614203</v>
      </c>
      <c r="I747" s="121">
        <v>73652.759999999995</v>
      </c>
      <c r="J747" s="121">
        <v>138828.497</v>
      </c>
      <c r="K747" s="121">
        <v>0.53053055814614192</v>
      </c>
      <c r="L747" s="127">
        <v>0.53053055814614192</v>
      </c>
      <c r="M747" s="127">
        <f>FCCL!F155</f>
        <v>0.53053055814614203</v>
      </c>
      <c r="N747" s="128" t="str">
        <f t="shared" si="23"/>
        <v>PASS</v>
      </c>
      <c r="O747" s="68"/>
      <c r="P747" s="50" t="s">
        <v>493</v>
      </c>
    </row>
    <row r="748" spans="1:16" ht="25.95" customHeight="1" x14ac:dyDescent="0.3">
      <c r="A748" s="119" t="s">
        <v>114</v>
      </c>
      <c r="B748" s="119">
        <v>2023</v>
      </c>
      <c r="C748" s="119">
        <v>17</v>
      </c>
      <c r="D748" s="119" t="s">
        <v>151</v>
      </c>
      <c r="E748" s="119" t="s">
        <v>3544</v>
      </c>
      <c r="F748" s="120">
        <f>FCCL!F62</f>
        <v>73652.760000000009</v>
      </c>
      <c r="G748" s="120">
        <f>FCCL!F41</f>
        <v>65175.736999999994</v>
      </c>
      <c r="H748" s="120">
        <f t="shared" si="22"/>
        <v>1.130064091181662</v>
      </c>
      <c r="I748" s="120">
        <v>73652.759999999995</v>
      </c>
      <c r="J748" s="120">
        <v>65175.736999999994</v>
      </c>
      <c r="K748" s="120">
        <v>1.1300640911816617</v>
      </c>
      <c r="L748" s="125">
        <v>1.1300640911816617</v>
      </c>
      <c r="M748" s="125">
        <f>FCCL!F156</f>
        <v>1.130064091181662</v>
      </c>
      <c r="N748" s="126" t="str">
        <f t="shared" si="23"/>
        <v>PASS</v>
      </c>
      <c r="O748" s="122"/>
      <c r="P748" s="119" t="s">
        <v>493</v>
      </c>
    </row>
    <row r="749" spans="1:16" ht="25.95" customHeight="1" x14ac:dyDescent="0.3">
      <c r="A749" s="50" t="s">
        <v>114</v>
      </c>
      <c r="B749" s="50">
        <v>2023</v>
      </c>
      <c r="C749" s="50">
        <v>18</v>
      </c>
      <c r="D749" s="50" t="s">
        <v>935</v>
      </c>
      <c r="E749" s="50" t="s">
        <v>3545</v>
      </c>
      <c r="F749" s="121">
        <f>FCCL!F66</f>
        <v>40653.996000000006</v>
      </c>
      <c r="G749" s="121">
        <f>FCCL!F66+FCCL!F41</f>
        <v>105829.73300000001</v>
      </c>
      <c r="H749" s="121">
        <f t="shared" si="22"/>
        <v>0.38414531386940193</v>
      </c>
      <c r="I749" s="121">
        <v>40653.995999999999</v>
      </c>
      <c r="J749" s="121">
        <v>105829.73299999999</v>
      </c>
      <c r="K749" s="121">
        <v>0.38414531386940193</v>
      </c>
      <c r="L749" s="127">
        <v>0.38414531386940193</v>
      </c>
      <c r="M749" s="127">
        <f>FCCL!F157</f>
        <v>0.38414531386940193</v>
      </c>
      <c r="N749" s="128" t="str">
        <f t="shared" si="23"/>
        <v>PASS</v>
      </c>
      <c r="O749" s="68"/>
      <c r="P749" s="50" t="s">
        <v>493</v>
      </c>
    </row>
    <row r="750" spans="1:16" ht="25.95" customHeight="1" x14ac:dyDescent="0.3">
      <c r="A750" s="119" t="s">
        <v>114</v>
      </c>
      <c r="B750" s="119">
        <v>2023</v>
      </c>
      <c r="C750" s="119">
        <v>19</v>
      </c>
      <c r="D750" s="119" t="s">
        <v>936</v>
      </c>
      <c r="E750" s="119" t="s">
        <v>3545</v>
      </c>
      <c r="F750" s="120">
        <f>FCCL!F67</f>
        <v>31896.059000000001</v>
      </c>
      <c r="G750" s="120">
        <f>FCCL!F37</f>
        <v>138828.497</v>
      </c>
      <c r="H750" s="120">
        <f t="shared" si="22"/>
        <v>0.22975152572601862</v>
      </c>
      <c r="I750" s="120">
        <v>31896.059000000001</v>
      </c>
      <c r="J750" s="120">
        <v>138828.497</v>
      </c>
      <c r="K750" s="120">
        <v>0.22975152572601862</v>
      </c>
      <c r="L750" s="125">
        <v>0.22975152572601862</v>
      </c>
      <c r="M750" s="125">
        <f>FCCL!F158</f>
        <v>0.22975152572601862</v>
      </c>
      <c r="N750" s="126" t="str">
        <f t="shared" si="23"/>
        <v>PASS</v>
      </c>
      <c r="O750" s="122"/>
      <c r="P750" s="119" t="s">
        <v>493</v>
      </c>
    </row>
    <row r="751" spans="1:16" ht="25.95" customHeight="1" x14ac:dyDescent="0.3">
      <c r="A751" s="50" t="s">
        <v>114</v>
      </c>
      <c r="B751" s="50">
        <v>2023</v>
      </c>
      <c r="C751" s="50">
        <v>20</v>
      </c>
      <c r="D751" s="50" t="s">
        <v>938</v>
      </c>
      <c r="E751" s="50" t="s">
        <v>3544</v>
      </c>
      <c r="F751" s="121">
        <f>FCCL!F108</f>
        <v>16545.374000000007</v>
      </c>
      <c r="G751" s="121">
        <f>FCCL!F106</f>
        <v>2624.81</v>
      </c>
      <c r="H751" s="121">
        <f t="shared" si="22"/>
        <v>6.3034558691867248</v>
      </c>
      <c r="I751" s="121">
        <v>16545.374000000007</v>
      </c>
      <c r="J751" s="121">
        <v>2624.81</v>
      </c>
      <c r="K751" s="121">
        <v>6.3034558691867248</v>
      </c>
      <c r="L751" s="127">
        <v>6.3034558691867248</v>
      </c>
      <c r="M751" s="127">
        <f>FCCL!F159</f>
        <v>6.3034558691867248</v>
      </c>
      <c r="N751" s="128" t="str">
        <f t="shared" si="23"/>
        <v>PASS</v>
      </c>
      <c r="O751" s="68"/>
      <c r="P751" s="50" t="s">
        <v>493</v>
      </c>
    </row>
    <row r="752" spans="1:16" ht="25.95" customHeight="1" x14ac:dyDescent="0.3">
      <c r="A752" s="119" t="s">
        <v>114</v>
      </c>
      <c r="B752" s="119">
        <v>2023</v>
      </c>
      <c r="C752" s="119">
        <v>21</v>
      </c>
      <c r="D752" s="119" t="s">
        <v>154</v>
      </c>
      <c r="E752" s="119" t="s">
        <v>3544</v>
      </c>
      <c r="F752" s="120">
        <f>FCCL!F86</f>
        <v>20418.473000000005</v>
      </c>
      <c r="G752" s="120">
        <f>FCCL!F84</f>
        <v>68069.282000000007</v>
      </c>
      <c r="H752" s="120">
        <f t="shared" si="22"/>
        <v>0.29996604048210768</v>
      </c>
      <c r="I752" s="120">
        <v>20418.473000000005</v>
      </c>
      <c r="J752" s="120">
        <v>68069.282000000007</v>
      </c>
      <c r="K752" s="120">
        <v>0.29996604048210768</v>
      </c>
      <c r="L752" s="125">
        <v>0.29996604048210768</v>
      </c>
      <c r="M752" s="125">
        <f>FCCL!F161</f>
        <v>0.29996604048210768</v>
      </c>
      <c r="N752" s="126" t="str">
        <f t="shared" si="23"/>
        <v>PASS</v>
      </c>
      <c r="O752" s="122"/>
      <c r="P752" s="119" t="s">
        <v>504</v>
      </c>
    </row>
    <row r="753" spans="1:16" ht="25.95" customHeight="1" x14ac:dyDescent="0.3">
      <c r="A753" s="50" t="s">
        <v>114</v>
      </c>
      <c r="B753" s="50">
        <v>2023</v>
      </c>
      <c r="C753" s="50">
        <v>22</v>
      </c>
      <c r="D753" s="50" t="s">
        <v>942</v>
      </c>
      <c r="E753" s="50" t="s">
        <v>3544</v>
      </c>
      <c r="F753" s="121">
        <f>FCCL!F91</f>
        <v>15581.499000000007</v>
      </c>
      <c r="G753" s="121">
        <f>FCCL!F84</f>
        <v>68069.282000000007</v>
      </c>
      <c r="H753" s="121">
        <f t="shared" si="22"/>
        <v>0.22890646914712581</v>
      </c>
      <c r="I753" s="121">
        <v>15581.499000000005</v>
      </c>
      <c r="J753" s="121">
        <v>68069.282000000007</v>
      </c>
      <c r="K753" s="121">
        <v>0.22890646914712579</v>
      </c>
      <c r="L753" s="127">
        <v>0.22890646914712579</v>
      </c>
      <c r="M753" s="127">
        <f>FCCL!F162</f>
        <v>0.22890646914712581</v>
      </c>
      <c r="N753" s="128" t="str">
        <f t="shared" si="23"/>
        <v>PASS</v>
      </c>
      <c r="O753" s="68"/>
      <c r="P753" s="50" t="s">
        <v>504</v>
      </c>
    </row>
    <row r="754" spans="1:16" ht="25.95" customHeight="1" x14ac:dyDescent="0.3">
      <c r="A754" s="119" t="s">
        <v>114</v>
      </c>
      <c r="B754" s="119">
        <v>2023</v>
      </c>
      <c r="C754" s="119">
        <v>23</v>
      </c>
      <c r="D754" s="119" t="s">
        <v>155</v>
      </c>
      <c r="E754" s="119" t="s">
        <v>3544</v>
      </c>
      <c r="F754" s="120">
        <f>FCCL!F99</f>
        <v>7439.6810000000078</v>
      </c>
      <c r="G754" s="120">
        <f>FCCL!F84</f>
        <v>68069.282000000007</v>
      </c>
      <c r="H754" s="120">
        <f t="shared" si="22"/>
        <v>0.10929571726641699</v>
      </c>
      <c r="I754" s="120">
        <v>7439.681000000006</v>
      </c>
      <c r="J754" s="120">
        <v>68069.282000000007</v>
      </c>
      <c r="K754" s="120">
        <v>0.10929571726641696</v>
      </c>
      <c r="L754" s="125">
        <v>0.10929571726641696</v>
      </c>
      <c r="M754" s="125">
        <f>FCCL!F163</f>
        <v>0.10929571726641699</v>
      </c>
      <c r="N754" s="126" t="str">
        <f t="shared" si="23"/>
        <v>PASS</v>
      </c>
      <c r="O754" s="122"/>
      <c r="P754" s="119" t="s">
        <v>504</v>
      </c>
    </row>
    <row r="755" spans="1:16" ht="25.95" customHeight="1" x14ac:dyDescent="0.3">
      <c r="A755" s="50" t="s">
        <v>114</v>
      </c>
      <c r="B755" s="50">
        <v>2023</v>
      </c>
      <c r="C755" s="50">
        <v>24</v>
      </c>
      <c r="D755" s="50" t="s">
        <v>136</v>
      </c>
      <c r="E755" s="50" t="s">
        <v>3544</v>
      </c>
      <c r="F755" s="121">
        <f>FCCL!F99</f>
        <v>7439.6810000000078</v>
      </c>
      <c r="G755" s="121">
        <f>AVERAGE(FCCL!E37,FCCL!F37)</f>
        <v>126263.28700000001</v>
      </c>
      <c r="H755" s="121">
        <f t="shared" si="22"/>
        <v>5.8921965178999398E-2</v>
      </c>
      <c r="I755" s="121">
        <v>7439.681000000006</v>
      </c>
      <c r="J755" s="121">
        <v>126263.28700000001</v>
      </c>
      <c r="K755" s="121">
        <v>5.8921965178999385E-2</v>
      </c>
      <c r="L755" s="127">
        <v>5.8921965178999385E-2</v>
      </c>
      <c r="M755" s="127">
        <f>FCCL!F164</f>
        <v>5.8921965178999398E-2</v>
      </c>
      <c r="N755" s="128" t="str">
        <f t="shared" si="23"/>
        <v>PASS</v>
      </c>
      <c r="O755" s="68"/>
      <c r="P755" s="50" t="s">
        <v>504</v>
      </c>
    </row>
    <row r="756" spans="1:16" ht="25.95" customHeight="1" x14ac:dyDescent="0.3">
      <c r="A756" s="119" t="s">
        <v>114</v>
      </c>
      <c r="B756" s="119">
        <v>2023</v>
      </c>
      <c r="C756" s="119">
        <v>25</v>
      </c>
      <c r="D756" s="119" t="s">
        <v>53</v>
      </c>
      <c r="E756" s="119" t="s">
        <v>3544</v>
      </c>
      <c r="F756" s="120">
        <f>FCCL!F99</f>
        <v>7439.6810000000078</v>
      </c>
      <c r="G756" s="120">
        <f>AVERAGE(FCCL!E41,FCCL!F41)</f>
        <v>61455.896499999995</v>
      </c>
      <c r="H756" s="120">
        <f t="shared" si="22"/>
        <v>0.12105723655011702</v>
      </c>
      <c r="I756" s="120">
        <v>7439.681000000006</v>
      </c>
      <c r="J756" s="120">
        <v>61455.896499999995</v>
      </c>
      <c r="K756" s="120">
        <v>0.12105723655011699</v>
      </c>
      <c r="L756" s="125">
        <v>0.12105723655011699</v>
      </c>
      <c r="M756" s="125">
        <f>FCCL!F165</f>
        <v>0.12105723655011702</v>
      </c>
      <c r="N756" s="126" t="str">
        <f t="shared" si="23"/>
        <v>PASS</v>
      </c>
      <c r="O756" s="122"/>
      <c r="P756" s="119" t="s">
        <v>504</v>
      </c>
    </row>
    <row r="757" spans="1:16" ht="25.95" customHeight="1" x14ac:dyDescent="0.3">
      <c r="A757" s="50" t="s">
        <v>114</v>
      </c>
      <c r="B757" s="50">
        <v>2023</v>
      </c>
      <c r="C757" s="50">
        <v>26</v>
      </c>
      <c r="D757" s="50" t="s">
        <v>944</v>
      </c>
      <c r="E757" s="50" t="s">
        <v>3545</v>
      </c>
      <c r="F757" s="121">
        <f>FCCL!F113</f>
        <v>9541.9584893192859</v>
      </c>
      <c r="G757" s="121">
        <f>AVERAGE(FCCL!E70,FCCL!F70)</f>
        <v>94741.709499999997</v>
      </c>
      <c r="H757" s="121">
        <f t="shared" si="22"/>
        <v>0.1007154983763438</v>
      </c>
      <c r="I757" s="121">
        <v>9541.9584893192841</v>
      </c>
      <c r="J757" s="121">
        <v>94741.709499999997</v>
      </c>
      <c r="K757" s="121">
        <v>0.10071549837634379</v>
      </c>
      <c r="L757" s="127">
        <v>0.10071549837634379</v>
      </c>
      <c r="M757" s="127">
        <f>FCCL!F166</f>
        <v>0.1007154983763438</v>
      </c>
      <c r="N757" s="128" t="str">
        <f t="shared" si="23"/>
        <v>PASS</v>
      </c>
      <c r="O757" s="68"/>
      <c r="P757" s="50" t="s">
        <v>504</v>
      </c>
    </row>
    <row r="758" spans="1:16" ht="25.95" customHeight="1" x14ac:dyDescent="0.3">
      <c r="A758" s="119" t="s">
        <v>114</v>
      </c>
      <c r="B758" s="119">
        <v>2023</v>
      </c>
      <c r="C758" s="119">
        <v>27</v>
      </c>
      <c r="D758" s="119" t="s">
        <v>945</v>
      </c>
      <c r="E758" s="119" t="s">
        <v>3545</v>
      </c>
      <c r="F758" s="120">
        <f>FCCL!F108</f>
        <v>16545.374000000007</v>
      </c>
      <c r="G758" s="120">
        <f>AVERAGE(FCCL!E37,FCCL!F37)</f>
        <v>126263.28700000001</v>
      </c>
      <c r="H758" s="120">
        <f t="shared" si="22"/>
        <v>0.13103867634936517</v>
      </c>
      <c r="I758" s="120">
        <v>16545.374000000007</v>
      </c>
      <c r="J758" s="120">
        <v>126263.28700000001</v>
      </c>
      <c r="K758" s="120">
        <v>0.13103867634936517</v>
      </c>
      <c r="L758" s="125">
        <v>0.13103867634936517</v>
      </c>
      <c r="M758" s="125">
        <f>FCCL!F167</f>
        <v>0.13103867634936517</v>
      </c>
      <c r="N758" s="126" t="str">
        <f t="shared" si="23"/>
        <v>PASS</v>
      </c>
      <c r="O758" s="122"/>
      <c r="P758" s="119" t="s">
        <v>504</v>
      </c>
    </row>
    <row r="759" spans="1:16" ht="25.95" customHeight="1" x14ac:dyDescent="0.3">
      <c r="A759" s="50" t="s">
        <v>114</v>
      </c>
      <c r="B759" s="50">
        <v>2023</v>
      </c>
      <c r="C759" s="50">
        <v>28</v>
      </c>
      <c r="D759" s="50" t="s">
        <v>139</v>
      </c>
      <c r="E759" s="50" t="s">
        <v>3545</v>
      </c>
      <c r="F759" s="121">
        <f>FCCL!F41</f>
        <v>65175.736999999994</v>
      </c>
      <c r="G759" s="121">
        <f>FCCL!F128</f>
        <v>2452.8476000000001</v>
      </c>
      <c r="H759" s="121">
        <f t="shared" si="22"/>
        <v>26.571458006604239</v>
      </c>
      <c r="I759" s="121">
        <v>65175.736999999994</v>
      </c>
      <c r="J759" s="121">
        <v>2452.8476000000001</v>
      </c>
      <c r="K759" s="121">
        <v>26.571458006604239</v>
      </c>
      <c r="L759" s="127">
        <v>26.571458006604239</v>
      </c>
      <c r="M759" s="127">
        <f>FCCL!F169</f>
        <v>26.571458006604239</v>
      </c>
      <c r="N759" s="128" t="str">
        <f t="shared" si="23"/>
        <v>PASS</v>
      </c>
      <c r="O759" s="68"/>
      <c r="P759" s="50" t="s">
        <v>519</v>
      </c>
    </row>
    <row r="760" spans="1:16" ht="25.95" customHeight="1" x14ac:dyDescent="0.3">
      <c r="A760" s="119" t="s">
        <v>114</v>
      </c>
      <c r="B760" s="119">
        <v>2023</v>
      </c>
      <c r="C760" s="119">
        <v>29</v>
      </c>
      <c r="D760" s="119" t="s">
        <v>162</v>
      </c>
      <c r="E760" s="119" t="s">
        <v>3544</v>
      </c>
      <c r="F760" s="120">
        <f>FCCL!F130</f>
        <v>11.76</v>
      </c>
      <c r="G760" s="120">
        <f>FCCL!F41/FCCL!F128</f>
        <v>26.571458006604239</v>
      </c>
      <c r="H760" s="120">
        <f t="shared" si="22"/>
        <v>0.44258015488186969</v>
      </c>
      <c r="I760" s="120">
        <v>11.76</v>
      </c>
      <c r="J760" s="120">
        <v>26.571458006604239</v>
      </c>
      <c r="K760" s="120">
        <v>0.44258015488186969</v>
      </c>
      <c r="L760" s="125">
        <v>0.44258015488186969</v>
      </c>
      <c r="M760" s="125">
        <f>FCCL!F170</f>
        <v>0.44258015488186969</v>
      </c>
      <c r="N760" s="126" t="str">
        <f t="shared" si="23"/>
        <v>PASS</v>
      </c>
      <c r="O760" s="122"/>
      <c r="P760" s="119" t="s">
        <v>519</v>
      </c>
    </row>
    <row r="761" spans="1:16" ht="25.95" customHeight="1" x14ac:dyDescent="0.3">
      <c r="A761" s="50" t="s">
        <v>114</v>
      </c>
      <c r="B761" s="50">
        <v>2023</v>
      </c>
      <c r="C761" s="50">
        <v>30</v>
      </c>
      <c r="D761" s="50" t="s">
        <v>143</v>
      </c>
      <c r="E761" s="50" t="s">
        <v>3544</v>
      </c>
      <c r="F761" s="121">
        <f>FCCL!F99</f>
        <v>7439.6810000000078</v>
      </c>
      <c r="G761" s="121">
        <f>FCCL!F129</f>
        <v>2452.8476000000001</v>
      </c>
      <c r="H761" s="121">
        <f t="shared" si="22"/>
        <v>3.0330791851886794</v>
      </c>
      <c r="I761" s="121">
        <v>7439.681000000006</v>
      </c>
      <c r="J761" s="121">
        <v>2452.8476000000001</v>
      </c>
      <c r="K761" s="121">
        <v>3.0330791851886785</v>
      </c>
      <c r="L761" s="127">
        <v>3.0330791851886785</v>
      </c>
      <c r="M761" s="127">
        <f>FCCL!F171</f>
        <v>3.0330791851886794</v>
      </c>
      <c r="N761" s="128" t="str">
        <f t="shared" si="23"/>
        <v>PASS</v>
      </c>
      <c r="O761" s="68"/>
      <c r="P761" s="50" t="s">
        <v>519</v>
      </c>
    </row>
    <row r="762" spans="1:16" ht="25.95" customHeight="1" x14ac:dyDescent="0.3">
      <c r="A762" s="119" t="s">
        <v>114</v>
      </c>
      <c r="B762" s="119">
        <v>2023</v>
      </c>
      <c r="C762" s="119">
        <v>31</v>
      </c>
      <c r="D762" s="119" t="s">
        <v>952</v>
      </c>
      <c r="E762" s="119" t="s">
        <v>3544</v>
      </c>
      <c r="F762" s="120">
        <f>FCCL!F130</f>
        <v>11.76</v>
      </c>
      <c r="G762" s="120">
        <f>FCCL!F99/FCCL!F129</f>
        <v>3.0330791851886794</v>
      </c>
      <c r="H762" s="120">
        <f t="shared" si="22"/>
        <v>3.877247932539039</v>
      </c>
      <c r="I762" s="120">
        <v>11.76</v>
      </c>
      <c r="J762" s="120">
        <v>3.0330791851886785</v>
      </c>
      <c r="K762" s="120">
        <v>3.8772479325390399</v>
      </c>
      <c r="L762" s="125">
        <v>3.8772479325390399</v>
      </c>
      <c r="M762" s="125">
        <f>FCCL!F172</f>
        <v>3.877247932539039</v>
      </c>
      <c r="N762" s="126" t="str">
        <f t="shared" si="23"/>
        <v>PASS</v>
      </c>
      <c r="O762" s="122"/>
      <c r="P762" s="119" t="s">
        <v>519</v>
      </c>
    </row>
    <row r="763" spans="1:16" ht="25.95" customHeight="1" x14ac:dyDescent="0.3">
      <c r="A763" s="50" t="s">
        <v>114</v>
      </c>
      <c r="B763" s="50">
        <v>2023</v>
      </c>
      <c r="C763" s="50">
        <v>32</v>
      </c>
      <c r="D763" s="50" t="s">
        <v>104</v>
      </c>
      <c r="E763" s="50" t="s">
        <v>3544</v>
      </c>
      <c r="F763" s="121">
        <f>FCCL!F131</f>
        <v>0</v>
      </c>
      <c r="G763" s="121">
        <f>FCCL!F130</f>
        <v>11.76</v>
      </c>
      <c r="H763" s="121">
        <f t="shared" si="22"/>
        <v>0</v>
      </c>
      <c r="I763" s="121">
        <v>0</v>
      </c>
      <c r="J763" s="121">
        <v>11.76</v>
      </c>
      <c r="K763" s="121">
        <v>0</v>
      </c>
      <c r="L763" s="127">
        <v>0</v>
      </c>
      <c r="M763" s="127">
        <f>FCCL!F173</f>
        <v>0</v>
      </c>
      <c r="N763" s="128" t="str">
        <f t="shared" si="23"/>
        <v>PASS</v>
      </c>
      <c r="O763" s="68"/>
      <c r="P763" s="50" t="s">
        <v>519</v>
      </c>
    </row>
    <row r="764" spans="1:16" ht="25.95" customHeight="1" x14ac:dyDescent="0.3">
      <c r="A764" s="119" t="s">
        <v>114</v>
      </c>
      <c r="B764" s="119">
        <v>2023</v>
      </c>
      <c r="C764" s="119">
        <v>33</v>
      </c>
      <c r="D764" s="119" t="s">
        <v>124</v>
      </c>
      <c r="E764" s="119" t="s">
        <v>3545</v>
      </c>
      <c r="F764" s="120">
        <f>FCCL!F131</f>
        <v>0</v>
      </c>
      <c r="G764" s="120">
        <f>FCCL!F99/FCCL!F129</f>
        <v>3.0330791851886794</v>
      </c>
      <c r="H764" s="120">
        <f t="shared" si="22"/>
        <v>0</v>
      </c>
      <c r="I764" s="120">
        <v>0</v>
      </c>
      <c r="J764" s="120">
        <v>3.0330791851886785</v>
      </c>
      <c r="K764" s="120">
        <v>0</v>
      </c>
      <c r="L764" s="125">
        <v>0</v>
      </c>
      <c r="M764" s="125">
        <f>FCCL!F174</f>
        <v>0</v>
      </c>
      <c r="N764" s="126" t="str">
        <f t="shared" si="23"/>
        <v>PASS</v>
      </c>
      <c r="O764" s="122"/>
      <c r="P764" s="119" t="s">
        <v>519</v>
      </c>
    </row>
    <row r="765" spans="1:16" ht="25.95" customHeight="1" x14ac:dyDescent="0.3">
      <c r="A765" s="50" t="s">
        <v>114</v>
      </c>
      <c r="B765" s="50">
        <v>2024</v>
      </c>
      <c r="C765" s="50">
        <v>1</v>
      </c>
      <c r="D765" s="50" t="s">
        <v>19</v>
      </c>
      <c r="E765" s="50" t="s">
        <v>3544</v>
      </c>
      <c r="F765" s="121">
        <f>FCCL!G36</f>
        <v>25784.071</v>
      </c>
      <c r="G765" s="121">
        <f>FCCL!G61</f>
        <v>26865.467000000004</v>
      </c>
      <c r="H765" s="121">
        <f t="shared" si="22"/>
        <v>0.95974773116730094</v>
      </c>
      <c r="I765" s="121">
        <v>25784.071</v>
      </c>
      <c r="J765" s="121">
        <v>26865.467000000001</v>
      </c>
      <c r="K765" s="121">
        <v>0.95974773116730105</v>
      </c>
      <c r="L765" s="127">
        <v>0.95974773116730105</v>
      </c>
      <c r="M765" s="127">
        <f>FCCL!G138</f>
        <v>0.95974773116730094</v>
      </c>
      <c r="N765" s="128" t="str">
        <f t="shared" si="23"/>
        <v>PASS</v>
      </c>
      <c r="O765" s="68"/>
      <c r="P765" s="50" t="s">
        <v>459</v>
      </c>
    </row>
    <row r="766" spans="1:16" ht="25.95" customHeight="1" x14ac:dyDescent="0.3">
      <c r="A766" s="119" t="s">
        <v>114</v>
      </c>
      <c r="B766" s="119">
        <v>2024</v>
      </c>
      <c r="C766" s="119">
        <v>2</v>
      </c>
      <c r="D766" s="119" t="s">
        <v>30</v>
      </c>
      <c r="E766" s="119" t="s">
        <v>3544</v>
      </c>
      <c r="F766" s="120">
        <f>FCCL!G36-FCCL!G65</f>
        <v>9189.2360000000008</v>
      </c>
      <c r="G766" s="120">
        <f>FCCL!G61</f>
        <v>26865.467000000004</v>
      </c>
      <c r="H766" s="120">
        <f t="shared" si="22"/>
        <v>0.3420463898878065</v>
      </c>
      <c r="I766" s="120">
        <v>9189.2360000000008</v>
      </c>
      <c r="J766" s="120">
        <v>26865.467000000001</v>
      </c>
      <c r="K766" s="120">
        <v>0.34204638988780656</v>
      </c>
      <c r="L766" s="125">
        <v>0.34204638988780656</v>
      </c>
      <c r="M766" s="125">
        <f>FCCL!G139</f>
        <v>0.3420463898878065</v>
      </c>
      <c r="N766" s="126" t="str">
        <f t="shared" si="23"/>
        <v>PASS</v>
      </c>
      <c r="O766" s="122"/>
      <c r="P766" s="119" t="s">
        <v>459</v>
      </c>
    </row>
    <row r="767" spans="1:16" ht="25.95" customHeight="1" x14ac:dyDescent="0.3">
      <c r="A767" s="50" t="s">
        <v>114</v>
      </c>
      <c r="B767" s="50">
        <v>2024</v>
      </c>
      <c r="C767" s="50">
        <v>3</v>
      </c>
      <c r="D767" s="50" t="s">
        <v>145</v>
      </c>
      <c r="E767" s="50" t="s">
        <v>3544</v>
      </c>
      <c r="F767" s="121">
        <f>FCCL!G34</f>
        <v>2932.9839999999999</v>
      </c>
      <c r="G767" s="121">
        <f>FCCL!G61</f>
        <v>26865.467000000004</v>
      </c>
      <c r="H767" s="121">
        <f t="shared" si="22"/>
        <v>0.10917301381732912</v>
      </c>
      <c r="I767" s="121">
        <v>2932.9839999999999</v>
      </c>
      <c r="J767" s="121">
        <v>26865.467000000001</v>
      </c>
      <c r="K767" s="121">
        <v>0.10917301381732913</v>
      </c>
      <c r="L767" s="127">
        <v>0.10917301381732913</v>
      </c>
      <c r="M767" s="127">
        <f>FCCL!G140</f>
        <v>0.10917301381732912</v>
      </c>
      <c r="N767" s="128" t="str">
        <f t="shared" si="23"/>
        <v>PASS</v>
      </c>
      <c r="O767" s="68"/>
      <c r="P767" s="50" t="s">
        <v>459</v>
      </c>
    </row>
    <row r="768" spans="1:16" ht="25.95" customHeight="1" x14ac:dyDescent="0.3">
      <c r="A768" s="119" t="s">
        <v>114</v>
      </c>
      <c r="B768" s="119">
        <v>2024</v>
      </c>
      <c r="C768" s="119">
        <v>4</v>
      </c>
      <c r="D768" s="119" t="s">
        <v>201</v>
      </c>
      <c r="E768" s="119" t="s">
        <v>3545</v>
      </c>
      <c r="F768" s="120">
        <f>FCCL!G36-FCCL!G61</f>
        <v>-1081.3960000000043</v>
      </c>
      <c r="G768" s="120">
        <f>1</f>
        <v>1</v>
      </c>
      <c r="H768" s="120">
        <f t="shared" si="22"/>
        <v>-1081.3960000000043</v>
      </c>
      <c r="I768" s="120">
        <v>-1081.3960000000006</v>
      </c>
      <c r="J768" s="120">
        <v>1</v>
      </c>
      <c r="K768" s="120">
        <v>-1081.3960000000006</v>
      </c>
      <c r="L768" s="125" t="s">
        <v>3546</v>
      </c>
      <c r="M768" s="125" t="str">
        <f>FCCL!G141</f>
        <v>n/m</v>
      </c>
      <c r="N768" s="126" t="str">
        <f t="shared" si="23"/>
        <v>PASS</v>
      </c>
      <c r="O768" s="122" t="s">
        <v>3547</v>
      </c>
      <c r="P768" s="119" t="s">
        <v>459</v>
      </c>
    </row>
    <row r="769" spans="1:16" ht="25.95" customHeight="1" x14ac:dyDescent="0.3">
      <c r="A769" s="50" t="s">
        <v>114</v>
      </c>
      <c r="B769" s="50">
        <v>2024</v>
      </c>
      <c r="C769" s="50">
        <v>5</v>
      </c>
      <c r="D769" s="50" t="s">
        <v>923</v>
      </c>
      <c r="E769" s="50" t="s">
        <v>3545</v>
      </c>
      <c r="F769" s="121">
        <f>FCCL!G72-FCCL!G73</f>
        <v>10303.164999999997</v>
      </c>
      <c r="G769" s="121">
        <f>1</f>
        <v>1</v>
      </c>
      <c r="H769" s="121">
        <f t="shared" si="22"/>
        <v>10303.164999999997</v>
      </c>
      <c r="I769" s="121">
        <v>10303.164999999999</v>
      </c>
      <c r="J769" s="121">
        <v>1</v>
      </c>
      <c r="K769" s="121">
        <v>10303.164999999999</v>
      </c>
      <c r="L769" s="127">
        <v>10303.164999999999</v>
      </c>
      <c r="M769" s="127">
        <f>FCCL!G142</f>
        <v>10303.164999999997</v>
      </c>
      <c r="N769" s="128" t="str">
        <f t="shared" si="23"/>
        <v>PASS</v>
      </c>
      <c r="O769" s="68"/>
      <c r="P769" s="50" t="s">
        <v>459</v>
      </c>
    </row>
    <row r="770" spans="1:16" ht="25.95" customHeight="1" x14ac:dyDescent="0.3">
      <c r="A770" s="119" t="s">
        <v>114</v>
      </c>
      <c r="B770" s="119">
        <v>2024</v>
      </c>
      <c r="C770" s="119">
        <v>6</v>
      </c>
      <c r="D770" s="119" t="s">
        <v>31</v>
      </c>
      <c r="E770" s="119" t="s">
        <v>3544</v>
      </c>
      <c r="F770" s="120">
        <f>-FCCL!G85</f>
        <v>54345.821000000004</v>
      </c>
      <c r="G770" s="120">
        <f>AVERAGE(FCCL!F65,FCCL!G65)</f>
        <v>15859.1715</v>
      </c>
      <c r="H770" s="120">
        <f t="shared" si="22"/>
        <v>3.4267755412065504</v>
      </c>
      <c r="I770" s="120">
        <v>54345.821000000004</v>
      </c>
      <c r="J770" s="120">
        <v>15859.1715</v>
      </c>
      <c r="K770" s="120">
        <v>3.4267755412065504</v>
      </c>
      <c r="L770" s="125">
        <v>3.4267755412065504</v>
      </c>
      <c r="M770" s="125">
        <f>FCCL!G144</f>
        <v>3.4267755412065504</v>
      </c>
      <c r="N770" s="126" t="str">
        <f t="shared" si="23"/>
        <v>PASS</v>
      </c>
      <c r="O770" s="122"/>
      <c r="P770" s="119" t="s">
        <v>471</v>
      </c>
    </row>
    <row r="771" spans="1:16" ht="25.95" customHeight="1" x14ac:dyDescent="0.3">
      <c r="A771" s="50" t="s">
        <v>114</v>
      </c>
      <c r="B771" s="50">
        <v>2024</v>
      </c>
      <c r="C771" s="50">
        <v>7</v>
      </c>
      <c r="D771" s="50" t="s">
        <v>129</v>
      </c>
      <c r="E771" s="50" t="s">
        <v>3545</v>
      </c>
      <c r="F771" s="121">
        <f>FCCL!G84</f>
        <v>80026.225999999995</v>
      </c>
      <c r="G771" s="121">
        <f>AVERAGE(FCCL!F32,FCCL!G32)</f>
        <v>4558.8429999999998</v>
      </c>
      <c r="H771" s="121">
        <f t="shared" si="22"/>
        <v>17.554064923929165</v>
      </c>
      <c r="I771" s="121">
        <v>80026.225999999995</v>
      </c>
      <c r="J771" s="121">
        <v>4558.8429999999998</v>
      </c>
      <c r="K771" s="121">
        <v>17.554064923929165</v>
      </c>
      <c r="L771" s="127">
        <v>17.554064923929165</v>
      </c>
      <c r="M771" s="127">
        <f>FCCL!G145</f>
        <v>17.554064923929165</v>
      </c>
      <c r="N771" s="128" t="str">
        <f t="shared" si="23"/>
        <v>PASS</v>
      </c>
      <c r="O771" s="68"/>
      <c r="P771" s="50" t="s">
        <v>471</v>
      </c>
    </row>
    <row r="772" spans="1:16" ht="25.95" customHeight="1" x14ac:dyDescent="0.3">
      <c r="A772" s="119" t="s">
        <v>114</v>
      </c>
      <c r="B772" s="119">
        <v>2024</v>
      </c>
      <c r="C772" s="119">
        <v>8</v>
      </c>
      <c r="D772" s="119" t="s">
        <v>133</v>
      </c>
      <c r="E772" s="119" t="s">
        <v>3545</v>
      </c>
      <c r="F772" s="120">
        <f>-FCCL!G85</f>
        <v>54345.821000000004</v>
      </c>
      <c r="G772" s="120">
        <f>AVERAGE(FCCL!F51,FCCL!G51)</f>
        <v>2675.0030000000002</v>
      </c>
      <c r="H772" s="120">
        <f t="shared" si="22"/>
        <v>20.316171981863199</v>
      </c>
      <c r="I772" s="120">
        <v>54345.821000000004</v>
      </c>
      <c r="J772" s="120">
        <v>2675.0030000000002</v>
      </c>
      <c r="K772" s="120">
        <v>20.316171981863199</v>
      </c>
      <c r="L772" s="125">
        <v>20.316171981863199</v>
      </c>
      <c r="M772" s="125">
        <f>FCCL!G146</f>
        <v>20.316171981863199</v>
      </c>
      <c r="N772" s="126" t="str">
        <f t="shared" si="23"/>
        <v>PASS</v>
      </c>
      <c r="O772" s="122"/>
      <c r="P772" s="119" t="s">
        <v>471</v>
      </c>
    </row>
    <row r="773" spans="1:16" ht="25.95" customHeight="1" x14ac:dyDescent="0.3">
      <c r="A773" s="50" t="s">
        <v>114</v>
      </c>
      <c r="B773" s="50">
        <v>2024</v>
      </c>
      <c r="C773" s="50">
        <v>9</v>
      </c>
      <c r="D773" s="50" t="s">
        <v>134</v>
      </c>
      <c r="E773" s="50" t="s">
        <v>3545</v>
      </c>
      <c r="F773" s="121">
        <f>365*AVERAGE(FCCL!F65,FCCL!G65)</f>
        <v>5788597.5975000001</v>
      </c>
      <c r="G773" s="121">
        <f>-FCCL!G85</f>
        <v>54345.821000000004</v>
      </c>
      <c r="H773" s="121">
        <f t="shared" si="22"/>
        <v>106.51412548353994</v>
      </c>
      <c r="I773" s="121">
        <v>5788597.5975000001</v>
      </c>
      <c r="J773" s="121">
        <v>54345.821000000004</v>
      </c>
      <c r="K773" s="121">
        <v>106.51412548353994</v>
      </c>
      <c r="L773" s="127">
        <v>106.51412548353994</v>
      </c>
      <c r="M773" s="127">
        <f>FCCL!G147</f>
        <v>106.51412548353994</v>
      </c>
      <c r="N773" s="128" t="str">
        <f t="shared" si="23"/>
        <v>PASS</v>
      </c>
      <c r="O773" s="68"/>
      <c r="P773" s="50" t="s">
        <v>471</v>
      </c>
    </row>
    <row r="774" spans="1:16" ht="25.95" customHeight="1" x14ac:dyDescent="0.3">
      <c r="A774" s="119" t="s">
        <v>114</v>
      </c>
      <c r="B774" s="119">
        <v>2024</v>
      </c>
      <c r="C774" s="119">
        <v>10</v>
      </c>
      <c r="D774" s="119" t="s">
        <v>187</v>
      </c>
      <c r="E774" s="119" t="s">
        <v>3544</v>
      </c>
      <c r="F774" s="120">
        <f>365*AVERAGE(FCCL!F32,FCCL!G32)</f>
        <v>1663977.6949999998</v>
      </c>
      <c r="G774" s="120">
        <f>FCCL!G84</f>
        <v>80026.225999999995</v>
      </c>
      <c r="H774" s="120">
        <f t="shared" ref="H774:H830" si="24">IF(G774&lt;=0,"n/m",F774/G774)</f>
        <v>20.792904753499183</v>
      </c>
      <c r="I774" s="120">
        <v>1663977.6949999998</v>
      </c>
      <c r="J774" s="120">
        <v>80026.225999999995</v>
      </c>
      <c r="K774" s="120">
        <v>20.792904753499183</v>
      </c>
      <c r="L774" s="125">
        <v>20.792904753499183</v>
      </c>
      <c r="M774" s="125">
        <f>FCCL!G148</f>
        <v>20.792904753499183</v>
      </c>
      <c r="N774" s="126" t="str">
        <f t="shared" ref="N774:N830" si="25">IF(AND(ABS(F774-I774)&lt;0.000001,ABS(G774-J774)&lt;0.000001,IF(ISNUMBER(L774),IF(ISNUMBER(M774),ABS(L774-M774)&lt;0.00000001,FALSE),M774=L774)),"PASS","FAIL")</f>
        <v>PASS</v>
      </c>
      <c r="O774" s="122"/>
      <c r="P774" s="119" t="s">
        <v>471</v>
      </c>
    </row>
    <row r="775" spans="1:16" ht="25.95" customHeight="1" x14ac:dyDescent="0.3">
      <c r="A775" s="50" t="s">
        <v>114</v>
      </c>
      <c r="B775" s="50">
        <v>2024</v>
      </c>
      <c r="C775" s="50">
        <v>11</v>
      </c>
      <c r="D775" s="50" t="s">
        <v>190</v>
      </c>
      <c r="E775" s="50" t="s">
        <v>3545</v>
      </c>
      <c r="F775" s="121">
        <f>365*AVERAGE(FCCL!F51,FCCL!G51)</f>
        <v>976376.09500000009</v>
      </c>
      <c r="G775" s="121">
        <f>-FCCL!G85</f>
        <v>54345.821000000004</v>
      </c>
      <c r="H775" s="121">
        <f t="shared" si="24"/>
        <v>17.96598297778959</v>
      </c>
      <c r="I775" s="121">
        <v>976376.09500000009</v>
      </c>
      <c r="J775" s="121">
        <v>54345.821000000004</v>
      </c>
      <c r="K775" s="121">
        <v>17.96598297778959</v>
      </c>
      <c r="L775" s="127">
        <v>17.96598297778959</v>
      </c>
      <c r="M775" s="127">
        <f>FCCL!G149</f>
        <v>17.96598297778959</v>
      </c>
      <c r="N775" s="128" t="str">
        <f t="shared" si="25"/>
        <v>PASS</v>
      </c>
      <c r="O775" s="68"/>
      <c r="P775" s="50" t="s">
        <v>471</v>
      </c>
    </row>
    <row r="776" spans="1:16" ht="25.95" customHeight="1" x14ac:dyDescent="0.3">
      <c r="A776" s="119" t="s">
        <v>114</v>
      </c>
      <c r="B776" s="119">
        <v>2024</v>
      </c>
      <c r="C776" s="119">
        <v>12</v>
      </c>
      <c r="D776" s="119" t="s">
        <v>192</v>
      </c>
      <c r="E776" s="119" t="s">
        <v>3545</v>
      </c>
      <c r="F776" s="120">
        <f>365*AVERAGE(FCCL!F65,FCCL!G65)/(-FCCL!G85)+365*AVERAGE(FCCL!F32,FCCL!G32)/FCCL!G84</f>
        <v>127.30703023703913</v>
      </c>
      <c r="G776" s="120">
        <f>1</f>
        <v>1</v>
      </c>
      <c r="H776" s="120">
        <f t="shared" si="24"/>
        <v>127.30703023703913</v>
      </c>
      <c r="I776" s="120">
        <v>127.30703023703913</v>
      </c>
      <c r="J776" s="120">
        <v>1</v>
      </c>
      <c r="K776" s="120">
        <v>127.30703023703913</v>
      </c>
      <c r="L776" s="125">
        <v>127.30703023703913</v>
      </c>
      <c r="M776" s="125">
        <f>FCCL!G150</f>
        <v>127.30703023703913</v>
      </c>
      <c r="N776" s="126" t="str">
        <f t="shared" si="25"/>
        <v>PASS</v>
      </c>
      <c r="O776" s="122"/>
      <c r="P776" s="119" t="s">
        <v>471</v>
      </c>
    </row>
    <row r="777" spans="1:16" ht="25.95" customHeight="1" x14ac:dyDescent="0.3">
      <c r="A777" s="50" t="s">
        <v>114</v>
      </c>
      <c r="B777" s="50">
        <v>2024</v>
      </c>
      <c r="C777" s="50">
        <v>13</v>
      </c>
      <c r="D777" s="50" t="s">
        <v>150</v>
      </c>
      <c r="E777" s="50" t="s">
        <v>3545</v>
      </c>
      <c r="F777" s="121">
        <f>365*AVERAGE(FCCL!F65,FCCL!G65)/(-FCCL!G85)+365*AVERAGE(FCCL!F32,FCCL!G32)/FCCL!G84-365*AVERAGE(FCCL!F51,FCCL!G51)/(-FCCL!G85)</f>
        <v>109.34104725924954</v>
      </c>
      <c r="G777" s="121">
        <f>1</f>
        <v>1</v>
      </c>
      <c r="H777" s="121">
        <f t="shared" si="24"/>
        <v>109.34104725924954</v>
      </c>
      <c r="I777" s="121">
        <v>109.34104725924954</v>
      </c>
      <c r="J777" s="121">
        <v>1</v>
      </c>
      <c r="K777" s="121">
        <v>109.34104725924954</v>
      </c>
      <c r="L777" s="127">
        <v>109.34104725924954</v>
      </c>
      <c r="M777" s="127">
        <f>FCCL!G151</f>
        <v>109.34104725924954</v>
      </c>
      <c r="N777" s="128" t="str">
        <f t="shared" si="25"/>
        <v>PASS</v>
      </c>
      <c r="O777" s="68"/>
      <c r="P777" s="50" t="s">
        <v>471</v>
      </c>
    </row>
    <row r="778" spans="1:16" ht="25.95" customHeight="1" x14ac:dyDescent="0.3">
      <c r="A778" s="119" t="s">
        <v>114</v>
      </c>
      <c r="B778" s="119">
        <v>2024</v>
      </c>
      <c r="C778" s="119">
        <v>14</v>
      </c>
      <c r="D778" s="119" t="s">
        <v>196</v>
      </c>
      <c r="E778" s="119" t="s">
        <v>3544</v>
      </c>
      <c r="F778" s="120">
        <f>FCCL!G84</f>
        <v>80026.225999999995</v>
      </c>
      <c r="G778" s="120">
        <f>AVERAGE(FCCL!F37,FCCL!G37)</f>
        <v>143232.39799999999</v>
      </c>
      <c r="H778" s="120">
        <f t="shared" si="24"/>
        <v>0.55871595475208058</v>
      </c>
      <c r="I778" s="120">
        <v>80026.225999999995</v>
      </c>
      <c r="J778" s="120">
        <v>143232.39799999999</v>
      </c>
      <c r="K778" s="120">
        <v>0.55871595475208058</v>
      </c>
      <c r="L778" s="125">
        <v>0.55871595475208058</v>
      </c>
      <c r="M778" s="125">
        <f>FCCL!G152</f>
        <v>0.55871595475208058</v>
      </c>
      <c r="N778" s="126" t="str">
        <f t="shared" si="25"/>
        <v>PASS</v>
      </c>
      <c r="O778" s="122"/>
      <c r="P778" s="119" t="s">
        <v>471</v>
      </c>
    </row>
    <row r="779" spans="1:16" ht="25.95" customHeight="1" x14ac:dyDescent="0.3">
      <c r="A779" s="50" t="s">
        <v>114</v>
      </c>
      <c r="B779" s="50">
        <v>2024</v>
      </c>
      <c r="C779" s="50">
        <v>15</v>
      </c>
      <c r="D779" s="50" t="s">
        <v>199</v>
      </c>
      <c r="E779" s="50" t="s">
        <v>3544</v>
      </c>
      <c r="F779" s="121">
        <f>FCCL!G84</f>
        <v>80026.225999999995</v>
      </c>
      <c r="G779" s="121">
        <f>AVERAGE(FCCL!F22,FCCL!G22)</f>
        <v>90019.759499999986</v>
      </c>
      <c r="H779" s="121">
        <f t="shared" si="24"/>
        <v>0.88898511220750387</v>
      </c>
      <c r="I779" s="121">
        <v>80026.225999999995</v>
      </c>
      <c r="J779" s="121">
        <v>90019.759499999986</v>
      </c>
      <c r="K779" s="121">
        <v>0.88898511220750387</v>
      </c>
      <c r="L779" s="127">
        <v>0.88898511220750387</v>
      </c>
      <c r="M779" s="127">
        <f>FCCL!G153</f>
        <v>0.88898511220750387</v>
      </c>
      <c r="N779" s="128" t="str">
        <f t="shared" si="25"/>
        <v>PASS</v>
      </c>
      <c r="O779" s="68"/>
      <c r="P779" s="50" t="s">
        <v>471</v>
      </c>
    </row>
    <row r="780" spans="1:16" ht="25.95" customHeight="1" x14ac:dyDescent="0.3">
      <c r="A780" s="119" t="s">
        <v>114</v>
      </c>
      <c r="B780" s="119">
        <v>2024</v>
      </c>
      <c r="C780" s="119">
        <v>16</v>
      </c>
      <c r="D780" s="119" t="s">
        <v>932</v>
      </c>
      <c r="E780" s="119" t="s">
        <v>3544</v>
      </c>
      <c r="F780" s="120">
        <f>FCCL!G62</f>
        <v>74237.446000000011</v>
      </c>
      <c r="G780" s="120">
        <f>FCCL!G37</f>
        <v>147636.299</v>
      </c>
      <c r="H780" s="120">
        <f t="shared" si="24"/>
        <v>0.5028400637434024</v>
      </c>
      <c r="I780" s="120">
        <v>74237.445999999996</v>
      </c>
      <c r="J780" s="120">
        <v>147636.299</v>
      </c>
      <c r="K780" s="120">
        <v>0.50284006374340229</v>
      </c>
      <c r="L780" s="125">
        <v>0.50284006374340229</v>
      </c>
      <c r="M780" s="125">
        <f>FCCL!G155</f>
        <v>0.5028400637434024</v>
      </c>
      <c r="N780" s="126" t="str">
        <f t="shared" si="25"/>
        <v>PASS</v>
      </c>
      <c r="O780" s="122"/>
      <c r="P780" s="119" t="s">
        <v>493</v>
      </c>
    </row>
    <row r="781" spans="1:16" ht="25.95" customHeight="1" x14ac:dyDescent="0.3">
      <c r="A781" s="50" t="s">
        <v>114</v>
      </c>
      <c r="B781" s="50">
        <v>2024</v>
      </c>
      <c r="C781" s="50">
        <v>17</v>
      </c>
      <c r="D781" s="50" t="s">
        <v>151</v>
      </c>
      <c r="E781" s="50" t="s">
        <v>3544</v>
      </c>
      <c r="F781" s="121">
        <f>FCCL!G62</f>
        <v>74237.446000000011</v>
      </c>
      <c r="G781" s="121">
        <f>FCCL!G41</f>
        <v>73398.853000000003</v>
      </c>
      <c r="H781" s="121">
        <f t="shared" si="24"/>
        <v>1.0114251512894896</v>
      </c>
      <c r="I781" s="121">
        <v>74237.445999999996</v>
      </c>
      <c r="J781" s="121">
        <v>73398.853000000003</v>
      </c>
      <c r="K781" s="121">
        <v>1.0114251512894894</v>
      </c>
      <c r="L781" s="127">
        <v>1.0114251512894894</v>
      </c>
      <c r="M781" s="127">
        <f>FCCL!G156</f>
        <v>1.0114251512894896</v>
      </c>
      <c r="N781" s="128" t="str">
        <f t="shared" si="25"/>
        <v>PASS</v>
      </c>
      <c r="O781" s="68"/>
      <c r="P781" s="50" t="s">
        <v>493</v>
      </c>
    </row>
    <row r="782" spans="1:16" ht="25.95" customHeight="1" x14ac:dyDescent="0.3">
      <c r="A782" s="119" t="s">
        <v>114</v>
      </c>
      <c r="B782" s="119">
        <v>2024</v>
      </c>
      <c r="C782" s="119">
        <v>18</v>
      </c>
      <c r="D782" s="119" t="s">
        <v>935</v>
      </c>
      <c r="E782" s="119" t="s">
        <v>3545</v>
      </c>
      <c r="F782" s="120">
        <f>FCCL!G66</f>
        <v>36589.749000000003</v>
      </c>
      <c r="G782" s="120">
        <f>FCCL!G66+FCCL!G41</f>
        <v>109988.60200000001</v>
      </c>
      <c r="H782" s="120">
        <f t="shared" si="24"/>
        <v>0.33266855232872222</v>
      </c>
      <c r="I782" s="120">
        <v>36589.749000000003</v>
      </c>
      <c r="J782" s="120">
        <v>109988.60200000001</v>
      </c>
      <c r="K782" s="120">
        <v>0.33266855232872222</v>
      </c>
      <c r="L782" s="125">
        <v>0.33266855232872222</v>
      </c>
      <c r="M782" s="125">
        <f>FCCL!G157</f>
        <v>0.33266855232872222</v>
      </c>
      <c r="N782" s="126" t="str">
        <f t="shared" si="25"/>
        <v>PASS</v>
      </c>
      <c r="O782" s="122"/>
      <c r="P782" s="119" t="s">
        <v>493</v>
      </c>
    </row>
    <row r="783" spans="1:16" ht="25.95" customHeight="1" x14ac:dyDescent="0.3">
      <c r="A783" s="50" t="s">
        <v>114</v>
      </c>
      <c r="B783" s="50">
        <v>2024</v>
      </c>
      <c r="C783" s="50">
        <v>19</v>
      </c>
      <c r="D783" s="50" t="s">
        <v>936</v>
      </c>
      <c r="E783" s="50" t="s">
        <v>3545</v>
      </c>
      <c r="F783" s="121">
        <f>FCCL!G67</f>
        <v>30025.741000000002</v>
      </c>
      <c r="G783" s="121">
        <f>FCCL!G37</f>
        <v>147636.299</v>
      </c>
      <c r="H783" s="121">
        <f t="shared" si="24"/>
        <v>0.203376413547186</v>
      </c>
      <c r="I783" s="121">
        <v>30025.741000000002</v>
      </c>
      <c r="J783" s="121">
        <v>147636.299</v>
      </c>
      <c r="K783" s="121">
        <v>0.203376413547186</v>
      </c>
      <c r="L783" s="127">
        <v>0.203376413547186</v>
      </c>
      <c r="M783" s="127">
        <f>FCCL!G158</f>
        <v>0.203376413547186</v>
      </c>
      <c r="N783" s="128" t="str">
        <f t="shared" si="25"/>
        <v>PASS</v>
      </c>
      <c r="O783" s="68"/>
      <c r="P783" s="50" t="s">
        <v>493</v>
      </c>
    </row>
    <row r="784" spans="1:16" ht="25.95" customHeight="1" x14ac:dyDescent="0.3">
      <c r="A784" s="119" t="s">
        <v>114</v>
      </c>
      <c r="B784" s="119">
        <v>2024</v>
      </c>
      <c r="C784" s="119">
        <v>20</v>
      </c>
      <c r="D784" s="119" t="s">
        <v>938</v>
      </c>
      <c r="E784" s="119" t="s">
        <v>3544</v>
      </c>
      <c r="F784" s="120">
        <f>FCCL!G108</f>
        <v>20891.251999999993</v>
      </c>
      <c r="G784" s="120">
        <f>FCCL!G106</f>
        <v>5523.7370000000001</v>
      </c>
      <c r="H784" s="120">
        <f t="shared" si="24"/>
        <v>3.7820866561894588</v>
      </c>
      <c r="I784" s="120">
        <v>20891.251999999989</v>
      </c>
      <c r="J784" s="120">
        <v>5523.7370000000001</v>
      </c>
      <c r="K784" s="120">
        <v>3.7820866561894584</v>
      </c>
      <c r="L784" s="125">
        <v>3.7820866561894584</v>
      </c>
      <c r="M784" s="125">
        <f>FCCL!G159</f>
        <v>3.7820866561894588</v>
      </c>
      <c r="N784" s="126" t="str">
        <f t="shared" si="25"/>
        <v>PASS</v>
      </c>
      <c r="O784" s="122"/>
      <c r="P784" s="119" t="s">
        <v>493</v>
      </c>
    </row>
    <row r="785" spans="1:16" ht="25.95" customHeight="1" x14ac:dyDescent="0.3">
      <c r="A785" s="50" t="s">
        <v>114</v>
      </c>
      <c r="B785" s="50">
        <v>2024</v>
      </c>
      <c r="C785" s="50">
        <v>21</v>
      </c>
      <c r="D785" s="50" t="s">
        <v>154</v>
      </c>
      <c r="E785" s="50" t="s">
        <v>3544</v>
      </c>
      <c r="F785" s="121">
        <f>FCCL!G86</f>
        <v>25680.404999999992</v>
      </c>
      <c r="G785" s="121">
        <f>FCCL!G84</f>
        <v>80026.225999999995</v>
      </c>
      <c r="H785" s="121">
        <f t="shared" si="24"/>
        <v>0.32089986350224731</v>
      </c>
      <c r="I785" s="121">
        <v>25680.404999999992</v>
      </c>
      <c r="J785" s="121">
        <v>80026.225999999995</v>
      </c>
      <c r="K785" s="121">
        <v>0.32089986350224731</v>
      </c>
      <c r="L785" s="127">
        <v>0.32089986350224731</v>
      </c>
      <c r="M785" s="127">
        <f>FCCL!G161</f>
        <v>0.32089986350224731</v>
      </c>
      <c r="N785" s="128" t="str">
        <f t="shared" si="25"/>
        <v>PASS</v>
      </c>
      <c r="O785" s="68"/>
      <c r="P785" s="50" t="s">
        <v>504</v>
      </c>
    </row>
    <row r="786" spans="1:16" ht="25.95" customHeight="1" x14ac:dyDescent="0.3">
      <c r="A786" s="119" t="s">
        <v>114</v>
      </c>
      <c r="B786" s="119">
        <v>2024</v>
      </c>
      <c r="C786" s="119">
        <v>22</v>
      </c>
      <c r="D786" s="119" t="s">
        <v>942</v>
      </c>
      <c r="E786" s="119" t="s">
        <v>3544</v>
      </c>
      <c r="F786" s="120">
        <f>FCCL!G91</f>
        <v>20051.560999999994</v>
      </c>
      <c r="G786" s="120">
        <f>FCCL!G84</f>
        <v>80026.225999999995</v>
      </c>
      <c r="H786" s="120">
        <f t="shared" si="24"/>
        <v>0.25056237189043495</v>
      </c>
      <c r="I786" s="120">
        <v>20051.560999999991</v>
      </c>
      <c r="J786" s="120">
        <v>80026.225999999995</v>
      </c>
      <c r="K786" s="120">
        <v>0.2505623718904349</v>
      </c>
      <c r="L786" s="125">
        <v>0.2505623718904349</v>
      </c>
      <c r="M786" s="125">
        <f>FCCL!G162</f>
        <v>0.25056237189043495</v>
      </c>
      <c r="N786" s="126" t="str">
        <f t="shared" si="25"/>
        <v>PASS</v>
      </c>
      <c r="O786" s="122"/>
      <c r="P786" s="119" t="s">
        <v>504</v>
      </c>
    </row>
    <row r="787" spans="1:16" ht="25.95" customHeight="1" x14ac:dyDescent="0.3">
      <c r="A787" s="50" t="s">
        <v>114</v>
      </c>
      <c r="B787" s="50">
        <v>2024</v>
      </c>
      <c r="C787" s="50">
        <v>23</v>
      </c>
      <c r="D787" s="50" t="s">
        <v>155</v>
      </c>
      <c r="E787" s="50" t="s">
        <v>3544</v>
      </c>
      <c r="F787" s="121">
        <f>FCCL!G99</f>
        <v>8223.1159999999945</v>
      </c>
      <c r="G787" s="121">
        <f>FCCL!G84</f>
        <v>80026.225999999995</v>
      </c>
      <c r="H787" s="121">
        <f t="shared" si="24"/>
        <v>0.10275526425549537</v>
      </c>
      <c r="I787" s="121">
        <v>8223.1159999999909</v>
      </c>
      <c r="J787" s="121">
        <v>80026.225999999995</v>
      </c>
      <c r="K787" s="121">
        <v>0.10275526425549533</v>
      </c>
      <c r="L787" s="127">
        <v>0.10275526425549533</v>
      </c>
      <c r="M787" s="127">
        <f>FCCL!G163</f>
        <v>0.10275526425549537</v>
      </c>
      <c r="N787" s="128" t="str">
        <f t="shared" si="25"/>
        <v>PASS</v>
      </c>
      <c r="O787" s="68"/>
      <c r="P787" s="50" t="s">
        <v>504</v>
      </c>
    </row>
    <row r="788" spans="1:16" ht="25.95" customHeight="1" x14ac:dyDescent="0.3">
      <c r="A788" s="119" t="s">
        <v>114</v>
      </c>
      <c r="B788" s="119">
        <v>2024</v>
      </c>
      <c r="C788" s="119">
        <v>24</v>
      </c>
      <c r="D788" s="119" t="s">
        <v>136</v>
      </c>
      <c r="E788" s="119" t="s">
        <v>3544</v>
      </c>
      <c r="F788" s="120">
        <f>FCCL!G99</f>
        <v>8223.1159999999945</v>
      </c>
      <c r="G788" s="120">
        <f>AVERAGE(FCCL!F37,FCCL!G37)</f>
        <v>143232.39799999999</v>
      </c>
      <c r="H788" s="120">
        <f t="shared" si="24"/>
        <v>5.7411005574311447E-2</v>
      </c>
      <c r="I788" s="120">
        <v>8223.1159999999909</v>
      </c>
      <c r="J788" s="120">
        <v>143232.39799999999</v>
      </c>
      <c r="K788" s="120">
        <v>5.7411005574311419E-2</v>
      </c>
      <c r="L788" s="125">
        <v>5.7411005574311419E-2</v>
      </c>
      <c r="M788" s="125">
        <f>FCCL!G164</f>
        <v>5.7411005574311447E-2</v>
      </c>
      <c r="N788" s="126" t="str">
        <f t="shared" si="25"/>
        <v>PASS</v>
      </c>
      <c r="O788" s="122"/>
      <c r="P788" s="119" t="s">
        <v>504</v>
      </c>
    </row>
    <row r="789" spans="1:16" ht="25.95" customHeight="1" x14ac:dyDescent="0.3">
      <c r="A789" s="50" t="s">
        <v>114</v>
      </c>
      <c r="B789" s="50">
        <v>2024</v>
      </c>
      <c r="C789" s="50">
        <v>25</v>
      </c>
      <c r="D789" s="50" t="s">
        <v>53</v>
      </c>
      <c r="E789" s="50" t="s">
        <v>3544</v>
      </c>
      <c r="F789" s="121">
        <f>FCCL!G99</f>
        <v>8223.1159999999945</v>
      </c>
      <c r="G789" s="121">
        <f>AVERAGE(FCCL!F41,FCCL!G41)</f>
        <v>69287.294999999998</v>
      </c>
      <c r="H789" s="121">
        <f t="shared" si="24"/>
        <v>0.11868144080382984</v>
      </c>
      <c r="I789" s="121">
        <v>8223.1159999999909</v>
      </c>
      <c r="J789" s="121">
        <v>69287.294999999998</v>
      </c>
      <c r="K789" s="121">
        <v>0.11868144080382978</v>
      </c>
      <c r="L789" s="127">
        <v>0.11868144080382978</v>
      </c>
      <c r="M789" s="127">
        <f>FCCL!G165</f>
        <v>0.11868144080382984</v>
      </c>
      <c r="N789" s="128" t="str">
        <f t="shared" si="25"/>
        <v>PASS</v>
      </c>
      <c r="O789" s="68"/>
      <c r="P789" s="50" t="s">
        <v>504</v>
      </c>
    </row>
    <row r="790" spans="1:16" ht="25.95" customHeight="1" x14ac:dyDescent="0.3">
      <c r="A790" s="119" t="s">
        <v>114</v>
      </c>
      <c r="B790" s="119">
        <v>2024</v>
      </c>
      <c r="C790" s="119">
        <v>26</v>
      </c>
      <c r="D790" s="119" t="s">
        <v>944</v>
      </c>
      <c r="E790" s="119" t="s">
        <v>3545</v>
      </c>
      <c r="F790" s="120">
        <f>FCCL!G113</f>
        <v>11187.997605283083</v>
      </c>
      <c r="G790" s="120">
        <f>AVERAGE(FCCL!F70,FCCL!G70)</f>
        <v>107909.16750000001</v>
      </c>
      <c r="H790" s="120">
        <f t="shared" si="24"/>
        <v>0.10367976942536491</v>
      </c>
      <c r="I790" s="120">
        <v>11187.997605283079</v>
      </c>
      <c r="J790" s="120">
        <v>107909.16750000001</v>
      </c>
      <c r="K790" s="120">
        <v>0.10367976942536489</v>
      </c>
      <c r="L790" s="125">
        <v>0.10367976942536489</v>
      </c>
      <c r="M790" s="125">
        <f>FCCL!G166</f>
        <v>0.10367976942536491</v>
      </c>
      <c r="N790" s="126" t="str">
        <f t="shared" si="25"/>
        <v>PASS</v>
      </c>
      <c r="O790" s="122"/>
      <c r="P790" s="119" t="s">
        <v>504</v>
      </c>
    </row>
    <row r="791" spans="1:16" ht="25.95" customHeight="1" x14ac:dyDescent="0.3">
      <c r="A791" s="50" t="s">
        <v>114</v>
      </c>
      <c r="B791" s="50">
        <v>2024</v>
      </c>
      <c r="C791" s="50">
        <v>27</v>
      </c>
      <c r="D791" s="50" t="s">
        <v>945</v>
      </c>
      <c r="E791" s="50" t="s">
        <v>3545</v>
      </c>
      <c r="F791" s="121">
        <f>FCCL!G108</f>
        <v>20891.251999999993</v>
      </c>
      <c r="G791" s="121">
        <f>AVERAGE(FCCL!F37,FCCL!G37)</f>
        <v>143232.39799999999</v>
      </c>
      <c r="H791" s="121">
        <f t="shared" si="24"/>
        <v>0.14585563246661551</v>
      </c>
      <c r="I791" s="121">
        <v>20891.251999999989</v>
      </c>
      <c r="J791" s="121">
        <v>143232.39799999999</v>
      </c>
      <c r="K791" s="121">
        <v>0.14585563246661548</v>
      </c>
      <c r="L791" s="127">
        <v>0.14585563246661548</v>
      </c>
      <c r="M791" s="127">
        <f>FCCL!G167</f>
        <v>0.14585563246661551</v>
      </c>
      <c r="N791" s="128" t="str">
        <f t="shared" si="25"/>
        <v>PASS</v>
      </c>
      <c r="O791" s="68"/>
      <c r="P791" s="50" t="s">
        <v>504</v>
      </c>
    </row>
    <row r="792" spans="1:16" ht="25.95" customHeight="1" x14ac:dyDescent="0.3">
      <c r="A792" s="119" t="s">
        <v>114</v>
      </c>
      <c r="B792" s="119">
        <v>2024</v>
      </c>
      <c r="C792" s="119">
        <v>28</v>
      </c>
      <c r="D792" s="119" t="s">
        <v>139</v>
      </c>
      <c r="E792" s="119" t="s">
        <v>3545</v>
      </c>
      <c r="F792" s="120">
        <f>FCCL!G41</f>
        <v>73398.853000000003</v>
      </c>
      <c r="G792" s="120">
        <f>FCCL!G128</f>
        <v>2452.8476000000001</v>
      </c>
      <c r="H792" s="120">
        <f t="shared" si="24"/>
        <v>29.923935347634316</v>
      </c>
      <c r="I792" s="120">
        <v>73398.853000000003</v>
      </c>
      <c r="J792" s="120">
        <v>2452.8476000000001</v>
      </c>
      <c r="K792" s="120">
        <v>29.923935347634316</v>
      </c>
      <c r="L792" s="125">
        <v>29.923935347634316</v>
      </c>
      <c r="M792" s="125">
        <f>FCCL!G169</f>
        <v>29.923935347634316</v>
      </c>
      <c r="N792" s="126" t="str">
        <f t="shared" si="25"/>
        <v>PASS</v>
      </c>
      <c r="O792" s="122"/>
      <c r="P792" s="119" t="s">
        <v>519</v>
      </c>
    </row>
    <row r="793" spans="1:16" ht="25.95" customHeight="1" x14ac:dyDescent="0.3">
      <c r="A793" s="50" t="s">
        <v>114</v>
      </c>
      <c r="B793" s="50">
        <v>2024</v>
      </c>
      <c r="C793" s="50">
        <v>29</v>
      </c>
      <c r="D793" s="50" t="s">
        <v>162</v>
      </c>
      <c r="E793" s="50" t="s">
        <v>3544</v>
      </c>
      <c r="F793" s="121">
        <f>FCCL!G130</f>
        <v>22.91</v>
      </c>
      <c r="G793" s="121">
        <f>FCCL!G41/FCCL!G128</f>
        <v>29.923935347634316</v>
      </c>
      <c r="H793" s="121">
        <f t="shared" si="24"/>
        <v>0.76560785651514207</v>
      </c>
      <c r="I793" s="121">
        <v>22.91</v>
      </c>
      <c r="J793" s="121">
        <v>29.923935347634316</v>
      </c>
      <c r="K793" s="121">
        <v>0.76560785651514207</v>
      </c>
      <c r="L793" s="127">
        <v>0.76560785651514207</v>
      </c>
      <c r="M793" s="127">
        <f>FCCL!G170</f>
        <v>0.76560785651514207</v>
      </c>
      <c r="N793" s="128" t="str">
        <f t="shared" si="25"/>
        <v>PASS</v>
      </c>
      <c r="O793" s="68"/>
      <c r="P793" s="50" t="s">
        <v>519</v>
      </c>
    </row>
    <row r="794" spans="1:16" ht="25.95" customHeight="1" x14ac:dyDescent="0.3">
      <c r="A794" s="119" t="s">
        <v>114</v>
      </c>
      <c r="B794" s="119">
        <v>2024</v>
      </c>
      <c r="C794" s="119">
        <v>30</v>
      </c>
      <c r="D794" s="119" t="s">
        <v>143</v>
      </c>
      <c r="E794" s="119" t="s">
        <v>3544</v>
      </c>
      <c r="F794" s="120">
        <f>FCCL!G99</f>
        <v>8223.1159999999945</v>
      </c>
      <c r="G794" s="120">
        <f>FCCL!G129</f>
        <v>2452.8470000000002</v>
      </c>
      <c r="H794" s="120">
        <f t="shared" si="24"/>
        <v>3.3524781610919856</v>
      </c>
      <c r="I794" s="120">
        <v>8223.1159999999909</v>
      </c>
      <c r="J794" s="120">
        <v>2452.8470000000002</v>
      </c>
      <c r="K794" s="120">
        <v>3.3524781610919843</v>
      </c>
      <c r="L794" s="125">
        <v>3.3524781610919843</v>
      </c>
      <c r="M794" s="125">
        <f>FCCL!G171</f>
        <v>3.3524781610919856</v>
      </c>
      <c r="N794" s="126" t="str">
        <f t="shared" si="25"/>
        <v>PASS</v>
      </c>
      <c r="O794" s="122"/>
      <c r="P794" s="119" t="s">
        <v>519</v>
      </c>
    </row>
    <row r="795" spans="1:16" ht="25.95" customHeight="1" x14ac:dyDescent="0.3">
      <c r="A795" s="50" t="s">
        <v>114</v>
      </c>
      <c r="B795" s="50">
        <v>2024</v>
      </c>
      <c r="C795" s="50">
        <v>31</v>
      </c>
      <c r="D795" s="50" t="s">
        <v>952</v>
      </c>
      <c r="E795" s="50" t="s">
        <v>3544</v>
      </c>
      <c r="F795" s="121">
        <f>FCCL!G130</f>
        <v>22.91</v>
      </c>
      <c r="G795" s="121">
        <f>FCCL!G99/FCCL!G129</f>
        <v>3.3524781610919856</v>
      </c>
      <c r="H795" s="121">
        <f t="shared" si="24"/>
        <v>6.8337507059367812</v>
      </c>
      <c r="I795" s="121">
        <v>22.91</v>
      </c>
      <c r="J795" s="121">
        <v>3.3524781610919843</v>
      </c>
      <c r="K795" s="121">
        <v>6.8337507059367848</v>
      </c>
      <c r="L795" s="127">
        <v>6.8337507059367848</v>
      </c>
      <c r="M795" s="127">
        <f>FCCL!G172</f>
        <v>6.8337507059367812</v>
      </c>
      <c r="N795" s="128" t="str">
        <f t="shared" si="25"/>
        <v>PASS</v>
      </c>
      <c r="O795" s="68"/>
      <c r="P795" s="50" t="s">
        <v>519</v>
      </c>
    </row>
    <row r="796" spans="1:16" ht="25.95" customHeight="1" x14ac:dyDescent="0.3">
      <c r="A796" s="119" t="s">
        <v>114</v>
      </c>
      <c r="B796" s="119">
        <v>2024</v>
      </c>
      <c r="C796" s="119">
        <v>32</v>
      </c>
      <c r="D796" s="119" t="s">
        <v>104</v>
      </c>
      <c r="E796" s="119" t="s">
        <v>3544</v>
      </c>
      <c r="F796" s="120">
        <f>FCCL!G131</f>
        <v>1</v>
      </c>
      <c r="G796" s="120">
        <f>FCCL!G130</f>
        <v>22.91</v>
      </c>
      <c r="H796" s="120">
        <f t="shared" si="24"/>
        <v>4.3649061545176782E-2</v>
      </c>
      <c r="I796" s="120">
        <v>1</v>
      </c>
      <c r="J796" s="120">
        <v>22.91</v>
      </c>
      <c r="K796" s="120">
        <v>4.3649061545176782E-2</v>
      </c>
      <c r="L796" s="125">
        <v>4.3649061545176782E-2</v>
      </c>
      <c r="M796" s="125">
        <f>FCCL!G173</f>
        <v>4.3649061545176782E-2</v>
      </c>
      <c r="N796" s="126" t="str">
        <f t="shared" si="25"/>
        <v>PASS</v>
      </c>
      <c r="O796" s="122"/>
      <c r="P796" s="119" t="s">
        <v>519</v>
      </c>
    </row>
    <row r="797" spans="1:16" ht="25.95" customHeight="1" x14ac:dyDescent="0.3">
      <c r="A797" s="50" t="s">
        <v>114</v>
      </c>
      <c r="B797" s="50">
        <v>2024</v>
      </c>
      <c r="C797" s="50">
        <v>33</v>
      </c>
      <c r="D797" s="50" t="s">
        <v>124</v>
      </c>
      <c r="E797" s="50" t="s">
        <v>3545</v>
      </c>
      <c r="F797" s="121">
        <f>FCCL!G131</f>
        <v>1</v>
      </c>
      <c r="G797" s="121">
        <f>FCCL!G99/FCCL!G129</f>
        <v>3.3524781610919856</v>
      </c>
      <c r="H797" s="121">
        <f t="shared" si="24"/>
        <v>0.29828680514782985</v>
      </c>
      <c r="I797" s="121">
        <v>1</v>
      </c>
      <c r="J797" s="121">
        <v>3.3524781610919843</v>
      </c>
      <c r="K797" s="121">
        <v>0.29828680514782996</v>
      </c>
      <c r="L797" s="127">
        <v>0.29828680514782996</v>
      </c>
      <c r="M797" s="127">
        <f>FCCL!G174</f>
        <v>0.29828680514782985</v>
      </c>
      <c r="N797" s="128" t="str">
        <f t="shared" si="25"/>
        <v>PASS</v>
      </c>
      <c r="O797" s="68"/>
      <c r="P797" s="50" t="s">
        <v>519</v>
      </c>
    </row>
    <row r="798" spans="1:16" ht="25.95" customHeight="1" x14ac:dyDescent="0.3">
      <c r="A798" s="119" t="s">
        <v>114</v>
      </c>
      <c r="B798" s="119">
        <v>2025</v>
      </c>
      <c r="C798" s="119">
        <v>1</v>
      </c>
      <c r="D798" s="119" t="s">
        <v>19</v>
      </c>
      <c r="E798" s="119" t="s">
        <v>3544</v>
      </c>
      <c r="F798" s="120">
        <f>FCCL!H36</f>
        <v>40472.565000000002</v>
      </c>
      <c r="G798" s="120">
        <f>FCCL!H61</f>
        <v>30637.496999999996</v>
      </c>
      <c r="H798" s="120">
        <f t="shared" si="24"/>
        <v>1.3210140828410366</v>
      </c>
      <c r="I798" s="120">
        <v>40472.565000000002</v>
      </c>
      <c r="J798" s="120">
        <v>30637.496999999996</v>
      </c>
      <c r="K798" s="120">
        <v>1.3210140828410366</v>
      </c>
      <c r="L798" s="125">
        <v>1.3210140828410366</v>
      </c>
      <c r="M798" s="125">
        <f>FCCL!H138</f>
        <v>1.3210140828410366</v>
      </c>
      <c r="N798" s="126" t="str">
        <f t="shared" si="25"/>
        <v>PASS</v>
      </c>
      <c r="O798" s="122"/>
      <c r="P798" s="119" t="s">
        <v>459</v>
      </c>
    </row>
    <row r="799" spans="1:16" ht="25.95" customHeight="1" x14ac:dyDescent="0.3">
      <c r="A799" s="50" t="s">
        <v>114</v>
      </c>
      <c r="B799" s="50">
        <v>2025</v>
      </c>
      <c r="C799" s="50">
        <v>2</v>
      </c>
      <c r="D799" s="50" t="s">
        <v>30</v>
      </c>
      <c r="E799" s="50" t="s">
        <v>3544</v>
      </c>
      <c r="F799" s="121">
        <f>FCCL!H36-FCCL!H65</f>
        <v>20757.940000000002</v>
      </c>
      <c r="G799" s="121">
        <f>FCCL!H61</f>
        <v>30637.496999999996</v>
      </c>
      <c r="H799" s="121">
        <f t="shared" si="24"/>
        <v>0.67753380767364924</v>
      </c>
      <c r="I799" s="121">
        <v>20757.940000000002</v>
      </c>
      <c r="J799" s="121">
        <v>30637.496999999996</v>
      </c>
      <c r="K799" s="121">
        <v>0.67753380767364924</v>
      </c>
      <c r="L799" s="127">
        <v>0.67753380767364924</v>
      </c>
      <c r="M799" s="127">
        <f>FCCL!H139</f>
        <v>0.67753380767364924</v>
      </c>
      <c r="N799" s="128" t="str">
        <f t="shared" si="25"/>
        <v>PASS</v>
      </c>
      <c r="O799" s="68"/>
      <c r="P799" s="50" t="s">
        <v>459</v>
      </c>
    </row>
    <row r="800" spans="1:16" ht="25.95" customHeight="1" x14ac:dyDescent="0.3">
      <c r="A800" s="119" t="s">
        <v>114</v>
      </c>
      <c r="B800" s="119">
        <v>2025</v>
      </c>
      <c r="C800" s="119">
        <v>3</v>
      </c>
      <c r="D800" s="119" t="s">
        <v>145</v>
      </c>
      <c r="E800" s="119" t="s">
        <v>3544</v>
      </c>
      <c r="F800" s="120">
        <f>FCCL!H34</f>
        <v>2665.3380000000002</v>
      </c>
      <c r="G800" s="120">
        <f>FCCL!H61</f>
        <v>30637.496999999996</v>
      </c>
      <c r="H800" s="120">
        <f t="shared" si="24"/>
        <v>8.6995944871083974E-2</v>
      </c>
      <c r="I800" s="120">
        <v>2665.3380000000002</v>
      </c>
      <c r="J800" s="120">
        <v>30637.496999999996</v>
      </c>
      <c r="K800" s="120">
        <v>8.6995944871083974E-2</v>
      </c>
      <c r="L800" s="125">
        <v>8.6995944871083974E-2</v>
      </c>
      <c r="M800" s="125">
        <f>FCCL!H140</f>
        <v>8.6995944871083974E-2</v>
      </c>
      <c r="N800" s="126" t="str">
        <f t="shared" si="25"/>
        <v>PASS</v>
      </c>
      <c r="O800" s="122"/>
      <c r="P800" s="119" t="s">
        <v>459</v>
      </c>
    </row>
    <row r="801" spans="1:16" ht="25.95" customHeight="1" x14ac:dyDescent="0.3">
      <c r="A801" s="50" t="s">
        <v>114</v>
      </c>
      <c r="B801" s="50">
        <v>2025</v>
      </c>
      <c r="C801" s="50">
        <v>4</v>
      </c>
      <c r="D801" s="50" t="s">
        <v>201</v>
      </c>
      <c r="E801" s="50" t="s">
        <v>3545</v>
      </c>
      <c r="F801" s="121">
        <f>FCCL!H36-FCCL!H61</f>
        <v>9835.0680000000066</v>
      </c>
      <c r="G801" s="121">
        <f>1</f>
        <v>1</v>
      </c>
      <c r="H801" s="121">
        <f t="shared" si="24"/>
        <v>9835.0680000000066</v>
      </c>
      <c r="I801" s="121">
        <v>9835.0680000000066</v>
      </c>
      <c r="J801" s="121">
        <v>1</v>
      </c>
      <c r="K801" s="121">
        <v>9835.0680000000066</v>
      </c>
      <c r="L801" s="127">
        <v>9835.0680000000066</v>
      </c>
      <c r="M801" s="127">
        <f>FCCL!H141</f>
        <v>9835.0680000000066</v>
      </c>
      <c r="N801" s="128" t="str">
        <f t="shared" si="25"/>
        <v>PASS</v>
      </c>
      <c r="O801" s="68"/>
      <c r="P801" s="50" t="s">
        <v>459</v>
      </c>
    </row>
    <row r="802" spans="1:16" ht="25.95" customHeight="1" x14ac:dyDescent="0.3">
      <c r="A802" s="119" t="s">
        <v>114</v>
      </c>
      <c r="B802" s="119">
        <v>2025</v>
      </c>
      <c r="C802" s="119">
        <v>5</v>
      </c>
      <c r="D802" s="119" t="s">
        <v>923</v>
      </c>
      <c r="E802" s="119" t="s">
        <v>3545</v>
      </c>
      <c r="F802" s="120">
        <f>FCCL!H72-FCCL!H73</f>
        <v>14427.799000000005</v>
      </c>
      <c r="G802" s="120">
        <f>1</f>
        <v>1</v>
      </c>
      <c r="H802" s="120">
        <f t="shared" si="24"/>
        <v>14427.799000000005</v>
      </c>
      <c r="I802" s="120">
        <v>14427.799000000003</v>
      </c>
      <c r="J802" s="120">
        <v>1</v>
      </c>
      <c r="K802" s="120">
        <v>14427.799000000003</v>
      </c>
      <c r="L802" s="125">
        <v>14427.799000000003</v>
      </c>
      <c r="M802" s="125">
        <f>FCCL!H142</f>
        <v>14427.799000000005</v>
      </c>
      <c r="N802" s="126" t="str">
        <f t="shared" si="25"/>
        <v>PASS</v>
      </c>
      <c r="O802" s="122"/>
      <c r="P802" s="119" t="s">
        <v>459</v>
      </c>
    </row>
    <row r="803" spans="1:16" ht="25.95" customHeight="1" x14ac:dyDescent="0.3">
      <c r="A803" s="50" t="s">
        <v>114</v>
      </c>
      <c r="B803" s="50">
        <v>2025</v>
      </c>
      <c r="C803" s="50">
        <v>6</v>
      </c>
      <c r="D803" s="50" t="s">
        <v>31</v>
      </c>
      <c r="E803" s="50" t="s">
        <v>3544</v>
      </c>
      <c r="F803" s="121">
        <f>-FCCL!H85</f>
        <v>57384.978000000003</v>
      </c>
      <c r="G803" s="121">
        <f>AVERAGE(FCCL!G65,FCCL!H65)</f>
        <v>18154.73</v>
      </c>
      <c r="H803" s="121">
        <f t="shared" si="24"/>
        <v>3.1608830315846066</v>
      </c>
      <c r="I803" s="121">
        <v>57384.978000000003</v>
      </c>
      <c r="J803" s="121">
        <v>18154.73</v>
      </c>
      <c r="K803" s="121">
        <v>3.1608830315846066</v>
      </c>
      <c r="L803" s="127">
        <v>3.1608830315846066</v>
      </c>
      <c r="M803" s="127">
        <f>FCCL!H144</f>
        <v>3.1608830315846066</v>
      </c>
      <c r="N803" s="128" t="str">
        <f t="shared" si="25"/>
        <v>PASS</v>
      </c>
      <c r="O803" s="68"/>
      <c r="P803" s="50" t="s">
        <v>471</v>
      </c>
    </row>
    <row r="804" spans="1:16" ht="25.95" customHeight="1" x14ac:dyDescent="0.3">
      <c r="A804" s="119" t="s">
        <v>114</v>
      </c>
      <c r="B804" s="119">
        <v>2025</v>
      </c>
      <c r="C804" s="119">
        <v>7</v>
      </c>
      <c r="D804" s="119" t="s">
        <v>129</v>
      </c>
      <c r="E804" s="119" t="s">
        <v>3545</v>
      </c>
      <c r="F804" s="120">
        <f>FCCL!H84</f>
        <v>88956.327999999994</v>
      </c>
      <c r="G804" s="120">
        <f>AVERAGE(FCCL!G32,FCCL!H32)</f>
        <v>6228.2815000000001</v>
      </c>
      <c r="H804" s="120">
        <f t="shared" si="24"/>
        <v>14.282644096931071</v>
      </c>
      <c r="I804" s="120">
        <v>88956.327999999994</v>
      </c>
      <c r="J804" s="120">
        <v>6228.2815000000001</v>
      </c>
      <c r="K804" s="120">
        <v>14.282644096931071</v>
      </c>
      <c r="L804" s="125">
        <v>14.282644096931071</v>
      </c>
      <c r="M804" s="125">
        <f>FCCL!H145</f>
        <v>14.282644096931071</v>
      </c>
      <c r="N804" s="126" t="str">
        <f t="shared" si="25"/>
        <v>PASS</v>
      </c>
      <c r="O804" s="122"/>
      <c r="P804" s="119" t="s">
        <v>471</v>
      </c>
    </row>
    <row r="805" spans="1:16" ht="25.95" customHeight="1" x14ac:dyDescent="0.3">
      <c r="A805" s="50" t="s">
        <v>114</v>
      </c>
      <c r="B805" s="50">
        <v>2025</v>
      </c>
      <c r="C805" s="50">
        <v>8</v>
      </c>
      <c r="D805" s="50" t="s">
        <v>133</v>
      </c>
      <c r="E805" s="50" t="s">
        <v>3545</v>
      </c>
      <c r="F805" s="121">
        <f>-FCCL!H85</f>
        <v>57384.978000000003</v>
      </c>
      <c r="G805" s="121">
        <f>AVERAGE(FCCL!G51,FCCL!H51)</f>
        <v>2380.4025000000001</v>
      </c>
      <c r="H805" s="121">
        <f t="shared" si="24"/>
        <v>24.107258331311616</v>
      </c>
      <c r="I805" s="121">
        <v>57384.978000000003</v>
      </c>
      <c r="J805" s="121">
        <v>2380.4025000000001</v>
      </c>
      <c r="K805" s="121">
        <v>24.107258331311616</v>
      </c>
      <c r="L805" s="127">
        <v>24.107258331311616</v>
      </c>
      <c r="M805" s="127">
        <f>FCCL!H146</f>
        <v>24.107258331311616</v>
      </c>
      <c r="N805" s="128" t="str">
        <f t="shared" si="25"/>
        <v>PASS</v>
      </c>
      <c r="O805" s="68"/>
      <c r="P805" s="50" t="s">
        <v>471</v>
      </c>
    </row>
    <row r="806" spans="1:16" ht="25.95" customHeight="1" x14ac:dyDescent="0.3">
      <c r="A806" s="119" t="s">
        <v>114</v>
      </c>
      <c r="B806" s="119">
        <v>2025</v>
      </c>
      <c r="C806" s="119">
        <v>9</v>
      </c>
      <c r="D806" s="119" t="s">
        <v>134</v>
      </c>
      <c r="E806" s="119" t="s">
        <v>3545</v>
      </c>
      <c r="F806" s="120">
        <f>365*AVERAGE(FCCL!G65,FCCL!H65)</f>
        <v>6626476.4500000002</v>
      </c>
      <c r="G806" s="120">
        <f>-FCCL!H85</f>
        <v>57384.978000000003</v>
      </c>
      <c r="H806" s="120">
        <f t="shared" si="24"/>
        <v>115.47406099903009</v>
      </c>
      <c r="I806" s="120">
        <v>6626476.4500000002</v>
      </c>
      <c r="J806" s="120">
        <v>57384.978000000003</v>
      </c>
      <c r="K806" s="120">
        <v>115.47406099903009</v>
      </c>
      <c r="L806" s="125">
        <v>115.47406099903009</v>
      </c>
      <c r="M806" s="125">
        <f>FCCL!H147</f>
        <v>115.47406099903009</v>
      </c>
      <c r="N806" s="126" t="str">
        <f t="shared" si="25"/>
        <v>PASS</v>
      </c>
      <c r="O806" s="122"/>
      <c r="P806" s="119" t="s">
        <v>471</v>
      </c>
    </row>
    <row r="807" spans="1:16" ht="25.95" customHeight="1" x14ac:dyDescent="0.3">
      <c r="A807" s="50" t="s">
        <v>114</v>
      </c>
      <c r="B807" s="50">
        <v>2025</v>
      </c>
      <c r="C807" s="50">
        <v>10</v>
      </c>
      <c r="D807" s="50" t="s">
        <v>187</v>
      </c>
      <c r="E807" s="50" t="s">
        <v>3544</v>
      </c>
      <c r="F807" s="121">
        <f>365*AVERAGE(FCCL!G32,FCCL!H32)</f>
        <v>2273322.7475000001</v>
      </c>
      <c r="G807" s="121">
        <f>FCCL!H84</f>
        <v>88956.327999999994</v>
      </c>
      <c r="H807" s="121">
        <f t="shared" si="24"/>
        <v>25.555492212987932</v>
      </c>
      <c r="I807" s="121">
        <v>2273322.7475000001</v>
      </c>
      <c r="J807" s="121">
        <v>88956.327999999994</v>
      </c>
      <c r="K807" s="121">
        <v>25.555492212987932</v>
      </c>
      <c r="L807" s="127">
        <v>25.555492212987932</v>
      </c>
      <c r="M807" s="127">
        <f>FCCL!H148</f>
        <v>25.555492212987932</v>
      </c>
      <c r="N807" s="128" t="str">
        <f t="shared" si="25"/>
        <v>PASS</v>
      </c>
      <c r="O807" s="68"/>
      <c r="P807" s="50" t="s">
        <v>471</v>
      </c>
    </row>
    <row r="808" spans="1:16" ht="25.95" customHeight="1" x14ac:dyDescent="0.3">
      <c r="A808" s="119" t="s">
        <v>114</v>
      </c>
      <c r="B808" s="119">
        <v>2025</v>
      </c>
      <c r="C808" s="119">
        <v>11</v>
      </c>
      <c r="D808" s="119" t="s">
        <v>190</v>
      </c>
      <c r="E808" s="119" t="s">
        <v>3545</v>
      </c>
      <c r="F808" s="120">
        <f>365*AVERAGE(FCCL!G51,FCCL!H51)</f>
        <v>868846.91250000009</v>
      </c>
      <c r="G808" s="120">
        <f>-FCCL!H85</f>
        <v>57384.978000000003</v>
      </c>
      <c r="H808" s="120">
        <f t="shared" si="24"/>
        <v>15.14066821634052</v>
      </c>
      <c r="I808" s="120">
        <v>868846.91250000009</v>
      </c>
      <c r="J808" s="120">
        <v>57384.978000000003</v>
      </c>
      <c r="K808" s="120">
        <v>15.14066821634052</v>
      </c>
      <c r="L808" s="125">
        <v>15.14066821634052</v>
      </c>
      <c r="M808" s="125">
        <f>FCCL!H149</f>
        <v>15.14066821634052</v>
      </c>
      <c r="N808" s="126" t="str">
        <f t="shared" si="25"/>
        <v>PASS</v>
      </c>
      <c r="O808" s="122"/>
      <c r="P808" s="119" t="s">
        <v>471</v>
      </c>
    </row>
    <row r="809" spans="1:16" ht="25.95" customHeight="1" x14ac:dyDescent="0.3">
      <c r="A809" s="50" t="s">
        <v>114</v>
      </c>
      <c r="B809" s="50">
        <v>2025</v>
      </c>
      <c r="C809" s="50">
        <v>12</v>
      </c>
      <c r="D809" s="50" t="s">
        <v>192</v>
      </c>
      <c r="E809" s="50" t="s">
        <v>3545</v>
      </c>
      <c r="F809" s="121">
        <f>365*AVERAGE(FCCL!G65,FCCL!H65)/(-FCCL!H85)+365*AVERAGE(FCCL!G32,FCCL!H32)/FCCL!H84</f>
        <v>141.02955321201802</v>
      </c>
      <c r="G809" s="121">
        <f>1</f>
        <v>1</v>
      </c>
      <c r="H809" s="121">
        <f t="shared" si="24"/>
        <v>141.02955321201802</v>
      </c>
      <c r="I809" s="121">
        <v>141.02955321201802</v>
      </c>
      <c r="J809" s="121">
        <v>1</v>
      </c>
      <c r="K809" s="121">
        <v>141.02955321201802</v>
      </c>
      <c r="L809" s="127">
        <v>141.02955321201802</v>
      </c>
      <c r="M809" s="127">
        <f>FCCL!H150</f>
        <v>141.02955321201802</v>
      </c>
      <c r="N809" s="128" t="str">
        <f t="shared" si="25"/>
        <v>PASS</v>
      </c>
      <c r="O809" s="68"/>
      <c r="P809" s="50" t="s">
        <v>471</v>
      </c>
    </row>
    <row r="810" spans="1:16" ht="25.95" customHeight="1" x14ac:dyDescent="0.3">
      <c r="A810" s="119" t="s">
        <v>114</v>
      </c>
      <c r="B810" s="119">
        <v>2025</v>
      </c>
      <c r="C810" s="119">
        <v>13</v>
      </c>
      <c r="D810" s="119" t="s">
        <v>150</v>
      </c>
      <c r="E810" s="119" t="s">
        <v>3545</v>
      </c>
      <c r="F810" s="120">
        <f>365*AVERAGE(FCCL!G65,FCCL!H65)/(-FCCL!H85)+365*AVERAGE(FCCL!G32,FCCL!H32)/FCCL!H84-365*AVERAGE(FCCL!G51,FCCL!H51)/(-FCCL!H85)</f>
        <v>125.8888849956775</v>
      </c>
      <c r="G810" s="120">
        <f>1</f>
        <v>1</v>
      </c>
      <c r="H810" s="120">
        <f t="shared" si="24"/>
        <v>125.8888849956775</v>
      </c>
      <c r="I810" s="120">
        <v>125.8888849956775</v>
      </c>
      <c r="J810" s="120">
        <v>1</v>
      </c>
      <c r="K810" s="120">
        <v>125.8888849956775</v>
      </c>
      <c r="L810" s="125">
        <v>125.8888849956775</v>
      </c>
      <c r="M810" s="125">
        <f>FCCL!H151</f>
        <v>125.8888849956775</v>
      </c>
      <c r="N810" s="126" t="str">
        <f t="shared" si="25"/>
        <v>PASS</v>
      </c>
      <c r="O810" s="122"/>
      <c r="P810" s="119" t="s">
        <v>471</v>
      </c>
    </row>
    <row r="811" spans="1:16" ht="25.95" customHeight="1" x14ac:dyDescent="0.3">
      <c r="A811" s="50" t="s">
        <v>114</v>
      </c>
      <c r="B811" s="50">
        <v>2025</v>
      </c>
      <c r="C811" s="50">
        <v>14</v>
      </c>
      <c r="D811" s="50" t="s">
        <v>196</v>
      </c>
      <c r="E811" s="50" t="s">
        <v>3544</v>
      </c>
      <c r="F811" s="121">
        <f>FCCL!H84</f>
        <v>88956.327999999994</v>
      </c>
      <c r="G811" s="121">
        <f>AVERAGE(FCCL!G37,FCCL!H37)</f>
        <v>154240.745</v>
      </c>
      <c r="H811" s="121">
        <f t="shared" si="24"/>
        <v>0.57673689270626904</v>
      </c>
      <c r="I811" s="121">
        <v>88956.327999999994</v>
      </c>
      <c r="J811" s="121">
        <v>154240.745</v>
      </c>
      <c r="K811" s="121">
        <v>0.57673689270626904</v>
      </c>
      <c r="L811" s="127">
        <v>0.57673689270626904</v>
      </c>
      <c r="M811" s="127">
        <f>FCCL!H152</f>
        <v>0.57673689270626904</v>
      </c>
      <c r="N811" s="128" t="str">
        <f t="shared" si="25"/>
        <v>PASS</v>
      </c>
      <c r="O811" s="68"/>
      <c r="P811" s="50" t="s">
        <v>471</v>
      </c>
    </row>
    <row r="812" spans="1:16" ht="25.95" customHeight="1" x14ac:dyDescent="0.3">
      <c r="A812" s="119" t="s">
        <v>114</v>
      </c>
      <c r="B812" s="119">
        <v>2025</v>
      </c>
      <c r="C812" s="119">
        <v>15</v>
      </c>
      <c r="D812" s="119" t="s">
        <v>199</v>
      </c>
      <c r="E812" s="119" t="s">
        <v>3544</v>
      </c>
      <c r="F812" s="120">
        <f>FCCL!H84</f>
        <v>88956.327999999994</v>
      </c>
      <c r="G812" s="120">
        <f>AVERAGE(FCCL!G22,FCCL!H22)</f>
        <v>109714.01250000001</v>
      </c>
      <c r="H812" s="120">
        <f t="shared" si="24"/>
        <v>0.81080188367005523</v>
      </c>
      <c r="I812" s="120">
        <v>88956.327999999994</v>
      </c>
      <c r="J812" s="120">
        <v>109714.01250000001</v>
      </c>
      <c r="K812" s="120">
        <v>0.81080188367005523</v>
      </c>
      <c r="L812" s="125">
        <v>0.81080188367005523</v>
      </c>
      <c r="M812" s="125">
        <f>FCCL!H153</f>
        <v>0.81080188367005523</v>
      </c>
      <c r="N812" s="126" t="str">
        <f t="shared" si="25"/>
        <v>PASS</v>
      </c>
      <c r="O812" s="122"/>
      <c r="P812" s="119" t="s">
        <v>471</v>
      </c>
    </row>
    <row r="813" spans="1:16" ht="25.95" customHeight="1" x14ac:dyDescent="0.3">
      <c r="A813" s="50" t="s">
        <v>114</v>
      </c>
      <c r="B813" s="50">
        <v>2025</v>
      </c>
      <c r="C813" s="50">
        <v>16</v>
      </c>
      <c r="D813" s="50" t="s">
        <v>932</v>
      </c>
      <c r="E813" s="50" t="s">
        <v>3544</v>
      </c>
      <c r="F813" s="121">
        <f>FCCL!H62</f>
        <v>76572.982999999993</v>
      </c>
      <c r="G813" s="121">
        <f>FCCL!H37</f>
        <v>160845.19100000002</v>
      </c>
      <c r="H813" s="121">
        <f t="shared" si="24"/>
        <v>0.4760663500346739</v>
      </c>
      <c r="I813" s="121">
        <v>76572.982999999993</v>
      </c>
      <c r="J813" s="121">
        <v>160845.19099999999</v>
      </c>
      <c r="K813" s="121">
        <v>0.47606635003467401</v>
      </c>
      <c r="L813" s="127">
        <v>0.47606635003467401</v>
      </c>
      <c r="M813" s="127">
        <f>FCCL!H155</f>
        <v>0.4760663500346739</v>
      </c>
      <c r="N813" s="128" t="str">
        <f t="shared" si="25"/>
        <v>PASS</v>
      </c>
      <c r="O813" s="68"/>
      <c r="P813" s="50" t="s">
        <v>493</v>
      </c>
    </row>
    <row r="814" spans="1:16" ht="25.95" customHeight="1" x14ac:dyDescent="0.3">
      <c r="A814" s="119" t="s">
        <v>114</v>
      </c>
      <c r="B814" s="119">
        <v>2025</v>
      </c>
      <c r="C814" s="119">
        <v>17</v>
      </c>
      <c r="D814" s="119" t="s">
        <v>151</v>
      </c>
      <c r="E814" s="119" t="s">
        <v>3544</v>
      </c>
      <c r="F814" s="120">
        <f>FCCL!H62</f>
        <v>76572.982999999993</v>
      </c>
      <c r="G814" s="120">
        <f>FCCL!H41</f>
        <v>84272.207999999999</v>
      </c>
      <c r="H814" s="120">
        <f t="shared" si="24"/>
        <v>0.90863862259310912</v>
      </c>
      <c r="I814" s="120">
        <v>76572.982999999993</v>
      </c>
      <c r="J814" s="120">
        <v>84272.207999999999</v>
      </c>
      <c r="K814" s="120">
        <v>0.90863862259310912</v>
      </c>
      <c r="L814" s="125">
        <v>0.90863862259310912</v>
      </c>
      <c r="M814" s="125">
        <f>FCCL!H156</f>
        <v>0.90863862259310912</v>
      </c>
      <c r="N814" s="126" t="str">
        <f t="shared" si="25"/>
        <v>PASS</v>
      </c>
      <c r="O814" s="122"/>
      <c r="P814" s="119" t="s">
        <v>493</v>
      </c>
    </row>
    <row r="815" spans="1:16" ht="25.95" customHeight="1" x14ac:dyDescent="0.3">
      <c r="A815" s="50" t="s">
        <v>114</v>
      </c>
      <c r="B815" s="50">
        <v>2025</v>
      </c>
      <c r="C815" s="50">
        <v>18</v>
      </c>
      <c r="D815" s="50" t="s">
        <v>935</v>
      </c>
      <c r="E815" s="50" t="s">
        <v>3545</v>
      </c>
      <c r="F815" s="121">
        <f>FCCL!H66</f>
        <v>40036.47</v>
      </c>
      <c r="G815" s="121">
        <f>FCCL!H66+FCCL!H41</f>
        <v>124308.678</v>
      </c>
      <c r="H815" s="121">
        <f t="shared" si="24"/>
        <v>0.3220730092552348</v>
      </c>
      <c r="I815" s="121">
        <v>40036.47</v>
      </c>
      <c r="J815" s="121">
        <v>124308.678</v>
      </c>
      <c r="K815" s="121">
        <v>0.3220730092552348</v>
      </c>
      <c r="L815" s="127">
        <v>0.3220730092552348</v>
      </c>
      <c r="M815" s="127">
        <f>FCCL!H157</f>
        <v>0.3220730092552348</v>
      </c>
      <c r="N815" s="128" t="str">
        <f t="shared" si="25"/>
        <v>PASS</v>
      </c>
      <c r="O815" s="68"/>
      <c r="P815" s="50" t="s">
        <v>493</v>
      </c>
    </row>
    <row r="816" spans="1:16" ht="25.95" customHeight="1" x14ac:dyDescent="0.3">
      <c r="A816" s="119" t="s">
        <v>114</v>
      </c>
      <c r="B816" s="119">
        <v>2025</v>
      </c>
      <c r="C816" s="119">
        <v>19</v>
      </c>
      <c r="D816" s="119" t="s">
        <v>936</v>
      </c>
      <c r="E816" s="119" t="s">
        <v>3545</v>
      </c>
      <c r="F816" s="120">
        <f>FCCL!H67</f>
        <v>24309.844000000001</v>
      </c>
      <c r="G816" s="120">
        <f>FCCL!H37</f>
        <v>160845.19100000002</v>
      </c>
      <c r="H816" s="120">
        <f t="shared" si="24"/>
        <v>0.15113814624398686</v>
      </c>
      <c r="I816" s="120">
        <v>24309.844000000001</v>
      </c>
      <c r="J816" s="120">
        <v>160845.19099999999</v>
      </c>
      <c r="K816" s="120">
        <v>0.15113814624398689</v>
      </c>
      <c r="L816" s="125">
        <v>0.15113814624398689</v>
      </c>
      <c r="M816" s="125">
        <f>FCCL!H158</f>
        <v>0.15113814624398686</v>
      </c>
      <c r="N816" s="126" t="str">
        <f t="shared" si="25"/>
        <v>PASS</v>
      </c>
      <c r="O816" s="122"/>
      <c r="P816" s="119" t="s">
        <v>493</v>
      </c>
    </row>
    <row r="817" spans="1:16" ht="25.95" customHeight="1" x14ac:dyDescent="0.3">
      <c r="A817" s="50" t="s">
        <v>114</v>
      </c>
      <c r="B817" s="50">
        <v>2025</v>
      </c>
      <c r="C817" s="50">
        <v>20</v>
      </c>
      <c r="D817" s="50" t="s">
        <v>938</v>
      </c>
      <c r="E817" s="50" t="s">
        <v>3544</v>
      </c>
      <c r="F817" s="121">
        <f>FCCL!H108</f>
        <v>27297.651999999987</v>
      </c>
      <c r="G817" s="121">
        <f>FCCL!H106</f>
        <v>5674.2779999999993</v>
      </c>
      <c r="H817" s="121">
        <f t="shared" si="24"/>
        <v>4.8107709914812053</v>
      </c>
      <c r="I817" s="121">
        <v>27297.651999999995</v>
      </c>
      <c r="J817" s="121">
        <v>5674.2779999999993</v>
      </c>
      <c r="K817" s="121">
        <v>4.8107709914812062</v>
      </c>
      <c r="L817" s="127">
        <v>4.8107709914812062</v>
      </c>
      <c r="M817" s="127">
        <f>FCCL!H159</f>
        <v>4.8107709914812053</v>
      </c>
      <c r="N817" s="128" t="str">
        <f t="shared" si="25"/>
        <v>PASS</v>
      </c>
      <c r="O817" s="68"/>
      <c r="P817" s="50" t="s">
        <v>493</v>
      </c>
    </row>
    <row r="818" spans="1:16" ht="25.95" customHeight="1" x14ac:dyDescent="0.3">
      <c r="A818" s="119" t="s">
        <v>114</v>
      </c>
      <c r="B818" s="119">
        <v>2025</v>
      </c>
      <c r="C818" s="119">
        <v>21</v>
      </c>
      <c r="D818" s="119" t="s">
        <v>154</v>
      </c>
      <c r="E818" s="119" t="s">
        <v>3544</v>
      </c>
      <c r="F818" s="120">
        <f>FCCL!H86</f>
        <v>31571.349999999991</v>
      </c>
      <c r="G818" s="120">
        <f>FCCL!H84</f>
        <v>88956.327999999994</v>
      </c>
      <c r="H818" s="120">
        <f t="shared" si="24"/>
        <v>0.35490842202929052</v>
      </c>
      <c r="I818" s="120">
        <v>31571.349999999991</v>
      </c>
      <c r="J818" s="120">
        <v>88956.327999999994</v>
      </c>
      <c r="K818" s="120">
        <v>0.35490842202929052</v>
      </c>
      <c r="L818" s="125">
        <v>0.35490842202929052</v>
      </c>
      <c r="M818" s="125">
        <f>FCCL!H161</f>
        <v>0.35490842202929052</v>
      </c>
      <c r="N818" s="126" t="str">
        <f t="shared" si="25"/>
        <v>PASS</v>
      </c>
      <c r="O818" s="122"/>
      <c r="P818" s="119" t="s">
        <v>504</v>
      </c>
    </row>
    <row r="819" spans="1:16" ht="25.95" customHeight="1" x14ac:dyDescent="0.3">
      <c r="A819" s="50" t="s">
        <v>114</v>
      </c>
      <c r="B819" s="50">
        <v>2025</v>
      </c>
      <c r="C819" s="50">
        <v>22</v>
      </c>
      <c r="D819" s="50" t="s">
        <v>942</v>
      </c>
      <c r="E819" s="50" t="s">
        <v>3544</v>
      </c>
      <c r="F819" s="121">
        <f>FCCL!H91</f>
        <v>25468.048999999992</v>
      </c>
      <c r="G819" s="121">
        <f>FCCL!H84</f>
        <v>88956.327999999994</v>
      </c>
      <c r="H819" s="121">
        <f t="shared" si="24"/>
        <v>0.28629833956275708</v>
      </c>
      <c r="I819" s="121">
        <v>25468.048999999992</v>
      </c>
      <c r="J819" s="121">
        <v>88956.327999999994</v>
      </c>
      <c r="K819" s="121">
        <v>0.28629833956275708</v>
      </c>
      <c r="L819" s="127">
        <v>0.28629833956275708</v>
      </c>
      <c r="M819" s="127">
        <f>FCCL!H162</f>
        <v>0.28629833956275708</v>
      </c>
      <c r="N819" s="128" t="str">
        <f t="shared" si="25"/>
        <v>PASS</v>
      </c>
      <c r="O819" s="68"/>
      <c r="P819" s="50" t="s">
        <v>504</v>
      </c>
    </row>
    <row r="820" spans="1:16" ht="25.95" customHeight="1" x14ac:dyDescent="0.3">
      <c r="A820" s="119" t="s">
        <v>114</v>
      </c>
      <c r="B820" s="119">
        <v>2025</v>
      </c>
      <c r="C820" s="119">
        <v>23</v>
      </c>
      <c r="D820" s="119" t="s">
        <v>155</v>
      </c>
      <c r="E820" s="119" t="s">
        <v>3544</v>
      </c>
      <c r="F820" s="120">
        <f>FCCL!H99</f>
        <v>13326.20199999999</v>
      </c>
      <c r="G820" s="120">
        <f>FCCL!H84</f>
        <v>88956.327999999994</v>
      </c>
      <c r="H820" s="120">
        <f t="shared" si="24"/>
        <v>0.14980611609777766</v>
      </c>
      <c r="I820" s="120">
        <v>13326.201999999994</v>
      </c>
      <c r="J820" s="120">
        <v>88956.327999999994</v>
      </c>
      <c r="K820" s="120">
        <v>0.14980611609777772</v>
      </c>
      <c r="L820" s="125">
        <v>0.14980611609777772</v>
      </c>
      <c r="M820" s="125">
        <f>FCCL!H163</f>
        <v>0.14980611609777766</v>
      </c>
      <c r="N820" s="126" t="str">
        <f t="shared" si="25"/>
        <v>PASS</v>
      </c>
      <c r="O820" s="122"/>
      <c r="P820" s="119" t="s">
        <v>504</v>
      </c>
    </row>
    <row r="821" spans="1:16" ht="25.95" customHeight="1" x14ac:dyDescent="0.3">
      <c r="A821" s="50" t="s">
        <v>114</v>
      </c>
      <c r="B821" s="50">
        <v>2025</v>
      </c>
      <c r="C821" s="50">
        <v>24</v>
      </c>
      <c r="D821" s="50" t="s">
        <v>136</v>
      </c>
      <c r="E821" s="50" t="s">
        <v>3544</v>
      </c>
      <c r="F821" s="121">
        <f>FCCL!H99</f>
        <v>13326.20199999999</v>
      </c>
      <c r="G821" s="121">
        <f>AVERAGE(FCCL!G37,FCCL!H37)</f>
        <v>154240.745</v>
      </c>
      <c r="H821" s="121">
        <f t="shared" si="24"/>
        <v>8.6398713906626887E-2</v>
      </c>
      <c r="I821" s="121">
        <v>13326.201999999994</v>
      </c>
      <c r="J821" s="121">
        <v>154240.745</v>
      </c>
      <c r="K821" s="121">
        <v>8.6398713906626901E-2</v>
      </c>
      <c r="L821" s="127">
        <v>8.6398713906626901E-2</v>
      </c>
      <c r="M821" s="127">
        <f>FCCL!H164</f>
        <v>8.6398713906626887E-2</v>
      </c>
      <c r="N821" s="128" t="str">
        <f t="shared" si="25"/>
        <v>PASS</v>
      </c>
      <c r="O821" s="68"/>
      <c r="P821" s="50" t="s">
        <v>504</v>
      </c>
    </row>
    <row r="822" spans="1:16" ht="25.95" customHeight="1" x14ac:dyDescent="0.3">
      <c r="A822" s="119" t="s">
        <v>114</v>
      </c>
      <c r="B822" s="119">
        <v>2025</v>
      </c>
      <c r="C822" s="119">
        <v>25</v>
      </c>
      <c r="D822" s="119" t="s">
        <v>53</v>
      </c>
      <c r="E822" s="119" t="s">
        <v>3544</v>
      </c>
      <c r="F822" s="120">
        <f>FCCL!H99</f>
        <v>13326.20199999999</v>
      </c>
      <c r="G822" s="120">
        <f>AVERAGE(FCCL!G41,FCCL!H41)</f>
        <v>78835.530499999993</v>
      </c>
      <c r="H822" s="120">
        <f t="shared" si="24"/>
        <v>0.16903802023631961</v>
      </c>
      <c r="I822" s="120">
        <v>13326.201999999994</v>
      </c>
      <c r="J822" s="120">
        <v>78835.530499999993</v>
      </c>
      <c r="K822" s="120">
        <v>0.16903802023631964</v>
      </c>
      <c r="L822" s="125">
        <v>0.16903802023631964</v>
      </c>
      <c r="M822" s="125">
        <f>FCCL!H165</f>
        <v>0.16903802023631961</v>
      </c>
      <c r="N822" s="126" t="str">
        <f t="shared" si="25"/>
        <v>PASS</v>
      </c>
      <c r="O822" s="122"/>
      <c r="P822" s="119" t="s">
        <v>504</v>
      </c>
    </row>
    <row r="823" spans="1:16" ht="25.95" customHeight="1" x14ac:dyDescent="0.3">
      <c r="A823" s="50" t="s">
        <v>114</v>
      </c>
      <c r="B823" s="50">
        <v>2025</v>
      </c>
      <c r="C823" s="50">
        <v>26</v>
      </c>
      <c r="D823" s="50" t="s">
        <v>944</v>
      </c>
      <c r="E823" s="50" t="s">
        <v>3545</v>
      </c>
      <c r="F823" s="121">
        <f>FCCL!H113</f>
        <v>16899.662571575678</v>
      </c>
      <c r="G823" s="121">
        <f>AVERAGE(FCCL!G70,FCCL!H70)</f>
        <v>117148.64000000001</v>
      </c>
      <c r="H823" s="121">
        <f t="shared" si="24"/>
        <v>0.14425829076270691</v>
      </c>
      <c r="I823" s="121">
        <v>16899.662571575685</v>
      </c>
      <c r="J823" s="121">
        <v>117148.64000000001</v>
      </c>
      <c r="K823" s="121">
        <v>0.14425829076270696</v>
      </c>
      <c r="L823" s="127">
        <v>0.14425829076270696</v>
      </c>
      <c r="M823" s="127">
        <f>FCCL!H166</f>
        <v>0.14425829076270691</v>
      </c>
      <c r="N823" s="128" t="str">
        <f t="shared" si="25"/>
        <v>PASS</v>
      </c>
      <c r="O823" s="68"/>
      <c r="P823" s="50" t="s">
        <v>504</v>
      </c>
    </row>
    <row r="824" spans="1:16" ht="25.95" customHeight="1" x14ac:dyDescent="0.3">
      <c r="A824" s="119" t="s">
        <v>114</v>
      </c>
      <c r="B824" s="119">
        <v>2025</v>
      </c>
      <c r="C824" s="119">
        <v>27</v>
      </c>
      <c r="D824" s="119" t="s">
        <v>945</v>
      </c>
      <c r="E824" s="119" t="s">
        <v>3545</v>
      </c>
      <c r="F824" s="120">
        <f>FCCL!H108</f>
        <v>27297.651999999987</v>
      </c>
      <c r="G824" s="120">
        <f>AVERAGE(FCCL!G37,FCCL!H37)</f>
        <v>154240.745</v>
      </c>
      <c r="H824" s="120">
        <f t="shared" si="24"/>
        <v>0.17698081009657979</v>
      </c>
      <c r="I824" s="120">
        <v>27297.651999999995</v>
      </c>
      <c r="J824" s="120">
        <v>154240.745</v>
      </c>
      <c r="K824" s="120">
        <v>0.17698081009657984</v>
      </c>
      <c r="L824" s="125">
        <v>0.17698081009657984</v>
      </c>
      <c r="M824" s="125">
        <f>FCCL!H167</f>
        <v>0.17698081009657979</v>
      </c>
      <c r="N824" s="126" t="str">
        <f t="shared" si="25"/>
        <v>PASS</v>
      </c>
      <c r="O824" s="122"/>
      <c r="P824" s="119" t="s">
        <v>504</v>
      </c>
    </row>
    <row r="825" spans="1:16" ht="25.95" customHeight="1" x14ac:dyDescent="0.3">
      <c r="A825" s="50" t="s">
        <v>114</v>
      </c>
      <c r="B825" s="50">
        <v>2025</v>
      </c>
      <c r="C825" s="50">
        <v>28</v>
      </c>
      <c r="D825" s="50" t="s">
        <v>139</v>
      </c>
      <c r="E825" s="50" t="s">
        <v>3545</v>
      </c>
      <c r="F825" s="121">
        <f>FCCL!H41</f>
        <v>84272.207999999999</v>
      </c>
      <c r="G825" s="121">
        <f>FCCL!H128</f>
        <v>2452.8476000000001</v>
      </c>
      <c r="H825" s="121">
        <f t="shared" si="24"/>
        <v>34.356887072804682</v>
      </c>
      <c r="I825" s="121">
        <v>84272.207999999999</v>
      </c>
      <c r="J825" s="121">
        <v>2452.8476000000001</v>
      </c>
      <c r="K825" s="121">
        <v>34.356887072804682</v>
      </c>
      <c r="L825" s="127">
        <v>34.356887072804682</v>
      </c>
      <c r="M825" s="127">
        <f>FCCL!H169</f>
        <v>34.356887072804682</v>
      </c>
      <c r="N825" s="128" t="str">
        <f t="shared" si="25"/>
        <v>PASS</v>
      </c>
      <c r="O825" s="68"/>
      <c r="P825" s="50" t="s">
        <v>519</v>
      </c>
    </row>
    <row r="826" spans="1:16" ht="25.95" customHeight="1" x14ac:dyDescent="0.3">
      <c r="A826" s="119" t="s">
        <v>114</v>
      </c>
      <c r="B826" s="119">
        <v>2025</v>
      </c>
      <c r="C826" s="119">
        <v>29</v>
      </c>
      <c r="D826" s="119" t="s">
        <v>162</v>
      </c>
      <c r="E826" s="119" t="s">
        <v>3544</v>
      </c>
      <c r="F826" s="120">
        <f>FCCL!H130</f>
        <v>44.67</v>
      </c>
      <c r="G826" s="120">
        <f>FCCL!H41/FCCL!H128</f>
        <v>34.356887072804682</v>
      </c>
      <c r="H826" s="120">
        <f t="shared" si="24"/>
        <v>1.3001759998029245</v>
      </c>
      <c r="I826" s="120">
        <v>44.67</v>
      </c>
      <c r="J826" s="120">
        <v>34.356887072804682</v>
      </c>
      <c r="K826" s="120">
        <v>1.3001759998029245</v>
      </c>
      <c r="L826" s="125">
        <v>1.3001759998029245</v>
      </c>
      <c r="M826" s="125">
        <f>FCCL!H170</f>
        <v>1.3001759998029245</v>
      </c>
      <c r="N826" s="126" t="str">
        <f t="shared" si="25"/>
        <v>PASS</v>
      </c>
      <c r="O826" s="122"/>
      <c r="P826" s="119" t="s">
        <v>519</v>
      </c>
    </row>
    <row r="827" spans="1:16" ht="25.95" customHeight="1" x14ac:dyDescent="0.3">
      <c r="A827" s="50" t="s">
        <v>114</v>
      </c>
      <c r="B827" s="50">
        <v>2025</v>
      </c>
      <c r="C827" s="50">
        <v>30</v>
      </c>
      <c r="D827" s="50" t="s">
        <v>143</v>
      </c>
      <c r="E827" s="50" t="s">
        <v>3544</v>
      </c>
      <c r="F827" s="121">
        <f>FCCL!H99</f>
        <v>13326.20199999999</v>
      </c>
      <c r="G827" s="121">
        <f>FCCL!H129</f>
        <v>2452.8470000000002</v>
      </c>
      <c r="H827" s="121">
        <f t="shared" si="24"/>
        <v>5.4329528095311241</v>
      </c>
      <c r="I827" s="121">
        <v>13326.201999999994</v>
      </c>
      <c r="J827" s="121">
        <v>2452.8470000000002</v>
      </c>
      <c r="K827" s="121">
        <v>5.4329528095311259</v>
      </c>
      <c r="L827" s="127">
        <v>5.4329528095311259</v>
      </c>
      <c r="M827" s="127">
        <f>FCCL!H171</f>
        <v>5.4329528095311241</v>
      </c>
      <c r="N827" s="128" t="str">
        <f t="shared" si="25"/>
        <v>PASS</v>
      </c>
      <c r="O827" s="68"/>
      <c r="P827" s="50" t="s">
        <v>519</v>
      </c>
    </row>
    <row r="828" spans="1:16" ht="25.95" customHeight="1" x14ac:dyDescent="0.3">
      <c r="A828" s="119" t="s">
        <v>114</v>
      </c>
      <c r="B828" s="119">
        <v>2025</v>
      </c>
      <c r="C828" s="119">
        <v>31</v>
      </c>
      <c r="D828" s="119" t="s">
        <v>952</v>
      </c>
      <c r="E828" s="119" t="s">
        <v>3544</v>
      </c>
      <c r="F828" s="120">
        <f>FCCL!H130</f>
        <v>44.67</v>
      </c>
      <c r="G828" s="120">
        <f>FCCL!H99/FCCL!H129</f>
        <v>5.4329528095311241</v>
      </c>
      <c r="H828" s="120">
        <f t="shared" si="24"/>
        <v>8.2220482242427426</v>
      </c>
      <c r="I828" s="120">
        <v>44.67</v>
      </c>
      <c r="J828" s="120">
        <v>5.4329528095311259</v>
      </c>
      <c r="K828" s="120">
        <v>8.2220482242427408</v>
      </c>
      <c r="L828" s="125">
        <v>8.2220482242427408</v>
      </c>
      <c r="M828" s="125">
        <f>FCCL!H172</f>
        <v>8.2220482242427426</v>
      </c>
      <c r="N828" s="126" t="str">
        <f t="shared" si="25"/>
        <v>PASS</v>
      </c>
      <c r="O828" s="122"/>
      <c r="P828" s="119" t="s">
        <v>519</v>
      </c>
    </row>
    <row r="829" spans="1:16" ht="25.95" customHeight="1" x14ac:dyDescent="0.3">
      <c r="A829" s="50" t="s">
        <v>114</v>
      </c>
      <c r="B829" s="50">
        <v>2025</v>
      </c>
      <c r="C829" s="50">
        <v>32</v>
      </c>
      <c r="D829" s="50" t="s">
        <v>104</v>
      </c>
      <c r="E829" s="50" t="s">
        <v>3544</v>
      </c>
      <c r="F829" s="121">
        <f>FCCL!H131</f>
        <v>1.25</v>
      </c>
      <c r="G829" s="121">
        <f>FCCL!H130</f>
        <v>44.67</v>
      </c>
      <c r="H829" s="121">
        <f t="shared" si="24"/>
        <v>2.7982986344302664E-2</v>
      </c>
      <c r="I829" s="121">
        <v>1.25</v>
      </c>
      <c r="J829" s="121">
        <v>44.67</v>
      </c>
      <c r="K829" s="121">
        <v>2.7982986344302664E-2</v>
      </c>
      <c r="L829" s="127">
        <v>2.7982986344302664E-2</v>
      </c>
      <c r="M829" s="127">
        <f>FCCL!H173</f>
        <v>2.7982986344302664E-2</v>
      </c>
      <c r="N829" s="128" t="str">
        <f t="shared" si="25"/>
        <v>PASS</v>
      </c>
      <c r="O829" s="68"/>
      <c r="P829" s="50" t="s">
        <v>519</v>
      </c>
    </row>
    <row r="830" spans="1:16" ht="25.95" customHeight="1" x14ac:dyDescent="0.3">
      <c r="A830" s="119" t="s">
        <v>114</v>
      </c>
      <c r="B830" s="119">
        <v>2025</v>
      </c>
      <c r="C830" s="119">
        <v>33</v>
      </c>
      <c r="D830" s="119" t="s">
        <v>124</v>
      </c>
      <c r="E830" s="119" t="s">
        <v>3545</v>
      </c>
      <c r="F830" s="120">
        <f>FCCL!H131</f>
        <v>1.25</v>
      </c>
      <c r="G830" s="120">
        <f>FCCL!H99/FCCL!H129</f>
        <v>5.4329528095311241</v>
      </c>
      <c r="H830" s="120">
        <f t="shared" si="24"/>
        <v>0.23007746318118263</v>
      </c>
      <c r="I830" s="120">
        <v>1.25</v>
      </c>
      <c r="J830" s="120">
        <v>5.4329528095311259</v>
      </c>
      <c r="K830" s="120">
        <v>0.23007746318118258</v>
      </c>
      <c r="L830" s="125">
        <v>0.23007746318118258</v>
      </c>
      <c r="M830" s="125">
        <f>FCCL!H174</f>
        <v>0.23007746318118263</v>
      </c>
      <c r="N830" s="126" t="str">
        <f t="shared" si="25"/>
        <v>PASS</v>
      </c>
      <c r="O830" s="122"/>
      <c r="P830" s="119" t="s">
        <v>519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715"/>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1" width="37" customWidth="1"/>
    <col min="2" max="2" width="10" customWidth="1"/>
    <col min="3" max="3" width="12" customWidth="1"/>
    <col min="4" max="4" width="52" customWidth="1"/>
    <col min="5" max="5" width="23" customWidth="1"/>
    <col min="6" max="6" width="24" customWidth="1"/>
    <col min="7" max="7" width="16" customWidth="1"/>
    <col min="8" max="9" width="24" customWidth="1"/>
    <col min="10" max="10" width="22" customWidth="1"/>
    <col min="11" max="11" width="50" customWidth="1"/>
    <col min="12" max="12" width="12" customWidth="1"/>
    <col min="13" max="13" width="22" customWidth="1"/>
    <col min="14" max="14" width="50" customWidth="1"/>
    <col min="15" max="15" width="110" customWidth="1"/>
    <col min="16" max="16" width="140" customWidth="1"/>
  </cols>
  <sheetData>
    <row r="1" spans="1:16" ht="25.95" customHeight="1" x14ac:dyDescent="0.3">
      <c r="A1" s="50"/>
      <c r="B1" s="50"/>
      <c r="C1" s="50"/>
      <c r="D1" s="50"/>
      <c r="E1" s="50"/>
      <c r="F1" s="50"/>
      <c r="G1" s="50"/>
      <c r="H1" s="50"/>
      <c r="I1" s="50"/>
      <c r="J1" s="50"/>
      <c r="K1" s="50"/>
      <c r="L1" s="50"/>
      <c r="M1" s="50"/>
      <c r="N1" s="50"/>
      <c r="O1" s="50"/>
      <c r="P1" s="50"/>
    </row>
    <row r="2" spans="1:16" ht="25.95" customHeight="1" x14ac:dyDescent="0.3">
      <c r="A2" s="51" t="s">
        <v>3549</v>
      </c>
      <c r="B2" s="50"/>
      <c r="C2" s="50"/>
      <c r="D2" s="50"/>
      <c r="E2" s="50"/>
      <c r="F2" s="50"/>
      <c r="G2" s="50"/>
      <c r="H2" s="50"/>
      <c r="I2" s="50"/>
      <c r="J2" s="50"/>
      <c r="K2" s="50"/>
      <c r="L2" s="50"/>
      <c r="M2" s="50"/>
      <c r="N2" s="50"/>
      <c r="O2" s="50"/>
      <c r="P2" s="50"/>
    </row>
    <row r="3" spans="1:16" ht="25.95" customHeight="1" x14ac:dyDescent="0.3">
      <c r="A3" s="117" t="s">
        <v>3550</v>
      </c>
      <c r="B3" s="50"/>
      <c r="C3" s="50"/>
      <c r="D3" s="50"/>
      <c r="E3" s="50"/>
      <c r="F3" s="50"/>
      <c r="G3" s="50"/>
      <c r="H3" s="50"/>
      <c r="I3" s="50"/>
      <c r="J3" s="50"/>
      <c r="K3" s="50"/>
      <c r="L3" s="50"/>
      <c r="M3" s="50"/>
      <c r="N3" s="50"/>
      <c r="O3" s="50"/>
      <c r="P3" s="50"/>
    </row>
    <row r="4" spans="1:16" ht="25.95" customHeight="1" x14ac:dyDescent="0.3">
      <c r="A4" s="50"/>
      <c r="B4" s="50"/>
      <c r="C4" s="50"/>
      <c r="D4" s="50"/>
      <c r="E4" s="50"/>
      <c r="F4" s="50"/>
      <c r="G4" s="50"/>
      <c r="H4" s="50"/>
      <c r="I4" s="50"/>
      <c r="J4" s="50"/>
      <c r="K4" s="50"/>
      <c r="L4" s="50"/>
      <c r="M4" s="50"/>
      <c r="N4" s="50"/>
      <c r="O4" s="50"/>
      <c r="P4" s="50"/>
    </row>
    <row r="5" spans="1:16" ht="40.049999999999997" customHeight="1" x14ac:dyDescent="0.3">
      <c r="A5" s="118" t="s">
        <v>3551</v>
      </c>
      <c r="B5" s="118" t="s">
        <v>1</v>
      </c>
      <c r="C5" s="118" t="s">
        <v>3</v>
      </c>
      <c r="D5" s="118" t="s">
        <v>3552</v>
      </c>
      <c r="E5" s="118" t="s">
        <v>3553</v>
      </c>
      <c r="F5" s="118" t="s">
        <v>3554</v>
      </c>
      <c r="G5" s="118" t="s">
        <v>3555</v>
      </c>
      <c r="H5" s="118" t="s">
        <v>3556</v>
      </c>
      <c r="I5" s="118" t="s">
        <v>3557</v>
      </c>
      <c r="J5" s="118" t="s">
        <v>3558</v>
      </c>
      <c r="K5" s="118" t="s">
        <v>3559</v>
      </c>
      <c r="L5" s="118" t="s">
        <v>1092</v>
      </c>
      <c r="M5" s="118" t="s">
        <v>3560</v>
      </c>
      <c r="N5" s="118" t="s">
        <v>3561</v>
      </c>
      <c r="O5" s="118" t="s">
        <v>3562</v>
      </c>
      <c r="P5" s="118" t="s">
        <v>3563</v>
      </c>
    </row>
    <row r="6" spans="1:16" ht="82.05" customHeight="1" x14ac:dyDescent="0.3">
      <c r="A6" s="119" t="s">
        <v>1102</v>
      </c>
      <c r="B6" s="119" t="s">
        <v>18</v>
      </c>
      <c r="C6" s="119" t="s">
        <v>965</v>
      </c>
      <c r="D6" s="119" t="s">
        <v>243</v>
      </c>
      <c r="E6" s="120">
        <v>22777666271</v>
      </c>
      <c r="F6" s="120">
        <v>22777666271</v>
      </c>
      <c r="G6" s="120" t="s">
        <v>1109</v>
      </c>
      <c r="H6" s="120">
        <f t="shared" ref="H6:H69" si="0">F6/1000000</f>
        <v>22777.666270999998</v>
      </c>
      <c r="I6" s="120">
        <f>KOHC!C20</f>
        <v>22777.666270999998</v>
      </c>
      <c r="J6" s="120">
        <f t="shared" ref="J6:J69" si="1">H6-I6</f>
        <v>0</v>
      </c>
      <c r="K6" s="119" t="s">
        <v>1104</v>
      </c>
      <c r="L6" s="119">
        <v>45</v>
      </c>
      <c r="M6" s="119" t="s">
        <v>1106</v>
      </c>
      <c r="N6" s="122" t="s">
        <v>3564</v>
      </c>
      <c r="O6" s="122" t="s">
        <v>3565</v>
      </c>
      <c r="P6" s="122" t="s">
        <v>3566</v>
      </c>
    </row>
    <row r="7" spans="1:16" ht="82.05" customHeight="1" x14ac:dyDescent="0.3">
      <c r="A7" s="50" t="s">
        <v>1111</v>
      </c>
      <c r="B7" s="50" t="s">
        <v>18</v>
      </c>
      <c r="C7" s="50" t="s">
        <v>20</v>
      </c>
      <c r="D7" s="50" t="s">
        <v>243</v>
      </c>
      <c r="E7" s="121">
        <v>22027544913</v>
      </c>
      <c r="F7" s="121">
        <v>22027544913</v>
      </c>
      <c r="G7" s="121" t="s">
        <v>1109</v>
      </c>
      <c r="H7" s="121">
        <f t="shared" si="0"/>
        <v>22027.544913000002</v>
      </c>
      <c r="I7" s="121">
        <f>KOHC!D20</f>
        <v>22027.544913000002</v>
      </c>
      <c r="J7" s="121">
        <f t="shared" si="1"/>
        <v>0</v>
      </c>
      <c r="K7" s="50" t="s">
        <v>1112</v>
      </c>
      <c r="L7" s="50">
        <v>53</v>
      </c>
      <c r="M7" s="50" t="s">
        <v>1106</v>
      </c>
      <c r="N7" s="68" t="s">
        <v>3564</v>
      </c>
      <c r="O7" s="68" t="s">
        <v>3565</v>
      </c>
      <c r="P7" s="68" t="s">
        <v>3567</v>
      </c>
    </row>
    <row r="8" spans="1:16" ht="82.05" customHeight="1" x14ac:dyDescent="0.3">
      <c r="A8" s="119" t="s">
        <v>1115</v>
      </c>
      <c r="B8" s="119" t="s">
        <v>18</v>
      </c>
      <c r="C8" s="119" t="s">
        <v>26</v>
      </c>
      <c r="D8" s="119" t="s">
        <v>243</v>
      </c>
      <c r="E8" s="120">
        <v>21331296362</v>
      </c>
      <c r="F8" s="120">
        <v>21331296362</v>
      </c>
      <c r="G8" s="120" t="s">
        <v>1109</v>
      </c>
      <c r="H8" s="120">
        <f t="shared" si="0"/>
        <v>21331.296362000001</v>
      </c>
      <c r="I8" s="120">
        <f>KOHC!E20</f>
        <v>21331.296362000001</v>
      </c>
      <c r="J8" s="120">
        <f t="shared" si="1"/>
        <v>0</v>
      </c>
      <c r="K8" s="119" t="s">
        <v>1116</v>
      </c>
      <c r="L8" s="119">
        <v>53</v>
      </c>
      <c r="M8" s="119" t="s">
        <v>1106</v>
      </c>
      <c r="N8" s="122" t="s">
        <v>3564</v>
      </c>
      <c r="O8" s="122" t="s">
        <v>3565</v>
      </c>
      <c r="P8" s="122" t="s">
        <v>3568</v>
      </c>
    </row>
    <row r="9" spans="1:16" ht="82.05" customHeight="1" x14ac:dyDescent="0.3">
      <c r="A9" s="50" t="s">
        <v>1118</v>
      </c>
      <c r="B9" s="50" t="s">
        <v>18</v>
      </c>
      <c r="C9" s="50" t="s">
        <v>27</v>
      </c>
      <c r="D9" s="50" t="s">
        <v>243</v>
      </c>
      <c r="E9" s="121">
        <v>22229434463</v>
      </c>
      <c r="F9" s="121">
        <v>22229434463</v>
      </c>
      <c r="G9" s="121" t="s">
        <v>1109</v>
      </c>
      <c r="H9" s="121">
        <f t="shared" si="0"/>
        <v>22229.434463000001</v>
      </c>
      <c r="I9" s="121">
        <f>KOHC!F20</f>
        <v>22229.434463000001</v>
      </c>
      <c r="J9" s="121">
        <f t="shared" si="1"/>
        <v>0</v>
      </c>
      <c r="K9" s="50" t="s">
        <v>1119</v>
      </c>
      <c r="L9" s="50">
        <v>59</v>
      </c>
      <c r="M9" s="50" t="s">
        <v>1106</v>
      </c>
      <c r="N9" s="68" t="s">
        <v>3564</v>
      </c>
      <c r="O9" s="68" t="s">
        <v>3565</v>
      </c>
      <c r="P9" s="68" t="s">
        <v>3569</v>
      </c>
    </row>
    <row r="10" spans="1:16" ht="82.05" customHeight="1" x14ac:dyDescent="0.3">
      <c r="A10" s="119" t="s">
        <v>1122</v>
      </c>
      <c r="B10" s="119" t="s">
        <v>18</v>
      </c>
      <c r="C10" s="119" t="s">
        <v>28</v>
      </c>
      <c r="D10" s="119" t="s">
        <v>243</v>
      </c>
      <c r="E10" s="120">
        <v>22156640533</v>
      </c>
      <c r="F10" s="120">
        <v>22156640533</v>
      </c>
      <c r="G10" s="120" t="s">
        <v>1109</v>
      </c>
      <c r="H10" s="120">
        <f t="shared" si="0"/>
        <v>22156.640533000002</v>
      </c>
      <c r="I10" s="120">
        <f>KOHC!G20</f>
        <v>22156.640533000002</v>
      </c>
      <c r="J10" s="120">
        <f t="shared" si="1"/>
        <v>0</v>
      </c>
      <c r="K10" s="119" t="s">
        <v>1123</v>
      </c>
      <c r="L10" s="119">
        <v>69</v>
      </c>
      <c r="M10" s="119" t="s">
        <v>1106</v>
      </c>
      <c r="N10" s="122" t="s">
        <v>3564</v>
      </c>
      <c r="O10" s="122" t="s">
        <v>3565</v>
      </c>
      <c r="P10" s="122" t="s">
        <v>3570</v>
      </c>
    </row>
    <row r="11" spans="1:16" ht="82.05" customHeight="1" x14ac:dyDescent="0.3">
      <c r="A11" s="50" t="s">
        <v>1126</v>
      </c>
      <c r="B11" s="50" t="s">
        <v>18</v>
      </c>
      <c r="C11" s="50" t="s">
        <v>29</v>
      </c>
      <c r="D11" s="50" t="s">
        <v>243</v>
      </c>
      <c r="E11" s="121">
        <v>23359980509</v>
      </c>
      <c r="F11" s="121">
        <v>23359980509</v>
      </c>
      <c r="G11" s="121" t="s">
        <v>1109</v>
      </c>
      <c r="H11" s="121">
        <f t="shared" si="0"/>
        <v>23359.980509000001</v>
      </c>
      <c r="I11" s="121">
        <f>KOHC!H20</f>
        <v>23359.980509000001</v>
      </c>
      <c r="J11" s="121">
        <f t="shared" si="1"/>
        <v>0</v>
      </c>
      <c r="K11" s="50" t="s">
        <v>1123</v>
      </c>
      <c r="L11" s="50">
        <v>69</v>
      </c>
      <c r="M11" s="50" t="s">
        <v>1127</v>
      </c>
      <c r="N11" s="68" t="s">
        <v>3564</v>
      </c>
      <c r="O11" s="68" t="s">
        <v>3565</v>
      </c>
      <c r="P11" s="68" t="s">
        <v>3571</v>
      </c>
    </row>
    <row r="12" spans="1:16" ht="82.05" customHeight="1" x14ac:dyDescent="0.3">
      <c r="A12" s="119" t="s">
        <v>1128</v>
      </c>
      <c r="B12" s="119" t="s">
        <v>18</v>
      </c>
      <c r="C12" s="119" t="s">
        <v>965</v>
      </c>
      <c r="D12" s="119" t="s">
        <v>1129</v>
      </c>
      <c r="E12" s="120">
        <v>164578022</v>
      </c>
      <c r="F12" s="120">
        <v>164578022</v>
      </c>
      <c r="G12" s="120" t="s">
        <v>1109</v>
      </c>
      <c r="H12" s="120">
        <f t="shared" si="0"/>
        <v>164.578022</v>
      </c>
      <c r="I12" s="120">
        <f>KOHC!C21</f>
        <v>164.578022</v>
      </c>
      <c r="J12" s="120">
        <f t="shared" si="1"/>
        <v>0</v>
      </c>
      <c r="K12" s="119" t="s">
        <v>1104</v>
      </c>
      <c r="L12" s="119">
        <v>74</v>
      </c>
      <c r="M12" s="119" t="s">
        <v>1106</v>
      </c>
      <c r="N12" s="122" t="s">
        <v>3564</v>
      </c>
      <c r="O12" s="122" t="s">
        <v>3565</v>
      </c>
      <c r="P12" s="122" t="s">
        <v>3572</v>
      </c>
    </row>
    <row r="13" spans="1:16" ht="82.05" customHeight="1" x14ac:dyDescent="0.3">
      <c r="A13" s="50" t="s">
        <v>1133</v>
      </c>
      <c r="B13" s="50" t="s">
        <v>18</v>
      </c>
      <c r="C13" s="50" t="s">
        <v>20</v>
      </c>
      <c r="D13" s="50" t="s">
        <v>1129</v>
      </c>
      <c r="E13" s="121">
        <v>273939559</v>
      </c>
      <c r="F13" s="121">
        <v>273939559</v>
      </c>
      <c r="G13" s="121" t="s">
        <v>1109</v>
      </c>
      <c r="H13" s="121">
        <f t="shared" si="0"/>
        <v>273.93955899999997</v>
      </c>
      <c r="I13" s="121">
        <f>KOHC!D21</f>
        <v>273.93955899999997</v>
      </c>
      <c r="J13" s="121">
        <f t="shared" si="1"/>
        <v>0</v>
      </c>
      <c r="K13" s="50" t="s">
        <v>1112</v>
      </c>
      <c r="L13" s="50">
        <v>83</v>
      </c>
      <c r="M13" s="50" t="s">
        <v>1106</v>
      </c>
      <c r="N13" s="68" t="s">
        <v>3564</v>
      </c>
      <c r="O13" s="68" t="s">
        <v>3565</v>
      </c>
      <c r="P13" s="68" t="s">
        <v>3573</v>
      </c>
    </row>
    <row r="14" spans="1:16" ht="82.05" customHeight="1" x14ac:dyDescent="0.3">
      <c r="A14" s="119" t="s">
        <v>1134</v>
      </c>
      <c r="B14" s="119" t="s">
        <v>18</v>
      </c>
      <c r="C14" s="119" t="s">
        <v>26</v>
      </c>
      <c r="D14" s="119" t="s">
        <v>1129</v>
      </c>
      <c r="E14" s="120">
        <v>130897947</v>
      </c>
      <c r="F14" s="120">
        <v>130897947</v>
      </c>
      <c r="G14" s="120" t="s">
        <v>1109</v>
      </c>
      <c r="H14" s="120">
        <f t="shared" si="0"/>
        <v>130.89794699999999</v>
      </c>
      <c r="I14" s="120">
        <f>KOHC!E21</f>
        <v>130.89794699999999</v>
      </c>
      <c r="J14" s="120">
        <f t="shared" si="1"/>
        <v>0</v>
      </c>
      <c r="K14" s="119" t="s">
        <v>1116</v>
      </c>
      <c r="L14" s="119">
        <v>81</v>
      </c>
      <c r="M14" s="119" t="s">
        <v>1106</v>
      </c>
      <c r="N14" s="122" t="s">
        <v>3564</v>
      </c>
      <c r="O14" s="122" t="s">
        <v>3565</v>
      </c>
      <c r="P14" s="122" t="s">
        <v>3574</v>
      </c>
    </row>
    <row r="15" spans="1:16" ht="82.05" customHeight="1" x14ac:dyDescent="0.3">
      <c r="A15" s="50" t="s">
        <v>1135</v>
      </c>
      <c r="B15" s="50" t="s">
        <v>18</v>
      </c>
      <c r="C15" s="50" t="s">
        <v>27</v>
      </c>
      <c r="D15" s="50" t="s">
        <v>1129</v>
      </c>
      <c r="E15" s="121">
        <v>1943019581</v>
      </c>
      <c r="F15" s="121">
        <v>1943019581</v>
      </c>
      <c r="G15" s="121" t="s">
        <v>1109</v>
      </c>
      <c r="H15" s="121">
        <f t="shared" si="0"/>
        <v>1943.019581</v>
      </c>
      <c r="I15" s="121">
        <f>KOHC!F21</f>
        <v>1943.019581</v>
      </c>
      <c r="J15" s="121">
        <f t="shared" si="1"/>
        <v>0</v>
      </c>
      <c r="K15" s="50" t="s">
        <v>1119</v>
      </c>
      <c r="L15" s="50">
        <v>89</v>
      </c>
      <c r="M15" s="50" t="s">
        <v>1106</v>
      </c>
      <c r="N15" s="68" t="s">
        <v>3564</v>
      </c>
      <c r="O15" s="68" t="s">
        <v>3565</v>
      </c>
      <c r="P15" s="68" t="s">
        <v>3575</v>
      </c>
    </row>
    <row r="16" spans="1:16" ht="82.05" customHeight="1" x14ac:dyDescent="0.3">
      <c r="A16" s="119" t="s">
        <v>1136</v>
      </c>
      <c r="B16" s="119" t="s">
        <v>18</v>
      </c>
      <c r="C16" s="119" t="s">
        <v>28</v>
      </c>
      <c r="D16" s="119" t="s">
        <v>1129</v>
      </c>
      <c r="E16" s="120">
        <v>999326605</v>
      </c>
      <c r="F16" s="120">
        <v>999326605</v>
      </c>
      <c r="G16" s="120" t="s">
        <v>1109</v>
      </c>
      <c r="H16" s="120">
        <f t="shared" si="0"/>
        <v>999.32660499999997</v>
      </c>
      <c r="I16" s="120">
        <f>KOHC!G21</f>
        <v>999.32660499999997</v>
      </c>
      <c r="J16" s="120">
        <f t="shared" si="1"/>
        <v>0</v>
      </c>
      <c r="K16" s="119" t="s">
        <v>1123</v>
      </c>
      <c r="L16" s="119">
        <v>97</v>
      </c>
      <c r="M16" s="119" t="s">
        <v>1106</v>
      </c>
      <c r="N16" s="122" t="s">
        <v>3564</v>
      </c>
      <c r="O16" s="122" t="s">
        <v>3565</v>
      </c>
      <c r="P16" s="122" t="s">
        <v>3576</v>
      </c>
    </row>
    <row r="17" spans="1:16" ht="82.05" customHeight="1" x14ac:dyDescent="0.3">
      <c r="A17" s="50" t="s">
        <v>1137</v>
      </c>
      <c r="B17" s="50" t="s">
        <v>18</v>
      </c>
      <c r="C17" s="50" t="s">
        <v>29</v>
      </c>
      <c r="D17" s="50" t="s">
        <v>1129</v>
      </c>
      <c r="E17" s="121">
        <v>2486634755</v>
      </c>
      <c r="F17" s="121">
        <v>2486634755</v>
      </c>
      <c r="G17" s="121" t="s">
        <v>1109</v>
      </c>
      <c r="H17" s="121">
        <f t="shared" si="0"/>
        <v>2486.634755</v>
      </c>
      <c r="I17" s="121">
        <f>KOHC!H21</f>
        <v>2486.634755</v>
      </c>
      <c r="J17" s="121">
        <f t="shared" si="1"/>
        <v>0</v>
      </c>
      <c r="K17" s="50" t="s">
        <v>1123</v>
      </c>
      <c r="L17" s="50">
        <v>97</v>
      </c>
      <c r="M17" s="50" t="s">
        <v>1127</v>
      </c>
      <c r="N17" s="68" t="s">
        <v>3564</v>
      </c>
      <c r="O17" s="68" t="s">
        <v>3565</v>
      </c>
      <c r="P17" s="68" t="s">
        <v>3577</v>
      </c>
    </row>
    <row r="18" spans="1:16" ht="82.05" customHeight="1" x14ac:dyDescent="0.3">
      <c r="A18" s="119" t="s">
        <v>1138</v>
      </c>
      <c r="B18" s="119" t="s">
        <v>18</v>
      </c>
      <c r="C18" s="119" t="s">
        <v>965</v>
      </c>
      <c r="D18" s="119" t="s">
        <v>250</v>
      </c>
      <c r="E18" s="120">
        <v>0</v>
      </c>
      <c r="F18" s="120">
        <v>0</v>
      </c>
      <c r="G18" s="120" t="s">
        <v>1109</v>
      </c>
      <c r="H18" s="120">
        <f t="shared" si="0"/>
        <v>0</v>
      </c>
      <c r="I18" s="120">
        <f>KOHC!C23</f>
        <v>0</v>
      </c>
      <c r="J18" s="120">
        <f t="shared" si="1"/>
        <v>0</v>
      </c>
      <c r="K18" s="119" t="s">
        <v>1104</v>
      </c>
      <c r="L18" s="119">
        <v>44</v>
      </c>
      <c r="M18" s="119" t="s">
        <v>1106</v>
      </c>
      <c r="N18" s="122" t="s">
        <v>3578</v>
      </c>
      <c r="O18" s="122" t="s">
        <v>3579</v>
      </c>
      <c r="P18" s="122" t="s">
        <v>3580</v>
      </c>
    </row>
    <row r="19" spans="1:16" ht="82.05" customHeight="1" x14ac:dyDescent="0.3">
      <c r="A19" s="50" t="s">
        <v>1140</v>
      </c>
      <c r="B19" s="50" t="s">
        <v>18</v>
      </c>
      <c r="C19" s="50" t="s">
        <v>20</v>
      </c>
      <c r="D19" s="50" t="s">
        <v>250</v>
      </c>
      <c r="E19" s="121">
        <v>0</v>
      </c>
      <c r="F19" s="121">
        <v>0</v>
      </c>
      <c r="G19" s="121" t="s">
        <v>1109</v>
      </c>
      <c r="H19" s="121">
        <f t="shared" si="0"/>
        <v>0</v>
      </c>
      <c r="I19" s="121">
        <f>KOHC!D23</f>
        <v>0</v>
      </c>
      <c r="J19" s="121">
        <f t="shared" si="1"/>
        <v>0</v>
      </c>
      <c r="K19" s="50" t="s">
        <v>1112</v>
      </c>
      <c r="L19" s="50">
        <v>52</v>
      </c>
      <c r="M19" s="50" t="s">
        <v>1106</v>
      </c>
      <c r="N19" s="68" t="s">
        <v>3578</v>
      </c>
      <c r="O19" s="68" t="s">
        <v>3579</v>
      </c>
      <c r="P19" s="68" t="s">
        <v>3581</v>
      </c>
    </row>
    <row r="20" spans="1:16" ht="82.05" customHeight="1" x14ac:dyDescent="0.3">
      <c r="A20" s="119" t="s">
        <v>1141</v>
      </c>
      <c r="B20" s="119" t="s">
        <v>18</v>
      </c>
      <c r="C20" s="119" t="s">
        <v>26</v>
      </c>
      <c r="D20" s="119" t="s">
        <v>250</v>
      </c>
      <c r="E20" s="120">
        <v>0</v>
      </c>
      <c r="F20" s="120">
        <v>0</v>
      </c>
      <c r="G20" s="120" t="s">
        <v>1109</v>
      </c>
      <c r="H20" s="120">
        <f t="shared" si="0"/>
        <v>0</v>
      </c>
      <c r="I20" s="120">
        <f>KOHC!E23</f>
        <v>0</v>
      </c>
      <c r="J20" s="120">
        <f t="shared" si="1"/>
        <v>0</v>
      </c>
      <c r="K20" s="119" t="s">
        <v>1116</v>
      </c>
      <c r="L20" s="119">
        <v>52</v>
      </c>
      <c r="M20" s="119" t="s">
        <v>1106</v>
      </c>
      <c r="N20" s="122" t="s">
        <v>3578</v>
      </c>
      <c r="O20" s="122" t="s">
        <v>3579</v>
      </c>
      <c r="P20" s="122" t="s">
        <v>3582</v>
      </c>
    </row>
    <row r="21" spans="1:16" ht="82.05" customHeight="1" x14ac:dyDescent="0.3">
      <c r="A21" s="50" t="s">
        <v>1142</v>
      </c>
      <c r="B21" s="50" t="s">
        <v>18</v>
      </c>
      <c r="C21" s="50" t="s">
        <v>27</v>
      </c>
      <c r="D21" s="50" t="s">
        <v>250</v>
      </c>
      <c r="E21" s="121">
        <v>0</v>
      </c>
      <c r="F21" s="121">
        <v>0</v>
      </c>
      <c r="G21" s="121" t="s">
        <v>1109</v>
      </c>
      <c r="H21" s="121">
        <f t="shared" si="0"/>
        <v>0</v>
      </c>
      <c r="I21" s="121">
        <f>KOHC!F23</f>
        <v>0</v>
      </c>
      <c r="J21" s="121">
        <f t="shared" si="1"/>
        <v>0</v>
      </c>
      <c r="K21" s="50" t="s">
        <v>1119</v>
      </c>
      <c r="L21" s="50">
        <v>58</v>
      </c>
      <c r="M21" s="50" t="s">
        <v>1106</v>
      </c>
      <c r="N21" s="68" t="s">
        <v>3578</v>
      </c>
      <c r="O21" s="68" t="s">
        <v>3579</v>
      </c>
      <c r="P21" s="68" t="s">
        <v>3583</v>
      </c>
    </row>
    <row r="22" spans="1:16" ht="82.05" customHeight="1" x14ac:dyDescent="0.3">
      <c r="A22" s="119" t="s">
        <v>1143</v>
      </c>
      <c r="B22" s="119" t="s">
        <v>18</v>
      </c>
      <c r="C22" s="119" t="s">
        <v>28</v>
      </c>
      <c r="D22" s="119" t="s">
        <v>250</v>
      </c>
      <c r="E22" s="120">
        <v>0</v>
      </c>
      <c r="F22" s="120">
        <v>0</v>
      </c>
      <c r="G22" s="120" t="s">
        <v>1109</v>
      </c>
      <c r="H22" s="120">
        <f t="shared" si="0"/>
        <v>0</v>
      </c>
      <c r="I22" s="120">
        <f>KOHC!G23</f>
        <v>0</v>
      </c>
      <c r="J22" s="120">
        <f t="shared" si="1"/>
        <v>0</v>
      </c>
      <c r="K22" s="119" t="s">
        <v>1123</v>
      </c>
      <c r="L22" s="119">
        <v>68</v>
      </c>
      <c r="M22" s="119" t="s">
        <v>1106</v>
      </c>
      <c r="N22" s="122" t="s">
        <v>3578</v>
      </c>
      <c r="O22" s="122" t="s">
        <v>3579</v>
      </c>
      <c r="P22" s="122" t="s">
        <v>3584</v>
      </c>
    </row>
    <row r="23" spans="1:16" ht="82.05" customHeight="1" x14ac:dyDescent="0.3">
      <c r="A23" s="50" t="s">
        <v>1145</v>
      </c>
      <c r="B23" s="50" t="s">
        <v>18</v>
      </c>
      <c r="C23" s="50" t="s">
        <v>29</v>
      </c>
      <c r="D23" s="50" t="s">
        <v>250</v>
      </c>
      <c r="E23" s="121">
        <v>0</v>
      </c>
      <c r="F23" s="121">
        <v>0</v>
      </c>
      <c r="G23" s="121" t="s">
        <v>1109</v>
      </c>
      <c r="H23" s="121">
        <f t="shared" si="0"/>
        <v>0</v>
      </c>
      <c r="I23" s="121">
        <f>KOHC!H23</f>
        <v>0</v>
      </c>
      <c r="J23" s="121">
        <f t="shared" si="1"/>
        <v>0</v>
      </c>
      <c r="K23" s="50" t="s">
        <v>1123</v>
      </c>
      <c r="L23" s="50">
        <v>68</v>
      </c>
      <c r="M23" s="50" t="s">
        <v>1127</v>
      </c>
      <c r="N23" s="68" t="s">
        <v>3578</v>
      </c>
      <c r="O23" s="68" t="s">
        <v>3579</v>
      </c>
      <c r="P23" s="68" t="s">
        <v>3584</v>
      </c>
    </row>
    <row r="24" spans="1:16" ht="82.05" customHeight="1" x14ac:dyDescent="0.3">
      <c r="A24" s="119" t="s">
        <v>1146</v>
      </c>
      <c r="B24" s="119" t="s">
        <v>18</v>
      </c>
      <c r="C24" s="119" t="s">
        <v>965</v>
      </c>
      <c r="D24" s="119" t="s">
        <v>252</v>
      </c>
      <c r="E24" s="120">
        <v>11210982</v>
      </c>
      <c r="F24" s="120">
        <v>11210982</v>
      </c>
      <c r="G24" s="120" t="s">
        <v>1109</v>
      </c>
      <c r="H24" s="120">
        <f t="shared" si="0"/>
        <v>11.210982</v>
      </c>
      <c r="I24" s="120">
        <f>KOHC!C24</f>
        <v>11.210982</v>
      </c>
      <c r="J24" s="120">
        <f t="shared" si="1"/>
        <v>0</v>
      </c>
      <c r="K24" s="119" t="s">
        <v>1104</v>
      </c>
      <c r="L24" s="119">
        <v>45</v>
      </c>
      <c r="M24" s="119" t="s">
        <v>1106</v>
      </c>
      <c r="N24" s="122" t="s">
        <v>3564</v>
      </c>
      <c r="O24" s="122" t="s">
        <v>3565</v>
      </c>
      <c r="P24" s="122" t="s">
        <v>3585</v>
      </c>
    </row>
    <row r="25" spans="1:16" ht="82.05" customHeight="1" x14ac:dyDescent="0.3">
      <c r="A25" s="50" t="s">
        <v>1149</v>
      </c>
      <c r="B25" s="50" t="s">
        <v>18</v>
      </c>
      <c r="C25" s="50" t="s">
        <v>20</v>
      </c>
      <c r="D25" s="50" t="s">
        <v>252</v>
      </c>
      <c r="E25" s="121">
        <v>6725911</v>
      </c>
      <c r="F25" s="121">
        <v>6725911</v>
      </c>
      <c r="G25" s="121" t="s">
        <v>1109</v>
      </c>
      <c r="H25" s="121">
        <f t="shared" si="0"/>
        <v>6.725911</v>
      </c>
      <c r="I25" s="121">
        <f>KOHC!D24</f>
        <v>6.725911</v>
      </c>
      <c r="J25" s="121">
        <f t="shared" si="1"/>
        <v>0</v>
      </c>
      <c r="K25" s="50" t="s">
        <v>1112</v>
      </c>
      <c r="L25" s="50">
        <v>53</v>
      </c>
      <c r="M25" s="50" t="s">
        <v>1106</v>
      </c>
      <c r="N25" s="68" t="s">
        <v>3564</v>
      </c>
      <c r="O25" s="68" t="s">
        <v>3565</v>
      </c>
      <c r="P25" s="68" t="s">
        <v>3586</v>
      </c>
    </row>
    <row r="26" spans="1:16" ht="82.05" customHeight="1" x14ac:dyDescent="0.3">
      <c r="A26" s="119" t="s">
        <v>1150</v>
      </c>
      <c r="B26" s="119" t="s">
        <v>18</v>
      </c>
      <c r="C26" s="119" t="s">
        <v>26</v>
      </c>
      <c r="D26" s="119" t="s">
        <v>252</v>
      </c>
      <c r="E26" s="120">
        <v>2701357</v>
      </c>
      <c r="F26" s="120">
        <v>2701357</v>
      </c>
      <c r="G26" s="120" t="s">
        <v>1109</v>
      </c>
      <c r="H26" s="120">
        <f t="shared" si="0"/>
        <v>2.7013569999999998</v>
      </c>
      <c r="I26" s="120">
        <f>KOHC!E24</f>
        <v>2.7013569999999998</v>
      </c>
      <c r="J26" s="120">
        <f t="shared" si="1"/>
        <v>0</v>
      </c>
      <c r="K26" s="119" t="s">
        <v>1116</v>
      </c>
      <c r="L26" s="119">
        <v>53</v>
      </c>
      <c r="M26" s="119" t="s">
        <v>1106</v>
      </c>
      <c r="N26" s="122" t="s">
        <v>3564</v>
      </c>
      <c r="O26" s="122" t="s">
        <v>3565</v>
      </c>
      <c r="P26" s="122" t="s">
        <v>3587</v>
      </c>
    </row>
    <row r="27" spans="1:16" ht="82.05" customHeight="1" x14ac:dyDescent="0.3">
      <c r="A27" s="50" t="s">
        <v>1151</v>
      </c>
      <c r="B27" s="50" t="s">
        <v>18</v>
      </c>
      <c r="C27" s="50" t="s">
        <v>27</v>
      </c>
      <c r="D27" s="50" t="s">
        <v>252</v>
      </c>
      <c r="E27" s="121">
        <v>1567709</v>
      </c>
      <c r="F27" s="121">
        <v>1567709</v>
      </c>
      <c r="G27" s="121" t="s">
        <v>1109</v>
      </c>
      <c r="H27" s="121">
        <f t="shared" si="0"/>
        <v>1.567709</v>
      </c>
      <c r="I27" s="121">
        <f>KOHC!F24</f>
        <v>1.567709</v>
      </c>
      <c r="J27" s="121">
        <f t="shared" si="1"/>
        <v>0</v>
      </c>
      <c r="K27" s="50" t="s">
        <v>1119</v>
      </c>
      <c r="L27" s="50">
        <v>59</v>
      </c>
      <c r="M27" s="50" t="s">
        <v>1106</v>
      </c>
      <c r="N27" s="68" t="s">
        <v>3564</v>
      </c>
      <c r="O27" s="68" t="s">
        <v>3565</v>
      </c>
      <c r="P27" s="68" t="s">
        <v>3588</v>
      </c>
    </row>
    <row r="28" spans="1:16" ht="82.05" customHeight="1" x14ac:dyDescent="0.3">
      <c r="A28" s="119" t="s">
        <v>1152</v>
      </c>
      <c r="B28" s="119" t="s">
        <v>18</v>
      </c>
      <c r="C28" s="119" t="s">
        <v>28</v>
      </c>
      <c r="D28" s="119" t="s">
        <v>252</v>
      </c>
      <c r="E28" s="120">
        <v>508226</v>
      </c>
      <c r="F28" s="120">
        <v>508226</v>
      </c>
      <c r="G28" s="120" t="s">
        <v>1109</v>
      </c>
      <c r="H28" s="120">
        <f t="shared" si="0"/>
        <v>0.50822599999999996</v>
      </c>
      <c r="I28" s="120">
        <f>KOHC!G24</f>
        <v>0.50822599999999996</v>
      </c>
      <c r="J28" s="120">
        <f t="shared" si="1"/>
        <v>0</v>
      </c>
      <c r="K28" s="119" t="s">
        <v>1123</v>
      </c>
      <c r="L28" s="119">
        <v>69</v>
      </c>
      <c r="M28" s="119" t="s">
        <v>1106</v>
      </c>
      <c r="N28" s="122" t="s">
        <v>3564</v>
      </c>
      <c r="O28" s="122" t="s">
        <v>3565</v>
      </c>
      <c r="P28" s="122" t="s">
        <v>3589</v>
      </c>
    </row>
    <row r="29" spans="1:16" ht="82.05" customHeight="1" x14ac:dyDescent="0.3">
      <c r="A29" s="50" t="s">
        <v>1153</v>
      </c>
      <c r="B29" s="50" t="s">
        <v>18</v>
      </c>
      <c r="C29" s="50" t="s">
        <v>29</v>
      </c>
      <c r="D29" s="50" t="s">
        <v>252</v>
      </c>
      <c r="E29" s="121">
        <v>259742</v>
      </c>
      <c r="F29" s="121">
        <v>259742</v>
      </c>
      <c r="G29" s="121" t="s">
        <v>1109</v>
      </c>
      <c r="H29" s="121">
        <f t="shared" si="0"/>
        <v>0.25974199999999997</v>
      </c>
      <c r="I29" s="121">
        <f>KOHC!H24</f>
        <v>0.25974199999999997</v>
      </c>
      <c r="J29" s="121">
        <f t="shared" si="1"/>
        <v>0</v>
      </c>
      <c r="K29" s="50" t="s">
        <v>1123</v>
      </c>
      <c r="L29" s="50">
        <v>69</v>
      </c>
      <c r="M29" s="50" t="s">
        <v>1127</v>
      </c>
      <c r="N29" s="68" t="s">
        <v>3564</v>
      </c>
      <c r="O29" s="68" t="s">
        <v>3565</v>
      </c>
      <c r="P29" s="68" t="s">
        <v>3590</v>
      </c>
    </row>
    <row r="30" spans="1:16" ht="82.05" customHeight="1" x14ac:dyDescent="0.3">
      <c r="A30" s="119" t="s">
        <v>1154</v>
      </c>
      <c r="B30" s="119" t="s">
        <v>18</v>
      </c>
      <c r="C30" s="119" t="s">
        <v>965</v>
      </c>
      <c r="D30" s="119" t="s">
        <v>254</v>
      </c>
      <c r="E30" s="120">
        <v>3691839635</v>
      </c>
      <c r="F30" s="120">
        <v>3691839635</v>
      </c>
      <c r="G30" s="120" t="s">
        <v>1109</v>
      </c>
      <c r="H30" s="120">
        <f t="shared" si="0"/>
        <v>3691.8396349999998</v>
      </c>
      <c r="I30" s="120">
        <f>KOHC!C25</f>
        <v>3691.8396349999998</v>
      </c>
      <c r="J30" s="120">
        <f t="shared" si="1"/>
        <v>0</v>
      </c>
      <c r="K30" s="119" t="s">
        <v>1104</v>
      </c>
      <c r="L30" s="119">
        <v>45</v>
      </c>
      <c r="M30" s="119" t="s">
        <v>1106</v>
      </c>
      <c r="N30" s="122" t="s">
        <v>3564</v>
      </c>
      <c r="O30" s="122" t="s">
        <v>3565</v>
      </c>
      <c r="P30" s="122" t="s">
        <v>3591</v>
      </c>
    </row>
    <row r="31" spans="1:16" ht="82.05" customHeight="1" x14ac:dyDescent="0.3">
      <c r="A31" s="50" t="s">
        <v>1156</v>
      </c>
      <c r="B31" s="50" t="s">
        <v>18</v>
      </c>
      <c r="C31" s="50" t="s">
        <v>20</v>
      </c>
      <c r="D31" s="50" t="s">
        <v>254</v>
      </c>
      <c r="E31" s="121">
        <v>4134086159</v>
      </c>
      <c r="F31" s="121">
        <v>4134086159</v>
      </c>
      <c r="G31" s="121" t="s">
        <v>1109</v>
      </c>
      <c r="H31" s="121">
        <f t="shared" si="0"/>
        <v>4134.0861590000004</v>
      </c>
      <c r="I31" s="121">
        <f>KOHC!D25</f>
        <v>4134.0861590000004</v>
      </c>
      <c r="J31" s="121">
        <f t="shared" si="1"/>
        <v>0</v>
      </c>
      <c r="K31" s="50" t="s">
        <v>1112</v>
      </c>
      <c r="L31" s="50">
        <v>53</v>
      </c>
      <c r="M31" s="50" t="s">
        <v>1106</v>
      </c>
      <c r="N31" s="68" t="s">
        <v>3564</v>
      </c>
      <c r="O31" s="68" t="s">
        <v>3565</v>
      </c>
      <c r="P31" s="68" t="s">
        <v>3592</v>
      </c>
    </row>
    <row r="32" spans="1:16" ht="82.05" customHeight="1" x14ac:dyDescent="0.3">
      <c r="A32" s="119" t="s">
        <v>1158</v>
      </c>
      <c r="B32" s="119" t="s">
        <v>18</v>
      </c>
      <c r="C32" s="119" t="s">
        <v>26</v>
      </c>
      <c r="D32" s="119" t="s">
        <v>254</v>
      </c>
      <c r="E32" s="120">
        <v>4134255209</v>
      </c>
      <c r="F32" s="120">
        <v>4134255209</v>
      </c>
      <c r="G32" s="120" t="s">
        <v>1109</v>
      </c>
      <c r="H32" s="120">
        <f t="shared" si="0"/>
        <v>4134.2552089999999</v>
      </c>
      <c r="I32" s="120">
        <f>KOHC!E25</f>
        <v>4134.2552089999999</v>
      </c>
      <c r="J32" s="120">
        <f t="shared" si="1"/>
        <v>0</v>
      </c>
      <c r="K32" s="119" t="s">
        <v>1116</v>
      </c>
      <c r="L32" s="119">
        <v>53</v>
      </c>
      <c r="M32" s="119" t="s">
        <v>1106</v>
      </c>
      <c r="N32" s="122" t="s">
        <v>3564</v>
      </c>
      <c r="O32" s="122" t="s">
        <v>3565</v>
      </c>
      <c r="P32" s="122" t="s">
        <v>3593</v>
      </c>
    </row>
    <row r="33" spans="1:16" ht="82.05" customHeight="1" x14ac:dyDescent="0.3">
      <c r="A33" s="50" t="s">
        <v>1159</v>
      </c>
      <c r="B33" s="50" t="s">
        <v>18</v>
      </c>
      <c r="C33" s="50" t="s">
        <v>27</v>
      </c>
      <c r="D33" s="50" t="s">
        <v>254</v>
      </c>
      <c r="E33" s="121">
        <v>4324910743</v>
      </c>
      <c r="F33" s="121">
        <v>4324910743</v>
      </c>
      <c r="G33" s="121" t="s">
        <v>1109</v>
      </c>
      <c r="H33" s="121">
        <f t="shared" si="0"/>
        <v>4324.9107430000004</v>
      </c>
      <c r="I33" s="121">
        <f>KOHC!F25</f>
        <v>4324.9107430000004</v>
      </c>
      <c r="J33" s="121">
        <f t="shared" si="1"/>
        <v>0</v>
      </c>
      <c r="K33" s="50" t="s">
        <v>1119</v>
      </c>
      <c r="L33" s="50">
        <v>59</v>
      </c>
      <c r="M33" s="50" t="s">
        <v>1106</v>
      </c>
      <c r="N33" s="68" t="s">
        <v>3564</v>
      </c>
      <c r="O33" s="68" t="s">
        <v>3565</v>
      </c>
      <c r="P33" s="68" t="s">
        <v>3594</v>
      </c>
    </row>
    <row r="34" spans="1:16" ht="82.05" customHeight="1" x14ac:dyDescent="0.3">
      <c r="A34" s="119" t="s">
        <v>1160</v>
      </c>
      <c r="B34" s="119" t="s">
        <v>18</v>
      </c>
      <c r="C34" s="119" t="s">
        <v>28</v>
      </c>
      <c r="D34" s="119" t="s">
        <v>254</v>
      </c>
      <c r="E34" s="120">
        <v>4326361559</v>
      </c>
      <c r="F34" s="120">
        <v>4326361559</v>
      </c>
      <c r="G34" s="120" t="s">
        <v>1109</v>
      </c>
      <c r="H34" s="120">
        <f t="shared" si="0"/>
        <v>4326.3615589999999</v>
      </c>
      <c r="I34" s="120">
        <f>KOHC!G25</f>
        <v>4326.3615589999999</v>
      </c>
      <c r="J34" s="120">
        <f t="shared" si="1"/>
        <v>0</v>
      </c>
      <c r="K34" s="119" t="s">
        <v>1123</v>
      </c>
      <c r="L34" s="119">
        <v>69</v>
      </c>
      <c r="M34" s="119" t="s">
        <v>1106</v>
      </c>
      <c r="N34" s="122" t="s">
        <v>3564</v>
      </c>
      <c r="O34" s="122" t="s">
        <v>3565</v>
      </c>
      <c r="P34" s="122" t="s">
        <v>3595</v>
      </c>
    </row>
    <row r="35" spans="1:16" ht="82.05" customHeight="1" x14ac:dyDescent="0.3">
      <c r="A35" s="50" t="s">
        <v>1162</v>
      </c>
      <c r="B35" s="50" t="s">
        <v>18</v>
      </c>
      <c r="C35" s="50" t="s">
        <v>29</v>
      </c>
      <c r="D35" s="50" t="s">
        <v>254</v>
      </c>
      <c r="E35" s="121">
        <v>4326361559</v>
      </c>
      <c r="F35" s="121">
        <v>4326361559</v>
      </c>
      <c r="G35" s="121" t="s">
        <v>1109</v>
      </c>
      <c r="H35" s="121">
        <f t="shared" si="0"/>
        <v>4326.3615589999999</v>
      </c>
      <c r="I35" s="121">
        <f>KOHC!H25</f>
        <v>4326.3615589999999</v>
      </c>
      <c r="J35" s="121">
        <f t="shared" si="1"/>
        <v>0</v>
      </c>
      <c r="K35" s="50" t="s">
        <v>1123</v>
      </c>
      <c r="L35" s="50">
        <v>69</v>
      </c>
      <c r="M35" s="50" t="s">
        <v>1127</v>
      </c>
      <c r="N35" s="68" t="s">
        <v>3564</v>
      </c>
      <c r="O35" s="68" t="s">
        <v>3565</v>
      </c>
      <c r="P35" s="68" t="s">
        <v>3595</v>
      </c>
    </row>
    <row r="36" spans="1:16" ht="82.05" customHeight="1" x14ac:dyDescent="0.3">
      <c r="A36" s="119" t="s">
        <v>1163</v>
      </c>
      <c r="B36" s="119" t="s">
        <v>18</v>
      </c>
      <c r="C36" s="119" t="s">
        <v>965</v>
      </c>
      <c r="D36" s="119" t="s">
        <v>256</v>
      </c>
      <c r="E36" s="120">
        <v>0</v>
      </c>
      <c r="F36" s="120">
        <v>0</v>
      </c>
      <c r="G36" s="120" t="s">
        <v>1109</v>
      </c>
      <c r="H36" s="120">
        <f t="shared" si="0"/>
        <v>0</v>
      </c>
      <c r="I36" s="120">
        <f>KOHC!C26</f>
        <v>0</v>
      </c>
      <c r="J36" s="120">
        <f t="shared" si="1"/>
        <v>0</v>
      </c>
      <c r="K36" s="119" t="s">
        <v>1104</v>
      </c>
      <c r="L36" s="119">
        <v>44</v>
      </c>
      <c r="M36" s="119" t="s">
        <v>1106</v>
      </c>
      <c r="N36" s="122" t="s">
        <v>3578</v>
      </c>
      <c r="O36" s="122" t="s">
        <v>3579</v>
      </c>
      <c r="P36" s="122" t="s">
        <v>3596</v>
      </c>
    </row>
    <row r="37" spans="1:16" ht="82.05" customHeight="1" x14ac:dyDescent="0.3">
      <c r="A37" s="50" t="s">
        <v>1164</v>
      </c>
      <c r="B37" s="50" t="s">
        <v>18</v>
      </c>
      <c r="C37" s="50" t="s">
        <v>20</v>
      </c>
      <c r="D37" s="50" t="s">
        <v>256</v>
      </c>
      <c r="E37" s="121">
        <v>0</v>
      </c>
      <c r="F37" s="121">
        <v>0</v>
      </c>
      <c r="G37" s="121" t="s">
        <v>1109</v>
      </c>
      <c r="H37" s="121">
        <f t="shared" si="0"/>
        <v>0</v>
      </c>
      <c r="I37" s="121">
        <f>KOHC!D26</f>
        <v>0</v>
      </c>
      <c r="J37" s="121">
        <f t="shared" si="1"/>
        <v>0</v>
      </c>
      <c r="K37" s="50" t="s">
        <v>1112</v>
      </c>
      <c r="L37" s="50">
        <v>52</v>
      </c>
      <c r="M37" s="50" t="s">
        <v>1106</v>
      </c>
      <c r="N37" s="68" t="s">
        <v>3578</v>
      </c>
      <c r="O37" s="68" t="s">
        <v>3579</v>
      </c>
      <c r="P37" s="68" t="s">
        <v>3597</v>
      </c>
    </row>
    <row r="38" spans="1:16" ht="82.05" customHeight="1" x14ac:dyDescent="0.3">
      <c r="A38" s="119" t="s">
        <v>1165</v>
      </c>
      <c r="B38" s="119" t="s">
        <v>18</v>
      </c>
      <c r="C38" s="119" t="s">
        <v>26</v>
      </c>
      <c r="D38" s="119" t="s">
        <v>256</v>
      </c>
      <c r="E38" s="120">
        <v>0</v>
      </c>
      <c r="F38" s="120">
        <v>0</v>
      </c>
      <c r="G38" s="120" t="s">
        <v>1109</v>
      </c>
      <c r="H38" s="120">
        <f t="shared" si="0"/>
        <v>0</v>
      </c>
      <c r="I38" s="120">
        <f>KOHC!E26</f>
        <v>0</v>
      </c>
      <c r="J38" s="120">
        <f t="shared" si="1"/>
        <v>0</v>
      </c>
      <c r="K38" s="119" t="s">
        <v>1116</v>
      </c>
      <c r="L38" s="119">
        <v>52</v>
      </c>
      <c r="M38" s="119" t="s">
        <v>1106</v>
      </c>
      <c r="N38" s="122" t="s">
        <v>3578</v>
      </c>
      <c r="O38" s="122" t="s">
        <v>3579</v>
      </c>
      <c r="P38" s="122" t="s">
        <v>3598</v>
      </c>
    </row>
    <row r="39" spans="1:16" ht="82.05" customHeight="1" x14ac:dyDescent="0.3">
      <c r="A39" s="50" t="s">
        <v>1166</v>
      </c>
      <c r="B39" s="50" t="s">
        <v>18</v>
      </c>
      <c r="C39" s="50" t="s">
        <v>27</v>
      </c>
      <c r="D39" s="50" t="s">
        <v>256</v>
      </c>
      <c r="E39" s="121">
        <v>0</v>
      </c>
      <c r="F39" s="121">
        <v>0</v>
      </c>
      <c r="G39" s="121" t="s">
        <v>1109</v>
      </c>
      <c r="H39" s="121">
        <f t="shared" si="0"/>
        <v>0</v>
      </c>
      <c r="I39" s="121">
        <f>KOHC!F26</f>
        <v>0</v>
      </c>
      <c r="J39" s="121">
        <f t="shared" si="1"/>
        <v>0</v>
      </c>
      <c r="K39" s="50" t="s">
        <v>1119</v>
      </c>
      <c r="L39" s="50">
        <v>58</v>
      </c>
      <c r="M39" s="50" t="s">
        <v>1106</v>
      </c>
      <c r="N39" s="68" t="s">
        <v>3578</v>
      </c>
      <c r="O39" s="68" t="s">
        <v>3579</v>
      </c>
      <c r="P39" s="68" t="s">
        <v>3599</v>
      </c>
    </row>
    <row r="40" spans="1:16" ht="82.05" customHeight="1" x14ac:dyDescent="0.3">
      <c r="A40" s="119" t="s">
        <v>1167</v>
      </c>
      <c r="B40" s="119" t="s">
        <v>18</v>
      </c>
      <c r="C40" s="119" t="s">
        <v>28</v>
      </c>
      <c r="D40" s="119" t="s">
        <v>256</v>
      </c>
      <c r="E40" s="120">
        <v>0</v>
      </c>
      <c r="F40" s="120">
        <v>0</v>
      </c>
      <c r="G40" s="120" t="s">
        <v>1109</v>
      </c>
      <c r="H40" s="120">
        <f t="shared" si="0"/>
        <v>0</v>
      </c>
      <c r="I40" s="120">
        <f>KOHC!G26</f>
        <v>0</v>
      </c>
      <c r="J40" s="120">
        <f t="shared" si="1"/>
        <v>0</v>
      </c>
      <c r="K40" s="119" t="s">
        <v>1123</v>
      </c>
      <c r="L40" s="119">
        <v>68</v>
      </c>
      <c r="M40" s="119" t="s">
        <v>1106</v>
      </c>
      <c r="N40" s="122" t="s">
        <v>3578</v>
      </c>
      <c r="O40" s="122" t="s">
        <v>3579</v>
      </c>
      <c r="P40" s="122" t="s">
        <v>3600</v>
      </c>
    </row>
    <row r="41" spans="1:16" ht="82.05" customHeight="1" x14ac:dyDescent="0.3">
      <c r="A41" s="50" t="s">
        <v>1168</v>
      </c>
      <c r="B41" s="50" t="s">
        <v>18</v>
      </c>
      <c r="C41" s="50" t="s">
        <v>29</v>
      </c>
      <c r="D41" s="50" t="s">
        <v>256</v>
      </c>
      <c r="E41" s="121">
        <v>0</v>
      </c>
      <c r="F41" s="121">
        <v>0</v>
      </c>
      <c r="G41" s="121" t="s">
        <v>1109</v>
      </c>
      <c r="H41" s="121">
        <f t="shared" si="0"/>
        <v>0</v>
      </c>
      <c r="I41" s="121">
        <f>KOHC!H26</f>
        <v>0</v>
      </c>
      <c r="J41" s="121">
        <f t="shared" si="1"/>
        <v>0</v>
      </c>
      <c r="K41" s="50" t="s">
        <v>1123</v>
      </c>
      <c r="L41" s="50">
        <v>68</v>
      </c>
      <c r="M41" s="50" t="s">
        <v>1127</v>
      </c>
      <c r="N41" s="68" t="s">
        <v>3578</v>
      </c>
      <c r="O41" s="68" t="s">
        <v>3579</v>
      </c>
      <c r="P41" s="68" t="s">
        <v>3600</v>
      </c>
    </row>
    <row r="42" spans="1:16" ht="82.05" customHeight="1" x14ac:dyDescent="0.3">
      <c r="A42" s="119" t="s">
        <v>1169</v>
      </c>
      <c r="B42" s="119" t="s">
        <v>18</v>
      </c>
      <c r="C42" s="119" t="s">
        <v>965</v>
      </c>
      <c r="D42" s="119" t="s">
        <v>258</v>
      </c>
      <c r="E42" s="120">
        <v>38326640</v>
      </c>
      <c r="F42" s="120">
        <v>38326640</v>
      </c>
      <c r="G42" s="120" t="s">
        <v>1109</v>
      </c>
      <c r="H42" s="120">
        <f t="shared" si="0"/>
        <v>38.326639999999998</v>
      </c>
      <c r="I42" s="120">
        <f>KOHC!C27</f>
        <v>38.326639999999998</v>
      </c>
      <c r="J42" s="120">
        <f t="shared" si="1"/>
        <v>0</v>
      </c>
      <c r="K42" s="119" t="s">
        <v>1104</v>
      </c>
      <c r="L42" s="119">
        <v>45</v>
      </c>
      <c r="M42" s="119" t="s">
        <v>1106</v>
      </c>
      <c r="N42" s="122" t="s">
        <v>3564</v>
      </c>
      <c r="O42" s="122" t="s">
        <v>3565</v>
      </c>
      <c r="P42" s="122" t="s">
        <v>3601</v>
      </c>
    </row>
    <row r="43" spans="1:16" ht="82.05" customHeight="1" x14ac:dyDescent="0.3">
      <c r="A43" s="50" t="s">
        <v>1171</v>
      </c>
      <c r="B43" s="50" t="s">
        <v>18</v>
      </c>
      <c r="C43" s="50" t="s">
        <v>20</v>
      </c>
      <c r="D43" s="50" t="s">
        <v>258</v>
      </c>
      <c r="E43" s="121">
        <v>69765740</v>
      </c>
      <c r="F43" s="121">
        <v>69765740</v>
      </c>
      <c r="G43" s="121" t="s">
        <v>1109</v>
      </c>
      <c r="H43" s="121">
        <f t="shared" si="0"/>
        <v>69.765739999999994</v>
      </c>
      <c r="I43" s="121">
        <f>KOHC!D27</f>
        <v>69.765739999999994</v>
      </c>
      <c r="J43" s="121">
        <f t="shared" si="1"/>
        <v>0</v>
      </c>
      <c r="K43" s="50" t="s">
        <v>1112</v>
      </c>
      <c r="L43" s="50">
        <v>53</v>
      </c>
      <c r="M43" s="50" t="s">
        <v>1106</v>
      </c>
      <c r="N43" s="68" t="s">
        <v>3602</v>
      </c>
      <c r="O43" s="68" t="s">
        <v>3603</v>
      </c>
      <c r="P43" s="68" t="s">
        <v>3604</v>
      </c>
    </row>
    <row r="44" spans="1:16" ht="82.05" customHeight="1" x14ac:dyDescent="0.3">
      <c r="A44" s="119" t="s">
        <v>1173</v>
      </c>
      <c r="B44" s="119" t="s">
        <v>18</v>
      </c>
      <c r="C44" s="119" t="s">
        <v>26</v>
      </c>
      <c r="D44" s="119" t="s">
        <v>258</v>
      </c>
      <c r="E44" s="120">
        <v>106583469</v>
      </c>
      <c r="F44" s="120">
        <v>106583469</v>
      </c>
      <c r="G44" s="120" t="s">
        <v>1109</v>
      </c>
      <c r="H44" s="120">
        <f t="shared" si="0"/>
        <v>106.58346899999999</v>
      </c>
      <c r="I44" s="120">
        <f>KOHC!E27</f>
        <v>106.58346899999999</v>
      </c>
      <c r="J44" s="120">
        <f t="shared" si="1"/>
        <v>0</v>
      </c>
      <c r="K44" s="119" t="s">
        <v>1116</v>
      </c>
      <c r="L44" s="119">
        <v>53</v>
      </c>
      <c r="M44" s="119" t="s">
        <v>1106</v>
      </c>
      <c r="N44" s="122" t="s">
        <v>3602</v>
      </c>
      <c r="O44" s="122" t="s">
        <v>3603</v>
      </c>
      <c r="P44" s="122" t="s">
        <v>3605</v>
      </c>
    </row>
    <row r="45" spans="1:16" ht="82.05" customHeight="1" x14ac:dyDescent="0.3">
      <c r="A45" s="50" t="s">
        <v>1174</v>
      </c>
      <c r="B45" s="50" t="s">
        <v>18</v>
      </c>
      <c r="C45" s="50" t="s">
        <v>27</v>
      </c>
      <c r="D45" s="50" t="s">
        <v>258</v>
      </c>
      <c r="E45" s="121">
        <v>60785981</v>
      </c>
      <c r="F45" s="121">
        <v>60785981</v>
      </c>
      <c r="G45" s="121" t="s">
        <v>1109</v>
      </c>
      <c r="H45" s="121">
        <f t="shared" si="0"/>
        <v>60.785981</v>
      </c>
      <c r="I45" s="121">
        <f>KOHC!F27</f>
        <v>60.785981</v>
      </c>
      <c r="J45" s="121">
        <f t="shared" si="1"/>
        <v>0</v>
      </c>
      <c r="K45" s="50" t="s">
        <v>1119</v>
      </c>
      <c r="L45" s="50">
        <v>59</v>
      </c>
      <c r="M45" s="50" t="s">
        <v>1106</v>
      </c>
      <c r="N45" s="68" t="s">
        <v>3602</v>
      </c>
      <c r="O45" s="68" t="s">
        <v>3603</v>
      </c>
      <c r="P45" s="68" t="s">
        <v>3606</v>
      </c>
    </row>
    <row r="46" spans="1:16" ht="82.05" customHeight="1" x14ac:dyDescent="0.3">
      <c r="A46" s="119" t="s">
        <v>1175</v>
      </c>
      <c r="B46" s="119" t="s">
        <v>18</v>
      </c>
      <c r="C46" s="119" t="s">
        <v>28</v>
      </c>
      <c r="D46" s="119" t="s">
        <v>258</v>
      </c>
      <c r="E46" s="120">
        <v>147388106</v>
      </c>
      <c r="F46" s="120">
        <v>147388106</v>
      </c>
      <c r="G46" s="120" t="s">
        <v>1109</v>
      </c>
      <c r="H46" s="120">
        <f t="shared" si="0"/>
        <v>147.38810599999999</v>
      </c>
      <c r="I46" s="120">
        <f>KOHC!G27</f>
        <v>147.38810599999999</v>
      </c>
      <c r="J46" s="120">
        <f t="shared" si="1"/>
        <v>0</v>
      </c>
      <c r="K46" s="119" t="s">
        <v>1123</v>
      </c>
      <c r="L46" s="119">
        <v>69</v>
      </c>
      <c r="M46" s="119" t="s">
        <v>1106</v>
      </c>
      <c r="N46" s="122" t="s">
        <v>3602</v>
      </c>
      <c r="O46" s="122" t="s">
        <v>3603</v>
      </c>
      <c r="P46" s="122" t="s">
        <v>3607</v>
      </c>
    </row>
    <row r="47" spans="1:16" ht="82.05" customHeight="1" x14ac:dyDescent="0.3">
      <c r="A47" s="50" t="s">
        <v>1176</v>
      </c>
      <c r="B47" s="50" t="s">
        <v>18</v>
      </c>
      <c r="C47" s="50" t="s">
        <v>29</v>
      </c>
      <c r="D47" s="50" t="s">
        <v>258</v>
      </c>
      <c r="E47" s="121">
        <v>492917464</v>
      </c>
      <c r="F47" s="121">
        <v>492917464</v>
      </c>
      <c r="G47" s="121" t="s">
        <v>1109</v>
      </c>
      <c r="H47" s="121">
        <f t="shared" si="0"/>
        <v>492.917464</v>
      </c>
      <c r="I47" s="121">
        <f>KOHC!H27</f>
        <v>492.917464</v>
      </c>
      <c r="J47" s="121">
        <f t="shared" si="1"/>
        <v>0</v>
      </c>
      <c r="K47" s="50" t="s">
        <v>1123</v>
      </c>
      <c r="L47" s="50">
        <v>69</v>
      </c>
      <c r="M47" s="50" t="s">
        <v>1127</v>
      </c>
      <c r="N47" s="68" t="s">
        <v>3602</v>
      </c>
      <c r="O47" s="68" t="s">
        <v>3603</v>
      </c>
      <c r="P47" s="68" t="s">
        <v>3607</v>
      </c>
    </row>
    <row r="48" spans="1:16" ht="82.05" customHeight="1" x14ac:dyDescent="0.3">
      <c r="A48" s="119" t="s">
        <v>1177</v>
      </c>
      <c r="B48" s="119" t="s">
        <v>18</v>
      </c>
      <c r="C48" s="119" t="s">
        <v>965</v>
      </c>
      <c r="D48" s="119" t="s">
        <v>263</v>
      </c>
      <c r="E48" s="120">
        <v>2250156437</v>
      </c>
      <c r="F48" s="120">
        <v>2250156437</v>
      </c>
      <c r="G48" s="120" t="s">
        <v>1109</v>
      </c>
      <c r="H48" s="120">
        <f t="shared" si="0"/>
        <v>2250.1564370000001</v>
      </c>
      <c r="I48" s="120">
        <f>KOHC!C30</f>
        <v>2250.1564370000001</v>
      </c>
      <c r="J48" s="120">
        <f t="shared" si="1"/>
        <v>0</v>
      </c>
      <c r="K48" s="119" t="s">
        <v>1104</v>
      </c>
      <c r="L48" s="119">
        <v>45</v>
      </c>
      <c r="M48" s="119" t="s">
        <v>1106</v>
      </c>
      <c r="N48" s="122" t="s">
        <v>3564</v>
      </c>
      <c r="O48" s="122" t="s">
        <v>3565</v>
      </c>
      <c r="P48" s="122" t="s">
        <v>3608</v>
      </c>
    </row>
    <row r="49" spans="1:16" ht="82.05" customHeight="1" x14ac:dyDescent="0.3">
      <c r="A49" s="50" t="s">
        <v>1178</v>
      </c>
      <c r="B49" s="50" t="s">
        <v>18</v>
      </c>
      <c r="C49" s="50" t="s">
        <v>20</v>
      </c>
      <c r="D49" s="50" t="s">
        <v>263</v>
      </c>
      <c r="E49" s="121">
        <v>3070769101</v>
      </c>
      <c r="F49" s="121">
        <v>3070769101</v>
      </c>
      <c r="G49" s="121" t="s">
        <v>1109</v>
      </c>
      <c r="H49" s="121">
        <f t="shared" si="0"/>
        <v>3070.7691009999999</v>
      </c>
      <c r="I49" s="121">
        <f>KOHC!D30</f>
        <v>3070.7691009999999</v>
      </c>
      <c r="J49" s="121">
        <f t="shared" si="1"/>
        <v>0</v>
      </c>
      <c r="K49" s="50" t="s">
        <v>1112</v>
      </c>
      <c r="L49" s="50">
        <v>53</v>
      </c>
      <c r="M49" s="50" t="s">
        <v>1106</v>
      </c>
      <c r="N49" s="68" t="s">
        <v>3564</v>
      </c>
      <c r="O49" s="68" t="s">
        <v>3565</v>
      </c>
      <c r="P49" s="68" t="s">
        <v>3609</v>
      </c>
    </row>
    <row r="50" spans="1:16" ht="82.05" customHeight="1" x14ac:dyDescent="0.3">
      <c r="A50" s="119" t="s">
        <v>1180</v>
      </c>
      <c r="B50" s="119" t="s">
        <v>18</v>
      </c>
      <c r="C50" s="119" t="s">
        <v>26</v>
      </c>
      <c r="D50" s="119" t="s">
        <v>263</v>
      </c>
      <c r="E50" s="120">
        <v>4214829636</v>
      </c>
      <c r="F50" s="120">
        <v>4214829636</v>
      </c>
      <c r="G50" s="120" t="s">
        <v>1109</v>
      </c>
      <c r="H50" s="120">
        <f t="shared" si="0"/>
        <v>4214.8296360000004</v>
      </c>
      <c r="I50" s="120">
        <f>KOHC!E30</f>
        <v>4214.8296360000004</v>
      </c>
      <c r="J50" s="120">
        <f t="shared" si="1"/>
        <v>0</v>
      </c>
      <c r="K50" s="119" t="s">
        <v>1116</v>
      </c>
      <c r="L50" s="119">
        <v>53</v>
      </c>
      <c r="M50" s="119" t="s">
        <v>1106</v>
      </c>
      <c r="N50" s="122" t="s">
        <v>3564</v>
      </c>
      <c r="O50" s="122" t="s">
        <v>3565</v>
      </c>
      <c r="P50" s="122" t="s">
        <v>3610</v>
      </c>
    </row>
    <row r="51" spans="1:16" ht="82.05" customHeight="1" x14ac:dyDescent="0.3">
      <c r="A51" s="50" t="s">
        <v>1181</v>
      </c>
      <c r="B51" s="50" t="s">
        <v>18</v>
      </c>
      <c r="C51" s="50" t="s">
        <v>27</v>
      </c>
      <c r="D51" s="50" t="s">
        <v>263</v>
      </c>
      <c r="E51" s="121">
        <v>4713129764</v>
      </c>
      <c r="F51" s="121">
        <v>4713129764</v>
      </c>
      <c r="G51" s="121" t="s">
        <v>1109</v>
      </c>
      <c r="H51" s="121">
        <f t="shared" si="0"/>
        <v>4713.1297640000003</v>
      </c>
      <c r="I51" s="121">
        <f>KOHC!F30</f>
        <v>4713.1297640000003</v>
      </c>
      <c r="J51" s="121">
        <f t="shared" si="1"/>
        <v>0</v>
      </c>
      <c r="K51" s="50" t="s">
        <v>1119</v>
      </c>
      <c r="L51" s="50">
        <v>59</v>
      </c>
      <c r="M51" s="50" t="s">
        <v>1106</v>
      </c>
      <c r="N51" s="68" t="s">
        <v>3564</v>
      </c>
      <c r="O51" s="68" t="s">
        <v>3565</v>
      </c>
      <c r="P51" s="68" t="s">
        <v>3611</v>
      </c>
    </row>
    <row r="52" spans="1:16" ht="82.05" customHeight="1" x14ac:dyDescent="0.3">
      <c r="A52" s="119" t="s">
        <v>1182</v>
      </c>
      <c r="B52" s="119" t="s">
        <v>18</v>
      </c>
      <c r="C52" s="119" t="s">
        <v>28</v>
      </c>
      <c r="D52" s="119" t="s">
        <v>263</v>
      </c>
      <c r="E52" s="120">
        <v>5785683486</v>
      </c>
      <c r="F52" s="120">
        <v>5785683486</v>
      </c>
      <c r="G52" s="120" t="s">
        <v>1109</v>
      </c>
      <c r="H52" s="120">
        <f t="shared" si="0"/>
        <v>5785.6834859999999</v>
      </c>
      <c r="I52" s="120">
        <f>KOHC!G30</f>
        <v>5785.6834859999999</v>
      </c>
      <c r="J52" s="120">
        <f t="shared" si="1"/>
        <v>0</v>
      </c>
      <c r="K52" s="119" t="s">
        <v>1123</v>
      </c>
      <c r="L52" s="119">
        <v>69</v>
      </c>
      <c r="M52" s="119" t="s">
        <v>1106</v>
      </c>
      <c r="N52" s="122" t="s">
        <v>3564</v>
      </c>
      <c r="O52" s="122" t="s">
        <v>3565</v>
      </c>
      <c r="P52" s="122" t="s">
        <v>3612</v>
      </c>
    </row>
    <row r="53" spans="1:16" ht="82.05" customHeight="1" x14ac:dyDescent="0.3">
      <c r="A53" s="50" t="s">
        <v>1183</v>
      </c>
      <c r="B53" s="50" t="s">
        <v>18</v>
      </c>
      <c r="C53" s="50" t="s">
        <v>29</v>
      </c>
      <c r="D53" s="50" t="s">
        <v>263</v>
      </c>
      <c r="E53" s="121">
        <v>4991311475</v>
      </c>
      <c r="F53" s="121">
        <v>4991311475</v>
      </c>
      <c r="G53" s="121" t="s">
        <v>1109</v>
      </c>
      <c r="H53" s="121">
        <f t="shared" si="0"/>
        <v>4991.3114750000004</v>
      </c>
      <c r="I53" s="121">
        <f>KOHC!H30</f>
        <v>4991.3114750000004</v>
      </c>
      <c r="J53" s="121">
        <f t="shared" si="1"/>
        <v>0</v>
      </c>
      <c r="K53" s="50" t="s">
        <v>1123</v>
      </c>
      <c r="L53" s="50">
        <v>69</v>
      </c>
      <c r="M53" s="50" t="s">
        <v>1127</v>
      </c>
      <c r="N53" s="68" t="s">
        <v>3564</v>
      </c>
      <c r="O53" s="68" t="s">
        <v>3565</v>
      </c>
      <c r="P53" s="68" t="s">
        <v>3613</v>
      </c>
    </row>
    <row r="54" spans="1:16" ht="82.05" customHeight="1" x14ac:dyDescent="0.3">
      <c r="A54" s="119" t="s">
        <v>1184</v>
      </c>
      <c r="B54" s="119" t="s">
        <v>18</v>
      </c>
      <c r="C54" s="119" t="s">
        <v>965</v>
      </c>
      <c r="D54" s="119" t="s">
        <v>265</v>
      </c>
      <c r="E54" s="120">
        <v>1016024223</v>
      </c>
      <c r="F54" s="120">
        <v>1016024223</v>
      </c>
      <c r="G54" s="120" t="s">
        <v>1109</v>
      </c>
      <c r="H54" s="120">
        <f t="shared" si="0"/>
        <v>1016.024223</v>
      </c>
      <c r="I54" s="120">
        <f>KOHC!C31</f>
        <v>1016.024223</v>
      </c>
      <c r="J54" s="120">
        <f t="shared" si="1"/>
        <v>0</v>
      </c>
      <c r="K54" s="119" t="s">
        <v>1104</v>
      </c>
      <c r="L54" s="119">
        <v>45</v>
      </c>
      <c r="M54" s="119" t="s">
        <v>1106</v>
      </c>
      <c r="N54" s="122" t="s">
        <v>3564</v>
      </c>
      <c r="O54" s="122" t="s">
        <v>3565</v>
      </c>
      <c r="P54" s="122" t="s">
        <v>3614</v>
      </c>
    </row>
    <row r="55" spans="1:16" ht="82.05" customHeight="1" x14ac:dyDescent="0.3">
      <c r="A55" s="50" t="s">
        <v>1185</v>
      </c>
      <c r="B55" s="50" t="s">
        <v>18</v>
      </c>
      <c r="C55" s="50" t="s">
        <v>20</v>
      </c>
      <c r="D55" s="50" t="s">
        <v>265</v>
      </c>
      <c r="E55" s="121">
        <v>1112776266</v>
      </c>
      <c r="F55" s="121">
        <v>1112776266</v>
      </c>
      <c r="G55" s="121" t="s">
        <v>1109</v>
      </c>
      <c r="H55" s="121">
        <f t="shared" si="0"/>
        <v>1112.7762660000001</v>
      </c>
      <c r="I55" s="121">
        <f>KOHC!D31</f>
        <v>1112.7762660000001</v>
      </c>
      <c r="J55" s="121">
        <f t="shared" si="1"/>
        <v>0</v>
      </c>
      <c r="K55" s="50" t="s">
        <v>1112</v>
      </c>
      <c r="L55" s="50">
        <v>53</v>
      </c>
      <c r="M55" s="50" t="s">
        <v>1106</v>
      </c>
      <c r="N55" s="68" t="s">
        <v>3564</v>
      </c>
      <c r="O55" s="68" t="s">
        <v>3565</v>
      </c>
      <c r="P55" s="68" t="s">
        <v>3615</v>
      </c>
    </row>
    <row r="56" spans="1:16" ht="82.05" customHeight="1" x14ac:dyDescent="0.3">
      <c r="A56" s="119" t="s">
        <v>1187</v>
      </c>
      <c r="B56" s="119" t="s">
        <v>18</v>
      </c>
      <c r="C56" s="119" t="s">
        <v>26</v>
      </c>
      <c r="D56" s="119" t="s">
        <v>265</v>
      </c>
      <c r="E56" s="120">
        <v>1456156782</v>
      </c>
      <c r="F56" s="120">
        <v>1456156782</v>
      </c>
      <c r="G56" s="120" t="s">
        <v>1109</v>
      </c>
      <c r="H56" s="120">
        <f t="shared" si="0"/>
        <v>1456.156782</v>
      </c>
      <c r="I56" s="120">
        <f>KOHC!E31</f>
        <v>1456.156782</v>
      </c>
      <c r="J56" s="120">
        <f t="shared" si="1"/>
        <v>0</v>
      </c>
      <c r="K56" s="119" t="s">
        <v>1116</v>
      </c>
      <c r="L56" s="119">
        <v>53</v>
      </c>
      <c r="M56" s="119" t="s">
        <v>1106</v>
      </c>
      <c r="N56" s="122" t="s">
        <v>3564</v>
      </c>
      <c r="O56" s="122" t="s">
        <v>3565</v>
      </c>
      <c r="P56" s="122" t="s">
        <v>3616</v>
      </c>
    </row>
    <row r="57" spans="1:16" ht="82.05" customHeight="1" x14ac:dyDescent="0.3">
      <c r="A57" s="50" t="s">
        <v>1188</v>
      </c>
      <c r="B57" s="50" t="s">
        <v>18</v>
      </c>
      <c r="C57" s="50" t="s">
        <v>27</v>
      </c>
      <c r="D57" s="50" t="s">
        <v>265</v>
      </c>
      <c r="E57" s="121">
        <v>2942861554</v>
      </c>
      <c r="F57" s="121">
        <v>2942861554</v>
      </c>
      <c r="G57" s="121" t="s">
        <v>1109</v>
      </c>
      <c r="H57" s="121">
        <f t="shared" si="0"/>
        <v>2942.8615540000001</v>
      </c>
      <c r="I57" s="121">
        <f>KOHC!F31</f>
        <v>2942.8615540000001</v>
      </c>
      <c r="J57" s="121">
        <f t="shared" si="1"/>
        <v>0</v>
      </c>
      <c r="K57" s="50" t="s">
        <v>1119</v>
      </c>
      <c r="L57" s="50">
        <v>59</v>
      </c>
      <c r="M57" s="50" t="s">
        <v>1106</v>
      </c>
      <c r="N57" s="68" t="s">
        <v>3564</v>
      </c>
      <c r="O57" s="68" t="s">
        <v>3565</v>
      </c>
      <c r="P57" s="68" t="s">
        <v>3617</v>
      </c>
    </row>
    <row r="58" spans="1:16" ht="82.05" customHeight="1" x14ac:dyDescent="0.3">
      <c r="A58" s="119" t="s">
        <v>1189</v>
      </c>
      <c r="B58" s="119" t="s">
        <v>18</v>
      </c>
      <c r="C58" s="119" t="s">
        <v>28</v>
      </c>
      <c r="D58" s="119" t="s">
        <v>265</v>
      </c>
      <c r="E58" s="120">
        <v>1793742440</v>
      </c>
      <c r="F58" s="120">
        <v>1793742440</v>
      </c>
      <c r="G58" s="120" t="s">
        <v>1109</v>
      </c>
      <c r="H58" s="120">
        <f t="shared" si="0"/>
        <v>1793.74244</v>
      </c>
      <c r="I58" s="120">
        <f>KOHC!G31</f>
        <v>1793.74244</v>
      </c>
      <c r="J58" s="120">
        <f t="shared" si="1"/>
        <v>0</v>
      </c>
      <c r="K58" s="119" t="s">
        <v>1123</v>
      </c>
      <c r="L58" s="119">
        <v>69</v>
      </c>
      <c r="M58" s="119" t="s">
        <v>1106</v>
      </c>
      <c r="N58" s="122" t="s">
        <v>3564</v>
      </c>
      <c r="O58" s="122" t="s">
        <v>3565</v>
      </c>
      <c r="P58" s="122" t="s">
        <v>3618</v>
      </c>
    </row>
    <row r="59" spans="1:16" ht="82.05" customHeight="1" x14ac:dyDescent="0.3">
      <c r="A59" s="50" t="s">
        <v>1190</v>
      </c>
      <c r="B59" s="50" t="s">
        <v>18</v>
      </c>
      <c r="C59" s="50" t="s">
        <v>29</v>
      </c>
      <c r="D59" s="50" t="s">
        <v>265</v>
      </c>
      <c r="E59" s="121">
        <v>2513556552</v>
      </c>
      <c r="F59" s="121">
        <v>2513556552</v>
      </c>
      <c r="G59" s="121" t="s">
        <v>1109</v>
      </c>
      <c r="H59" s="121">
        <f t="shared" si="0"/>
        <v>2513.556552</v>
      </c>
      <c r="I59" s="121">
        <f>KOHC!H31</f>
        <v>2513.556552</v>
      </c>
      <c r="J59" s="121">
        <f t="shared" si="1"/>
        <v>0</v>
      </c>
      <c r="K59" s="50" t="s">
        <v>1123</v>
      </c>
      <c r="L59" s="50">
        <v>69</v>
      </c>
      <c r="M59" s="50" t="s">
        <v>1127</v>
      </c>
      <c r="N59" s="68" t="s">
        <v>3564</v>
      </c>
      <c r="O59" s="68" t="s">
        <v>3565</v>
      </c>
      <c r="P59" s="68" t="s">
        <v>3619</v>
      </c>
    </row>
    <row r="60" spans="1:16" ht="82.05" customHeight="1" x14ac:dyDescent="0.3">
      <c r="A60" s="119" t="s">
        <v>1191</v>
      </c>
      <c r="B60" s="119" t="s">
        <v>18</v>
      </c>
      <c r="C60" s="119" t="s">
        <v>965</v>
      </c>
      <c r="D60" s="119" t="s">
        <v>267</v>
      </c>
      <c r="E60" s="120">
        <v>494315206</v>
      </c>
      <c r="F60" s="120">
        <v>494315206</v>
      </c>
      <c r="G60" s="120" t="s">
        <v>1109</v>
      </c>
      <c r="H60" s="120">
        <f t="shared" si="0"/>
        <v>494.31520599999999</v>
      </c>
      <c r="I60" s="120">
        <f>KOHC!C32</f>
        <v>494.31520599999999</v>
      </c>
      <c r="J60" s="120">
        <f t="shared" si="1"/>
        <v>0</v>
      </c>
      <c r="K60" s="119" t="s">
        <v>1104</v>
      </c>
      <c r="L60" s="119">
        <v>45</v>
      </c>
      <c r="M60" s="119" t="s">
        <v>1106</v>
      </c>
      <c r="N60" s="122" t="s">
        <v>3564</v>
      </c>
      <c r="O60" s="122" t="s">
        <v>3565</v>
      </c>
      <c r="P60" s="122" t="s">
        <v>3620</v>
      </c>
    </row>
    <row r="61" spans="1:16" ht="82.05" customHeight="1" x14ac:dyDescent="0.3">
      <c r="A61" s="50" t="s">
        <v>1193</v>
      </c>
      <c r="B61" s="50" t="s">
        <v>18</v>
      </c>
      <c r="C61" s="50" t="s">
        <v>20</v>
      </c>
      <c r="D61" s="50" t="s">
        <v>267</v>
      </c>
      <c r="E61" s="121">
        <v>983568223</v>
      </c>
      <c r="F61" s="121">
        <v>983568223</v>
      </c>
      <c r="G61" s="121" t="s">
        <v>1109</v>
      </c>
      <c r="H61" s="121">
        <f t="shared" si="0"/>
        <v>983.56822299999999</v>
      </c>
      <c r="I61" s="121">
        <f>KOHC!D32</f>
        <v>983.56822299999999</v>
      </c>
      <c r="J61" s="121">
        <f t="shared" si="1"/>
        <v>0</v>
      </c>
      <c r="K61" s="50" t="s">
        <v>1112</v>
      </c>
      <c r="L61" s="50">
        <v>53</v>
      </c>
      <c r="M61" s="50" t="s">
        <v>1106</v>
      </c>
      <c r="N61" s="68" t="s">
        <v>3564</v>
      </c>
      <c r="O61" s="68" t="s">
        <v>3565</v>
      </c>
      <c r="P61" s="68" t="s">
        <v>3621</v>
      </c>
    </row>
    <row r="62" spans="1:16" ht="82.05" customHeight="1" x14ac:dyDescent="0.3">
      <c r="A62" s="119" t="s">
        <v>1195</v>
      </c>
      <c r="B62" s="119" t="s">
        <v>18</v>
      </c>
      <c r="C62" s="119" t="s">
        <v>26</v>
      </c>
      <c r="D62" s="119" t="s">
        <v>267</v>
      </c>
      <c r="E62" s="120">
        <v>916039469</v>
      </c>
      <c r="F62" s="120">
        <v>916039469</v>
      </c>
      <c r="G62" s="120" t="s">
        <v>1109</v>
      </c>
      <c r="H62" s="120">
        <f t="shared" si="0"/>
        <v>916.03946900000005</v>
      </c>
      <c r="I62" s="120">
        <f>KOHC!E32</f>
        <v>916.03946900000005</v>
      </c>
      <c r="J62" s="120">
        <f t="shared" si="1"/>
        <v>0</v>
      </c>
      <c r="K62" s="119" t="s">
        <v>1116</v>
      </c>
      <c r="L62" s="119">
        <v>53</v>
      </c>
      <c r="M62" s="119" t="s">
        <v>1106</v>
      </c>
      <c r="N62" s="122" t="s">
        <v>3564</v>
      </c>
      <c r="O62" s="122" t="s">
        <v>3565</v>
      </c>
      <c r="P62" s="122" t="s">
        <v>3622</v>
      </c>
    </row>
    <row r="63" spans="1:16" ht="82.05" customHeight="1" x14ac:dyDescent="0.3">
      <c r="A63" s="50" t="s">
        <v>1196</v>
      </c>
      <c r="B63" s="50" t="s">
        <v>18</v>
      </c>
      <c r="C63" s="50" t="s">
        <v>27</v>
      </c>
      <c r="D63" s="50" t="s">
        <v>267</v>
      </c>
      <c r="E63" s="121">
        <v>1205553375</v>
      </c>
      <c r="F63" s="121">
        <v>1205553375</v>
      </c>
      <c r="G63" s="121" t="s">
        <v>1109</v>
      </c>
      <c r="H63" s="121">
        <f t="shared" si="0"/>
        <v>1205.553375</v>
      </c>
      <c r="I63" s="121">
        <f>KOHC!F32</f>
        <v>1205.553375</v>
      </c>
      <c r="J63" s="121">
        <f t="shared" si="1"/>
        <v>0</v>
      </c>
      <c r="K63" s="50" t="s">
        <v>1119</v>
      </c>
      <c r="L63" s="50">
        <v>59</v>
      </c>
      <c r="M63" s="50" t="s">
        <v>1106</v>
      </c>
      <c r="N63" s="68" t="s">
        <v>3564</v>
      </c>
      <c r="O63" s="68" t="s">
        <v>3565</v>
      </c>
      <c r="P63" s="68" t="s">
        <v>3623</v>
      </c>
    </row>
    <row r="64" spans="1:16" ht="82.05" customHeight="1" x14ac:dyDescent="0.3">
      <c r="A64" s="119" t="s">
        <v>1197</v>
      </c>
      <c r="B64" s="119" t="s">
        <v>18</v>
      </c>
      <c r="C64" s="119" t="s">
        <v>28</v>
      </c>
      <c r="D64" s="119" t="s">
        <v>267</v>
      </c>
      <c r="E64" s="120">
        <v>2110247902</v>
      </c>
      <c r="F64" s="120">
        <v>2110247902</v>
      </c>
      <c r="G64" s="120" t="s">
        <v>1109</v>
      </c>
      <c r="H64" s="120">
        <f t="shared" si="0"/>
        <v>2110.2479020000001</v>
      </c>
      <c r="I64" s="120">
        <f>KOHC!G32</f>
        <v>2110.2479020000001</v>
      </c>
      <c r="J64" s="120">
        <f t="shared" si="1"/>
        <v>0</v>
      </c>
      <c r="K64" s="119" t="s">
        <v>1123</v>
      </c>
      <c r="L64" s="119">
        <v>69</v>
      </c>
      <c r="M64" s="119" t="s">
        <v>1106</v>
      </c>
      <c r="N64" s="122" t="s">
        <v>3564</v>
      </c>
      <c r="O64" s="122" t="s">
        <v>3565</v>
      </c>
      <c r="P64" s="122" t="s">
        <v>3624</v>
      </c>
    </row>
    <row r="65" spans="1:16" ht="82.05" customHeight="1" x14ac:dyDescent="0.3">
      <c r="A65" s="50" t="s">
        <v>1198</v>
      </c>
      <c r="B65" s="50" t="s">
        <v>18</v>
      </c>
      <c r="C65" s="50" t="s">
        <v>29</v>
      </c>
      <c r="D65" s="50" t="s">
        <v>267</v>
      </c>
      <c r="E65" s="121">
        <v>1692217832</v>
      </c>
      <c r="F65" s="121">
        <v>1692217832</v>
      </c>
      <c r="G65" s="121" t="s">
        <v>1109</v>
      </c>
      <c r="H65" s="121">
        <f t="shared" si="0"/>
        <v>1692.217832</v>
      </c>
      <c r="I65" s="121">
        <f>KOHC!H32</f>
        <v>1692.217832</v>
      </c>
      <c r="J65" s="121">
        <f t="shared" si="1"/>
        <v>0</v>
      </c>
      <c r="K65" s="50" t="s">
        <v>1123</v>
      </c>
      <c r="L65" s="50">
        <v>69</v>
      </c>
      <c r="M65" s="50" t="s">
        <v>1127</v>
      </c>
      <c r="N65" s="68" t="s">
        <v>3564</v>
      </c>
      <c r="O65" s="68" t="s">
        <v>3565</v>
      </c>
      <c r="P65" s="68" t="s">
        <v>3625</v>
      </c>
    </row>
    <row r="66" spans="1:16" ht="82.05" customHeight="1" x14ac:dyDescent="0.3">
      <c r="A66" s="119" t="s">
        <v>1199</v>
      </c>
      <c r="B66" s="119" t="s">
        <v>18</v>
      </c>
      <c r="C66" s="119" t="s">
        <v>965</v>
      </c>
      <c r="D66" s="119" t="s">
        <v>269</v>
      </c>
      <c r="E66" s="120">
        <v>160130600</v>
      </c>
      <c r="F66" s="120">
        <v>160130600</v>
      </c>
      <c r="G66" s="120" t="s">
        <v>1109</v>
      </c>
      <c r="H66" s="120">
        <f t="shared" si="0"/>
        <v>160.13059999999999</v>
      </c>
      <c r="I66" s="120">
        <f>KOHC!C33</f>
        <v>160.13059999999999</v>
      </c>
      <c r="J66" s="120">
        <f t="shared" si="1"/>
        <v>0</v>
      </c>
      <c r="K66" s="119" t="s">
        <v>1104</v>
      </c>
      <c r="L66" s="119">
        <v>45</v>
      </c>
      <c r="M66" s="119" t="s">
        <v>1106</v>
      </c>
      <c r="N66" s="122" t="s">
        <v>3564</v>
      </c>
      <c r="O66" s="122" t="s">
        <v>3565</v>
      </c>
      <c r="P66" s="122" t="s">
        <v>3626</v>
      </c>
    </row>
    <row r="67" spans="1:16" ht="82.05" customHeight="1" x14ac:dyDescent="0.3">
      <c r="A67" s="50" t="s">
        <v>1201</v>
      </c>
      <c r="B67" s="50" t="s">
        <v>18</v>
      </c>
      <c r="C67" s="50" t="s">
        <v>20</v>
      </c>
      <c r="D67" s="50" t="s">
        <v>269</v>
      </c>
      <c r="E67" s="121">
        <v>2999496423</v>
      </c>
      <c r="F67" s="121">
        <v>2999496423</v>
      </c>
      <c r="G67" s="121" t="s">
        <v>1109</v>
      </c>
      <c r="H67" s="121">
        <f t="shared" si="0"/>
        <v>2999.496423</v>
      </c>
      <c r="I67" s="121">
        <f>KOHC!D33</f>
        <v>2999.496423</v>
      </c>
      <c r="J67" s="121">
        <f t="shared" si="1"/>
        <v>0</v>
      </c>
      <c r="K67" s="50" t="s">
        <v>1112</v>
      </c>
      <c r="L67" s="50">
        <v>53</v>
      </c>
      <c r="M67" s="50" t="s">
        <v>1106</v>
      </c>
      <c r="N67" s="68" t="s">
        <v>3564</v>
      </c>
      <c r="O67" s="68" t="s">
        <v>3565</v>
      </c>
      <c r="P67" s="68" t="s">
        <v>3627</v>
      </c>
    </row>
    <row r="68" spans="1:16" ht="82.05" customHeight="1" x14ac:dyDescent="0.3">
      <c r="A68" s="119" t="s">
        <v>1203</v>
      </c>
      <c r="B68" s="119" t="s">
        <v>18</v>
      </c>
      <c r="C68" s="119" t="s">
        <v>26</v>
      </c>
      <c r="D68" s="119" t="s">
        <v>269</v>
      </c>
      <c r="E68" s="120">
        <v>10124095693</v>
      </c>
      <c r="F68" s="120">
        <v>10124095693</v>
      </c>
      <c r="G68" s="120" t="s">
        <v>1109</v>
      </c>
      <c r="H68" s="120">
        <f t="shared" si="0"/>
        <v>10124.095692999999</v>
      </c>
      <c r="I68" s="120">
        <f>KOHC!E33</f>
        <v>10124.095692999999</v>
      </c>
      <c r="J68" s="120">
        <f t="shared" si="1"/>
        <v>0</v>
      </c>
      <c r="K68" s="119" t="s">
        <v>1116</v>
      </c>
      <c r="L68" s="119">
        <v>53</v>
      </c>
      <c r="M68" s="119" t="s">
        <v>1106</v>
      </c>
      <c r="N68" s="122" t="s">
        <v>3564</v>
      </c>
      <c r="O68" s="122" t="s">
        <v>3565</v>
      </c>
      <c r="P68" s="122" t="s">
        <v>3628</v>
      </c>
    </row>
    <row r="69" spans="1:16" ht="82.05" customHeight="1" x14ac:dyDescent="0.3">
      <c r="A69" s="50" t="s">
        <v>1204</v>
      </c>
      <c r="B69" s="50" t="s">
        <v>18</v>
      </c>
      <c r="C69" s="50" t="s">
        <v>27</v>
      </c>
      <c r="D69" s="50" t="s">
        <v>269</v>
      </c>
      <c r="E69" s="121">
        <v>12335073816</v>
      </c>
      <c r="F69" s="121">
        <v>12335073816</v>
      </c>
      <c r="G69" s="121" t="s">
        <v>1109</v>
      </c>
      <c r="H69" s="121">
        <f t="shared" si="0"/>
        <v>12335.073816</v>
      </c>
      <c r="I69" s="121">
        <f>KOHC!F33</f>
        <v>12335.073816</v>
      </c>
      <c r="J69" s="121">
        <f t="shared" si="1"/>
        <v>0</v>
      </c>
      <c r="K69" s="50" t="s">
        <v>1119</v>
      </c>
      <c r="L69" s="50">
        <v>59</v>
      </c>
      <c r="M69" s="50" t="s">
        <v>1106</v>
      </c>
      <c r="N69" s="68" t="s">
        <v>3564</v>
      </c>
      <c r="O69" s="68" t="s">
        <v>3565</v>
      </c>
      <c r="P69" s="68" t="s">
        <v>3629</v>
      </c>
    </row>
    <row r="70" spans="1:16" ht="82.05" customHeight="1" x14ac:dyDescent="0.3">
      <c r="A70" s="119" t="s">
        <v>1205</v>
      </c>
      <c r="B70" s="119" t="s">
        <v>18</v>
      </c>
      <c r="C70" s="119" t="s">
        <v>28</v>
      </c>
      <c r="D70" s="119" t="s">
        <v>269</v>
      </c>
      <c r="E70" s="120">
        <v>20279745954</v>
      </c>
      <c r="F70" s="120">
        <v>20279745954</v>
      </c>
      <c r="G70" s="120" t="s">
        <v>1109</v>
      </c>
      <c r="H70" s="120">
        <f t="shared" ref="H70:H133" si="2">F70/1000000</f>
        <v>20279.745954000002</v>
      </c>
      <c r="I70" s="120">
        <f>KOHC!G33</f>
        <v>20279.745954000002</v>
      </c>
      <c r="J70" s="120">
        <f t="shared" ref="J70:J133" si="3">H70-I70</f>
        <v>0</v>
      </c>
      <c r="K70" s="119" t="s">
        <v>1123</v>
      </c>
      <c r="L70" s="119">
        <v>69</v>
      </c>
      <c r="M70" s="119" t="s">
        <v>1106</v>
      </c>
      <c r="N70" s="122" t="s">
        <v>3564</v>
      </c>
      <c r="O70" s="122" t="s">
        <v>3565</v>
      </c>
      <c r="P70" s="122" t="s">
        <v>3630</v>
      </c>
    </row>
    <row r="71" spans="1:16" ht="82.05" customHeight="1" x14ac:dyDescent="0.3">
      <c r="A71" s="50" t="s">
        <v>1206</v>
      </c>
      <c r="B71" s="50" t="s">
        <v>18</v>
      </c>
      <c r="C71" s="50" t="s">
        <v>29</v>
      </c>
      <c r="D71" s="50" t="s">
        <v>269</v>
      </c>
      <c r="E71" s="121">
        <v>26941632205</v>
      </c>
      <c r="F71" s="121">
        <v>26941632205</v>
      </c>
      <c r="G71" s="121" t="s">
        <v>1109</v>
      </c>
      <c r="H71" s="121">
        <f t="shared" si="2"/>
        <v>26941.632205000002</v>
      </c>
      <c r="I71" s="121">
        <f>KOHC!H33</f>
        <v>26941.632205000002</v>
      </c>
      <c r="J71" s="121">
        <f t="shared" si="3"/>
        <v>0</v>
      </c>
      <c r="K71" s="50" t="s">
        <v>1123</v>
      </c>
      <c r="L71" s="50">
        <v>69</v>
      </c>
      <c r="M71" s="50" t="s">
        <v>1127</v>
      </c>
      <c r="N71" s="68" t="s">
        <v>3564</v>
      </c>
      <c r="O71" s="68" t="s">
        <v>3565</v>
      </c>
      <c r="P71" s="68" t="s">
        <v>3631</v>
      </c>
    </row>
    <row r="72" spans="1:16" ht="82.05" customHeight="1" x14ac:dyDescent="0.3">
      <c r="A72" s="119" t="s">
        <v>1207</v>
      </c>
      <c r="B72" s="119" t="s">
        <v>18</v>
      </c>
      <c r="C72" s="119" t="s">
        <v>965</v>
      </c>
      <c r="D72" s="119" t="s">
        <v>271</v>
      </c>
      <c r="E72" s="120">
        <v>891606087</v>
      </c>
      <c r="F72" s="120">
        <v>891606087</v>
      </c>
      <c r="G72" s="120" t="s">
        <v>1109</v>
      </c>
      <c r="H72" s="120">
        <f t="shared" si="2"/>
        <v>891.606087</v>
      </c>
      <c r="I72" s="120">
        <f>KOHC!C34</f>
        <v>891.606087</v>
      </c>
      <c r="J72" s="120">
        <f t="shared" si="3"/>
        <v>0</v>
      </c>
      <c r="K72" s="119" t="s">
        <v>1104</v>
      </c>
      <c r="L72" s="119">
        <v>45</v>
      </c>
      <c r="M72" s="119" t="s">
        <v>1106</v>
      </c>
      <c r="N72" s="122" t="s">
        <v>3564</v>
      </c>
      <c r="O72" s="122" t="s">
        <v>3565</v>
      </c>
      <c r="P72" s="122" t="s">
        <v>3632</v>
      </c>
    </row>
    <row r="73" spans="1:16" ht="82.05" customHeight="1" x14ac:dyDescent="0.3">
      <c r="A73" s="50" t="s">
        <v>1209</v>
      </c>
      <c r="B73" s="50" t="s">
        <v>18</v>
      </c>
      <c r="C73" s="50" t="s">
        <v>20</v>
      </c>
      <c r="D73" s="50" t="s">
        <v>271</v>
      </c>
      <c r="E73" s="121">
        <v>1197729351</v>
      </c>
      <c r="F73" s="121">
        <v>1197729351</v>
      </c>
      <c r="G73" s="121" t="s">
        <v>1109</v>
      </c>
      <c r="H73" s="121">
        <f t="shared" si="2"/>
        <v>1197.729351</v>
      </c>
      <c r="I73" s="121">
        <f>KOHC!D34</f>
        <v>1197.729351</v>
      </c>
      <c r="J73" s="121">
        <f t="shared" si="3"/>
        <v>0</v>
      </c>
      <c r="K73" s="50" t="s">
        <v>1112</v>
      </c>
      <c r="L73" s="50">
        <v>53</v>
      </c>
      <c r="M73" s="50" t="s">
        <v>1106</v>
      </c>
      <c r="N73" s="68" t="s">
        <v>3564</v>
      </c>
      <c r="O73" s="68" t="s">
        <v>3565</v>
      </c>
      <c r="P73" s="68" t="s">
        <v>3633</v>
      </c>
    </row>
    <row r="74" spans="1:16" ht="82.05" customHeight="1" x14ac:dyDescent="0.3">
      <c r="A74" s="119" t="s">
        <v>1211</v>
      </c>
      <c r="B74" s="119" t="s">
        <v>18</v>
      </c>
      <c r="C74" s="119" t="s">
        <v>26</v>
      </c>
      <c r="D74" s="119" t="s">
        <v>271</v>
      </c>
      <c r="E74" s="120">
        <v>480765632</v>
      </c>
      <c r="F74" s="120">
        <v>480765632</v>
      </c>
      <c r="G74" s="120" t="s">
        <v>1109</v>
      </c>
      <c r="H74" s="120">
        <f t="shared" si="2"/>
        <v>480.76563199999998</v>
      </c>
      <c r="I74" s="120">
        <f>KOHC!E34</f>
        <v>480.76563199999998</v>
      </c>
      <c r="J74" s="120">
        <f t="shared" si="3"/>
        <v>0</v>
      </c>
      <c r="K74" s="119" t="s">
        <v>1116</v>
      </c>
      <c r="L74" s="119">
        <v>53</v>
      </c>
      <c r="M74" s="119" t="s">
        <v>1106</v>
      </c>
      <c r="N74" s="122" t="s">
        <v>3564</v>
      </c>
      <c r="O74" s="122" t="s">
        <v>3565</v>
      </c>
      <c r="P74" s="122" t="s">
        <v>3634</v>
      </c>
    </row>
    <row r="75" spans="1:16" ht="82.05" customHeight="1" x14ac:dyDescent="0.3">
      <c r="A75" s="50" t="s">
        <v>1212</v>
      </c>
      <c r="B75" s="50" t="s">
        <v>18</v>
      </c>
      <c r="C75" s="50" t="s">
        <v>27</v>
      </c>
      <c r="D75" s="50" t="s">
        <v>271</v>
      </c>
      <c r="E75" s="121">
        <v>933537193</v>
      </c>
      <c r="F75" s="121">
        <v>933537193</v>
      </c>
      <c r="G75" s="121" t="s">
        <v>1109</v>
      </c>
      <c r="H75" s="121">
        <f t="shared" si="2"/>
        <v>933.537193</v>
      </c>
      <c r="I75" s="121">
        <f>KOHC!F34</f>
        <v>933.537193</v>
      </c>
      <c r="J75" s="121">
        <f t="shared" si="3"/>
        <v>0</v>
      </c>
      <c r="K75" s="50" t="s">
        <v>1119</v>
      </c>
      <c r="L75" s="50">
        <v>59</v>
      </c>
      <c r="M75" s="50" t="s">
        <v>1106</v>
      </c>
      <c r="N75" s="68" t="s">
        <v>3564</v>
      </c>
      <c r="O75" s="68" t="s">
        <v>3565</v>
      </c>
      <c r="P75" s="68" t="s">
        <v>3635</v>
      </c>
    </row>
    <row r="76" spans="1:16" ht="82.05" customHeight="1" x14ac:dyDescent="0.3">
      <c r="A76" s="119" t="s">
        <v>1213</v>
      </c>
      <c r="B76" s="119" t="s">
        <v>18</v>
      </c>
      <c r="C76" s="119" t="s">
        <v>28</v>
      </c>
      <c r="D76" s="119" t="s">
        <v>271</v>
      </c>
      <c r="E76" s="120">
        <v>1102649172</v>
      </c>
      <c r="F76" s="120">
        <v>1102649172</v>
      </c>
      <c r="G76" s="120" t="s">
        <v>1109</v>
      </c>
      <c r="H76" s="120">
        <f t="shared" si="2"/>
        <v>1102.6491719999999</v>
      </c>
      <c r="I76" s="120">
        <f>KOHC!G34</f>
        <v>1102.6491719999999</v>
      </c>
      <c r="J76" s="120">
        <f t="shared" si="3"/>
        <v>0</v>
      </c>
      <c r="K76" s="119" t="s">
        <v>1123</v>
      </c>
      <c r="L76" s="119">
        <v>69</v>
      </c>
      <c r="M76" s="119" t="s">
        <v>1106</v>
      </c>
      <c r="N76" s="122" t="s">
        <v>3564</v>
      </c>
      <c r="O76" s="122" t="s">
        <v>3565</v>
      </c>
      <c r="P76" s="122" t="s">
        <v>3636</v>
      </c>
    </row>
    <row r="77" spans="1:16" ht="82.05" customHeight="1" x14ac:dyDescent="0.3">
      <c r="A77" s="50" t="s">
        <v>1214</v>
      </c>
      <c r="B77" s="50" t="s">
        <v>18</v>
      </c>
      <c r="C77" s="50" t="s">
        <v>29</v>
      </c>
      <c r="D77" s="50" t="s">
        <v>271</v>
      </c>
      <c r="E77" s="121">
        <v>1450702723</v>
      </c>
      <c r="F77" s="121">
        <v>1450702723</v>
      </c>
      <c r="G77" s="121" t="s">
        <v>1109</v>
      </c>
      <c r="H77" s="121">
        <f t="shared" si="2"/>
        <v>1450.7027230000001</v>
      </c>
      <c r="I77" s="121">
        <f>KOHC!H34</f>
        <v>1450.7027230000001</v>
      </c>
      <c r="J77" s="121">
        <f t="shared" si="3"/>
        <v>0</v>
      </c>
      <c r="K77" s="50" t="s">
        <v>1123</v>
      </c>
      <c r="L77" s="50">
        <v>69</v>
      </c>
      <c r="M77" s="50" t="s">
        <v>1127</v>
      </c>
      <c r="N77" s="68" t="s">
        <v>3564</v>
      </c>
      <c r="O77" s="68" t="s">
        <v>3565</v>
      </c>
      <c r="P77" s="68" t="s">
        <v>3637</v>
      </c>
    </row>
    <row r="78" spans="1:16" ht="82.05" customHeight="1" x14ac:dyDescent="0.3">
      <c r="A78" s="119" t="s">
        <v>1215</v>
      </c>
      <c r="B78" s="119" t="s">
        <v>18</v>
      </c>
      <c r="C78" s="119" t="s">
        <v>965</v>
      </c>
      <c r="D78" s="119" t="s">
        <v>273</v>
      </c>
      <c r="E78" s="120">
        <v>425391226</v>
      </c>
      <c r="F78" s="120">
        <v>425391226</v>
      </c>
      <c r="G78" s="120" t="s">
        <v>1109</v>
      </c>
      <c r="H78" s="120">
        <f t="shared" si="2"/>
        <v>425.39122600000002</v>
      </c>
      <c r="I78" s="120">
        <f>KOHC!C35</f>
        <v>425.39122600000002</v>
      </c>
      <c r="J78" s="120">
        <f t="shared" si="3"/>
        <v>0</v>
      </c>
      <c r="K78" s="119" t="s">
        <v>1104</v>
      </c>
      <c r="L78" s="119">
        <v>45</v>
      </c>
      <c r="M78" s="119" t="s">
        <v>1106</v>
      </c>
      <c r="N78" s="122" t="s">
        <v>3564</v>
      </c>
      <c r="O78" s="122" t="s">
        <v>3565</v>
      </c>
      <c r="P78" s="122" t="s">
        <v>3638</v>
      </c>
    </row>
    <row r="79" spans="1:16" ht="82.05" customHeight="1" x14ac:dyDescent="0.3">
      <c r="A79" s="50" t="s">
        <v>1217</v>
      </c>
      <c r="B79" s="50" t="s">
        <v>18</v>
      </c>
      <c r="C79" s="50" t="s">
        <v>20</v>
      </c>
      <c r="D79" s="50" t="s">
        <v>273</v>
      </c>
      <c r="E79" s="121">
        <v>484459350</v>
      </c>
      <c r="F79" s="121">
        <v>484459350</v>
      </c>
      <c r="G79" s="121" t="s">
        <v>1109</v>
      </c>
      <c r="H79" s="121">
        <f t="shared" si="2"/>
        <v>484.45934999999997</v>
      </c>
      <c r="I79" s="121">
        <f>KOHC!D35</f>
        <v>484.45934999999997</v>
      </c>
      <c r="J79" s="121">
        <f t="shared" si="3"/>
        <v>0</v>
      </c>
      <c r="K79" s="50" t="s">
        <v>1112</v>
      </c>
      <c r="L79" s="50">
        <v>53</v>
      </c>
      <c r="M79" s="50" t="s">
        <v>1106</v>
      </c>
      <c r="N79" s="68" t="s">
        <v>3564</v>
      </c>
      <c r="O79" s="68" t="s">
        <v>3565</v>
      </c>
      <c r="P79" s="68" t="s">
        <v>3639</v>
      </c>
    </row>
    <row r="80" spans="1:16" ht="82.05" customHeight="1" x14ac:dyDescent="0.3">
      <c r="A80" s="119" t="s">
        <v>1218</v>
      </c>
      <c r="B80" s="119" t="s">
        <v>18</v>
      </c>
      <c r="C80" s="119" t="s">
        <v>26</v>
      </c>
      <c r="D80" s="119" t="s">
        <v>273</v>
      </c>
      <c r="E80" s="120">
        <v>583944235</v>
      </c>
      <c r="F80" s="120">
        <v>583944235</v>
      </c>
      <c r="G80" s="120" t="s">
        <v>1109</v>
      </c>
      <c r="H80" s="120">
        <f t="shared" si="2"/>
        <v>583.94423500000005</v>
      </c>
      <c r="I80" s="120">
        <f>KOHC!E35</f>
        <v>583.94423500000005</v>
      </c>
      <c r="J80" s="120">
        <f t="shared" si="3"/>
        <v>0</v>
      </c>
      <c r="K80" s="119" t="s">
        <v>1116</v>
      </c>
      <c r="L80" s="119">
        <v>53</v>
      </c>
      <c r="M80" s="119" t="s">
        <v>1106</v>
      </c>
      <c r="N80" s="122" t="s">
        <v>3564</v>
      </c>
      <c r="O80" s="122" t="s">
        <v>3565</v>
      </c>
      <c r="P80" s="122" t="s">
        <v>3640</v>
      </c>
    </row>
    <row r="81" spans="1:16" ht="82.05" customHeight="1" x14ac:dyDescent="0.3">
      <c r="A81" s="50" t="s">
        <v>1220</v>
      </c>
      <c r="B81" s="50" t="s">
        <v>18</v>
      </c>
      <c r="C81" s="50" t="s">
        <v>27</v>
      </c>
      <c r="D81" s="50" t="s">
        <v>273</v>
      </c>
      <c r="E81" s="121">
        <v>783220947</v>
      </c>
      <c r="F81" s="121">
        <v>783220947</v>
      </c>
      <c r="G81" s="121" t="s">
        <v>1109</v>
      </c>
      <c r="H81" s="121">
        <f t="shared" si="2"/>
        <v>783.22094700000002</v>
      </c>
      <c r="I81" s="121">
        <f>KOHC!F35</f>
        <v>783.22094700000002</v>
      </c>
      <c r="J81" s="121">
        <f t="shared" si="3"/>
        <v>0</v>
      </c>
      <c r="K81" s="50" t="s">
        <v>1119</v>
      </c>
      <c r="L81" s="50">
        <v>59</v>
      </c>
      <c r="M81" s="50" t="s">
        <v>1106</v>
      </c>
      <c r="N81" s="68" t="s">
        <v>3564</v>
      </c>
      <c r="O81" s="68" t="s">
        <v>3565</v>
      </c>
      <c r="P81" s="68" t="s">
        <v>3641</v>
      </c>
    </row>
    <row r="82" spans="1:16" ht="82.05" customHeight="1" x14ac:dyDescent="0.3">
      <c r="A82" s="119" t="s">
        <v>1221</v>
      </c>
      <c r="B82" s="119" t="s">
        <v>18</v>
      </c>
      <c r="C82" s="119" t="s">
        <v>28</v>
      </c>
      <c r="D82" s="119" t="s">
        <v>273</v>
      </c>
      <c r="E82" s="120">
        <v>1140327819</v>
      </c>
      <c r="F82" s="120">
        <v>1140327819</v>
      </c>
      <c r="G82" s="120" t="s">
        <v>1109</v>
      </c>
      <c r="H82" s="120">
        <f t="shared" si="2"/>
        <v>1140.3278190000001</v>
      </c>
      <c r="I82" s="120">
        <f>KOHC!G35</f>
        <v>1140.3278190000001</v>
      </c>
      <c r="J82" s="120">
        <f t="shared" si="3"/>
        <v>0</v>
      </c>
      <c r="K82" s="119" t="s">
        <v>1123</v>
      </c>
      <c r="L82" s="119">
        <v>69</v>
      </c>
      <c r="M82" s="119" t="s">
        <v>1106</v>
      </c>
      <c r="N82" s="122" t="s">
        <v>3564</v>
      </c>
      <c r="O82" s="122" t="s">
        <v>3565</v>
      </c>
      <c r="P82" s="122" t="s">
        <v>3642</v>
      </c>
    </row>
    <row r="83" spans="1:16" ht="82.05" customHeight="1" x14ac:dyDescent="0.3">
      <c r="A83" s="50" t="s">
        <v>1223</v>
      </c>
      <c r="B83" s="50" t="s">
        <v>18</v>
      </c>
      <c r="C83" s="50" t="s">
        <v>29</v>
      </c>
      <c r="D83" s="50" t="s">
        <v>273</v>
      </c>
      <c r="E83" s="121">
        <v>1025371707</v>
      </c>
      <c r="F83" s="121">
        <v>1025371707</v>
      </c>
      <c r="G83" s="121" t="s">
        <v>1109</v>
      </c>
      <c r="H83" s="121">
        <f t="shared" si="2"/>
        <v>1025.371707</v>
      </c>
      <c r="I83" s="121">
        <f>KOHC!H35</f>
        <v>1025.371707</v>
      </c>
      <c r="J83" s="121">
        <f t="shared" si="3"/>
        <v>0</v>
      </c>
      <c r="K83" s="50" t="s">
        <v>1123</v>
      </c>
      <c r="L83" s="50">
        <v>69</v>
      </c>
      <c r="M83" s="50" t="s">
        <v>1127</v>
      </c>
      <c r="N83" s="68" t="s">
        <v>3564</v>
      </c>
      <c r="O83" s="68" t="s">
        <v>3565</v>
      </c>
      <c r="P83" s="68" t="s">
        <v>3643</v>
      </c>
    </row>
    <row r="84" spans="1:16" ht="82.05" customHeight="1" x14ac:dyDescent="0.3">
      <c r="A84" s="119" t="s">
        <v>1224</v>
      </c>
      <c r="B84" s="119" t="s">
        <v>18</v>
      </c>
      <c r="C84" s="119" t="s">
        <v>965</v>
      </c>
      <c r="D84" s="119" t="s">
        <v>280</v>
      </c>
      <c r="E84" s="120">
        <v>2008612970</v>
      </c>
      <c r="F84" s="120">
        <v>2008612970</v>
      </c>
      <c r="G84" s="120" t="s">
        <v>1109</v>
      </c>
      <c r="H84" s="120">
        <f t="shared" si="2"/>
        <v>2008.6129699999999</v>
      </c>
      <c r="I84" s="120">
        <f>KOHC!C39</f>
        <v>2008.6129699999999</v>
      </c>
      <c r="J84" s="120">
        <f t="shared" si="3"/>
        <v>0</v>
      </c>
      <c r="K84" s="119" t="s">
        <v>1104</v>
      </c>
      <c r="L84" s="119">
        <v>44</v>
      </c>
      <c r="M84" s="119" t="s">
        <v>1106</v>
      </c>
      <c r="N84" s="122" t="s">
        <v>3564</v>
      </c>
      <c r="O84" s="122" t="s">
        <v>3565</v>
      </c>
      <c r="P84" s="122" t="s">
        <v>3644</v>
      </c>
    </row>
    <row r="85" spans="1:16" ht="82.05" customHeight="1" x14ac:dyDescent="0.3">
      <c r="A85" s="50" t="s">
        <v>1227</v>
      </c>
      <c r="B85" s="50" t="s">
        <v>18</v>
      </c>
      <c r="C85" s="50" t="s">
        <v>20</v>
      </c>
      <c r="D85" s="50" t="s">
        <v>280</v>
      </c>
      <c r="E85" s="121">
        <v>2008612970</v>
      </c>
      <c r="F85" s="121">
        <v>2008612970</v>
      </c>
      <c r="G85" s="121" t="s">
        <v>1109</v>
      </c>
      <c r="H85" s="121">
        <f t="shared" si="2"/>
        <v>2008.6129699999999</v>
      </c>
      <c r="I85" s="121">
        <f>KOHC!D39</f>
        <v>2008.6129699999999</v>
      </c>
      <c r="J85" s="121">
        <f t="shared" si="3"/>
        <v>0</v>
      </c>
      <c r="K85" s="50" t="s">
        <v>1112</v>
      </c>
      <c r="L85" s="50">
        <v>52</v>
      </c>
      <c r="M85" s="50" t="s">
        <v>1106</v>
      </c>
      <c r="N85" s="68" t="s">
        <v>3564</v>
      </c>
      <c r="O85" s="68" t="s">
        <v>3565</v>
      </c>
      <c r="P85" s="68" t="s">
        <v>3645</v>
      </c>
    </row>
    <row r="86" spans="1:16" ht="82.05" customHeight="1" x14ac:dyDescent="0.3">
      <c r="A86" s="119" t="s">
        <v>1228</v>
      </c>
      <c r="B86" s="119" t="s">
        <v>18</v>
      </c>
      <c r="C86" s="119" t="s">
        <v>26</v>
      </c>
      <c r="D86" s="119" t="s">
        <v>280</v>
      </c>
      <c r="E86" s="120">
        <v>2008612970</v>
      </c>
      <c r="F86" s="120">
        <v>2008612970</v>
      </c>
      <c r="G86" s="120" t="s">
        <v>1109</v>
      </c>
      <c r="H86" s="120">
        <f t="shared" si="2"/>
        <v>2008.6129699999999</v>
      </c>
      <c r="I86" s="120">
        <f>KOHC!E39</f>
        <v>2008.6129699999999</v>
      </c>
      <c r="J86" s="120">
        <f t="shared" si="3"/>
        <v>0</v>
      </c>
      <c r="K86" s="119" t="s">
        <v>1116</v>
      </c>
      <c r="L86" s="119">
        <v>52</v>
      </c>
      <c r="M86" s="119" t="s">
        <v>1106</v>
      </c>
      <c r="N86" s="122" t="s">
        <v>3564</v>
      </c>
      <c r="O86" s="122" t="s">
        <v>3565</v>
      </c>
      <c r="P86" s="122" t="s">
        <v>3646</v>
      </c>
    </row>
    <row r="87" spans="1:16" ht="82.05" customHeight="1" x14ac:dyDescent="0.3">
      <c r="A87" s="50" t="s">
        <v>1229</v>
      </c>
      <c r="B87" s="50" t="s">
        <v>18</v>
      </c>
      <c r="C87" s="50" t="s">
        <v>27</v>
      </c>
      <c r="D87" s="50" t="s">
        <v>280</v>
      </c>
      <c r="E87" s="121">
        <v>2008612970</v>
      </c>
      <c r="F87" s="121">
        <v>2008612970</v>
      </c>
      <c r="G87" s="121" t="s">
        <v>1109</v>
      </c>
      <c r="H87" s="121">
        <f t="shared" si="2"/>
        <v>2008.6129699999999</v>
      </c>
      <c r="I87" s="121">
        <f>KOHC!F39</f>
        <v>2008.6129699999999</v>
      </c>
      <c r="J87" s="121">
        <f t="shared" si="3"/>
        <v>0</v>
      </c>
      <c r="K87" s="50" t="s">
        <v>1119</v>
      </c>
      <c r="L87" s="50">
        <v>58</v>
      </c>
      <c r="M87" s="50" t="s">
        <v>1106</v>
      </c>
      <c r="N87" s="68" t="s">
        <v>3564</v>
      </c>
      <c r="O87" s="68" t="s">
        <v>3565</v>
      </c>
      <c r="P87" s="68" t="s">
        <v>3647</v>
      </c>
    </row>
    <row r="88" spans="1:16" ht="82.05" customHeight="1" x14ac:dyDescent="0.3">
      <c r="A88" s="119" t="s">
        <v>1230</v>
      </c>
      <c r="B88" s="119" t="s">
        <v>18</v>
      </c>
      <c r="C88" s="119" t="s">
        <v>28</v>
      </c>
      <c r="D88" s="119" t="s">
        <v>280</v>
      </c>
      <c r="E88" s="120">
        <v>1958612970</v>
      </c>
      <c r="F88" s="120">
        <v>1958612970</v>
      </c>
      <c r="G88" s="120" t="s">
        <v>1109</v>
      </c>
      <c r="H88" s="120">
        <f t="shared" si="2"/>
        <v>1958.6129699999999</v>
      </c>
      <c r="I88" s="120">
        <f>KOHC!G39</f>
        <v>1958.6129699999999</v>
      </c>
      <c r="J88" s="120">
        <f t="shared" si="3"/>
        <v>0</v>
      </c>
      <c r="K88" s="119" t="s">
        <v>1123</v>
      </c>
      <c r="L88" s="119">
        <v>68</v>
      </c>
      <c r="M88" s="119" t="s">
        <v>1106</v>
      </c>
      <c r="N88" s="122" t="s">
        <v>3564</v>
      </c>
      <c r="O88" s="122" t="s">
        <v>3565</v>
      </c>
      <c r="P88" s="122" t="s">
        <v>3648</v>
      </c>
    </row>
    <row r="89" spans="1:16" ht="82.05" customHeight="1" x14ac:dyDescent="0.3">
      <c r="A89" s="50" t="s">
        <v>1231</v>
      </c>
      <c r="B89" s="50" t="s">
        <v>18</v>
      </c>
      <c r="C89" s="50" t="s">
        <v>29</v>
      </c>
      <c r="D89" s="50" t="s">
        <v>280</v>
      </c>
      <c r="E89" s="121">
        <v>1838612970</v>
      </c>
      <c r="F89" s="121">
        <v>1838612970</v>
      </c>
      <c r="G89" s="121" t="s">
        <v>1109</v>
      </c>
      <c r="H89" s="121">
        <f t="shared" si="2"/>
        <v>1838.6129699999999</v>
      </c>
      <c r="I89" s="121">
        <f>KOHC!H39</f>
        <v>1838.6129699999999</v>
      </c>
      <c r="J89" s="121">
        <f t="shared" si="3"/>
        <v>0</v>
      </c>
      <c r="K89" s="50" t="s">
        <v>1123</v>
      </c>
      <c r="L89" s="50">
        <v>68</v>
      </c>
      <c r="M89" s="50" t="s">
        <v>1127</v>
      </c>
      <c r="N89" s="68" t="s">
        <v>3564</v>
      </c>
      <c r="O89" s="68" t="s">
        <v>3565</v>
      </c>
      <c r="P89" s="68" t="s">
        <v>3649</v>
      </c>
    </row>
    <row r="90" spans="1:16" ht="82.05" customHeight="1" x14ac:dyDescent="0.3">
      <c r="A90" s="119" t="s">
        <v>1232</v>
      </c>
      <c r="B90" s="119" t="s">
        <v>18</v>
      </c>
      <c r="C90" s="119" t="s">
        <v>965</v>
      </c>
      <c r="D90" s="119" t="s">
        <v>282</v>
      </c>
      <c r="E90" s="120">
        <v>16718060354</v>
      </c>
      <c r="F90" s="120">
        <v>16718060354</v>
      </c>
      <c r="G90" s="120" t="s">
        <v>1109</v>
      </c>
      <c r="H90" s="120">
        <f t="shared" si="2"/>
        <v>16718.060354000001</v>
      </c>
      <c r="I90" s="120">
        <f>KOHC!C40</f>
        <v>16718.060354000001</v>
      </c>
      <c r="J90" s="120">
        <f t="shared" si="3"/>
        <v>0</v>
      </c>
      <c r="K90" s="119" t="s">
        <v>1104</v>
      </c>
      <c r="L90" s="119">
        <v>44</v>
      </c>
      <c r="M90" s="119" t="s">
        <v>1106</v>
      </c>
      <c r="N90" s="122" t="s">
        <v>3602</v>
      </c>
      <c r="O90" s="122" t="s">
        <v>3603</v>
      </c>
      <c r="P90" s="122" t="s">
        <v>3650</v>
      </c>
    </row>
    <row r="91" spans="1:16" ht="82.05" customHeight="1" x14ac:dyDescent="0.3">
      <c r="A91" s="50" t="s">
        <v>1234</v>
      </c>
      <c r="B91" s="50" t="s">
        <v>18</v>
      </c>
      <c r="C91" s="50" t="s">
        <v>20</v>
      </c>
      <c r="D91" s="50" t="s">
        <v>282</v>
      </c>
      <c r="E91" s="121">
        <v>20214926401</v>
      </c>
      <c r="F91" s="121">
        <v>20214926401</v>
      </c>
      <c r="G91" s="121" t="s">
        <v>1109</v>
      </c>
      <c r="H91" s="121">
        <f t="shared" si="2"/>
        <v>20214.926401000001</v>
      </c>
      <c r="I91" s="121">
        <f>KOHC!D40</f>
        <v>20214.926401000001</v>
      </c>
      <c r="J91" s="121">
        <f t="shared" si="3"/>
        <v>0</v>
      </c>
      <c r="K91" s="50" t="s">
        <v>1112</v>
      </c>
      <c r="L91" s="50">
        <v>52</v>
      </c>
      <c r="M91" s="50" t="s">
        <v>1106</v>
      </c>
      <c r="N91" s="68" t="s">
        <v>3602</v>
      </c>
      <c r="O91" s="68" t="s">
        <v>3603</v>
      </c>
      <c r="P91" s="68" t="s">
        <v>3651</v>
      </c>
    </row>
    <row r="92" spans="1:16" ht="82.05" customHeight="1" x14ac:dyDescent="0.3">
      <c r="A92" s="119" t="s">
        <v>1235</v>
      </c>
      <c r="B92" s="119" t="s">
        <v>18</v>
      </c>
      <c r="C92" s="119" t="s">
        <v>26</v>
      </c>
      <c r="D92" s="119" t="s">
        <v>282</v>
      </c>
      <c r="E92" s="120">
        <v>25237607261</v>
      </c>
      <c r="F92" s="120">
        <v>25237607261</v>
      </c>
      <c r="G92" s="120" t="s">
        <v>1109</v>
      </c>
      <c r="H92" s="120">
        <f t="shared" si="2"/>
        <v>25237.607261000001</v>
      </c>
      <c r="I92" s="120">
        <f>KOHC!E40</f>
        <v>25237.607261000001</v>
      </c>
      <c r="J92" s="120">
        <f t="shared" si="3"/>
        <v>0</v>
      </c>
      <c r="K92" s="119" t="s">
        <v>1116</v>
      </c>
      <c r="L92" s="119">
        <v>52</v>
      </c>
      <c r="M92" s="119" t="s">
        <v>1106</v>
      </c>
      <c r="N92" s="122" t="s">
        <v>3602</v>
      </c>
      <c r="O92" s="122" t="s">
        <v>3603</v>
      </c>
      <c r="P92" s="122" t="s">
        <v>3652</v>
      </c>
    </row>
    <row r="93" spans="1:16" ht="82.05" customHeight="1" x14ac:dyDescent="0.3">
      <c r="A93" s="50" t="s">
        <v>1236</v>
      </c>
      <c r="B93" s="50" t="s">
        <v>18</v>
      </c>
      <c r="C93" s="50" t="s">
        <v>27</v>
      </c>
      <c r="D93" s="50" t="s">
        <v>282</v>
      </c>
      <c r="E93" s="121">
        <v>30601432002</v>
      </c>
      <c r="F93" s="121">
        <v>30601432002</v>
      </c>
      <c r="G93" s="121" t="s">
        <v>1109</v>
      </c>
      <c r="H93" s="121">
        <f t="shared" si="2"/>
        <v>30601.432002000001</v>
      </c>
      <c r="I93" s="121">
        <f>KOHC!F40</f>
        <v>30601.432002000001</v>
      </c>
      <c r="J93" s="121">
        <f t="shared" si="3"/>
        <v>0</v>
      </c>
      <c r="K93" s="50" t="s">
        <v>1119</v>
      </c>
      <c r="L93" s="50">
        <v>58</v>
      </c>
      <c r="M93" s="50" t="s">
        <v>1106</v>
      </c>
      <c r="N93" s="68" t="s">
        <v>3602</v>
      </c>
      <c r="O93" s="68" t="s">
        <v>3603</v>
      </c>
      <c r="P93" s="68" t="s">
        <v>3653</v>
      </c>
    </row>
    <row r="94" spans="1:16" ht="82.05" customHeight="1" x14ac:dyDescent="0.3">
      <c r="A94" s="119" t="s">
        <v>1237</v>
      </c>
      <c r="B94" s="119" t="s">
        <v>18</v>
      </c>
      <c r="C94" s="119" t="s">
        <v>28</v>
      </c>
      <c r="D94" s="119" t="s">
        <v>282</v>
      </c>
      <c r="E94" s="120">
        <v>39131692321</v>
      </c>
      <c r="F94" s="120">
        <v>39131692321</v>
      </c>
      <c r="G94" s="120" t="s">
        <v>1109</v>
      </c>
      <c r="H94" s="120">
        <f t="shared" si="2"/>
        <v>39131.692321000002</v>
      </c>
      <c r="I94" s="120">
        <f>KOHC!G40</f>
        <v>39131.692321000002</v>
      </c>
      <c r="J94" s="120">
        <f t="shared" si="3"/>
        <v>0</v>
      </c>
      <c r="K94" s="119" t="s">
        <v>1123</v>
      </c>
      <c r="L94" s="119">
        <v>68</v>
      </c>
      <c r="M94" s="119" t="s">
        <v>1106</v>
      </c>
      <c r="N94" s="122" t="s">
        <v>3602</v>
      </c>
      <c r="O94" s="122" t="s">
        <v>3603</v>
      </c>
      <c r="P94" s="122" t="s">
        <v>3654</v>
      </c>
    </row>
    <row r="95" spans="1:16" ht="82.05" customHeight="1" x14ac:dyDescent="0.3">
      <c r="A95" s="50" t="s">
        <v>1238</v>
      </c>
      <c r="B95" s="50" t="s">
        <v>18</v>
      </c>
      <c r="C95" s="50" t="s">
        <v>29</v>
      </c>
      <c r="D95" s="50" t="s">
        <v>282</v>
      </c>
      <c r="E95" s="121">
        <v>46116581817</v>
      </c>
      <c r="F95" s="121">
        <v>46116581817</v>
      </c>
      <c r="G95" s="121" t="s">
        <v>1109</v>
      </c>
      <c r="H95" s="121">
        <f t="shared" si="2"/>
        <v>46116.581816999998</v>
      </c>
      <c r="I95" s="121">
        <f>KOHC!H40</f>
        <v>46116.581816999998</v>
      </c>
      <c r="J95" s="121">
        <f t="shared" si="3"/>
        <v>0</v>
      </c>
      <c r="K95" s="50" t="s">
        <v>1123</v>
      </c>
      <c r="L95" s="50">
        <v>68</v>
      </c>
      <c r="M95" s="50" t="s">
        <v>1127</v>
      </c>
      <c r="N95" s="68" t="s">
        <v>3602</v>
      </c>
      <c r="O95" s="68" t="s">
        <v>3603</v>
      </c>
      <c r="P95" s="68" t="s">
        <v>3654</v>
      </c>
    </row>
    <row r="96" spans="1:16" ht="82.05" customHeight="1" x14ac:dyDescent="0.3">
      <c r="A96" s="119" t="s">
        <v>1239</v>
      </c>
      <c r="B96" s="119" t="s">
        <v>18</v>
      </c>
      <c r="C96" s="119" t="s">
        <v>965</v>
      </c>
      <c r="D96" s="119" t="s">
        <v>287</v>
      </c>
      <c r="E96" s="120">
        <v>5439226142</v>
      </c>
      <c r="F96" s="120">
        <v>5439226142</v>
      </c>
      <c r="G96" s="120" t="s">
        <v>1109</v>
      </c>
      <c r="H96" s="120">
        <f t="shared" si="2"/>
        <v>5439.2261420000004</v>
      </c>
      <c r="I96" s="120">
        <f>KOHC!C43</f>
        <v>5439.2261420000004</v>
      </c>
      <c r="J96" s="120">
        <f t="shared" si="3"/>
        <v>0</v>
      </c>
      <c r="K96" s="119" t="s">
        <v>1104</v>
      </c>
      <c r="L96" s="119">
        <v>44</v>
      </c>
      <c r="M96" s="119" t="s">
        <v>1106</v>
      </c>
      <c r="N96" s="122" t="s">
        <v>3564</v>
      </c>
      <c r="O96" s="122" t="s">
        <v>3565</v>
      </c>
      <c r="P96" s="122" t="s">
        <v>3655</v>
      </c>
    </row>
    <row r="97" spans="1:16" ht="82.05" customHeight="1" x14ac:dyDescent="0.3">
      <c r="A97" s="50" t="s">
        <v>1242</v>
      </c>
      <c r="B97" s="50" t="s">
        <v>18</v>
      </c>
      <c r="C97" s="50" t="s">
        <v>20</v>
      </c>
      <c r="D97" s="50" t="s">
        <v>287</v>
      </c>
      <c r="E97" s="121">
        <v>4405765306</v>
      </c>
      <c r="F97" s="121">
        <v>4405765306</v>
      </c>
      <c r="G97" s="121" t="s">
        <v>1109</v>
      </c>
      <c r="H97" s="121">
        <f t="shared" si="2"/>
        <v>4405.7653060000002</v>
      </c>
      <c r="I97" s="121">
        <f>KOHC!D43</f>
        <v>4405.7653060000002</v>
      </c>
      <c r="J97" s="121">
        <f t="shared" si="3"/>
        <v>0</v>
      </c>
      <c r="K97" s="50" t="s">
        <v>1112</v>
      </c>
      <c r="L97" s="50">
        <v>52</v>
      </c>
      <c r="M97" s="50" t="s">
        <v>1106</v>
      </c>
      <c r="N97" s="68" t="s">
        <v>3564</v>
      </c>
      <c r="O97" s="68" t="s">
        <v>3565</v>
      </c>
      <c r="P97" s="68" t="s">
        <v>3656</v>
      </c>
    </row>
    <row r="98" spans="1:16" ht="82.05" customHeight="1" x14ac:dyDescent="0.3">
      <c r="A98" s="119" t="s">
        <v>1243</v>
      </c>
      <c r="B98" s="119" t="s">
        <v>18</v>
      </c>
      <c r="C98" s="119" t="s">
        <v>26</v>
      </c>
      <c r="D98" s="119" t="s">
        <v>287</v>
      </c>
      <c r="E98" s="120">
        <v>3179400118</v>
      </c>
      <c r="F98" s="120">
        <v>3179400118</v>
      </c>
      <c r="G98" s="120" t="s">
        <v>1109</v>
      </c>
      <c r="H98" s="120">
        <f t="shared" si="2"/>
        <v>3179.400118</v>
      </c>
      <c r="I98" s="120">
        <f>KOHC!E43</f>
        <v>3179.400118</v>
      </c>
      <c r="J98" s="120">
        <f t="shared" si="3"/>
        <v>0</v>
      </c>
      <c r="K98" s="119" t="s">
        <v>1116</v>
      </c>
      <c r="L98" s="119">
        <v>52</v>
      </c>
      <c r="M98" s="119" t="s">
        <v>1106</v>
      </c>
      <c r="N98" s="122" t="s">
        <v>3564</v>
      </c>
      <c r="O98" s="122" t="s">
        <v>3565</v>
      </c>
      <c r="P98" s="122" t="s">
        <v>3657</v>
      </c>
    </row>
    <row r="99" spans="1:16" ht="82.05" customHeight="1" x14ac:dyDescent="0.3">
      <c r="A99" s="50" t="s">
        <v>1244</v>
      </c>
      <c r="B99" s="50" t="s">
        <v>18</v>
      </c>
      <c r="C99" s="50" t="s">
        <v>27</v>
      </c>
      <c r="D99" s="50" t="s">
        <v>287</v>
      </c>
      <c r="E99" s="121">
        <v>2149017375</v>
      </c>
      <c r="F99" s="121">
        <v>2149017375</v>
      </c>
      <c r="G99" s="121" t="s">
        <v>1109</v>
      </c>
      <c r="H99" s="121">
        <f t="shared" si="2"/>
        <v>2149.0173749999999</v>
      </c>
      <c r="I99" s="121">
        <f>KOHC!F43</f>
        <v>2149.0173749999999</v>
      </c>
      <c r="J99" s="121">
        <f t="shared" si="3"/>
        <v>0</v>
      </c>
      <c r="K99" s="50" t="s">
        <v>1119</v>
      </c>
      <c r="L99" s="50">
        <v>58</v>
      </c>
      <c r="M99" s="50" t="s">
        <v>1106</v>
      </c>
      <c r="N99" s="68" t="s">
        <v>3564</v>
      </c>
      <c r="O99" s="68" t="s">
        <v>3565</v>
      </c>
      <c r="P99" s="68" t="s">
        <v>3658</v>
      </c>
    </row>
    <row r="100" spans="1:16" ht="82.05" customHeight="1" x14ac:dyDescent="0.3">
      <c r="A100" s="119" t="s">
        <v>1245</v>
      </c>
      <c r="B100" s="119" t="s">
        <v>18</v>
      </c>
      <c r="C100" s="119" t="s">
        <v>28</v>
      </c>
      <c r="D100" s="119" t="s">
        <v>287</v>
      </c>
      <c r="E100" s="120">
        <v>1118642478</v>
      </c>
      <c r="F100" s="120">
        <v>1118642478</v>
      </c>
      <c r="G100" s="120" t="s">
        <v>1109</v>
      </c>
      <c r="H100" s="120">
        <f t="shared" si="2"/>
        <v>1118.642478</v>
      </c>
      <c r="I100" s="120">
        <f>KOHC!G43</f>
        <v>1118.642478</v>
      </c>
      <c r="J100" s="120">
        <f t="shared" si="3"/>
        <v>0</v>
      </c>
      <c r="K100" s="119" t="s">
        <v>1123</v>
      </c>
      <c r="L100" s="119">
        <v>68</v>
      </c>
      <c r="M100" s="119" t="s">
        <v>1106</v>
      </c>
      <c r="N100" s="122" t="s">
        <v>3564</v>
      </c>
      <c r="O100" s="122" t="s">
        <v>3565</v>
      </c>
      <c r="P100" s="122" t="s">
        <v>3659</v>
      </c>
    </row>
    <row r="101" spans="1:16" ht="82.05" customHeight="1" x14ac:dyDescent="0.3">
      <c r="A101" s="50" t="s">
        <v>1246</v>
      </c>
      <c r="B101" s="50" t="s">
        <v>18</v>
      </c>
      <c r="C101" s="50" t="s">
        <v>29</v>
      </c>
      <c r="D101" s="50" t="s">
        <v>287</v>
      </c>
      <c r="E101" s="121">
        <v>1448977799</v>
      </c>
      <c r="F101" s="121">
        <v>1448977799</v>
      </c>
      <c r="G101" s="121" t="s">
        <v>1109</v>
      </c>
      <c r="H101" s="121">
        <f t="shared" si="2"/>
        <v>1448.977799</v>
      </c>
      <c r="I101" s="121">
        <f>KOHC!H43</f>
        <v>1448.977799</v>
      </c>
      <c r="J101" s="121">
        <f t="shared" si="3"/>
        <v>0</v>
      </c>
      <c r="K101" s="50" t="s">
        <v>1123</v>
      </c>
      <c r="L101" s="50">
        <v>68</v>
      </c>
      <c r="M101" s="50" t="s">
        <v>1127</v>
      </c>
      <c r="N101" s="68" t="s">
        <v>3564</v>
      </c>
      <c r="O101" s="68" t="s">
        <v>3565</v>
      </c>
      <c r="P101" s="68" t="s">
        <v>3660</v>
      </c>
    </row>
    <row r="102" spans="1:16" ht="82.05" customHeight="1" x14ac:dyDescent="0.3">
      <c r="A102" s="119" t="s">
        <v>1247</v>
      </c>
      <c r="B102" s="119" t="s">
        <v>18</v>
      </c>
      <c r="C102" s="119" t="s">
        <v>965</v>
      </c>
      <c r="D102" s="119" t="s">
        <v>289</v>
      </c>
      <c r="E102" s="120">
        <v>0</v>
      </c>
      <c r="F102" s="120">
        <v>0</v>
      </c>
      <c r="G102" s="120" t="s">
        <v>1109</v>
      </c>
      <c r="H102" s="120">
        <f t="shared" si="2"/>
        <v>0</v>
      </c>
      <c r="I102" s="120">
        <f>KOHC!C44</f>
        <v>0</v>
      </c>
      <c r="J102" s="120">
        <f t="shared" si="3"/>
        <v>0</v>
      </c>
      <c r="K102" s="119" t="s">
        <v>1104</v>
      </c>
      <c r="L102" s="119">
        <v>44</v>
      </c>
      <c r="M102" s="119" t="s">
        <v>1106</v>
      </c>
      <c r="N102" s="122" t="s">
        <v>3578</v>
      </c>
      <c r="O102" s="122" t="s">
        <v>3579</v>
      </c>
      <c r="P102" s="122" t="s">
        <v>3661</v>
      </c>
    </row>
    <row r="103" spans="1:16" ht="82.05" customHeight="1" x14ac:dyDescent="0.3">
      <c r="A103" s="50" t="s">
        <v>1248</v>
      </c>
      <c r="B103" s="50" t="s">
        <v>18</v>
      </c>
      <c r="C103" s="50" t="s">
        <v>20</v>
      </c>
      <c r="D103" s="50" t="s">
        <v>289</v>
      </c>
      <c r="E103" s="121">
        <v>0</v>
      </c>
      <c r="F103" s="121">
        <v>0</v>
      </c>
      <c r="G103" s="121" t="s">
        <v>1109</v>
      </c>
      <c r="H103" s="121">
        <f t="shared" si="2"/>
        <v>0</v>
      </c>
      <c r="I103" s="121">
        <f>KOHC!D44</f>
        <v>0</v>
      </c>
      <c r="J103" s="121">
        <f t="shared" si="3"/>
        <v>0</v>
      </c>
      <c r="K103" s="50" t="s">
        <v>1112</v>
      </c>
      <c r="L103" s="50">
        <v>52</v>
      </c>
      <c r="M103" s="50" t="s">
        <v>1106</v>
      </c>
      <c r="N103" s="68" t="s">
        <v>3578</v>
      </c>
      <c r="O103" s="68" t="s">
        <v>3579</v>
      </c>
      <c r="P103" s="68" t="s">
        <v>3662</v>
      </c>
    </row>
    <row r="104" spans="1:16" ht="82.05" customHeight="1" x14ac:dyDescent="0.3">
      <c r="A104" s="119" t="s">
        <v>1249</v>
      </c>
      <c r="B104" s="119" t="s">
        <v>18</v>
      </c>
      <c r="C104" s="119" t="s">
        <v>26</v>
      </c>
      <c r="D104" s="119" t="s">
        <v>289</v>
      </c>
      <c r="E104" s="120">
        <v>0</v>
      </c>
      <c r="F104" s="120">
        <v>0</v>
      </c>
      <c r="G104" s="120" t="s">
        <v>1109</v>
      </c>
      <c r="H104" s="120">
        <f t="shared" si="2"/>
        <v>0</v>
      </c>
      <c r="I104" s="120">
        <f>KOHC!E44</f>
        <v>0</v>
      </c>
      <c r="J104" s="120">
        <f t="shared" si="3"/>
        <v>0</v>
      </c>
      <c r="K104" s="119" t="s">
        <v>1116</v>
      </c>
      <c r="L104" s="119">
        <v>52</v>
      </c>
      <c r="M104" s="119" t="s">
        <v>1106</v>
      </c>
      <c r="N104" s="122" t="s">
        <v>3578</v>
      </c>
      <c r="O104" s="122" t="s">
        <v>3579</v>
      </c>
      <c r="P104" s="122" t="s">
        <v>3663</v>
      </c>
    </row>
    <row r="105" spans="1:16" ht="82.05" customHeight="1" x14ac:dyDescent="0.3">
      <c r="A105" s="50" t="s">
        <v>1250</v>
      </c>
      <c r="B105" s="50" t="s">
        <v>18</v>
      </c>
      <c r="C105" s="50" t="s">
        <v>27</v>
      </c>
      <c r="D105" s="50" t="s">
        <v>289</v>
      </c>
      <c r="E105" s="121">
        <v>0</v>
      </c>
      <c r="F105" s="121">
        <v>0</v>
      </c>
      <c r="G105" s="121" t="s">
        <v>1109</v>
      </c>
      <c r="H105" s="121">
        <f t="shared" si="2"/>
        <v>0</v>
      </c>
      <c r="I105" s="121">
        <f>KOHC!F44</f>
        <v>0</v>
      </c>
      <c r="J105" s="121">
        <f t="shared" si="3"/>
        <v>0</v>
      </c>
      <c r="K105" s="50" t="s">
        <v>1119</v>
      </c>
      <c r="L105" s="50">
        <v>58</v>
      </c>
      <c r="M105" s="50" t="s">
        <v>1106</v>
      </c>
      <c r="N105" s="68" t="s">
        <v>3578</v>
      </c>
      <c r="O105" s="68" t="s">
        <v>3579</v>
      </c>
      <c r="P105" s="68" t="s">
        <v>3664</v>
      </c>
    </row>
    <row r="106" spans="1:16" ht="82.05" customHeight="1" x14ac:dyDescent="0.3">
      <c r="A106" s="119" t="s">
        <v>1251</v>
      </c>
      <c r="B106" s="119" t="s">
        <v>18</v>
      </c>
      <c r="C106" s="119" t="s">
        <v>28</v>
      </c>
      <c r="D106" s="119" t="s">
        <v>289</v>
      </c>
      <c r="E106" s="120">
        <v>0</v>
      </c>
      <c r="F106" s="120">
        <v>0</v>
      </c>
      <c r="G106" s="120" t="s">
        <v>1109</v>
      </c>
      <c r="H106" s="120">
        <f t="shared" si="2"/>
        <v>0</v>
      </c>
      <c r="I106" s="120">
        <f>KOHC!G44</f>
        <v>0</v>
      </c>
      <c r="J106" s="120">
        <f t="shared" si="3"/>
        <v>0</v>
      </c>
      <c r="K106" s="119" t="s">
        <v>1123</v>
      </c>
      <c r="L106" s="119">
        <v>68</v>
      </c>
      <c r="M106" s="119" t="s">
        <v>1106</v>
      </c>
      <c r="N106" s="122" t="s">
        <v>3578</v>
      </c>
      <c r="O106" s="122" t="s">
        <v>3579</v>
      </c>
      <c r="P106" s="122" t="s">
        <v>3665</v>
      </c>
    </row>
    <row r="107" spans="1:16" ht="82.05" customHeight="1" x14ac:dyDescent="0.3">
      <c r="A107" s="50" t="s">
        <v>1252</v>
      </c>
      <c r="B107" s="50" t="s">
        <v>18</v>
      </c>
      <c r="C107" s="50" t="s">
        <v>29</v>
      </c>
      <c r="D107" s="50" t="s">
        <v>289</v>
      </c>
      <c r="E107" s="121">
        <v>0</v>
      </c>
      <c r="F107" s="121">
        <v>0</v>
      </c>
      <c r="G107" s="121" t="s">
        <v>1109</v>
      </c>
      <c r="H107" s="121">
        <f t="shared" si="2"/>
        <v>0</v>
      </c>
      <c r="I107" s="121">
        <f>KOHC!H44</f>
        <v>0</v>
      </c>
      <c r="J107" s="121">
        <f t="shared" si="3"/>
        <v>0</v>
      </c>
      <c r="K107" s="50" t="s">
        <v>1123</v>
      </c>
      <c r="L107" s="50">
        <v>68</v>
      </c>
      <c r="M107" s="50" t="s">
        <v>1127</v>
      </c>
      <c r="N107" s="68" t="s">
        <v>3578</v>
      </c>
      <c r="O107" s="68" t="s">
        <v>3579</v>
      </c>
      <c r="P107" s="68" t="s">
        <v>3665</v>
      </c>
    </row>
    <row r="108" spans="1:16" ht="82.05" customHeight="1" x14ac:dyDescent="0.3">
      <c r="A108" s="119" t="s">
        <v>1253</v>
      </c>
      <c r="B108" s="119" t="s">
        <v>18</v>
      </c>
      <c r="C108" s="119" t="s">
        <v>965</v>
      </c>
      <c r="D108" s="119" t="s">
        <v>291</v>
      </c>
      <c r="E108" s="120">
        <v>0</v>
      </c>
      <c r="F108" s="120">
        <v>0</v>
      </c>
      <c r="G108" s="120" t="s">
        <v>1109</v>
      </c>
      <c r="H108" s="120">
        <f t="shared" si="2"/>
        <v>0</v>
      </c>
      <c r="I108" s="120">
        <f>KOHC!C45</f>
        <v>0</v>
      </c>
      <c r="J108" s="120">
        <f t="shared" si="3"/>
        <v>0</v>
      </c>
      <c r="K108" s="119" t="s">
        <v>1104</v>
      </c>
      <c r="L108" s="119">
        <v>44</v>
      </c>
      <c r="M108" s="119" t="s">
        <v>1106</v>
      </c>
      <c r="N108" s="122" t="s">
        <v>3578</v>
      </c>
      <c r="O108" s="122" t="s">
        <v>3579</v>
      </c>
      <c r="P108" s="122" t="s">
        <v>3666</v>
      </c>
    </row>
    <row r="109" spans="1:16" ht="82.05" customHeight="1" x14ac:dyDescent="0.3">
      <c r="A109" s="50" t="s">
        <v>1256</v>
      </c>
      <c r="B109" s="50" t="s">
        <v>18</v>
      </c>
      <c r="C109" s="50" t="s">
        <v>20</v>
      </c>
      <c r="D109" s="50" t="s">
        <v>291</v>
      </c>
      <c r="E109" s="121">
        <v>1328937</v>
      </c>
      <c r="F109" s="121">
        <v>1328937</v>
      </c>
      <c r="G109" s="121" t="s">
        <v>1109</v>
      </c>
      <c r="H109" s="121">
        <f t="shared" si="2"/>
        <v>1.328937</v>
      </c>
      <c r="I109" s="121">
        <f>KOHC!D45</f>
        <v>1.328937</v>
      </c>
      <c r="J109" s="121">
        <f t="shared" si="3"/>
        <v>0</v>
      </c>
      <c r="K109" s="50" t="s">
        <v>1112</v>
      </c>
      <c r="L109" s="50">
        <v>52</v>
      </c>
      <c r="M109" s="50" t="s">
        <v>1106</v>
      </c>
      <c r="N109" s="68" t="s">
        <v>3564</v>
      </c>
      <c r="O109" s="68" t="s">
        <v>3565</v>
      </c>
      <c r="P109" s="68" t="s">
        <v>3667</v>
      </c>
    </row>
    <row r="110" spans="1:16" ht="82.05" customHeight="1" x14ac:dyDescent="0.3">
      <c r="A110" s="119" t="s">
        <v>1257</v>
      </c>
      <c r="B110" s="119" t="s">
        <v>18</v>
      </c>
      <c r="C110" s="119" t="s">
        <v>26</v>
      </c>
      <c r="D110" s="119" t="s">
        <v>291</v>
      </c>
      <c r="E110" s="120">
        <v>0</v>
      </c>
      <c r="F110" s="120">
        <v>0</v>
      </c>
      <c r="G110" s="120" t="s">
        <v>1109</v>
      </c>
      <c r="H110" s="120">
        <f t="shared" si="2"/>
        <v>0</v>
      </c>
      <c r="I110" s="120">
        <f>KOHC!E45</f>
        <v>0</v>
      </c>
      <c r="J110" s="120">
        <f t="shared" si="3"/>
        <v>0</v>
      </c>
      <c r="K110" s="119" t="s">
        <v>1116</v>
      </c>
      <c r="L110" s="119">
        <v>52</v>
      </c>
      <c r="M110" s="119" t="s">
        <v>1106</v>
      </c>
      <c r="N110" s="122" t="s">
        <v>3578</v>
      </c>
      <c r="O110" s="122" t="s">
        <v>3579</v>
      </c>
      <c r="P110" s="122" t="s">
        <v>3668</v>
      </c>
    </row>
    <row r="111" spans="1:16" ht="82.05" customHeight="1" x14ac:dyDescent="0.3">
      <c r="A111" s="50" t="s">
        <v>1258</v>
      </c>
      <c r="B111" s="50" t="s">
        <v>18</v>
      </c>
      <c r="C111" s="50" t="s">
        <v>27</v>
      </c>
      <c r="D111" s="50" t="s">
        <v>291</v>
      </c>
      <c r="E111" s="121">
        <v>0</v>
      </c>
      <c r="F111" s="121">
        <v>0</v>
      </c>
      <c r="G111" s="121" t="s">
        <v>1109</v>
      </c>
      <c r="H111" s="121">
        <f t="shared" si="2"/>
        <v>0</v>
      </c>
      <c r="I111" s="121">
        <f>KOHC!F45</f>
        <v>0</v>
      </c>
      <c r="J111" s="121">
        <f t="shared" si="3"/>
        <v>0</v>
      </c>
      <c r="K111" s="50" t="s">
        <v>1119</v>
      </c>
      <c r="L111" s="50">
        <v>58</v>
      </c>
      <c r="M111" s="50" t="s">
        <v>1106</v>
      </c>
      <c r="N111" s="68" t="s">
        <v>3578</v>
      </c>
      <c r="O111" s="68" t="s">
        <v>3579</v>
      </c>
      <c r="P111" s="68" t="s">
        <v>3669</v>
      </c>
    </row>
    <row r="112" spans="1:16" ht="82.05" customHeight="1" x14ac:dyDescent="0.3">
      <c r="A112" s="119" t="s">
        <v>1259</v>
      </c>
      <c r="B112" s="119" t="s">
        <v>18</v>
      </c>
      <c r="C112" s="119" t="s">
        <v>28</v>
      </c>
      <c r="D112" s="119" t="s">
        <v>291</v>
      </c>
      <c r="E112" s="120">
        <v>0</v>
      </c>
      <c r="F112" s="120">
        <v>0</v>
      </c>
      <c r="G112" s="120" t="s">
        <v>1109</v>
      </c>
      <c r="H112" s="120">
        <f t="shared" si="2"/>
        <v>0</v>
      </c>
      <c r="I112" s="120">
        <f>KOHC!G45</f>
        <v>0</v>
      </c>
      <c r="J112" s="120">
        <f t="shared" si="3"/>
        <v>0</v>
      </c>
      <c r="K112" s="119" t="s">
        <v>1123</v>
      </c>
      <c r="L112" s="119">
        <v>68</v>
      </c>
      <c r="M112" s="119" t="s">
        <v>1106</v>
      </c>
      <c r="N112" s="122" t="s">
        <v>3578</v>
      </c>
      <c r="O112" s="122" t="s">
        <v>3579</v>
      </c>
      <c r="P112" s="122" t="s">
        <v>3670</v>
      </c>
    </row>
    <row r="113" spans="1:16" ht="82.05" customHeight="1" x14ac:dyDescent="0.3">
      <c r="A113" s="50" t="s">
        <v>1260</v>
      </c>
      <c r="B113" s="50" t="s">
        <v>18</v>
      </c>
      <c r="C113" s="50" t="s">
        <v>29</v>
      </c>
      <c r="D113" s="50" t="s">
        <v>291</v>
      </c>
      <c r="E113" s="121">
        <v>0</v>
      </c>
      <c r="F113" s="121">
        <v>0</v>
      </c>
      <c r="G113" s="121" t="s">
        <v>1109</v>
      </c>
      <c r="H113" s="121">
        <f t="shared" si="2"/>
        <v>0</v>
      </c>
      <c r="I113" s="121">
        <f>KOHC!H45</f>
        <v>0</v>
      </c>
      <c r="J113" s="121">
        <f t="shared" si="3"/>
        <v>0</v>
      </c>
      <c r="K113" s="50" t="s">
        <v>1123</v>
      </c>
      <c r="L113" s="50">
        <v>68</v>
      </c>
      <c r="M113" s="50" t="s">
        <v>1127</v>
      </c>
      <c r="N113" s="68" t="s">
        <v>3578</v>
      </c>
      <c r="O113" s="68" t="s">
        <v>3579</v>
      </c>
      <c r="P113" s="68" t="s">
        <v>3670</v>
      </c>
    </row>
    <row r="114" spans="1:16" ht="82.05" customHeight="1" x14ac:dyDescent="0.3">
      <c r="A114" s="119" t="s">
        <v>1261</v>
      </c>
      <c r="B114" s="119" t="s">
        <v>18</v>
      </c>
      <c r="C114" s="119" t="s">
        <v>965</v>
      </c>
      <c r="D114" s="119" t="s">
        <v>293</v>
      </c>
      <c r="E114" s="120">
        <v>1287942113</v>
      </c>
      <c r="F114" s="120">
        <v>1287942113</v>
      </c>
      <c r="G114" s="120" t="s">
        <v>1109</v>
      </c>
      <c r="H114" s="120">
        <f t="shared" si="2"/>
        <v>1287.9421130000001</v>
      </c>
      <c r="I114" s="120">
        <f>KOHC!C46</f>
        <v>1287.9421130000001</v>
      </c>
      <c r="J114" s="120">
        <f t="shared" si="3"/>
        <v>0</v>
      </c>
      <c r="K114" s="119" t="s">
        <v>1104</v>
      </c>
      <c r="L114" s="119">
        <v>44</v>
      </c>
      <c r="M114" s="119" t="s">
        <v>1106</v>
      </c>
      <c r="N114" s="122" t="s">
        <v>3564</v>
      </c>
      <c r="O114" s="122" t="s">
        <v>3565</v>
      </c>
      <c r="P114" s="122" t="s">
        <v>3671</v>
      </c>
    </row>
    <row r="115" spans="1:16" ht="82.05" customHeight="1" x14ac:dyDescent="0.3">
      <c r="A115" s="50" t="s">
        <v>1263</v>
      </c>
      <c r="B115" s="50" t="s">
        <v>18</v>
      </c>
      <c r="C115" s="50" t="s">
        <v>20</v>
      </c>
      <c r="D115" s="50" t="s">
        <v>293</v>
      </c>
      <c r="E115" s="121">
        <v>1857649347</v>
      </c>
      <c r="F115" s="121">
        <v>1857649347</v>
      </c>
      <c r="G115" s="121" t="s">
        <v>1109</v>
      </c>
      <c r="H115" s="121">
        <f t="shared" si="2"/>
        <v>1857.649347</v>
      </c>
      <c r="I115" s="121">
        <f>KOHC!D46</f>
        <v>1857.649347</v>
      </c>
      <c r="J115" s="121">
        <f t="shared" si="3"/>
        <v>0</v>
      </c>
      <c r="K115" s="50" t="s">
        <v>1112</v>
      </c>
      <c r="L115" s="50">
        <v>52</v>
      </c>
      <c r="M115" s="50" t="s">
        <v>1106</v>
      </c>
      <c r="N115" s="68" t="s">
        <v>3564</v>
      </c>
      <c r="O115" s="68" t="s">
        <v>3565</v>
      </c>
      <c r="P115" s="68" t="s">
        <v>3672</v>
      </c>
    </row>
    <row r="116" spans="1:16" ht="82.05" customHeight="1" x14ac:dyDescent="0.3">
      <c r="A116" s="119" t="s">
        <v>1264</v>
      </c>
      <c r="B116" s="119" t="s">
        <v>18</v>
      </c>
      <c r="C116" s="119" t="s">
        <v>26</v>
      </c>
      <c r="D116" s="119" t="s">
        <v>293</v>
      </c>
      <c r="E116" s="120">
        <v>3407373618</v>
      </c>
      <c r="F116" s="120">
        <v>3407373618</v>
      </c>
      <c r="G116" s="120" t="s">
        <v>1109</v>
      </c>
      <c r="H116" s="120">
        <f t="shared" si="2"/>
        <v>3407.3736180000001</v>
      </c>
      <c r="I116" s="120">
        <f>KOHC!E46</f>
        <v>3407.3736180000001</v>
      </c>
      <c r="J116" s="120">
        <f t="shared" si="3"/>
        <v>0</v>
      </c>
      <c r="K116" s="119" t="s">
        <v>1116</v>
      </c>
      <c r="L116" s="119">
        <v>52</v>
      </c>
      <c r="M116" s="119" t="s">
        <v>1106</v>
      </c>
      <c r="N116" s="122" t="s">
        <v>3564</v>
      </c>
      <c r="O116" s="122" t="s">
        <v>3565</v>
      </c>
      <c r="P116" s="122" t="s">
        <v>3673</v>
      </c>
    </row>
    <row r="117" spans="1:16" ht="82.05" customHeight="1" x14ac:dyDescent="0.3">
      <c r="A117" s="50" t="s">
        <v>1265</v>
      </c>
      <c r="B117" s="50" t="s">
        <v>18</v>
      </c>
      <c r="C117" s="50" t="s">
        <v>27</v>
      </c>
      <c r="D117" s="50" t="s">
        <v>293</v>
      </c>
      <c r="E117" s="121">
        <v>4823158446</v>
      </c>
      <c r="F117" s="121">
        <v>4823158446</v>
      </c>
      <c r="G117" s="121" t="s">
        <v>1109</v>
      </c>
      <c r="H117" s="121">
        <f t="shared" si="2"/>
        <v>4823.1584460000004</v>
      </c>
      <c r="I117" s="121">
        <f>KOHC!F46</f>
        <v>4823.1584460000004</v>
      </c>
      <c r="J117" s="121">
        <f t="shared" si="3"/>
        <v>0</v>
      </c>
      <c r="K117" s="50" t="s">
        <v>1119</v>
      </c>
      <c r="L117" s="50">
        <v>58</v>
      </c>
      <c r="M117" s="50" t="s">
        <v>1106</v>
      </c>
      <c r="N117" s="68" t="s">
        <v>3564</v>
      </c>
      <c r="O117" s="68" t="s">
        <v>3565</v>
      </c>
      <c r="P117" s="68" t="s">
        <v>3674</v>
      </c>
    </row>
    <row r="118" spans="1:16" ht="82.05" customHeight="1" x14ac:dyDescent="0.3">
      <c r="A118" s="119" t="s">
        <v>1266</v>
      </c>
      <c r="B118" s="119" t="s">
        <v>18</v>
      </c>
      <c r="C118" s="119" t="s">
        <v>28</v>
      </c>
      <c r="D118" s="119" t="s">
        <v>293</v>
      </c>
      <c r="E118" s="120">
        <v>5505823994</v>
      </c>
      <c r="F118" s="120">
        <v>5505823994</v>
      </c>
      <c r="G118" s="120" t="s">
        <v>1109</v>
      </c>
      <c r="H118" s="120">
        <f t="shared" si="2"/>
        <v>5505.8239940000003</v>
      </c>
      <c r="I118" s="120">
        <f>KOHC!G46</f>
        <v>5505.8239940000003</v>
      </c>
      <c r="J118" s="120">
        <f t="shared" si="3"/>
        <v>0</v>
      </c>
      <c r="K118" s="119" t="s">
        <v>1123</v>
      </c>
      <c r="L118" s="119">
        <v>68</v>
      </c>
      <c r="M118" s="119" t="s">
        <v>1106</v>
      </c>
      <c r="N118" s="122" t="s">
        <v>3564</v>
      </c>
      <c r="O118" s="122" t="s">
        <v>3565</v>
      </c>
      <c r="P118" s="122" t="s">
        <v>3675</v>
      </c>
    </row>
    <row r="119" spans="1:16" ht="82.05" customHeight="1" x14ac:dyDescent="0.3">
      <c r="A119" s="50" t="s">
        <v>1267</v>
      </c>
      <c r="B119" s="50" t="s">
        <v>18</v>
      </c>
      <c r="C119" s="50" t="s">
        <v>29</v>
      </c>
      <c r="D119" s="50" t="s">
        <v>293</v>
      </c>
      <c r="E119" s="121">
        <v>5688116040</v>
      </c>
      <c r="F119" s="121">
        <v>5688116040</v>
      </c>
      <c r="G119" s="121" t="s">
        <v>1109</v>
      </c>
      <c r="H119" s="121">
        <f t="shared" si="2"/>
        <v>5688.1160399999999</v>
      </c>
      <c r="I119" s="121">
        <f>KOHC!H46</f>
        <v>5688.1160399999999</v>
      </c>
      <c r="J119" s="121">
        <f t="shared" si="3"/>
        <v>0</v>
      </c>
      <c r="K119" s="50" t="s">
        <v>1123</v>
      </c>
      <c r="L119" s="50">
        <v>68</v>
      </c>
      <c r="M119" s="50" t="s">
        <v>1127</v>
      </c>
      <c r="N119" s="68" t="s">
        <v>3564</v>
      </c>
      <c r="O119" s="68" t="s">
        <v>3565</v>
      </c>
      <c r="P119" s="68" t="s">
        <v>3676</v>
      </c>
    </row>
    <row r="120" spans="1:16" ht="82.05" customHeight="1" x14ac:dyDescent="0.3">
      <c r="A120" s="119" t="s">
        <v>1268</v>
      </c>
      <c r="B120" s="119" t="s">
        <v>18</v>
      </c>
      <c r="C120" s="119" t="s">
        <v>965</v>
      </c>
      <c r="D120" s="119" t="s">
        <v>295</v>
      </c>
      <c r="E120" s="120">
        <v>23277456</v>
      </c>
      <c r="F120" s="120">
        <v>23277456</v>
      </c>
      <c r="G120" s="120" t="s">
        <v>1109</v>
      </c>
      <c r="H120" s="120">
        <f t="shared" si="2"/>
        <v>23.277456000000001</v>
      </c>
      <c r="I120" s="120">
        <f>KOHC!C47</f>
        <v>23.277456000000001</v>
      </c>
      <c r="J120" s="120">
        <f t="shared" si="3"/>
        <v>0</v>
      </c>
      <c r="K120" s="119" t="s">
        <v>1104</v>
      </c>
      <c r="L120" s="119">
        <v>44</v>
      </c>
      <c r="M120" s="119" t="s">
        <v>1106</v>
      </c>
      <c r="N120" s="122" t="s">
        <v>3602</v>
      </c>
      <c r="O120" s="122" t="s">
        <v>3603</v>
      </c>
      <c r="P120" s="122" t="s">
        <v>3677</v>
      </c>
    </row>
    <row r="121" spans="1:16" ht="82.05" customHeight="1" x14ac:dyDescent="0.3">
      <c r="A121" s="50" t="s">
        <v>1271</v>
      </c>
      <c r="B121" s="50" t="s">
        <v>18</v>
      </c>
      <c r="C121" s="50" t="s">
        <v>20</v>
      </c>
      <c r="D121" s="50" t="s">
        <v>295</v>
      </c>
      <c r="E121" s="121">
        <v>26394536</v>
      </c>
      <c r="F121" s="121">
        <v>26394536</v>
      </c>
      <c r="G121" s="121" t="s">
        <v>1109</v>
      </c>
      <c r="H121" s="121">
        <f t="shared" si="2"/>
        <v>26.394535999999999</v>
      </c>
      <c r="I121" s="121">
        <f>KOHC!D47</f>
        <v>26.394535999999999</v>
      </c>
      <c r="J121" s="121">
        <f t="shared" si="3"/>
        <v>0</v>
      </c>
      <c r="K121" s="50" t="s">
        <v>1112</v>
      </c>
      <c r="L121" s="50">
        <v>52</v>
      </c>
      <c r="M121" s="50" t="s">
        <v>1106</v>
      </c>
      <c r="N121" s="68" t="s">
        <v>3602</v>
      </c>
      <c r="O121" s="68" t="s">
        <v>3603</v>
      </c>
      <c r="P121" s="68" t="s">
        <v>3678</v>
      </c>
    </row>
    <row r="122" spans="1:16" ht="82.05" customHeight="1" x14ac:dyDescent="0.3">
      <c r="A122" s="119" t="s">
        <v>1272</v>
      </c>
      <c r="B122" s="119" t="s">
        <v>18</v>
      </c>
      <c r="C122" s="119" t="s">
        <v>26</v>
      </c>
      <c r="D122" s="119" t="s">
        <v>295</v>
      </c>
      <c r="E122" s="120">
        <v>29683198</v>
      </c>
      <c r="F122" s="120">
        <v>29683198</v>
      </c>
      <c r="G122" s="120" t="s">
        <v>1109</v>
      </c>
      <c r="H122" s="120">
        <f t="shared" si="2"/>
        <v>29.683198000000001</v>
      </c>
      <c r="I122" s="120">
        <f>KOHC!E47</f>
        <v>29.683198000000001</v>
      </c>
      <c r="J122" s="120">
        <f t="shared" si="3"/>
        <v>0</v>
      </c>
      <c r="K122" s="119" t="s">
        <v>1116</v>
      </c>
      <c r="L122" s="119">
        <v>52</v>
      </c>
      <c r="M122" s="119" t="s">
        <v>1106</v>
      </c>
      <c r="N122" s="122" t="s">
        <v>3602</v>
      </c>
      <c r="O122" s="122" t="s">
        <v>3603</v>
      </c>
      <c r="P122" s="122" t="s">
        <v>3679</v>
      </c>
    </row>
    <row r="123" spans="1:16" ht="82.05" customHeight="1" x14ac:dyDescent="0.3">
      <c r="A123" s="50" t="s">
        <v>1273</v>
      </c>
      <c r="B123" s="50" t="s">
        <v>18</v>
      </c>
      <c r="C123" s="50" t="s">
        <v>27</v>
      </c>
      <c r="D123" s="50" t="s">
        <v>295</v>
      </c>
      <c r="E123" s="121">
        <v>35383341</v>
      </c>
      <c r="F123" s="121">
        <v>35383341</v>
      </c>
      <c r="G123" s="121" t="s">
        <v>1109</v>
      </c>
      <c r="H123" s="121">
        <f t="shared" si="2"/>
        <v>35.383341000000001</v>
      </c>
      <c r="I123" s="121">
        <f>KOHC!F47</f>
        <v>35.383341000000001</v>
      </c>
      <c r="J123" s="121">
        <f t="shared" si="3"/>
        <v>0</v>
      </c>
      <c r="K123" s="50" t="s">
        <v>1119</v>
      </c>
      <c r="L123" s="50">
        <v>58</v>
      </c>
      <c r="M123" s="50" t="s">
        <v>1106</v>
      </c>
      <c r="N123" s="68" t="s">
        <v>3602</v>
      </c>
      <c r="O123" s="68" t="s">
        <v>3603</v>
      </c>
      <c r="P123" s="68" t="s">
        <v>3680</v>
      </c>
    </row>
    <row r="124" spans="1:16" ht="82.05" customHeight="1" x14ac:dyDescent="0.3">
      <c r="A124" s="119" t="s">
        <v>1274</v>
      </c>
      <c r="B124" s="119" t="s">
        <v>18</v>
      </c>
      <c r="C124" s="119" t="s">
        <v>28</v>
      </c>
      <c r="D124" s="119" t="s">
        <v>295</v>
      </c>
      <c r="E124" s="120">
        <v>32887203</v>
      </c>
      <c r="F124" s="120">
        <v>32887203</v>
      </c>
      <c r="G124" s="120" t="s">
        <v>1109</v>
      </c>
      <c r="H124" s="120">
        <f t="shared" si="2"/>
        <v>32.887203</v>
      </c>
      <c r="I124" s="120">
        <f>KOHC!G47</f>
        <v>32.887203</v>
      </c>
      <c r="J124" s="120">
        <f t="shared" si="3"/>
        <v>0</v>
      </c>
      <c r="K124" s="119" t="s">
        <v>1123</v>
      </c>
      <c r="L124" s="119">
        <v>68</v>
      </c>
      <c r="M124" s="119" t="s">
        <v>1106</v>
      </c>
      <c r="N124" s="122" t="s">
        <v>3602</v>
      </c>
      <c r="O124" s="122" t="s">
        <v>3603</v>
      </c>
      <c r="P124" s="122" t="s">
        <v>3681</v>
      </c>
    </row>
    <row r="125" spans="1:16" ht="82.05" customHeight="1" x14ac:dyDescent="0.3">
      <c r="A125" s="50" t="s">
        <v>1275</v>
      </c>
      <c r="B125" s="50" t="s">
        <v>18</v>
      </c>
      <c r="C125" s="50" t="s">
        <v>29</v>
      </c>
      <c r="D125" s="50" t="s">
        <v>295</v>
      </c>
      <c r="E125" s="121">
        <v>40322031</v>
      </c>
      <c r="F125" s="121">
        <v>40322031</v>
      </c>
      <c r="G125" s="121" t="s">
        <v>1109</v>
      </c>
      <c r="H125" s="121">
        <f t="shared" si="2"/>
        <v>40.322031000000003</v>
      </c>
      <c r="I125" s="121">
        <f>KOHC!H47</f>
        <v>40.322031000000003</v>
      </c>
      <c r="J125" s="121">
        <f t="shared" si="3"/>
        <v>0</v>
      </c>
      <c r="K125" s="50" t="s">
        <v>1123</v>
      </c>
      <c r="L125" s="50">
        <v>68</v>
      </c>
      <c r="M125" s="50" t="s">
        <v>1127</v>
      </c>
      <c r="N125" s="68" t="s">
        <v>3602</v>
      </c>
      <c r="O125" s="68" t="s">
        <v>3603</v>
      </c>
      <c r="P125" s="68" t="s">
        <v>3681</v>
      </c>
    </row>
    <row r="126" spans="1:16" ht="82.05" customHeight="1" x14ac:dyDescent="0.3">
      <c r="A126" s="119" t="s">
        <v>1276</v>
      </c>
      <c r="B126" s="119" t="s">
        <v>18</v>
      </c>
      <c r="C126" s="119" t="s">
        <v>965</v>
      </c>
      <c r="D126" s="119" t="s">
        <v>300</v>
      </c>
      <c r="E126" s="120">
        <v>4293205395</v>
      </c>
      <c r="F126" s="120">
        <v>4293205395</v>
      </c>
      <c r="G126" s="120" t="s">
        <v>1109</v>
      </c>
      <c r="H126" s="120">
        <f t="shared" si="2"/>
        <v>4293.205395</v>
      </c>
      <c r="I126" s="120">
        <f>KOHC!C50</f>
        <v>4293.205395</v>
      </c>
      <c r="J126" s="120">
        <f t="shared" si="3"/>
        <v>0</v>
      </c>
      <c r="K126" s="119" t="s">
        <v>1104</v>
      </c>
      <c r="L126" s="119">
        <v>44</v>
      </c>
      <c r="M126" s="119" t="s">
        <v>1106</v>
      </c>
      <c r="N126" s="122" t="s">
        <v>3564</v>
      </c>
      <c r="O126" s="122" t="s">
        <v>3565</v>
      </c>
      <c r="P126" s="122" t="s">
        <v>3682</v>
      </c>
    </row>
    <row r="127" spans="1:16" ht="82.05" customHeight="1" x14ac:dyDescent="0.3">
      <c r="A127" s="50" t="s">
        <v>1278</v>
      </c>
      <c r="B127" s="50" t="s">
        <v>18</v>
      </c>
      <c r="C127" s="50" t="s">
        <v>20</v>
      </c>
      <c r="D127" s="50" t="s">
        <v>300</v>
      </c>
      <c r="E127" s="121">
        <v>4985385529</v>
      </c>
      <c r="F127" s="121">
        <v>4985385529</v>
      </c>
      <c r="G127" s="121" t="s">
        <v>1109</v>
      </c>
      <c r="H127" s="121">
        <f t="shared" si="2"/>
        <v>4985.3855290000001</v>
      </c>
      <c r="I127" s="121">
        <f>KOHC!D50</f>
        <v>4985.3855290000001</v>
      </c>
      <c r="J127" s="121">
        <f t="shared" si="3"/>
        <v>0</v>
      </c>
      <c r="K127" s="50" t="s">
        <v>1112</v>
      </c>
      <c r="L127" s="50">
        <v>52</v>
      </c>
      <c r="M127" s="50" t="s">
        <v>1106</v>
      </c>
      <c r="N127" s="68" t="s">
        <v>3564</v>
      </c>
      <c r="O127" s="68" t="s">
        <v>3565</v>
      </c>
      <c r="P127" s="68" t="s">
        <v>3683</v>
      </c>
    </row>
    <row r="128" spans="1:16" ht="82.05" customHeight="1" x14ac:dyDescent="0.3">
      <c r="A128" s="119" t="s">
        <v>1279</v>
      </c>
      <c r="B128" s="119" t="s">
        <v>18</v>
      </c>
      <c r="C128" s="119" t="s">
        <v>26</v>
      </c>
      <c r="D128" s="119" t="s">
        <v>300</v>
      </c>
      <c r="E128" s="120">
        <v>5525221208</v>
      </c>
      <c r="F128" s="120">
        <v>5525221208</v>
      </c>
      <c r="G128" s="120" t="s">
        <v>1109</v>
      </c>
      <c r="H128" s="120">
        <f t="shared" si="2"/>
        <v>5525.2212079999999</v>
      </c>
      <c r="I128" s="120">
        <f>KOHC!E50</f>
        <v>5525.2212079999999</v>
      </c>
      <c r="J128" s="120">
        <f t="shared" si="3"/>
        <v>0</v>
      </c>
      <c r="K128" s="119" t="s">
        <v>1116</v>
      </c>
      <c r="L128" s="119">
        <v>52</v>
      </c>
      <c r="M128" s="119" t="s">
        <v>1106</v>
      </c>
      <c r="N128" s="122" t="s">
        <v>3564</v>
      </c>
      <c r="O128" s="122" t="s">
        <v>3565</v>
      </c>
      <c r="P128" s="122" t="s">
        <v>3684</v>
      </c>
    </row>
    <row r="129" spans="1:16" ht="82.05" customHeight="1" x14ac:dyDescent="0.3">
      <c r="A129" s="50" t="s">
        <v>1280</v>
      </c>
      <c r="B129" s="50" t="s">
        <v>18</v>
      </c>
      <c r="C129" s="50" t="s">
        <v>27</v>
      </c>
      <c r="D129" s="50" t="s">
        <v>300</v>
      </c>
      <c r="E129" s="121">
        <v>5307075353</v>
      </c>
      <c r="F129" s="121">
        <v>5307075353</v>
      </c>
      <c r="G129" s="121" t="s">
        <v>1109</v>
      </c>
      <c r="H129" s="121">
        <f t="shared" si="2"/>
        <v>5307.0753530000002</v>
      </c>
      <c r="I129" s="121">
        <f>KOHC!F50</f>
        <v>5307.0753530000002</v>
      </c>
      <c r="J129" s="121">
        <f t="shared" si="3"/>
        <v>0</v>
      </c>
      <c r="K129" s="50" t="s">
        <v>1119</v>
      </c>
      <c r="L129" s="50">
        <v>58</v>
      </c>
      <c r="M129" s="50" t="s">
        <v>1106</v>
      </c>
      <c r="N129" s="68" t="s">
        <v>3564</v>
      </c>
      <c r="O129" s="68" t="s">
        <v>3565</v>
      </c>
      <c r="P129" s="68" t="s">
        <v>3685</v>
      </c>
    </row>
    <row r="130" spans="1:16" ht="82.05" customHeight="1" x14ac:dyDescent="0.3">
      <c r="A130" s="119" t="s">
        <v>1281</v>
      </c>
      <c r="B130" s="119" t="s">
        <v>18</v>
      </c>
      <c r="C130" s="119" t="s">
        <v>28</v>
      </c>
      <c r="D130" s="119" t="s">
        <v>300</v>
      </c>
      <c r="E130" s="120">
        <v>6223153321</v>
      </c>
      <c r="F130" s="120">
        <v>6223153321</v>
      </c>
      <c r="G130" s="120" t="s">
        <v>1109</v>
      </c>
      <c r="H130" s="120">
        <f t="shared" si="2"/>
        <v>6223.1533209999998</v>
      </c>
      <c r="I130" s="120">
        <f>KOHC!G50</f>
        <v>6223.1533209999998</v>
      </c>
      <c r="J130" s="120">
        <f t="shared" si="3"/>
        <v>0</v>
      </c>
      <c r="K130" s="119" t="s">
        <v>1123</v>
      </c>
      <c r="L130" s="119">
        <v>68</v>
      </c>
      <c r="M130" s="119" t="s">
        <v>1106</v>
      </c>
      <c r="N130" s="122" t="s">
        <v>3564</v>
      </c>
      <c r="O130" s="122" t="s">
        <v>3565</v>
      </c>
      <c r="P130" s="122" t="s">
        <v>3686</v>
      </c>
    </row>
    <row r="131" spans="1:16" ht="82.05" customHeight="1" x14ac:dyDescent="0.3">
      <c r="A131" s="50" t="s">
        <v>1282</v>
      </c>
      <c r="B131" s="50" t="s">
        <v>18</v>
      </c>
      <c r="C131" s="50" t="s">
        <v>29</v>
      </c>
      <c r="D131" s="50" t="s">
        <v>300</v>
      </c>
      <c r="E131" s="121">
        <v>7710012398</v>
      </c>
      <c r="F131" s="121">
        <v>7710012398</v>
      </c>
      <c r="G131" s="121" t="s">
        <v>1109</v>
      </c>
      <c r="H131" s="121">
        <f t="shared" si="2"/>
        <v>7710.0123979999998</v>
      </c>
      <c r="I131" s="121">
        <f>KOHC!H50</f>
        <v>7710.0123979999998</v>
      </c>
      <c r="J131" s="121">
        <f t="shared" si="3"/>
        <v>0</v>
      </c>
      <c r="K131" s="50" t="s">
        <v>1123</v>
      </c>
      <c r="L131" s="50">
        <v>68</v>
      </c>
      <c r="M131" s="50" t="s">
        <v>1127</v>
      </c>
      <c r="N131" s="68" t="s">
        <v>3564</v>
      </c>
      <c r="O131" s="68" t="s">
        <v>3565</v>
      </c>
      <c r="P131" s="68" t="s">
        <v>3687</v>
      </c>
    </row>
    <row r="132" spans="1:16" ht="82.05" customHeight="1" x14ac:dyDescent="0.3">
      <c r="A132" s="119" t="s">
        <v>1283</v>
      </c>
      <c r="B132" s="119" t="s">
        <v>18</v>
      </c>
      <c r="C132" s="119" t="s">
        <v>965</v>
      </c>
      <c r="D132" s="119" t="s">
        <v>1284</v>
      </c>
      <c r="E132" s="120">
        <v>1091300971</v>
      </c>
      <c r="F132" s="120">
        <v>1091300971</v>
      </c>
      <c r="G132" s="120" t="s">
        <v>1109</v>
      </c>
      <c r="H132" s="120">
        <f t="shared" si="2"/>
        <v>1091.3009709999999</v>
      </c>
      <c r="I132" s="120">
        <f>KOHC!C51</f>
        <v>1091.3009709999999</v>
      </c>
      <c r="J132" s="120">
        <f t="shared" si="3"/>
        <v>0</v>
      </c>
      <c r="K132" s="119" t="s">
        <v>1104</v>
      </c>
      <c r="L132" s="119">
        <v>67</v>
      </c>
      <c r="M132" s="119" t="s">
        <v>1106</v>
      </c>
      <c r="N132" s="122" t="s">
        <v>3602</v>
      </c>
      <c r="O132" s="122" t="s">
        <v>3688</v>
      </c>
      <c r="P132" s="122" t="s">
        <v>3689</v>
      </c>
    </row>
    <row r="133" spans="1:16" ht="82.05" customHeight="1" x14ac:dyDescent="0.3">
      <c r="A133" s="50" t="s">
        <v>1286</v>
      </c>
      <c r="B133" s="50" t="s">
        <v>18</v>
      </c>
      <c r="C133" s="50" t="s">
        <v>20</v>
      </c>
      <c r="D133" s="50" t="s">
        <v>1284</v>
      </c>
      <c r="E133" s="121">
        <v>1555157545</v>
      </c>
      <c r="F133" s="121">
        <v>1555157545</v>
      </c>
      <c r="G133" s="121" t="s">
        <v>1109</v>
      </c>
      <c r="H133" s="121">
        <f t="shared" si="2"/>
        <v>1555.157545</v>
      </c>
      <c r="I133" s="121">
        <f>KOHC!D51</f>
        <v>1555.157545</v>
      </c>
      <c r="J133" s="121">
        <f t="shared" si="3"/>
        <v>0</v>
      </c>
      <c r="K133" s="50" t="s">
        <v>1112</v>
      </c>
      <c r="L133" s="50">
        <v>75</v>
      </c>
      <c r="M133" s="50" t="s">
        <v>1106</v>
      </c>
      <c r="N133" s="68" t="s">
        <v>3602</v>
      </c>
      <c r="O133" s="68" t="s">
        <v>3688</v>
      </c>
      <c r="P133" s="68" t="s">
        <v>3690</v>
      </c>
    </row>
    <row r="134" spans="1:16" ht="82.05" customHeight="1" x14ac:dyDescent="0.3">
      <c r="A134" s="119" t="s">
        <v>1287</v>
      </c>
      <c r="B134" s="119" t="s">
        <v>18</v>
      </c>
      <c r="C134" s="119" t="s">
        <v>26</v>
      </c>
      <c r="D134" s="119" t="s">
        <v>1284</v>
      </c>
      <c r="E134" s="120">
        <v>1281559797</v>
      </c>
      <c r="F134" s="120">
        <v>1281559797</v>
      </c>
      <c r="G134" s="120" t="s">
        <v>1109</v>
      </c>
      <c r="H134" s="120">
        <f t="shared" ref="H134:H197" si="4">F134/1000000</f>
        <v>1281.5597969999999</v>
      </c>
      <c r="I134" s="120">
        <f>KOHC!E51</f>
        <v>1281.5597969999999</v>
      </c>
      <c r="J134" s="120">
        <f t="shared" ref="J134:J197" si="5">H134-I134</f>
        <v>0</v>
      </c>
      <c r="K134" s="119" t="s">
        <v>1116</v>
      </c>
      <c r="L134" s="119">
        <v>75</v>
      </c>
      <c r="M134" s="119" t="s">
        <v>1106</v>
      </c>
      <c r="N134" s="122" t="s">
        <v>3602</v>
      </c>
      <c r="O134" s="122" t="s">
        <v>3688</v>
      </c>
      <c r="P134" s="122" t="s">
        <v>3691</v>
      </c>
    </row>
    <row r="135" spans="1:16" ht="82.05" customHeight="1" x14ac:dyDescent="0.3">
      <c r="A135" s="50" t="s">
        <v>1288</v>
      </c>
      <c r="B135" s="50" t="s">
        <v>18</v>
      </c>
      <c r="C135" s="50" t="s">
        <v>27</v>
      </c>
      <c r="D135" s="50" t="s">
        <v>1284</v>
      </c>
      <c r="E135" s="121">
        <v>674674284</v>
      </c>
      <c r="F135" s="121">
        <v>674674284</v>
      </c>
      <c r="G135" s="121" t="s">
        <v>1109</v>
      </c>
      <c r="H135" s="121">
        <f t="shared" si="4"/>
        <v>674.67428399999994</v>
      </c>
      <c r="I135" s="121">
        <f>KOHC!F51</f>
        <v>674.67428399999994</v>
      </c>
      <c r="J135" s="121">
        <f t="shared" si="5"/>
        <v>0</v>
      </c>
      <c r="K135" s="50" t="s">
        <v>1119</v>
      </c>
      <c r="L135" s="50">
        <v>83</v>
      </c>
      <c r="M135" s="50" t="s">
        <v>1106</v>
      </c>
      <c r="N135" s="68" t="s">
        <v>3602</v>
      </c>
      <c r="O135" s="68" t="s">
        <v>3688</v>
      </c>
      <c r="P135" s="68" t="s">
        <v>3692</v>
      </c>
    </row>
    <row r="136" spans="1:16" ht="82.05" customHeight="1" x14ac:dyDescent="0.3">
      <c r="A136" s="119" t="s">
        <v>1289</v>
      </c>
      <c r="B136" s="119" t="s">
        <v>18</v>
      </c>
      <c r="C136" s="119" t="s">
        <v>28</v>
      </c>
      <c r="D136" s="119" t="s">
        <v>1284</v>
      </c>
      <c r="E136" s="120">
        <v>1781446871</v>
      </c>
      <c r="F136" s="120">
        <v>1781446871</v>
      </c>
      <c r="G136" s="120" t="s">
        <v>1109</v>
      </c>
      <c r="H136" s="120">
        <f t="shared" si="4"/>
        <v>1781.4468710000001</v>
      </c>
      <c r="I136" s="120">
        <f>KOHC!G51</f>
        <v>1781.4468710000001</v>
      </c>
      <c r="J136" s="120">
        <f t="shared" si="5"/>
        <v>0</v>
      </c>
      <c r="K136" s="119" t="s">
        <v>1123</v>
      </c>
      <c r="L136" s="119">
        <v>91</v>
      </c>
      <c r="M136" s="119" t="s">
        <v>1106</v>
      </c>
      <c r="N136" s="122" t="s">
        <v>3602</v>
      </c>
      <c r="O136" s="122" t="s">
        <v>3688</v>
      </c>
      <c r="P136" s="122" t="s">
        <v>3693</v>
      </c>
    </row>
    <row r="137" spans="1:16" ht="82.05" customHeight="1" x14ac:dyDescent="0.3">
      <c r="A137" s="50" t="s">
        <v>1291</v>
      </c>
      <c r="B137" s="50" t="s">
        <v>18</v>
      </c>
      <c r="C137" s="50" t="s">
        <v>29</v>
      </c>
      <c r="D137" s="50" t="s">
        <v>1284</v>
      </c>
      <c r="E137" s="121">
        <v>2107135975</v>
      </c>
      <c r="F137" s="121">
        <v>2107135975</v>
      </c>
      <c r="G137" s="121" t="s">
        <v>1109</v>
      </c>
      <c r="H137" s="121">
        <f t="shared" si="4"/>
        <v>2107.1359750000001</v>
      </c>
      <c r="I137" s="121">
        <f>KOHC!H51</f>
        <v>2107.1359750000001</v>
      </c>
      <c r="J137" s="121">
        <f t="shared" si="5"/>
        <v>0</v>
      </c>
      <c r="K137" s="50" t="s">
        <v>1123</v>
      </c>
      <c r="L137" s="50">
        <v>91</v>
      </c>
      <c r="M137" s="50" t="s">
        <v>1127</v>
      </c>
      <c r="N137" s="68" t="s">
        <v>3602</v>
      </c>
      <c r="O137" s="68" t="s">
        <v>3688</v>
      </c>
      <c r="P137" s="68" t="s">
        <v>3693</v>
      </c>
    </row>
    <row r="138" spans="1:16" ht="82.05" customHeight="1" x14ac:dyDescent="0.3">
      <c r="A138" s="119" t="s">
        <v>1292</v>
      </c>
      <c r="B138" s="119" t="s">
        <v>18</v>
      </c>
      <c r="C138" s="119" t="s">
        <v>965</v>
      </c>
      <c r="D138" s="119" t="s">
        <v>304</v>
      </c>
      <c r="E138" s="120">
        <v>126582689</v>
      </c>
      <c r="F138" s="120">
        <v>126582689</v>
      </c>
      <c r="G138" s="120" t="s">
        <v>1109</v>
      </c>
      <c r="H138" s="120">
        <f t="shared" si="4"/>
        <v>126.582689</v>
      </c>
      <c r="I138" s="120">
        <f>KOHC!C52</f>
        <v>126.582689</v>
      </c>
      <c r="J138" s="120">
        <f t="shared" si="5"/>
        <v>0</v>
      </c>
      <c r="K138" s="119" t="s">
        <v>1104</v>
      </c>
      <c r="L138" s="119">
        <v>44</v>
      </c>
      <c r="M138" s="119" t="s">
        <v>1106</v>
      </c>
      <c r="N138" s="122" t="s">
        <v>3564</v>
      </c>
      <c r="O138" s="122" t="s">
        <v>3565</v>
      </c>
      <c r="P138" s="122" t="s">
        <v>3694</v>
      </c>
    </row>
    <row r="139" spans="1:16" ht="82.05" customHeight="1" x14ac:dyDescent="0.3">
      <c r="A139" s="50" t="s">
        <v>1295</v>
      </c>
      <c r="B139" s="50" t="s">
        <v>18</v>
      </c>
      <c r="C139" s="50" t="s">
        <v>20</v>
      </c>
      <c r="D139" s="50" t="s">
        <v>304</v>
      </c>
      <c r="E139" s="121">
        <v>137091500</v>
      </c>
      <c r="F139" s="121">
        <v>137091500</v>
      </c>
      <c r="G139" s="121" t="s">
        <v>1109</v>
      </c>
      <c r="H139" s="121">
        <f t="shared" si="4"/>
        <v>137.0915</v>
      </c>
      <c r="I139" s="121">
        <f>KOHC!D52</f>
        <v>137.0915</v>
      </c>
      <c r="J139" s="121">
        <f t="shared" si="5"/>
        <v>0</v>
      </c>
      <c r="K139" s="50" t="s">
        <v>1112</v>
      </c>
      <c r="L139" s="50">
        <v>52</v>
      </c>
      <c r="M139" s="50" t="s">
        <v>1106</v>
      </c>
      <c r="N139" s="68" t="s">
        <v>3564</v>
      </c>
      <c r="O139" s="68" t="s">
        <v>3565</v>
      </c>
      <c r="P139" s="68" t="s">
        <v>3695</v>
      </c>
    </row>
    <row r="140" spans="1:16" ht="82.05" customHeight="1" x14ac:dyDescent="0.3">
      <c r="A140" s="119" t="s">
        <v>1296</v>
      </c>
      <c r="B140" s="119" t="s">
        <v>18</v>
      </c>
      <c r="C140" s="119" t="s">
        <v>26</v>
      </c>
      <c r="D140" s="119" t="s">
        <v>304</v>
      </c>
      <c r="E140" s="120">
        <v>264984408</v>
      </c>
      <c r="F140" s="120">
        <v>264984408</v>
      </c>
      <c r="G140" s="120" t="s">
        <v>1109</v>
      </c>
      <c r="H140" s="120">
        <f t="shared" si="4"/>
        <v>264.98440799999997</v>
      </c>
      <c r="I140" s="120">
        <f>KOHC!E52</f>
        <v>264.98440799999997</v>
      </c>
      <c r="J140" s="120">
        <f t="shared" si="5"/>
        <v>0</v>
      </c>
      <c r="K140" s="119" t="s">
        <v>1116</v>
      </c>
      <c r="L140" s="119">
        <v>52</v>
      </c>
      <c r="M140" s="119" t="s">
        <v>1106</v>
      </c>
      <c r="N140" s="122" t="s">
        <v>3564</v>
      </c>
      <c r="O140" s="122" t="s">
        <v>3565</v>
      </c>
      <c r="P140" s="122" t="s">
        <v>3696</v>
      </c>
    </row>
    <row r="141" spans="1:16" ht="82.05" customHeight="1" x14ac:dyDescent="0.3">
      <c r="A141" s="50" t="s">
        <v>1297</v>
      </c>
      <c r="B141" s="50" t="s">
        <v>18</v>
      </c>
      <c r="C141" s="50" t="s">
        <v>27</v>
      </c>
      <c r="D141" s="50" t="s">
        <v>304</v>
      </c>
      <c r="E141" s="121">
        <v>253135945</v>
      </c>
      <c r="F141" s="121">
        <v>253135945</v>
      </c>
      <c r="G141" s="121" t="s">
        <v>1109</v>
      </c>
      <c r="H141" s="121">
        <f t="shared" si="4"/>
        <v>253.13594499999999</v>
      </c>
      <c r="I141" s="121">
        <f>KOHC!F52</f>
        <v>253.13594499999999</v>
      </c>
      <c r="J141" s="121">
        <f t="shared" si="5"/>
        <v>0</v>
      </c>
      <c r="K141" s="50" t="s">
        <v>1119</v>
      </c>
      <c r="L141" s="50">
        <v>58</v>
      </c>
      <c r="M141" s="50" t="s">
        <v>1106</v>
      </c>
      <c r="N141" s="68" t="s">
        <v>3564</v>
      </c>
      <c r="O141" s="68" t="s">
        <v>3565</v>
      </c>
      <c r="P141" s="68" t="s">
        <v>3697</v>
      </c>
    </row>
    <row r="142" spans="1:16" ht="82.05" customHeight="1" x14ac:dyDescent="0.3">
      <c r="A142" s="119" t="s">
        <v>1298</v>
      </c>
      <c r="B142" s="119" t="s">
        <v>18</v>
      </c>
      <c r="C142" s="119" t="s">
        <v>28</v>
      </c>
      <c r="D142" s="119" t="s">
        <v>304</v>
      </c>
      <c r="E142" s="120">
        <v>113418606</v>
      </c>
      <c r="F142" s="120">
        <v>113418606</v>
      </c>
      <c r="G142" s="120" t="s">
        <v>1109</v>
      </c>
      <c r="H142" s="120">
        <f t="shared" si="4"/>
        <v>113.418606</v>
      </c>
      <c r="I142" s="120">
        <f>KOHC!G52</f>
        <v>113.418606</v>
      </c>
      <c r="J142" s="120">
        <f t="shared" si="5"/>
        <v>0</v>
      </c>
      <c r="K142" s="119" t="s">
        <v>1123</v>
      </c>
      <c r="L142" s="119">
        <v>68</v>
      </c>
      <c r="M142" s="119" t="s">
        <v>1106</v>
      </c>
      <c r="N142" s="122" t="s">
        <v>3564</v>
      </c>
      <c r="O142" s="122" t="s">
        <v>3565</v>
      </c>
      <c r="P142" s="122" t="s">
        <v>3698</v>
      </c>
    </row>
    <row r="143" spans="1:16" ht="82.05" customHeight="1" x14ac:dyDescent="0.3">
      <c r="A143" s="50" t="s">
        <v>1300</v>
      </c>
      <c r="B143" s="50" t="s">
        <v>18</v>
      </c>
      <c r="C143" s="50" t="s">
        <v>29</v>
      </c>
      <c r="D143" s="50" t="s">
        <v>304</v>
      </c>
      <c r="E143" s="121">
        <v>144300907</v>
      </c>
      <c r="F143" s="121">
        <v>144300907</v>
      </c>
      <c r="G143" s="121" t="s">
        <v>1109</v>
      </c>
      <c r="H143" s="121">
        <f t="shared" si="4"/>
        <v>144.300907</v>
      </c>
      <c r="I143" s="121">
        <f>KOHC!H52</f>
        <v>144.300907</v>
      </c>
      <c r="J143" s="121">
        <f t="shared" si="5"/>
        <v>0</v>
      </c>
      <c r="K143" s="50" t="s">
        <v>1123</v>
      </c>
      <c r="L143" s="50">
        <v>68</v>
      </c>
      <c r="M143" s="50" t="s">
        <v>1127</v>
      </c>
      <c r="N143" s="68" t="s">
        <v>3564</v>
      </c>
      <c r="O143" s="68" t="s">
        <v>3565</v>
      </c>
      <c r="P143" s="68" t="s">
        <v>3699</v>
      </c>
    </row>
    <row r="144" spans="1:16" ht="82.05" customHeight="1" x14ac:dyDescent="0.3">
      <c r="A144" s="119" t="s">
        <v>1301</v>
      </c>
      <c r="B144" s="119" t="s">
        <v>18</v>
      </c>
      <c r="C144" s="119" t="s">
        <v>965</v>
      </c>
      <c r="D144" s="119" t="s">
        <v>306</v>
      </c>
      <c r="E144" s="120">
        <v>208766756</v>
      </c>
      <c r="F144" s="120">
        <v>208766756</v>
      </c>
      <c r="G144" s="120" t="s">
        <v>1109</v>
      </c>
      <c r="H144" s="120">
        <f t="shared" si="4"/>
        <v>208.76675599999999</v>
      </c>
      <c r="I144" s="120">
        <f>KOHC!C53</f>
        <v>208.76675599999999</v>
      </c>
      <c r="J144" s="120">
        <f t="shared" si="5"/>
        <v>0</v>
      </c>
      <c r="K144" s="119" t="s">
        <v>1104</v>
      </c>
      <c r="L144" s="119">
        <v>44</v>
      </c>
      <c r="M144" s="119" t="s">
        <v>1106</v>
      </c>
      <c r="N144" s="122" t="s">
        <v>3564</v>
      </c>
      <c r="O144" s="122" t="s">
        <v>3565</v>
      </c>
      <c r="P144" s="122" t="s">
        <v>3700</v>
      </c>
    </row>
    <row r="145" spans="1:16" ht="82.05" customHeight="1" x14ac:dyDescent="0.3">
      <c r="A145" s="50" t="s">
        <v>1303</v>
      </c>
      <c r="B145" s="50" t="s">
        <v>18</v>
      </c>
      <c r="C145" s="50" t="s">
        <v>20</v>
      </c>
      <c r="D145" s="50" t="s">
        <v>306</v>
      </c>
      <c r="E145" s="121">
        <v>122613973</v>
      </c>
      <c r="F145" s="121">
        <v>122613973</v>
      </c>
      <c r="G145" s="121" t="s">
        <v>1109</v>
      </c>
      <c r="H145" s="121">
        <f t="shared" si="4"/>
        <v>122.613973</v>
      </c>
      <c r="I145" s="121">
        <f>KOHC!D53</f>
        <v>122.613973</v>
      </c>
      <c r="J145" s="121">
        <f t="shared" si="5"/>
        <v>0</v>
      </c>
      <c r="K145" s="50" t="s">
        <v>1112</v>
      </c>
      <c r="L145" s="50">
        <v>52</v>
      </c>
      <c r="M145" s="50" t="s">
        <v>1106</v>
      </c>
      <c r="N145" s="68" t="s">
        <v>3564</v>
      </c>
      <c r="O145" s="68" t="s">
        <v>3565</v>
      </c>
      <c r="P145" s="68" t="s">
        <v>3701</v>
      </c>
    </row>
    <row r="146" spans="1:16" ht="82.05" customHeight="1" x14ac:dyDescent="0.3">
      <c r="A146" s="119" t="s">
        <v>1304</v>
      </c>
      <c r="B146" s="119" t="s">
        <v>18</v>
      </c>
      <c r="C146" s="119" t="s">
        <v>26</v>
      </c>
      <c r="D146" s="119" t="s">
        <v>306</v>
      </c>
      <c r="E146" s="120">
        <v>142171993</v>
      </c>
      <c r="F146" s="120">
        <v>142171993</v>
      </c>
      <c r="G146" s="120" t="s">
        <v>1109</v>
      </c>
      <c r="H146" s="120">
        <f t="shared" si="4"/>
        <v>142.17199299999999</v>
      </c>
      <c r="I146" s="120">
        <f>KOHC!E53</f>
        <v>142.17199299999999</v>
      </c>
      <c r="J146" s="120">
        <f t="shared" si="5"/>
        <v>0</v>
      </c>
      <c r="K146" s="119" t="s">
        <v>1116</v>
      </c>
      <c r="L146" s="119">
        <v>52</v>
      </c>
      <c r="M146" s="119" t="s">
        <v>1106</v>
      </c>
      <c r="N146" s="122" t="s">
        <v>3564</v>
      </c>
      <c r="O146" s="122" t="s">
        <v>3565</v>
      </c>
      <c r="P146" s="122" t="s">
        <v>3702</v>
      </c>
    </row>
    <row r="147" spans="1:16" ht="82.05" customHeight="1" x14ac:dyDescent="0.3">
      <c r="A147" s="50" t="s">
        <v>1305</v>
      </c>
      <c r="B147" s="50" t="s">
        <v>18</v>
      </c>
      <c r="C147" s="50" t="s">
        <v>27</v>
      </c>
      <c r="D147" s="50" t="s">
        <v>306</v>
      </c>
      <c r="E147" s="121">
        <v>192674790</v>
      </c>
      <c r="F147" s="121">
        <v>192674790</v>
      </c>
      <c r="G147" s="121" t="s">
        <v>1109</v>
      </c>
      <c r="H147" s="121">
        <f t="shared" si="4"/>
        <v>192.67479</v>
      </c>
      <c r="I147" s="121">
        <f>KOHC!F53</f>
        <v>192.67479</v>
      </c>
      <c r="J147" s="121">
        <f t="shared" si="5"/>
        <v>0</v>
      </c>
      <c r="K147" s="50" t="s">
        <v>1119</v>
      </c>
      <c r="L147" s="50">
        <v>58</v>
      </c>
      <c r="M147" s="50" t="s">
        <v>1106</v>
      </c>
      <c r="N147" s="68" t="s">
        <v>3564</v>
      </c>
      <c r="O147" s="68" t="s">
        <v>3565</v>
      </c>
      <c r="P147" s="68" t="s">
        <v>3703</v>
      </c>
    </row>
    <row r="148" spans="1:16" ht="82.05" customHeight="1" x14ac:dyDescent="0.3">
      <c r="A148" s="119" t="s">
        <v>1307</v>
      </c>
      <c r="B148" s="119" t="s">
        <v>18</v>
      </c>
      <c r="C148" s="119" t="s">
        <v>28</v>
      </c>
      <c r="D148" s="119" t="s">
        <v>306</v>
      </c>
      <c r="E148" s="120">
        <v>0</v>
      </c>
      <c r="F148" s="120">
        <v>0</v>
      </c>
      <c r="G148" s="120" t="s">
        <v>1109</v>
      </c>
      <c r="H148" s="120">
        <f t="shared" si="4"/>
        <v>0</v>
      </c>
      <c r="I148" s="120">
        <f>KOHC!G53</f>
        <v>0</v>
      </c>
      <c r="J148" s="120">
        <f t="shared" si="5"/>
        <v>0</v>
      </c>
      <c r="K148" s="119" t="s">
        <v>1123</v>
      </c>
      <c r="L148" s="119">
        <v>68</v>
      </c>
      <c r="M148" s="119" t="s">
        <v>1106</v>
      </c>
      <c r="N148" s="122" t="s">
        <v>3578</v>
      </c>
      <c r="O148" s="122" t="s">
        <v>3579</v>
      </c>
      <c r="P148" s="122" t="s">
        <v>3704</v>
      </c>
    </row>
    <row r="149" spans="1:16" ht="82.05" customHeight="1" x14ac:dyDescent="0.3">
      <c r="A149" s="50" t="s">
        <v>1308</v>
      </c>
      <c r="B149" s="50" t="s">
        <v>18</v>
      </c>
      <c r="C149" s="50" t="s">
        <v>29</v>
      </c>
      <c r="D149" s="50" t="s">
        <v>306</v>
      </c>
      <c r="E149" s="121">
        <v>0</v>
      </c>
      <c r="F149" s="121">
        <v>0</v>
      </c>
      <c r="G149" s="121" t="s">
        <v>1109</v>
      </c>
      <c r="H149" s="121">
        <f t="shared" si="4"/>
        <v>0</v>
      </c>
      <c r="I149" s="121">
        <f>KOHC!H53</f>
        <v>0</v>
      </c>
      <c r="J149" s="121">
        <f t="shared" si="5"/>
        <v>0</v>
      </c>
      <c r="K149" s="50" t="s">
        <v>1123</v>
      </c>
      <c r="L149" s="50">
        <v>68</v>
      </c>
      <c r="M149" s="50" t="s">
        <v>1127</v>
      </c>
      <c r="N149" s="68" t="s">
        <v>3578</v>
      </c>
      <c r="O149" s="68" t="s">
        <v>3579</v>
      </c>
      <c r="P149" s="68" t="s">
        <v>3704</v>
      </c>
    </row>
    <row r="150" spans="1:16" ht="82.05" customHeight="1" x14ac:dyDescent="0.3">
      <c r="A150" s="119" t="s">
        <v>1309</v>
      </c>
      <c r="B150" s="119" t="s">
        <v>18</v>
      </c>
      <c r="C150" s="119" t="s">
        <v>965</v>
      </c>
      <c r="D150" s="119" t="s">
        <v>308</v>
      </c>
      <c r="E150" s="120">
        <v>1301609100</v>
      </c>
      <c r="F150" s="120">
        <v>1301609100</v>
      </c>
      <c r="G150" s="120" t="s">
        <v>1109</v>
      </c>
      <c r="H150" s="120">
        <f t="shared" si="4"/>
        <v>1301.6090999999999</v>
      </c>
      <c r="I150" s="120">
        <f>KOHC!C54</f>
        <v>1301.6090999999999</v>
      </c>
      <c r="J150" s="120">
        <f t="shared" si="5"/>
        <v>0</v>
      </c>
      <c r="K150" s="119" t="s">
        <v>1104</v>
      </c>
      <c r="L150" s="119">
        <v>44</v>
      </c>
      <c r="M150" s="119" t="s">
        <v>1106</v>
      </c>
      <c r="N150" s="122" t="s">
        <v>3564</v>
      </c>
      <c r="O150" s="122" t="s">
        <v>3565</v>
      </c>
      <c r="P150" s="122" t="s">
        <v>3705</v>
      </c>
    </row>
    <row r="151" spans="1:16" ht="82.05" customHeight="1" x14ac:dyDescent="0.3">
      <c r="A151" s="50" t="s">
        <v>1311</v>
      </c>
      <c r="B151" s="50" t="s">
        <v>18</v>
      </c>
      <c r="C151" s="50" t="s">
        <v>20</v>
      </c>
      <c r="D151" s="50" t="s">
        <v>308</v>
      </c>
      <c r="E151" s="121">
        <v>498000000</v>
      </c>
      <c r="F151" s="121">
        <v>498000000</v>
      </c>
      <c r="G151" s="121" t="s">
        <v>1109</v>
      </c>
      <c r="H151" s="121">
        <f t="shared" si="4"/>
        <v>498</v>
      </c>
      <c r="I151" s="121">
        <f>KOHC!D54</f>
        <v>498</v>
      </c>
      <c r="J151" s="121">
        <f t="shared" si="5"/>
        <v>0</v>
      </c>
      <c r="K151" s="50" t="s">
        <v>1112</v>
      </c>
      <c r="L151" s="50">
        <v>52</v>
      </c>
      <c r="M151" s="50" t="s">
        <v>1106</v>
      </c>
      <c r="N151" s="68" t="s">
        <v>3564</v>
      </c>
      <c r="O151" s="68" t="s">
        <v>3565</v>
      </c>
      <c r="P151" s="68" t="s">
        <v>3706</v>
      </c>
    </row>
    <row r="152" spans="1:16" ht="82.05" customHeight="1" x14ac:dyDescent="0.3">
      <c r="A152" s="119" t="s">
        <v>1312</v>
      </c>
      <c r="B152" s="119" t="s">
        <v>18</v>
      </c>
      <c r="C152" s="119" t="s">
        <v>26</v>
      </c>
      <c r="D152" s="119" t="s">
        <v>308</v>
      </c>
      <c r="E152" s="120">
        <v>0</v>
      </c>
      <c r="F152" s="120">
        <v>0</v>
      </c>
      <c r="G152" s="120" t="s">
        <v>1109</v>
      </c>
      <c r="H152" s="120">
        <f t="shared" si="4"/>
        <v>0</v>
      </c>
      <c r="I152" s="120">
        <f>KOHC!E54</f>
        <v>0</v>
      </c>
      <c r="J152" s="120">
        <f t="shared" si="5"/>
        <v>0</v>
      </c>
      <c r="K152" s="119" t="s">
        <v>1116</v>
      </c>
      <c r="L152" s="119">
        <v>52</v>
      </c>
      <c r="M152" s="119" t="s">
        <v>1106</v>
      </c>
      <c r="N152" s="122" t="s">
        <v>3578</v>
      </c>
      <c r="O152" s="122" t="s">
        <v>3579</v>
      </c>
      <c r="P152" s="122" t="s">
        <v>3707</v>
      </c>
    </row>
    <row r="153" spans="1:16" ht="82.05" customHeight="1" x14ac:dyDescent="0.3">
      <c r="A153" s="50" t="s">
        <v>1313</v>
      </c>
      <c r="B153" s="50" t="s">
        <v>18</v>
      </c>
      <c r="C153" s="50" t="s">
        <v>27</v>
      </c>
      <c r="D153" s="50" t="s">
        <v>308</v>
      </c>
      <c r="E153" s="121">
        <v>0</v>
      </c>
      <c r="F153" s="121">
        <v>0</v>
      </c>
      <c r="G153" s="121" t="s">
        <v>1109</v>
      </c>
      <c r="H153" s="121">
        <f t="shared" si="4"/>
        <v>0</v>
      </c>
      <c r="I153" s="121">
        <f>KOHC!F54</f>
        <v>0</v>
      </c>
      <c r="J153" s="121">
        <f t="shared" si="5"/>
        <v>0</v>
      </c>
      <c r="K153" s="50" t="s">
        <v>1119</v>
      </c>
      <c r="L153" s="50">
        <v>58</v>
      </c>
      <c r="M153" s="50" t="s">
        <v>1106</v>
      </c>
      <c r="N153" s="68" t="s">
        <v>3578</v>
      </c>
      <c r="O153" s="68" t="s">
        <v>3579</v>
      </c>
      <c r="P153" s="68" t="s">
        <v>3708</v>
      </c>
    </row>
    <row r="154" spans="1:16" ht="82.05" customHeight="1" x14ac:dyDescent="0.3">
      <c r="A154" s="119" t="s">
        <v>1314</v>
      </c>
      <c r="B154" s="119" t="s">
        <v>18</v>
      </c>
      <c r="C154" s="119" t="s">
        <v>28</v>
      </c>
      <c r="D154" s="119" t="s">
        <v>308</v>
      </c>
      <c r="E154" s="120">
        <v>61253</v>
      </c>
      <c r="F154" s="120">
        <v>61253</v>
      </c>
      <c r="G154" s="120" t="s">
        <v>1109</v>
      </c>
      <c r="H154" s="120">
        <f t="shared" si="4"/>
        <v>6.1253000000000002E-2</v>
      </c>
      <c r="I154" s="120">
        <f>KOHC!G54</f>
        <v>6.1253000000000002E-2</v>
      </c>
      <c r="J154" s="120">
        <f t="shared" si="5"/>
        <v>0</v>
      </c>
      <c r="K154" s="119" t="s">
        <v>1123</v>
      </c>
      <c r="L154" s="119">
        <v>68</v>
      </c>
      <c r="M154" s="119" t="s">
        <v>1106</v>
      </c>
      <c r="N154" s="122" t="s">
        <v>3564</v>
      </c>
      <c r="O154" s="122" t="s">
        <v>3565</v>
      </c>
      <c r="P154" s="122" t="s">
        <v>3709</v>
      </c>
    </row>
    <row r="155" spans="1:16" ht="82.05" customHeight="1" x14ac:dyDescent="0.3">
      <c r="A155" s="50" t="s">
        <v>1316</v>
      </c>
      <c r="B155" s="50" t="s">
        <v>18</v>
      </c>
      <c r="C155" s="50" t="s">
        <v>29</v>
      </c>
      <c r="D155" s="50" t="s">
        <v>308</v>
      </c>
      <c r="E155" s="121">
        <v>3704884</v>
      </c>
      <c r="F155" s="121">
        <v>3704884</v>
      </c>
      <c r="G155" s="121" t="s">
        <v>1109</v>
      </c>
      <c r="H155" s="121">
        <f t="shared" si="4"/>
        <v>3.7048839999999998</v>
      </c>
      <c r="I155" s="121">
        <f>KOHC!H54</f>
        <v>3.7048839999999998</v>
      </c>
      <c r="J155" s="121">
        <f t="shared" si="5"/>
        <v>0</v>
      </c>
      <c r="K155" s="50" t="s">
        <v>1123</v>
      </c>
      <c r="L155" s="50">
        <v>68</v>
      </c>
      <c r="M155" s="50" t="s">
        <v>1127</v>
      </c>
      <c r="N155" s="68" t="s">
        <v>3564</v>
      </c>
      <c r="O155" s="68" t="s">
        <v>3565</v>
      </c>
      <c r="P155" s="68" t="s">
        <v>3710</v>
      </c>
    </row>
    <row r="156" spans="1:16" ht="82.05" customHeight="1" x14ac:dyDescent="0.3">
      <c r="A156" s="119" t="s">
        <v>1317</v>
      </c>
      <c r="B156" s="119" t="s">
        <v>18</v>
      </c>
      <c r="C156" s="119" t="s">
        <v>965</v>
      </c>
      <c r="D156" s="119" t="s">
        <v>310</v>
      </c>
      <c r="E156" s="120">
        <v>248496322</v>
      </c>
      <c r="F156" s="120">
        <v>248496322</v>
      </c>
      <c r="G156" s="120" t="s">
        <v>1109</v>
      </c>
      <c r="H156" s="120">
        <f t="shared" si="4"/>
        <v>248.49632199999999</v>
      </c>
      <c r="I156" s="120">
        <f>KOHC!C55</f>
        <v>248.49632199999999</v>
      </c>
      <c r="J156" s="120">
        <f t="shared" si="5"/>
        <v>0</v>
      </c>
      <c r="K156" s="119" t="s">
        <v>1104</v>
      </c>
      <c r="L156" s="119">
        <v>44</v>
      </c>
      <c r="M156" s="119" t="s">
        <v>1106</v>
      </c>
      <c r="N156" s="122" t="s">
        <v>3564</v>
      </c>
      <c r="O156" s="122" t="s">
        <v>3565</v>
      </c>
      <c r="P156" s="122" t="s">
        <v>3711</v>
      </c>
    </row>
    <row r="157" spans="1:16" ht="82.05" customHeight="1" x14ac:dyDescent="0.3">
      <c r="A157" s="50" t="s">
        <v>1319</v>
      </c>
      <c r="B157" s="50" t="s">
        <v>18</v>
      </c>
      <c r="C157" s="50" t="s">
        <v>20</v>
      </c>
      <c r="D157" s="50" t="s">
        <v>310</v>
      </c>
      <c r="E157" s="121">
        <v>1147020843</v>
      </c>
      <c r="F157" s="121">
        <v>1147020843</v>
      </c>
      <c r="G157" s="121" t="s">
        <v>1109</v>
      </c>
      <c r="H157" s="121">
        <f t="shared" si="4"/>
        <v>1147.020843</v>
      </c>
      <c r="I157" s="121">
        <f>KOHC!D55</f>
        <v>1147.020843</v>
      </c>
      <c r="J157" s="121">
        <f t="shared" si="5"/>
        <v>0</v>
      </c>
      <c r="K157" s="50" t="s">
        <v>1112</v>
      </c>
      <c r="L157" s="50">
        <v>52</v>
      </c>
      <c r="M157" s="50" t="s">
        <v>1106</v>
      </c>
      <c r="N157" s="68" t="s">
        <v>3564</v>
      </c>
      <c r="O157" s="68" t="s">
        <v>3565</v>
      </c>
      <c r="P157" s="68" t="s">
        <v>3712</v>
      </c>
    </row>
    <row r="158" spans="1:16" ht="82.05" customHeight="1" x14ac:dyDescent="0.3">
      <c r="A158" s="119" t="s">
        <v>1320</v>
      </c>
      <c r="B158" s="119" t="s">
        <v>18</v>
      </c>
      <c r="C158" s="119" t="s">
        <v>26</v>
      </c>
      <c r="D158" s="119" t="s">
        <v>310</v>
      </c>
      <c r="E158" s="120">
        <v>1071912356</v>
      </c>
      <c r="F158" s="120">
        <v>1071912356</v>
      </c>
      <c r="G158" s="120" t="s">
        <v>1109</v>
      </c>
      <c r="H158" s="120">
        <f t="shared" si="4"/>
        <v>1071.912356</v>
      </c>
      <c r="I158" s="120">
        <f>KOHC!E55</f>
        <v>1071.912356</v>
      </c>
      <c r="J158" s="120">
        <f t="shared" si="5"/>
        <v>0</v>
      </c>
      <c r="K158" s="119" t="s">
        <v>1116</v>
      </c>
      <c r="L158" s="119">
        <v>52</v>
      </c>
      <c r="M158" s="119" t="s">
        <v>1106</v>
      </c>
      <c r="N158" s="122" t="s">
        <v>3564</v>
      </c>
      <c r="O158" s="122" t="s">
        <v>3565</v>
      </c>
      <c r="P158" s="122" t="s">
        <v>3713</v>
      </c>
    </row>
    <row r="159" spans="1:16" ht="82.05" customHeight="1" x14ac:dyDescent="0.3">
      <c r="A159" s="50" t="s">
        <v>1321</v>
      </c>
      <c r="B159" s="50" t="s">
        <v>18</v>
      </c>
      <c r="C159" s="50" t="s">
        <v>27</v>
      </c>
      <c r="D159" s="50" t="s">
        <v>310</v>
      </c>
      <c r="E159" s="121">
        <v>1034355873</v>
      </c>
      <c r="F159" s="121">
        <v>1034355873</v>
      </c>
      <c r="G159" s="121" t="s">
        <v>1109</v>
      </c>
      <c r="H159" s="121">
        <f t="shared" si="4"/>
        <v>1034.355873</v>
      </c>
      <c r="I159" s="121">
        <f>KOHC!F55</f>
        <v>1034.355873</v>
      </c>
      <c r="J159" s="121">
        <f t="shared" si="5"/>
        <v>0</v>
      </c>
      <c r="K159" s="50" t="s">
        <v>1119</v>
      </c>
      <c r="L159" s="50">
        <v>58</v>
      </c>
      <c r="M159" s="50" t="s">
        <v>1106</v>
      </c>
      <c r="N159" s="68" t="s">
        <v>3564</v>
      </c>
      <c r="O159" s="68" t="s">
        <v>3565</v>
      </c>
      <c r="P159" s="68" t="s">
        <v>3714</v>
      </c>
    </row>
    <row r="160" spans="1:16" ht="82.05" customHeight="1" x14ac:dyDescent="0.3">
      <c r="A160" s="119" t="s">
        <v>1322</v>
      </c>
      <c r="B160" s="119" t="s">
        <v>18</v>
      </c>
      <c r="C160" s="119" t="s">
        <v>28</v>
      </c>
      <c r="D160" s="119" t="s">
        <v>310</v>
      </c>
      <c r="E160" s="120">
        <v>1169295643</v>
      </c>
      <c r="F160" s="120">
        <v>1169295643</v>
      </c>
      <c r="G160" s="120" t="s">
        <v>1109</v>
      </c>
      <c r="H160" s="120">
        <f t="shared" si="4"/>
        <v>1169.2956429999999</v>
      </c>
      <c r="I160" s="120">
        <f>KOHC!G55</f>
        <v>1169.2956429999999</v>
      </c>
      <c r="J160" s="120">
        <f t="shared" si="5"/>
        <v>0</v>
      </c>
      <c r="K160" s="119" t="s">
        <v>1123</v>
      </c>
      <c r="L160" s="119">
        <v>68</v>
      </c>
      <c r="M160" s="119" t="s">
        <v>1106</v>
      </c>
      <c r="N160" s="122" t="s">
        <v>3564</v>
      </c>
      <c r="O160" s="122" t="s">
        <v>3565</v>
      </c>
      <c r="P160" s="122" t="s">
        <v>3715</v>
      </c>
    </row>
    <row r="161" spans="1:16" ht="82.05" customHeight="1" x14ac:dyDescent="0.3">
      <c r="A161" s="50" t="s">
        <v>1323</v>
      </c>
      <c r="B161" s="50" t="s">
        <v>18</v>
      </c>
      <c r="C161" s="50" t="s">
        <v>29</v>
      </c>
      <c r="D161" s="50" t="s">
        <v>310</v>
      </c>
      <c r="E161" s="121">
        <v>837359258</v>
      </c>
      <c r="F161" s="121">
        <v>837359258</v>
      </c>
      <c r="G161" s="121" t="s">
        <v>1109</v>
      </c>
      <c r="H161" s="121">
        <f t="shared" si="4"/>
        <v>837.35925799999995</v>
      </c>
      <c r="I161" s="121">
        <f>KOHC!H55</f>
        <v>837.35925799999995</v>
      </c>
      <c r="J161" s="121">
        <f t="shared" si="5"/>
        <v>0</v>
      </c>
      <c r="K161" s="50" t="s">
        <v>1123</v>
      </c>
      <c r="L161" s="50">
        <v>68</v>
      </c>
      <c r="M161" s="50" t="s">
        <v>1127</v>
      </c>
      <c r="N161" s="68" t="s">
        <v>3564</v>
      </c>
      <c r="O161" s="68" t="s">
        <v>3565</v>
      </c>
      <c r="P161" s="68" t="s">
        <v>3716</v>
      </c>
    </row>
    <row r="162" spans="1:16" ht="82.05" customHeight="1" x14ac:dyDescent="0.3">
      <c r="A162" s="119" t="s">
        <v>1324</v>
      </c>
      <c r="B162" s="119" t="s">
        <v>18</v>
      </c>
      <c r="C162" s="119" t="s">
        <v>965</v>
      </c>
      <c r="D162" s="119" t="s">
        <v>312</v>
      </c>
      <c r="E162" s="120">
        <v>0</v>
      </c>
      <c r="F162" s="120">
        <v>0</v>
      </c>
      <c r="G162" s="120" t="s">
        <v>1109</v>
      </c>
      <c r="H162" s="120">
        <f t="shared" si="4"/>
        <v>0</v>
      </c>
      <c r="I162" s="120">
        <f>KOHC!C56</f>
        <v>0</v>
      </c>
      <c r="J162" s="120">
        <f t="shared" si="5"/>
        <v>0</v>
      </c>
      <c r="K162" s="119" t="s">
        <v>1104</v>
      </c>
      <c r="L162" s="119">
        <v>44</v>
      </c>
      <c r="M162" s="119" t="s">
        <v>1106</v>
      </c>
      <c r="N162" s="122" t="s">
        <v>3578</v>
      </c>
      <c r="O162" s="122" t="s">
        <v>3579</v>
      </c>
      <c r="P162" s="122" t="s">
        <v>3717</v>
      </c>
    </row>
    <row r="163" spans="1:16" ht="82.05" customHeight="1" x14ac:dyDescent="0.3">
      <c r="A163" s="50" t="s">
        <v>1325</v>
      </c>
      <c r="B163" s="50" t="s">
        <v>18</v>
      </c>
      <c r="C163" s="50" t="s">
        <v>20</v>
      </c>
      <c r="D163" s="50" t="s">
        <v>312</v>
      </c>
      <c r="E163" s="121">
        <v>0</v>
      </c>
      <c r="F163" s="121">
        <v>0</v>
      </c>
      <c r="G163" s="121" t="s">
        <v>1109</v>
      </c>
      <c r="H163" s="121">
        <f t="shared" si="4"/>
        <v>0</v>
      </c>
      <c r="I163" s="121">
        <f>KOHC!D56</f>
        <v>0</v>
      </c>
      <c r="J163" s="121">
        <f t="shared" si="5"/>
        <v>0</v>
      </c>
      <c r="K163" s="50" t="s">
        <v>1112</v>
      </c>
      <c r="L163" s="50">
        <v>52</v>
      </c>
      <c r="M163" s="50" t="s">
        <v>1106</v>
      </c>
      <c r="N163" s="68" t="s">
        <v>3578</v>
      </c>
      <c r="O163" s="68" t="s">
        <v>3579</v>
      </c>
      <c r="P163" s="68" t="s">
        <v>3718</v>
      </c>
    </row>
    <row r="164" spans="1:16" ht="82.05" customHeight="1" x14ac:dyDescent="0.3">
      <c r="A164" s="119" t="s">
        <v>1326</v>
      </c>
      <c r="B164" s="119" t="s">
        <v>18</v>
      </c>
      <c r="C164" s="119" t="s">
        <v>26</v>
      </c>
      <c r="D164" s="119" t="s">
        <v>312</v>
      </c>
      <c r="E164" s="120">
        <v>0</v>
      </c>
      <c r="F164" s="120">
        <v>0</v>
      </c>
      <c r="G164" s="120" t="s">
        <v>1109</v>
      </c>
      <c r="H164" s="120">
        <f t="shared" si="4"/>
        <v>0</v>
      </c>
      <c r="I164" s="120">
        <f>KOHC!E56</f>
        <v>0</v>
      </c>
      <c r="J164" s="120">
        <f t="shared" si="5"/>
        <v>0</v>
      </c>
      <c r="K164" s="119" t="s">
        <v>1116</v>
      </c>
      <c r="L164" s="119">
        <v>52</v>
      </c>
      <c r="M164" s="119" t="s">
        <v>1106</v>
      </c>
      <c r="N164" s="122" t="s">
        <v>3578</v>
      </c>
      <c r="O164" s="122" t="s">
        <v>3579</v>
      </c>
      <c r="P164" s="122" t="s">
        <v>3719</v>
      </c>
    </row>
    <row r="165" spans="1:16" ht="82.05" customHeight="1" x14ac:dyDescent="0.3">
      <c r="A165" s="50" t="s">
        <v>1327</v>
      </c>
      <c r="B165" s="50" t="s">
        <v>18</v>
      </c>
      <c r="C165" s="50" t="s">
        <v>27</v>
      </c>
      <c r="D165" s="50" t="s">
        <v>312</v>
      </c>
      <c r="E165" s="121">
        <v>0</v>
      </c>
      <c r="F165" s="121">
        <v>0</v>
      </c>
      <c r="G165" s="121" t="s">
        <v>1109</v>
      </c>
      <c r="H165" s="121">
        <f t="shared" si="4"/>
        <v>0</v>
      </c>
      <c r="I165" s="121">
        <f>KOHC!F56</f>
        <v>0</v>
      </c>
      <c r="J165" s="121">
        <f t="shared" si="5"/>
        <v>0</v>
      </c>
      <c r="K165" s="50" t="s">
        <v>1119</v>
      </c>
      <c r="L165" s="50">
        <v>58</v>
      </c>
      <c r="M165" s="50" t="s">
        <v>1106</v>
      </c>
      <c r="N165" s="68" t="s">
        <v>3578</v>
      </c>
      <c r="O165" s="68" t="s">
        <v>3579</v>
      </c>
      <c r="P165" s="68" t="s">
        <v>3720</v>
      </c>
    </row>
    <row r="166" spans="1:16" ht="82.05" customHeight="1" x14ac:dyDescent="0.3">
      <c r="A166" s="119" t="s">
        <v>1328</v>
      </c>
      <c r="B166" s="119" t="s">
        <v>18</v>
      </c>
      <c r="C166" s="119" t="s">
        <v>28</v>
      </c>
      <c r="D166" s="119" t="s">
        <v>312</v>
      </c>
      <c r="E166" s="120">
        <v>0</v>
      </c>
      <c r="F166" s="120">
        <v>0</v>
      </c>
      <c r="G166" s="120" t="s">
        <v>1109</v>
      </c>
      <c r="H166" s="120">
        <f t="shared" si="4"/>
        <v>0</v>
      </c>
      <c r="I166" s="120">
        <f>KOHC!G56</f>
        <v>0</v>
      </c>
      <c r="J166" s="120">
        <f t="shared" si="5"/>
        <v>0</v>
      </c>
      <c r="K166" s="119" t="s">
        <v>1123</v>
      </c>
      <c r="L166" s="119">
        <v>68</v>
      </c>
      <c r="M166" s="119" t="s">
        <v>1106</v>
      </c>
      <c r="N166" s="122" t="s">
        <v>3578</v>
      </c>
      <c r="O166" s="122" t="s">
        <v>3579</v>
      </c>
      <c r="P166" s="122" t="s">
        <v>3721</v>
      </c>
    </row>
    <row r="167" spans="1:16" ht="82.05" customHeight="1" x14ac:dyDescent="0.3">
      <c r="A167" s="50" t="s">
        <v>1329</v>
      </c>
      <c r="B167" s="50" t="s">
        <v>18</v>
      </c>
      <c r="C167" s="50" t="s">
        <v>29</v>
      </c>
      <c r="D167" s="50" t="s">
        <v>312</v>
      </c>
      <c r="E167" s="121">
        <v>0</v>
      </c>
      <c r="F167" s="121">
        <v>0</v>
      </c>
      <c r="G167" s="121" t="s">
        <v>1109</v>
      </c>
      <c r="H167" s="121">
        <f t="shared" si="4"/>
        <v>0</v>
      </c>
      <c r="I167" s="121">
        <f>KOHC!H56</f>
        <v>0</v>
      </c>
      <c r="J167" s="121">
        <f t="shared" si="5"/>
        <v>0</v>
      </c>
      <c r="K167" s="50" t="s">
        <v>1123</v>
      </c>
      <c r="L167" s="50">
        <v>68</v>
      </c>
      <c r="M167" s="50" t="s">
        <v>1127</v>
      </c>
      <c r="N167" s="68" t="s">
        <v>3578</v>
      </c>
      <c r="O167" s="68" t="s">
        <v>3579</v>
      </c>
      <c r="P167" s="68" t="s">
        <v>3721</v>
      </c>
    </row>
    <row r="168" spans="1:16" ht="82.05" customHeight="1" x14ac:dyDescent="0.3">
      <c r="A168" s="119" t="s">
        <v>1330</v>
      </c>
      <c r="B168" s="119" t="s">
        <v>18</v>
      </c>
      <c r="C168" s="119" t="s">
        <v>965</v>
      </c>
      <c r="D168" s="119" t="s">
        <v>314</v>
      </c>
      <c r="E168" s="120">
        <v>0</v>
      </c>
      <c r="F168" s="120">
        <v>0</v>
      </c>
      <c r="G168" s="120" t="s">
        <v>1109</v>
      </c>
      <c r="H168" s="120">
        <f t="shared" si="4"/>
        <v>0</v>
      </c>
      <c r="I168" s="120">
        <f>KOHC!C57</f>
        <v>0</v>
      </c>
      <c r="J168" s="120">
        <f t="shared" si="5"/>
        <v>0</v>
      </c>
      <c r="K168" s="119" t="s">
        <v>1104</v>
      </c>
      <c r="L168" s="119">
        <v>44</v>
      </c>
      <c r="M168" s="119" t="s">
        <v>1106</v>
      </c>
      <c r="N168" s="122" t="s">
        <v>3578</v>
      </c>
      <c r="O168" s="122" t="s">
        <v>3579</v>
      </c>
      <c r="P168" s="122" t="s">
        <v>3722</v>
      </c>
    </row>
    <row r="169" spans="1:16" ht="82.05" customHeight="1" x14ac:dyDescent="0.3">
      <c r="A169" s="50" t="s">
        <v>1331</v>
      </c>
      <c r="B169" s="50" t="s">
        <v>18</v>
      </c>
      <c r="C169" s="50" t="s">
        <v>20</v>
      </c>
      <c r="D169" s="50" t="s">
        <v>314</v>
      </c>
      <c r="E169" s="121">
        <v>0</v>
      </c>
      <c r="F169" s="121">
        <v>0</v>
      </c>
      <c r="G169" s="121" t="s">
        <v>1109</v>
      </c>
      <c r="H169" s="121">
        <f t="shared" si="4"/>
        <v>0</v>
      </c>
      <c r="I169" s="121">
        <f>KOHC!D57</f>
        <v>0</v>
      </c>
      <c r="J169" s="121">
        <f t="shared" si="5"/>
        <v>0</v>
      </c>
      <c r="K169" s="50" t="s">
        <v>1112</v>
      </c>
      <c r="L169" s="50">
        <v>52</v>
      </c>
      <c r="M169" s="50" t="s">
        <v>1106</v>
      </c>
      <c r="N169" s="68" t="s">
        <v>3578</v>
      </c>
      <c r="O169" s="68" t="s">
        <v>3579</v>
      </c>
      <c r="P169" s="68" t="s">
        <v>3723</v>
      </c>
    </row>
    <row r="170" spans="1:16" ht="82.05" customHeight="1" x14ac:dyDescent="0.3">
      <c r="A170" s="119" t="s">
        <v>1332</v>
      </c>
      <c r="B170" s="119" t="s">
        <v>18</v>
      </c>
      <c r="C170" s="119" t="s">
        <v>26</v>
      </c>
      <c r="D170" s="119" t="s">
        <v>314</v>
      </c>
      <c r="E170" s="120">
        <v>0</v>
      </c>
      <c r="F170" s="120">
        <v>0</v>
      </c>
      <c r="G170" s="120" t="s">
        <v>1109</v>
      </c>
      <c r="H170" s="120">
        <f t="shared" si="4"/>
        <v>0</v>
      </c>
      <c r="I170" s="120">
        <f>KOHC!E57</f>
        <v>0</v>
      </c>
      <c r="J170" s="120">
        <f t="shared" si="5"/>
        <v>0</v>
      </c>
      <c r="K170" s="119" t="s">
        <v>1116</v>
      </c>
      <c r="L170" s="119">
        <v>52</v>
      </c>
      <c r="M170" s="119" t="s">
        <v>1106</v>
      </c>
      <c r="N170" s="122" t="s">
        <v>3578</v>
      </c>
      <c r="O170" s="122" t="s">
        <v>3579</v>
      </c>
      <c r="P170" s="122" t="s">
        <v>3724</v>
      </c>
    </row>
    <row r="171" spans="1:16" ht="82.05" customHeight="1" x14ac:dyDescent="0.3">
      <c r="A171" s="50" t="s">
        <v>1333</v>
      </c>
      <c r="B171" s="50" t="s">
        <v>18</v>
      </c>
      <c r="C171" s="50" t="s">
        <v>27</v>
      </c>
      <c r="D171" s="50" t="s">
        <v>314</v>
      </c>
      <c r="E171" s="121">
        <v>0</v>
      </c>
      <c r="F171" s="121">
        <v>0</v>
      </c>
      <c r="G171" s="121" t="s">
        <v>1109</v>
      </c>
      <c r="H171" s="121">
        <f t="shared" si="4"/>
        <v>0</v>
      </c>
      <c r="I171" s="121">
        <f>KOHC!F57</f>
        <v>0</v>
      </c>
      <c r="J171" s="121">
        <f t="shared" si="5"/>
        <v>0</v>
      </c>
      <c r="K171" s="50" t="s">
        <v>1119</v>
      </c>
      <c r="L171" s="50">
        <v>58</v>
      </c>
      <c r="M171" s="50" t="s">
        <v>1106</v>
      </c>
      <c r="N171" s="68" t="s">
        <v>3578</v>
      </c>
      <c r="O171" s="68" t="s">
        <v>3579</v>
      </c>
      <c r="P171" s="68" t="s">
        <v>3725</v>
      </c>
    </row>
    <row r="172" spans="1:16" ht="82.05" customHeight="1" x14ac:dyDescent="0.3">
      <c r="A172" s="119" t="s">
        <v>1334</v>
      </c>
      <c r="B172" s="119" t="s">
        <v>18</v>
      </c>
      <c r="C172" s="119" t="s">
        <v>28</v>
      </c>
      <c r="D172" s="119" t="s">
        <v>314</v>
      </c>
      <c r="E172" s="120">
        <v>0</v>
      </c>
      <c r="F172" s="120">
        <v>0</v>
      </c>
      <c r="G172" s="120" t="s">
        <v>1109</v>
      </c>
      <c r="H172" s="120">
        <f t="shared" si="4"/>
        <v>0</v>
      </c>
      <c r="I172" s="120">
        <f>KOHC!G57</f>
        <v>0</v>
      </c>
      <c r="J172" s="120">
        <f t="shared" si="5"/>
        <v>0</v>
      </c>
      <c r="K172" s="119" t="s">
        <v>1123</v>
      </c>
      <c r="L172" s="119">
        <v>68</v>
      </c>
      <c r="M172" s="119" t="s">
        <v>1106</v>
      </c>
      <c r="N172" s="122" t="s">
        <v>3578</v>
      </c>
      <c r="O172" s="122" t="s">
        <v>3579</v>
      </c>
      <c r="P172" s="122" t="s">
        <v>3726</v>
      </c>
    </row>
    <row r="173" spans="1:16" ht="82.05" customHeight="1" x14ac:dyDescent="0.3">
      <c r="A173" s="50" t="s">
        <v>1335</v>
      </c>
      <c r="B173" s="50" t="s">
        <v>18</v>
      </c>
      <c r="C173" s="50" t="s">
        <v>29</v>
      </c>
      <c r="D173" s="50" t="s">
        <v>314</v>
      </c>
      <c r="E173" s="121">
        <v>0</v>
      </c>
      <c r="F173" s="121">
        <v>0</v>
      </c>
      <c r="G173" s="121" t="s">
        <v>1109</v>
      </c>
      <c r="H173" s="121">
        <f t="shared" si="4"/>
        <v>0</v>
      </c>
      <c r="I173" s="121">
        <f>KOHC!H57</f>
        <v>0</v>
      </c>
      <c r="J173" s="121">
        <f t="shared" si="5"/>
        <v>0</v>
      </c>
      <c r="K173" s="50" t="s">
        <v>1123</v>
      </c>
      <c r="L173" s="50">
        <v>68</v>
      </c>
      <c r="M173" s="50" t="s">
        <v>1127</v>
      </c>
      <c r="N173" s="68" t="s">
        <v>3578</v>
      </c>
      <c r="O173" s="68" t="s">
        <v>3579</v>
      </c>
      <c r="P173" s="68" t="s">
        <v>3726</v>
      </c>
    </row>
    <row r="174" spans="1:16" ht="82.05" customHeight="1" x14ac:dyDescent="0.3">
      <c r="A174" s="119" t="s">
        <v>1336</v>
      </c>
      <c r="B174" s="119" t="s">
        <v>18</v>
      </c>
      <c r="C174" s="119" t="s">
        <v>965</v>
      </c>
      <c r="D174" s="119" t="s">
        <v>316</v>
      </c>
      <c r="E174" s="120">
        <v>48014348</v>
      </c>
      <c r="F174" s="120">
        <v>48014348</v>
      </c>
      <c r="G174" s="120" t="s">
        <v>1109</v>
      </c>
      <c r="H174" s="120">
        <f t="shared" si="4"/>
        <v>48.014347999999998</v>
      </c>
      <c r="I174" s="120">
        <f>KOHC!C58</f>
        <v>48.014347999999998</v>
      </c>
      <c r="J174" s="120">
        <f t="shared" si="5"/>
        <v>0</v>
      </c>
      <c r="K174" s="119" t="s">
        <v>1104</v>
      </c>
      <c r="L174" s="119">
        <v>44</v>
      </c>
      <c r="M174" s="119" t="s">
        <v>1106</v>
      </c>
      <c r="N174" s="122" t="s">
        <v>3602</v>
      </c>
      <c r="O174" s="122" t="s">
        <v>3603</v>
      </c>
      <c r="P174" s="122" t="s">
        <v>3727</v>
      </c>
    </row>
    <row r="175" spans="1:16" ht="82.05" customHeight="1" x14ac:dyDescent="0.3">
      <c r="A175" s="50" t="s">
        <v>1338</v>
      </c>
      <c r="B175" s="50" t="s">
        <v>18</v>
      </c>
      <c r="C175" s="50" t="s">
        <v>20</v>
      </c>
      <c r="D175" s="50" t="s">
        <v>316</v>
      </c>
      <c r="E175" s="121">
        <v>46197552</v>
      </c>
      <c r="F175" s="121">
        <v>46197552</v>
      </c>
      <c r="G175" s="121" t="s">
        <v>1109</v>
      </c>
      <c r="H175" s="121">
        <f t="shared" si="4"/>
        <v>46.197552000000002</v>
      </c>
      <c r="I175" s="121">
        <f>KOHC!D58</f>
        <v>46.197552000000002</v>
      </c>
      <c r="J175" s="121">
        <f t="shared" si="5"/>
        <v>0</v>
      </c>
      <c r="K175" s="50" t="s">
        <v>1112</v>
      </c>
      <c r="L175" s="50">
        <v>52</v>
      </c>
      <c r="M175" s="50" t="s">
        <v>1106</v>
      </c>
      <c r="N175" s="68" t="s">
        <v>3602</v>
      </c>
      <c r="O175" s="68" t="s">
        <v>3603</v>
      </c>
      <c r="P175" s="68" t="s">
        <v>3728</v>
      </c>
    </row>
    <row r="176" spans="1:16" ht="82.05" customHeight="1" x14ac:dyDescent="0.3">
      <c r="A176" s="119" t="s">
        <v>1339</v>
      </c>
      <c r="B176" s="119" t="s">
        <v>18</v>
      </c>
      <c r="C176" s="119" t="s">
        <v>26</v>
      </c>
      <c r="D176" s="119" t="s">
        <v>316</v>
      </c>
      <c r="E176" s="120">
        <v>45648049</v>
      </c>
      <c r="F176" s="120">
        <v>45648049</v>
      </c>
      <c r="G176" s="120" t="s">
        <v>1109</v>
      </c>
      <c r="H176" s="120">
        <f t="shared" si="4"/>
        <v>45.648049</v>
      </c>
      <c r="I176" s="120">
        <f>KOHC!E58</f>
        <v>45.648049</v>
      </c>
      <c r="J176" s="120">
        <f t="shared" si="5"/>
        <v>0</v>
      </c>
      <c r="K176" s="119" t="s">
        <v>1116</v>
      </c>
      <c r="L176" s="119">
        <v>52</v>
      </c>
      <c r="M176" s="119" t="s">
        <v>1106</v>
      </c>
      <c r="N176" s="122" t="s">
        <v>3602</v>
      </c>
      <c r="O176" s="122" t="s">
        <v>3603</v>
      </c>
      <c r="P176" s="122" t="s">
        <v>3729</v>
      </c>
    </row>
    <row r="177" spans="1:16" ht="82.05" customHeight="1" x14ac:dyDescent="0.3">
      <c r="A177" s="50" t="s">
        <v>1340</v>
      </c>
      <c r="B177" s="50" t="s">
        <v>18</v>
      </c>
      <c r="C177" s="50" t="s">
        <v>27</v>
      </c>
      <c r="D177" s="50" t="s">
        <v>316</v>
      </c>
      <c r="E177" s="121">
        <v>45475220</v>
      </c>
      <c r="F177" s="121">
        <v>45475220</v>
      </c>
      <c r="G177" s="121" t="s">
        <v>1109</v>
      </c>
      <c r="H177" s="121">
        <f t="shared" si="4"/>
        <v>45.47522</v>
      </c>
      <c r="I177" s="121">
        <f>KOHC!F58</f>
        <v>45.47522</v>
      </c>
      <c r="J177" s="121">
        <f t="shared" si="5"/>
        <v>0</v>
      </c>
      <c r="K177" s="50" t="s">
        <v>1119</v>
      </c>
      <c r="L177" s="50">
        <v>58</v>
      </c>
      <c r="M177" s="50" t="s">
        <v>1106</v>
      </c>
      <c r="N177" s="68" t="s">
        <v>3602</v>
      </c>
      <c r="O177" s="68" t="s">
        <v>3603</v>
      </c>
      <c r="P177" s="68" t="s">
        <v>3730</v>
      </c>
    </row>
    <row r="178" spans="1:16" ht="82.05" customHeight="1" x14ac:dyDescent="0.3">
      <c r="A178" s="119" t="s">
        <v>1341</v>
      </c>
      <c r="B178" s="119" t="s">
        <v>18</v>
      </c>
      <c r="C178" s="119" t="s">
        <v>28</v>
      </c>
      <c r="D178" s="119" t="s">
        <v>316</v>
      </c>
      <c r="E178" s="120">
        <v>45338931</v>
      </c>
      <c r="F178" s="120">
        <v>45338931</v>
      </c>
      <c r="G178" s="120" t="s">
        <v>1109</v>
      </c>
      <c r="H178" s="120">
        <f t="shared" si="4"/>
        <v>45.338931000000002</v>
      </c>
      <c r="I178" s="120">
        <f>KOHC!G58</f>
        <v>45.338931000000002</v>
      </c>
      <c r="J178" s="120">
        <f t="shared" si="5"/>
        <v>0</v>
      </c>
      <c r="K178" s="119" t="s">
        <v>1123</v>
      </c>
      <c r="L178" s="119">
        <v>68</v>
      </c>
      <c r="M178" s="119" t="s">
        <v>1106</v>
      </c>
      <c r="N178" s="122" t="s">
        <v>3602</v>
      </c>
      <c r="O178" s="122" t="s">
        <v>3603</v>
      </c>
      <c r="P178" s="122" t="s">
        <v>3731</v>
      </c>
    </row>
    <row r="179" spans="1:16" ht="82.05" customHeight="1" x14ac:dyDescent="0.3">
      <c r="A179" s="50" t="s">
        <v>1342</v>
      </c>
      <c r="B179" s="50" t="s">
        <v>18</v>
      </c>
      <c r="C179" s="50" t="s">
        <v>29</v>
      </c>
      <c r="D179" s="50" t="s">
        <v>316</v>
      </c>
      <c r="E179" s="121">
        <v>42181257</v>
      </c>
      <c r="F179" s="121">
        <v>42181257</v>
      </c>
      <c r="G179" s="121" t="s">
        <v>1109</v>
      </c>
      <c r="H179" s="121">
        <f t="shared" si="4"/>
        <v>42.181257000000002</v>
      </c>
      <c r="I179" s="121">
        <f>KOHC!H58</f>
        <v>42.181257000000002</v>
      </c>
      <c r="J179" s="121">
        <f t="shared" si="5"/>
        <v>0</v>
      </c>
      <c r="K179" s="50" t="s">
        <v>1123</v>
      </c>
      <c r="L179" s="50">
        <v>68</v>
      </c>
      <c r="M179" s="50" t="s">
        <v>1127</v>
      </c>
      <c r="N179" s="68" t="s">
        <v>3602</v>
      </c>
      <c r="O179" s="68" t="s">
        <v>3603</v>
      </c>
      <c r="P179" s="68" t="s">
        <v>3731</v>
      </c>
    </row>
    <row r="180" spans="1:16" ht="82.05" customHeight="1" x14ac:dyDescent="0.3">
      <c r="A180" s="119" t="s">
        <v>1343</v>
      </c>
      <c r="B180" s="119" t="s">
        <v>18</v>
      </c>
      <c r="C180" s="119" t="s">
        <v>965</v>
      </c>
      <c r="D180" s="119" t="s">
        <v>318</v>
      </c>
      <c r="E180" s="120">
        <v>52873661</v>
      </c>
      <c r="F180" s="120">
        <v>52873661</v>
      </c>
      <c r="G180" s="120" t="s">
        <v>1109</v>
      </c>
      <c r="H180" s="120">
        <f t="shared" si="4"/>
        <v>52.873660999999998</v>
      </c>
      <c r="I180" s="120">
        <f>KOHC!C59</f>
        <v>52.873660999999998</v>
      </c>
      <c r="J180" s="120">
        <f t="shared" si="5"/>
        <v>0</v>
      </c>
      <c r="K180" s="119" t="s">
        <v>1104</v>
      </c>
      <c r="L180" s="119">
        <v>44</v>
      </c>
      <c r="M180" s="119" t="s">
        <v>1106</v>
      </c>
      <c r="N180" s="122" t="s">
        <v>3564</v>
      </c>
      <c r="O180" s="122" t="s">
        <v>3565</v>
      </c>
      <c r="P180" s="122" t="s">
        <v>3732</v>
      </c>
    </row>
    <row r="181" spans="1:16" ht="82.05" customHeight="1" x14ac:dyDescent="0.3">
      <c r="A181" s="50" t="s">
        <v>1345</v>
      </c>
      <c r="B181" s="50" t="s">
        <v>18</v>
      </c>
      <c r="C181" s="50" t="s">
        <v>20</v>
      </c>
      <c r="D181" s="50" t="s">
        <v>318</v>
      </c>
      <c r="E181" s="121">
        <v>635934543</v>
      </c>
      <c r="F181" s="121">
        <v>635934543</v>
      </c>
      <c r="G181" s="121" t="s">
        <v>1109</v>
      </c>
      <c r="H181" s="121">
        <f t="shared" si="4"/>
        <v>635.93454299999996</v>
      </c>
      <c r="I181" s="121">
        <f>KOHC!D59</f>
        <v>635.93454299999996</v>
      </c>
      <c r="J181" s="121">
        <f t="shared" si="5"/>
        <v>0</v>
      </c>
      <c r="K181" s="50" t="s">
        <v>1112</v>
      </c>
      <c r="L181" s="50">
        <v>52</v>
      </c>
      <c r="M181" s="50" t="s">
        <v>1106</v>
      </c>
      <c r="N181" s="68" t="s">
        <v>3564</v>
      </c>
      <c r="O181" s="68" t="s">
        <v>3565</v>
      </c>
      <c r="P181" s="68" t="s">
        <v>3733</v>
      </c>
    </row>
    <row r="182" spans="1:16" ht="82.05" customHeight="1" x14ac:dyDescent="0.3">
      <c r="A182" s="119" t="s">
        <v>1346</v>
      </c>
      <c r="B182" s="119" t="s">
        <v>18</v>
      </c>
      <c r="C182" s="119" t="s">
        <v>26</v>
      </c>
      <c r="D182" s="119" t="s">
        <v>318</v>
      </c>
      <c r="E182" s="120">
        <v>2438052665</v>
      </c>
      <c r="F182" s="120">
        <v>2438052665</v>
      </c>
      <c r="G182" s="120" t="s">
        <v>1109</v>
      </c>
      <c r="H182" s="120">
        <f t="shared" si="4"/>
        <v>2438.0526650000002</v>
      </c>
      <c r="I182" s="120">
        <f>KOHC!E59</f>
        <v>2438.0526650000002</v>
      </c>
      <c r="J182" s="120">
        <f t="shared" si="5"/>
        <v>0</v>
      </c>
      <c r="K182" s="119" t="s">
        <v>1116</v>
      </c>
      <c r="L182" s="119">
        <v>52</v>
      </c>
      <c r="M182" s="119" t="s">
        <v>1106</v>
      </c>
      <c r="N182" s="122" t="s">
        <v>3564</v>
      </c>
      <c r="O182" s="122" t="s">
        <v>3565</v>
      </c>
      <c r="P182" s="122" t="s">
        <v>3734</v>
      </c>
    </row>
    <row r="183" spans="1:16" ht="82.05" customHeight="1" x14ac:dyDescent="0.3">
      <c r="A183" s="50" t="s">
        <v>1347</v>
      </c>
      <c r="B183" s="50" t="s">
        <v>18</v>
      </c>
      <c r="C183" s="50" t="s">
        <v>27</v>
      </c>
      <c r="D183" s="50" t="s">
        <v>318</v>
      </c>
      <c r="E183" s="121">
        <v>3079754230</v>
      </c>
      <c r="F183" s="121">
        <v>3079754230</v>
      </c>
      <c r="G183" s="121" t="s">
        <v>1109</v>
      </c>
      <c r="H183" s="121">
        <f t="shared" si="4"/>
        <v>3079.75423</v>
      </c>
      <c r="I183" s="121">
        <f>KOHC!F59</f>
        <v>3079.75423</v>
      </c>
      <c r="J183" s="121">
        <f t="shared" si="5"/>
        <v>0</v>
      </c>
      <c r="K183" s="50" t="s">
        <v>1119</v>
      </c>
      <c r="L183" s="50">
        <v>58</v>
      </c>
      <c r="M183" s="50" t="s">
        <v>1106</v>
      </c>
      <c r="N183" s="68" t="s">
        <v>3564</v>
      </c>
      <c r="O183" s="68" t="s">
        <v>3565</v>
      </c>
      <c r="P183" s="68" t="s">
        <v>3735</v>
      </c>
    </row>
    <row r="184" spans="1:16" ht="82.05" customHeight="1" x14ac:dyDescent="0.3">
      <c r="A184" s="119" t="s">
        <v>1348</v>
      </c>
      <c r="B184" s="119" t="s">
        <v>18</v>
      </c>
      <c r="C184" s="119" t="s">
        <v>28</v>
      </c>
      <c r="D184" s="119" t="s">
        <v>318</v>
      </c>
      <c r="E184" s="120">
        <v>3544368477</v>
      </c>
      <c r="F184" s="120">
        <v>3544368477</v>
      </c>
      <c r="G184" s="120" t="s">
        <v>1109</v>
      </c>
      <c r="H184" s="120">
        <f t="shared" si="4"/>
        <v>3544.368477</v>
      </c>
      <c r="I184" s="120">
        <f>KOHC!G59</f>
        <v>3544.368477</v>
      </c>
      <c r="J184" s="120">
        <f t="shared" si="5"/>
        <v>0</v>
      </c>
      <c r="K184" s="119" t="s">
        <v>1123</v>
      </c>
      <c r="L184" s="119">
        <v>68</v>
      </c>
      <c r="M184" s="119" t="s">
        <v>1106</v>
      </c>
      <c r="N184" s="122" t="s">
        <v>3564</v>
      </c>
      <c r="O184" s="122" t="s">
        <v>3565</v>
      </c>
      <c r="P184" s="122" t="s">
        <v>3736</v>
      </c>
    </row>
    <row r="185" spans="1:16" ht="82.05" customHeight="1" x14ac:dyDescent="0.3">
      <c r="A185" s="50" t="s">
        <v>1349</v>
      </c>
      <c r="B185" s="50" t="s">
        <v>18</v>
      </c>
      <c r="C185" s="50" t="s">
        <v>29</v>
      </c>
      <c r="D185" s="50" t="s">
        <v>318</v>
      </c>
      <c r="E185" s="121">
        <v>2924142407</v>
      </c>
      <c r="F185" s="121">
        <v>2924142407</v>
      </c>
      <c r="G185" s="121" t="s">
        <v>1109</v>
      </c>
      <c r="H185" s="121">
        <f t="shared" si="4"/>
        <v>2924.1424069999998</v>
      </c>
      <c r="I185" s="121">
        <f>KOHC!H59</f>
        <v>2924.1424069999998</v>
      </c>
      <c r="J185" s="121">
        <f t="shared" si="5"/>
        <v>0</v>
      </c>
      <c r="K185" s="50" t="s">
        <v>1123</v>
      </c>
      <c r="L185" s="50">
        <v>68</v>
      </c>
      <c r="M185" s="50" t="s">
        <v>1127</v>
      </c>
      <c r="N185" s="68" t="s">
        <v>3564</v>
      </c>
      <c r="O185" s="68" t="s">
        <v>3565</v>
      </c>
      <c r="P185" s="68" t="s">
        <v>3737</v>
      </c>
    </row>
    <row r="186" spans="1:16" ht="82.05" customHeight="1" x14ac:dyDescent="0.3">
      <c r="A186" s="119" t="s">
        <v>1350</v>
      </c>
      <c r="B186" s="119" t="s">
        <v>18</v>
      </c>
      <c r="C186" s="119" t="s">
        <v>965</v>
      </c>
      <c r="D186" s="119" t="s">
        <v>320</v>
      </c>
      <c r="E186" s="120">
        <v>0</v>
      </c>
      <c r="F186" s="120">
        <v>0</v>
      </c>
      <c r="G186" s="120" t="s">
        <v>1109</v>
      </c>
      <c r="H186" s="120">
        <f t="shared" si="4"/>
        <v>0</v>
      </c>
      <c r="I186" s="120">
        <f>KOHC!C60</f>
        <v>0</v>
      </c>
      <c r="J186" s="120">
        <f t="shared" si="5"/>
        <v>0</v>
      </c>
      <c r="K186" s="119" t="s">
        <v>1104</v>
      </c>
      <c r="L186" s="119">
        <v>44</v>
      </c>
      <c r="M186" s="119" t="s">
        <v>1106</v>
      </c>
      <c r="N186" s="122" t="s">
        <v>3578</v>
      </c>
      <c r="O186" s="122" t="s">
        <v>3579</v>
      </c>
      <c r="P186" s="122" t="s">
        <v>3738</v>
      </c>
    </row>
    <row r="187" spans="1:16" ht="82.05" customHeight="1" x14ac:dyDescent="0.3">
      <c r="A187" s="50" t="s">
        <v>1351</v>
      </c>
      <c r="B187" s="50" t="s">
        <v>18</v>
      </c>
      <c r="C187" s="50" t="s">
        <v>20</v>
      </c>
      <c r="D187" s="50" t="s">
        <v>320</v>
      </c>
      <c r="E187" s="121">
        <v>0</v>
      </c>
      <c r="F187" s="121">
        <v>0</v>
      </c>
      <c r="G187" s="121" t="s">
        <v>1109</v>
      </c>
      <c r="H187" s="121">
        <f t="shared" si="4"/>
        <v>0</v>
      </c>
      <c r="I187" s="121">
        <f>KOHC!D60</f>
        <v>0</v>
      </c>
      <c r="J187" s="121">
        <f t="shared" si="5"/>
        <v>0</v>
      </c>
      <c r="K187" s="50" t="s">
        <v>1112</v>
      </c>
      <c r="L187" s="50">
        <v>52</v>
      </c>
      <c r="M187" s="50" t="s">
        <v>1106</v>
      </c>
      <c r="N187" s="68" t="s">
        <v>3578</v>
      </c>
      <c r="O187" s="68" t="s">
        <v>3579</v>
      </c>
      <c r="P187" s="68" t="s">
        <v>3739</v>
      </c>
    </row>
    <row r="188" spans="1:16" ht="82.05" customHeight="1" x14ac:dyDescent="0.3">
      <c r="A188" s="119" t="s">
        <v>1352</v>
      </c>
      <c r="B188" s="119" t="s">
        <v>18</v>
      </c>
      <c r="C188" s="119" t="s">
        <v>26</v>
      </c>
      <c r="D188" s="119" t="s">
        <v>320</v>
      </c>
      <c r="E188" s="120">
        <v>0</v>
      </c>
      <c r="F188" s="120">
        <v>0</v>
      </c>
      <c r="G188" s="120" t="s">
        <v>1109</v>
      </c>
      <c r="H188" s="120">
        <f t="shared" si="4"/>
        <v>0</v>
      </c>
      <c r="I188" s="120">
        <f>KOHC!E60</f>
        <v>0</v>
      </c>
      <c r="J188" s="120">
        <f t="shared" si="5"/>
        <v>0</v>
      </c>
      <c r="K188" s="119" t="s">
        <v>1116</v>
      </c>
      <c r="L188" s="119">
        <v>52</v>
      </c>
      <c r="M188" s="119" t="s">
        <v>1106</v>
      </c>
      <c r="N188" s="122" t="s">
        <v>3578</v>
      </c>
      <c r="O188" s="122" t="s">
        <v>3579</v>
      </c>
      <c r="P188" s="122" t="s">
        <v>3740</v>
      </c>
    </row>
    <row r="189" spans="1:16" ht="82.05" customHeight="1" x14ac:dyDescent="0.3">
      <c r="A189" s="50" t="s">
        <v>1353</v>
      </c>
      <c r="B189" s="50" t="s">
        <v>18</v>
      </c>
      <c r="C189" s="50" t="s">
        <v>27</v>
      </c>
      <c r="D189" s="50" t="s">
        <v>320</v>
      </c>
      <c r="E189" s="121">
        <v>0</v>
      </c>
      <c r="F189" s="121">
        <v>0</v>
      </c>
      <c r="G189" s="121" t="s">
        <v>1109</v>
      </c>
      <c r="H189" s="121">
        <f t="shared" si="4"/>
        <v>0</v>
      </c>
      <c r="I189" s="121">
        <f>KOHC!F60</f>
        <v>0</v>
      </c>
      <c r="J189" s="121">
        <f t="shared" si="5"/>
        <v>0</v>
      </c>
      <c r="K189" s="50" t="s">
        <v>1119</v>
      </c>
      <c r="L189" s="50">
        <v>58</v>
      </c>
      <c r="M189" s="50" t="s">
        <v>1106</v>
      </c>
      <c r="N189" s="68" t="s">
        <v>3578</v>
      </c>
      <c r="O189" s="68" t="s">
        <v>3579</v>
      </c>
      <c r="P189" s="68" t="s">
        <v>3741</v>
      </c>
    </row>
    <row r="190" spans="1:16" ht="82.05" customHeight="1" x14ac:dyDescent="0.3">
      <c r="A190" s="119" t="s">
        <v>1354</v>
      </c>
      <c r="B190" s="119" t="s">
        <v>18</v>
      </c>
      <c r="C190" s="119" t="s">
        <v>28</v>
      </c>
      <c r="D190" s="119" t="s">
        <v>320</v>
      </c>
      <c r="E190" s="120">
        <v>0</v>
      </c>
      <c r="F190" s="120">
        <v>0</v>
      </c>
      <c r="G190" s="120" t="s">
        <v>1109</v>
      </c>
      <c r="H190" s="120">
        <f t="shared" si="4"/>
        <v>0</v>
      </c>
      <c r="I190" s="120">
        <f>KOHC!G60</f>
        <v>0</v>
      </c>
      <c r="J190" s="120">
        <f t="shared" si="5"/>
        <v>0</v>
      </c>
      <c r="K190" s="119" t="s">
        <v>1123</v>
      </c>
      <c r="L190" s="119">
        <v>68</v>
      </c>
      <c r="M190" s="119" t="s">
        <v>1106</v>
      </c>
      <c r="N190" s="122" t="s">
        <v>3578</v>
      </c>
      <c r="O190" s="122" t="s">
        <v>3579</v>
      </c>
      <c r="P190" s="122" t="s">
        <v>3742</v>
      </c>
    </row>
    <row r="191" spans="1:16" ht="82.05" customHeight="1" x14ac:dyDescent="0.3">
      <c r="A191" s="50" t="s">
        <v>1355</v>
      </c>
      <c r="B191" s="50" t="s">
        <v>18</v>
      </c>
      <c r="C191" s="50" t="s">
        <v>29</v>
      </c>
      <c r="D191" s="50" t="s">
        <v>320</v>
      </c>
      <c r="E191" s="121">
        <v>0</v>
      </c>
      <c r="F191" s="121">
        <v>0</v>
      </c>
      <c r="G191" s="121" t="s">
        <v>1109</v>
      </c>
      <c r="H191" s="121">
        <f t="shared" si="4"/>
        <v>0</v>
      </c>
      <c r="I191" s="121">
        <f>KOHC!H60</f>
        <v>0</v>
      </c>
      <c r="J191" s="121">
        <f t="shared" si="5"/>
        <v>0</v>
      </c>
      <c r="K191" s="50" t="s">
        <v>1123</v>
      </c>
      <c r="L191" s="50">
        <v>68</v>
      </c>
      <c r="M191" s="50" t="s">
        <v>1127</v>
      </c>
      <c r="N191" s="68" t="s">
        <v>3578</v>
      </c>
      <c r="O191" s="68" t="s">
        <v>3579</v>
      </c>
      <c r="P191" s="68" t="s">
        <v>3742</v>
      </c>
    </row>
    <row r="192" spans="1:16" ht="82.05" customHeight="1" x14ac:dyDescent="0.3">
      <c r="A192" s="119" t="s">
        <v>1356</v>
      </c>
      <c r="B192" s="119" t="s">
        <v>18</v>
      </c>
      <c r="C192" s="119" t="s">
        <v>965</v>
      </c>
      <c r="D192" s="119" t="s">
        <v>345</v>
      </c>
      <c r="E192" s="120">
        <v>31756667306</v>
      </c>
      <c r="F192" s="120">
        <v>31756667306</v>
      </c>
      <c r="G192" s="120" t="s">
        <v>1109</v>
      </c>
      <c r="H192" s="120">
        <f t="shared" si="4"/>
        <v>31756.667305999999</v>
      </c>
      <c r="I192" s="120">
        <f>KOHC!C75</f>
        <v>31756.667305999999</v>
      </c>
      <c r="J192" s="120">
        <f t="shared" si="5"/>
        <v>0</v>
      </c>
      <c r="K192" s="119" t="s">
        <v>1104</v>
      </c>
      <c r="L192" s="119">
        <v>45</v>
      </c>
      <c r="M192" s="119" t="s">
        <v>1106</v>
      </c>
      <c r="N192" s="122" t="s">
        <v>3564</v>
      </c>
      <c r="O192" s="122" t="s">
        <v>3565</v>
      </c>
      <c r="P192" s="122" t="s">
        <v>3743</v>
      </c>
    </row>
    <row r="193" spans="1:16" ht="82.05" customHeight="1" x14ac:dyDescent="0.3">
      <c r="A193" s="50" t="s">
        <v>1357</v>
      </c>
      <c r="B193" s="50" t="s">
        <v>18</v>
      </c>
      <c r="C193" s="50" t="s">
        <v>20</v>
      </c>
      <c r="D193" s="50" t="s">
        <v>345</v>
      </c>
      <c r="E193" s="121">
        <v>36086921437</v>
      </c>
      <c r="F193" s="121">
        <v>36086921437</v>
      </c>
      <c r="G193" s="121" t="s">
        <v>1109</v>
      </c>
      <c r="H193" s="121">
        <f t="shared" si="4"/>
        <v>36086.921436999997</v>
      </c>
      <c r="I193" s="121">
        <f>KOHC!D75</f>
        <v>36086.921436999997</v>
      </c>
      <c r="J193" s="121">
        <f t="shared" si="5"/>
        <v>0</v>
      </c>
      <c r="K193" s="50" t="s">
        <v>1112</v>
      </c>
      <c r="L193" s="50">
        <v>53</v>
      </c>
      <c r="M193" s="50" t="s">
        <v>1106</v>
      </c>
      <c r="N193" s="68" t="s">
        <v>3564</v>
      </c>
      <c r="O193" s="68" t="s">
        <v>3565</v>
      </c>
      <c r="P193" s="68" t="s">
        <v>3744</v>
      </c>
    </row>
    <row r="194" spans="1:16" ht="82.05" customHeight="1" x14ac:dyDescent="0.3">
      <c r="A194" s="119" t="s">
        <v>1358</v>
      </c>
      <c r="B194" s="119" t="s">
        <v>18</v>
      </c>
      <c r="C194" s="119" t="s">
        <v>26</v>
      </c>
      <c r="D194" s="119" t="s">
        <v>345</v>
      </c>
      <c r="E194" s="120">
        <v>43350667844</v>
      </c>
      <c r="F194" s="120">
        <v>43350667844</v>
      </c>
      <c r="G194" s="120" t="s">
        <v>1109</v>
      </c>
      <c r="H194" s="120">
        <f t="shared" si="4"/>
        <v>43350.667844000003</v>
      </c>
      <c r="I194" s="120">
        <f>KOHC!E75</f>
        <v>43350.667844000003</v>
      </c>
      <c r="J194" s="120">
        <f t="shared" si="5"/>
        <v>0</v>
      </c>
      <c r="K194" s="119" t="s">
        <v>1116</v>
      </c>
      <c r="L194" s="119">
        <v>53</v>
      </c>
      <c r="M194" s="119" t="s">
        <v>1106</v>
      </c>
      <c r="N194" s="122" t="s">
        <v>3564</v>
      </c>
      <c r="O194" s="122" t="s">
        <v>3565</v>
      </c>
      <c r="P194" s="122" t="s">
        <v>3745</v>
      </c>
    </row>
    <row r="195" spans="1:16" ht="82.05" customHeight="1" x14ac:dyDescent="0.3">
      <c r="A195" s="50" t="s">
        <v>1359</v>
      </c>
      <c r="B195" s="50" t="s">
        <v>18</v>
      </c>
      <c r="C195" s="50" t="s">
        <v>27</v>
      </c>
      <c r="D195" s="50" t="s">
        <v>345</v>
      </c>
      <c r="E195" s="121">
        <v>49530075545</v>
      </c>
      <c r="F195" s="121">
        <v>49530075545</v>
      </c>
      <c r="G195" s="121" t="s">
        <v>1109</v>
      </c>
      <c r="H195" s="121">
        <f t="shared" si="4"/>
        <v>49530.075545</v>
      </c>
      <c r="I195" s="121">
        <f>KOHC!F75</f>
        <v>49530.075545</v>
      </c>
      <c r="J195" s="121">
        <f t="shared" si="5"/>
        <v>0</v>
      </c>
      <c r="K195" s="50" t="s">
        <v>1119</v>
      </c>
      <c r="L195" s="50">
        <v>59</v>
      </c>
      <c r="M195" s="50" t="s">
        <v>1106</v>
      </c>
      <c r="N195" s="68" t="s">
        <v>3564</v>
      </c>
      <c r="O195" s="68" t="s">
        <v>3565</v>
      </c>
      <c r="P195" s="68" t="s">
        <v>3746</v>
      </c>
    </row>
    <row r="196" spans="1:16" ht="82.05" customHeight="1" x14ac:dyDescent="0.3">
      <c r="A196" s="119" t="s">
        <v>1360</v>
      </c>
      <c r="B196" s="119" t="s">
        <v>18</v>
      </c>
      <c r="C196" s="119" t="s">
        <v>28</v>
      </c>
      <c r="D196" s="119" t="s">
        <v>345</v>
      </c>
      <c r="E196" s="120">
        <v>58843295197</v>
      </c>
      <c r="F196" s="120">
        <v>58843295197</v>
      </c>
      <c r="G196" s="120" t="s">
        <v>1109</v>
      </c>
      <c r="H196" s="120">
        <f t="shared" si="4"/>
        <v>58843.295196999999</v>
      </c>
      <c r="I196" s="120">
        <f>KOHC!G75</f>
        <v>58843.295196999999</v>
      </c>
      <c r="J196" s="120">
        <f t="shared" si="5"/>
        <v>0</v>
      </c>
      <c r="K196" s="119" t="s">
        <v>1123</v>
      </c>
      <c r="L196" s="119">
        <v>69</v>
      </c>
      <c r="M196" s="119" t="s">
        <v>1106</v>
      </c>
      <c r="N196" s="122" t="s">
        <v>3564</v>
      </c>
      <c r="O196" s="122" t="s">
        <v>3565</v>
      </c>
      <c r="P196" s="122" t="s">
        <v>3747</v>
      </c>
    </row>
    <row r="197" spans="1:16" ht="82.05" customHeight="1" x14ac:dyDescent="0.3">
      <c r="A197" s="50" t="s">
        <v>1361</v>
      </c>
      <c r="B197" s="50" t="s">
        <v>18</v>
      </c>
      <c r="C197" s="50" t="s">
        <v>29</v>
      </c>
      <c r="D197" s="50" t="s">
        <v>345</v>
      </c>
      <c r="E197" s="121">
        <v>66794311768</v>
      </c>
      <c r="F197" s="121">
        <v>66794311768</v>
      </c>
      <c r="G197" s="121" t="s">
        <v>1109</v>
      </c>
      <c r="H197" s="121">
        <f t="shared" si="4"/>
        <v>66794.311768</v>
      </c>
      <c r="I197" s="121">
        <f>KOHC!H75</f>
        <v>66794.311768</v>
      </c>
      <c r="J197" s="121">
        <f t="shared" si="5"/>
        <v>0</v>
      </c>
      <c r="K197" s="50" t="s">
        <v>1123</v>
      </c>
      <c r="L197" s="50">
        <v>69</v>
      </c>
      <c r="M197" s="50" t="s">
        <v>1127</v>
      </c>
      <c r="N197" s="68" t="s">
        <v>3564</v>
      </c>
      <c r="O197" s="68" t="s">
        <v>3565</v>
      </c>
      <c r="P197" s="68" t="s">
        <v>3748</v>
      </c>
    </row>
    <row r="198" spans="1:16" ht="82.05" customHeight="1" x14ac:dyDescent="0.3">
      <c r="A198" s="119" t="s">
        <v>1362</v>
      </c>
      <c r="B198" s="119" t="s">
        <v>18</v>
      </c>
      <c r="C198" s="119" t="s">
        <v>965</v>
      </c>
      <c r="D198" s="119" t="s">
        <v>347</v>
      </c>
      <c r="E198" s="120">
        <v>18726673324</v>
      </c>
      <c r="F198" s="120">
        <v>18726673324</v>
      </c>
      <c r="G198" s="120" t="s">
        <v>1109</v>
      </c>
      <c r="H198" s="120">
        <f t="shared" ref="H198:H261" si="6">F198/1000000</f>
        <v>18726.673323999999</v>
      </c>
      <c r="I198" s="120">
        <f>KOHC!C76</f>
        <v>18726.673323999999</v>
      </c>
      <c r="J198" s="120">
        <f t="shared" ref="J198:J261" si="7">H198-I198</f>
        <v>0</v>
      </c>
      <c r="K198" s="119" t="s">
        <v>1104</v>
      </c>
      <c r="L198" s="119">
        <v>44</v>
      </c>
      <c r="M198" s="119" t="s">
        <v>1106</v>
      </c>
      <c r="N198" s="122" t="s">
        <v>3564</v>
      </c>
      <c r="O198" s="122" t="s">
        <v>3565</v>
      </c>
      <c r="P198" s="122" t="s">
        <v>3749</v>
      </c>
    </row>
    <row r="199" spans="1:16" ht="82.05" customHeight="1" x14ac:dyDescent="0.3">
      <c r="A199" s="50" t="s">
        <v>1363</v>
      </c>
      <c r="B199" s="50" t="s">
        <v>18</v>
      </c>
      <c r="C199" s="50" t="s">
        <v>20</v>
      </c>
      <c r="D199" s="50" t="s">
        <v>347</v>
      </c>
      <c r="E199" s="121">
        <v>22223539371</v>
      </c>
      <c r="F199" s="121">
        <v>22223539371</v>
      </c>
      <c r="G199" s="121" t="s">
        <v>1109</v>
      </c>
      <c r="H199" s="121">
        <f t="shared" si="6"/>
        <v>22223.539370999999</v>
      </c>
      <c r="I199" s="121">
        <f>KOHC!D76</f>
        <v>22223.539370999999</v>
      </c>
      <c r="J199" s="121">
        <f t="shared" si="7"/>
        <v>0</v>
      </c>
      <c r="K199" s="50" t="s">
        <v>1112</v>
      </c>
      <c r="L199" s="50">
        <v>52</v>
      </c>
      <c r="M199" s="50" t="s">
        <v>1106</v>
      </c>
      <c r="N199" s="68" t="s">
        <v>3564</v>
      </c>
      <c r="O199" s="68" t="s">
        <v>3565</v>
      </c>
      <c r="P199" s="68" t="s">
        <v>3750</v>
      </c>
    </row>
    <row r="200" spans="1:16" ht="82.05" customHeight="1" x14ac:dyDescent="0.3">
      <c r="A200" s="119" t="s">
        <v>1364</v>
      </c>
      <c r="B200" s="119" t="s">
        <v>18</v>
      </c>
      <c r="C200" s="119" t="s">
        <v>26</v>
      </c>
      <c r="D200" s="119" t="s">
        <v>347</v>
      </c>
      <c r="E200" s="120">
        <v>27246220231</v>
      </c>
      <c r="F200" s="120">
        <v>27246220231</v>
      </c>
      <c r="G200" s="120" t="s">
        <v>1109</v>
      </c>
      <c r="H200" s="120">
        <f t="shared" si="6"/>
        <v>27246.220230999999</v>
      </c>
      <c r="I200" s="120">
        <f>KOHC!E76</f>
        <v>27246.220230999999</v>
      </c>
      <c r="J200" s="120">
        <f t="shared" si="7"/>
        <v>0</v>
      </c>
      <c r="K200" s="119" t="s">
        <v>1116</v>
      </c>
      <c r="L200" s="119">
        <v>52</v>
      </c>
      <c r="M200" s="119" t="s">
        <v>1106</v>
      </c>
      <c r="N200" s="122" t="s">
        <v>3564</v>
      </c>
      <c r="O200" s="122" t="s">
        <v>3565</v>
      </c>
      <c r="P200" s="122" t="s">
        <v>3751</v>
      </c>
    </row>
    <row r="201" spans="1:16" ht="82.05" customHeight="1" x14ac:dyDescent="0.3">
      <c r="A201" s="50" t="s">
        <v>1365</v>
      </c>
      <c r="B201" s="50" t="s">
        <v>18</v>
      </c>
      <c r="C201" s="50" t="s">
        <v>27</v>
      </c>
      <c r="D201" s="50" t="s">
        <v>347</v>
      </c>
      <c r="E201" s="121">
        <v>32610044972</v>
      </c>
      <c r="F201" s="121">
        <v>32610044972</v>
      </c>
      <c r="G201" s="121" t="s">
        <v>1109</v>
      </c>
      <c r="H201" s="121">
        <f t="shared" si="6"/>
        <v>32610.044972</v>
      </c>
      <c r="I201" s="121">
        <f>KOHC!F76</f>
        <v>32610.044972</v>
      </c>
      <c r="J201" s="121">
        <f t="shared" si="7"/>
        <v>0</v>
      </c>
      <c r="K201" s="50" t="s">
        <v>1119</v>
      </c>
      <c r="L201" s="50">
        <v>58</v>
      </c>
      <c r="M201" s="50" t="s">
        <v>1106</v>
      </c>
      <c r="N201" s="68" t="s">
        <v>3564</v>
      </c>
      <c r="O201" s="68" t="s">
        <v>3565</v>
      </c>
      <c r="P201" s="68" t="s">
        <v>3752</v>
      </c>
    </row>
    <row r="202" spans="1:16" ht="82.05" customHeight="1" x14ac:dyDescent="0.3">
      <c r="A202" s="119" t="s">
        <v>1366</v>
      </c>
      <c r="B202" s="119" t="s">
        <v>18</v>
      </c>
      <c r="C202" s="119" t="s">
        <v>28</v>
      </c>
      <c r="D202" s="119" t="s">
        <v>347</v>
      </c>
      <c r="E202" s="120">
        <v>41090305291</v>
      </c>
      <c r="F202" s="120">
        <v>41090305291</v>
      </c>
      <c r="G202" s="120" t="s">
        <v>1109</v>
      </c>
      <c r="H202" s="120">
        <f t="shared" si="6"/>
        <v>41090.305290999997</v>
      </c>
      <c r="I202" s="120">
        <f>KOHC!G76</f>
        <v>41090.305290999997</v>
      </c>
      <c r="J202" s="120">
        <f t="shared" si="7"/>
        <v>0</v>
      </c>
      <c r="K202" s="119" t="s">
        <v>1123</v>
      </c>
      <c r="L202" s="119">
        <v>68</v>
      </c>
      <c r="M202" s="119" t="s">
        <v>1106</v>
      </c>
      <c r="N202" s="122" t="s">
        <v>3564</v>
      </c>
      <c r="O202" s="122" t="s">
        <v>3565</v>
      </c>
      <c r="P202" s="122" t="s">
        <v>3753</v>
      </c>
    </row>
    <row r="203" spans="1:16" ht="82.05" customHeight="1" x14ac:dyDescent="0.3">
      <c r="A203" s="50" t="s">
        <v>1367</v>
      </c>
      <c r="B203" s="50" t="s">
        <v>18</v>
      </c>
      <c r="C203" s="50" t="s">
        <v>29</v>
      </c>
      <c r="D203" s="50" t="s">
        <v>347</v>
      </c>
      <c r="E203" s="121">
        <v>47955194787</v>
      </c>
      <c r="F203" s="121">
        <v>47955194787</v>
      </c>
      <c r="G203" s="121" t="s">
        <v>1109</v>
      </c>
      <c r="H203" s="121">
        <f t="shared" si="6"/>
        <v>47955.194787</v>
      </c>
      <c r="I203" s="121">
        <f>KOHC!H76</f>
        <v>47955.194787</v>
      </c>
      <c r="J203" s="121">
        <f t="shared" si="7"/>
        <v>0</v>
      </c>
      <c r="K203" s="50" t="s">
        <v>1123</v>
      </c>
      <c r="L203" s="50">
        <v>68</v>
      </c>
      <c r="M203" s="50" t="s">
        <v>1127</v>
      </c>
      <c r="N203" s="68" t="s">
        <v>3564</v>
      </c>
      <c r="O203" s="68" t="s">
        <v>3565</v>
      </c>
      <c r="P203" s="68" t="s">
        <v>3754</v>
      </c>
    </row>
    <row r="204" spans="1:16" ht="82.05" customHeight="1" x14ac:dyDescent="0.3">
      <c r="A204" s="119" t="s">
        <v>1368</v>
      </c>
      <c r="B204" s="119" t="s">
        <v>18</v>
      </c>
      <c r="C204" s="119" t="s">
        <v>965</v>
      </c>
      <c r="D204" s="119" t="s">
        <v>349</v>
      </c>
      <c r="E204" s="120">
        <v>5237623778</v>
      </c>
      <c r="F204" s="120">
        <v>5237623778</v>
      </c>
      <c r="G204" s="120" t="s">
        <v>1109</v>
      </c>
      <c r="H204" s="120">
        <f t="shared" si="6"/>
        <v>5237.6237780000001</v>
      </c>
      <c r="I204" s="120">
        <f>KOHC!C77</f>
        <v>5237.6237780000001</v>
      </c>
      <c r="J204" s="120">
        <f t="shared" si="7"/>
        <v>0</v>
      </c>
      <c r="K204" s="119" t="s">
        <v>1104</v>
      </c>
      <c r="L204" s="119">
        <v>45</v>
      </c>
      <c r="M204" s="119" t="s">
        <v>1106</v>
      </c>
      <c r="N204" s="122" t="s">
        <v>3564</v>
      </c>
      <c r="O204" s="122" t="s">
        <v>3565</v>
      </c>
      <c r="P204" s="122" t="s">
        <v>3755</v>
      </c>
    </row>
    <row r="205" spans="1:16" ht="82.05" customHeight="1" x14ac:dyDescent="0.3">
      <c r="A205" s="50" t="s">
        <v>1369</v>
      </c>
      <c r="B205" s="50" t="s">
        <v>18</v>
      </c>
      <c r="C205" s="50" t="s">
        <v>20</v>
      </c>
      <c r="D205" s="50" t="s">
        <v>349</v>
      </c>
      <c r="E205" s="121">
        <v>9848798714</v>
      </c>
      <c r="F205" s="121">
        <v>9848798714</v>
      </c>
      <c r="G205" s="121" t="s">
        <v>1109</v>
      </c>
      <c r="H205" s="121">
        <f t="shared" si="6"/>
        <v>9848.7987140000005</v>
      </c>
      <c r="I205" s="121">
        <f>KOHC!D77</f>
        <v>9848.7987140000005</v>
      </c>
      <c r="J205" s="121">
        <f t="shared" si="7"/>
        <v>0</v>
      </c>
      <c r="K205" s="50" t="s">
        <v>1112</v>
      </c>
      <c r="L205" s="50">
        <v>53</v>
      </c>
      <c r="M205" s="50" t="s">
        <v>1106</v>
      </c>
      <c r="N205" s="68" t="s">
        <v>3564</v>
      </c>
      <c r="O205" s="68" t="s">
        <v>3565</v>
      </c>
      <c r="P205" s="68" t="s">
        <v>3756</v>
      </c>
    </row>
    <row r="206" spans="1:16" ht="82.05" customHeight="1" x14ac:dyDescent="0.3">
      <c r="A206" s="119" t="s">
        <v>1370</v>
      </c>
      <c r="B206" s="119" t="s">
        <v>18</v>
      </c>
      <c r="C206" s="119" t="s">
        <v>26</v>
      </c>
      <c r="D206" s="119" t="s">
        <v>349</v>
      </c>
      <c r="E206" s="120">
        <v>17775831447</v>
      </c>
      <c r="F206" s="120">
        <v>17775831447</v>
      </c>
      <c r="G206" s="120" t="s">
        <v>1109</v>
      </c>
      <c r="H206" s="120">
        <f t="shared" si="6"/>
        <v>17775.831447</v>
      </c>
      <c r="I206" s="120">
        <f>KOHC!E77</f>
        <v>17775.831447</v>
      </c>
      <c r="J206" s="120">
        <f t="shared" si="7"/>
        <v>0</v>
      </c>
      <c r="K206" s="119" t="s">
        <v>1116</v>
      </c>
      <c r="L206" s="119">
        <v>53</v>
      </c>
      <c r="M206" s="119" t="s">
        <v>1106</v>
      </c>
      <c r="N206" s="122" t="s">
        <v>3564</v>
      </c>
      <c r="O206" s="122" t="s">
        <v>3565</v>
      </c>
      <c r="P206" s="122" t="s">
        <v>3757</v>
      </c>
    </row>
    <row r="207" spans="1:16" ht="82.05" customHeight="1" x14ac:dyDescent="0.3">
      <c r="A207" s="50" t="s">
        <v>1371</v>
      </c>
      <c r="B207" s="50" t="s">
        <v>18</v>
      </c>
      <c r="C207" s="50" t="s">
        <v>27</v>
      </c>
      <c r="D207" s="50" t="s">
        <v>349</v>
      </c>
      <c r="E207" s="121">
        <v>22913376649</v>
      </c>
      <c r="F207" s="121">
        <v>22913376649</v>
      </c>
      <c r="G207" s="121" t="s">
        <v>1109</v>
      </c>
      <c r="H207" s="121">
        <f t="shared" si="6"/>
        <v>22913.376649000002</v>
      </c>
      <c r="I207" s="121">
        <f>KOHC!F77</f>
        <v>22913.376649000002</v>
      </c>
      <c r="J207" s="121">
        <f t="shared" si="7"/>
        <v>0</v>
      </c>
      <c r="K207" s="50" t="s">
        <v>1119</v>
      </c>
      <c r="L207" s="50">
        <v>59</v>
      </c>
      <c r="M207" s="50" t="s">
        <v>1106</v>
      </c>
      <c r="N207" s="68" t="s">
        <v>3564</v>
      </c>
      <c r="O207" s="68" t="s">
        <v>3565</v>
      </c>
      <c r="P207" s="68" t="s">
        <v>3758</v>
      </c>
    </row>
    <row r="208" spans="1:16" ht="82.05" customHeight="1" x14ac:dyDescent="0.3">
      <c r="A208" s="119" t="s">
        <v>1372</v>
      </c>
      <c r="B208" s="119" t="s">
        <v>18</v>
      </c>
      <c r="C208" s="119" t="s">
        <v>28</v>
      </c>
      <c r="D208" s="119" t="s">
        <v>349</v>
      </c>
      <c r="E208" s="120">
        <v>32212396773</v>
      </c>
      <c r="F208" s="120">
        <v>32212396773</v>
      </c>
      <c r="G208" s="120" t="s">
        <v>1109</v>
      </c>
      <c r="H208" s="120">
        <f t="shared" si="6"/>
        <v>32212.396773</v>
      </c>
      <c r="I208" s="120">
        <f>KOHC!G77</f>
        <v>32212.396773</v>
      </c>
      <c r="J208" s="120">
        <f t="shared" si="7"/>
        <v>0</v>
      </c>
      <c r="K208" s="119" t="s">
        <v>1123</v>
      </c>
      <c r="L208" s="119">
        <v>69</v>
      </c>
      <c r="M208" s="119" t="s">
        <v>1106</v>
      </c>
      <c r="N208" s="122" t="s">
        <v>3564</v>
      </c>
      <c r="O208" s="122" t="s">
        <v>3565</v>
      </c>
      <c r="P208" s="122" t="s">
        <v>3759</v>
      </c>
    </row>
    <row r="209" spans="1:16" ht="82.05" customHeight="1" x14ac:dyDescent="0.3">
      <c r="A209" s="50" t="s">
        <v>1373</v>
      </c>
      <c r="B209" s="50" t="s">
        <v>18</v>
      </c>
      <c r="C209" s="50" t="s">
        <v>29</v>
      </c>
      <c r="D209" s="50" t="s">
        <v>349</v>
      </c>
      <c r="E209" s="121">
        <v>38614792494</v>
      </c>
      <c r="F209" s="121">
        <v>38614792494</v>
      </c>
      <c r="G209" s="121" t="s">
        <v>1109</v>
      </c>
      <c r="H209" s="121">
        <f t="shared" si="6"/>
        <v>38614.792494000001</v>
      </c>
      <c r="I209" s="121">
        <f>KOHC!H77</f>
        <v>38614.792494000001</v>
      </c>
      <c r="J209" s="121">
        <f t="shared" si="7"/>
        <v>0</v>
      </c>
      <c r="K209" s="50" t="s">
        <v>1123</v>
      </c>
      <c r="L209" s="50">
        <v>69</v>
      </c>
      <c r="M209" s="50" t="s">
        <v>1127</v>
      </c>
      <c r="N209" s="68" t="s">
        <v>3564</v>
      </c>
      <c r="O209" s="68" t="s">
        <v>3565</v>
      </c>
      <c r="P209" s="68" t="s">
        <v>3760</v>
      </c>
    </row>
    <row r="210" spans="1:16" ht="82.05" customHeight="1" x14ac:dyDescent="0.3">
      <c r="A210" s="119" t="s">
        <v>1374</v>
      </c>
      <c r="B210" s="119" t="s">
        <v>18</v>
      </c>
      <c r="C210" s="119" t="s">
        <v>965</v>
      </c>
      <c r="D210" s="119" t="s">
        <v>351</v>
      </c>
      <c r="E210" s="120">
        <v>6279548271</v>
      </c>
      <c r="F210" s="120">
        <v>6279548271</v>
      </c>
      <c r="G210" s="120" t="s">
        <v>1109</v>
      </c>
      <c r="H210" s="120">
        <f t="shared" si="6"/>
        <v>6279.5482709999997</v>
      </c>
      <c r="I210" s="120">
        <f>KOHC!C78</f>
        <v>6279.5482709999997</v>
      </c>
      <c r="J210" s="120">
        <f t="shared" si="7"/>
        <v>0</v>
      </c>
      <c r="K210" s="119" t="s">
        <v>1104</v>
      </c>
      <c r="L210" s="119">
        <v>44</v>
      </c>
      <c r="M210" s="119" t="s">
        <v>1106</v>
      </c>
      <c r="N210" s="122" t="s">
        <v>3564</v>
      </c>
      <c r="O210" s="122" t="s">
        <v>3565</v>
      </c>
      <c r="P210" s="122" t="s">
        <v>3761</v>
      </c>
    </row>
    <row r="211" spans="1:16" ht="82.05" customHeight="1" x14ac:dyDescent="0.3">
      <c r="A211" s="50" t="s">
        <v>1375</v>
      </c>
      <c r="B211" s="50" t="s">
        <v>18</v>
      </c>
      <c r="C211" s="50" t="s">
        <v>20</v>
      </c>
      <c r="D211" s="50" t="s">
        <v>351</v>
      </c>
      <c r="E211" s="121">
        <v>7572243940</v>
      </c>
      <c r="F211" s="121">
        <v>7572243940</v>
      </c>
      <c r="G211" s="121" t="s">
        <v>1109</v>
      </c>
      <c r="H211" s="121">
        <f t="shared" si="6"/>
        <v>7572.2439400000003</v>
      </c>
      <c r="I211" s="121">
        <f>KOHC!D78</f>
        <v>7572.2439400000003</v>
      </c>
      <c r="J211" s="121">
        <f t="shared" si="7"/>
        <v>0</v>
      </c>
      <c r="K211" s="50" t="s">
        <v>1112</v>
      </c>
      <c r="L211" s="50">
        <v>52</v>
      </c>
      <c r="M211" s="50" t="s">
        <v>1106</v>
      </c>
      <c r="N211" s="68" t="s">
        <v>3564</v>
      </c>
      <c r="O211" s="68" t="s">
        <v>3565</v>
      </c>
      <c r="P211" s="68" t="s">
        <v>3762</v>
      </c>
    </row>
    <row r="212" spans="1:16" ht="82.05" customHeight="1" x14ac:dyDescent="0.3">
      <c r="A212" s="119" t="s">
        <v>1376</v>
      </c>
      <c r="B212" s="119" t="s">
        <v>18</v>
      </c>
      <c r="C212" s="119" t="s">
        <v>26</v>
      </c>
      <c r="D212" s="119" t="s">
        <v>351</v>
      </c>
      <c r="E212" s="120">
        <v>9487990679</v>
      </c>
      <c r="F212" s="120">
        <v>9487990679</v>
      </c>
      <c r="G212" s="120" t="s">
        <v>1109</v>
      </c>
      <c r="H212" s="120">
        <f t="shared" si="6"/>
        <v>9487.9906790000005</v>
      </c>
      <c r="I212" s="120">
        <f>KOHC!E78</f>
        <v>9487.9906790000005</v>
      </c>
      <c r="J212" s="120">
        <f t="shared" si="7"/>
        <v>0</v>
      </c>
      <c r="K212" s="119" t="s">
        <v>1116</v>
      </c>
      <c r="L212" s="119">
        <v>52</v>
      </c>
      <c r="M212" s="119" t="s">
        <v>1106</v>
      </c>
      <c r="N212" s="122" t="s">
        <v>3564</v>
      </c>
      <c r="O212" s="122" t="s">
        <v>3565</v>
      </c>
      <c r="P212" s="122" t="s">
        <v>3763</v>
      </c>
    </row>
    <row r="213" spans="1:16" ht="82.05" customHeight="1" x14ac:dyDescent="0.3">
      <c r="A213" s="50" t="s">
        <v>1377</v>
      </c>
      <c r="B213" s="50" t="s">
        <v>18</v>
      </c>
      <c r="C213" s="50" t="s">
        <v>27</v>
      </c>
      <c r="D213" s="50" t="s">
        <v>351</v>
      </c>
      <c r="E213" s="121">
        <v>9912471411</v>
      </c>
      <c r="F213" s="121">
        <v>9912471411</v>
      </c>
      <c r="G213" s="121" t="s">
        <v>1109</v>
      </c>
      <c r="H213" s="121">
        <f t="shared" si="6"/>
        <v>9912.4714110000004</v>
      </c>
      <c r="I213" s="121">
        <f>KOHC!F78</f>
        <v>9912.4714110000004</v>
      </c>
      <c r="J213" s="121">
        <f t="shared" si="7"/>
        <v>0</v>
      </c>
      <c r="K213" s="50" t="s">
        <v>1119</v>
      </c>
      <c r="L213" s="50">
        <v>58</v>
      </c>
      <c r="M213" s="50" t="s">
        <v>1106</v>
      </c>
      <c r="N213" s="68" t="s">
        <v>3564</v>
      </c>
      <c r="O213" s="68" t="s">
        <v>3565</v>
      </c>
      <c r="P213" s="68" t="s">
        <v>3764</v>
      </c>
    </row>
    <row r="214" spans="1:16" ht="82.05" customHeight="1" x14ac:dyDescent="0.3">
      <c r="A214" s="119" t="s">
        <v>1378</v>
      </c>
      <c r="B214" s="119" t="s">
        <v>18</v>
      </c>
      <c r="C214" s="119" t="s">
        <v>28</v>
      </c>
      <c r="D214" s="119" t="s">
        <v>351</v>
      </c>
      <c r="E214" s="120">
        <v>11095636231</v>
      </c>
      <c r="F214" s="120">
        <v>11095636231</v>
      </c>
      <c r="G214" s="120" t="s">
        <v>1109</v>
      </c>
      <c r="H214" s="120">
        <f t="shared" si="6"/>
        <v>11095.636231</v>
      </c>
      <c r="I214" s="120">
        <f>KOHC!G78</f>
        <v>11095.636231</v>
      </c>
      <c r="J214" s="120">
        <f t="shared" si="7"/>
        <v>0</v>
      </c>
      <c r="K214" s="119" t="s">
        <v>1123</v>
      </c>
      <c r="L214" s="119">
        <v>68</v>
      </c>
      <c r="M214" s="119" t="s">
        <v>1106</v>
      </c>
      <c r="N214" s="122" t="s">
        <v>3564</v>
      </c>
      <c r="O214" s="122" t="s">
        <v>3565</v>
      </c>
      <c r="P214" s="122" t="s">
        <v>3765</v>
      </c>
    </row>
    <row r="215" spans="1:16" ht="82.05" customHeight="1" x14ac:dyDescent="0.3">
      <c r="A215" s="50" t="s">
        <v>1379</v>
      </c>
      <c r="B215" s="50" t="s">
        <v>18</v>
      </c>
      <c r="C215" s="50" t="s">
        <v>29</v>
      </c>
      <c r="D215" s="50" t="s">
        <v>351</v>
      </c>
      <c r="E215" s="121">
        <v>11661701111</v>
      </c>
      <c r="F215" s="121">
        <v>11661701111</v>
      </c>
      <c r="G215" s="121" t="s">
        <v>1109</v>
      </c>
      <c r="H215" s="121">
        <f t="shared" si="6"/>
        <v>11661.701111</v>
      </c>
      <c r="I215" s="121">
        <f>KOHC!H78</f>
        <v>11661.701111</v>
      </c>
      <c r="J215" s="121">
        <f t="shared" si="7"/>
        <v>0</v>
      </c>
      <c r="K215" s="50" t="s">
        <v>1123</v>
      </c>
      <c r="L215" s="50">
        <v>68</v>
      </c>
      <c r="M215" s="50" t="s">
        <v>1127</v>
      </c>
      <c r="N215" s="68" t="s">
        <v>3564</v>
      </c>
      <c r="O215" s="68" t="s">
        <v>3565</v>
      </c>
      <c r="P215" s="68" t="s">
        <v>3766</v>
      </c>
    </row>
    <row r="216" spans="1:16" ht="82.05" customHeight="1" x14ac:dyDescent="0.3">
      <c r="A216" s="119" t="s">
        <v>1380</v>
      </c>
      <c r="B216" s="119" t="s">
        <v>18</v>
      </c>
      <c r="C216" s="119" t="s">
        <v>20</v>
      </c>
      <c r="D216" s="119" t="s">
        <v>358</v>
      </c>
      <c r="E216" s="120">
        <v>24057375992</v>
      </c>
      <c r="F216" s="120">
        <v>24057375992</v>
      </c>
      <c r="G216" s="120" t="s">
        <v>1109</v>
      </c>
      <c r="H216" s="120">
        <f t="shared" si="6"/>
        <v>24057.375992000001</v>
      </c>
      <c r="I216" s="120">
        <f>KOHC!D84</f>
        <v>24057.375992000001</v>
      </c>
      <c r="J216" s="120">
        <f t="shared" si="7"/>
        <v>0</v>
      </c>
      <c r="K216" s="119" t="s">
        <v>1112</v>
      </c>
      <c r="L216" s="119">
        <v>54</v>
      </c>
      <c r="M216" s="119" t="s">
        <v>1106</v>
      </c>
      <c r="N216" s="122" t="s">
        <v>3564</v>
      </c>
      <c r="O216" s="122" t="s">
        <v>3565</v>
      </c>
      <c r="P216" s="122" t="s">
        <v>3767</v>
      </c>
    </row>
    <row r="217" spans="1:16" ht="82.05" customHeight="1" x14ac:dyDescent="0.3">
      <c r="A217" s="50" t="s">
        <v>1383</v>
      </c>
      <c r="B217" s="50" t="s">
        <v>18</v>
      </c>
      <c r="C217" s="50" t="s">
        <v>26</v>
      </c>
      <c r="D217" s="50" t="s">
        <v>358</v>
      </c>
      <c r="E217" s="121">
        <v>32876949179</v>
      </c>
      <c r="F217" s="121">
        <v>32876949179</v>
      </c>
      <c r="G217" s="121" t="s">
        <v>1109</v>
      </c>
      <c r="H217" s="121">
        <f t="shared" si="6"/>
        <v>32876.949179000003</v>
      </c>
      <c r="I217" s="121">
        <f>KOHC!E84</f>
        <v>32876.949179000003</v>
      </c>
      <c r="J217" s="121">
        <f t="shared" si="7"/>
        <v>0</v>
      </c>
      <c r="K217" s="50" t="s">
        <v>1116</v>
      </c>
      <c r="L217" s="50">
        <v>54</v>
      </c>
      <c r="M217" s="50" t="s">
        <v>1106</v>
      </c>
      <c r="N217" s="68" t="s">
        <v>3564</v>
      </c>
      <c r="O217" s="68" t="s">
        <v>3565</v>
      </c>
      <c r="P217" s="68" t="s">
        <v>3768</v>
      </c>
    </row>
    <row r="218" spans="1:16" ht="82.05" customHeight="1" x14ac:dyDescent="0.3">
      <c r="A218" s="119" t="s">
        <v>1384</v>
      </c>
      <c r="B218" s="119" t="s">
        <v>18</v>
      </c>
      <c r="C218" s="119" t="s">
        <v>27</v>
      </c>
      <c r="D218" s="119" t="s">
        <v>358</v>
      </c>
      <c r="E218" s="120">
        <v>38921635350</v>
      </c>
      <c r="F218" s="120">
        <v>38921635350</v>
      </c>
      <c r="G218" s="120" t="s">
        <v>1109</v>
      </c>
      <c r="H218" s="120">
        <f t="shared" si="6"/>
        <v>38921.635349999997</v>
      </c>
      <c r="I218" s="120">
        <f>KOHC!F84</f>
        <v>38921.635349999997</v>
      </c>
      <c r="J218" s="120">
        <f t="shared" si="7"/>
        <v>0</v>
      </c>
      <c r="K218" s="119" t="s">
        <v>1119</v>
      </c>
      <c r="L218" s="119">
        <v>60</v>
      </c>
      <c r="M218" s="119" t="s">
        <v>1106</v>
      </c>
      <c r="N218" s="122" t="s">
        <v>3564</v>
      </c>
      <c r="O218" s="122" t="s">
        <v>3565</v>
      </c>
      <c r="P218" s="122" t="s">
        <v>3769</v>
      </c>
    </row>
    <row r="219" spans="1:16" ht="82.05" customHeight="1" x14ac:dyDescent="0.3">
      <c r="A219" s="50" t="s">
        <v>1385</v>
      </c>
      <c r="B219" s="50" t="s">
        <v>18</v>
      </c>
      <c r="C219" s="50" t="s">
        <v>28</v>
      </c>
      <c r="D219" s="50" t="s">
        <v>358</v>
      </c>
      <c r="E219" s="121">
        <v>38647767972</v>
      </c>
      <c r="F219" s="121">
        <v>38647767972</v>
      </c>
      <c r="G219" s="121" t="s">
        <v>1109</v>
      </c>
      <c r="H219" s="121">
        <f t="shared" si="6"/>
        <v>38647.767972000001</v>
      </c>
      <c r="I219" s="121">
        <f>KOHC!G84</f>
        <v>38647.767972000001</v>
      </c>
      <c r="J219" s="121">
        <f t="shared" si="7"/>
        <v>0</v>
      </c>
      <c r="K219" s="50" t="s">
        <v>1123</v>
      </c>
      <c r="L219" s="50">
        <v>70</v>
      </c>
      <c r="M219" s="50" t="s">
        <v>1106</v>
      </c>
      <c r="N219" s="68" t="s">
        <v>3564</v>
      </c>
      <c r="O219" s="68" t="s">
        <v>3565</v>
      </c>
      <c r="P219" s="68" t="s">
        <v>3770</v>
      </c>
    </row>
    <row r="220" spans="1:16" ht="82.05" customHeight="1" x14ac:dyDescent="0.3">
      <c r="A220" s="119" t="s">
        <v>1387</v>
      </c>
      <c r="B220" s="119" t="s">
        <v>18</v>
      </c>
      <c r="C220" s="119" t="s">
        <v>29</v>
      </c>
      <c r="D220" s="119" t="s">
        <v>358</v>
      </c>
      <c r="E220" s="120">
        <v>37535700372</v>
      </c>
      <c r="F220" s="120">
        <v>37535700372</v>
      </c>
      <c r="G220" s="120" t="s">
        <v>1109</v>
      </c>
      <c r="H220" s="120">
        <f t="shared" si="6"/>
        <v>37535.700371999999</v>
      </c>
      <c r="I220" s="120">
        <f>KOHC!H84</f>
        <v>37535.700371999999</v>
      </c>
      <c r="J220" s="120">
        <f t="shared" si="7"/>
        <v>0</v>
      </c>
      <c r="K220" s="119" t="s">
        <v>1123</v>
      </c>
      <c r="L220" s="119">
        <v>70</v>
      </c>
      <c r="M220" s="119" t="s">
        <v>1127</v>
      </c>
      <c r="N220" s="122" t="s">
        <v>3564</v>
      </c>
      <c r="O220" s="122" t="s">
        <v>3565</v>
      </c>
      <c r="P220" s="122" t="s">
        <v>3771</v>
      </c>
    </row>
    <row r="221" spans="1:16" ht="82.05" customHeight="1" x14ac:dyDescent="0.3">
      <c r="A221" s="50" t="s">
        <v>1388</v>
      </c>
      <c r="B221" s="50" t="s">
        <v>18</v>
      </c>
      <c r="C221" s="50" t="s">
        <v>20</v>
      </c>
      <c r="D221" s="50" t="s">
        <v>360</v>
      </c>
      <c r="E221" s="121">
        <v>-18092026933</v>
      </c>
      <c r="F221" s="121">
        <v>-18092026933</v>
      </c>
      <c r="G221" s="121" t="s">
        <v>1109</v>
      </c>
      <c r="H221" s="121">
        <f t="shared" si="6"/>
        <v>-18092.026933000001</v>
      </c>
      <c r="I221" s="121">
        <f>KOHC!D85</f>
        <v>-18092.026933000001</v>
      </c>
      <c r="J221" s="121">
        <f t="shared" si="7"/>
        <v>0</v>
      </c>
      <c r="K221" s="50" t="s">
        <v>1112</v>
      </c>
      <c r="L221" s="50">
        <v>54</v>
      </c>
      <c r="M221" s="50" t="s">
        <v>1106</v>
      </c>
      <c r="N221" s="68" t="s">
        <v>3564</v>
      </c>
      <c r="O221" s="68" t="s">
        <v>3565</v>
      </c>
      <c r="P221" s="68" t="s">
        <v>3772</v>
      </c>
    </row>
    <row r="222" spans="1:16" ht="82.05" customHeight="1" x14ac:dyDescent="0.3">
      <c r="A222" s="119" t="s">
        <v>1389</v>
      </c>
      <c r="B222" s="119" t="s">
        <v>18</v>
      </c>
      <c r="C222" s="119" t="s">
        <v>26</v>
      </c>
      <c r="D222" s="119" t="s">
        <v>360</v>
      </c>
      <c r="E222" s="120">
        <v>-23065180670</v>
      </c>
      <c r="F222" s="120">
        <v>-23065180670</v>
      </c>
      <c r="G222" s="120" t="s">
        <v>1109</v>
      </c>
      <c r="H222" s="120">
        <f t="shared" si="6"/>
        <v>-23065.180670000002</v>
      </c>
      <c r="I222" s="120">
        <f>KOHC!E85</f>
        <v>-23065.180670000002</v>
      </c>
      <c r="J222" s="120">
        <f t="shared" si="7"/>
        <v>0</v>
      </c>
      <c r="K222" s="119" t="s">
        <v>1116</v>
      </c>
      <c r="L222" s="119">
        <v>54</v>
      </c>
      <c r="M222" s="119" t="s">
        <v>1106</v>
      </c>
      <c r="N222" s="122" t="s">
        <v>3564</v>
      </c>
      <c r="O222" s="122" t="s">
        <v>3565</v>
      </c>
      <c r="P222" s="122" t="s">
        <v>3773</v>
      </c>
    </row>
    <row r="223" spans="1:16" ht="82.05" customHeight="1" x14ac:dyDescent="0.3">
      <c r="A223" s="50" t="s">
        <v>1390</v>
      </c>
      <c r="B223" s="50" t="s">
        <v>18</v>
      </c>
      <c r="C223" s="50" t="s">
        <v>27</v>
      </c>
      <c r="D223" s="50" t="s">
        <v>360</v>
      </c>
      <c r="E223" s="121">
        <v>-28488941331</v>
      </c>
      <c r="F223" s="121">
        <v>-28488941331</v>
      </c>
      <c r="G223" s="121" t="s">
        <v>1109</v>
      </c>
      <c r="H223" s="121">
        <f t="shared" si="6"/>
        <v>-28488.941331000002</v>
      </c>
      <c r="I223" s="121">
        <f>KOHC!F85</f>
        <v>-28488.941331000002</v>
      </c>
      <c r="J223" s="121">
        <f t="shared" si="7"/>
        <v>0</v>
      </c>
      <c r="K223" s="50" t="s">
        <v>1119</v>
      </c>
      <c r="L223" s="50">
        <v>60</v>
      </c>
      <c r="M223" s="50" t="s">
        <v>1106</v>
      </c>
      <c r="N223" s="68" t="s">
        <v>3564</v>
      </c>
      <c r="O223" s="68" t="s">
        <v>3565</v>
      </c>
      <c r="P223" s="68" t="s">
        <v>3774</v>
      </c>
    </row>
    <row r="224" spans="1:16" ht="82.05" customHeight="1" x14ac:dyDescent="0.3">
      <c r="A224" s="119" t="s">
        <v>1391</v>
      </c>
      <c r="B224" s="119" t="s">
        <v>18</v>
      </c>
      <c r="C224" s="119" t="s">
        <v>28</v>
      </c>
      <c r="D224" s="119" t="s">
        <v>360</v>
      </c>
      <c r="E224" s="120">
        <v>-27391276477</v>
      </c>
      <c r="F224" s="120">
        <v>-27391276477</v>
      </c>
      <c r="G224" s="120" t="s">
        <v>1109</v>
      </c>
      <c r="H224" s="120">
        <f t="shared" si="6"/>
        <v>-27391.276476999999</v>
      </c>
      <c r="I224" s="120">
        <f>KOHC!G85</f>
        <v>-27391.276476999999</v>
      </c>
      <c r="J224" s="120">
        <f t="shared" si="7"/>
        <v>0</v>
      </c>
      <c r="K224" s="119" t="s">
        <v>1123</v>
      </c>
      <c r="L224" s="119">
        <v>70</v>
      </c>
      <c r="M224" s="119" t="s">
        <v>1106</v>
      </c>
      <c r="N224" s="122" t="s">
        <v>3564</v>
      </c>
      <c r="O224" s="122" t="s">
        <v>3565</v>
      </c>
      <c r="P224" s="122" t="s">
        <v>3775</v>
      </c>
    </row>
    <row r="225" spans="1:16" ht="82.05" customHeight="1" x14ac:dyDescent="0.3">
      <c r="A225" s="50" t="s">
        <v>1392</v>
      </c>
      <c r="B225" s="50" t="s">
        <v>18</v>
      </c>
      <c r="C225" s="50" t="s">
        <v>29</v>
      </c>
      <c r="D225" s="50" t="s">
        <v>360</v>
      </c>
      <c r="E225" s="121">
        <v>-22814094271</v>
      </c>
      <c r="F225" s="121">
        <v>-22814094271</v>
      </c>
      <c r="G225" s="121" t="s">
        <v>1109</v>
      </c>
      <c r="H225" s="121">
        <f t="shared" si="6"/>
        <v>-22814.094271000002</v>
      </c>
      <c r="I225" s="121">
        <f>KOHC!H85</f>
        <v>-22814.094271000002</v>
      </c>
      <c r="J225" s="121">
        <f t="shared" si="7"/>
        <v>0</v>
      </c>
      <c r="K225" s="50" t="s">
        <v>1123</v>
      </c>
      <c r="L225" s="50">
        <v>70</v>
      </c>
      <c r="M225" s="50" t="s">
        <v>1127</v>
      </c>
      <c r="N225" s="68" t="s">
        <v>3564</v>
      </c>
      <c r="O225" s="68" t="s">
        <v>3565</v>
      </c>
      <c r="P225" s="68" t="s">
        <v>3776</v>
      </c>
    </row>
    <row r="226" spans="1:16" ht="82.05" customHeight="1" x14ac:dyDescent="0.3">
      <c r="A226" s="119" t="s">
        <v>1393</v>
      </c>
      <c r="B226" s="119" t="s">
        <v>18</v>
      </c>
      <c r="C226" s="119" t="s">
        <v>20</v>
      </c>
      <c r="D226" s="119" t="s">
        <v>364</v>
      </c>
      <c r="E226" s="120">
        <v>-94165965</v>
      </c>
      <c r="F226" s="120">
        <v>-94165965</v>
      </c>
      <c r="G226" s="120" t="s">
        <v>1109</v>
      </c>
      <c r="H226" s="120">
        <f t="shared" si="6"/>
        <v>-94.165965</v>
      </c>
      <c r="I226" s="120">
        <f>KOHC!D87</f>
        <v>-94.165965</v>
      </c>
      <c r="J226" s="120">
        <f t="shared" si="7"/>
        <v>0</v>
      </c>
      <c r="K226" s="119" t="s">
        <v>1112</v>
      </c>
      <c r="L226" s="119">
        <v>54</v>
      </c>
      <c r="M226" s="119" t="s">
        <v>1106</v>
      </c>
      <c r="N226" s="122" t="s">
        <v>3564</v>
      </c>
      <c r="O226" s="122" t="s">
        <v>3565</v>
      </c>
      <c r="P226" s="122" t="s">
        <v>3777</v>
      </c>
    </row>
    <row r="227" spans="1:16" ht="82.05" customHeight="1" x14ac:dyDescent="0.3">
      <c r="A227" s="50" t="s">
        <v>1394</v>
      </c>
      <c r="B227" s="50" t="s">
        <v>18</v>
      </c>
      <c r="C227" s="50" t="s">
        <v>26</v>
      </c>
      <c r="D227" s="50" t="s">
        <v>364</v>
      </c>
      <c r="E227" s="121">
        <v>-122136736</v>
      </c>
      <c r="F227" s="121">
        <v>-122136736</v>
      </c>
      <c r="G227" s="121" t="s">
        <v>1109</v>
      </c>
      <c r="H227" s="121">
        <f t="shared" si="6"/>
        <v>-122.136736</v>
      </c>
      <c r="I227" s="121">
        <f>KOHC!E87</f>
        <v>-122.136736</v>
      </c>
      <c r="J227" s="121">
        <f t="shared" si="7"/>
        <v>0</v>
      </c>
      <c r="K227" s="50" t="s">
        <v>1116</v>
      </c>
      <c r="L227" s="50">
        <v>54</v>
      </c>
      <c r="M227" s="50" t="s">
        <v>1106</v>
      </c>
      <c r="N227" s="68" t="s">
        <v>3564</v>
      </c>
      <c r="O227" s="68" t="s">
        <v>3565</v>
      </c>
      <c r="P227" s="68" t="s">
        <v>3778</v>
      </c>
    </row>
    <row r="228" spans="1:16" ht="82.05" customHeight="1" x14ac:dyDescent="0.3">
      <c r="A228" s="119" t="s">
        <v>1395</v>
      </c>
      <c r="B228" s="119" t="s">
        <v>18</v>
      </c>
      <c r="C228" s="119" t="s">
        <v>27</v>
      </c>
      <c r="D228" s="119" t="s">
        <v>364</v>
      </c>
      <c r="E228" s="120">
        <v>-176123458</v>
      </c>
      <c r="F228" s="120">
        <v>-176123458</v>
      </c>
      <c r="G228" s="120" t="s">
        <v>1109</v>
      </c>
      <c r="H228" s="120">
        <f t="shared" si="6"/>
        <v>-176.123458</v>
      </c>
      <c r="I228" s="120">
        <f>KOHC!F87</f>
        <v>-176.123458</v>
      </c>
      <c r="J228" s="120">
        <f t="shared" si="7"/>
        <v>0</v>
      </c>
      <c r="K228" s="119" t="s">
        <v>1119</v>
      </c>
      <c r="L228" s="119">
        <v>60</v>
      </c>
      <c r="M228" s="119" t="s">
        <v>1106</v>
      </c>
      <c r="N228" s="122" t="s">
        <v>3564</v>
      </c>
      <c r="O228" s="122" t="s">
        <v>3565</v>
      </c>
      <c r="P228" s="122" t="s">
        <v>3779</v>
      </c>
    </row>
    <row r="229" spans="1:16" ht="82.05" customHeight="1" x14ac:dyDescent="0.3">
      <c r="A229" s="50" t="s">
        <v>1396</v>
      </c>
      <c r="B229" s="50" t="s">
        <v>18</v>
      </c>
      <c r="C229" s="50" t="s">
        <v>28</v>
      </c>
      <c r="D229" s="50" t="s">
        <v>364</v>
      </c>
      <c r="E229" s="121">
        <v>-197259359</v>
      </c>
      <c r="F229" s="121">
        <v>-197259359</v>
      </c>
      <c r="G229" s="121" t="s">
        <v>1109</v>
      </c>
      <c r="H229" s="121">
        <f t="shared" si="6"/>
        <v>-197.25935899999999</v>
      </c>
      <c r="I229" s="121">
        <f>KOHC!G87</f>
        <v>-197.25935899999999</v>
      </c>
      <c r="J229" s="121">
        <f t="shared" si="7"/>
        <v>0</v>
      </c>
      <c r="K229" s="50" t="s">
        <v>1123</v>
      </c>
      <c r="L229" s="50">
        <v>70</v>
      </c>
      <c r="M229" s="50" t="s">
        <v>1106</v>
      </c>
      <c r="N229" s="68" t="s">
        <v>3564</v>
      </c>
      <c r="O229" s="68" t="s">
        <v>3565</v>
      </c>
      <c r="P229" s="68" t="s">
        <v>3780</v>
      </c>
    </row>
    <row r="230" spans="1:16" ht="82.05" customHeight="1" x14ac:dyDescent="0.3">
      <c r="A230" s="119" t="s">
        <v>1397</v>
      </c>
      <c r="B230" s="119" t="s">
        <v>18</v>
      </c>
      <c r="C230" s="119" t="s">
        <v>29</v>
      </c>
      <c r="D230" s="119" t="s">
        <v>364</v>
      </c>
      <c r="E230" s="120">
        <v>-225600417</v>
      </c>
      <c r="F230" s="120">
        <v>-225600417</v>
      </c>
      <c r="G230" s="120" t="s">
        <v>1109</v>
      </c>
      <c r="H230" s="120">
        <f t="shared" si="6"/>
        <v>-225.60041699999999</v>
      </c>
      <c r="I230" s="120">
        <f>KOHC!H87</f>
        <v>-225.60041699999999</v>
      </c>
      <c r="J230" s="120">
        <f t="shared" si="7"/>
        <v>0</v>
      </c>
      <c r="K230" s="119" t="s">
        <v>1123</v>
      </c>
      <c r="L230" s="119">
        <v>70</v>
      </c>
      <c r="M230" s="119" t="s">
        <v>1127</v>
      </c>
      <c r="N230" s="122" t="s">
        <v>3564</v>
      </c>
      <c r="O230" s="122" t="s">
        <v>3565</v>
      </c>
      <c r="P230" s="122" t="s">
        <v>3781</v>
      </c>
    </row>
    <row r="231" spans="1:16" ht="82.05" customHeight="1" x14ac:dyDescent="0.3">
      <c r="A231" s="50" t="s">
        <v>1398</v>
      </c>
      <c r="B231" s="50" t="s">
        <v>18</v>
      </c>
      <c r="C231" s="50" t="s">
        <v>20</v>
      </c>
      <c r="D231" s="50" t="s">
        <v>366</v>
      </c>
      <c r="E231" s="121">
        <v>-313524670</v>
      </c>
      <c r="F231" s="121">
        <v>-313524670</v>
      </c>
      <c r="G231" s="121" t="s">
        <v>1109</v>
      </c>
      <c r="H231" s="121">
        <f t="shared" si="6"/>
        <v>-313.52467000000001</v>
      </c>
      <c r="I231" s="121">
        <f>KOHC!D88</f>
        <v>-313.52467000000001</v>
      </c>
      <c r="J231" s="121">
        <f t="shared" si="7"/>
        <v>0</v>
      </c>
      <c r="K231" s="50" t="s">
        <v>1112</v>
      </c>
      <c r="L231" s="50">
        <v>54</v>
      </c>
      <c r="M231" s="50" t="s">
        <v>1106</v>
      </c>
      <c r="N231" s="68" t="s">
        <v>3564</v>
      </c>
      <c r="O231" s="68" t="s">
        <v>3565</v>
      </c>
      <c r="P231" s="68" t="s">
        <v>3782</v>
      </c>
    </row>
    <row r="232" spans="1:16" ht="82.05" customHeight="1" x14ac:dyDescent="0.3">
      <c r="A232" s="119" t="s">
        <v>1400</v>
      </c>
      <c r="B232" s="119" t="s">
        <v>18</v>
      </c>
      <c r="C232" s="119" t="s">
        <v>26</v>
      </c>
      <c r="D232" s="119" t="s">
        <v>366</v>
      </c>
      <c r="E232" s="120">
        <v>-353522846</v>
      </c>
      <c r="F232" s="120">
        <v>-353522846</v>
      </c>
      <c r="G232" s="120" t="s">
        <v>1109</v>
      </c>
      <c r="H232" s="120">
        <f t="shared" si="6"/>
        <v>-353.52284600000002</v>
      </c>
      <c r="I232" s="120">
        <f>KOHC!E88</f>
        <v>-353.52284600000002</v>
      </c>
      <c r="J232" s="120">
        <f t="shared" si="7"/>
        <v>0</v>
      </c>
      <c r="K232" s="119" t="s">
        <v>1116</v>
      </c>
      <c r="L232" s="119">
        <v>54</v>
      </c>
      <c r="M232" s="119" t="s">
        <v>1106</v>
      </c>
      <c r="N232" s="122" t="s">
        <v>3564</v>
      </c>
      <c r="O232" s="122" t="s">
        <v>3565</v>
      </c>
      <c r="P232" s="122" t="s">
        <v>3783</v>
      </c>
    </row>
    <row r="233" spans="1:16" ht="82.05" customHeight="1" x14ac:dyDescent="0.3">
      <c r="A233" s="50" t="s">
        <v>1401</v>
      </c>
      <c r="B233" s="50" t="s">
        <v>18</v>
      </c>
      <c r="C233" s="50" t="s">
        <v>27</v>
      </c>
      <c r="D233" s="50" t="s">
        <v>366</v>
      </c>
      <c r="E233" s="121">
        <v>-396230055</v>
      </c>
      <c r="F233" s="121">
        <v>-396230055</v>
      </c>
      <c r="G233" s="121" t="s">
        <v>1109</v>
      </c>
      <c r="H233" s="121">
        <f t="shared" si="6"/>
        <v>-396.23005499999999</v>
      </c>
      <c r="I233" s="121">
        <f>KOHC!F88</f>
        <v>-396.23005499999999</v>
      </c>
      <c r="J233" s="121">
        <f t="shared" si="7"/>
        <v>0</v>
      </c>
      <c r="K233" s="50" t="s">
        <v>1119</v>
      </c>
      <c r="L233" s="50">
        <v>60</v>
      </c>
      <c r="M233" s="50" t="s">
        <v>1106</v>
      </c>
      <c r="N233" s="68" t="s">
        <v>3564</v>
      </c>
      <c r="O233" s="68" t="s">
        <v>3565</v>
      </c>
      <c r="P233" s="68" t="s">
        <v>3784</v>
      </c>
    </row>
    <row r="234" spans="1:16" ht="82.05" customHeight="1" x14ac:dyDescent="0.3">
      <c r="A234" s="119" t="s">
        <v>1402</v>
      </c>
      <c r="B234" s="119" t="s">
        <v>18</v>
      </c>
      <c r="C234" s="119" t="s">
        <v>28</v>
      </c>
      <c r="D234" s="119" t="s">
        <v>366</v>
      </c>
      <c r="E234" s="120">
        <v>-488042831</v>
      </c>
      <c r="F234" s="120">
        <v>-488042831</v>
      </c>
      <c r="G234" s="120" t="s">
        <v>1109</v>
      </c>
      <c r="H234" s="120">
        <f t="shared" si="6"/>
        <v>-488.04283099999998</v>
      </c>
      <c r="I234" s="120">
        <f>KOHC!G88</f>
        <v>-488.04283099999998</v>
      </c>
      <c r="J234" s="120">
        <f t="shared" si="7"/>
        <v>0</v>
      </c>
      <c r="K234" s="119" t="s">
        <v>1123</v>
      </c>
      <c r="L234" s="119">
        <v>70</v>
      </c>
      <c r="M234" s="119" t="s">
        <v>1106</v>
      </c>
      <c r="N234" s="122" t="s">
        <v>3564</v>
      </c>
      <c r="O234" s="122" t="s">
        <v>3565</v>
      </c>
      <c r="P234" s="122" t="s">
        <v>3785</v>
      </c>
    </row>
    <row r="235" spans="1:16" ht="82.05" customHeight="1" x14ac:dyDescent="0.3">
      <c r="A235" s="50" t="s">
        <v>1403</v>
      </c>
      <c r="B235" s="50" t="s">
        <v>18</v>
      </c>
      <c r="C235" s="50" t="s">
        <v>29</v>
      </c>
      <c r="D235" s="50" t="s">
        <v>366</v>
      </c>
      <c r="E235" s="121">
        <v>-695553118</v>
      </c>
      <c r="F235" s="121">
        <v>-695553118</v>
      </c>
      <c r="G235" s="121" t="s">
        <v>1109</v>
      </c>
      <c r="H235" s="121">
        <f t="shared" si="6"/>
        <v>-695.55311800000004</v>
      </c>
      <c r="I235" s="121">
        <f>KOHC!H88</f>
        <v>-695.55311800000004</v>
      </c>
      <c r="J235" s="121">
        <f t="shared" si="7"/>
        <v>0</v>
      </c>
      <c r="K235" s="50" t="s">
        <v>1123</v>
      </c>
      <c r="L235" s="50">
        <v>70</v>
      </c>
      <c r="M235" s="50" t="s">
        <v>1127</v>
      </c>
      <c r="N235" s="68" t="s">
        <v>3564</v>
      </c>
      <c r="O235" s="68" t="s">
        <v>3565</v>
      </c>
      <c r="P235" s="68" t="s">
        <v>3786</v>
      </c>
    </row>
    <row r="236" spans="1:16" ht="82.05" customHeight="1" x14ac:dyDescent="0.3">
      <c r="A236" s="119" t="s">
        <v>1404</v>
      </c>
      <c r="B236" s="119" t="s">
        <v>18</v>
      </c>
      <c r="C236" s="119" t="s">
        <v>20</v>
      </c>
      <c r="D236" s="119" t="s">
        <v>368</v>
      </c>
      <c r="E236" s="120">
        <v>0</v>
      </c>
      <c r="F236" s="120">
        <v>0</v>
      </c>
      <c r="G236" s="120" t="s">
        <v>1109</v>
      </c>
      <c r="H236" s="120">
        <f t="shared" si="6"/>
        <v>0</v>
      </c>
      <c r="I236" s="120">
        <f>KOHC!D89</f>
        <v>0</v>
      </c>
      <c r="J236" s="120">
        <f t="shared" si="7"/>
        <v>0</v>
      </c>
      <c r="K236" s="119" t="s">
        <v>1112</v>
      </c>
      <c r="L236" s="119">
        <v>54</v>
      </c>
      <c r="M236" s="119" t="s">
        <v>1106</v>
      </c>
      <c r="N236" s="122" t="s">
        <v>3578</v>
      </c>
      <c r="O236" s="122" t="s">
        <v>3579</v>
      </c>
      <c r="P236" s="122" t="s">
        <v>3787</v>
      </c>
    </row>
    <row r="237" spans="1:16" ht="82.05" customHeight="1" x14ac:dyDescent="0.3">
      <c r="A237" s="50" t="s">
        <v>1405</v>
      </c>
      <c r="B237" s="50" t="s">
        <v>18</v>
      </c>
      <c r="C237" s="50" t="s">
        <v>26</v>
      </c>
      <c r="D237" s="50" t="s">
        <v>368</v>
      </c>
      <c r="E237" s="121">
        <v>0</v>
      </c>
      <c r="F237" s="121">
        <v>0</v>
      </c>
      <c r="G237" s="121" t="s">
        <v>1109</v>
      </c>
      <c r="H237" s="121">
        <f t="shared" si="6"/>
        <v>0</v>
      </c>
      <c r="I237" s="121">
        <f>KOHC!E89</f>
        <v>0</v>
      </c>
      <c r="J237" s="121">
        <f t="shared" si="7"/>
        <v>0</v>
      </c>
      <c r="K237" s="50" t="s">
        <v>1116</v>
      </c>
      <c r="L237" s="50">
        <v>54</v>
      </c>
      <c r="M237" s="50" t="s">
        <v>1106</v>
      </c>
      <c r="N237" s="68" t="s">
        <v>3578</v>
      </c>
      <c r="O237" s="68" t="s">
        <v>3579</v>
      </c>
      <c r="P237" s="68" t="s">
        <v>3788</v>
      </c>
    </row>
    <row r="238" spans="1:16" ht="82.05" customHeight="1" x14ac:dyDescent="0.3">
      <c r="A238" s="119" t="s">
        <v>1406</v>
      </c>
      <c r="B238" s="119" t="s">
        <v>18</v>
      </c>
      <c r="C238" s="119" t="s">
        <v>27</v>
      </c>
      <c r="D238" s="119" t="s">
        <v>368</v>
      </c>
      <c r="E238" s="120">
        <v>0</v>
      </c>
      <c r="F238" s="120">
        <v>0</v>
      </c>
      <c r="G238" s="120" t="s">
        <v>1109</v>
      </c>
      <c r="H238" s="120">
        <f t="shared" si="6"/>
        <v>0</v>
      </c>
      <c r="I238" s="120">
        <f>KOHC!F89</f>
        <v>0</v>
      </c>
      <c r="J238" s="120">
        <f t="shared" si="7"/>
        <v>0</v>
      </c>
      <c r="K238" s="119" t="s">
        <v>1119</v>
      </c>
      <c r="L238" s="119">
        <v>60</v>
      </c>
      <c r="M238" s="119" t="s">
        <v>1106</v>
      </c>
      <c r="N238" s="122" t="s">
        <v>3578</v>
      </c>
      <c r="O238" s="122" t="s">
        <v>3579</v>
      </c>
      <c r="P238" s="122" t="s">
        <v>3789</v>
      </c>
    </row>
    <row r="239" spans="1:16" ht="82.05" customHeight="1" x14ac:dyDescent="0.3">
      <c r="A239" s="50" t="s">
        <v>1407</v>
      </c>
      <c r="B239" s="50" t="s">
        <v>18</v>
      </c>
      <c r="C239" s="50" t="s">
        <v>28</v>
      </c>
      <c r="D239" s="50" t="s">
        <v>368</v>
      </c>
      <c r="E239" s="121">
        <v>2010516</v>
      </c>
      <c r="F239" s="121">
        <v>2010516</v>
      </c>
      <c r="G239" s="121" t="s">
        <v>1109</v>
      </c>
      <c r="H239" s="121">
        <f t="shared" si="6"/>
        <v>2.010516</v>
      </c>
      <c r="I239" s="121">
        <f>KOHC!G89</f>
        <v>2.010516</v>
      </c>
      <c r="J239" s="121">
        <f t="shared" si="7"/>
        <v>0</v>
      </c>
      <c r="K239" s="50" t="s">
        <v>1123</v>
      </c>
      <c r="L239" s="50">
        <v>70</v>
      </c>
      <c r="M239" s="50" t="s">
        <v>1106</v>
      </c>
      <c r="N239" s="68" t="s">
        <v>3564</v>
      </c>
      <c r="O239" s="68" t="s">
        <v>3565</v>
      </c>
      <c r="P239" s="68" t="s">
        <v>3790</v>
      </c>
    </row>
    <row r="240" spans="1:16" ht="82.05" customHeight="1" x14ac:dyDescent="0.3">
      <c r="A240" s="119" t="s">
        <v>1409</v>
      </c>
      <c r="B240" s="119" t="s">
        <v>18</v>
      </c>
      <c r="C240" s="119" t="s">
        <v>29</v>
      </c>
      <c r="D240" s="119" t="s">
        <v>368</v>
      </c>
      <c r="E240" s="120">
        <v>-44078565</v>
      </c>
      <c r="F240" s="120">
        <v>-44078565</v>
      </c>
      <c r="G240" s="120" t="s">
        <v>1109</v>
      </c>
      <c r="H240" s="120">
        <f t="shared" si="6"/>
        <v>-44.078564999999998</v>
      </c>
      <c r="I240" s="120">
        <f>KOHC!H89</f>
        <v>-44.078564999999998</v>
      </c>
      <c r="J240" s="120">
        <f t="shared" si="7"/>
        <v>0</v>
      </c>
      <c r="K240" s="119" t="s">
        <v>1123</v>
      </c>
      <c r="L240" s="119">
        <v>70</v>
      </c>
      <c r="M240" s="119" t="s">
        <v>1127</v>
      </c>
      <c r="N240" s="122" t="s">
        <v>3564</v>
      </c>
      <c r="O240" s="122" t="s">
        <v>3565</v>
      </c>
      <c r="P240" s="122" t="s">
        <v>3791</v>
      </c>
    </row>
    <row r="241" spans="1:16" ht="82.05" customHeight="1" x14ac:dyDescent="0.3">
      <c r="A241" s="50" t="s">
        <v>1410</v>
      </c>
      <c r="B241" s="50" t="s">
        <v>18</v>
      </c>
      <c r="C241" s="50" t="s">
        <v>20</v>
      </c>
      <c r="D241" s="50" t="s">
        <v>370</v>
      </c>
      <c r="E241" s="121">
        <v>-325323074</v>
      </c>
      <c r="F241" s="121">
        <v>-325323074</v>
      </c>
      <c r="G241" s="121" t="s">
        <v>1109</v>
      </c>
      <c r="H241" s="121">
        <f t="shared" si="6"/>
        <v>-325.32307400000002</v>
      </c>
      <c r="I241" s="121">
        <f>KOHC!D90</f>
        <v>-325.32307400000002</v>
      </c>
      <c r="J241" s="121">
        <f t="shared" si="7"/>
        <v>0</v>
      </c>
      <c r="K241" s="50" t="s">
        <v>1112</v>
      </c>
      <c r="L241" s="50">
        <v>54</v>
      </c>
      <c r="M241" s="50" t="s">
        <v>1106</v>
      </c>
      <c r="N241" s="68" t="s">
        <v>3564</v>
      </c>
      <c r="O241" s="68" t="s">
        <v>3565</v>
      </c>
      <c r="P241" s="68" t="s">
        <v>3792</v>
      </c>
    </row>
    <row r="242" spans="1:16" ht="82.05" customHeight="1" x14ac:dyDescent="0.3">
      <c r="A242" s="119" t="s">
        <v>1412</v>
      </c>
      <c r="B242" s="119" t="s">
        <v>18</v>
      </c>
      <c r="C242" s="119" t="s">
        <v>26</v>
      </c>
      <c r="D242" s="119" t="s">
        <v>370</v>
      </c>
      <c r="E242" s="120">
        <v>-563052382</v>
      </c>
      <c r="F242" s="120">
        <v>-563052382</v>
      </c>
      <c r="G242" s="120" t="s">
        <v>1109</v>
      </c>
      <c r="H242" s="120">
        <f t="shared" si="6"/>
        <v>-563.05238199999997</v>
      </c>
      <c r="I242" s="120">
        <f>KOHC!E90</f>
        <v>-563.05238199999997</v>
      </c>
      <c r="J242" s="120">
        <f t="shared" si="7"/>
        <v>0</v>
      </c>
      <c r="K242" s="119" t="s">
        <v>1116</v>
      </c>
      <c r="L242" s="119">
        <v>54</v>
      </c>
      <c r="M242" s="119" t="s">
        <v>1106</v>
      </c>
      <c r="N242" s="122" t="s">
        <v>3564</v>
      </c>
      <c r="O242" s="122" t="s">
        <v>3565</v>
      </c>
      <c r="P242" s="122" t="s">
        <v>3793</v>
      </c>
    </row>
    <row r="243" spans="1:16" ht="82.05" customHeight="1" x14ac:dyDescent="0.3">
      <c r="A243" s="50" t="s">
        <v>1413</v>
      </c>
      <c r="B243" s="50" t="s">
        <v>18</v>
      </c>
      <c r="C243" s="50" t="s">
        <v>27</v>
      </c>
      <c r="D243" s="50" t="s">
        <v>370</v>
      </c>
      <c r="E243" s="121">
        <v>-736512959</v>
      </c>
      <c r="F243" s="121">
        <v>-736512959</v>
      </c>
      <c r="G243" s="121" t="s">
        <v>1109</v>
      </c>
      <c r="H243" s="121">
        <f t="shared" si="6"/>
        <v>-736.51295900000002</v>
      </c>
      <c r="I243" s="121">
        <f>KOHC!F90</f>
        <v>-736.51295900000002</v>
      </c>
      <c r="J243" s="121">
        <f t="shared" si="7"/>
        <v>0</v>
      </c>
      <c r="K243" s="50" t="s">
        <v>1119</v>
      </c>
      <c r="L243" s="50">
        <v>60</v>
      </c>
      <c r="M243" s="50" t="s">
        <v>1106</v>
      </c>
      <c r="N243" s="68" t="s">
        <v>3564</v>
      </c>
      <c r="O243" s="68" t="s">
        <v>3565</v>
      </c>
      <c r="P243" s="68" t="s">
        <v>3794</v>
      </c>
    </row>
    <row r="244" spans="1:16" ht="82.05" customHeight="1" x14ac:dyDescent="0.3">
      <c r="A244" s="119" t="s">
        <v>1414</v>
      </c>
      <c r="B244" s="119" t="s">
        <v>18</v>
      </c>
      <c r="C244" s="119" t="s">
        <v>28</v>
      </c>
      <c r="D244" s="119" t="s">
        <v>370</v>
      </c>
      <c r="E244" s="120">
        <v>-571950389</v>
      </c>
      <c r="F244" s="120">
        <v>-571950389</v>
      </c>
      <c r="G244" s="120" t="s">
        <v>1109</v>
      </c>
      <c r="H244" s="120">
        <f t="shared" si="6"/>
        <v>-571.95038899999997</v>
      </c>
      <c r="I244" s="120">
        <f>KOHC!G90</f>
        <v>-571.95038899999997</v>
      </c>
      <c r="J244" s="120">
        <f t="shared" si="7"/>
        <v>0</v>
      </c>
      <c r="K244" s="119" t="s">
        <v>1123</v>
      </c>
      <c r="L244" s="119">
        <v>70</v>
      </c>
      <c r="M244" s="119" t="s">
        <v>1106</v>
      </c>
      <c r="N244" s="122" t="s">
        <v>3564</v>
      </c>
      <c r="O244" s="122" t="s">
        <v>3565</v>
      </c>
      <c r="P244" s="122" t="s">
        <v>3795</v>
      </c>
    </row>
    <row r="245" spans="1:16" ht="82.05" customHeight="1" x14ac:dyDescent="0.3">
      <c r="A245" s="50" t="s">
        <v>1415</v>
      </c>
      <c r="B245" s="50" t="s">
        <v>18</v>
      </c>
      <c r="C245" s="50" t="s">
        <v>29</v>
      </c>
      <c r="D245" s="50" t="s">
        <v>370</v>
      </c>
      <c r="E245" s="121">
        <v>-940359065</v>
      </c>
      <c r="F245" s="121">
        <v>-940359065</v>
      </c>
      <c r="G245" s="121" t="s">
        <v>1109</v>
      </c>
      <c r="H245" s="121">
        <f t="shared" si="6"/>
        <v>-940.35906499999999</v>
      </c>
      <c r="I245" s="121">
        <f>KOHC!H90</f>
        <v>-940.35906499999999</v>
      </c>
      <c r="J245" s="121">
        <f t="shared" si="7"/>
        <v>0</v>
      </c>
      <c r="K245" s="50" t="s">
        <v>1123</v>
      </c>
      <c r="L245" s="50">
        <v>70</v>
      </c>
      <c r="M245" s="50" t="s">
        <v>1127</v>
      </c>
      <c r="N245" s="68" t="s">
        <v>3564</v>
      </c>
      <c r="O245" s="68" t="s">
        <v>3565</v>
      </c>
      <c r="P245" s="68" t="s">
        <v>3796</v>
      </c>
    </row>
    <row r="246" spans="1:16" ht="82.05" customHeight="1" x14ac:dyDescent="0.3">
      <c r="A246" s="119" t="s">
        <v>1416</v>
      </c>
      <c r="B246" s="119" t="s">
        <v>18</v>
      </c>
      <c r="C246" s="119" t="s">
        <v>20</v>
      </c>
      <c r="D246" s="119" t="s">
        <v>374</v>
      </c>
      <c r="E246" s="120">
        <v>170674670</v>
      </c>
      <c r="F246" s="120">
        <v>170674670</v>
      </c>
      <c r="G246" s="120" t="s">
        <v>1109</v>
      </c>
      <c r="H246" s="120">
        <f t="shared" si="6"/>
        <v>170.67466999999999</v>
      </c>
      <c r="I246" s="120">
        <f>KOHC!D92</f>
        <v>170.67466999999999</v>
      </c>
      <c r="J246" s="120">
        <f t="shared" si="7"/>
        <v>0</v>
      </c>
      <c r="K246" s="119" t="s">
        <v>1112</v>
      </c>
      <c r="L246" s="119">
        <v>54</v>
      </c>
      <c r="M246" s="119" t="s">
        <v>1106</v>
      </c>
      <c r="N246" s="122" t="s">
        <v>3564</v>
      </c>
      <c r="O246" s="122" t="s">
        <v>3565</v>
      </c>
      <c r="P246" s="122" t="s">
        <v>3797</v>
      </c>
    </row>
    <row r="247" spans="1:16" ht="82.05" customHeight="1" x14ac:dyDescent="0.3">
      <c r="A247" s="50" t="s">
        <v>1417</v>
      </c>
      <c r="B247" s="50" t="s">
        <v>18</v>
      </c>
      <c r="C247" s="50" t="s">
        <v>26</v>
      </c>
      <c r="D247" s="50" t="s">
        <v>374</v>
      </c>
      <c r="E247" s="121">
        <v>690143396</v>
      </c>
      <c r="F247" s="121">
        <v>690143396</v>
      </c>
      <c r="G247" s="121" t="s">
        <v>1109</v>
      </c>
      <c r="H247" s="121">
        <f t="shared" si="6"/>
        <v>690.14339600000005</v>
      </c>
      <c r="I247" s="121">
        <f>KOHC!E92</f>
        <v>690.14339600000005</v>
      </c>
      <c r="J247" s="121">
        <f t="shared" si="7"/>
        <v>0</v>
      </c>
      <c r="K247" s="50" t="s">
        <v>1116</v>
      </c>
      <c r="L247" s="50">
        <v>54</v>
      </c>
      <c r="M247" s="50" t="s">
        <v>1106</v>
      </c>
      <c r="N247" s="68" t="s">
        <v>3564</v>
      </c>
      <c r="O247" s="68" t="s">
        <v>3565</v>
      </c>
      <c r="P247" s="68" t="s">
        <v>3798</v>
      </c>
    </row>
    <row r="248" spans="1:16" ht="82.05" customHeight="1" x14ac:dyDescent="0.3">
      <c r="A248" s="119" t="s">
        <v>1418</v>
      </c>
      <c r="B248" s="119" t="s">
        <v>18</v>
      </c>
      <c r="C248" s="119" t="s">
        <v>27</v>
      </c>
      <c r="D248" s="119" t="s">
        <v>374</v>
      </c>
      <c r="E248" s="120">
        <v>2085808053</v>
      </c>
      <c r="F248" s="120">
        <v>2085808053</v>
      </c>
      <c r="G248" s="120" t="s">
        <v>1109</v>
      </c>
      <c r="H248" s="120">
        <f t="shared" si="6"/>
        <v>2085.8080530000002</v>
      </c>
      <c r="I248" s="120">
        <f>KOHC!F92</f>
        <v>2085.8080530000002</v>
      </c>
      <c r="J248" s="120">
        <f t="shared" si="7"/>
        <v>0</v>
      </c>
      <c r="K248" s="119" t="s">
        <v>1119</v>
      </c>
      <c r="L248" s="119">
        <v>60</v>
      </c>
      <c r="M248" s="119" t="s">
        <v>1106</v>
      </c>
      <c r="N248" s="122" t="s">
        <v>3564</v>
      </c>
      <c r="O248" s="122" t="s">
        <v>3565</v>
      </c>
      <c r="P248" s="122" t="s">
        <v>3799</v>
      </c>
    </row>
    <row r="249" spans="1:16" ht="82.05" customHeight="1" x14ac:dyDescent="0.3">
      <c r="A249" s="50" t="s">
        <v>1419</v>
      </c>
      <c r="B249" s="50" t="s">
        <v>18</v>
      </c>
      <c r="C249" s="50" t="s">
        <v>28</v>
      </c>
      <c r="D249" s="50" t="s">
        <v>374</v>
      </c>
      <c r="E249" s="121">
        <v>4452416513</v>
      </c>
      <c r="F249" s="121">
        <v>4452416513</v>
      </c>
      <c r="G249" s="121" t="s">
        <v>1109</v>
      </c>
      <c r="H249" s="121">
        <f t="shared" si="6"/>
        <v>4452.4165130000001</v>
      </c>
      <c r="I249" s="121">
        <f>KOHC!G92</f>
        <v>4452.4165130000001</v>
      </c>
      <c r="J249" s="121">
        <f t="shared" si="7"/>
        <v>0</v>
      </c>
      <c r="K249" s="50" t="s">
        <v>1123</v>
      </c>
      <c r="L249" s="50">
        <v>70</v>
      </c>
      <c r="M249" s="50" t="s">
        <v>1106</v>
      </c>
      <c r="N249" s="68" t="s">
        <v>3564</v>
      </c>
      <c r="O249" s="68" t="s">
        <v>3565</v>
      </c>
      <c r="P249" s="68" t="s">
        <v>3800</v>
      </c>
    </row>
    <row r="250" spans="1:16" ht="82.05" customHeight="1" x14ac:dyDescent="0.3">
      <c r="A250" s="119" t="s">
        <v>1420</v>
      </c>
      <c r="B250" s="119" t="s">
        <v>18</v>
      </c>
      <c r="C250" s="119" t="s">
        <v>29</v>
      </c>
      <c r="D250" s="119" t="s">
        <v>374</v>
      </c>
      <c r="E250" s="120">
        <v>5280719197</v>
      </c>
      <c r="F250" s="120">
        <v>5280719197</v>
      </c>
      <c r="G250" s="120" t="s">
        <v>1109</v>
      </c>
      <c r="H250" s="120">
        <f t="shared" si="6"/>
        <v>5280.7191970000003</v>
      </c>
      <c r="I250" s="120">
        <f>KOHC!H92</f>
        <v>5280.7191970000003</v>
      </c>
      <c r="J250" s="120">
        <f t="shared" si="7"/>
        <v>0</v>
      </c>
      <c r="K250" s="119" t="s">
        <v>1123</v>
      </c>
      <c r="L250" s="119">
        <v>70</v>
      </c>
      <c r="M250" s="119" t="s">
        <v>1127</v>
      </c>
      <c r="N250" s="122" t="s">
        <v>3564</v>
      </c>
      <c r="O250" s="122" t="s">
        <v>3565</v>
      </c>
      <c r="P250" s="122" t="s">
        <v>3801</v>
      </c>
    </row>
    <row r="251" spans="1:16" ht="82.05" customHeight="1" x14ac:dyDescent="0.3">
      <c r="A251" s="50" t="s">
        <v>1421</v>
      </c>
      <c r="B251" s="50" t="s">
        <v>18</v>
      </c>
      <c r="C251" s="50" t="s">
        <v>20</v>
      </c>
      <c r="D251" s="50" t="s">
        <v>376</v>
      </c>
      <c r="E251" s="121">
        <v>0</v>
      </c>
      <c r="F251" s="121">
        <v>0</v>
      </c>
      <c r="G251" s="121" t="s">
        <v>1109</v>
      </c>
      <c r="H251" s="121">
        <f t="shared" si="6"/>
        <v>0</v>
      </c>
      <c r="I251" s="121">
        <f>KOHC!D93</f>
        <v>0</v>
      </c>
      <c r="J251" s="121">
        <f t="shared" si="7"/>
        <v>0</v>
      </c>
      <c r="K251" s="50" t="s">
        <v>1112</v>
      </c>
      <c r="L251" s="50">
        <v>54</v>
      </c>
      <c r="M251" s="50" t="s">
        <v>1106</v>
      </c>
      <c r="N251" s="68" t="s">
        <v>3578</v>
      </c>
      <c r="O251" s="68" t="s">
        <v>3579</v>
      </c>
      <c r="P251" s="68" t="s">
        <v>3802</v>
      </c>
    </row>
    <row r="252" spans="1:16" ht="82.05" customHeight="1" x14ac:dyDescent="0.3">
      <c r="A252" s="119" t="s">
        <v>1422</v>
      </c>
      <c r="B252" s="119" t="s">
        <v>18</v>
      </c>
      <c r="C252" s="119" t="s">
        <v>26</v>
      </c>
      <c r="D252" s="119" t="s">
        <v>376</v>
      </c>
      <c r="E252" s="120">
        <v>0</v>
      </c>
      <c r="F252" s="120">
        <v>0</v>
      </c>
      <c r="G252" s="120" t="s">
        <v>1109</v>
      </c>
      <c r="H252" s="120">
        <f t="shared" si="6"/>
        <v>0</v>
      </c>
      <c r="I252" s="120">
        <f>KOHC!E93</f>
        <v>0</v>
      </c>
      <c r="J252" s="120">
        <f t="shared" si="7"/>
        <v>0</v>
      </c>
      <c r="K252" s="119" t="s">
        <v>1116</v>
      </c>
      <c r="L252" s="119">
        <v>54</v>
      </c>
      <c r="M252" s="119" t="s">
        <v>1106</v>
      </c>
      <c r="N252" s="122" t="s">
        <v>3578</v>
      </c>
      <c r="O252" s="122" t="s">
        <v>3579</v>
      </c>
      <c r="P252" s="122" t="s">
        <v>3803</v>
      </c>
    </row>
    <row r="253" spans="1:16" ht="82.05" customHeight="1" x14ac:dyDescent="0.3">
      <c r="A253" s="50" t="s">
        <v>1423</v>
      </c>
      <c r="B253" s="50" t="s">
        <v>18</v>
      </c>
      <c r="C253" s="50" t="s">
        <v>27</v>
      </c>
      <c r="D253" s="50" t="s">
        <v>376</v>
      </c>
      <c r="E253" s="121">
        <v>0</v>
      </c>
      <c r="F253" s="121">
        <v>0</v>
      </c>
      <c r="G253" s="121" t="s">
        <v>1109</v>
      </c>
      <c r="H253" s="121">
        <f t="shared" si="6"/>
        <v>0</v>
      </c>
      <c r="I253" s="121">
        <f>KOHC!F93</f>
        <v>0</v>
      </c>
      <c r="J253" s="121">
        <f t="shared" si="7"/>
        <v>0</v>
      </c>
      <c r="K253" s="50" t="s">
        <v>1119</v>
      </c>
      <c r="L253" s="50">
        <v>60</v>
      </c>
      <c r="M253" s="50" t="s">
        <v>1106</v>
      </c>
      <c r="N253" s="68" t="s">
        <v>3578</v>
      </c>
      <c r="O253" s="68" t="s">
        <v>3579</v>
      </c>
      <c r="P253" s="68" t="s">
        <v>3804</v>
      </c>
    </row>
    <row r="254" spans="1:16" ht="82.05" customHeight="1" x14ac:dyDescent="0.3">
      <c r="A254" s="119" t="s">
        <v>1424</v>
      </c>
      <c r="B254" s="119" t="s">
        <v>18</v>
      </c>
      <c r="C254" s="119" t="s">
        <v>28</v>
      </c>
      <c r="D254" s="119" t="s">
        <v>376</v>
      </c>
      <c r="E254" s="120">
        <v>0</v>
      </c>
      <c r="F254" s="120">
        <v>0</v>
      </c>
      <c r="G254" s="120" t="s">
        <v>1109</v>
      </c>
      <c r="H254" s="120">
        <f t="shared" si="6"/>
        <v>0</v>
      </c>
      <c r="I254" s="120">
        <f>KOHC!G93</f>
        <v>0</v>
      </c>
      <c r="J254" s="120">
        <f t="shared" si="7"/>
        <v>0</v>
      </c>
      <c r="K254" s="119" t="s">
        <v>1123</v>
      </c>
      <c r="L254" s="119">
        <v>70</v>
      </c>
      <c r="M254" s="119" t="s">
        <v>1106</v>
      </c>
      <c r="N254" s="122" t="s">
        <v>3578</v>
      </c>
      <c r="O254" s="122" t="s">
        <v>3579</v>
      </c>
      <c r="P254" s="122" t="s">
        <v>3805</v>
      </c>
    </row>
    <row r="255" spans="1:16" ht="82.05" customHeight="1" x14ac:dyDescent="0.3">
      <c r="A255" s="50" t="s">
        <v>1425</v>
      </c>
      <c r="B255" s="50" t="s">
        <v>18</v>
      </c>
      <c r="C255" s="50" t="s">
        <v>29</v>
      </c>
      <c r="D255" s="50" t="s">
        <v>376</v>
      </c>
      <c r="E255" s="121">
        <v>0</v>
      </c>
      <c r="F255" s="121">
        <v>0</v>
      </c>
      <c r="G255" s="121" t="s">
        <v>1109</v>
      </c>
      <c r="H255" s="121">
        <f t="shared" si="6"/>
        <v>0</v>
      </c>
      <c r="I255" s="121">
        <f>KOHC!H93</f>
        <v>0</v>
      </c>
      <c r="J255" s="121">
        <f t="shared" si="7"/>
        <v>0</v>
      </c>
      <c r="K255" s="50" t="s">
        <v>1123</v>
      </c>
      <c r="L255" s="50">
        <v>70</v>
      </c>
      <c r="M255" s="50" t="s">
        <v>1127</v>
      </c>
      <c r="N255" s="68" t="s">
        <v>3578</v>
      </c>
      <c r="O255" s="68" t="s">
        <v>3579</v>
      </c>
      <c r="P255" s="68" t="s">
        <v>3805</v>
      </c>
    </row>
    <row r="256" spans="1:16" ht="82.05" customHeight="1" x14ac:dyDescent="0.3">
      <c r="A256" s="119" t="s">
        <v>1426</v>
      </c>
      <c r="B256" s="119" t="s">
        <v>18</v>
      </c>
      <c r="C256" s="119" t="s">
        <v>20</v>
      </c>
      <c r="D256" s="119" t="s">
        <v>378</v>
      </c>
      <c r="E256" s="120">
        <v>0</v>
      </c>
      <c r="F256" s="120">
        <v>0</v>
      </c>
      <c r="G256" s="120" t="s">
        <v>1109</v>
      </c>
      <c r="H256" s="120">
        <f t="shared" si="6"/>
        <v>0</v>
      </c>
      <c r="I256" s="120">
        <f>KOHC!D94</f>
        <v>0</v>
      </c>
      <c r="J256" s="120">
        <f t="shared" si="7"/>
        <v>0</v>
      </c>
      <c r="K256" s="119" t="s">
        <v>1112</v>
      </c>
      <c r="L256" s="119">
        <v>54</v>
      </c>
      <c r="M256" s="119" t="s">
        <v>1106</v>
      </c>
      <c r="N256" s="122" t="s">
        <v>3578</v>
      </c>
      <c r="O256" s="122" t="s">
        <v>3579</v>
      </c>
      <c r="P256" s="122" t="s">
        <v>3806</v>
      </c>
    </row>
    <row r="257" spans="1:16" ht="82.05" customHeight="1" x14ac:dyDescent="0.3">
      <c r="A257" s="50" t="s">
        <v>1427</v>
      </c>
      <c r="B257" s="50" t="s">
        <v>18</v>
      </c>
      <c r="C257" s="50" t="s">
        <v>26</v>
      </c>
      <c r="D257" s="50" t="s">
        <v>378</v>
      </c>
      <c r="E257" s="121">
        <v>0</v>
      </c>
      <c r="F257" s="121">
        <v>0</v>
      </c>
      <c r="G257" s="121" t="s">
        <v>1109</v>
      </c>
      <c r="H257" s="121">
        <f t="shared" si="6"/>
        <v>0</v>
      </c>
      <c r="I257" s="121">
        <f>KOHC!E94</f>
        <v>0</v>
      </c>
      <c r="J257" s="121">
        <f t="shared" si="7"/>
        <v>0</v>
      </c>
      <c r="K257" s="50" t="s">
        <v>1116</v>
      </c>
      <c r="L257" s="50">
        <v>54</v>
      </c>
      <c r="M257" s="50" t="s">
        <v>1106</v>
      </c>
      <c r="N257" s="68" t="s">
        <v>3578</v>
      </c>
      <c r="O257" s="68" t="s">
        <v>3579</v>
      </c>
      <c r="P257" s="68" t="s">
        <v>3807</v>
      </c>
    </row>
    <row r="258" spans="1:16" ht="82.05" customHeight="1" x14ac:dyDescent="0.3">
      <c r="A258" s="119" t="s">
        <v>1428</v>
      </c>
      <c r="B258" s="119" t="s">
        <v>18</v>
      </c>
      <c r="C258" s="119" t="s">
        <v>27</v>
      </c>
      <c r="D258" s="119" t="s">
        <v>378</v>
      </c>
      <c r="E258" s="120">
        <v>0</v>
      </c>
      <c r="F258" s="120">
        <v>0</v>
      </c>
      <c r="G258" s="120" t="s">
        <v>1109</v>
      </c>
      <c r="H258" s="120">
        <f t="shared" si="6"/>
        <v>0</v>
      </c>
      <c r="I258" s="120">
        <f>KOHC!F94</f>
        <v>0</v>
      </c>
      <c r="J258" s="120">
        <f t="shared" si="7"/>
        <v>0</v>
      </c>
      <c r="K258" s="119" t="s">
        <v>1119</v>
      </c>
      <c r="L258" s="119">
        <v>60</v>
      </c>
      <c r="M258" s="119" t="s">
        <v>1106</v>
      </c>
      <c r="N258" s="122" t="s">
        <v>3578</v>
      </c>
      <c r="O258" s="122" t="s">
        <v>3579</v>
      </c>
      <c r="P258" s="122" t="s">
        <v>3808</v>
      </c>
    </row>
    <row r="259" spans="1:16" ht="82.05" customHeight="1" x14ac:dyDescent="0.3">
      <c r="A259" s="50" t="s">
        <v>1429</v>
      </c>
      <c r="B259" s="50" t="s">
        <v>18</v>
      </c>
      <c r="C259" s="50" t="s">
        <v>28</v>
      </c>
      <c r="D259" s="50" t="s">
        <v>378</v>
      </c>
      <c r="E259" s="121">
        <v>0</v>
      </c>
      <c r="F259" s="121">
        <v>0</v>
      </c>
      <c r="G259" s="121" t="s">
        <v>1109</v>
      </c>
      <c r="H259" s="121">
        <f t="shared" si="6"/>
        <v>0</v>
      </c>
      <c r="I259" s="121">
        <f>KOHC!G94</f>
        <v>0</v>
      </c>
      <c r="J259" s="121">
        <f t="shared" si="7"/>
        <v>0</v>
      </c>
      <c r="K259" s="50" t="s">
        <v>1123</v>
      </c>
      <c r="L259" s="50">
        <v>70</v>
      </c>
      <c r="M259" s="50" t="s">
        <v>1106</v>
      </c>
      <c r="N259" s="68" t="s">
        <v>3578</v>
      </c>
      <c r="O259" s="68" t="s">
        <v>3579</v>
      </c>
      <c r="P259" s="68" t="s">
        <v>3809</v>
      </c>
    </row>
    <row r="260" spans="1:16" ht="82.05" customHeight="1" x14ac:dyDescent="0.3">
      <c r="A260" s="119" t="s">
        <v>1430</v>
      </c>
      <c r="B260" s="119" t="s">
        <v>18</v>
      </c>
      <c r="C260" s="119" t="s">
        <v>29</v>
      </c>
      <c r="D260" s="119" t="s">
        <v>378</v>
      </c>
      <c r="E260" s="120">
        <v>0</v>
      </c>
      <c r="F260" s="120">
        <v>0</v>
      </c>
      <c r="G260" s="120" t="s">
        <v>1109</v>
      </c>
      <c r="H260" s="120">
        <f t="shared" si="6"/>
        <v>0</v>
      </c>
      <c r="I260" s="120">
        <f>KOHC!H94</f>
        <v>0</v>
      </c>
      <c r="J260" s="120">
        <f t="shared" si="7"/>
        <v>0</v>
      </c>
      <c r="K260" s="119" t="s">
        <v>1123</v>
      </c>
      <c r="L260" s="119">
        <v>70</v>
      </c>
      <c r="M260" s="119" t="s">
        <v>1127</v>
      </c>
      <c r="N260" s="122" t="s">
        <v>3578</v>
      </c>
      <c r="O260" s="122" t="s">
        <v>3579</v>
      </c>
      <c r="P260" s="122" t="s">
        <v>3809</v>
      </c>
    </row>
    <row r="261" spans="1:16" ht="82.05" customHeight="1" x14ac:dyDescent="0.3">
      <c r="A261" s="50" t="s">
        <v>1431</v>
      </c>
      <c r="B261" s="50" t="s">
        <v>18</v>
      </c>
      <c r="C261" s="50" t="s">
        <v>20</v>
      </c>
      <c r="D261" s="50" t="s">
        <v>380</v>
      </c>
      <c r="E261" s="121">
        <v>-517055413</v>
      </c>
      <c r="F261" s="121">
        <v>-517055413</v>
      </c>
      <c r="G261" s="121" t="s">
        <v>1109</v>
      </c>
      <c r="H261" s="121">
        <f t="shared" si="6"/>
        <v>-517.05541300000004</v>
      </c>
      <c r="I261" s="121">
        <f>KOHC!D95</f>
        <v>-517.05541300000004</v>
      </c>
      <c r="J261" s="121">
        <f t="shared" si="7"/>
        <v>0</v>
      </c>
      <c r="K261" s="50" t="s">
        <v>1112</v>
      </c>
      <c r="L261" s="50">
        <v>54</v>
      </c>
      <c r="M261" s="50" t="s">
        <v>1106</v>
      </c>
      <c r="N261" s="68" t="s">
        <v>3564</v>
      </c>
      <c r="O261" s="68" t="s">
        <v>3565</v>
      </c>
      <c r="P261" s="68" t="s">
        <v>3810</v>
      </c>
    </row>
    <row r="262" spans="1:16" ht="82.05" customHeight="1" x14ac:dyDescent="0.3">
      <c r="A262" s="119" t="s">
        <v>1432</v>
      </c>
      <c r="B262" s="119" t="s">
        <v>18</v>
      </c>
      <c r="C262" s="119" t="s">
        <v>26</v>
      </c>
      <c r="D262" s="119" t="s">
        <v>380</v>
      </c>
      <c r="E262" s="120">
        <v>-537710815</v>
      </c>
      <c r="F262" s="120">
        <v>-537710815</v>
      </c>
      <c r="G262" s="120" t="s">
        <v>1109</v>
      </c>
      <c r="H262" s="120">
        <f t="shared" ref="H262:H315" si="8">F262/1000000</f>
        <v>-537.71081500000003</v>
      </c>
      <c r="I262" s="120">
        <f>KOHC!E95</f>
        <v>-537.71081500000003</v>
      </c>
      <c r="J262" s="120">
        <f t="shared" ref="J262:J315" si="9">H262-I262</f>
        <v>0</v>
      </c>
      <c r="K262" s="119" t="s">
        <v>1116</v>
      </c>
      <c r="L262" s="119">
        <v>54</v>
      </c>
      <c r="M262" s="119" t="s">
        <v>1106</v>
      </c>
      <c r="N262" s="122" t="s">
        <v>3564</v>
      </c>
      <c r="O262" s="122" t="s">
        <v>3565</v>
      </c>
      <c r="P262" s="122" t="s">
        <v>3811</v>
      </c>
    </row>
    <row r="263" spans="1:16" ht="82.05" customHeight="1" x14ac:dyDescent="0.3">
      <c r="A263" s="50" t="s">
        <v>1433</v>
      </c>
      <c r="B263" s="50" t="s">
        <v>18</v>
      </c>
      <c r="C263" s="50" t="s">
        <v>27</v>
      </c>
      <c r="D263" s="50" t="s">
        <v>380</v>
      </c>
      <c r="E263" s="121">
        <v>-740307772</v>
      </c>
      <c r="F263" s="121">
        <v>-740307772</v>
      </c>
      <c r="G263" s="121" t="s">
        <v>1109</v>
      </c>
      <c r="H263" s="121">
        <f t="shared" si="8"/>
        <v>-740.307772</v>
      </c>
      <c r="I263" s="121">
        <f>KOHC!F95</f>
        <v>-740.307772</v>
      </c>
      <c r="J263" s="121">
        <f t="shared" si="9"/>
        <v>0</v>
      </c>
      <c r="K263" s="50" t="s">
        <v>1119</v>
      </c>
      <c r="L263" s="50">
        <v>60</v>
      </c>
      <c r="M263" s="50" t="s">
        <v>1106</v>
      </c>
      <c r="N263" s="68" t="s">
        <v>3564</v>
      </c>
      <c r="O263" s="68" t="s">
        <v>3565</v>
      </c>
      <c r="P263" s="68" t="s">
        <v>3812</v>
      </c>
    </row>
    <row r="264" spans="1:16" ht="82.05" customHeight="1" x14ac:dyDescent="0.3">
      <c r="A264" s="119" t="s">
        <v>1434</v>
      </c>
      <c r="B264" s="119" t="s">
        <v>18</v>
      </c>
      <c r="C264" s="119" t="s">
        <v>28</v>
      </c>
      <c r="D264" s="119" t="s">
        <v>380</v>
      </c>
      <c r="E264" s="120">
        <v>-677380845</v>
      </c>
      <c r="F264" s="120">
        <v>-677380845</v>
      </c>
      <c r="G264" s="120" t="s">
        <v>1109</v>
      </c>
      <c r="H264" s="120">
        <f t="shared" si="8"/>
        <v>-677.38084500000002</v>
      </c>
      <c r="I264" s="120">
        <f>KOHC!G95</f>
        <v>-677.38084500000002</v>
      </c>
      <c r="J264" s="120">
        <f t="shared" si="9"/>
        <v>0</v>
      </c>
      <c r="K264" s="119" t="s">
        <v>1123</v>
      </c>
      <c r="L264" s="119">
        <v>70</v>
      </c>
      <c r="M264" s="119" t="s">
        <v>1106</v>
      </c>
      <c r="N264" s="122" t="s">
        <v>3564</v>
      </c>
      <c r="O264" s="122" t="s">
        <v>3565</v>
      </c>
      <c r="P264" s="122" t="s">
        <v>3813</v>
      </c>
    </row>
    <row r="265" spans="1:16" ht="82.05" customHeight="1" x14ac:dyDescent="0.3">
      <c r="A265" s="50" t="s">
        <v>1435</v>
      </c>
      <c r="B265" s="50" t="s">
        <v>18</v>
      </c>
      <c r="C265" s="50" t="s">
        <v>29</v>
      </c>
      <c r="D265" s="50" t="s">
        <v>380</v>
      </c>
      <c r="E265" s="121">
        <v>-349910716</v>
      </c>
      <c r="F265" s="121">
        <v>-349910716</v>
      </c>
      <c r="G265" s="121" t="s">
        <v>1109</v>
      </c>
      <c r="H265" s="121">
        <f t="shared" si="8"/>
        <v>-349.91071599999998</v>
      </c>
      <c r="I265" s="121">
        <f>KOHC!H95</f>
        <v>-349.91071599999998</v>
      </c>
      <c r="J265" s="121">
        <f t="shared" si="9"/>
        <v>0</v>
      </c>
      <c r="K265" s="50" t="s">
        <v>1123</v>
      </c>
      <c r="L265" s="50">
        <v>70</v>
      </c>
      <c r="M265" s="50" t="s">
        <v>1127</v>
      </c>
      <c r="N265" s="68" t="s">
        <v>3564</v>
      </c>
      <c r="O265" s="68" t="s">
        <v>3565</v>
      </c>
      <c r="P265" s="68" t="s">
        <v>3814</v>
      </c>
    </row>
    <row r="266" spans="1:16" ht="82.05" customHeight="1" x14ac:dyDescent="0.3">
      <c r="A266" s="119" t="s">
        <v>1436</v>
      </c>
      <c r="B266" s="119" t="s">
        <v>18</v>
      </c>
      <c r="C266" s="119" t="s">
        <v>20</v>
      </c>
      <c r="D266" s="119" t="s">
        <v>384</v>
      </c>
      <c r="E266" s="120">
        <v>0</v>
      </c>
      <c r="F266" s="120">
        <v>0</v>
      </c>
      <c r="G266" s="120" t="s">
        <v>1109</v>
      </c>
      <c r="H266" s="120">
        <f t="shared" si="8"/>
        <v>0</v>
      </c>
      <c r="I266" s="120">
        <f>KOHC!D97</f>
        <v>0</v>
      </c>
      <c r="J266" s="120">
        <f t="shared" si="9"/>
        <v>0</v>
      </c>
      <c r="K266" s="119" t="s">
        <v>1112</v>
      </c>
      <c r="L266" s="119">
        <v>54</v>
      </c>
      <c r="M266" s="119" t="s">
        <v>1106</v>
      </c>
      <c r="N266" s="122" t="s">
        <v>3578</v>
      </c>
      <c r="O266" s="122" t="s">
        <v>3579</v>
      </c>
      <c r="P266" s="122" t="s">
        <v>3815</v>
      </c>
    </row>
    <row r="267" spans="1:16" ht="82.05" customHeight="1" x14ac:dyDescent="0.3">
      <c r="A267" s="50" t="s">
        <v>1437</v>
      </c>
      <c r="B267" s="50" t="s">
        <v>18</v>
      </c>
      <c r="C267" s="50" t="s">
        <v>26</v>
      </c>
      <c r="D267" s="50" t="s">
        <v>384</v>
      </c>
      <c r="E267" s="121">
        <v>0</v>
      </c>
      <c r="F267" s="121">
        <v>0</v>
      </c>
      <c r="G267" s="121" t="s">
        <v>1109</v>
      </c>
      <c r="H267" s="121">
        <f t="shared" si="8"/>
        <v>0</v>
      </c>
      <c r="I267" s="121">
        <f>KOHC!E97</f>
        <v>0</v>
      </c>
      <c r="J267" s="121">
        <f t="shared" si="9"/>
        <v>0</v>
      </c>
      <c r="K267" s="50" t="s">
        <v>1116</v>
      </c>
      <c r="L267" s="50">
        <v>54</v>
      </c>
      <c r="M267" s="50" t="s">
        <v>1106</v>
      </c>
      <c r="N267" s="68" t="s">
        <v>3578</v>
      </c>
      <c r="O267" s="68" t="s">
        <v>3579</v>
      </c>
      <c r="P267" s="68" t="s">
        <v>3816</v>
      </c>
    </row>
    <row r="268" spans="1:16" ht="82.05" customHeight="1" x14ac:dyDescent="0.3">
      <c r="A268" s="119" t="s">
        <v>1438</v>
      </c>
      <c r="B268" s="119" t="s">
        <v>18</v>
      </c>
      <c r="C268" s="119" t="s">
        <v>27</v>
      </c>
      <c r="D268" s="119" t="s">
        <v>384</v>
      </c>
      <c r="E268" s="120">
        <v>-343981005</v>
      </c>
      <c r="F268" s="120">
        <v>-343981005</v>
      </c>
      <c r="G268" s="120" t="s">
        <v>1109</v>
      </c>
      <c r="H268" s="120">
        <f t="shared" si="8"/>
        <v>-343.98100499999998</v>
      </c>
      <c r="I268" s="120">
        <f>KOHC!F97</f>
        <v>-343.98100499999998</v>
      </c>
      <c r="J268" s="120">
        <f t="shared" si="9"/>
        <v>0</v>
      </c>
      <c r="K268" s="119" t="s">
        <v>1119</v>
      </c>
      <c r="L268" s="119">
        <v>60</v>
      </c>
      <c r="M268" s="119" t="s">
        <v>1106</v>
      </c>
      <c r="N268" s="122" t="s">
        <v>3564</v>
      </c>
      <c r="O268" s="122" t="s">
        <v>3565</v>
      </c>
      <c r="P268" s="122" t="s">
        <v>3817</v>
      </c>
    </row>
    <row r="269" spans="1:16" ht="82.05" customHeight="1" x14ac:dyDescent="0.3">
      <c r="A269" s="50" t="s">
        <v>1440</v>
      </c>
      <c r="B269" s="50" t="s">
        <v>18</v>
      </c>
      <c r="C269" s="50" t="s">
        <v>28</v>
      </c>
      <c r="D269" s="50" t="s">
        <v>384</v>
      </c>
      <c r="E269" s="121">
        <v>-844151365</v>
      </c>
      <c r="F269" s="121">
        <v>-844151365</v>
      </c>
      <c r="G269" s="121" t="s">
        <v>1109</v>
      </c>
      <c r="H269" s="121">
        <f t="shared" si="8"/>
        <v>-844.15136500000006</v>
      </c>
      <c r="I269" s="121">
        <f>KOHC!G97</f>
        <v>-844.15136500000006</v>
      </c>
      <c r="J269" s="121">
        <f t="shared" si="9"/>
        <v>0</v>
      </c>
      <c r="K269" s="50" t="s">
        <v>1123</v>
      </c>
      <c r="L269" s="50">
        <v>70</v>
      </c>
      <c r="M269" s="50" t="s">
        <v>1106</v>
      </c>
      <c r="N269" s="68" t="s">
        <v>3564</v>
      </c>
      <c r="O269" s="68" t="s">
        <v>3565</v>
      </c>
      <c r="P269" s="68" t="s">
        <v>3818</v>
      </c>
    </row>
    <row r="270" spans="1:16" ht="82.05" customHeight="1" x14ac:dyDescent="0.3">
      <c r="A270" s="119" t="s">
        <v>1441</v>
      </c>
      <c r="B270" s="119" t="s">
        <v>18</v>
      </c>
      <c r="C270" s="119" t="s">
        <v>29</v>
      </c>
      <c r="D270" s="119" t="s">
        <v>384</v>
      </c>
      <c r="E270" s="120">
        <v>-58631368</v>
      </c>
      <c r="F270" s="120">
        <v>-58631368</v>
      </c>
      <c r="G270" s="120" t="s">
        <v>1109</v>
      </c>
      <c r="H270" s="120">
        <f t="shared" si="8"/>
        <v>-58.631368000000002</v>
      </c>
      <c r="I270" s="120">
        <f>KOHC!H97</f>
        <v>-58.631368000000002</v>
      </c>
      <c r="J270" s="120">
        <f t="shared" si="9"/>
        <v>0</v>
      </c>
      <c r="K270" s="119" t="s">
        <v>1123</v>
      </c>
      <c r="L270" s="119">
        <v>70</v>
      </c>
      <c r="M270" s="119" t="s">
        <v>1127</v>
      </c>
      <c r="N270" s="122" t="s">
        <v>3564</v>
      </c>
      <c r="O270" s="122" t="s">
        <v>3565</v>
      </c>
      <c r="P270" s="122" t="s">
        <v>3819</v>
      </c>
    </row>
    <row r="271" spans="1:16" ht="82.05" customHeight="1" x14ac:dyDescent="0.3">
      <c r="A271" s="50" t="s">
        <v>1442</v>
      </c>
      <c r="B271" s="50" t="s">
        <v>18</v>
      </c>
      <c r="C271" s="50" t="s">
        <v>20</v>
      </c>
      <c r="D271" s="50" t="s">
        <v>386</v>
      </c>
      <c r="E271" s="121">
        <v>-1388447360</v>
      </c>
      <c r="F271" s="121">
        <v>-1388447360</v>
      </c>
      <c r="G271" s="121" t="s">
        <v>1109</v>
      </c>
      <c r="H271" s="121">
        <f t="shared" si="8"/>
        <v>-1388.4473599999999</v>
      </c>
      <c r="I271" s="121">
        <f>KOHC!D98</f>
        <v>-1388.4473599999999</v>
      </c>
      <c r="J271" s="121">
        <f t="shared" si="9"/>
        <v>0</v>
      </c>
      <c r="K271" s="50" t="s">
        <v>1112</v>
      </c>
      <c r="L271" s="50">
        <v>54</v>
      </c>
      <c r="M271" s="50" t="s">
        <v>1106</v>
      </c>
      <c r="N271" s="68" t="s">
        <v>3564</v>
      </c>
      <c r="O271" s="68" t="s">
        <v>3565</v>
      </c>
      <c r="P271" s="68" t="s">
        <v>3820</v>
      </c>
    </row>
    <row r="272" spans="1:16" ht="82.05" customHeight="1" x14ac:dyDescent="0.3">
      <c r="A272" s="119" t="s">
        <v>1444</v>
      </c>
      <c r="B272" s="119" t="s">
        <v>18</v>
      </c>
      <c r="C272" s="119" t="s">
        <v>26</v>
      </c>
      <c r="D272" s="119" t="s">
        <v>386</v>
      </c>
      <c r="E272" s="120">
        <v>-3901208866</v>
      </c>
      <c r="F272" s="120">
        <v>-3901208866</v>
      </c>
      <c r="G272" s="120" t="s">
        <v>1109</v>
      </c>
      <c r="H272" s="120">
        <f t="shared" si="8"/>
        <v>-3901.2088659999999</v>
      </c>
      <c r="I272" s="120">
        <f>KOHC!E98</f>
        <v>-3901.2088659999999</v>
      </c>
      <c r="J272" s="120">
        <f t="shared" si="9"/>
        <v>0</v>
      </c>
      <c r="K272" s="119" t="s">
        <v>1116</v>
      </c>
      <c r="L272" s="119">
        <v>54</v>
      </c>
      <c r="M272" s="119" t="s">
        <v>1106</v>
      </c>
      <c r="N272" s="122" t="s">
        <v>3564</v>
      </c>
      <c r="O272" s="122" t="s">
        <v>3565</v>
      </c>
      <c r="P272" s="122" t="s">
        <v>3821</v>
      </c>
    </row>
    <row r="273" spans="1:16" ht="82.05" customHeight="1" x14ac:dyDescent="0.3">
      <c r="A273" s="50" t="s">
        <v>1445</v>
      </c>
      <c r="B273" s="50" t="s">
        <v>18</v>
      </c>
      <c r="C273" s="50" t="s">
        <v>27</v>
      </c>
      <c r="D273" s="50" t="s">
        <v>386</v>
      </c>
      <c r="E273" s="121">
        <v>-4304595678</v>
      </c>
      <c r="F273" s="121">
        <v>-4304595678</v>
      </c>
      <c r="G273" s="121" t="s">
        <v>1109</v>
      </c>
      <c r="H273" s="121">
        <f t="shared" si="8"/>
        <v>-4304.5956779999997</v>
      </c>
      <c r="I273" s="121">
        <f>KOHC!F98</f>
        <v>-4304.5956779999997</v>
      </c>
      <c r="J273" s="121">
        <f t="shared" si="9"/>
        <v>0</v>
      </c>
      <c r="K273" s="50" t="s">
        <v>1119</v>
      </c>
      <c r="L273" s="50">
        <v>60</v>
      </c>
      <c r="M273" s="50" t="s">
        <v>1106</v>
      </c>
      <c r="N273" s="68" t="s">
        <v>3564</v>
      </c>
      <c r="O273" s="68" t="s">
        <v>3565</v>
      </c>
      <c r="P273" s="68" t="s">
        <v>3822</v>
      </c>
    </row>
    <row r="274" spans="1:16" ht="82.05" customHeight="1" x14ac:dyDescent="0.3">
      <c r="A274" s="119" t="s">
        <v>1446</v>
      </c>
      <c r="B274" s="119" t="s">
        <v>18</v>
      </c>
      <c r="C274" s="119" t="s">
        <v>28</v>
      </c>
      <c r="D274" s="119" t="s">
        <v>386</v>
      </c>
      <c r="E274" s="120">
        <v>-4038678948</v>
      </c>
      <c r="F274" s="120">
        <v>-4038678948</v>
      </c>
      <c r="G274" s="120" t="s">
        <v>1109</v>
      </c>
      <c r="H274" s="120">
        <f t="shared" si="8"/>
        <v>-4038.6789480000002</v>
      </c>
      <c r="I274" s="120">
        <f>KOHC!G98</f>
        <v>-4038.6789480000002</v>
      </c>
      <c r="J274" s="120">
        <f t="shared" si="9"/>
        <v>0</v>
      </c>
      <c r="K274" s="119" t="s">
        <v>1123</v>
      </c>
      <c r="L274" s="119">
        <v>70</v>
      </c>
      <c r="M274" s="119" t="s">
        <v>1106</v>
      </c>
      <c r="N274" s="122" t="s">
        <v>3564</v>
      </c>
      <c r="O274" s="122" t="s">
        <v>3565</v>
      </c>
      <c r="P274" s="122" t="s">
        <v>3823</v>
      </c>
    </row>
    <row r="275" spans="1:16" ht="82.05" customHeight="1" x14ac:dyDescent="0.3">
      <c r="A275" s="50" t="s">
        <v>1447</v>
      </c>
      <c r="B275" s="50" t="s">
        <v>18</v>
      </c>
      <c r="C275" s="50" t="s">
        <v>29</v>
      </c>
      <c r="D275" s="50" t="s">
        <v>386</v>
      </c>
      <c r="E275" s="121">
        <v>-6113037978</v>
      </c>
      <c r="F275" s="121">
        <v>-6113037978</v>
      </c>
      <c r="G275" s="121" t="s">
        <v>1109</v>
      </c>
      <c r="H275" s="121">
        <f t="shared" si="8"/>
        <v>-6113.0379780000003</v>
      </c>
      <c r="I275" s="121">
        <f>KOHC!H98</f>
        <v>-6113.0379780000003</v>
      </c>
      <c r="J275" s="121">
        <f t="shared" si="9"/>
        <v>0</v>
      </c>
      <c r="K275" s="50" t="s">
        <v>1123</v>
      </c>
      <c r="L275" s="50">
        <v>70</v>
      </c>
      <c r="M275" s="50" t="s">
        <v>1127</v>
      </c>
      <c r="N275" s="68" t="s">
        <v>3564</v>
      </c>
      <c r="O275" s="68" t="s">
        <v>3565</v>
      </c>
      <c r="P275" s="68" t="s">
        <v>3824</v>
      </c>
    </row>
    <row r="276" spans="1:16" ht="82.05" customHeight="1" x14ac:dyDescent="0.3">
      <c r="A276" s="119" t="s">
        <v>1448</v>
      </c>
      <c r="B276" s="119" t="s">
        <v>18</v>
      </c>
      <c r="C276" s="119" t="s">
        <v>20</v>
      </c>
      <c r="D276" s="119" t="s">
        <v>390</v>
      </c>
      <c r="E276" s="120">
        <v>5965349059</v>
      </c>
      <c r="F276" s="120">
        <v>5965349059</v>
      </c>
      <c r="G276" s="120" t="s">
        <v>1109</v>
      </c>
      <c r="H276" s="120">
        <f t="shared" si="8"/>
        <v>5965.3490590000001</v>
      </c>
      <c r="I276" s="120">
        <f>KOHC!D100</f>
        <v>5965.3490590000001</v>
      </c>
      <c r="J276" s="120">
        <f t="shared" si="9"/>
        <v>0</v>
      </c>
      <c r="K276" s="119" t="s">
        <v>1112</v>
      </c>
      <c r="L276" s="119">
        <v>54</v>
      </c>
      <c r="M276" s="119" t="s">
        <v>1106</v>
      </c>
      <c r="N276" s="122" t="s">
        <v>3564</v>
      </c>
      <c r="O276" s="122" t="s">
        <v>3565</v>
      </c>
      <c r="P276" s="122" t="s">
        <v>3825</v>
      </c>
    </row>
    <row r="277" spans="1:16" ht="82.05" customHeight="1" x14ac:dyDescent="0.3">
      <c r="A277" s="50" t="s">
        <v>1450</v>
      </c>
      <c r="B277" s="50" t="s">
        <v>18</v>
      </c>
      <c r="C277" s="50" t="s">
        <v>26</v>
      </c>
      <c r="D277" s="50" t="s">
        <v>390</v>
      </c>
      <c r="E277" s="121">
        <v>9811768509</v>
      </c>
      <c r="F277" s="121">
        <v>9811768509</v>
      </c>
      <c r="G277" s="121" t="s">
        <v>1109</v>
      </c>
      <c r="H277" s="121">
        <f t="shared" si="8"/>
        <v>9811.7685089999995</v>
      </c>
      <c r="I277" s="121">
        <f>KOHC!E100</f>
        <v>9811.7685089999995</v>
      </c>
      <c r="J277" s="121">
        <f t="shared" si="9"/>
        <v>0</v>
      </c>
      <c r="K277" s="50" t="s">
        <v>1116</v>
      </c>
      <c r="L277" s="50">
        <v>54</v>
      </c>
      <c r="M277" s="50" t="s">
        <v>1106</v>
      </c>
      <c r="N277" s="68" t="s">
        <v>3564</v>
      </c>
      <c r="O277" s="68" t="s">
        <v>3565</v>
      </c>
      <c r="P277" s="68" t="s">
        <v>3826</v>
      </c>
    </row>
    <row r="278" spans="1:16" ht="82.05" customHeight="1" x14ac:dyDescent="0.3">
      <c r="A278" s="119" t="s">
        <v>1451</v>
      </c>
      <c r="B278" s="119" t="s">
        <v>18</v>
      </c>
      <c r="C278" s="119" t="s">
        <v>27</v>
      </c>
      <c r="D278" s="119" t="s">
        <v>390</v>
      </c>
      <c r="E278" s="120">
        <v>10432694019</v>
      </c>
      <c r="F278" s="120">
        <v>10432694019</v>
      </c>
      <c r="G278" s="120" t="s">
        <v>1109</v>
      </c>
      <c r="H278" s="120">
        <f t="shared" si="8"/>
        <v>10432.694019</v>
      </c>
      <c r="I278" s="120">
        <f>KOHC!F100</f>
        <v>10432.694019</v>
      </c>
      <c r="J278" s="120">
        <f t="shared" si="9"/>
        <v>0</v>
      </c>
      <c r="K278" s="119" t="s">
        <v>1119</v>
      </c>
      <c r="L278" s="119">
        <v>60</v>
      </c>
      <c r="M278" s="119" t="s">
        <v>1106</v>
      </c>
      <c r="N278" s="122" t="s">
        <v>3564</v>
      </c>
      <c r="O278" s="122" t="s">
        <v>3565</v>
      </c>
      <c r="P278" s="122" t="s">
        <v>3827</v>
      </c>
    </row>
    <row r="279" spans="1:16" ht="82.05" customHeight="1" x14ac:dyDescent="0.3">
      <c r="A279" s="50" t="s">
        <v>1452</v>
      </c>
      <c r="B279" s="50" t="s">
        <v>18</v>
      </c>
      <c r="C279" s="50" t="s">
        <v>28</v>
      </c>
      <c r="D279" s="50" t="s">
        <v>390</v>
      </c>
      <c r="E279" s="121">
        <v>11256491495</v>
      </c>
      <c r="F279" s="121">
        <v>11256491495</v>
      </c>
      <c r="G279" s="121" t="s">
        <v>1109</v>
      </c>
      <c r="H279" s="121">
        <f t="shared" si="8"/>
        <v>11256.491495</v>
      </c>
      <c r="I279" s="121">
        <f>KOHC!G100</f>
        <v>11256.491495</v>
      </c>
      <c r="J279" s="121">
        <f t="shared" si="9"/>
        <v>0</v>
      </c>
      <c r="K279" s="50" t="s">
        <v>1123</v>
      </c>
      <c r="L279" s="50">
        <v>70</v>
      </c>
      <c r="M279" s="50" t="s">
        <v>1106</v>
      </c>
      <c r="N279" s="68" t="s">
        <v>3564</v>
      </c>
      <c r="O279" s="68" t="s">
        <v>3565</v>
      </c>
      <c r="P279" s="68" t="s">
        <v>3828</v>
      </c>
    </row>
    <row r="280" spans="1:16" ht="82.05" customHeight="1" x14ac:dyDescent="0.3">
      <c r="A280" s="119" t="s">
        <v>1453</v>
      </c>
      <c r="B280" s="119" t="s">
        <v>18</v>
      </c>
      <c r="C280" s="119" t="s">
        <v>29</v>
      </c>
      <c r="D280" s="119" t="s">
        <v>390</v>
      </c>
      <c r="E280" s="120">
        <v>14721606101</v>
      </c>
      <c r="F280" s="120">
        <v>14721606101</v>
      </c>
      <c r="G280" s="120" t="s">
        <v>1109</v>
      </c>
      <c r="H280" s="120">
        <f t="shared" si="8"/>
        <v>14721.606100999999</v>
      </c>
      <c r="I280" s="120">
        <f>KOHC!H100</f>
        <v>14721.606100999999</v>
      </c>
      <c r="J280" s="120">
        <f t="shared" si="9"/>
        <v>0</v>
      </c>
      <c r="K280" s="119" t="s">
        <v>1123</v>
      </c>
      <c r="L280" s="119">
        <v>70</v>
      </c>
      <c r="M280" s="119" t="s">
        <v>1127</v>
      </c>
      <c r="N280" s="122" t="s">
        <v>3564</v>
      </c>
      <c r="O280" s="122" t="s">
        <v>3565</v>
      </c>
      <c r="P280" s="122" t="s">
        <v>3829</v>
      </c>
    </row>
    <row r="281" spans="1:16" ht="82.05" customHeight="1" x14ac:dyDescent="0.3">
      <c r="A281" s="50" t="s">
        <v>1454</v>
      </c>
      <c r="B281" s="50" t="s">
        <v>18</v>
      </c>
      <c r="C281" s="50" t="s">
        <v>20</v>
      </c>
      <c r="D281" s="50" t="s">
        <v>392</v>
      </c>
      <c r="E281" s="121">
        <v>4885954607</v>
      </c>
      <c r="F281" s="121">
        <v>4885954607</v>
      </c>
      <c r="G281" s="121" t="s">
        <v>1109</v>
      </c>
      <c r="H281" s="121">
        <f t="shared" si="8"/>
        <v>4885.9546069999997</v>
      </c>
      <c r="I281" s="121">
        <f>KOHC!D101</f>
        <v>4885.9546069999997</v>
      </c>
      <c r="J281" s="121">
        <f t="shared" si="9"/>
        <v>0</v>
      </c>
      <c r="K281" s="50" t="s">
        <v>1112</v>
      </c>
      <c r="L281" s="50">
        <v>54</v>
      </c>
      <c r="M281" s="50" t="s">
        <v>1106</v>
      </c>
      <c r="N281" s="68" t="s">
        <v>3564</v>
      </c>
      <c r="O281" s="68" t="s">
        <v>3565</v>
      </c>
      <c r="P281" s="68" t="s">
        <v>3830</v>
      </c>
    </row>
    <row r="282" spans="1:16" ht="82.05" customHeight="1" x14ac:dyDescent="0.3">
      <c r="A282" s="119" t="s">
        <v>1456</v>
      </c>
      <c r="B282" s="119" t="s">
        <v>18</v>
      </c>
      <c r="C282" s="119" t="s">
        <v>26</v>
      </c>
      <c r="D282" s="119" t="s">
        <v>392</v>
      </c>
      <c r="E282" s="120">
        <v>8925489126</v>
      </c>
      <c r="F282" s="120">
        <v>8925489126</v>
      </c>
      <c r="G282" s="120" t="s">
        <v>1109</v>
      </c>
      <c r="H282" s="120">
        <f t="shared" si="8"/>
        <v>8925.4891260000004</v>
      </c>
      <c r="I282" s="120">
        <f>KOHC!E101</f>
        <v>8925.4891260000004</v>
      </c>
      <c r="J282" s="120">
        <f t="shared" si="9"/>
        <v>0</v>
      </c>
      <c r="K282" s="119" t="s">
        <v>1116</v>
      </c>
      <c r="L282" s="119">
        <v>54</v>
      </c>
      <c r="M282" s="119" t="s">
        <v>1106</v>
      </c>
      <c r="N282" s="122" t="s">
        <v>3564</v>
      </c>
      <c r="O282" s="122" t="s">
        <v>3565</v>
      </c>
      <c r="P282" s="122" t="s">
        <v>3831</v>
      </c>
    </row>
    <row r="283" spans="1:16" ht="82.05" customHeight="1" x14ac:dyDescent="0.3">
      <c r="A283" s="50" t="s">
        <v>1457</v>
      </c>
      <c r="B283" s="50" t="s">
        <v>18</v>
      </c>
      <c r="C283" s="50" t="s">
        <v>27</v>
      </c>
      <c r="D283" s="50" t="s">
        <v>392</v>
      </c>
      <c r="E283" s="121">
        <v>10469327828</v>
      </c>
      <c r="F283" s="121">
        <v>10469327828</v>
      </c>
      <c r="G283" s="121" t="s">
        <v>1109</v>
      </c>
      <c r="H283" s="121">
        <f t="shared" si="8"/>
        <v>10469.327827999999</v>
      </c>
      <c r="I283" s="121">
        <f>KOHC!F101</f>
        <v>10469.327827999999</v>
      </c>
      <c r="J283" s="121">
        <f t="shared" si="9"/>
        <v>0</v>
      </c>
      <c r="K283" s="50" t="s">
        <v>1119</v>
      </c>
      <c r="L283" s="50">
        <v>60</v>
      </c>
      <c r="M283" s="50" t="s">
        <v>1106</v>
      </c>
      <c r="N283" s="68" t="s">
        <v>3564</v>
      </c>
      <c r="O283" s="68" t="s">
        <v>3565</v>
      </c>
      <c r="P283" s="68" t="s">
        <v>3832</v>
      </c>
    </row>
    <row r="284" spans="1:16" ht="82.05" customHeight="1" x14ac:dyDescent="0.3">
      <c r="A284" s="119" t="s">
        <v>1459</v>
      </c>
      <c r="B284" s="119" t="s">
        <v>18</v>
      </c>
      <c r="C284" s="119" t="s">
        <v>28</v>
      </c>
      <c r="D284" s="119" t="s">
        <v>392</v>
      </c>
      <c r="E284" s="120">
        <v>13776285100</v>
      </c>
      <c r="F284" s="120">
        <v>13776285100</v>
      </c>
      <c r="G284" s="120" t="s">
        <v>1109</v>
      </c>
      <c r="H284" s="120">
        <f t="shared" si="8"/>
        <v>13776.285099999999</v>
      </c>
      <c r="I284" s="120">
        <f>KOHC!G101</f>
        <v>13776.285099999999</v>
      </c>
      <c r="J284" s="120">
        <f t="shared" si="9"/>
        <v>0</v>
      </c>
      <c r="K284" s="119" t="s">
        <v>1123</v>
      </c>
      <c r="L284" s="119">
        <v>70</v>
      </c>
      <c r="M284" s="119" t="s">
        <v>1106</v>
      </c>
      <c r="N284" s="122" t="s">
        <v>3564</v>
      </c>
      <c r="O284" s="122" t="s">
        <v>3565</v>
      </c>
      <c r="P284" s="122" t="s">
        <v>3833</v>
      </c>
    </row>
    <row r="285" spans="1:16" ht="82.05" customHeight="1" x14ac:dyDescent="0.3">
      <c r="A285" s="50" t="s">
        <v>1460</v>
      </c>
      <c r="B285" s="50" t="s">
        <v>18</v>
      </c>
      <c r="C285" s="50" t="s">
        <v>29</v>
      </c>
      <c r="D285" s="50" t="s">
        <v>392</v>
      </c>
      <c r="E285" s="121">
        <v>17746823417</v>
      </c>
      <c r="F285" s="121">
        <v>17746823417</v>
      </c>
      <c r="G285" s="121" t="s">
        <v>1109</v>
      </c>
      <c r="H285" s="121">
        <f t="shared" si="8"/>
        <v>17746.823417</v>
      </c>
      <c r="I285" s="121">
        <f>KOHC!H101</f>
        <v>17746.823417</v>
      </c>
      <c r="J285" s="121">
        <f t="shared" si="9"/>
        <v>0</v>
      </c>
      <c r="K285" s="50" t="s">
        <v>1123</v>
      </c>
      <c r="L285" s="50">
        <v>70</v>
      </c>
      <c r="M285" s="50" t="s">
        <v>1127</v>
      </c>
      <c r="N285" s="68" t="s">
        <v>3564</v>
      </c>
      <c r="O285" s="68" t="s">
        <v>3565</v>
      </c>
      <c r="P285" s="68" t="s">
        <v>3834</v>
      </c>
    </row>
    <row r="286" spans="1:16" ht="82.05" customHeight="1" x14ac:dyDescent="0.3">
      <c r="A286" s="119" t="s">
        <v>1461</v>
      </c>
      <c r="B286" s="119" t="s">
        <v>18</v>
      </c>
      <c r="C286" s="119" t="s">
        <v>20</v>
      </c>
      <c r="D286" s="119" t="s">
        <v>394</v>
      </c>
      <c r="E286" s="120">
        <v>3497507247</v>
      </c>
      <c r="F286" s="120">
        <v>3497507247</v>
      </c>
      <c r="G286" s="120" t="s">
        <v>1109</v>
      </c>
      <c r="H286" s="120">
        <f t="shared" si="8"/>
        <v>3497.507247</v>
      </c>
      <c r="I286" s="120">
        <f>KOHC!D102</f>
        <v>3497.507247</v>
      </c>
      <c r="J286" s="120">
        <f t="shared" si="9"/>
        <v>0</v>
      </c>
      <c r="K286" s="119" t="s">
        <v>1112</v>
      </c>
      <c r="L286" s="119">
        <v>54</v>
      </c>
      <c r="M286" s="119" t="s">
        <v>1106</v>
      </c>
      <c r="N286" s="122" t="s">
        <v>3564</v>
      </c>
      <c r="O286" s="122" t="s">
        <v>3565</v>
      </c>
      <c r="P286" s="122" t="s">
        <v>3835</v>
      </c>
    </row>
    <row r="287" spans="1:16" ht="82.05" customHeight="1" x14ac:dyDescent="0.3">
      <c r="A287" s="50" t="s">
        <v>1463</v>
      </c>
      <c r="B287" s="50" t="s">
        <v>18</v>
      </c>
      <c r="C287" s="50" t="s">
        <v>26</v>
      </c>
      <c r="D287" s="50" t="s">
        <v>394</v>
      </c>
      <c r="E287" s="121">
        <v>5024280260</v>
      </c>
      <c r="F287" s="121">
        <v>5024280260</v>
      </c>
      <c r="G287" s="121" t="s">
        <v>1109</v>
      </c>
      <c r="H287" s="121">
        <f t="shared" si="8"/>
        <v>5024.2802600000005</v>
      </c>
      <c r="I287" s="121">
        <f>KOHC!E102</f>
        <v>5024.2802600000005</v>
      </c>
      <c r="J287" s="121">
        <f t="shared" si="9"/>
        <v>0</v>
      </c>
      <c r="K287" s="50" t="s">
        <v>1116</v>
      </c>
      <c r="L287" s="50">
        <v>54</v>
      </c>
      <c r="M287" s="50" t="s">
        <v>1106</v>
      </c>
      <c r="N287" s="68" t="s">
        <v>3564</v>
      </c>
      <c r="O287" s="68" t="s">
        <v>3565</v>
      </c>
      <c r="P287" s="68" t="s">
        <v>3836</v>
      </c>
    </row>
    <row r="288" spans="1:16" ht="82.05" customHeight="1" x14ac:dyDescent="0.3">
      <c r="A288" s="119" t="s">
        <v>1464</v>
      </c>
      <c r="B288" s="119" t="s">
        <v>18</v>
      </c>
      <c r="C288" s="119" t="s">
        <v>27</v>
      </c>
      <c r="D288" s="119" t="s">
        <v>394</v>
      </c>
      <c r="E288" s="120">
        <v>5820751145</v>
      </c>
      <c r="F288" s="120">
        <v>5820751145</v>
      </c>
      <c r="G288" s="120" t="s">
        <v>1109</v>
      </c>
      <c r="H288" s="120">
        <f t="shared" si="8"/>
        <v>5820.7511450000002</v>
      </c>
      <c r="I288" s="120">
        <f>KOHC!F102</f>
        <v>5820.7511450000002</v>
      </c>
      <c r="J288" s="120">
        <f t="shared" si="9"/>
        <v>0</v>
      </c>
      <c r="K288" s="119" t="s">
        <v>1119</v>
      </c>
      <c r="L288" s="119">
        <v>60</v>
      </c>
      <c r="M288" s="119" t="s">
        <v>1106</v>
      </c>
      <c r="N288" s="122" t="s">
        <v>3564</v>
      </c>
      <c r="O288" s="122" t="s">
        <v>3565</v>
      </c>
      <c r="P288" s="122" t="s">
        <v>3837</v>
      </c>
    </row>
    <row r="289" spans="1:16" ht="82.05" customHeight="1" x14ac:dyDescent="0.3">
      <c r="A289" s="50" t="s">
        <v>1465</v>
      </c>
      <c r="B289" s="50" t="s">
        <v>18</v>
      </c>
      <c r="C289" s="50" t="s">
        <v>28</v>
      </c>
      <c r="D289" s="50" t="s">
        <v>394</v>
      </c>
      <c r="E289" s="121">
        <v>8893454787</v>
      </c>
      <c r="F289" s="121">
        <v>8893454787</v>
      </c>
      <c r="G289" s="121" t="s">
        <v>1109</v>
      </c>
      <c r="H289" s="121">
        <f t="shared" si="8"/>
        <v>8893.4547870000006</v>
      </c>
      <c r="I289" s="121">
        <f>KOHC!G102</f>
        <v>8893.4547870000006</v>
      </c>
      <c r="J289" s="121">
        <f t="shared" si="9"/>
        <v>0</v>
      </c>
      <c r="K289" s="50" t="s">
        <v>1123</v>
      </c>
      <c r="L289" s="50">
        <v>70</v>
      </c>
      <c r="M289" s="50" t="s">
        <v>1106</v>
      </c>
      <c r="N289" s="68" t="s">
        <v>3564</v>
      </c>
      <c r="O289" s="68" t="s">
        <v>3565</v>
      </c>
      <c r="P289" s="68" t="s">
        <v>3838</v>
      </c>
    </row>
    <row r="290" spans="1:16" ht="82.05" customHeight="1" x14ac:dyDescent="0.3">
      <c r="A290" s="119" t="s">
        <v>1466</v>
      </c>
      <c r="B290" s="119" t="s">
        <v>18</v>
      </c>
      <c r="C290" s="119" t="s">
        <v>29</v>
      </c>
      <c r="D290" s="119" t="s">
        <v>394</v>
      </c>
      <c r="E290" s="120">
        <v>11575154071</v>
      </c>
      <c r="F290" s="120">
        <v>11575154071</v>
      </c>
      <c r="G290" s="120" t="s">
        <v>1109</v>
      </c>
      <c r="H290" s="120">
        <f t="shared" si="8"/>
        <v>11575.154071000001</v>
      </c>
      <c r="I290" s="120">
        <f>KOHC!H102</f>
        <v>11575.154071000001</v>
      </c>
      <c r="J290" s="120">
        <f t="shared" si="9"/>
        <v>0</v>
      </c>
      <c r="K290" s="119" t="s">
        <v>1123</v>
      </c>
      <c r="L290" s="119">
        <v>70</v>
      </c>
      <c r="M290" s="119" t="s">
        <v>1127</v>
      </c>
      <c r="N290" s="122" t="s">
        <v>3564</v>
      </c>
      <c r="O290" s="122" t="s">
        <v>3565</v>
      </c>
      <c r="P290" s="122" t="s">
        <v>3839</v>
      </c>
    </row>
    <row r="291" spans="1:16" ht="82.05" customHeight="1" x14ac:dyDescent="0.3">
      <c r="A291" s="50" t="s">
        <v>1467</v>
      </c>
      <c r="B291" s="50" t="s">
        <v>18</v>
      </c>
      <c r="C291" s="50" t="s">
        <v>20</v>
      </c>
      <c r="D291" s="50" t="s">
        <v>398</v>
      </c>
      <c r="E291" s="121">
        <v>26751082</v>
      </c>
      <c r="F291" s="121">
        <v>26751082</v>
      </c>
      <c r="G291" s="121" t="s">
        <v>1109</v>
      </c>
      <c r="H291" s="121">
        <f t="shared" si="8"/>
        <v>26.751082</v>
      </c>
      <c r="I291" s="121">
        <f>KOHC!D105</f>
        <v>26.751082</v>
      </c>
      <c r="J291" s="121">
        <f t="shared" si="9"/>
        <v>0</v>
      </c>
      <c r="K291" s="50" t="s">
        <v>1112</v>
      </c>
      <c r="L291" s="50">
        <v>94</v>
      </c>
      <c r="M291" s="50" t="s">
        <v>1106</v>
      </c>
      <c r="N291" s="68" t="s">
        <v>3564</v>
      </c>
      <c r="O291" s="68" t="s">
        <v>3565</v>
      </c>
      <c r="P291" s="68" t="s">
        <v>3840</v>
      </c>
    </row>
    <row r="292" spans="1:16" ht="82.05" customHeight="1" x14ac:dyDescent="0.3">
      <c r="A292" s="119" t="s">
        <v>1470</v>
      </c>
      <c r="B292" s="119" t="s">
        <v>18</v>
      </c>
      <c r="C292" s="119" t="s">
        <v>26</v>
      </c>
      <c r="D292" s="119" t="s">
        <v>398</v>
      </c>
      <c r="E292" s="120">
        <v>22374466</v>
      </c>
      <c r="F292" s="120">
        <v>22374466</v>
      </c>
      <c r="G292" s="120" t="s">
        <v>1109</v>
      </c>
      <c r="H292" s="120">
        <f t="shared" si="8"/>
        <v>22.374466000000002</v>
      </c>
      <c r="I292" s="120">
        <f>KOHC!E105</f>
        <v>22.374466000000002</v>
      </c>
      <c r="J292" s="120">
        <f t="shared" si="9"/>
        <v>0</v>
      </c>
      <c r="K292" s="119" t="s">
        <v>1116</v>
      </c>
      <c r="L292" s="119">
        <v>92</v>
      </c>
      <c r="M292" s="119" t="s">
        <v>1106</v>
      </c>
      <c r="N292" s="122" t="s">
        <v>3564</v>
      </c>
      <c r="O292" s="122" t="s">
        <v>3565</v>
      </c>
      <c r="P292" s="122" t="s">
        <v>3841</v>
      </c>
    </row>
    <row r="293" spans="1:16" ht="82.05" customHeight="1" x14ac:dyDescent="0.3">
      <c r="A293" s="50" t="s">
        <v>1472</v>
      </c>
      <c r="B293" s="50" t="s">
        <v>18</v>
      </c>
      <c r="C293" s="50" t="s">
        <v>27</v>
      </c>
      <c r="D293" s="50" t="s">
        <v>398</v>
      </c>
      <c r="E293" s="121">
        <v>56744443</v>
      </c>
      <c r="F293" s="121">
        <v>56744443</v>
      </c>
      <c r="G293" s="121" t="s">
        <v>1109</v>
      </c>
      <c r="H293" s="121">
        <f t="shared" si="8"/>
        <v>56.744442999999997</v>
      </c>
      <c r="I293" s="121">
        <f>KOHC!F105</f>
        <v>56.744442999999997</v>
      </c>
      <c r="J293" s="121">
        <f t="shared" si="9"/>
        <v>0</v>
      </c>
      <c r="K293" s="50" t="s">
        <v>1119</v>
      </c>
      <c r="L293" s="50">
        <v>100</v>
      </c>
      <c r="M293" s="50" t="s">
        <v>1106</v>
      </c>
      <c r="N293" s="68" t="s">
        <v>3564</v>
      </c>
      <c r="O293" s="68" t="s">
        <v>3565</v>
      </c>
      <c r="P293" s="68" t="s">
        <v>3842</v>
      </c>
    </row>
    <row r="294" spans="1:16" ht="82.05" customHeight="1" x14ac:dyDescent="0.3">
      <c r="A294" s="119" t="s">
        <v>1474</v>
      </c>
      <c r="B294" s="119" t="s">
        <v>18</v>
      </c>
      <c r="C294" s="119" t="s">
        <v>28</v>
      </c>
      <c r="D294" s="119" t="s">
        <v>398</v>
      </c>
      <c r="E294" s="120">
        <v>31196710</v>
      </c>
      <c r="F294" s="120">
        <v>31196710</v>
      </c>
      <c r="G294" s="120" t="s">
        <v>1109</v>
      </c>
      <c r="H294" s="120">
        <f t="shared" si="8"/>
        <v>31.196709999999999</v>
      </c>
      <c r="I294" s="120">
        <f>KOHC!G105</f>
        <v>31.196709999999999</v>
      </c>
      <c r="J294" s="120">
        <f t="shared" si="9"/>
        <v>0</v>
      </c>
      <c r="K294" s="119" t="s">
        <v>1123</v>
      </c>
      <c r="L294" s="119">
        <v>108</v>
      </c>
      <c r="M294" s="119" t="s">
        <v>1106</v>
      </c>
      <c r="N294" s="122" t="s">
        <v>3564</v>
      </c>
      <c r="O294" s="122" t="s">
        <v>3565</v>
      </c>
      <c r="P294" s="122" t="s">
        <v>3843</v>
      </c>
    </row>
    <row r="295" spans="1:16" ht="82.05" customHeight="1" x14ac:dyDescent="0.3">
      <c r="A295" s="50" t="s">
        <v>1476</v>
      </c>
      <c r="B295" s="50" t="s">
        <v>18</v>
      </c>
      <c r="C295" s="50" t="s">
        <v>29</v>
      </c>
      <c r="D295" s="50" t="s">
        <v>398</v>
      </c>
      <c r="E295" s="121">
        <v>43699977</v>
      </c>
      <c r="F295" s="121">
        <v>43699977</v>
      </c>
      <c r="G295" s="121" t="s">
        <v>1109</v>
      </c>
      <c r="H295" s="121">
        <f t="shared" si="8"/>
        <v>43.699976999999997</v>
      </c>
      <c r="I295" s="121">
        <f>KOHC!H105</f>
        <v>43.699976999999997</v>
      </c>
      <c r="J295" s="121">
        <f t="shared" si="9"/>
        <v>0</v>
      </c>
      <c r="K295" s="50" t="s">
        <v>1123</v>
      </c>
      <c r="L295" s="50">
        <v>108</v>
      </c>
      <c r="M295" s="50" t="s">
        <v>1127</v>
      </c>
      <c r="N295" s="68" t="s">
        <v>3564</v>
      </c>
      <c r="O295" s="68" t="s">
        <v>3565</v>
      </c>
      <c r="P295" s="68" t="s">
        <v>3844</v>
      </c>
    </row>
    <row r="296" spans="1:16" ht="82.05" customHeight="1" x14ac:dyDescent="0.3">
      <c r="A296" s="119" t="s">
        <v>1477</v>
      </c>
      <c r="B296" s="119" t="s">
        <v>18</v>
      </c>
      <c r="C296" s="119" t="s">
        <v>20</v>
      </c>
      <c r="D296" s="119" t="s">
        <v>402</v>
      </c>
      <c r="E296" s="120">
        <v>1230692701</v>
      </c>
      <c r="F296" s="120">
        <v>1230692701</v>
      </c>
      <c r="G296" s="120" t="s">
        <v>1109</v>
      </c>
      <c r="H296" s="120">
        <f t="shared" si="8"/>
        <v>1230.6927009999999</v>
      </c>
      <c r="I296" s="120">
        <f>KOHC!D107</f>
        <v>1230.6927009999999</v>
      </c>
      <c r="J296" s="120">
        <f t="shared" si="9"/>
        <v>0</v>
      </c>
      <c r="K296" s="119" t="s">
        <v>1112</v>
      </c>
      <c r="L296" s="119">
        <v>95</v>
      </c>
      <c r="M296" s="119" t="s">
        <v>1106</v>
      </c>
      <c r="N296" s="122" t="s">
        <v>3602</v>
      </c>
      <c r="O296" s="122" t="s">
        <v>3603</v>
      </c>
      <c r="P296" s="122" t="s">
        <v>3845</v>
      </c>
    </row>
    <row r="297" spans="1:16" ht="82.05" customHeight="1" x14ac:dyDescent="0.3">
      <c r="A297" s="50" t="s">
        <v>1480</v>
      </c>
      <c r="B297" s="50" t="s">
        <v>18</v>
      </c>
      <c r="C297" s="50" t="s">
        <v>26</v>
      </c>
      <c r="D297" s="50" t="s">
        <v>402</v>
      </c>
      <c r="E297" s="121">
        <v>1118109816</v>
      </c>
      <c r="F297" s="121">
        <v>1118109816</v>
      </c>
      <c r="G297" s="121" t="s">
        <v>1109</v>
      </c>
      <c r="H297" s="121">
        <f t="shared" si="8"/>
        <v>1118.1098159999999</v>
      </c>
      <c r="I297" s="121">
        <f>KOHC!E107</f>
        <v>1118.1098159999999</v>
      </c>
      <c r="J297" s="121">
        <f t="shared" si="9"/>
        <v>0</v>
      </c>
      <c r="K297" s="50" t="s">
        <v>1116</v>
      </c>
      <c r="L297" s="50">
        <v>93</v>
      </c>
      <c r="M297" s="50" t="s">
        <v>1106</v>
      </c>
      <c r="N297" s="68" t="s">
        <v>3602</v>
      </c>
      <c r="O297" s="68" t="s">
        <v>3603</v>
      </c>
      <c r="P297" s="68" t="s">
        <v>3846</v>
      </c>
    </row>
    <row r="298" spans="1:16" ht="82.05" customHeight="1" x14ac:dyDescent="0.3">
      <c r="A298" s="119" t="s">
        <v>1481</v>
      </c>
      <c r="B298" s="119" t="s">
        <v>18</v>
      </c>
      <c r="C298" s="119" t="s">
        <v>27</v>
      </c>
      <c r="D298" s="119" t="s">
        <v>402</v>
      </c>
      <c r="E298" s="120">
        <v>1116013390</v>
      </c>
      <c r="F298" s="120">
        <v>1116013390</v>
      </c>
      <c r="G298" s="120" t="s">
        <v>1109</v>
      </c>
      <c r="H298" s="120">
        <f t="shared" si="8"/>
        <v>1116.0133900000001</v>
      </c>
      <c r="I298" s="120">
        <f>KOHC!F107</f>
        <v>1116.0133900000001</v>
      </c>
      <c r="J298" s="120">
        <f t="shared" si="9"/>
        <v>0</v>
      </c>
      <c r="K298" s="119" t="s">
        <v>1119</v>
      </c>
      <c r="L298" s="119">
        <v>102</v>
      </c>
      <c r="M298" s="119" t="s">
        <v>1106</v>
      </c>
      <c r="N298" s="122" t="s">
        <v>3602</v>
      </c>
      <c r="O298" s="122" t="s">
        <v>3603</v>
      </c>
      <c r="P298" s="122" t="s">
        <v>3847</v>
      </c>
    </row>
    <row r="299" spans="1:16" ht="82.05" customHeight="1" x14ac:dyDescent="0.3">
      <c r="A299" s="50" t="s">
        <v>1483</v>
      </c>
      <c r="B299" s="50" t="s">
        <v>18</v>
      </c>
      <c r="C299" s="50" t="s">
        <v>28</v>
      </c>
      <c r="D299" s="50" t="s">
        <v>402</v>
      </c>
      <c r="E299" s="121">
        <v>1182787174</v>
      </c>
      <c r="F299" s="121">
        <v>1182787174</v>
      </c>
      <c r="G299" s="121" t="s">
        <v>1109</v>
      </c>
      <c r="H299" s="121">
        <f t="shared" si="8"/>
        <v>1182.7871740000001</v>
      </c>
      <c r="I299" s="121">
        <f>KOHC!G107</f>
        <v>1182.7871740000001</v>
      </c>
      <c r="J299" s="121">
        <f t="shared" si="9"/>
        <v>0</v>
      </c>
      <c r="K299" s="50" t="s">
        <v>1123</v>
      </c>
      <c r="L299" s="50">
        <v>110</v>
      </c>
      <c r="M299" s="50" t="s">
        <v>1106</v>
      </c>
      <c r="N299" s="68" t="s">
        <v>3602</v>
      </c>
      <c r="O299" s="68" t="s">
        <v>3603</v>
      </c>
      <c r="P299" s="68" t="s">
        <v>3848</v>
      </c>
    </row>
    <row r="300" spans="1:16" ht="82.05" customHeight="1" x14ac:dyDescent="0.3">
      <c r="A300" s="119" t="s">
        <v>1485</v>
      </c>
      <c r="B300" s="119" t="s">
        <v>18</v>
      </c>
      <c r="C300" s="119" t="s">
        <v>29</v>
      </c>
      <c r="D300" s="119" t="s">
        <v>402</v>
      </c>
      <c r="E300" s="120">
        <v>1264994747</v>
      </c>
      <c r="F300" s="120">
        <v>1264994747</v>
      </c>
      <c r="G300" s="120" t="s">
        <v>1109</v>
      </c>
      <c r="H300" s="120">
        <f t="shared" si="8"/>
        <v>1264.994747</v>
      </c>
      <c r="I300" s="120">
        <f>KOHC!H107</f>
        <v>1264.994747</v>
      </c>
      <c r="J300" s="120">
        <f t="shared" si="9"/>
        <v>0</v>
      </c>
      <c r="K300" s="119" t="s">
        <v>1123</v>
      </c>
      <c r="L300" s="119">
        <v>110</v>
      </c>
      <c r="M300" s="119" t="s">
        <v>1127</v>
      </c>
      <c r="N300" s="122" t="s">
        <v>3602</v>
      </c>
      <c r="O300" s="122" t="s">
        <v>3603</v>
      </c>
      <c r="P300" s="122" t="s">
        <v>3848</v>
      </c>
    </row>
    <row r="301" spans="1:16" ht="82.05" customHeight="1" x14ac:dyDescent="0.3">
      <c r="A301" s="50" t="s">
        <v>1486</v>
      </c>
      <c r="B301" s="50" t="s">
        <v>18</v>
      </c>
      <c r="C301" s="50" t="s">
        <v>20</v>
      </c>
      <c r="D301" s="50" t="s">
        <v>418</v>
      </c>
      <c r="E301" s="121">
        <v>6012030743</v>
      </c>
      <c r="F301" s="121">
        <v>6012030743</v>
      </c>
      <c r="G301" s="121" t="s">
        <v>1109</v>
      </c>
      <c r="H301" s="121">
        <f t="shared" si="8"/>
        <v>6012.0307430000003</v>
      </c>
      <c r="I301" s="121">
        <f>KOHC!D116</f>
        <v>6012.0307430000003</v>
      </c>
      <c r="J301" s="121">
        <f t="shared" si="9"/>
        <v>0</v>
      </c>
      <c r="K301" s="50" t="s">
        <v>1112</v>
      </c>
      <c r="L301" s="50">
        <v>57</v>
      </c>
      <c r="M301" s="50" t="s">
        <v>1106</v>
      </c>
      <c r="N301" s="68" t="s">
        <v>3564</v>
      </c>
      <c r="O301" s="68" t="s">
        <v>3565</v>
      </c>
      <c r="P301" s="68" t="s">
        <v>3849</v>
      </c>
    </row>
    <row r="302" spans="1:16" ht="82.05" customHeight="1" x14ac:dyDescent="0.3">
      <c r="A302" s="119" t="s">
        <v>1488</v>
      </c>
      <c r="B302" s="119" t="s">
        <v>18</v>
      </c>
      <c r="C302" s="119" t="s">
        <v>26</v>
      </c>
      <c r="D302" s="119" t="s">
        <v>418</v>
      </c>
      <c r="E302" s="120">
        <v>9429252992</v>
      </c>
      <c r="F302" s="120">
        <v>9429252992</v>
      </c>
      <c r="G302" s="120" t="s">
        <v>1109</v>
      </c>
      <c r="H302" s="120">
        <f t="shared" si="8"/>
        <v>9429.2529919999997</v>
      </c>
      <c r="I302" s="120">
        <f>KOHC!E116</f>
        <v>9429.2529919999997</v>
      </c>
      <c r="J302" s="120">
        <f t="shared" si="9"/>
        <v>0</v>
      </c>
      <c r="K302" s="119" t="s">
        <v>1116</v>
      </c>
      <c r="L302" s="119">
        <v>57</v>
      </c>
      <c r="M302" s="119" t="s">
        <v>1106</v>
      </c>
      <c r="N302" s="122" t="s">
        <v>3564</v>
      </c>
      <c r="O302" s="122" t="s">
        <v>3565</v>
      </c>
      <c r="P302" s="122" t="s">
        <v>3850</v>
      </c>
    </row>
    <row r="303" spans="1:16" ht="82.05" customHeight="1" x14ac:dyDescent="0.3">
      <c r="A303" s="50" t="s">
        <v>1489</v>
      </c>
      <c r="B303" s="50" t="s">
        <v>18</v>
      </c>
      <c r="C303" s="50" t="s">
        <v>27</v>
      </c>
      <c r="D303" s="50" t="s">
        <v>418</v>
      </c>
      <c r="E303" s="121">
        <v>7862593209</v>
      </c>
      <c r="F303" s="121">
        <v>7862593209</v>
      </c>
      <c r="G303" s="121" t="s">
        <v>1109</v>
      </c>
      <c r="H303" s="121">
        <f t="shared" si="8"/>
        <v>7862.5932089999997</v>
      </c>
      <c r="I303" s="121">
        <f>KOHC!F116</f>
        <v>7862.5932089999997</v>
      </c>
      <c r="J303" s="121">
        <f t="shared" si="9"/>
        <v>0</v>
      </c>
      <c r="K303" s="50" t="s">
        <v>1119</v>
      </c>
      <c r="L303" s="50">
        <v>63</v>
      </c>
      <c r="M303" s="50" t="s">
        <v>1106</v>
      </c>
      <c r="N303" s="68" t="s">
        <v>3564</v>
      </c>
      <c r="O303" s="68" t="s">
        <v>3565</v>
      </c>
      <c r="P303" s="68" t="s">
        <v>3851</v>
      </c>
    </row>
    <row r="304" spans="1:16" ht="82.05" customHeight="1" x14ac:dyDescent="0.3">
      <c r="A304" s="119" t="s">
        <v>1490</v>
      </c>
      <c r="B304" s="119" t="s">
        <v>18</v>
      </c>
      <c r="C304" s="119" t="s">
        <v>28</v>
      </c>
      <c r="D304" s="119" t="s">
        <v>418</v>
      </c>
      <c r="E304" s="120">
        <v>11482975487</v>
      </c>
      <c r="F304" s="120">
        <v>11482975487</v>
      </c>
      <c r="G304" s="120" t="s">
        <v>1109</v>
      </c>
      <c r="H304" s="120">
        <f t="shared" si="8"/>
        <v>11482.975487</v>
      </c>
      <c r="I304" s="120">
        <f>KOHC!G116</f>
        <v>11482.975487</v>
      </c>
      <c r="J304" s="120">
        <f t="shared" si="9"/>
        <v>0</v>
      </c>
      <c r="K304" s="119" t="s">
        <v>1123</v>
      </c>
      <c r="L304" s="119">
        <v>73</v>
      </c>
      <c r="M304" s="119" t="s">
        <v>1106</v>
      </c>
      <c r="N304" s="122" t="s">
        <v>3564</v>
      </c>
      <c r="O304" s="122" t="s">
        <v>3565</v>
      </c>
      <c r="P304" s="122" t="s">
        <v>3852</v>
      </c>
    </row>
    <row r="305" spans="1:16" ht="82.05" customHeight="1" x14ac:dyDescent="0.3">
      <c r="A305" s="50" t="s">
        <v>1491</v>
      </c>
      <c r="B305" s="50" t="s">
        <v>18</v>
      </c>
      <c r="C305" s="50" t="s">
        <v>29</v>
      </c>
      <c r="D305" s="50" t="s">
        <v>418</v>
      </c>
      <c r="E305" s="121">
        <v>16574725509</v>
      </c>
      <c r="F305" s="121">
        <v>16574725509</v>
      </c>
      <c r="G305" s="121" t="s">
        <v>1109</v>
      </c>
      <c r="H305" s="121">
        <f t="shared" si="8"/>
        <v>16574.725509</v>
      </c>
      <c r="I305" s="121">
        <f>KOHC!H116</f>
        <v>16574.725509</v>
      </c>
      <c r="J305" s="121">
        <f t="shared" si="9"/>
        <v>0</v>
      </c>
      <c r="K305" s="50" t="s">
        <v>1123</v>
      </c>
      <c r="L305" s="50">
        <v>73</v>
      </c>
      <c r="M305" s="50" t="s">
        <v>1127</v>
      </c>
      <c r="N305" s="68" t="s">
        <v>3564</v>
      </c>
      <c r="O305" s="68" t="s">
        <v>3565</v>
      </c>
      <c r="P305" s="68" t="s">
        <v>3853</v>
      </c>
    </row>
    <row r="306" spans="1:16" ht="82.05" customHeight="1" x14ac:dyDescent="0.3">
      <c r="A306" s="119" t="s">
        <v>1492</v>
      </c>
      <c r="B306" s="119" t="s">
        <v>18</v>
      </c>
      <c r="C306" s="119" t="s">
        <v>20</v>
      </c>
      <c r="D306" s="119" t="s">
        <v>420</v>
      </c>
      <c r="E306" s="120">
        <v>5089315864</v>
      </c>
      <c r="F306" s="120">
        <v>5089315864</v>
      </c>
      <c r="G306" s="120" t="s">
        <v>1109</v>
      </c>
      <c r="H306" s="120">
        <f t="shared" si="8"/>
        <v>5089.3158640000001</v>
      </c>
      <c r="I306" s="120">
        <f>KOHC!D117</f>
        <v>5089.3158640000001</v>
      </c>
      <c r="J306" s="120">
        <f t="shared" si="9"/>
        <v>0</v>
      </c>
      <c r="K306" s="119" t="s">
        <v>1112</v>
      </c>
      <c r="L306" s="119">
        <v>57</v>
      </c>
      <c r="M306" s="119" t="s">
        <v>1106</v>
      </c>
      <c r="N306" s="122" t="s">
        <v>3564</v>
      </c>
      <c r="O306" s="122" t="s">
        <v>3565</v>
      </c>
      <c r="P306" s="122" t="s">
        <v>3854</v>
      </c>
    </row>
    <row r="307" spans="1:16" ht="82.05" customHeight="1" x14ac:dyDescent="0.3">
      <c r="A307" s="50" t="s">
        <v>1494</v>
      </c>
      <c r="B307" s="50" t="s">
        <v>18</v>
      </c>
      <c r="C307" s="50" t="s">
        <v>26</v>
      </c>
      <c r="D307" s="50" t="s">
        <v>420</v>
      </c>
      <c r="E307" s="121">
        <v>8181357890</v>
      </c>
      <c r="F307" s="121">
        <v>8181357890</v>
      </c>
      <c r="G307" s="121" t="s">
        <v>1109</v>
      </c>
      <c r="H307" s="121">
        <f t="shared" si="8"/>
        <v>8181.3578900000002</v>
      </c>
      <c r="I307" s="121">
        <f>KOHC!E117</f>
        <v>8181.3578900000002</v>
      </c>
      <c r="J307" s="121">
        <f t="shared" si="9"/>
        <v>0</v>
      </c>
      <c r="K307" s="50" t="s">
        <v>1116</v>
      </c>
      <c r="L307" s="50">
        <v>57</v>
      </c>
      <c r="M307" s="50" t="s">
        <v>1106</v>
      </c>
      <c r="N307" s="68" t="s">
        <v>3564</v>
      </c>
      <c r="O307" s="68" t="s">
        <v>3565</v>
      </c>
      <c r="P307" s="68" t="s">
        <v>3855</v>
      </c>
    </row>
    <row r="308" spans="1:16" ht="82.05" customHeight="1" x14ac:dyDescent="0.3">
      <c r="A308" s="119" t="s">
        <v>1495</v>
      </c>
      <c r="B308" s="119" t="s">
        <v>18</v>
      </c>
      <c r="C308" s="119" t="s">
        <v>27</v>
      </c>
      <c r="D308" s="119" t="s">
        <v>420</v>
      </c>
      <c r="E308" s="120">
        <v>4452081761</v>
      </c>
      <c r="F308" s="120">
        <v>4452081761</v>
      </c>
      <c r="G308" s="120" t="s">
        <v>1109</v>
      </c>
      <c r="H308" s="120">
        <f t="shared" si="8"/>
        <v>4452.0817610000004</v>
      </c>
      <c r="I308" s="120">
        <f>KOHC!F117</f>
        <v>4452.0817610000004</v>
      </c>
      <c r="J308" s="120">
        <f t="shared" si="9"/>
        <v>0</v>
      </c>
      <c r="K308" s="119" t="s">
        <v>1119</v>
      </c>
      <c r="L308" s="119">
        <v>63</v>
      </c>
      <c r="M308" s="119" t="s">
        <v>1106</v>
      </c>
      <c r="N308" s="122" t="s">
        <v>3564</v>
      </c>
      <c r="O308" s="122" t="s">
        <v>3565</v>
      </c>
      <c r="P308" s="122" t="s">
        <v>3856</v>
      </c>
    </row>
    <row r="309" spans="1:16" ht="82.05" customHeight="1" x14ac:dyDescent="0.3">
      <c r="A309" s="50" t="s">
        <v>1496</v>
      </c>
      <c r="B309" s="50" t="s">
        <v>18</v>
      </c>
      <c r="C309" s="50" t="s">
        <v>28</v>
      </c>
      <c r="D309" s="50" t="s">
        <v>420</v>
      </c>
      <c r="E309" s="121">
        <v>6647173409</v>
      </c>
      <c r="F309" s="121">
        <v>6647173409</v>
      </c>
      <c r="G309" s="121" t="s">
        <v>1109</v>
      </c>
      <c r="H309" s="121">
        <f t="shared" si="8"/>
        <v>6647.173409</v>
      </c>
      <c r="I309" s="121">
        <f>KOHC!G117</f>
        <v>6647.173409</v>
      </c>
      <c r="J309" s="121">
        <f t="shared" si="9"/>
        <v>0</v>
      </c>
      <c r="K309" s="50" t="s">
        <v>1123</v>
      </c>
      <c r="L309" s="50">
        <v>73</v>
      </c>
      <c r="M309" s="50" t="s">
        <v>1106</v>
      </c>
      <c r="N309" s="68" t="s">
        <v>3564</v>
      </c>
      <c r="O309" s="68" t="s">
        <v>3565</v>
      </c>
      <c r="P309" s="68" t="s">
        <v>3857</v>
      </c>
    </row>
    <row r="310" spans="1:16" ht="82.05" customHeight="1" x14ac:dyDescent="0.3">
      <c r="A310" s="119" t="s">
        <v>1497</v>
      </c>
      <c r="B310" s="119" t="s">
        <v>18</v>
      </c>
      <c r="C310" s="119" t="s">
        <v>29</v>
      </c>
      <c r="D310" s="119" t="s">
        <v>420</v>
      </c>
      <c r="E310" s="120">
        <v>9378288538</v>
      </c>
      <c r="F310" s="120">
        <v>9378288538</v>
      </c>
      <c r="G310" s="120" t="s">
        <v>1109</v>
      </c>
      <c r="H310" s="120">
        <f t="shared" si="8"/>
        <v>9378.2885380000007</v>
      </c>
      <c r="I310" s="120">
        <f>KOHC!H117</f>
        <v>9378.2885380000007</v>
      </c>
      <c r="J310" s="120">
        <f t="shared" si="9"/>
        <v>0</v>
      </c>
      <c r="K310" s="119" t="s">
        <v>1123</v>
      </c>
      <c r="L310" s="119">
        <v>73</v>
      </c>
      <c r="M310" s="119" t="s">
        <v>1127</v>
      </c>
      <c r="N310" s="122" t="s">
        <v>3564</v>
      </c>
      <c r="O310" s="122" t="s">
        <v>3565</v>
      </c>
      <c r="P310" s="122" t="s">
        <v>3858</v>
      </c>
    </row>
    <row r="311" spans="1:16" ht="82.05" customHeight="1" x14ac:dyDescent="0.3">
      <c r="A311" s="50" t="s">
        <v>1498</v>
      </c>
      <c r="B311" s="50" t="s">
        <v>18</v>
      </c>
      <c r="C311" s="50" t="s">
        <v>20</v>
      </c>
      <c r="D311" s="50" t="s">
        <v>422</v>
      </c>
      <c r="E311" s="121">
        <v>-599227218</v>
      </c>
      <c r="F311" s="121">
        <v>-599227218</v>
      </c>
      <c r="G311" s="121" t="s">
        <v>1109</v>
      </c>
      <c r="H311" s="121">
        <f t="shared" si="8"/>
        <v>-599.22721799999999</v>
      </c>
      <c r="I311" s="121">
        <f>KOHC!D118</f>
        <v>-599.22721799999999</v>
      </c>
      <c r="J311" s="121">
        <f t="shared" si="9"/>
        <v>0</v>
      </c>
      <c r="K311" s="50" t="s">
        <v>1112</v>
      </c>
      <c r="L311" s="50">
        <v>57</v>
      </c>
      <c r="M311" s="50" t="s">
        <v>1106</v>
      </c>
      <c r="N311" s="68" t="s">
        <v>3564</v>
      </c>
      <c r="O311" s="68" t="s">
        <v>3565</v>
      </c>
      <c r="P311" s="68" t="s">
        <v>3859</v>
      </c>
    </row>
    <row r="312" spans="1:16" ht="82.05" customHeight="1" x14ac:dyDescent="0.3">
      <c r="A312" s="119" t="s">
        <v>1500</v>
      </c>
      <c r="B312" s="119" t="s">
        <v>18</v>
      </c>
      <c r="C312" s="119" t="s">
        <v>26</v>
      </c>
      <c r="D312" s="119" t="s">
        <v>422</v>
      </c>
      <c r="E312" s="120">
        <v>-514171817</v>
      </c>
      <c r="F312" s="120">
        <v>-514171817</v>
      </c>
      <c r="G312" s="120" t="s">
        <v>1109</v>
      </c>
      <c r="H312" s="120">
        <f t="shared" si="8"/>
        <v>-514.17181700000003</v>
      </c>
      <c r="I312" s="120">
        <f>KOHC!E118</f>
        <v>-514.17181700000003</v>
      </c>
      <c r="J312" s="120">
        <f t="shared" si="9"/>
        <v>0</v>
      </c>
      <c r="K312" s="119" t="s">
        <v>1116</v>
      </c>
      <c r="L312" s="119">
        <v>57</v>
      </c>
      <c r="M312" s="119" t="s">
        <v>1106</v>
      </c>
      <c r="N312" s="122" t="s">
        <v>3564</v>
      </c>
      <c r="O312" s="122" t="s">
        <v>3565</v>
      </c>
      <c r="P312" s="122" t="s">
        <v>3860</v>
      </c>
    </row>
    <row r="313" spans="1:16" ht="82.05" customHeight="1" x14ac:dyDescent="0.3">
      <c r="A313" s="50" t="s">
        <v>1501</v>
      </c>
      <c r="B313" s="50" t="s">
        <v>18</v>
      </c>
      <c r="C313" s="50" t="s">
        <v>27</v>
      </c>
      <c r="D313" s="50" t="s">
        <v>422</v>
      </c>
      <c r="E313" s="121">
        <v>-685823997</v>
      </c>
      <c r="F313" s="121">
        <v>-685823997</v>
      </c>
      <c r="G313" s="121" t="s">
        <v>1109</v>
      </c>
      <c r="H313" s="121">
        <f t="shared" si="8"/>
        <v>-685.82399699999996</v>
      </c>
      <c r="I313" s="121">
        <f>KOHC!F118</f>
        <v>-685.82399699999996</v>
      </c>
      <c r="J313" s="121">
        <f t="shared" si="9"/>
        <v>0</v>
      </c>
      <c r="K313" s="50" t="s">
        <v>1119</v>
      </c>
      <c r="L313" s="50">
        <v>63</v>
      </c>
      <c r="M313" s="50" t="s">
        <v>1106</v>
      </c>
      <c r="N313" s="68" t="s">
        <v>3564</v>
      </c>
      <c r="O313" s="68" t="s">
        <v>3565</v>
      </c>
      <c r="P313" s="68" t="s">
        <v>3861</v>
      </c>
    </row>
    <row r="314" spans="1:16" ht="82.05" customHeight="1" x14ac:dyDescent="0.3">
      <c r="A314" s="119" t="s">
        <v>1502</v>
      </c>
      <c r="B314" s="119" t="s">
        <v>18</v>
      </c>
      <c r="C314" s="119" t="s">
        <v>28</v>
      </c>
      <c r="D314" s="119" t="s">
        <v>422</v>
      </c>
      <c r="E314" s="120">
        <v>-731073634</v>
      </c>
      <c r="F314" s="120">
        <v>-731073634</v>
      </c>
      <c r="G314" s="120" t="s">
        <v>1109</v>
      </c>
      <c r="H314" s="120">
        <f t="shared" si="8"/>
        <v>-731.07363399999997</v>
      </c>
      <c r="I314" s="120">
        <f>KOHC!G118</f>
        <v>-731.07363399999997</v>
      </c>
      <c r="J314" s="120">
        <f t="shared" si="9"/>
        <v>0</v>
      </c>
      <c r="K314" s="119" t="s">
        <v>1123</v>
      </c>
      <c r="L314" s="119">
        <v>73</v>
      </c>
      <c r="M314" s="119" t="s">
        <v>1106</v>
      </c>
      <c r="N314" s="122" t="s">
        <v>3564</v>
      </c>
      <c r="O314" s="122" t="s">
        <v>3565</v>
      </c>
      <c r="P314" s="122" t="s">
        <v>3862</v>
      </c>
    </row>
    <row r="315" spans="1:16" ht="82.05" customHeight="1" x14ac:dyDescent="0.3">
      <c r="A315" s="50" t="s">
        <v>1503</v>
      </c>
      <c r="B315" s="50" t="s">
        <v>18</v>
      </c>
      <c r="C315" s="50" t="s">
        <v>29</v>
      </c>
      <c r="D315" s="50" t="s">
        <v>422</v>
      </c>
      <c r="E315" s="121">
        <v>-391061821</v>
      </c>
      <c r="F315" s="121">
        <v>-391061821</v>
      </c>
      <c r="G315" s="121" t="s">
        <v>1109</v>
      </c>
      <c r="H315" s="121">
        <f t="shared" si="8"/>
        <v>-391.06182100000001</v>
      </c>
      <c r="I315" s="121">
        <f>KOHC!H118</f>
        <v>-391.06182100000001</v>
      </c>
      <c r="J315" s="121">
        <f t="shared" si="9"/>
        <v>0</v>
      </c>
      <c r="K315" s="50" t="s">
        <v>1123</v>
      </c>
      <c r="L315" s="50">
        <v>73</v>
      </c>
      <c r="M315" s="50" t="s">
        <v>1127</v>
      </c>
      <c r="N315" s="68" t="s">
        <v>3564</v>
      </c>
      <c r="O315" s="68" t="s">
        <v>3565</v>
      </c>
      <c r="P315" s="68" t="s">
        <v>3863</v>
      </c>
    </row>
    <row r="316" spans="1:16" ht="82.05" customHeight="1" x14ac:dyDescent="0.3">
      <c r="A316" s="119" t="s">
        <v>1504</v>
      </c>
      <c r="B316" s="119" t="s">
        <v>18</v>
      </c>
      <c r="C316" s="119" t="s">
        <v>20</v>
      </c>
      <c r="D316" s="119" t="s">
        <v>424</v>
      </c>
      <c r="E316" s="120" t="s">
        <v>426</v>
      </c>
      <c r="F316" s="120" t="s">
        <v>426</v>
      </c>
      <c r="G316" s="120" t="s">
        <v>427</v>
      </c>
      <c r="H316" s="120" t="s">
        <v>426</v>
      </c>
      <c r="I316" s="120" t="str">
        <f>KOHC!D119</f>
        <v>Operating</v>
      </c>
      <c r="J316" s="120" t="s">
        <v>579</v>
      </c>
      <c r="K316" s="119" t="s">
        <v>1112</v>
      </c>
      <c r="L316" s="119">
        <v>57</v>
      </c>
      <c r="M316" s="119" t="s">
        <v>1106</v>
      </c>
      <c r="N316" s="122" t="s">
        <v>3864</v>
      </c>
      <c r="O316" s="122" t="s">
        <v>3865</v>
      </c>
      <c r="P316" s="122" t="s">
        <v>3866</v>
      </c>
    </row>
    <row r="317" spans="1:16" ht="82.05" customHeight="1" x14ac:dyDescent="0.3">
      <c r="A317" s="50" t="s">
        <v>1506</v>
      </c>
      <c r="B317" s="50" t="s">
        <v>18</v>
      </c>
      <c r="C317" s="50" t="s">
        <v>26</v>
      </c>
      <c r="D317" s="50" t="s">
        <v>424</v>
      </c>
      <c r="E317" s="121" t="s">
        <v>426</v>
      </c>
      <c r="F317" s="121" t="s">
        <v>426</v>
      </c>
      <c r="G317" s="121" t="s">
        <v>427</v>
      </c>
      <c r="H317" s="121" t="s">
        <v>426</v>
      </c>
      <c r="I317" s="121" t="str">
        <f>KOHC!E119</f>
        <v>Operating</v>
      </c>
      <c r="J317" s="121" t="s">
        <v>579</v>
      </c>
      <c r="K317" s="50" t="s">
        <v>1116</v>
      </c>
      <c r="L317" s="50">
        <v>57</v>
      </c>
      <c r="M317" s="50" t="s">
        <v>1106</v>
      </c>
      <c r="N317" s="68" t="s">
        <v>3864</v>
      </c>
      <c r="O317" s="68" t="s">
        <v>3865</v>
      </c>
      <c r="P317" s="68" t="s">
        <v>3867</v>
      </c>
    </row>
    <row r="318" spans="1:16" ht="82.05" customHeight="1" x14ac:dyDescent="0.3">
      <c r="A318" s="119" t="s">
        <v>1507</v>
      </c>
      <c r="B318" s="119" t="s">
        <v>18</v>
      </c>
      <c r="C318" s="119" t="s">
        <v>27</v>
      </c>
      <c r="D318" s="119" t="s">
        <v>424</v>
      </c>
      <c r="E318" s="120" t="s">
        <v>426</v>
      </c>
      <c r="F318" s="120" t="s">
        <v>426</v>
      </c>
      <c r="G318" s="120" t="s">
        <v>427</v>
      </c>
      <c r="H318" s="120" t="s">
        <v>426</v>
      </c>
      <c r="I318" s="120" t="str">
        <f>KOHC!F119</f>
        <v>Operating</v>
      </c>
      <c r="J318" s="120" t="s">
        <v>579</v>
      </c>
      <c r="K318" s="119" t="s">
        <v>1119</v>
      </c>
      <c r="L318" s="119">
        <v>63</v>
      </c>
      <c r="M318" s="119" t="s">
        <v>1106</v>
      </c>
      <c r="N318" s="122" t="s">
        <v>3864</v>
      </c>
      <c r="O318" s="122" t="s">
        <v>3865</v>
      </c>
      <c r="P318" s="122" t="s">
        <v>3868</v>
      </c>
    </row>
    <row r="319" spans="1:16" ht="82.05" customHeight="1" x14ac:dyDescent="0.3">
      <c r="A319" s="50" t="s">
        <v>1508</v>
      </c>
      <c r="B319" s="50" t="s">
        <v>18</v>
      </c>
      <c r="C319" s="50" t="s">
        <v>28</v>
      </c>
      <c r="D319" s="50" t="s">
        <v>424</v>
      </c>
      <c r="E319" s="121" t="s">
        <v>426</v>
      </c>
      <c r="F319" s="121" t="s">
        <v>426</v>
      </c>
      <c r="G319" s="121" t="s">
        <v>427</v>
      </c>
      <c r="H319" s="121" t="s">
        <v>426</v>
      </c>
      <c r="I319" s="121" t="str">
        <f>KOHC!G119</f>
        <v>Operating</v>
      </c>
      <c r="J319" s="121" t="s">
        <v>579</v>
      </c>
      <c r="K319" s="50" t="s">
        <v>1123</v>
      </c>
      <c r="L319" s="50">
        <v>73</v>
      </c>
      <c r="M319" s="50" t="s">
        <v>1106</v>
      </c>
      <c r="N319" s="68" t="s">
        <v>3864</v>
      </c>
      <c r="O319" s="68" t="s">
        <v>3865</v>
      </c>
      <c r="P319" s="68" t="s">
        <v>3869</v>
      </c>
    </row>
    <row r="320" spans="1:16" ht="82.05" customHeight="1" x14ac:dyDescent="0.3">
      <c r="A320" s="119" t="s">
        <v>1509</v>
      </c>
      <c r="B320" s="119" t="s">
        <v>18</v>
      </c>
      <c r="C320" s="119" t="s">
        <v>29</v>
      </c>
      <c r="D320" s="119" t="s">
        <v>424</v>
      </c>
      <c r="E320" s="120" t="s">
        <v>426</v>
      </c>
      <c r="F320" s="120" t="s">
        <v>426</v>
      </c>
      <c r="G320" s="120" t="s">
        <v>427</v>
      </c>
      <c r="H320" s="120" t="s">
        <v>426</v>
      </c>
      <c r="I320" s="120" t="str">
        <f>KOHC!H119</f>
        <v>Operating</v>
      </c>
      <c r="J320" s="120" t="s">
        <v>579</v>
      </c>
      <c r="K320" s="119" t="s">
        <v>1123</v>
      </c>
      <c r="L320" s="119">
        <v>73</v>
      </c>
      <c r="M320" s="119" t="s">
        <v>1127</v>
      </c>
      <c r="N320" s="122" t="s">
        <v>3864</v>
      </c>
      <c r="O320" s="122" t="s">
        <v>3865</v>
      </c>
      <c r="P320" s="122" t="s">
        <v>3869</v>
      </c>
    </row>
    <row r="321" spans="1:16" ht="82.05" customHeight="1" x14ac:dyDescent="0.3">
      <c r="A321" s="50" t="s">
        <v>1510</v>
      </c>
      <c r="B321" s="50" t="s">
        <v>18</v>
      </c>
      <c r="C321" s="50" t="s">
        <v>20</v>
      </c>
      <c r="D321" s="50" t="s">
        <v>430</v>
      </c>
      <c r="E321" s="121">
        <v>-610597045</v>
      </c>
      <c r="F321" s="121">
        <v>-610597045</v>
      </c>
      <c r="G321" s="121" t="s">
        <v>1109</v>
      </c>
      <c r="H321" s="121">
        <f t="shared" ref="H321:H340" si="10">F321/1000000</f>
        <v>-610.59704499999998</v>
      </c>
      <c r="I321" s="121">
        <f>KOHC!D121</f>
        <v>-610.59704499999998</v>
      </c>
      <c r="J321" s="121">
        <f t="shared" ref="J321:J384" si="11">H321-I321</f>
        <v>0</v>
      </c>
      <c r="K321" s="50" t="s">
        <v>1112</v>
      </c>
      <c r="L321" s="50">
        <v>57</v>
      </c>
      <c r="M321" s="50" t="s">
        <v>1106</v>
      </c>
      <c r="N321" s="68" t="s">
        <v>3564</v>
      </c>
      <c r="O321" s="68" t="s">
        <v>3565</v>
      </c>
      <c r="P321" s="68" t="s">
        <v>3870</v>
      </c>
    </row>
    <row r="322" spans="1:16" ht="82.05" customHeight="1" x14ac:dyDescent="0.3">
      <c r="A322" s="119" t="s">
        <v>1512</v>
      </c>
      <c r="B322" s="119" t="s">
        <v>18</v>
      </c>
      <c r="C322" s="119" t="s">
        <v>26</v>
      </c>
      <c r="D322" s="119" t="s">
        <v>430</v>
      </c>
      <c r="E322" s="120">
        <v>-461847370</v>
      </c>
      <c r="F322" s="120">
        <v>-461847370</v>
      </c>
      <c r="G322" s="120" t="s">
        <v>1109</v>
      </c>
      <c r="H322" s="120">
        <f t="shared" si="10"/>
        <v>-461.84737000000001</v>
      </c>
      <c r="I322" s="120">
        <f>KOHC!E121</f>
        <v>-461.84737000000001</v>
      </c>
      <c r="J322" s="120">
        <f t="shared" si="11"/>
        <v>0</v>
      </c>
      <c r="K322" s="119" t="s">
        <v>1116</v>
      </c>
      <c r="L322" s="119">
        <v>57</v>
      </c>
      <c r="M322" s="119" t="s">
        <v>1106</v>
      </c>
      <c r="N322" s="122" t="s">
        <v>3564</v>
      </c>
      <c r="O322" s="122" t="s">
        <v>3565</v>
      </c>
      <c r="P322" s="122" t="s">
        <v>3871</v>
      </c>
    </row>
    <row r="323" spans="1:16" ht="82.05" customHeight="1" x14ac:dyDescent="0.3">
      <c r="A323" s="50" t="s">
        <v>1513</v>
      </c>
      <c r="B323" s="50" t="s">
        <v>18</v>
      </c>
      <c r="C323" s="50" t="s">
        <v>27</v>
      </c>
      <c r="D323" s="50" t="s">
        <v>430</v>
      </c>
      <c r="E323" s="121">
        <v>-2015897038</v>
      </c>
      <c r="F323" s="121">
        <v>-2015897038</v>
      </c>
      <c r="G323" s="121" t="s">
        <v>1109</v>
      </c>
      <c r="H323" s="121">
        <f t="shared" si="10"/>
        <v>-2015.8970380000001</v>
      </c>
      <c r="I323" s="121">
        <f>KOHC!F121</f>
        <v>-2015.8970380000001</v>
      </c>
      <c r="J323" s="121">
        <f t="shared" si="11"/>
        <v>0</v>
      </c>
      <c r="K323" s="50" t="s">
        <v>1119</v>
      </c>
      <c r="L323" s="50">
        <v>63</v>
      </c>
      <c r="M323" s="50" t="s">
        <v>1106</v>
      </c>
      <c r="N323" s="68" t="s">
        <v>3564</v>
      </c>
      <c r="O323" s="68" t="s">
        <v>3565</v>
      </c>
      <c r="P323" s="68" t="s">
        <v>3872</v>
      </c>
    </row>
    <row r="324" spans="1:16" ht="82.05" customHeight="1" x14ac:dyDescent="0.3">
      <c r="A324" s="119" t="s">
        <v>1514</v>
      </c>
      <c r="B324" s="119" t="s">
        <v>18</v>
      </c>
      <c r="C324" s="119" t="s">
        <v>28</v>
      </c>
      <c r="D324" s="119" t="s">
        <v>430</v>
      </c>
      <c r="E324" s="120">
        <v>-1107284933</v>
      </c>
      <c r="F324" s="120">
        <v>-1107284933</v>
      </c>
      <c r="G324" s="120" t="s">
        <v>1109</v>
      </c>
      <c r="H324" s="120">
        <f t="shared" si="10"/>
        <v>-1107.2849329999999</v>
      </c>
      <c r="I324" s="120">
        <f>KOHC!G121</f>
        <v>-1107.2849329999999</v>
      </c>
      <c r="J324" s="120">
        <f t="shared" si="11"/>
        <v>0</v>
      </c>
      <c r="K324" s="119" t="s">
        <v>1123</v>
      </c>
      <c r="L324" s="119">
        <v>73</v>
      </c>
      <c r="M324" s="119" t="s">
        <v>1106</v>
      </c>
      <c r="N324" s="122" t="s">
        <v>3564</v>
      </c>
      <c r="O324" s="122" t="s">
        <v>3565</v>
      </c>
      <c r="P324" s="122" t="s">
        <v>3873</v>
      </c>
    </row>
    <row r="325" spans="1:16" ht="82.05" customHeight="1" x14ac:dyDescent="0.3">
      <c r="A325" s="50" t="s">
        <v>1515</v>
      </c>
      <c r="B325" s="50" t="s">
        <v>18</v>
      </c>
      <c r="C325" s="50" t="s">
        <v>29</v>
      </c>
      <c r="D325" s="50" t="s">
        <v>430</v>
      </c>
      <c r="E325" s="121">
        <v>-2398919336</v>
      </c>
      <c r="F325" s="121">
        <v>-2398919336</v>
      </c>
      <c r="G325" s="121" t="s">
        <v>1109</v>
      </c>
      <c r="H325" s="121">
        <f t="shared" si="10"/>
        <v>-2398.9193359999999</v>
      </c>
      <c r="I325" s="121">
        <f>KOHC!H121</f>
        <v>-2398.9193359999999</v>
      </c>
      <c r="J325" s="121">
        <f t="shared" si="11"/>
        <v>0</v>
      </c>
      <c r="K325" s="50" t="s">
        <v>1123</v>
      </c>
      <c r="L325" s="50">
        <v>73</v>
      </c>
      <c r="M325" s="50" t="s">
        <v>1127</v>
      </c>
      <c r="N325" s="68" t="s">
        <v>3564</v>
      </c>
      <c r="O325" s="68" t="s">
        <v>3565</v>
      </c>
      <c r="P325" s="68" t="s">
        <v>3874</v>
      </c>
    </row>
    <row r="326" spans="1:16" ht="82.05" customHeight="1" x14ac:dyDescent="0.3">
      <c r="A326" s="119" t="s">
        <v>1516</v>
      </c>
      <c r="B326" s="119" t="s">
        <v>18</v>
      </c>
      <c r="C326" s="119" t="s">
        <v>20</v>
      </c>
      <c r="D326" s="119" t="s">
        <v>432</v>
      </c>
      <c r="E326" s="120">
        <v>-3950178348</v>
      </c>
      <c r="F326" s="120">
        <v>-3950178348</v>
      </c>
      <c r="G326" s="120" t="s">
        <v>1109</v>
      </c>
      <c r="H326" s="120">
        <f t="shared" si="10"/>
        <v>-3950.1783479999999</v>
      </c>
      <c r="I326" s="120">
        <f>KOHC!D122</f>
        <v>-3950.1783479999999</v>
      </c>
      <c r="J326" s="120">
        <f t="shared" si="11"/>
        <v>0</v>
      </c>
      <c r="K326" s="119" t="s">
        <v>1112</v>
      </c>
      <c r="L326" s="119">
        <v>57</v>
      </c>
      <c r="M326" s="119" t="s">
        <v>1106</v>
      </c>
      <c r="N326" s="122" t="s">
        <v>3564</v>
      </c>
      <c r="O326" s="122" t="s">
        <v>3565</v>
      </c>
      <c r="P326" s="122" t="s">
        <v>3875</v>
      </c>
    </row>
    <row r="327" spans="1:16" ht="82.05" customHeight="1" x14ac:dyDescent="0.3">
      <c r="A327" s="50" t="s">
        <v>1518</v>
      </c>
      <c r="B327" s="50" t="s">
        <v>18</v>
      </c>
      <c r="C327" s="50" t="s">
        <v>26</v>
      </c>
      <c r="D327" s="50" t="s">
        <v>432</v>
      </c>
      <c r="E327" s="121">
        <v>-7092988516</v>
      </c>
      <c r="F327" s="121">
        <v>-7092988516</v>
      </c>
      <c r="G327" s="121" t="s">
        <v>1109</v>
      </c>
      <c r="H327" s="121">
        <f t="shared" si="10"/>
        <v>-7092.9885160000003</v>
      </c>
      <c r="I327" s="121">
        <f>KOHC!E122</f>
        <v>-7092.9885160000003</v>
      </c>
      <c r="J327" s="121">
        <f t="shared" si="11"/>
        <v>0</v>
      </c>
      <c r="K327" s="50" t="s">
        <v>1116</v>
      </c>
      <c r="L327" s="50">
        <v>57</v>
      </c>
      <c r="M327" s="50" t="s">
        <v>1106</v>
      </c>
      <c r="N327" s="68" t="s">
        <v>3564</v>
      </c>
      <c r="O327" s="68" t="s">
        <v>3565</v>
      </c>
      <c r="P327" s="68" t="s">
        <v>3876</v>
      </c>
    </row>
    <row r="328" spans="1:16" ht="82.05" customHeight="1" x14ac:dyDescent="0.3">
      <c r="A328" s="119" t="s">
        <v>1519</v>
      </c>
      <c r="B328" s="119" t="s">
        <v>18</v>
      </c>
      <c r="C328" s="119" t="s">
        <v>27</v>
      </c>
      <c r="D328" s="119" t="s">
        <v>432</v>
      </c>
      <c r="E328" s="120">
        <v>-2470515763</v>
      </c>
      <c r="F328" s="120">
        <v>-2470515763</v>
      </c>
      <c r="G328" s="120" t="s">
        <v>1109</v>
      </c>
      <c r="H328" s="120">
        <f t="shared" si="10"/>
        <v>-2470.5157629999999</v>
      </c>
      <c r="I328" s="120">
        <f>KOHC!F122</f>
        <v>-2470.5157629999999</v>
      </c>
      <c r="J328" s="120">
        <f t="shared" si="11"/>
        <v>0</v>
      </c>
      <c r="K328" s="119" t="s">
        <v>1119</v>
      </c>
      <c r="L328" s="119">
        <v>63</v>
      </c>
      <c r="M328" s="119" t="s">
        <v>1106</v>
      </c>
      <c r="N328" s="122" t="s">
        <v>3564</v>
      </c>
      <c r="O328" s="122" t="s">
        <v>3565</v>
      </c>
      <c r="P328" s="122" t="s">
        <v>3877</v>
      </c>
    </row>
    <row r="329" spans="1:16" ht="82.05" customHeight="1" x14ac:dyDescent="0.3">
      <c r="A329" s="50" t="s">
        <v>1520</v>
      </c>
      <c r="B329" s="50" t="s">
        <v>18</v>
      </c>
      <c r="C329" s="50" t="s">
        <v>28</v>
      </c>
      <c r="D329" s="50" t="s">
        <v>432</v>
      </c>
      <c r="E329" s="121">
        <v>-5030324094</v>
      </c>
      <c r="F329" s="121">
        <v>-5030324094</v>
      </c>
      <c r="G329" s="121" t="s">
        <v>1109</v>
      </c>
      <c r="H329" s="121">
        <f t="shared" si="10"/>
        <v>-5030.3240939999996</v>
      </c>
      <c r="I329" s="121">
        <f>KOHC!G122</f>
        <v>-5030.3240939999996</v>
      </c>
      <c r="J329" s="121">
        <f t="shared" si="11"/>
        <v>0</v>
      </c>
      <c r="K329" s="50" t="s">
        <v>1123</v>
      </c>
      <c r="L329" s="50">
        <v>73</v>
      </c>
      <c r="M329" s="50" t="s">
        <v>1106</v>
      </c>
      <c r="N329" s="68" t="s">
        <v>3564</v>
      </c>
      <c r="O329" s="68" t="s">
        <v>3565</v>
      </c>
      <c r="P329" s="68" t="s">
        <v>3878</v>
      </c>
    </row>
    <row r="330" spans="1:16" ht="82.05" customHeight="1" x14ac:dyDescent="0.3">
      <c r="A330" s="119" t="s">
        <v>1521</v>
      </c>
      <c r="B330" s="119" t="s">
        <v>18</v>
      </c>
      <c r="C330" s="119" t="s">
        <v>29</v>
      </c>
      <c r="D330" s="119" t="s">
        <v>432</v>
      </c>
      <c r="E330" s="120">
        <v>-4398595770</v>
      </c>
      <c r="F330" s="120">
        <v>-4398595770</v>
      </c>
      <c r="G330" s="120" t="s">
        <v>1109</v>
      </c>
      <c r="H330" s="120">
        <f t="shared" si="10"/>
        <v>-4398.5957699999999</v>
      </c>
      <c r="I330" s="120">
        <f>KOHC!H122</f>
        <v>-4398.5957699999999</v>
      </c>
      <c r="J330" s="120">
        <f t="shared" si="11"/>
        <v>0</v>
      </c>
      <c r="K330" s="119" t="s">
        <v>1123</v>
      </c>
      <c r="L330" s="119">
        <v>73</v>
      </c>
      <c r="M330" s="119" t="s">
        <v>1127</v>
      </c>
      <c r="N330" s="122" t="s">
        <v>3564</v>
      </c>
      <c r="O330" s="122" t="s">
        <v>3565</v>
      </c>
      <c r="P330" s="122" t="s">
        <v>3879</v>
      </c>
    </row>
    <row r="331" spans="1:16" ht="82.05" customHeight="1" x14ac:dyDescent="0.3">
      <c r="A331" s="50" t="s">
        <v>1522</v>
      </c>
      <c r="B331" s="50" t="s">
        <v>18</v>
      </c>
      <c r="C331" s="50" t="s">
        <v>20</v>
      </c>
      <c r="D331" s="50" t="s">
        <v>434</v>
      </c>
      <c r="E331" s="121">
        <v>-943014252</v>
      </c>
      <c r="F331" s="121">
        <v>-943014252</v>
      </c>
      <c r="G331" s="121" t="s">
        <v>1109</v>
      </c>
      <c r="H331" s="121">
        <f t="shared" si="10"/>
        <v>-943.01425200000006</v>
      </c>
      <c r="I331" s="121">
        <f>KOHC!D123</f>
        <v>-943.01425200000006</v>
      </c>
      <c r="J331" s="121">
        <f t="shared" si="11"/>
        <v>0</v>
      </c>
      <c r="K331" s="50" t="s">
        <v>1112</v>
      </c>
      <c r="L331" s="50">
        <v>57</v>
      </c>
      <c r="M331" s="50" t="s">
        <v>1106</v>
      </c>
      <c r="N331" s="68" t="s">
        <v>3564</v>
      </c>
      <c r="O331" s="68" t="s">
        <v>3565</v>
      </c>
      <c r="P331" s="68" t="s">
        <v>3880</v>
      </c>
    </row>
    <row r="332" spans="1:16" ht="82.05" customHeight="1" x14ac:dyDescent="0.3">
      <c r="A332" s="119" t="s">
        <v>1524</v>
      </c>
      <c r="B332" s="119" t="s">
        <v>18</v>
      </c>
      <c r="C332" s="119" t="s">
        <v>26</v>
      </c>
      <c r="D332" s="119" t="s">
        <v>434</v>
      </c>
      <c r="E332" s="120">
        <v>-1805333093</v>
      </c>
      <c r="F332" s="120">
        <v>-1805333093</v>
      </c>
      <c r="G332" s="120" t="s">
        <v>1109</v>
      </c>
      <c r="H332" s="120">
        <f t="shared" si="10"/>
        <v>-1805.333093</v>
      </c>
      <c r="I332" s="120">
        <f>KOHC!E123</f>
        <v>-1805.333093</v>
      </c>
      <c r="J332" s="120">
        <f t="shared" si="11"/>
        <v>0</v>
      </c>
      <c r="K332" s="119" t="s">
        <v>1116</v>
      </c>
      <c r="L332" s="119">
        <v>57</v>
      </c>
      <c r="M332" s="119" t="s">
        <v>1106</v>
      </c>
      <c r="N332" s="122" t="s">
        <v>3564</v>
      </c>
      <c r="O332" s="122" t="s">
        <v>3565</v>
      </c>
      <c r="P332" s="122" t="s">
        <v>3881</v>
      </c>
    </row>
    <row r="333" spans="1:16" ht="82.05" customHeight="1" x14ac:dyDescent="0.3">
      <c r="A333" s="50" t="s">
        <v>1525</v>
      </c>
      <c r="B333" s="50" t="s">
        <v>18</v>
      </c>
      <c r="C333" s="50" t="s">
        <v>27</v>
      </c>
      <c r="D333" s="50" t="s">
        <v>434</v>
      </c>
      <c r="E333" s="121">
        <v>-1528794437</v>
      </c>
      <c r="F333" s="121">
        <v>-1528794437</v>
      </c>
      <c r="G333" s="121" t="s">
        <v>1109</v>
      </c>
      <c r="H333" s="121">
        <f t="shared" si="10"/>
        <v>-1528.794437</v>
      </c>
      <c r="I333" s="121">
        <f>KOHC!F123</f>
        <v>-1528.794437</v>
      </c>
      <c r="J333" s="121">
        <f t="shared" si="11"/>
        <v>0</v>
      </c>
      <c r="K333" s="50" t="s">
        <v>1119</v>
      </c>
      <c r="L333" s="50">
        <v>63</v>
      </c>
      <c r="M333" s="50" t="s">
        <v>1106</v>
      </c>
      <c r="N333" s="68" t="s">
        <v>3564</v>
      </c>
      <c r="O333" s="68" t="s">
        <v>3565</v>
      </c>
      <c r="P333" s="68" t="s">
        <v>3882</v>
      </c>
    </row>
    <row r="334" spans="1:16" ht="82.05" customHeight="1" x14ac:dyDescent="0.3">
      <c r="A334" s="119" t="s">
        <v>1526</v>
      </c>
      <c r="B334" s="119" t="s">
        <v>18</v>
      </c>
      <c r="C334" s="119" t="s">
        <v>28</v>
      </c>
      <c r="D334" s="119" t="s">
        <v>434</v>
      </c>
      <c r="E334" s="120">
        <v>-1447737336</v>
      </c>
      <c r="F334" s="120">
        <v>-1447737336</v>
      </c>
      <c r="G334" s="120" t="s">
        <v>1109</v>
      </c>
      <c r="H334" s="120">
        <f t="shared" si="10"/>
        <v>-1447.7373359999999</v>
      </c>
      <c r="I334" s="120">
        <f>KOHC!G123</f>
        <v>-1447.7373359999999</v>
      </c>
      <c r="J334" s="120">
        <f t="shared" si="11"/>
        <v>0</v>
      </c>
      <c r="K334" s="119" t="s">
        <v>1123</v>
      </c>
      <c r="L334" s="119">
        <v>73</v>
      </c>
      <c r="M334" s="119" t="s">
        <v>1106</v>
      </c>
      <c r="N334" s="122" t="s">
        <v>3564</v>
      </c>
      <c r="O334" s="122" t="s">
        <v>3565</v>
      </c>
      <c r="P334" s="122" t="s">
        <v>3883</v>
      </c>
    </row>
    <row r="335" spans="1:16" ht="82.05" customHeight="1" x14ac:dyDescent="0.3">
      <c r="A335" s="50" t="s">
        <v>1527</v>
      </c>
      <c r="B335" s="50" t="s">
        <v>18</v>
      </c>
      <c r="C335" s="50" t="s">
        <v>29</v>
      </c>
      <c r="D335" s="50" t="s">
        <v>434</v>
      </c>
      <c r="E335" s="121">
        <v>-4631639217</v>
      </c>
      <c r="F335" s="121">
        <v>-4631639217</v>
      </c>
      <c r="G335" s="121" t="s">
        <v>1109</v>
      </c>
      <c r="H335" s="121">
        <f t="shared" si="10"/>
        <v>-4631.6392169999999</v>
      </c>
      <c r="I335" s="121">
        <f>KOHC!H123</f>
        <v>-4631.6392169999999</v>
      </c>
      <c r="J335" s="121">
        <f t="shared" si="11"/>
        <v>0</v>
      </c>
      <c r="K335" s="50" t="s">
        <v>1123</v>
      </c>
      <c r="L335" s="50">
        <v>73</v>
      </c>
      <c r="M335" s="50" t="s">
        <v>1127</v>
      </c>
      <c r="N335" s="68" t="s">
        <v>3564</v>
      </c>
      <c r="O335" s="68" t="s">
        <v>3565</v>
      </c>
      <c r="P335" s="68" t="s">
        <v>3884</v>
      </c>
    </row>
    <row r="336" spans="1:16" ht="82.05" customHeight="1" x14ac:dyDescent="0.3">
      <c r="A336" s="119" t="s">
        <v>1528</v>
      </c>
      <c r="B336" s="119" t="s">
        <v>18</v>
      </c>
      <c r="C336" s="119" t="s">
        <v>20</v>
      </c>
      <c r="D336" s="119" t="s">
        <v>436</v>
      </c>
      <c r="E336" s="120">
        <v>-1816796</v>
      </c>
      <c r="F336" s="120">
        <v>-1816796</v>
      </c>
      <c r="G336" s="120" t="s">
        <v>1109</v>
      </c>
      <c r="H336" s="120">
        <f t="shared" si="10"/>
        <v>-1.8167960000000001</v>
      </c>
      <c r="I336" s="120">
        <f>KOHC!D124</f>
        <v>-1.8167960000000001</v>
      </c>
      <c r="J336" s="120">
        <f t="shared" si="11"/>
        <v>0</v>
      </c>
      <c r="K336" s="119" t="s">
        <v>1112</v>
      </c>
      <c r="L336" s="119">
        <v>57</v>
      </c>
      <c r="M336" s="119" t="s">
        <v>1106</v>
      </c>
      <c r="N336" s="122" t="s">
        <v>3564</v>
      </c>
      <c r="O336" s="122" t="s">
        <v>3565</v>
      </c>
      <c r="P336" s="122" t="s">
        <v>3885</v>
      </c>
    </row>
    <row r="337" spans="1:16" ht="82.05" customHeight="1" x14ac:dyDescent="0.3">
      <c r="A337" s="50" t="s">
        <v>1530</v>
      </c>
      <c r="B337" s="50" t="s">
        <v>18</v>
      </c>
      <c r="C337" s="50" t="s">
        <v>26</v>
      </c>
      <c r="D337" s="50" t="s">
        <v>436</v>
      </c>
      <c r="E337" s="121">
        <v>-549503</v>
      </c>
      <c r="F337" s="121">
        <v>-549503</v>
      </c>
      <c r="G337" s="121" t="s">
        <v>1109</v>
      </c>
      <c r="H337" s="121">
        <f t="shared" si="10"/>
        <v>-0.54950299999999996</v>
      </c>
      <c r="I337" s="121">
        <f>KOHC!E124</f>
        <v>-0.54950299999999996</v>
      </c>
      <c r="J337" s="121">
        <f t="shared" si="11"/>
        <v>0</v>
      </c>
      <c r="K337" s="50" t="s">
        <v>1116</v>
      </c>
      <c r="L337" s="50">
        <v>57</v>
      </c>
      <c r="M337" s="50" t="s">
        <v>1106</v>
      </c>
      <c r="N337" s="68" t="s">
        <v>3564</v>
      </c>
      <c r="O337" s="68" t="s">
        <v>3565</v>
      </c>
      <c r="P337" s="68" t="s">
        <v>3886</v>
      </c>
    </row>
    <row r="338" spans="1:16" ht="82.05" customHeight="1" x14ac:dyDescent="0.3">
      <c r="A338" s="119" t="s">
        <v>1531</v>
      </c>
      <c r="B338" s="119" t="s">
        <v>18</v>
      </c>
      <c r="C338" s="119" t="s">
        <v>27</v>
      </c>
      <c r="D338" s="119" t="s">
        <v>436</v>
      </c>
      <c r="E338" s="120">
        <v>-172829</v>
      </c>
      <c r="F338" s="120">
        <v>-172829</v>
      </c>
      <c r="G338" s="120" t="s">
        <v>1109</v>
      </c>
      <c r="H338" s="120">
        <f t="shared" si="10"/>
        <v>-0.17282900000000001</v>
      </c>
      <c r="I338" s="120">
        <f>KOHC!F124</f>
        <v>-0.17282900000000001</v>
      </c>
      <c r="J338" s="120">
        <f t="shared" si="11"/>
        <v>0</v>
      </c>
      <c r="K338" s="119" t="s">
        <v>1119</v>
      </c>
      <c r="L338" s="119">
        <v>63</v>
      </c>
      <c r="M338" s="119" t="s">
        <v>1106</v>
      </c>
      <c r="N338" s="122" t="s">
        <v>3564</v>
      </c>
      <c r="O338" s="122" t="s">
        <v>3565</v>
      </c>
      <c r="P338" s="122" t="s">
        <v>3887</v>
      </c>
    </row>
    <row r="339" spans="1:16" ht="82.05" customHeight="1" x14ac:dyDescent="0.3">
      <c r="A339" s="50" t="s">
        <v>1532</v>
      </c>
      <c r="B339" s="50" t="s">
        <v>18</v>
      </c>
      <c r="C339" s="50" t="s">
        <v>28</v>
      </c>
      <c r="D339" s="50" t="s">
        <v>436</v>
      </c>
      <c r="E339" s="121">
        <v>-136289</v>
      </c>
      <c r="F339" s="121">
        <v>-136289</v>
      </c>
      <c r="G339" s="121" t="s">
        <v>1109</v>
      </c>
      <c r="H339" s="121">
        <f t="shared" si="10"/>
        <v>-0.13628899999999999</v>
      </c>
      <c r="I339" s="121">
        <f>KOHC!G124</f>
        <v>-0.13628899999999999</v>
      </c>
      <c r="J339" s="121">
        <f t="shared" si="11"/>
        <v>0</v>
      </c>
      <c r="K339" s="50" t="s">
        <v>1123</v>
      </c>
      <c r="L339" s="50">
        <v>73</v>
      </c>
      <c r="M339" s="50" t="s">
        <v>1106</v>
      </c>
      <c r="N339" s="68" t="s">
        <v>3564</v>
      </c>
      <c r="O339" s="68" t="s">
        <v>3565</v>
      </c>
      <c r="P339" s="68" t="s">
        <v>3888</v>
      </c>
    </row>
    <row r="340" spans="1:16" ht="82.05" customHeight="1" x14ac:dyDescent="0.3">
      <c r="A340" s="119" t="s">
        <v>1533</v>
      </c>
      <c r="B340" s="119" t="s">
        <v>18</v>
      </c>
      <c r="C340" s="119" t="s">
        <v>29</v>
      </c>
      <c r="D340" s="119" t="s">
        <v>436</v>
      </c>
      <c r="E340" s="120">
        <v>-3157674</v>
      </c>
      <c r="F340" s="120">
        <v>-3157674</v>
      </c>
      <c r="G340" s="120" t="s">
        <v>1109</v>
      </c>
      <c r="H340" s="120">
        <f t="shared" si="10"/>
        <v>-3.1576740000000001</v>
      </c>
      <c r="I340" s="120">
        <f>KOHC!H124</f>
        <v>-3.1576740000000001</v>
      </c>
      <c r="J340" s="120">
        <f t="shared" si="11"/>
        <v>0</v>
      </c>
      <c r="K340" s="119" t="s">
        <v>1123</v>
      </c>
      <c r="L340" s="119">
        <v>73</v>
      </c>
      <c r="M340" s="119" t="s">
        <v>1127</v>
      </c>
      <c r="N340" s="122" t="s">
        <v>3564</v>
      </c>
      <c r="O340" s="122" t="s">
        <v>3565</v>
      </c>
      <c r="P340" s="122" t="s">
        <v>3889</v>
      </c>
    </row>
    <row r="341" spans="1:16" ht="82.05" customHeight="1" x14ac:dyDescent="0.3">
      <c r="A341" s="50" t="s">
        <v>1583</v>
      </c>
      <c r="B341" s="50" t="s">
        <v>68</v>
      </c>
      <c r="C341" s="50" t="s">
        <v>965</v>
      </c>
      <c r="D341" s="50" t="s">
        <v>243</v>
      </c>
      <c r="E341" s="121">
        <v>60247570</v>
      </c>
      <c r="F341" s="121">
        <v>60247570</v>
      </c>
      <c r="G341" s="121" t="s">
        <v>1586</v>
      </c>
      <c r="H341" s="121">
        <f t="shared" ref="H341:H404" si="12">F341/1000</f>
        <v>60247.57</v>
      </c>
      <c r="I341" s="121">
        <f>LUCK!C20</f>
        <v>60247.57</v>
      </c>
      <c r="J341" s="121">
        <f t="shared" si="11"/>
        <v>0</v>
      </c>
      <c r="K341" s="50" t="s">
        <v>1584</v>
      </c>
      <c r="L341" s="50">
        <v>191</v>
      </c>
      <c r="M341" s="50" t="s">
        <v>1106</v>
      </c>
      <c r="N341" s="68" t="s">
        <v>3564</v>
      </c>
      <c r="O341" s="68" t="s">
        <v>3565</v>
      </c>
      <c r="P341" s="68" t="s">
        <v>3890</v>
      </c>
    </row>
    <row r="342" spans="1:16" ht="82.05" customHeight="1" x14ac:dyDescent="0.3">
      <c r="A342" s="119" t="s">
        <v>1588</v>
      </c>
      <c r="B342" s="119" t="s">
        <v>68</v>
      </c>
      <c r="C342" s="119" t="s">
        <v>20</v>
      </c>
      <c r="D342" s="119" t="s">
        <v>243</v>
      </c>
      <c r="E342" s="120">
        <v>62389947</v>
      </c>
      <c r="F342" s="120">
        <v>62389947</v>
      </c>
      <c r="G342" s="120" t="s">
        <v>1586</v>
      </c>
      <c r="H342" s="120">
        <f t="shared" si="12"/>
        <v>62389.947</v>
      </c>
      <c r="I342" s="120">
        <f>LUCK!D20</f>
        <v>62389.947</v>
      </c>
      <c r="J342" s="120">
        <f t="shared" si="11"/>
        <v>0</v>
      </c>
      <c r="K342" s="119" t="s">
        <v>1589</v>
      </c>
      <c r="L342" s="119">
        <v>226</v>
      </c>
      <c r="M342" s="119" t="s">
        <v>1106</v>
      </c>
      <c r="N342" s="122" t="s">
        <v>3564</v>
      </c>
      <c r="O342" s="122" t="s">
        <v>3565</v>
      </c>
      <c r="P342" s="122" t="s">
        <v>3891</v>
      </c>
    </row>
    <row r="343" spans="1:16" ht="82.05" customHeight="1" x14ac:dyDescent="0.3">
      <c r="A343" s="50" t="s">
        <v>1591</v>
      </c>
      <c r="B343" s="50" t="s">
        <v>68</v>
      </c>
      <c r="C343" s="50" t="s">
        <v>26</v>
      </c>
      <c r="D343" s="50" t="s">
        <v>243</v>
      </c>
      <c r="E343" s="121">
        <v>82301050</v>
      </c>
      <c r="F343" s="121">
        <v>82301050</v>
      </c>
      <c r="G343" s="121" t="s">
        <v>1586</v>
      </c>
      <c r="H343" s="121">
        <f t="shared" si="12"/>
        <v>82301.05</v>
      </c>
      <c r="I343" s="121">
        <f>LUCK!E20</f>
        <v>82301.05</v>
      </c>
      <c r="J343" s="121">
        <f t="shared" si="11"/>
        <v>0</v>
      </c>
      <c r="K343" s="50" t="s">
        <v>1592</v>
      </c>
      <c r="L343" s="50">
        <v>234</v>
      </c>
      <c r="M343" s="50" t="s">
        <v>1106</v>
      </c>
      <c r="N343" s="68" t="s">
        <v>3564</v>
      </c>
      <c r="O343" s="68" t="s">
        <v>3565</v>
      </c>
      <c r="P343" s="68" t="s">
        <v>3892</v>
      </c>
    </row>
    <row r="344" spans="1:16" ht="82.05" customHeight="1" x14ac:dyDescent="0.3">
      <c r="A344" s="119" t="s">
        <v>1594</v>
      </c>
      <c r="B344" s="119" t="s">
        <v>68</v>
      </c>
      <c r="C344" s="119" t="s">
        <v>27</v>
      </c>
      <c r="D344" s="119" t="s">
        <v>243</v>
      </c>
      <c r="E344" s="120">
        <v>95620306</v>
      </c>
      <c r="F344" s="120">
        <v>95620306</v>
      </c>
      <c r="G344" s="120" t="s">
        <v>1586</v>
      </c>
      <c r="H344" s="120">
        <f t="shared" si="12"/>
        <v>95620.305999999997</v>
      </c>
      <c r="I344" s="120">
        <f>LUCK!F20</f>
        <v>95620.305999999997</v>
      </c>
      <c r="J344" s="120">
        <f t="shared" si="11"/>
        <v>0</v>
      </c>
      <c r="K344" s="119" t="s">
        <v>1595</v>
      </c>
      <c r="L344" s="119">
        <v>238</v>
      </c>
      <c r="M344" s="119" t="s">
        <v>1106</v>
      </c>
      <c r="N344" s="122" t="s">
        <v>3564</v>
      </c>
      <c r="O344" s="122" t="s">
        <v>3565</v>
      </c>
      <c r="P344" s="122" t="s">
        <v>3893</v>
      </c>
    </row>
    <row r="345" spans="1:16" ht="82.05" customHeight="1" x14ac:dyDescent="0.3">
      <c r="A345" s="50" t="s">
        <v>1597</v>
      </c>
      <c r="B345" s="50" t="s">
        <v>68</v>
      </c>
      <c r="C345" s="50" t="s">
        <v>28</v>
      </c>
      <c r="D345" s="50" t="s">
        <v>243</v>
      </c>
      <c r="E345" s="121">
        <v>107258973</v>
      </c>
      <c r="F345" s="121">
        <v>107258973</v>
      </c>
      <c r="G345" s="121" t="s">
        <v>1586</v>
      </c>
      <c r="H345" s="121">
        <f t="shared" si="12"/>
        <v>107258.973</v>
      </c>
      <c r="I345" s="121">
        <f>LUCK!G20</f>
        <v>107258.973</v>
      </c>
      <c r="J345" s="121">
        <f t="shared" si="11"/>
        <v>0</v>
      </c>
      <c r="K345" s="50" t="s">
        <v>1598</v>
      </c>
      <c r="L345" s="50">
        <v>240</v>
      </c>
      <c r="M345" s="50" t="s">
        <v>1106</v>
      </c>
      <c r="N345" s="68" t="s">
        <v>3564</v>
      </c>
      <c r="O345" s="68" t="s">
        <v>3565</v>
      </c>
      <c r="P345" s="68" t="s">
        <v>3894</v>
      </c>
    </row>
    <row r="346" spans="1:16" ht="82.05" customHeight="1" x14ac:dyDescent="0.3">
      <c r="A346" s="119" t="s">
        <v>1600</v>
      </c>
      <c r="B346" s="119" t="s">
        <v>68</v>
      </c>
      <c r="C346" s="119" t="s">
        <v>29</v>
      </c>
      <c r="D346" s="119" t="s">
        <v>243</v>
      </c>
      <c r="E346" s="120">
        <v>107409588</v>
      </c>
      <c r="F346" s="120">
        <v>107409588</v>
      </c>
      <c r="G346" s="120" t="s">
        <v>1586</v>
      </c>
      <c r="H346" s="120">
        <f t="shared" si="12"/>
        <v>107409.588</v>
      </c>
      <c r="I346" s="120">
        <f>LUCK!H20</f>
        <v>107409.588</v>
      </c>
      <c r="J346" s="120">
        <f t="shared" si="11"/>
        <v>0</v>
      </c>
      <c r="K346" s="119" t="s">
        <v>1598</v>
      </c>
      <c r="L346" s="119">
        <v>240</v>
      </c>
      <c r="M346" s="119" t="s">
        <v>1127</v>
      </c>
      <c r="N346" s="122" t="s">
        <v>3564</v>
      </c>
      <c r="O346" s="122" t="s">
        <v>3565</v>
      </c>
      <c r="P346" s="122" t="s">
        <v>3895</v>
      </c>
    </row>
    <row r="347" spans="1:16" ht="82.05" customHeight="1" x14ac:dyDescent="0.3">
      <c r="A347" s="50" t="s">
        <v>1601</v>
      </c>
      <c r="B347" s="50" t="s">
        <v>68</v>
      </c>
      <c r="C347" s="50" t="s">
        <v>965</v>
      </c>
      <c r="D347" s="50" t="s">
        <v>1129</v>
      </c>
      <c r="E347" s="121">
        <v>334191</v>
      </c>
      <c r="F347" s="121">
        <v>334191</v>
      </c>
      <c r="G347" s="121" t="s">
        <v>1586</v>
      </c>
      <c r="H347" s="121">
        <f t="shared" si="12"/>
        <v>334.19099999999997</v>
      </c>
      <c r="I347" s="121">
        <f>LUCK!C21</f>
        <v>334.19099999999997</v>
      </c>
      <c r="J347" s="121">
        <f t="shared" si="11"/>
        <v>0</v>
      </c>
      <c r="K347" s="50" t="s">
        <v>1584</v>
      </c>
      <c r="L347" s="50">
        <v>202</v>
      </c>
      <c r="M347" s="50" t="s">
        <v>1106</v>
      </c>
      <c r="N347" s="68" t="s">
        <v>3564</v>
      </c>
      <c r="O347" s="68" t="s">
        <v>3565</v>
      </c>
      <c r="P347" s="68" t="s">
        <v>3896</v>
      </c>
    </row>
    <row r="348" spans="1:16" ht="82.05" customHeight="1" x14ac:dyDescent="0.3">
      <c r="A348" s="119" t="s">
        <v>1602</v>
      </c>
      <c r="B348" s="119" t="s">
        <v>68</v>
      </c>
      <c r="C348" s="119" t="s">
        <v>20</v>
      </c>
      <c r="D348" s="119" t="s">
        <v>1129</v>
      </c>
      <c r="E348" s="120">
        <v>4015044</v>
      </c>
      <c r="F348" s="120">
        <v>4015044</v>
      </c>
      <c r="G348" s="120" t="s">
        <v>1586</v>
      </c>
      <c r="H348" s="120">
        <f t="shared" si="12"/>
        <v>4015.0439999999999</v>
      </c>
      <c r="I348" s="120">
        <f>LUCK!D21</f>
        <v>4015.0439999999999</v>
      </c>
      <c r="J348" s="120">
        <f t="shared" si="11"/>
        <v>0</v>
      </c>
      <c r="K348" s="119" t="s">
        <v>1589</v>
      </c>
      <c r="L348" s="119">
        <v>237</v>
      </c>
      <c r="M348" s="119" t="s">
        <v>1106</v>
      </c>
      <c r="N348" s="122" t="s">
        <v>3564</v>
      </c>
      <c r="O348" s="122" t="s">
        <v>3565</v>
      </c>
      <c r="P348" s="122" t="s">
        <v>3897</v>
      </c>
    </row>
    <row r="349" spans="1:16" ht="82.05" customHeight="1" x14ac:dyDescent="0.3">
      <c r="A349" s="50" t="s">
        <v>1604</v>
      </c>
      <c r="B349" s="50" t="s">
        <v>68</v>
      </c>
      <c r="C349" s="50" t="s">
        <v>26</v>
      </c>
      <c r="D349" s="50" t="s">
        <v>1129</v>
      </c>
      <c r="E349" s="121">
        <v>21911214</v>
      </c>
      <c r="F349" s="121">
        <v>21911214</v>
      </c>
      <c r="G349" s="121" t="s">
        <v>1586</v>
      </c>
      <c r="H349" s="121">
        <f t="shared" si="12"/>
        <v>21911.214</v>
      </c>
      <c r="I349" s="121">
        <f>LUCK!E21</f>
        <v>21911.214</v>
      </c>
      <c r="J349" s="121">
        <f t="shared" si="11"/>
        <v>0</v>
      </c>
      <c r="K349" s="50" t="s">
        <v>1592</v>
      </c>
      <c r="L349" s="50">
        <v>245</v>
      </c>
      <c r="M349" s="50" t="s">
        <v>1106</v>
      </c>
      <c r="N349" s="68" t="s">
        <v>3564</v>
      </c>
      <c r="O349" s="68" t="s">
        <v>3565</v>
      </c>
      <c r="P349" s="68" t="s">
        <v>3898</v>
      </c>
    </row>
    <row r="350" spans="1:16" ht="82.05" customHeight="1" x14ac:dyDescent="0.3">
      <c r="A350" s="119" t="s">
        <v>1606</v>
      </c>
      <c r="B350" s="119" t="s">
        <v>68</v>
      </c>
      <c r="C350" s="119" t="s">
        <v>27</v>
      </c>
      <c r="D350" s="119" t="s">
        <v>1129</v>
      </c>
      <c r="E350" s="120">
        <v>5562145</v>
      </c>
      <c r="F350" s="120">
        <v>5562145</v>
      </c>
      <c r="G350" s="120" t="s">
        <v>1586</v>
      </c>
      <c r="H350" s="120">
        <f t="shared" si="12"/>
        <v>5562.1450000000004</v>
      </c>
      <c r="I350" s="120">
        <f>LUCK!F21</f>
        <v>5562.1450000000004</v>
      </c>
      <c r="J350" s="120">
        <f t="shared" si="11"/>
        <v>0</v>
      </c>
      <c r="K350" s="119" t="s">
        <v>1595</v>
      </c>
      <c r="L350" s="119">
        <v>250</v>
      </c>
      <c r="M350" s="119" t="s">
        <v>1106</v>
      </c>
      <c r="N350" s="122" t="s">
        <v>3564</v>
      </c>
      <c r="O350" s="122" t="s">
        <v>3565</v>
      </c>
      <c r="P350" s="122" t="s">
        <v>3899</v>
      </c>
    </row>
    <row r="351" spans="1:16" ht="82.05" customHeight="1" x14ac:dyDescent="0.3">
      <c r="A351" s="50" t="s">
        <v>1608</v>
      </c>
      <c r="B351" s="50" t="s">
        <v>68</v>
      </c>
      <c r="C351" s="50" t="s">
        <v>28</v>
      </c>
      <c r="D351" s="50" t="s">
        <v>1129</v>
      </c>
      <c r="E351" s="121">
        <v>11633303</v>
      </c>
      <c r="F351" s="121">
        <v>11633303</v>
      </c>
      <c r="G351" s="121" t="s">
        <v>1586</v>
      </c>
      <c r="H351" s="121">
        <f t="shared" si="12"/>
        <v>11633.303</v>
      </c>
      <c r="I351" s="121">
        <f>LUCK!G21</f>
        <v>11633.303</v>
      </c>
      <c r="J351" s="121">
        <f t="shared" si="11"/>
        <v>0</v>
      </c>
      <c r="K351" s="50" t="s">
        <v>1598</v>
      </c>
      <c r="L351" s="50">
        <v>252</v>
      </c>
      <c r="M351" s="50" t="s">
        <v>1106</v>
      </c>
      <c r="N351" s="68" t="s">
        <v>3564</v>
      </c>
      <c r="O351" s="68" t="s">
        <v>3565</v>
      </c>
      <c r="P351" s="68" t="s">
        <v>3900</v>
      </c>
    </row>
    <row r="352" spans="1:16" ht="82.05" customHeight="1" x14ac:dyDescent="0.3">
      <c r="A352" s="119" t="s">
        <v>1610</v>
      </c>
      <c r="B352" s="119" t="s">
        <v>68</v>
      </c>
      <c r="C352" s="119" t="s">
        <v>29</v>
      </c>
      <c r="D352" s="119" t="s">
        <v>1129</v>
      </c>
      <c r="E352" s="120">
        <v>5420742</v>
      </c>
      <c r="F352" s="120">
        <v>5420742</v>
      </c>
      <c r="G352" s="120" t="s">
        <v>1586</v>
      </c>
      <c r="H352" s="120">
        <f t="shared" si="12"/>
        <v>5420.7420000000002</v>
      </c>
      <c r="I352" s="120">
        <f>LUCK!H21</f>
        <v>5420.7420000000002</v>
      </c>
      <c r="J352" s="120">
        <f t="shared" si="11"/>
        <v>0</v>
      </c>
      <c r="K352" s="119" t="s">
        <v>1598</v>
      </c>
      <c r="L352" s="119">
        <v>252</v>
      </c>
      <c r="M352" s="119" t="s">
        <v>1127</v>
      </c>
      <c r="N352" s="122" t="s">
        <v>3564</v>
      </c>
      <c r="O352" s="122" t="s">
        <v>3565</v>
      </c>
      <c r="P352" s="122" t="s">
        <v>3901</v>
      </c>
    </row>
    <row r="353" spans="1:16" ht="82.05" customHeight="1" x14ac:dyDescent="0.3">
      <c r="A353" s="50" t="s">
        <v>1611</v>
      </c>
      <c r="B353" s="50" t="s">
        <v>68</v>
      </c>
      <c r="C353" s="50" t="s">
        <v>965</v>
      </c>
      <c r="D353" s="50" t="s">
        <v>250</v>
      </c>
      <c r="E353" s="121">
        <v>0</v>
      </c>
      <c r="F353" s="121">
        <v>0</v>
      </c>
      <c r="G353" s="121" t="s">
        <v>1586</v>
      </c>
      <c r="H353" s="121">
        <f t="shared" si="12"/>
        <v>0</v>
      </c>
      <c r="I353" s="121">
        <f>LUCK!C23</f>
        <v>0</v>
      </c>
      <c r="J353" s="121">
        <f t="shared" si="11"/>
        <v>0</v>
      </c>
      <c r="K353" s="50" t="s">
        <v>1584</v>
      </c>
      <c r="L353" s="50">
        <v>191</v>
      </c>
      <c r="M353" s="50" t="s">
        <v>1106</v>
      </c>
      <c r="N353" s="68" t="s">
        <v>3578</v>
      </c>
      <c r="O353" s="68" t="s">
        <v>3579</v>
      </c>
      <c r="P353" s="68" t="s">
        <v>3902</v>
      </c>
    </row>
    <row r="354" spans="1:16" ht="82.05" customHeight="1" x14ac:dyDescent="0.3">
      <c r="A354" s="119" t="s">
        <v>1612</v>
      </c>
      <c r="B354" s="119" t="s">
        <v>68</v>
      </c>
      <c r="C354" s="119" t="s">
        <v>20</v>
      </c>
      <c r="D354" s="119" t="s">
        <v>250</v>
      </c>
      <c r="E354" s="120">
        <v>0</v>
      </c>
      <c r="F354" s="120">
        <v>0</v>
      </c>
      <c r="G354" s="120" t="s">
        <v>1586</v>
      </c>
      <c r="H354" s="120">
        <f t="shared" si="12"/>
        <v>0</v>
      </c>
      <c r="I354" s="120">
        <f>LUCK!D23</f>
        <v>0</v>
      </c>
      <c r="J354" s="120">
        <f t="shared" si="11"/>
        <v>0</v>
      </c>
      <c r="K354" s="119" t="s">
        <v>1589</v>
      </c>
      <c r="L354" s="119">
        <v>226</v>
      </c>
      <c r="M354" s="119" t="s">
        <v>1106</v>
      </c>
      <c r="N354" s="122" t="s">
        <v>3578</v>
      </c>
      <c r="O354" s="122" t="s">
        <v>3579</v>
      </c>
      <c r="P354" s="122" t="s">
        <v>3903</v>
      </c>
    </row>
    <row r="355" spans="1:16" ht="82.05" customHeight="1" x14ac:dyDescent="0.3">
      <c r="A355" s="50" t="s">
        <v>1613</v>
      </c>
      <c r="B355" s="50" t="s">
        <v>68</v>
      </c>
      <c r="C355" s="50" t="s">
        <v>26</v>
      </c>
      <c r="D355" s="50" t="s">
        <v>250</v>
      </c>
      <c r="E355" s="121">
        <v>0</v>
      </c>
      <c r="F355" s="121">
        <v>0</v>
      </c>
      <c r="G355" s="121" t="s">
        <v>1586</v>
      </c>
      <c r="H355" s="121">
        <f t="shared" si="12"/>
        <v>0</v>
      </c>
      <c r="I355" s="121">
        <f>LUCK!E23</f>
        <v>0</v>
      </c>
      <c r="J355" s="121">
        <f t="shared" si="11"/>
        <v>0</v>
      </c>
      <c r="K355" s="50" t="s">
        <v>1592</v>
      </c>
      <c r="L355" s="50">
        <v>234</v>
      </c>
      <c r="M355" s="50" t="s">
        <v>1106</v>
      </c>
      <c r="N355" s="68" t="s">
        <v>3578</v>
      </c>
      <c r="O355" s="68" t="s">
        <v>3579</v>
      </c>
      <c r="P355" s="68" t="s">
        <v>3904</v>
      </c>
    </row>
    <row r="356" spans="1:16" ht="82.05" customHeight="1" x14ac:dyDescent="0.3">
      <c r="A356" s="119" t="s">
        <v>1614</v>
      </c>
      <c r="B356" s="119" t="s">
        <v>68</v>
      </c>
      <c r="C356" s="119" t="s">
        <v>27</v>
      </c>
      <c r="D356" s="119" t="s">
        <v>250</v>
      </c>
      <c r="E356" s="120">
        <v>0</v>
      </c>
      <c r="F356" s="120">
        <v>0</v>
      </c>
      <c r="G356" s="120" t="s">
        <v>1586</v>
      </c>
      <c r="H356" s="120">
        <f t="shared" si="12"/>
        <v>0</v>
      </c>
      <c r="I356" s="120">
        <f>LUCK!F23</f>
        <v>0</v>
      </c>
      <c r="J356" s="120">
        <f t="shared" si="11"/>
        <v>0</v>
      </c>
      <c r="K356" s="119" t="s">
        <v>1595</v>
      </c>
      <c r="L356" s="119">
        <v>238</v>
      </c>
      <c r="M356" s="119" t="s">
        <v>1106</v>
      </c>
      <c r="N356" s="122" t="s">
        <v>3578</v>
      </c>
      <c r="O356" s="122" t="s">
        <v>3579</v>
      </c>
      <c r="P356" s="122" t="s">
        <v>3905</v>
      </c>
    </row>
    <row r="357" spans="1:16" ht="82.05" customHeight="1" x14ac:dyDescent="0.3">
      <c r="A357" s="50" t="s">
        <v>1615</v>
      </c>
      <c r="B357" s="50" t="s">
        <v>68</v>
      </c>
      <c r="C357" s="50" t="s">
        <v>28</v>
      </c>
      <c r="D357" s="50" t="s">
        <v>250</v>
      </c>
      <c r="E357" s="121">
        <v>0</v>
      </c>
      <c r="F357" s="121">
        <v>0</v>
      </c>
      <c r="G357" s="121" t="s">
        <v>1586</v>
      </c>
      <c r="H357" s="121">
        <f t="shared" si="12"/>
        <v>0</v>
      </c>
      <c r="I357" s="121">
        <f>LUCK!G23</f>
        <v>0</v>
      </c>
      <c r="J357" s="121">
        <f t="shared" si="11"/>
        <v>0</v>
      </c>
      <c r="K357" s="50" t="s">
        <v>1598</v>
      </c>
      <c r="L357" s="50">
        <v>240</v>
      </c>
      <c r="M357" s="50" t="s">
        <v>1106</v>
      </c>
      <c r="N357" s="68" t="s">
        <v>3578</v>
      </c>
      <c r="O357" s="68" t="s">
        <v>3579</v>
      </c>
      <c r="P357" s="68" t="s">
        <v>3906</v>
      </c>
    </row>
    <row r="358" spans="1:16" ht="82.05" customHeight="1" x14ac:dyDescent="0.3">
      <c r="A358" s="119" t="s">
        <v>1616</v>
      </c>
      <c r="B358" s="119" t="s">
        <v>68</v>
      </c>
      <c r="C358" s="119" t="s">
        <v>29</v>
      </c>
      <c r="D358" s="119" t="s">
        <v>250</v>
      </c>
      <c r="E358" s="120">
        <v>0</v>
      </c>
      <c r="F358" s="120">
        <v>0</v>
      </c>
      <c r="G358" s="120" t="s">
        <v>1586</v>
      </c>
      <c r="H358" s="120">
        <f t="shared" si="12"/>
        <v>0</v>
      </c>
      <c r="I358" s="120">
        <f>LUCK!H23</f>
        <v>0</v>
      </c>
      <c r="J358" s="120">
        <f t="shared" si="11"/>
        <v>0</v>
      </c>
      <c r="K358" s="119" t="s">
        <v>1598</v>
      </c>
      <c r="L358" s="119">
        <v>240</v>
      </c>
      <c r="M358" s="119" t="s">
        <v>1127</v>
      </c>
      <c r="N358" s="122" t="s">
        <v>3578</v>
      </c>
      <c r="O358" s="122" t="s">
        <v>3579</v>
      </c>
      <c r="P358" s="122" t="s">
        <v>3906</v>
      </c>
    </row>
    <row r="359" spans="1:16" ht="82.05" customHeight="1" x14ac:dyDescent="0.3">
      <c r="A359" s="50" t="s">
        <v>1617</v>
      </c>
      <c r="B359" s="50" t="s">
        <v>68</v>
      </c>
      <c r="C359" s="50" t="s">
        <v>965</v>
      </c>
      <c r="D359" s="50" t="s">
        <v>252</v>
      </c>
      <c r="E359" s="121">
        <v>11323</v>
      </c>
      <c r="F359" s="121">
        <v>11323</v>
      </c>
      <c r="G359" s="121" t="s">
        <v>1586</v>
      </c>
      <c r="H359" s="121">
        <f t="shared" si="12"/>
        <v>11.323</v>
      </c>
      <c r="I359" s="121">
        <f>LUCK!C24</f>
        <v>11.323</v>
      </c>
      <c r="J359" s="121">
        <f t="shared" si="11"/>
        <v>0</v>
      </c>
      <c r="K359" s="50" t="s">
        <v>1584</v>
      </c>
      <c r="L359" s="50">
        <v>191</v>
      </c>
      <c r="M359" s="50" t="s">
        <v>1106</v>
      </c>
      <c r="N359" s="68" t="s">
        <v>3564</v>
      </c>
      <c r="O359" s="68" t="s">
        <v>3565</v>
      </c>
      <c r="P359" s="68" t="s">
        <v>3907</v>
      </c>
    </row>
    <row r="360" spans="1:16" ht="82.05" customHeight="1" x14ac:dyDescent="0.3">
      <c r="A360" s="119" t="s">
        <v>1618</v>
      </c>
      <c r="B360" s="119" t="s">
        <v>68</v>
      </c>
      <c r="C360" s="119" t="s">
        <v>20</v>
      </c>
      <c r="D360" s="119" t="s">
        <v>252</v>
      </c>
      <c r="E360" s="120">
        <v>670</v>
      </c>
      <c r="F360" s="120">
        <v>670</v>
      </c>
      <c r="G360" s="120" t="s">
        <v>1586</v>
      </c>
      <c r="H360" s="120">
        <f t="shared" si="12"/>
        <v>0.67</v>
      </c>
      <c r="I360" s="120">
        <f>LUCK!D24</f>
        <v>0.67</v>
      </c>
      <c r="J360" s="120">
        <f t="shared" si="11"/>
        <v>0</v>
      </c>
      <c r="K360" s="119" t="s">
        <v>1589</v>
      </c>
      <c r="L360" s="119">
        <v>226</v>
      </c>
      <c r="M360" s="119" t="s">
        <v>1106</v>
      </c>
      <c r="N360" s="122" t="s">
        <v>3564</v>
      </c>
      <c r="O360" s="122" t="s">
        <v>3565</v>
      </c>
      <c r="P360" s="122" t="s">
        <v>3908</v>
      </c>
    </row>
    <row r="361" spans="1:16" ht="82.05" customHeight="1" x14ac:dyDescent="0.3">
      <c r="A361" s="50" t="s">
        <v>1619</v>
      </c>
      <c r="B361" s="50" t="s">
        <v>68</v>
      </c>
      <c r="C361" s="50" t="s">
        <v>26</v>
      </c>
      <c r="D361" s="50" t="s">
        <v>252</v>
      </c>
      <c r="E361" s="121">
        <v>51352</v>
      </c>
      <c r="F361" s="121">
        <v>51352</v>
      </c>
      <c r="G361" s="121" t="s">
        <v>1586</v>
      </c>
      <c r="H361" s="121">
        <f t="shared" si="12"/>
        <v>51.351999999999997</v>
      </c>
      <c r="I361" s="121">
        <f>LUCK!E24</f>
        <v>51.351999999999997</v>
      </c>
      <c r="J361" s="121">
        <f t="shared" si="11"/>
        <v>0</v>
      </c>
      <c r="K361" s="50" t="s">
        <v>1592</v>
      </c>
      <c r="L361" s="50">
        <v>234</v>
      </c>
      <c r="M361" s="50" t="s">
        <v>1106</v>
      </c>
      <c r="N361" s="68" t="s">
        <v>3564</v>
      </c>
      <c r="O361" s="68" t="s">
        <v>3565</v>
      </c>
      <c r="P361" s="68" t="s">
        <v>3909</v>
      </c>
    </row>
    <row r="362" spans="1:16" ht="82.05" customHeight="1" x14ac:dyDescent="0.3">
      <c r="A362" s="119" t="s">
        <v>1620</v>
      </c>
      <c r="B362" s="119" t="s">
        <v>68</v>
      </c>
      <c r="C362" s="119" t="s">
        <v>27</v>
      </c>
      <c r="D362" s="119" t="s">
        <v>252</v>
      </c>
      <c r="E362" s="120">
        <v>85588</v>
      </c>
      <c r="F362" s="120">
        <v>85588</v>
      </c>
      <c r="G362" s="120" t="s">
        <v>1586</v>
      </c>
      <c r="H362" s="120">
        <f t="shared" si="12"/>
        <v>85.587999999999994</v>
      </c>
      <c r="I362" s="120">
        <f>LUCK!F24</f>
        <v>85.587999999999994</v>
      </c>
      <c r="J362" s="120">
        <f t="shared" si="11"/>
        <v>0</v>
      </c>
      <c r="K362" s="119" t="s">
        <v>1595</v>
      </c>
      <c r="L362" s="119">
        <v>238</v>
      </c>
      <c r="M362" s="119" t="s">
        <v>1106</v>
      </c>
      <c r="N362" s="122" t="s">
        <v>3564</v>
      </c>
      <c r="O362" s="122" t="s">
        <v>3565</v>
      </c>
      <c r="P362" s="122" t="s">
        <v>3910</v>
      </c>
    </row>
    <row r="363" spans="1:16" ht="82.05" customHeight="1" x14ac:dyDescent="0.3">
      <c r="A363" s="50" t="s">
        <v>1621</v>
      </c>
      <c r="B363" s="50" t="s">
        <v>68</v>
      </c>
      <c r="C363" s="50" t="s">
        <v>28</v>
      </c>
      <c r="D363" s="50" t="s">
        <v>252</v>
      </c>
      <c r="E363" s="121">
        <v>69394</v>
      </c>
      <c r="F363" s="121">
        <v>69394</v>
      </c>
      <c r="G363" s="121" t="s">
        <v>1586</v>
      </c>
      <c r="H363" s="121">
        <f t="shared" si="12"/>
        <v>69.394000000000005</v>
      </c>
      <c r="I363" s="121">
        <f>LUCK!G24</f>
        <v>69.394000000000005</v>
      </c>
      <c r="J363" s="121">
        <f t="shared" si="11"/>
        <v>0</v>
      </c>
      <c r="K363" s="50" t="s">
        <v>1598</v>
      </c>
      <c r="L363" s="50">
        <v>240</v>
      </c>
      <c r="M363" s="50" t="s">
        <v>1106</v>
      </c>
      <c r="N363" s="68" t="s">
        <v>3564</v>
      </c>
      <c r="O363" s="68" t="s">
        <v>3565</v>
      </c>
      <c r="P363" s="68" t="s">
        <v>3911</v>
      </c>
    </row>
    <row r="364" spans="1:16" ht="82.05" customHeight="1" x14ac:dyDescent="0.3">
      <c r="A364" s="119" t="s">
        <v>1622</v>
      </c>
      <c r="B364" s="119" t="s">
        <v>68</v>
      </c>
      <c r="C364" s="119" t="s">
        <v>29</v>
      </c>
      <c r="D364" s="119" t="s">
        <v>252</v>
      </c>
      <c r="E364" s="120">
        <v>46229</v>
      </c>
      <c r="F364" s="120">
        <v>46229</v>
      </c>
      <c r="G364" s="120" t="s">
        <v>1586</v>
      </c>
      <c r="H364" s="120">
        <f t="shared" si="12"/>
        <v>46.228999999999999</v>
      </c>
      <c r="I364" s="120">
        <f>LUCK!H24</f>
        <v>46.228999999999999</v>
      </c>
      <c r="J364" s="120">
        <f t="shared" si="11"/>
        <v>0</v>
      </c>
      <c r="K364" s="119" t="s">
        <v>1598</v>
      </c>
      <c r="L364" s="119">
        <v>240</v>
      </c>
      <c r="M364" s="119" t="s">
        <v>1127</v>
      </c>
      <c r="N364" s="122" t="s">
        <v>3564</v>
      </c>
      <c r="O364" s="122" t="s">
        <v>3565</v>
      </c>
      <c r="P364" s="122" t="s">
        <v>3912</v>
      </c>
    </row>
    <row r="365" spans="1:16" ht="82.05" customHeight="1" x14ac:dyDescent="0.3">
      <c r="A365" s="50" t="s">
        <v>1623</v>
      </c>
      <c r="B365" s="50" t="s">
        <v>68</v>
      </c>
      <c r="C365" s="50" t="s">
        <v>965</v>
      </c>
      <c r="D365" s="50" t="s">
        <v>254</v>
      </c>
      <c r="E365" s="121">
        <v>0</v>
      </c>
      <c r="F365" s="121">
        <v>0</v>
      </c>
      <c r="G365" s="121" t="s">
        <v>1586</v>
      </c>
      <c r="H365" s="121">
        <f t="shared" si="12"/>
        <v>0</v>
      </c>
      <c r="I365" s="121">
        <f>LUCK!C25</f>
        <v>0</v>
      </c>
      <c r="J365" s="121">
        <f t="shared" si="11"/>
        <v>0</v>
      </c>
      <c r="K365" s="50" t="s">
        <v>1584</v>
      </c>
      <c r="L365" s="50">
        <v>191</v>
      </c>
      <c r="M365" s="50" t="s">
        <v>1106</v>
      </c>
      <c r="N365" s="68" t="s">
        <v>3578</v>
      </c>
      <c r="O365" s="68" t="s">
        <v>3579</v>
      </c>
      <c r="P365" s="68" t="s">
        <v>3913</v>
      </c>
    </row>
    <row r="366" spans="1:16" ht="82.05" customHeight="1" x14ac:dyDescent="0.3">
      <c r="A366" s="119" t="s">
        <v>1624</v>
      </c>
      <c r="B366" s="119" t="s">
        <v>68</v>
      </c>
      <c r="C366" s="119" t="s">
        <v>20</v>
      </c>
      <c r="D366" s="119" t="s">
        <v>254</v>
      </c>
      <c r="E366" s="120">
        <v>0</v>
      </c>
      <c r="F366" s="120">
        <v>0</v>
      </c>
      <c r="G366" s="120" t="s">
        <v>1586</v>
      </c>
      <c r="H366" s="120">
        <f t="shared" si="12"/>
        <v>0</v>
      </c>
      <c r="I366" s="120">
        <f>LUCK!D25</f>
        <v>0</v>
      </c>
      <c r="J366" s="120">
        <f t="shared" si="11"/>
        <v>0</v>
      </c>
      <c r="K366" s="119" t="s">
        <v>1589</v>
      </c>
      <c r="L366" s="119">
        <v>226</v>
      </c>
      <c r="M366" s="119" t="s">
        <v>1106</v>
      </c>
      <c r="N366" s="122" t="s">
        <v>3578</v>
      </c>
      <c r="O366" s="122" t="s">
        <v>3579</v>
      </c>
      <c r="P366" s="122" t="s">
        <v>3914</v>
      </c>
    </row>
    <row r="367" spans="1:16" ht="82.05" customHeight="1" x14ac:dyDescent="0.3">
      <c r="A367" s="50" t="s">
        <v>1625</v>
      </c>
      <c r="B367" s="50" t="s">
        <v>68</v>
      </c>
      <c r="C367" s="50" t="s">
        <v>26</v>
      </c>
      <c r="D367" s="50" t="s">
        <v>254</v>
      </c>
      <c r="E367" s="121">
        <v>0</v>
      </c>
      <c r="F367" s="121">
        <v>0</v>
      </c>
      <c r="G367" s="121" t="s">
        <v>1586</v>
      </c>
      <c r="H367" s="121">
        <f t="shared" si="12"/>
        <v>0</v>
      </c>
      <c r="I367" s="121">
        <f>LUCK!E25</f>
        <v>0</v>
      </c>
      <c r="J367" s="121">
        <f t="shared" si="11"/>
        <v>0</v>
      </c>
      <c r="K367" s="50" t="s">
        <v>1592</v>
      </c>
      <c r="L367" s="50">
        <v>234</v>
      </c>
      <c r="M367" s="50" t="s">
        <v>1106</v>
      </c>
      <c r="N367" s="68" t="s">
        <v>3578</v>
      </c>
      <c r="O367" s="68" t="s">
        <v>3579</v>
      </c>
      <c r="P367" s="68" t="s">
        <v>3915</v>
      </c>
    </row>
    <row r="368" spans="1:16" ht="82.05" customHeight="1" x14ac:dyDescent="0.3">
      <c r="A368" s="119" t="s">
        <v>1626</v>
      </c>
      <c r="B368" s="119" t="s">
        <v>68</v>
      </c>
      <c r="C368" s="119" t="s">
        <v>27</v>
      </c>
      <c r="D368" s="119" t="s">
        <v>254</v>
      </c>
      <c r="E368" s="120">
        <v>0</v>
      </c>
      <c r="F368" s="120">
        <v>0</v>
      </c>
      <c r="G368" s="120" t="s">
        <v>1586</v>
      </c>
      <c r="H368" s="120">
        <f t="shared" si="12"/>
        <v>0</v>
      </c>
      <c r="I368" s="120">
        <f>LUCK!F25</f>
        <v>0</v>
      </c>
      <c r="J368" s="120">
        <f t="shared" si="11"/>
        <v>0</v>
      </c>
      <c r="K368" s="119" t="s">
        <v>1595</v>
      </c>
      <c r="L368" s="119">
        <v>238</v>
      </c>
      <c r="M368" s="119" t="s">
        <v>1106</v>
      </c>
      <c r="N368" s="122" t="s">
        <v>3578</v>
      </c>
      <c r="O368" s="122" t="s">
        <v>3579</v>
      </c>
      <c r="P368" s="122" t="s">
        <v>3916</v>
      </c>
    </row>
    <row r="369" spans="1:16" ht="82.05" customHeight="1" x14ac:dyDescent="0.3">
      <c r="A369" s="50" t="s">
        <v>1627</v>
      </c>
      <c r="B369" s="50" t="s">
        <v>68</v>
      </c>
      <c r="C369" s="50" t="s">
        <v>28</v>
      </c>
      <c r="D369" s="50" t="s">
        <v>254</v>
      </c>
      <c r="E369" s="121">
        <v>0</v>
      </c>
      <c r="F369" s="121">
        <v>0</v>
      </c>
      <c r="G369" s="121" t="s">
        <v>1586</v>
      </c>
      <c r="H369" s="121">
        <f t="shared" si="12"/>
        <v>0</v>
      </c>
      <c r="I369" s="121">
        <f>LUCK!G25</f>
        <v>0</v>
      </c>
      <c r="J369" s="121">
        <f t="shared" si="11"/>
        <v>0</v>
      </c>
      <c r="K369" s="50" t="s">
        <v>1598</v>
      </c>
      <c r="L369" s="50">
        <v>240</v>
      </c>
      <c r="M369" s="50" t="s">
        <v>1106</v>
      </c>
      <c r="N369" s="68" t="s">
        <v>3578</v>
      </c>
      <c r="O369" s="68" t="s">
        <v>3579</v>
      </c>
      <c r="P369" s="68" t="s">
        <v>3917</v>
      </c>
    </row>
    <row r="370" spans="1:16" ht="82.05" customHeight="1" x14ac:dyDescent="0.3">
      <c r="A370" s="119" t="s">
        <v>1628</v>
      </c>
      <c r="B370" s="119" t="s">
        <v>68</v>
      </c>
      <c r="C370" s="119" t="s">
        <v>29</v>
      </c>
      <c r="D370" s="119" t="s">
        <v>254</v>
      </c>
      <c r="E370" s="120">
        <v>0</v>
      </c>
      <c r="F370" s="120">
        <v>0</v>
      </c>
      <c r="G370" s="120" t="s">
        <v>1586</v>
      </c>
      <c r="H370" s="120">
        <f t="shared" si="12"/>
        <v>0</v>
      </c>
      <c r="I370" s="120">
        <f>LUCK!H25</f>
        <v>0</v>
      </c>
      <c r="J370" s="120">
        <f t="shared" si="11"/>
        <v>0</v>
      </c>
      <c r="K370" s="119" t="s">
        <v>1598</v>
      </c>
      <c r="L370" s="119">
        <v>240</v>
      </c>
      <c r="M370" s="119" t="s">
        <v>1127</v>
      </c>
      <c r="N370" s="122" t="s">
        <v>3578</v>
      </c>
      <c r="O370" s="122" t="s">
        <v>3579</v>
      </c>
      <c r="P370" s="122" t="s">
        <v>3917</v>
      </c>
    </row>
    <row r="371" spans="1:16" ht="82.05" customHeight="1" x14ac:dyDescent="0.3">
      <c r="A371" s="50" t="s">
        <v>1629</v>
      </c>
      <c r="B371" s="50" t="s">
        <v>68</v>
      </c>
      <c r="C371" s="50" t="s">
        <v>965</v>
      </c>
      <c r="D371" s="50" t="s">
        <v>256</v>
      </c>
      <c r="E371" s="121">
        <v>47144485</v>
      </c>
      <c r="F371" s="121">
        <v>47144485</v>
      </c>
      <c r="G371" s="121" t="s">
        <v>1586</v>
      </c>
      <c r="H371" s="121">
        <f t="shared" si="12"/>
        <v>47144.485000000001</v>
      </c>
      <c r="I371" s="121">
        <f>LUCK!C26</f>
        <v>47144.485000000001</v>
      </c>
      <c r="J371" s="121">
        <f t="shared" si="11"/>
        <v>0</v>
      </c>
      <c r="K371" s="50" t="s">
        <v>1584</v>
      </c>
      <c r="L371" s="50">
        <v>191</v>
      </c>
      <c r="M371" s="50" t="s">
        <v>1106</v>
      </c>
      <c r="N371" s="68" t="s">
        <v>3564</v>
      </c>
      <c r="O371" s="68" t="s">
        <v>3565</v>
      </c>
      <c r="P371" s="68" t="s">
        <v>3918</v>
      </c>
    </row>
    <row r="372" spans="1:16" ht="82.05" customHeight="1" x14ac:dyDescent="0.3">
      <c r="A372" s="119" t="s">
        <v>1631</v>
      </c>
      <c r="B372" s="119" t="s">
        <v>68</v>
      </c>
      <c r="C372" s="119" t="s">
        <v>20</v>
      </c>
      <c r="D372" s="119" t="s">
        <v>256</v>
      </c>
      <c r="E372" s="120">
        <v>53194485</v>
      </c>
      <c r="F372" s="120">
        <v>53194485</v>
      </c>
      <c r="G372" s="120" t="s">
        <v>1586</v>
      </c>
      <c r="H372" s="120">
        <f t="shared" si="12"/>
        <v>53194.485000000001</v>
      </c>
      <c r="I372" s="120">
        <f>LUCK!D26</f>
        <v>53194.485000000001</v>
      </c>
      <c r="J372" s="120">
        <f t="shared" si="11"/>
        <v>0</v>
      </c>
      <c r="K372" s="119" t="s">
        <v>1589</v>
      </c>
      <c r="L372" s="119">
        <v>226</v>
      </c>
      <c r="M372" s="119" t="s">
        <v>1106</v>
      </c>
      <c r="N372" s="122" t="s">
        <v>3564</v>
      </c>
      <c r="O372" s="122" t="s">
        <v>3565</v>
      </c>
      <c r="P372" s="122" t="s">
        <v>3919</v>
      </c>
    </row>
    <row r="373" spans="1:16" ht="82.05" customHeight="1" x14ac:dyDescent="0.3">
      <c r="A373" s="50" t="s">
        <v>1632</v>
      </c>
      <c r="B373" s="50" t="s">
        <v>68</v>
      </c>
      <c r="C373" s="50" t="s">
        <v>26</v>
      </c>
      <c r="D373" s="50" t="s">
        <v>256</v>
      </c>
      <c r="E373" s="121">
        <v>57594485</v>
      </c>
      <c r="F373" s="121">
        <v>57594485</v>
      </c>
      <c r="G373" s="121" t="s">
        <v>1586</v>
      </c>
      <c r="H373" s="121">
        <f t="shared" si="12"/>
        <v>57594.485000000001</v>
      </c>
      <c r="I373" s="121">
        <f>LUCK!E26</f>
        <v>57594.485000000001</v>
      </c>
      <c r="J373" s="121">
        <f t="shared" si="11"/>
        <v>0</v>
      </c>
      <c r="K373" s="50" t="s">
        <v>1592</v>
      </c>
      <c r="L373" s="50">
        <v>234</v>
      </c>
      <c r="M373" s="50" t="s">
        <v>1106</v>
      </c>
      <c r="N373" s="68" t="s">
        <v>3564</v>
      </c>
      <c r="O373" s="68" t="s">
        <v>3565</v>
      </c>
      <c r="P373" s="68" t="s">
        <v>3920</v>
      </c>
    </row>
    <row r="374" spans="1:16" ht="82.05" customHeight="1" x14ac:dyDescent="0.3">
      <c r="A374" s="119" t="s">
        <v>1633</v>
      </c>
      <c r="B374" s="119" t="s">
        <v>68</v>
      </c>
      <c r="C374" s="119" t="s">
        <v>27</v>
      </c>
      <c r="D374" s="119" t="s">
        <v>256</v>
      </c>
      <c r="E374" s="120">
        <v>57594485</v>
      </c>
      <c r="F374" s="120">
        <v>57594485</v>
      </c>
      <c r="G374" s="120" t="s">
        <v>1586</v>
      </c>
      <c r="H374" s="120">
        <f t="shared" si="12"/>
        <v>57594.485000000001</v>
      </c>
      <c r="I374" s="120">
        <f>LUCK!F26</f>
        <v>57594.485000000001</v>
      </c>
      <c r="J374" s="120">
        <f t="shared" si="11"/>
        <v>0</v>
      </c>
      <c r="K374" s="119" t="s">
        <v>1595</v>
      </c>
      <c r="L374" s="119">
        <v>238</v>
      </c>
      <c r="M374" s="119" t="s">
        <v>1106</v>
      </c>
      <c r="N374" s="122" t="s">
        <v>3564</v>
      </c>
      <c r="O374" s="122" t="s">
        <v>3565</v>
      </c>
      <c r="P374" s="122" t="s">
        <v>3921</v>
      </c>
    </row>
    <row r="375" spans="1:16" ht="82.05" customHeight="1" x14ac:dyDescent="0.3">
      <c r="A375" s="50" t="s">
        <v>1634</v>
      </c>
      <c r="B375" s="50" t="s">
        <v>68</v>
      </c>
      <c r="C375" s="50" t="s">
        <v>28</v>
      </c>
      <c r="D375" s="50" t="s">
        <v>256</v>
      </c>
      <c r="E375" s="121">
        <v>58072373</v>
      </c>
      <c r="F375" s="121">
        <v>58072373</v>
      </c>
      <c r="G375" s="121" t="s">
        <v>1586</v>
      </c>
      <c r="H375" s="121">
        <f t="shared" si="12"/>
        <v>58072.373</v>
      </c>
      <c r="I375" s="121">
        <f>LUCK!G26</f>
        <v>58072.373</v>
      </c>
      <c r="J375" s="121">
        <f t="shared" si="11"/>
        <v>0</v>
      </c>
      <c r="K375" s="50" t="s">
        <v>1598</v>
      </c>
      <c r="L375" s="50">
        <v>240</v>
      </c>
      <c r="M375" s="50" t="s">
        <v>1106</v>
      </c>
      <c r="N375" s="68" t="s">
        <v>3564</v>
      </c>
      <c r="O375" s="68" t="s">
        <v>3565</v>
      </c>
      <c r="P375" s="68" t="s">
        <v>3922</v>
      </c>
    </row>
    <row r="376" spans="1:16" ht="82.05" customHeight="1" x14ac:dyDescent="0.3">
      <c r="A376" s="119" t="s">
        <v>1635</v>
      </c>
      <c r="B376" s="119" t="s">
        <v>68</v>
      </c>
      <c r="C376" s="119" t="s">
        <v>29</v>
      </c>
      <c r="D376" s="119" t="s">
        <v>256</v>
      </c>
      <c r="E376" s="120">
        <v>58555707</v>
      </c>
      <c r="F376" s="120">
        <v>58555707</v>
      </c>
      <c r="G376" s="120" t="s">
        <v>1586</v>
      </c>
      <c r="H376" s="120">
        <f t="shared" si="12"/>
        <v>58555.707000000002</v>
      </c>
      <c r="I376" s="120">
        <f>LUCK!H26</f>
        <v>58555.707000000002</v>
      </c>
      <c r="J376" s="120">
        <f t="shared" si="11"/>
        <v>0</v>
      </c>
      <c r="K376" s="119" t="s">
        <v>1598</v>
      </c>
      <c r="L376" s="119">
        <v>240</v>
      </c>
      <c r="M376" s="119" t="s">
        <v>1127</v>
      </c>
      <c r="N376" s="122" t="s">
        <v>3564</v>
      </c>
      <c r="O376" s="122" t="s">
        <v>3565</v>
      </c>
      <c r="P376" s="122" t="s">
        <v>3923</v>
      </c>
    </row>
    <row r="377" spans="1:16" ht="82.05" customHeight="1" x14ac:dyDescent="0.3">
      <c r="A377" s="50" t="s">
        <v>1636</v>
      </c>
      <c r="B377" s="50" t="s">
        <v>68</v>
      </c>
      <c r="C377" s="50" t="s">
        <v>965</v>
      </c>
      <c r="D377" s="50" t="s">
        <v>258</v>
      </c>
      <c r="E377" s="121">
        <v>90183</v>
      </c>
      <c r="F377" s="121">
        <v>90183</v>
      </c>
      <c r="G377" s="121" t="s">
        <v>1586</v>
      </c>
      <c r="H377" s="121">
        <f t="shared" si="12"/>
        <v>90.183000000000007</v>
      </c>
      <c r="I377" s="121">
        <f>LUCK!C27</f>
        <v>90.183000000000007</v>
      </c>
      <c r="J377" s="121">
        <f t="shared" si="11"/>
        <v>0</v>
      </c>
      <c r="K377" s="50" t="s">
        <v>1584</v>
      </c>
      <c r="L377" s="50">
        <v>191</v>
      </c>
      <c r="M377" s="50" t="s">
        <v>1106</v>
      </c>
      <c r="N377" s="68" t="s">
        <v>3602</v>
      </c>
      <c r="O377" s="68" t="s">
        <v>3603</v>
      </c>
      <c r="P377" s="68" t="s">
        <v>3924</v>
      </c>
    </row>
    <row r="378" spans="1:16" ht="82.05" customHeight="1" x14ac:dyDescent="0.3">
      <c r="A378" s="119" t="s">
        <v>1638</v>
      </c>
      <c r="B378" s="119" t="s">
        <v>68</v>
      </c>
      <c r="C378" s="119" t="s">
        <v>20</v>
      </c>
      <c r="D378" s="119" t="s">
        <v>258</v>
      </c>
      <c r="E378" s="120">
        <v>106592</v>
      </c>
      <c r="F378" s="120">
        <v>106592</v>
      </c>
      <c r="G378" s="120" t="s">
        <v>1586</v>
      </c>
      <c r="H378" s="120">
        <f t="shared" si="12"/>
        <v>106.592</v>
      </c>
      <c r="I378" s="120">
        <f>LUCK!D27</f>
        <v>106.592</v>
      </c>
      <c r="J378" s="120">
        <f t="shared" si="11"/>
        <v>0</v>
      </c>
      <c r="K378" s="119" t="s">
        <v>1589</v>
      </c>
      <c r="L378" s="119">
        <v>226</v>
      </c>
      <c r="M378" s="119" t="s">
        <v>1106</v>
      </c>
      <c r="N378" s="122" t="s">
        <v>3602</v>
      </c>
      <c r="O378" s="122" t="s">
        <v>3603</v>
      </c>
      <c r="P378" s="122" t="s">
        <v>3925</v>
      </c>
    </row>
    <row r="379" spans="1:16" ht="82.05" customHeight="1" x14ac:dyDescent="0.3">
      <c r="A379" s="50" t="s">
        <v>1639</v>
      </c>
      <c r="B379" s="50" t="s">
        <v>68</v>
      </c>
      <c r="C379" s="50" t="s">
        <v>26</v>
      </c>
      <c r="D379" s="50" t="s">
        <v>258</v>
      </c>
      <c r="E379" s="121">
        <v>199790</v>
      </c>
      <c r="F379" s="121">
        <v>199790</v>
      </c>
      <c r="G379" s="121" t="s">
        <v>1586</v>
      </c>
      <c r="H379" s="121">
        <f t="shared" si="12"/>
        <v>199.79</v>
      </c>
      <c r="I379" s="121">
        <f>LUCK!E27</f>
        <v>199.79</v>
      </c>
      <c r="J379" s="121">
        <f t="shared" si="11"/>
        <v>0</v>
      </c>
      <c r="K379" s="50" t="s">
        <v>1592</v>
      </c>
      <c r="L379" s="50">
        <v>234</v>
      </c>
      <c r="M379" s="50" t="s">
        <v>1106</v>
      </c>
      <c r="N379" s="68" t="s">
        <v>3602</v>
      </c>
      <c r="O379" s="68" t="s">
        <v>3603</v>
      </c>
      <c r="P379" s="68" t="s">
        <v>3926</v>
      </c>
    </row>
    <row r="380" spans="1:16" ht="82.05" customHeight="1" x14ac:dyDescent="0.3">
      <c r="A380" s="119" t="s">
        <v>1640</v>
      </c>
      <c r="B380" s="119" t="s">
        <v>68</v>
      </c>
      <c r="C380" s="119" t="s">
        <v>27</v>
      </c>
      <c r="D380" s="119" t="s">
        <v>258</v>
      </c>
      <c r="E380" s="120">
        <v>202046</v>
      </c>
      <c r="F380" s="120">
        <v>202046</v>
      </c>
      <c r="G380" s="120" t="s">
        <v>1586</v>
      </c>
      <c r="H380" s="120">
        <f t="shared" si="12"/>
        <v>202.04599999999999</v>
      </c>
      <c r="I380" s="120">
        <f>LUCK!F27</f>
        <v>202.04599999999999</v>
      </c>
      <c r="J380" s="120">
        <f t="shared" si="11"/>
        <v>0</v>
      </c>
      <c r="K380" s="119" t="s">
        <v>1595</v>
      </c>
      <c r="L380" s="119">
        <v>238</v>
      </c>
      <c r="M380" s="119" t="s">
        <v>1106</v>
      </c>
      <c r="N380" s="122" t="s">
        <v>3602</v>
      </c>
      <c r="O380" s="122" t="s">
        <v>3603</v>
      </c>
      <c r="P380" s="122" t="s">
        <v>3927</v>
      </c>
    </row>
    <row r="381" spans="1:16" ht="82.05" customHeight="1" x14ac:dyDescent="0.3">
      <c r="A381" s="50" t="s">
        <v>1641</v>
      </c>
      <c r="B381" s="50" t="s">
        <v>68</v>
      </c>
      <c r="C381" s="50" t="s">
        <v>28</v>
      </c>
      <c r="D381" s="50" t="s">
        <v>258</v>
      </c>
      <c r="E381" s="121">
        <v>165266</v>
      </c>
      <c r="F381" s="121">
        <v>165266</v>
      </c>
      <c r="G381" s="121" t="s">
        <v>1586</v>
      </c>
      <c r="H381" s="121">
        <f t="shared" si="12"/>
        <v>165.26599999999999</v>
      </c>
      <c r="I381" s="121">
        <f>LUCK!G27</f>
        <v>165.26599999999999</v>
      </c>
      <c r="J381" s="121">
        <f t="shared" si="11"/>
        <v>0</v>
      </c>
      <c r="K381" s="50" t="s">
        <v>1598</v>
      </c>
      <c r="L381" s="50">
        <v>240</v>
      </c>
      <c r="M381" s="50" t="s">
        <v>1106</v>
      </c>
      <c r="N381" s="68" t="s">
        <v>3564</v>
      </c>
      <c r="O381" s="68" t="s">
        <v>3565</v>
      </c>
      <c r="P381" s="68" t="s">
        <v>3928</v>
      </c>
    </row>
    <row r="382" spans="1:16" ht="82.05" customHeight="1" x14ac:dyDescent="0.3">
      <c r="A382" s="119" t="s">
        <v>1644</v>
      </c>
      <c r="B382" s="119" t="s">
        <v>68</v>
      </c>
      <c r="C382" s="119" t="s">
        <v>29</v>
      </c>
      <c r="D382" s="119" t="s">
        <v>258</v>
      </c>
      <c r="E382" s="120">
        <v>189147</v>
      </c>
      <c r="F382" s="120">
        <v>189147</v>
      </c>
      <c r="G382" s="120" t="s">
        <v>1586</v>
      </c>
      <c r="H382" s="120">
        <f t="shared" si="12"/>
        <v>189.14699999999999</v>
      </c>
      <c r="I382" s="120">
        <f>LUCK!H27</f>
        <v>189.14699999999999</v>
      </c>
      <c r="J382" s="120">
        <f t="shared" si="11"/>
        <v>0</v>
      </c>
      <c r="K382" s="119" t="s">
        <v>1598</v>
      </c>
      <c r="L382" s="119">
        <v>240</v>
      </c>
      <c r="M382" s="119" t="s">
        <v>1127</v>
      </c>
      <c r="N382" s="122" t="s">
        <v>3564</v>
      </c>
      <c r="O382" s="122" t="s">
        <v>3565</v>
      </c>
      <c r="P382" s="122" t="s">
        <v>3929</v>
      </c>
    </row>
    <row r="383" spans="1:16" ht="82.05" customHeight="1" x14ac:dyDescent="0.3">
      <c r="A383" s="50" t="s">
        <v>1645</v>
      </c>
      <c r="B383" s="50" t="s">
        <v>68</v>
      </c>
      <c r="C383" s="50" t="s">
        <v>965</v>
      </c>
      <c r="D383" s="50" t="s">
        <v>263</v>
      </c>
      <c r="E383" s="121">
        <v>6520170</v>
      </c>
      <c r="F383" s="121">
        <v>6520170</v>
      </c>
      <c r="G383" s="121" t="s">
        <v>1586</v>
      </c>
      <c r="H383" s="121">
        <f t="shared" si="12"/>
        <v>6520.17</v>
      </c>
      <c r="I383" s="121">
        <f>LUCK!C30</f>
        <v>6520.17</v>
      </c>
      <c r="J383" s="121">
        <f t="shared" si="11"/>
        <v>0</v>
      </c>
      <c r="K383" s="50" t="s">
        <v>1584</v>
      </c>
      <c r="L383" s="50">
        <v>191</v>
      </c>
      <c r="M383" s="50" t="s">
        <v>1106</v>
      </c>
      <c r="N383" s="68" t="s">
        <v>3564</v>
      </c>
      <c r="O383" s="68" t="s">
        <v>3565</v>
      </c>
      <c r="P383" s="68" t="s">
        <v>3930</v>
      </c>
    </row>
    <row r="384" spans="1:16" ht="82.05" customHeight="1" x14ac:dyDescent="0.3">
      <c r="A384" s="119" t="s">
        <v>1647</v>
      </c>
      <c r="B384" s="119" t="s">
        <v>68</v>
      </c>
      <c r="C384" s="119" t="s">
        <v>20</v>
      </c>
      <c r="D384" s="119" t="s">
        <v>263</v>
      </c>
      <c r="E384" s="120">
        <v>10526573</v>
      </c>
      <c r="F384" s="120">
        <v>10526573</v>
      </c>
      <c r="G384" s="120" t="s">
        <v>1586</v>
      </c>
      <c r="H384" s="120">
        <f t="shared" si="12"/>
        <v>10526.573</v>
      </c>
      <c r="I384" s="120">
        <f>LUCK!D30</f>
        <v>10526.573</v>
      </c>
      <c r="J384" s="120">
        <f t="shared" si="11"/>
        <v>0</v>
      </c>
      <c r="K384" s="119" t="s">
        <v>1589</v>
      </c>
      <c r="L384" s="119">
        <v>226</v>
      </c>
      <c r="M384" s="119" t="s">
        <v>1106</v>
      </c>
      <c r="N384" s="122" t="s">
        <v>3564</v>
      </c>
      <c r="O384" s="122" t="s">
        <v>3565</v>
      </c>
      <c r="P384" s="122" t="s">
        <v>3931</v>
      </c>
    </row>
    <row r="385" spans="1:16" ht="82.05" customHeight="1" x14ac:dyDescent="0.3">
      <c r="A385" s="50" t="s">
        <v>1648</v>
      </c>
      <c r="B385" s="50" t="s">
        <v>68</v>
      </c>
      <c r="C385" s="50" t="s">
        <v>26</v>
      </c>
      <c r="D385" s="50" t="s">
        <v>263</v>
      </c>
      <c r="E385" s="121">
        <v>11206843</v>
      </c>
      <c r="F385" s="121">
        <v>11206843</v>
      </c>
      <c r="G385" s="121" t="s">
        <v>1586</v>
      </c>
      <c r="H385" s="121">
        <f t="shared" si="12"/>
        <v>11206.843000000001</v>
      </c>
      <c r="I385" s="121">
        <f>LUCK!E30</f>
        <v>11206.843000000001</v>
      </c>
      <c r="J385" s="121">
        <f t="shared" ref="J385:J448" si="13">H385-I385</f>
        <v>0</v>
      </c>
      <c r="K385" s="50" t="s">
        <v>1592</v>
      </c>
      <c r="L385" s="50">
        <v>234</v>
      </c>
      <c r="M385" s="50" t="s">
        <v>1106</v>
      </c>
      <c r="N385" s="68" t="s">
        <v>3564</v>
      </c>
      <c r="O385" s="68" t="s">
        <v>3565</v>
      </c>
      <c r="P385" s="68" t="s">
        <v>3932</v>
      </c>
    </row>
    <row r="386" spans="1:16" ht="82.05" customHeight="1" x14ac:dyDescent="0.3">
      <c r="A386" s="119" t="s">
        <v>1649</v>
      </c>
      <c r="B386" s="119" t="s">
        <v>68</v>
      </c>
      <c r="C386" s="119" t="s">
        <v>27</v>
      </c>
      <c r="D386" s="119" t="s">
        <v>263</v>
      </c>
      <c r="E386" s="120">
        <v>14084018</v>
      </c>
      <c r="F386" s="120">
        <v>14084018</v>
      </c>
      <c r="G386" s="120" t="s">
        <v>1586</v>
      </c>
      <c r="H386" s="120">
        <f t="shared" si="12"/>
        <v>14084.018</v>
      </c>
      <c r="I386" s="120">
        <f>LUCK!F30</f>
        <v>14084.018</v>
      </c>
      <c r="J386" s="120">
        <f t="shared" si="13"/>
        <v>0</v>
      </c>
      <c r="K386" s="119" t="s">
        <v>1595</v>
      </c>
      <c r="L386" s="119">
        <v>238</v>
      </c>
      <c r="M386" s="119" t="s">
        <v>1106</v>
      </c>
      <c r="N386" s="122" t="s">
        <v>3564</v>
      </c>
      <c r="O386" s="122" t="s">
        <v>3565</v>
      </c>
      <c r="P386" s="122" t="s">
        <v>3933</v>
      </c>
    </row>
    <row r="387" spans="1:16" ht="82.05" customHeight="1" x14ac:dyDescent="0.3">
      <c r="A387" s="50" t="s">
        <v>1650</v>
      </c>
      <c r="B387" s="50" t="s">
        <v>68</v>
      </c>
      <c r="C387" s="50" t="s">
        <v>28</v>
      </c>
      <c r="D387" s="50" t="s">
        <v>263</v>
      </c>
      <c r="E387" s="121">
        <v>14591821</v>
      </c>
      <c r="F387" s="121">
        <v>14591821</v>
      </c>
      <c r="G387" s="121" t="s">
        <v>1586</v>
      </c>
      <c r="H387" s="121">
        <f t="shared" si="12"/>
        <v>14591.821</v>
      </c>
      <c r="I387" s="121">
        <f>LUCK!G30</f>
        <v>14591.821</v>
      </c>
      <c r="J387" s="121">
        <f t="shared" si="13"/>
        <v>0</v>
      </c>
      <c r="K387" s="50" t="s">
        <v>1598</v>
      </c>
      <c r="L387" s="50">
        <v>240</v>
      </c>
      <c r="M387" s="50" t="s">
        <v>1106</v>
      </c>
      <c r="N387" s="68" t="s">
        <v>3564</v>
      </c>
      <c r="O387" s="68" t="s">
        <v>3565</v>
      </c>
      <c r="P387" s="68" t="s">
        <v>3934</v>
      </c>
    </row>
    <row r="388" spans="1:16" ht="82.05" customHeight="1" x14ac:dyDescent="0.3">
      <c r="A388" s="119" t="s">
        <v>1651</v>
      </c>
      <c r="B388" s="119" t="s">
        <v>68</v>
      </c>
      <c r="C388" s="119" t="s">
        <v>29</v>
      </c>
      <c r="D388" s="119" t="s">
        <v>263</v>
      </c>
      <c r="E388" s="120">
        <v>19895130</v>
      </c>
      <c r="F388" s="120">
        <v>19895130</v>
      </c>
      <c r="G388" s="120" t="s">
        <v>1586</v>
      </c>
      <c r="H388" s="120">
        <f t="shared" si="12"/>
        <v>19895.13</v>
      </c>
      <c r="I388" s="120">
        <f>LUCK!H30</f>
        <v>19895.13</v>
      </c>
      <c r="J388" s="120">
        <f t="shared" si="13"/>
        <v>0</v>
      </c>
      <c r="K388" s="119" t="s">
        <v>1598</v>
      </c>
      <c r="L388" s="119">
        <v>240</v>
      </c>
      <c r="M388" s="119" t="s">
        <v>1127</v>
      </c>
      <c r="N388" s="122" t="s">
        <v>3564</v>
      </c>
      <c r="O388" s="122" t="s">
        <v>3565</v>
      </c>
      <c r="P388" s="122" t="s">
        <v>3935</v>
      </c>
    </row>
    <row r="389" spans="1:16" ht="82.05" customHeight="1" x14ac:dyDescent="0.3">
      <c r="A389" s="50" t="s">
        <v>1652</v>
      </c>
      <c r="B389" s="50" t="s">
        <v>68</v>
      </c>
      <c r="C389" s="50" t="s">
        <v>965</v>
      </c>
      <c r="D389" s="50" t="s">
        <v>265</v>
      </c>
      <c r="E389" s="121">
        <v>2915552</v>
      </c>
      <c r="F389" s="121">
        <v>2915552</v>
      </c>
      <c r="G389" s="121" t="s">
        <v>1586</v>
      </c>
      <c r="H389" s="121">
        <f t="shared" si="12"/>
        <v>2915.5520000000001</v>
      </c>
      <c r="I389" s="121">
        <f>LUCK!C31</f>
        <v>2915.5520000000001</v>
      </c>
      <c r="J389" s="121">
        <f t="shared" si="13"/>
        <v>0</v>
      </c>
      <c r="K389" s="50" t="s">
        <v>1584</v>
      </c>
      <c r="L389" s="50">
        <v>191</v>
      </c>
      <c r="M389" s="50" t="s">
        <v>1106</v>
      </c>
      <c r="N389" s="68" t="s">
        <v>3564</v>
      </c>
      <c r="O389" s="68" t="s">
        <v>3565</v>
      </c>
      <c r="P389" s="68" t="s">
        <v>3936</v>
      </c>
    </row>
    <row r="390" spans="1:16" ht="82.05" customHeight="1" x14ac:dyDescent="0.3">
      <c r="A390" s="119" t="s">
        <v>1653</v>
      </c>
      <c r="B390" s="119" t="s">
        <v>68</v>
      </c>
      <c r="C390" s="119" t="s">
        <v>20</v>
      </c>
      <c r="D390" s="119" t="s">
        <v>265</v>
      </c>
      <c r="E390" s="120">
        <v>3105037</v>
      </c>
      <c r="F390" s="120">
        <v>3105037</v>
      </c>
      <c r="G390" s="120" t="s">
        <v>1586</v>
      </c>
      <c r="H390" s="120">
        <f t="shared" si="12"/>
        <v>3105.0369999999998</v>
      </c>
      <c r="I390" s="120">
        <f>LUCK!D31</f>
        <v>3105.0369999999998</v>
      </c>
      <c r="J390" s="120">
        <f t="shared" si="13"/>
        <v>0</v>
      </c>
      <c r="K390" s="119" t="s">
        <v>1589</v>
      </c>
      <c r="L390" s="119">
        <v>226</v>
      </c>
      <c r="M390" s="119" t="s">
        <v>1106</v>
      </c>
      <c r="N390" s="122" t="s">
        <v>3564</v>
      </c>
      <c r="O390" s="122" t="s">
        <v>3565</v>
      </c>
      <c r="P390" s="122" t="s">
        <v>3937</v>
      </c>
    </row>
    <row r="391" spans="1:16" ht="82.05" customHeight="1" x14ac:dyDescent="0.3">
      <c r="A391" s="50" t="s">
        <v>1654</v>
      </c>
      <c r="B391" s="50" t="s">
        <v>68</v>
      </c>
      <c r="C391" s="50" t="s">
        <v>26</v>
      </c>
      <c r="D391" s="50" t="s">
        <v>265</v>
      </c>
      <c r="E391" s="121">
        <v>7171364</v>
      </c>
      <c r="F391" s="121">
        <v>7171364</v>
      </c>
      <c r="G391" s="121" t="s">
        <v>1586</v>
      </c>
      <c r="H391" s="121">
        <f t="shared" si="12"/>
        <v>7171.3639999999996</v>
      </c>
      <c r="I391" s="121">
        <f>LUCK!E31</f>
        <v>7171.3639999999996</v>
      </c>
      <c r="J391" s="121">
        <f t="shared" si="13"/>
        <v>0</v>
      </c>
      <c r="K391" s="50" t="s">
        <v>1592</v>
      </c>
      <c r="L391" s="50">
        <v>234</v>
      </c>
      <c r="M391" s="50" t="s">
        <v>1106</v>
      </c>
      <c r="N391" s="68" t="s">
        <v>3564</v>
      </c>
      <c r="O391" s="68" t="s">
        <v>3565</v>
      </c>
      <c r="P391" s="68" t="s">
        <v>3938</v>
      </c>
    </row>
    <row r="392" spans="1:16" ht="82.05" customHeight="1" x14ac:dyDescent="0.3">
      <c r="A392" s="119" t="s">
        <v>1655</v>
      </c>
      <c r="B392" s="119" t="s">
        <v>68</v>
      </c>
      <c r="C392" s="119" t="s">
        <v>27</v>
      </c>
      <c r="D392" s="119" t="s">
        <v>265</v>
      </c>
      <c r="E392" s="120">
        <v>6048507</v>
      </c>
      <c r="F392" s="120">
        <v>6048507</v>
      </c>
      <c r="G392" s="120" t="s">
        <v>1586</v>
      </c>
      <c r="H392" s="120">
        <f t="shared" si="12"/>
        <v>6048.5069999999996</v>
      </c>
      <c r="I392" s="120">
        <f>LUCK!F31</f>
        <v>6048.5069999999996</v>
      </c>
      <c r="J392" s="120">
        <f t="shared" si="13"/>
        <v>0</v>
      </c>
      <c r="K392" s="119" t="s">
        <v>1595</v>
      </c>
      <c r="L392" s="119">
        <v>238</v>
      </c>
      <c r="M392" s="119" t="s">
        <v>1106</v>
      </c>
      <c r="N392" s="122" t="s">
        <v>3564</v>
      </c>
      <c r="O392" s="122" t="s">
        <v>3565</v>
      </c>
      <c r="P392" s="122" t="s">
        <v>3939</v>
      </c>
    </row>
    <row r="393" spans="1:16" ht="82.05" customHeight="1" x14ac:dyDescent="0.3">
      <c r="A393" s="50" t="s">
        <v>1656</v>
      </c>
      <c r="B393" s="50" t="s">
        <v>68</v>
      </c>
      <c r="C393" s="50" t="s">
        <v>28</v>
      </c>
      <c r="D393" s="50" t="s">
        <v>265</v>
      </c>
      <c r="E393" s="121">
        <v>8505426</v>
      </c>
      <c r="F393" s="121">
        <v>8505426</v>
      </c>
      <c r="G393" s="121" t="s">
        <v>1586</v>
      </c>
      <c r="H393" s="121">
        <f t="shared" si="12"/>
        <v>8505.4259999999995</v>
      </c>
      <c r="I393" s="121">
        <f>LUCK!G31</f>
        <v>8505.4259999999995</v>
      </c>
      <c r="J393" s="121">
        <f t="shared" si="13"/>
        <v>0</v>
      </c>
      <c r="K393" s="50" t="s">
        <v>1598</v>
      </c>
      <c r="L393" s="50">
        <v>240</v>
      </c>
      <c r="M393" s="50" t="s">
        <v>1106</v>
      </c>
      <c r="N393" s="68" t="s">
        <v>3564</v>
      </c>
      <c r="O393" s="68" t="s">
        <v>3565</v>
      </c>
      <c r="P393" s="68" t="s">
        <v>3940</v>
      </c>
    </row>
    <row r="394" spans="1:16" ht="82.05" customHeight="1" x14ac:dyDescent="0.3">
      <c r="A394" s="119" t="s">
        <v>1657</v>
      </c>
      <c r="B394" s="119" t="s">
        <v>68</v>
      </c>
      <c r="C394" s="119" t="s">
        <v>29</v>
      </c>
      <c r="D394" s="119" t="s">
        <v>265</v>
      </c>
      <c r="E394" s="120">
        <v>4774577</v>
      </c>
      <c r="F394" s="120">
        <v>4774577</v>
      </c>
      <c r="G394" s="120" t="s">
        <v>1586</v>
      </c>
      <c r="H394" s="120">
        <f t="shared" si="12"/>
        <v>4774.5770000000002</v>
      </c>
      <c r="I394" s="120">
        <f>LUCK!H31</f>
        <v>4774.5770000000002</v>
      </c>
      <c r="J394" s="120">
        <f t="shared" si="13"/>
        <v>0</v>
      </c>
      <c r="K394" s="119" t="s">
        <v>1598</v>
      </c>
      <c r="L394" s="119">
        <v>240</v>
      </c>
      <c r="M394" s="119" t="s">
        <v>1127</v>
      </c>
      <c r="N394" s="122" t="s">
        <v>3564</v>
      </c>
      <c r="O394" s="122" t="s">
        <v>3565</v>
      </c>
      <c r="P394" s="122" t="s">
        <v>3941</v>
      </c>
    </row>
    <row r="395" spans="1:16" ht="82.05" customHeight="1" x14ac:dyDescent="0.3">
      <c r="A395" s="50" t="s">
        <v>1658</v>
      </c>
      <c r="B395" s="50" t="s">
        <v>68</v>
      </c>
      <c r="C395" s="50" t="s">
        <v>965</v>
      </c>
      <c r="D395" s="50" t="s">
        <v>267</v>
      </c>
      <c r="E395" s="121">
        <v>3422767</v>
      </c>
      <c r="F395" s="121">
        <v>3422767</v>
      </c>
      <c r="G395" s="121" t="s">
        <v>1586</v>
      </c>
      <c r="H395" s="121">
        <f t="shared" si="12"/>
        <v>3422.7669999999998</v>
      </c>
      <c r="I395" s="121">
        <f>LUCK!C32</f>
        <v>3422.7669999999998</v>
      </c>
      <c r="J395" s="121">
        <f t="shared" si="13"/>
        <v>0</v>
      </c>
      <c r="K395" s="50" t="s">
        <v>1584</v>
      </c>
      <c r="L395" s="50">
        <v>191</v>
      </c>
      <c r="M395" s="50" t="s">
        <v>1106</v>
      </c>
      <c r="N395" s="68" t="s">
        <v>3564</v>
      </c>
      <c r="O395" s="68" t="s">
        <v>3565</v>
      </c>
      <c r="P395" s="68" t="s">
        <v>3942</v>
      </c>
    </row>
    <row r="396" spans="1:16" ht="82.05" customHeight="1" x14ac:dyDescent="0.3">
      <c r="A396" s="119" t="s">
        <v>1659</v>
      </c>
      <c r="B396" s="119" t="s">
        <v>68</v>
      </c>
      <c r="C396" s="119" t="s">
        <v>20</v>
      </c>
      <c r="D396" s="119" t="s">
        <v>267</v>
      </c>
      <c r="E396" s="120">
        <v>2710081</v>
      </c>
      <c r="F396" s="120">
        <v>2710081</v>
      </c>
      <c r="G396" s="120" t="s">
        <v>1586</v>
      </c>
      <c r="H396" s="120">
        <f t="shared" si="12"/>
        <v>2710.0810000000001</v>
      </c>
      <c r="I396" s="120">
        <f>LUCK!D32</f>
        <v>2710.0810000000001</v>
      </c>
      <c r="J396" s="120">
        <f t="shared" si="13"/>
        <v>0</v>
      </c>
      <c r="K396" s="119" t="s">
        <v>1589</v>
      </c>
      <c r="L396" s="119">
        <v>226</v>
      </c>
      <c r="M396" s="119" t="s">
        <v>1106</v>
      </c>
      <c r="N396" s="122" t="s">
        <v>3564</v>
      </c>
      <c r="O396" s="122" t="s">
        <v>3565</v>
      </c>
      <c r="P396" s="122" t="s">
        <v>3943</v>
      </c>
    </row>
    <row r="397" spans="1:16" ht="82.05" customHeight="1" x14ac:dyDescent="0.3">
      <c r="A397" s="50" t="s">
        <v>1660</v>
      </c>
      <c r="B397" s="50" t="s">
        <v>68</v>
      </c>
      <c r="C397" s="50" t="s">
        <v>26</v>
      </c>
      <c r="D397" s="50" t="s">
        <v>267</v>
      </c>
      <c r="E397" s="121">
        <v>3522931</v>
      </c>
      <c r="F397" s="121">
        <v>3522931</v>
      </c>
      <c r="G397" s="121" t="s">
        <v>1586</v>
      </c>
      <c r="H397" s="121">
        <f t="shared" si="12"/>
        <v>3522.931</v>
      </c>
      <c r="I397" s="121">
        <f>LUCK!E32</f>
        <v>3522.931</v>
      </c>
      <c r="J397" s="121">
        <f t="shared" si="13"/>
        <v>0</v>
      </c>
      <c r="K397" s="50" t="s">
        <v>1592</v>
      </c>
      <c r="L397" s="50">
        <v>234</v>
      </c>
      <c r="M397" s="50" t="s">
        <v>1106</v>
      </c>
      <c r="N397" s="68" t="s">
        <v>3564</v>
      </c>
      <c r="O397" s="68" t="s">
        <v>3565</v>
      </c>
      <c r="P397" s="68" t="s">
        <v>3944</v>
      </c>
    </row>
    <row r="398" spans="1:16" ht="82.05" customHeight="1" x14ac:dyDescent="0.3">
      <c r="A398" s="119" t="s">
        <v>1661</v>
      </c>
      <c r="B398" s="119" t="s">
        <v>68</v>
      </c>
      <c r="C398" s="119" t="s">
        <v>27</v>
      </c>
      <c r="D398" s="119" t="s">
        <v>267</v>
      </c>
      <c r="E398" s="120">
        <v>5089667</v>
      </c>
      <c r="F398" s="120">
        <v>5089667</v>
      </c>
      <c r="G398" s="120" t="s">
        <v>1586</v>
      </c>
      <c r="H398" s="120">
        <f t="shared" si="12"/>
        <v>5089.6670000000004</v>
      </c>
      <c r="I398" s="120">
        <f>LUCK!F32</f>
        <v>5089.6670000000004</v>
      </c>
      <c r="J398" s="120">
        <f t="shared" si="13"/>
        <v>0</v>
      </c>
      <c r="K398" s="119" t="s">
        <v>1595</v>
      </c>
      <c r="L398" s="119">
        <v>238</v>
      </c>
      <c r="M398" s="119" t="s">
        <v>1106</v>
      </c>
      <c r="N398" s="122" t="s">
        <v>3564</v>
      </c>
      <c r="O398" s="122" t="s">
        <v>3565</v>
      </c>
      <c r="P398" s="122" t="s">
        <v>3945</v>
      </c>
    </row>
    <row r="399" spans="1:16" ht="82.05" customHeight="1" x14ac:dyDescent="0.3">
      <c r="A399" s="50" t="s">
        <v>1662</v>
      </c>
      <c r="B399" s="50" t="s">
        <v>68</v>
      </c>
      <c r="C399" s="50" t="s">
        <v>28</v>
      </c>
      <c r="D399" s="50" t="s">
        <v>267</v>
      </c>
      <c r="E399" s="121">
        <v>6932479</v>
      </c>
      <c r="F399" s="121">
        <v>6932479</v>
      </c>
      <c r="G399" s="121" t="s">
        <v>1586</v>
      </c>
      <c r="H399" s="121">
        <f t="shared" si="12"/>
        <v>6932.4790000000003</v>
      </c>
      <c r="I399" s="121">
        <f>LUCK!G32</f>
        <v>6932.4790000000003</v>
      </c>
      <c r="J399" s="121">
        <f t="shared" si="13"/>
        <v>0</v>
      </c>
      <c r="K399" s="50" t="s">
        <v>1598</v>
      </c>
      <c r="L399" s="50">
        <v>240</v>
      </c>
      <c r="M399" s="50" t="s">
        <v>1106</v>
      </c>
      <c r="N399" s="68" t="s">
        <v>3564</v>
      </c>
      <c r="O399" s="68" t="s">
        <v>3565</v>
      </c>
      <c r="P399" s="68" t="s">
        <v>3946</v>
      </c>
    </row>
    <row r="400" spans="1:16" ht="82.05" customHeight="1" x14ac:dyDescent="0.3">
      <c r="A400" s="119" t="s">
        <v>1663</v>
      </c>
      <c r="B400" s="119" t="s">
        <v>68</v>
      </c>
      <c r="C400" s="119" t="s">
        <v>29</v>
      </c>
      <c r="D400" s="119" t="s">
        <v>267</v>
      </c>
      <c r="E400" s="120">
        <v>6353194</v>
      </c>
      <c r="F400" s="120">
        <v>6353194</v>
      </c>
      <c r="G400" s="120" t="s">
        <v>1586</v>
      </c>
      <c r="H400" s="120">
        <f t="shared" si="12"/>
        <v>6353.1940000000004</v>
      </c>
      <c r="I400" s="120">
        <f>LUCK!H32</f>
        <v>6353.1940000000004</v>
      </c>
      <c r="J400" s="120">
        <f t="shared" si="13"/>
        <v>0</v>
      </c>
      <c r="K400" s="119" t="s">
        <v>1598</v>
      </c>
      <c r="L400" s="119">
        <v>240</v>
      </c>
      <c r="M400" s="119" t="s">
        <v>1127</v>
      </c>
      <c r="N400" s="122" t="s">
        <v>3564</v>
      </c>
      <c r="O400" s="122" t="s">
        <v>3565</v>
      </c>
      <c r="P400" s="122" t="s">
        <v>3947</v>
      </c>
    </row>
    <row r="401" spans="1:16" ht="82.05" customHeight="1" x14ac:dyDescent="0.3">
      <c r="A401" s="50" t="s">
        <v>1664</v>
      </c>
      <c r="B401" s="50" t="s">
        <v>68</v>
      </c>
      <c r="C401" s="50" t="s">
        <v>965</v>
      </c>
      <c r="D401" s="50" t="s">
        <v>269</v>
      </c>
      <c r="E401" s="121">
        <v>2970999</v>
      </c>
      <c r="F401" s="121">
        <v>2970999</v>
      </c>
      <c r="G401" s="121" t="s">
        <v>1586</v>
      </c>
      <c r="H401" s="121">
        <f t="shared" si="12"/>
        <v>2970.9989999999998</v>
      </c>
      <c r="I401" s="121">
        <f>LUCK!C33</f>
        <v>2970.9989999999998</v>
      </c>
      <c r="J401" s="121">
        <f t="shared" si="13"/>
        <v>0</v>
      </c>
      <c r="K401" s="50" t="s">
        <v>1584</v>
      </c>
      <c r="L401" s="50">
        <v>191</v>
      </c>
      <c r="M401" s="50" t="s">
        <v>1106</v>
      </c>
      <c r="N401" s="68" t="s">
        <v>3564</v>
      </c>
      <c r="O401" s="68" t="s">
        <v>3565</v>
      </c>
      <c r="P401" s="68" t="s">
        <v>3948</v>
      </c>
    </row>
    <row r="402" spans="1:16" ht="82.05" customHeight="1" x14ac:dyDescent="0.3">
      <c r="A402" s="119" t="s">
        <v>1665</v>
      </c>
      <c r="B402" s="119" t="s">
        <v>68</v>
      </c>
      <c r="C402" s="119" t="s">
        <v>20</v>
      </c>
      <c r="D402" s="119" t="s">
        <v>269</v>
      </c>
      <c r="E402" s="120">
        <v>16227103</v>
      </c>
      <c r="F402" s="120">
        <v>16227103</v>
      </c>
      <c r="G402" s="120" t="s">
        <v>1586</v>
      </c>
      <c r="H402" s="120">
        <f t="shared" si="12"/>
        <v>16227.102999999999</v>
      </c>
      <c r="I402" s="120">
        <f>LUCK!D33</f>
        <v>16227.102999999999</v>
      </c>
      <c r="J402" s="120">
        <f t="shared" si="13"/>
        <v>0</v>
      </c>
      <c r="K402" s="119" t="s">
        <v>1589</v>
      </c>
      <c r="L402" s="119">
        <v>226</v>
      </c>
      <c r="M402" s="119" t="s">
        <v>1106</v>
      </c>
      <c r="N402" s="122" t="s">
        <v>3564</v>
      </c>
      <c r="O402" s="122" t="s">
        <v>3565</v>
      </c>
      <c r="P402" s="122" t="s">
        <v>3949</v>
      </c>
    </row>
    <row r="403" spans="1:16" ht="82.05" customHeight="1" x14ac:dyDescent="0.3">
      <c r="A403" s="50" t="s">
        <v>1666</v>
      </c>
      <c r="B403" s="50" t="s">
        <v>68</v>
      </c>
      <c r="C403" s="50" t="s">
        <v>26</v>
      </c>
      <c r="D403" s="50" t="s">
        <v>269</v>
      </c>
      <c r="E403" s="121">
        <v>12751155</v>
      </c>
      <c r="F403" s="121">
        <v>12751155</v>
      </c>
      <c r="G403" s="121" t="s">
        <v>1586</v>
      </c>
      <c r="H403" s="121">
        <f t="shared" si="12"/>
        <v>12751.155000000001</v>
      </c>
      <c r="I403" s="121">
        <f>LUCK!E33</f>
        <v>12751.155000000001</v>
      </c>
      <c r="J403" s="121">
        <f t="shared" si="13"/>
        <v>0</v>
      </c>
      <c r="K403" s="50" t="s">
        <v>1592</v>
      </c>
      <c r="L403" s="50">
        <v>234</v>
      </c>
      <c r="M403" s="50" t="s">
        <v>1106</v>
      </c>
      <c r="N403" s="68" t="s">
        <v>3564</v>
      </c>
      <c r="O403" s="68" t="s">
        <v>3565</v>
      </c>
      <c r="P403" s="68" t="s">
        <v>3950</v>
      </c>
    </row>
    <row r="404" spans="1:16" ht="82.05" customHeight="1" x14ac:dyDescent="0.3">
      <c r="A404" s="119" t="s">
        <v>1667</v>
      </c>
      <c r="B404" s="119" t="s">
        <v>68</v>
      </c>
      <c r="C404" s="119" t="s">
        <v>27</v>
      </c>
      <c r="D404" s="119" t="s">
        <v>269</v>
      </c>
      <c r="E404" s="120">
        <v>21898496</v>
      </c>
      <c r="F404" s="120">
        <v>21898496</v>
      </c>
      <c r="G404" s="120" t="s">
        <v>1586</v>
      </c>
      <c r="H404" s="120">
        <f t="shared" si="12"/>
        <v>21898.495999999999</v>
      </c>
      <c r="I404" s="120">
        <f>LUCK!F33</f>
        <v>21898.495999999999</v>
      </c>
      <c r="J404" s="120">
        <f t="shared" si="13"/>
        <v>0</v>
      </c>
      <c r="K404" s="119" t="s">
        <v>1595</v>
      </c>
      <c r="L404" s="119">
        <v>238</v>
      </c>
      <c r="M404" s="119" t="s">
        <v>1106</v>
      </c>
      <c r="N404" s="122" t="s">
        <v>3564</v>
      </c>
      <c r="O404" s="122" t="s">
        <v>3565</v>
      </c>
      <c r="P404" s="122" t="s">
        <v>3951</v>
      </c>
    </row>
    <row r="405" spans="1:16" ht="82.05" customHeight="1" x14ac:dyDescent="0.3">
      <c r="A405" s="50" t="s">
        <v>1668</v>
      </c>
      <c r="B405" s="50" t="s">
        <v>68</v>
      </c>
      <c r="C405" s="50" t="s">
        <v>28</v>
      </c>
      <c r="D405" s="50" t="s">
        <v>269</v>
      </c>
      <c r="E405" s="121">
        <v>29837628</v>
      </c>
      <c r="F405" s="121">
        <v>29837628</v>
      </c>
      <c r="G405" s="121" t="s">
        <v>1586</v>
      </c>
      <c r="H405" s="121">
        <f t="shared" ref="H405:H468" si="14">F405/1000</f>
        <v>29837.628000000001</v>
      </c>
      <c r="I405" s="121">
        <f>LUCK!G33</f>
        <v>29837.628000000001</v>
      </c>
      <c r="J405" s="121">
        <f t="shared" si="13"/>
        <v>0</v>
      </c>
      <c r="K405" s="50" t="s">
        <v>1598</v>
      </c>
      <c r="L405" s="50">
        <v>240</v>
      </c>
      <c r="M405" s="50" t="s">
        <v>1106</v>
      </c>
      <c r="N405" s="68" t="s">
        <v>3564</v>
      </c>
      <c r="O405" s="68" t="s">
        <v>3565</v>
      </c>
      <c r="P405" s="68" t="s">
        <v>3952</v>
      </c>
    </row>
    <row r="406" spans="1:16" ht="82.05" customHeight="1" x14ac:dyDescent="0.3">
      <c r="A406" s="119" t="s">
        <v>1669</v>
      </c>
      <c r="B406" s="119" t="s">
        <v>68</v>
      </c>
      <c r="C406" s="119" t="s">
        <v>29</v>
      </c>
      <c r="D406" s="119" t="s">
        <v>269</v>
      </c>
      <c r="E406" s="120">
        <v>61298052</v>
      </c>
      <c r="F406" s="120">
        <v>61298052</v>
      </c>
      <c r="G406" s="120" t="s">
        <v>1586</v>
      </c>
      <c r="H406" s="120">
        <f t="shared" si="14"/>
        <v>61298.052000000003</v>
      </c>
      <c r="I406" s="120">
        <f>LUCK!H33</f>
        <v>61298.052000000003</v>
      </c>
      <c r="J406" s="120">
        <f t="shared" si="13"/>
        <v>0</v>
      </c>
      <c r="K406" s="119" t="s">
        <v>1598</v>
      </c>
      <c r="L406" s="119">
        <v>240</v>
      </c>
      <c r="M406" s="119" t="s">
        <v>1127</v>
      </c>
      <c r="N406" s="122" t="s">
        <v>3564</v>
      </c>
      <c r="O406" s="122" t="s">
        <v>3565</v>
      </c>
      <c r="P406" s="122" t="s">
        <v>3953</v>
      </c>
    </row>
    <row r="407" spans="1:16" ht="82.05" customHeight="1" x14ac:dyDescent="0.3">
      <c r="A407" s="50" t="s">
        <v>1670</v>
      </c>
      <c r="B407" s="50" t="s">
        <v>68</v>
      </c>
      <c r="C407" s="50" t="s">
        <v>965</v>
      </c>
      <c r="D407" s="50" t="s">
        <v>271</v>
      </c>
      <c r="E407" s="121">
        <v>7816606</v>
      </c>
      <c r="F407" s="121">
        <v>7816606</v>
      </c>
      <c r="G407" s="121" t="s">
        <v>1586</v>
      </c>
      <c r="H407" s="121">
        <f t="shared" si="14"/>
        <v>7816.6059999999998</v>
      </c>
      <c r="I407" s="121">
        <f>LUCK!C34</f>
        <v>7816.6059999999998</v>
      </c>
      <c r="J407" s="121">
        <f t="shared" si="13"/>
        <v>0</v>
      </c>
      <c r="K407" s="50" t="s">
        <v>1584</v>
      </c>
      <c r="L407" s="50">
        <v>191</v>
      </c>
      <c r="M407" s="50" t="s">
        <v>1106</v>
      </c>
      <c r="N407" s="68" t="s">
        <v>3564</v>
      </c>
      <c r="O407" s="68" t="s">
        <v>3565</v>
      </c>
      <c r="P407" s="68" t="s">
        <v>3954</v>
      </c>
    </row>
    <row r="408" spans="1:16" ht="82.05" customHeight="1" x14ac:dyDescent="0.3">
      <c r="A408" s="119" t="s">
        <v>1671</v>
      </c>
      <c r="B408" s="119" t="s">
        <v>68</v>
      </c>
      <c r="C408" s="119" t="s">
        <v>20</v>
      </c>
      <c r="D408" s="119" t="s">
        <v>271</v>
      </c>
      <c r="E408" s="120">
        <v>2825424</v>
      </c>
      <c r="F408" s="120">
        <v>2825424</v>
      </c>
      <c r="G408" s="120" t="s">
        <v>1586</v>
      </c>
      <c r="H408" s="120">
        <f t="shared" si="14"/>
        <v>2825.424</v>
      </c>
      <c r="I408" s="120">
        <f>LUCK!D34</f>
        <v>2825.424</v>
      </c>
      <c r="J408" s="120">
        <f t="shared" si="13"/>
        <v>0</v>
      </c>
      <c r="K408" s="119" t="s">
        <v>1589</v>
      </c>
      <c r="L408" s="119">
        <v>226</v>
      </c>
      <c r="M408" s="119" t="s">
        <v>1106</v>
      </c>
      <c r="N408" s="122" t="s">
        <v>3564</v>
      </c>
      <c r="O408" s="122" t="s">
        <v>3565</v>
      </c>
      <c r="P408" s="122" t="s">
        <v>3955</v>
      </c>
    </row>
    <row r="409" spans="1:16" ht="82.05" customHeight="1" x14ac:dyDescent="0.3">
      <c r="A409" s="50" t="s">
        <v>1672</v>
      </c>
      <c r="B409" s="50" t="s">
        <v>68</v>
      </c>
      <c r="C409" s="50" t="s">
        <v>26</v>
      </c>
      <c r="D409" s="50" t="s">
        <v>271</v>
      </c>
      <c r="E409" s="121">
        <v>3871078</v>
      </c>
      <c r="F409" s="121">
        <v>3871078</v>
      </c>
      <c r="G409" s="121" t="s">
        <v>1586</v>
      </c>
      <c r="H409" s="121">
        <f t="shared" si="14"/>
        <v>3871.078</v>
      </c>
      <c r="I409" s="121">
        <f>LUCK!E34</f>
        <v>3871.078</v>
      </c>
      <c r="J409" s="121">
        <f t="shared" si="13"/>
        <v>0</v>
      </c>
      <c r="K409" s="50" t="s">
        <v>1592</v>
      </c>
      <c r="L409" s="50">
        <v>234</v>
      </c>
      <c r="M409" s="50" t="s">
        <v>1106</v>
      </c>
      <c r="N409" s="68" t="s">
        <v>3564</v>
      </c>
      <c r="O409" s="68" t="s">
        <v>3565</v>
      </c>
      <c r="P409" s="68" t="s">
        <v>3956</v>
      </c>
    </row>
    <row r="410" spans="1:16" ht="82.05" customHeight="1" x14ac:dyDescent="0.3">
      <c r="A410" s="119" t="s">
        <v>1673</v>
      </c>
      <c r="B410" s="119" t="s">
        <v>68</v>
      </c>
      <c r="C410" s="119" t="s">
        <v>27</v>
      </c>
      <c r="D410" s="119" t="s">
        <v>271</v>
      </c>
      <c r="E410" s="120">
        <v>4116181</v>
      </c>
      <c r="F410" s="120">
        <v>4116181</v>
      </c>
      <c r="G410" s="120" t="s">
        <v>1586</v>
      </c>
      <c r="H410" s="120">
        <f t="shared" si="14"/>
        <v>4116.1809999999996</v>
      </c>
      <c r="I410" s="120">
        <f>LUCK!F34</f>
        <v>4116.1809999999996</v>
      </c>
      <c r="J410" s="120">
        <f t="shared" si="13"/>
        <v>0</v>
      </c>
      <c r="K410" s="119" t="s">
        <v>1595</v>
      </c>
      <c r="L410" s="119">
        <v>238</v>
      </c>
      <c r="M410" s="119" t="s">
        <v>1106</v>
      </c>
      <c r="N410" s="122" t="s">
        <v>3564</v>
      </c>
      <c r="O410" s="122" t="s">
        <v>3565</v>
      </c>
      <c r="P410" s="122" t="s">
        <v>3957</v>
      </c>
    </row>
    <row r="411" spans="1:16" ht="82.05" customHeight="1" x14ac:dyDescent="0.3">
      <c r="A411" s="50" t="s">
        <v>1674</v>
      </c>
      <c r="B411" s="50" t="s">
        <v>68</v>
      </c>
      <c r="C411" s="50" t="s">
        <v>28</v>
      </c>
      <c r="D411" s="50" t="s">
        <v>271</v>
      </c>
      <c r="E411" s="121">
        <v>2567176</v>
      </c>
      <c r="F411" s="121">
        <v>2567176</v>
      </c>
      <c r="G411" s="121" t="s">
        <v>1586</v>
      </c>
      <c r="H411" s="121">
        <f t="shared" si="14"/>
        <v>2567.1759999999999</v>
      </c>
      <c r="I411" s="121">
        <f>LUCK!G34</f>
        <v>2567.1759999999999</v>
      </c>
      <c r="J411" s="121">
        <f t="shared" si="13"/>
        <v>0</v>
      </c>
      <c r="K411" s="50" t="s">
        <v>1598</v>
      </c>
      <c r="L411" s="50">
        <v>240</v>
      </c>
      <c r="M411" s="50" t="s">
        <v>1106</v>
      </c>
      <c r="N411" s="68" t="s">
        <v>3564</v>
      </c>
      <c r="O411" s="68" t="s">
        <v>3565</v>
      </c>
      <c r="P411" s="68" t="s">
        <v>3958</v>
      </c>
    </row>
    <row r="412" spans="1:16" ht="82.05" customHeight="1" x14ac:dyDescent="0.3">
      <c r="A412" s="119" t="s">
        <v>1675</v>
      </c>
      <c r="B412" s="119" t="s">
        <v>68</v>
      </c>
      <c r="C412" s="119" t="s">
        <v>29</v>
      </c>
      <c r="D412" s="119" t="s">
        <v>271</v>
      </c>
      <c r="E412" s="120">
        <v>2790323</v>
      </c>
      <c r="F412" s="120">
        <v>2790323</v>
      </c>
      <c r="G412" s="120" t="s">
        <v>1586</v>
      </c>
      <c r="H412" s="120">
        <f t="shared" si="14"/>
        <v>2790.3229999999999</v>
      </c>
      <c r="I412" s="120">
        <f>LUCK!H34</f>
        <v>2790.3229999999999</v>
      </c>
      <c r="J412" s="120">
        <f t="shared" si="13"/>
        <v>0</v>
      </c>
      <c r="K412" s="119" t="s">
        <v>1598</v>
      </c>
      <c r="L412" s="119">
        <v>240</v>
      </c>
      <c r="M412" s="119" t="s">
        <v>1127</v>
      </c>
      <c r="N412" s="122" t="s">
        <v>3564</v>
      </c>
      <c r="O412" s="122" t="s">
        <v>3565</v>
      </c>
      <c r="P412" s="122" t="s">
        <v>3959</v>
      </c>
    </row>
    <row r="413" spans="1:16" ht="82.05" customHeight="1" x14ac:dyDescent="0.3">
      <c r="A413" s="50" t="s">
        <v>1676</v>
      </c>
      <c r="B413" s="50" t="s">
        <v>68</v>
      </c>
      <c r="C413" s="50" t="s">
        <v>965</v>
      </c>
      <c r="D413" s="50" t="s">
        <v>273</v>
      </c>
      <c r="E413" s="121">
        <v>4728819</v>
      </c>
      <c r="F413" s="121">
        <v>4728819</v>
      </c>
      <c r="G413" s="121" t="s">
        <v>1586</v>
      </c>
      <c r="H413" s="121">
        <f t="shared" si="14"/>
        <v>4728.8190000000004</v>
      </c>
      <c r="I413" s="121">
        <f>LUCK!C35</f>
        <v>4728.8190000000004</v>
      </c>
      <c r="J413" s="121">
        <f t="shared" si="13"/>
        <v>0</v>
      </c>
      <c r="K413" s="50" t="s">
        <v>1584</v>
      </c>
      <c r="L413" s="50">
        <v>191</v>
      </c>
      <c r="M413" s="50" t="s">
        <v>1106</v>
      </c>
      <c r="N413" s="68" t="s">
        <v>3602</v>
      </c>
      <c r="O413" s="68" t="s">
        <v>3603</v>
      </c>
      <c r="P413" s="68" t="s">
        <v>3960</v>
      </c>
    </row>
    <row r="414" spans="1:16" ht="82.05" customHeight="1" x14ac:dyDescent="0.3">
      <c r="A414" s="119" t="s">
        <v>1678</v>
      </c>
      <c r="B414" s="119" t="s">
        <v>68</v>
      </c>
      <c r="C414" s="119" t="s">
        <v>20</v>
      </c>
      <c r="D414" s="119" t="s">
        <v>273</v>
      </c>
      <c r="E414" s="120">
        <v>5282150</v>
      </c>
      <c r="F414" s="120">
        <v>5282150</v>
      </c>
      <c r="G414" s="120" t="s">
        <v>1586</v>
      </c>
      <c r="H414" s="120">
        <f t="shared" si="14"/>
        <v>5282.15</v>
      </c>
      <c r="I414" s="120">
        <f>LUCK!D35</f>
        <v>5282.15</v>
      </c>
      <c r="J414" s="120">
        <f t="shared" si="13"/>
        <v>0</v>
      </c>
      <c r="K414" s="119" t="s">
        <v>1589</v>
      </c>
      <c r="L414" s="119">
        <v>226</v>
      </c>
      <c r="M414" s="119" t="s">
        <v>1106</v>
      </c>
      <c r="N414" s="122" t="s">
        <v>3602</v>
      </c>
      <c r="O414" s="122" t="s">
        <v>3603</v>
      </c>
      <c r="P414" s="122" t="s">
        <v>3961</v>
      </c>
    </row>
    <row r="415" spans="1:16" ht="82.05" customHeight="1" x14ac:dyDescent="0.3">
      <c r="A415" s="50" t="s">
        <v>1679</v>
      </c>
      <c r="B415" s="50" t="s">
        <v>68</v>
      </c>
      <c r="C415" s="50" t="s">
        <v>26</v>
      </c>
      <c r="D415" s="50" t="s">
        <v>273</v>
      </c>
      <c r="E415" s="121">
        <v>6292320</v>
      </c>
      <c r="F415" s="121">
        <v>6292320</v>
      </c>
      <c r="G415" s="121" t="s">
        <v>1586</v>
      </c>
      <c r="H415" s="121">
        <f t="shared" si="14"/>
        <v>6292.32</v>
      </c>
      <c r="I415" s="121">
        <f>LUCK!E35</f>
        <v>6292.32</v>
      </c>
      <c r="J415" s="121">
        <f t="shared" si="13"/>
        <v>0</v>
      </c>
      <c r="K415" s="50" t="s">
        <v>1592</v>
      </c>
      <c r="L415" s="50">
        <v>234</v>
      </c>
      <c r="M415" s="50" t="s">
        <v>1106</v>
      </c>
      <c r="N415" s="68" t="s">
        <v>3602</v>
      </c>
      <c r="O415" s="68" t="s">
        <v>3603</v>
      </c>
      <c r="P415" s="68" t="s">
        <v>3962</v>
      </c>
    </row>
    <row r="416" spans="1:16" ht="82.05" customHeight="1" x14ac:dyDescent="0.3">
      <c r="A416" s="119" t="s">
        <v>1680</v>
      </c>
      <c r="B416" s="119" t="s">
        <v>68</v>
      </c>
      <c r="C416" s="119" t="s">
        <v>27</v>
      </c>
      <c r="D416" s="119" t="s">
        <v>273</v>
      </c>
      <c r="E416" s="120">
        <v>8339773</v>
      </c>
      <c r="F416" s="120">
        <v>8339773</v>
      </c>
      <c r="G416" s="120" t="s">
        <v>1586</v>
      </c>
      <c r="H416" s="120">
        <f t="shared" si="14"/>
        <v>8339.7729999999992</v>
      </c>
      <c r="I416" s="120">
        <f>LUCK!F35</f>
        <v>8339.7729999999992</v>
      </c>
      <c r="J416" s="120">
        <f t="shared" si="13"/>
        <v>0</v>
      </c>
      <c r="K416" s="119" t="s">
        <v>1595</v>
      </c>
      <c r="L416" s="119">
        <v>238</v>
      </c>
      <c r="M416" s="119" t="s">
        <v>1106</v>
      </c>
      <c r="N416" s="122" t="s">
        <v>3602</v>
      </c>
      <c r="O416" s="122" t="s">
        <v>3603</v>
      </c>
      <c r="P416" s="122" t="s">
        <v>3963</v>
      </c>
    </row>
    <row r="417" spans="1:16" ht="82.05" customHeight="1" x14ac:dyDescent="0.3">
      <c r="A417" s="50" t="s">
        <v>1681</v>
      </c>
      <c r="B417" s="50" t="s">
        <v>68</v>
      </c>
      <c r="C417" s="50" t="s">
        <v>28</v>
      </c>
      <c r="D417" s="50" t="s">
        <v>273</v>
      </c>
      <c r="E417" s="121">
        <v>6017554</v>
      </c>
      <c r="F417" s="121">
        <v>6017554</v>
      </c>
      <c r="G417" s="121" t="s">
        <v>1586</v>
      </c>
      <c r="H417" s="121">
        <f t="shared" si="14"/>
        <v>6017.5540000000001</v>
      </c>
      <c r="I417" s="121">
        <f>LUCK!G35</f>
        <v>6017.5540000000001</v>
      </c>
      <c r="J417" s="121">
        <f t="shared" si="13"/>
        <v>0</v>
      </c>
      <c r="K417" s="50" t="s">
        <v>1598</v>
      </c>
      <c r="L417" s="50">
        <v>240</v>
      </c>
      <c r="M417" s="50" t="s">
        <v>1106</v>
      </c>
      <c r="N417" s="68" t="s">
        <v>3602</v>
      </c>
      <c r="O417" s="68" t="s">
        <v>3603</v>
      </c>
      <c r="P417" s="68" t="s">
        <v>3964</v>
      </c>
    </row>
    <row r="418" spans="1:16" ht="82.05" customHeight="1" x14ac:dyDescent="0.3">
      <c r="A418" s="119" t="s">
        <v>1683</v>
      </c>
      <c r="B418" s="119" t="s">
        <v>68</v>
      </c>
      <c r="C418" s="119" t="s">
        <v>29</v>
      </c>
      <c r="D418" s="119" t="s">
        <v>273</v>
      </c>
      <c r="E418" s="120">
        <v>5436083</v>
      </c>
      <c r="F418" s="120">
        <v>5436083</v>
      </c>
      <c r="G418" s="120" t="s">
        <v>1586</v>
      </c>
      <c r="H418" s="120">
        <f t="shared" si="14"/>
        <v>5436.0829999999996</v>
      </c>
      <c r="I418" s="120">
        <f>LUCK!H35</f>
        <v>5436.0829999999996</v>
      </c>
      <c r="J418" s="120">
        <f t="shared" si="13"/>
        <v>0</v>
      </c>
      <c r="K418" s="119" t="s">
        <v>1598</v>
      </c>
      <c r="L418" s="119">
        <v>240</v>
      </c>
      <c r="M418" s="119" t="s">
        <v>1127</v>
      </c>
      <c r="N418" s="122" t="s">
        <v>3602</v>
      </c>
      <c r="O418" s="122" t="s">
        <v>3603</v>
      </c>
      <c r="P418" s="122" t="s">
        <v>3964</v>
      </c>
    </row>
    <row r="419" spans="1:16" ht="82.05" customHeight="1" x14ac:dyDescent="0.3">
      <c r="A419" s="50" t="s">
        <v>1684</v>
      </c>
      <c r="B419" s="50" t="s">
        <v>68</v>
      </c>
      <c r="C419" s="50" t="s">
        <v>965</v>
      </c>
      <c r="D419" s="50" t="s">
        <v>280</v>
      </c>
      <c r="E419" s="121">
        <v>3233750</v>
      </c>
      <c r="F419" s="121">
        <v>3233750</v>
      </c>
      <c r="G419" s="121" t="s">
        <v>1586</v>
      </c>
      <c r="H419" s="121">
        <f t="shared" si="14"/>
        <v>3233.75</v>
      </c>
      <c r="I419" s="121">
        <f>LUCK!C39</f>
        <v>3233.75</v>
      </c>
      <c r="J419" s="121">
        <f t="shared" si="13"/>
        <v>0</v>
      </c>
      <c r="K419" s="50" t="s">
        <v>1584</v>
      </c>
      <c r="L419" s="50">
        <v>191</v>
      </c>
      <c r="M419" s="50" t="s">
        <v>1106</v>
      </c>
      <c r="N419" s="68" t="s">
        <v>3564</v>
      </c>
      <c r="O419" s="68" t="s">
        <v>3565</v>
      </c>
      <c r="P419" s="68" t="s">
        <v>3965</v>
      </c>
    </row>
    <row r="420" spans="1:16" ht="82.05" customHeight="1" x14ac:dyDescent="0.3">
      <c r="A420" s="119" t="s">
        <v>1686</v>
      </c>
      <c r="B420" s="119" t="s">
        <v>68</v>
      </c>
      <c r="C420" s="119" t="s">
        <v>20</v>
      </c>
      <c r="D420" s="119" t="s">
        <v>280</v>
      </c>
      <c r="E420" s="120">
        <v>3233750</v>
      </c>
      <c r="F420" s="120">
        <v>3233750</v>
      </c>
      <c r="G420" s="120" t="s">
        <v>1586</v>
      </c>
      <c r="H420" s="120">
        <f t="shared" si="14"/>
        <v>3233.75</v>
      </c>
      <c r="I420" s="120">
        <f>LUCK!D39</f>
        <v>3233.75</v>
      </c>
      <c r="J420" s="120">
        <f t="shared" si="13"/>
        <v>0</v>
      </c>
      <c r="K420" s="119" t="s">
        <v>1589</v>
      </c>
      <c r="L420" s="119">
        <v>226</v>
      </c>
      <c r="M420" s="119" t="s">
        <v>1106</v>
      </c>
      <c r="N420" s="122" t="s">
        <v>3564</v>
      </c>
      <c r="O420" s="122" t="s">
        <v>3565</v>
      </c>
      <c r="P420" s="122" t="s">
        <v>3966</v>
      </c>
    </row>
    <row r="421" spans="1:16" ht="82.05" customHeight="1" x14ac:dyDescent="0.3">
      <c r="A421" s="50" t="s">
        <v>1687</v>
      </c>
      <c r="B421" s="50" t="s">
        <v>68</v>
      </c>
      <c r="C421" s="50" t="s">
        <v>26</v>
      </c>
      <c r="D421" s="50" t="s">
        <v>280</v>
      </c>
      <c r="E421" s="121">
        <v>3233750</v>
      </c>
      <c r="F421" s="121">
        <v>3233750</v>
      </c>
      <c r="G421" s="121" t="s">
        <v>1586</v>
      </c>
      <c r="H421" s="121">
        <f t="shared" si="14"/>
        <v>3233.75</v>
      </c>
      <c r="I421" s="121">
        <f>LUCK!E39</f>
        <v>3233.75</v>
      </c>
      <c r="J421" s="121">
        <f t="shared" si="13"/>
        <v>0</v>
      </c>
      <c r="K421" s="50" t="s">
        <v>1592</v>
      </c>
      <c r="L421" s="50">
        <v>234</v>
      </c>
      <c r="M421" s="50" t="s">
        <v>1106</v>
      </c>
      <c r="N421" s="68" t="s">
        <v>3564</v>
      </c>
      <c r="O421" s="68" t="s">
        <v>3565</v>
      </c>
      <c r="P421" s="68" t="s">
        <v>3967</v>
      </c>
    </row>
    <row r="422" spans="1:16" ht="82.05" customHeight="1" x14ac:dyDescent="0.3">
      <c r="A422" s="119" t="s">
        <v>1688</v>
      </c>
      <c r="B422" s="119" t="s">
        <v>68</v>
      </c>
      <c r="C422" s="119" t="s">
        <v>27</v>
      </c>
      <c r="D422" s="119" t="s">
        <v>280</v>
      </c>
      <c r="E422" s="120">
        <v>3118386</v>
      </c>
      <c r="F422" s="120">
        <v>3118386</v>
      </c>
      <c r="G422" s="120" t="s">
        <v>1586</v>
      </c>
      <c r="H422" s="120">
        <f t="shared" si="14"/>
        <v>3118.386</v>
      </c>
      <c r="I422" s="120">
        <f>LUCK!F39</f>
        <v>3118.386</v>
      </c>
      <c r="J422" s="120">
        <f t="shared" si="13"/>
        <v>0</v>
      </c>
      <c r="K422" s="119" t="s">
        <v>1595</v>
      </c>
      <c r="L422" s="119">
        <v>238</v>
      </c>
      <c r="M422" s="119" t="s">
        <v>1106</v>
      </c>
      <c r="N422" s="122" t="s">
        <v>3564</v>
      </c>
      <c r="O422" s="122" t="s">
        <v>3565</v>
      </c>
      <c r="P422" s="122" t="s">
        <v>3968</v>
      </c>
    </row>
    <row r="423" spans="1:16" ht="82.05" customHeight="1" x14ac:dyDescent="0.3">
      <c r="A423" s="50" t="s">
        <v>1690</v>
      </c>
      <c r="B423" s="50" t="s">
        <v>68</v>
      </c>
      <c r="C423" s="50" t="s">
        <v>28</v>
      </c>
      <c r="D423" s="50" t="s">
        <v>280</v>
      </c>
      <c r="E423" s="121">
        <v>2930000</v>
      </c>
      <c r="F423" s="121">
        <v>2930000</v>
      </c>
      <c r="G423" s="121" t="s">
        <v>1586</v>
      </c>
      <c r="H423" s="121">
        <f t="shared" si="14"/>
        <v>2930</v>
      </c>
      <c r="I423" s="121">
        <f>LUCK!G39</f>
        <v>2930</v>
      </c>
      <c r="J423" s="121">
        <f t="shared" si="13"/>
        <v>0</v>
      </c>
      <c r="K423" s="50" t="s">
        <v>1598</v>
      </c>
      <c r="L423" s="50">
        <v>240</v>
      </c>
      <c r="M423" s="50" t="s">
        <v>1106</v>
      </c>
      <c r="N423" s="68" t="s">
        <v>3564</v>
      </c>
      <c r="O423" s="68" t="s">
        <v>3565</v>
      </c>
      <c r="P423" s="68" t="s">
        <v>3969</v>
      </c>
    </row>
    <row r="424" spans="1:16" ht="82.05" customHeight="1" x14ac:dyDescent="0.3">
      <c r="A424" s="119" t="s">
        <v>1691</v>
      </c>
      <c r="B424" s="119" t="s">
        <v>68</v>
      </c>
      <c r="C424" s="119" t="s">
        <v>29</v>
      </c>
      <c r="D424" s="119" t="s">
        <v>280</v>
      </c>
      <c r="E424" s="120">
        <v>2930000</v>
      </c>
      <c r="F424" s="120">
        <v>2930000</v>
      </c>
      <c r="G424" s="120" t="s">
        <v>1586</v>
      </c>
      <c r="H424" s="120">
        <f t="shared" si="14"/>
        <v>2930</v>
      </c>
      <c r="I424" s="120">
        <f>LUCK!H39</f>
        <v>2930</v>
      </c>
      <c r="J424" s="120">
        <f t="shared" si="13"/>
        <v>0</v>
      </c>
      <c r="K424" s="119" t="s">
        <v>1598</v>
      </c>
      <c r="L424" s="119">
        <v>240</v>
      </c>
      <c r="M424" s="119" t="s">
        <v>1127</v>
      </c>
      <c r="N424" s="122" t="s">
        <v>3564</v>
      </c>
      <c r="O424" s="122" t="s">
        <v>3565</v>
      </c>
      <c r="P424" s="122" t="s">
        <v>3969</v>
      </c>
    </row>
    <row r="425" spans="1:16" ht="82.05" customHeight="1" x14ac:dyDescent="0.3">
      <c r="A425" s="50" t="s">
        <v>1692</v>
      </c>
      <c r="B425" s="50" t="s">
        <v>68</v>
      </c>
      <c r="C425" s="50" t="s">
        <v>965</v>
      </c>
      <c r="D425" s="50" t="s">
        <v>282</v>
      </c>
      <c r="E425" s="121">
        <v>95950111</v>
      </c>
      <c r="F425" s="121">
        <v>95950111</v>
      </c>
      <c r="G425" s="121" t="s">
        <v>1586</v>
      </c>
      <c r="H425" s="121">
        <f t="shared" si="14"/>
        <v>95950.111000000004</v>
      </c>
      <c r="I425" s="121">
        <f>LUCK!C40</f>
        <v>95950.111000000004</v>
      </c>
      <c r="J425" s="121">
        <f t="shared" si="13"/>
        <v>0</v>
      </c>
      <c r="K425" s="50" t="s">
        <v>1584</v>
      </c>
      <c r="L425" s="50">
        <v>191</v>
      </c>
      <c r="M425" s="50" t="s">
        <v>1106</v>
      </c>
      <c r="N425" s="68" t="s">
        <v>3564</v>
      </c>
      <c r="O425" s="68" t="s">
        <v>3565</v>
      </c>
      <c r="P425" s="68" t="s">
        <v>3970</v>
      </c>
    </row>
    <row r="426" spans="1:16" ht="82.05" customHeight="1" x14ac:dyDescent="0.3">
      <c r="A426" s="119" t="s">
        <v>1694</v>
      </c>
      <c r="B426" s="119" t="s">
        <v>68</v>
      </c>
      <c r="C426" s="119" t="s">
        <v>20</v>
      </c>
      <c r="D426" s="119" t="s">
        <v>282</v>
      </c>
      <c r="E426" s="120">
        <v>109966508</v>
      </c>
      <c r="F426" s="120">
        <v>109966508</v>
      </c>
      <c r="G426" s="120" t="s">
        <v>1586</v>
      </c>
      <c r="H426" s="120">
        <f t="shared" si="14"/>
        <v>109966.508</v>
      </c>
      <c r="I426" s="120">
        <f>LUCK!D40</f>
        <v>109966.508</v>
      </c>
      <c r="J426" s="120">
        <f t="shared" si="13"/>
        <v>0</v>
      </c>
      <c r="K426" s="119" t="s">
        <v>1589</v>
      </c>
      <c r="L426" s="119">
        <v>226</v>
      </c>
      <c r="M426" s="119" t="s">
        <v>1106</v>
      </c>
      <c r="N426" s="122" t="s">
        <v>3564</v>
      </c>
      <c r="O426" s="122" t="s">
        <v>3565</v>
      </c>
      <c r="P426" s="122" t="s">
        <v>3971</v>
      </c>
    </row>
    <row r="427" spans="1:16" ht="82.05" customHeight="1" x14ac:dyDescent="0.3">
      <c r="A427" s="50" t="s">
        <v>1695</v>
      </c>
      <c r="B427" s="50" t="s">
        <v>68</v>
      </c>
      <c r="C427" s="50" t="s">
        <v>26</v>
      </c>
      <c r="D427" s="50" t="s">
        <v>282</v>
      </c>
      <c r="E427" s="121">
        <v>125306574</v>
      </c>
      <c r="F427" s="121">
        <v>125306574</v>
      </c>
      <c r="G427" s="121" t="s">
        <v>1586</v>
      </c>
      <c r="H427" s="121">
        <f t="shared" si="14"/>
        <v>125306.57399999999</v>
      </c>
      <c r="I427" s="121">
        <f>LUCK!E40</f>
        <v>125306.57399999999</v>
      </c>
      <c r="J427" s="121">
        <f t="shared" si="13"/>
        <v>0</v>
      </c>
      <c r="K427" s="50" t="s">
        <v>1592</v>
      </c>
      <c r="L427" s="50">
        <v>234</v>
      </c>
      <c r="M427" s="50" t="s">
        <v>1106</v>
      </c>
      <c r="N427" s="68" t="s">
        <v>3564</v>
      </c>
      <c r="O427" s="68" t="s">
        <v>3565</v>
      </c>
      <c r="P427" s="68" t="s">
        <v>3972</v>
      </c>
    </row>
    <row r="428" spans="1:16" ht="82.05" customHeight="1" x14ac:dyDescent="0.3">
      <c r="A428" s="119" t="s">
        <v>1696</v>
      </c>
      <c r="B428" s="119" t="s">
        <v>68</v>
      </c>
      <c r="C428" s="119" t="s">
        <v>27</v>
      </c>
      <c r="D428" s="119" t="s">
        <v>282</v>
      </c>
      <c r="E428" s="120">
        <v>134247940</v>
      </c>
      <c r="F428" s="120">
        <v>134247940</v>
      </c>
      <c r="G428" s="120" t="s">
        <v>1586</v>
      </c>
      <c r="H428" s="120">
        <f t="shared" si="14"/>
        <v>134247.94</v>
      </c>
      <c r="I428" s="120">
        <f>LUCK!F40</f>
        <v>134247.94</v>
      </c>
      <c r="J428" s="120">
        <f t="shared" si="13"/>
        <v>0</v>
      </c>
      <c r="K428" s="119" t="s">
        <v>1595</v>
      </c>
      <c r="L428" s="119">
        <v>238</v>
      </c>
      <c r="M428" s="119" t="s">
        <v>1106</v>
      </c>
      <c r="N428" s="122" t="s">
        <v>3564</v>
      </c>
      <c r="O428" s="122" t="s">
        <v>3565</v>
      </c>
      <c r="P428" s="122" t="s">
        <v>3973</v>
      </c>
    </row>
    <row r="429" spans="1:16" ht="82.05" customHeight="1" x14ac:dyDescent="0.3">
      <c r="A429" s="50" t="s">
        <v>1697</v>
      </c>
      <c r="B429" s="50" t="s">
        <v>68</v>
      </c>
      <c r="C429" s="50" t="s">
        <v>28</v>
      </c>
      <c r="D429" s="50" t="s">
        <v>282</v>
      </c>
      <c r="E429" s="121">
        <v>144831277</v>
      </c>
      <c r="F429" s="121">
        <v>144831277</v>
      </c>
      <c r="G429" s="121" t="s">
        <v>1586</v>
      </c>
      <c r="H429" s="121">
        <f t="shared" si="14"/>
        <v>144831.277</v>
      </c>
      <c r="I429" s="121">
        <f>LUCK!G40</f>
        <v>144831.277</v>
      </c>
      <c r="J429" s="121">
        <f t="shared" si="13"/>
        <v>0</v>
      </c>
      <c r="K429" s="50" t="s">
        <v>1598</v>
      </c>
      <c r="L429" s="50">
        <v>240</v>
      </c>
      <c r="M429" s="50" t="s">
        <v>1106</v>
      </c>
      <c r="N429" s="68" t="s">
        <v>3564</v>
      </c>
      <c r="O429" s="68" t="s">
        <v>3565</v>
      </c>
      <c r="P429" s="68" t="s">
        <v>3974</v>
      </c>
    </row>
    <row r="430" spans="1:16" ht="82.05" customHeight="1" x14ac:dyDescent="0.3">
      <c r="A430" s="119" t="s">
        <v>1698</v>
      </c>
      <c r="B430" s="119" t="s">
        <v>68</v>
      </c>
      <c r="C430" s="119" t="s">
        <v>29</v>
      </c>
      <c r="D430" s="119" t="s">
        <v>282</v>
      </c>
      <c r="E430" s="120">
        <v>172980400</v>
      </c>
      <c r="F430" s="120">
        <v>172980400</v>
      </c>
      <c r="G430" s="120" t="s">
        <v>1586</v>
      </c>
      <c r="H430" s="120">
        <f t="shared" si="14"/>
        <v>172980.4</v>
      </c>
      <c r="I430" s="120">
        <f>LUCK!H40</f>
        <v>172980.4</v>
      </c>
      <c r="J430" s="120">
        <f t="shared" si="13"/>
        <v>0</v>
      </c>
      <c r="K430" s="119" t="s">
        <v>1598</v>
      </c>
      <c r="L430" s="119">
        <v>240</v>
      </c>
      <c r="M430" s="119" t="s">
        <v>1127</v>
      </c>
      <c r="N430" s="122" t="s">
        <v>3564</v>
      </c>
      <c r="O430" s="122" t="s">
        <v>3565</v>
      </c>
      <c r="P430" s="122" t="s">
        <v>3975</v>
      </c>
    </row>
    <row r="431" spans="1:16" ht="82.05" customHeight="1" x14ac:dyDescent="0.3">
      <c r="A431" s="50" t="s">
        <v>1699</v>
      </c>
      <c r="B431" s="50" t="s">
        <v>68</v>
      </c>
      <c r="C431" s="50" t="s">
        <v>965</v>
      </c>
      <c r="D431" s="50" t="s">
        <v>287</v>
      </c>
      <c r="E431" s="121">
        <v>320461</v>
      </c>
      <c r="F431" s="121">
        <v>320461</v>
      </c>
      <c r="G431" s="121" t="s">
        <v>1586</v>
      </c>
      <c r="H431" s="121">
        <f t="shared" si="14"/>
        <v>320.46100000000001</v>
      </c>
      <c r="I431" s="121">
        <f>LUCK!C43</f>
        <v>320.46100000000001</v>
      </c>
      <c r="J431" s="121">
        <f t="shared" si="13"/>
        <v>0</v>
      </c>
      <c r="K431" s="50" t="s">
        <v>1584</v>
      </c>
      <c r="L431" s="50">
        <v>191</v>
      </c>
      <c r="M431" s="50" t="s">
        <v>1106</v>
      </c>
      <c r="N431" s="68" t="s">
        <v>3564</v>
      </c>
      <c r="O431" s="68" t="s">
        <v>3565</v>
      </c>
      <c r="P431" s="68" t="s">
        <v>3976</v>
      </c>
    </row>
    <row r="432" spans="1:16" ht="82.05" customHeight="1" x14ac:dyDescent="0.3">
      <c r="A432" s="119" t="s">
        <v>1701</v>
      </c>
      <c r="B432" s="119" t="s">
        <v>68</v>
      </c>
      <c r="C432" s="119" t="s">
        <v>20</v>
      </c>
      <c r="D432" s="119" t="s">
        <v>287</v>
      </c>
      <c r="E432" s="120">
        <v>2934044</v>
      </c>
      <c r="F432" s="120">
        <v>2934044</v>
      </c>
      <c r="G432" s="120" t="s">
        <v>1586</v>
      </c>
      <c r="H432" s="120">
        <f t="shared" si="14"/>
        <v>2934.0439999999999</v>
      </c>
      <c r="I432" s="120">
        <f>LUCK!D43</f>
        <v>2934.0439999999999</v>
      </c>
      <c r="J432" s="120">
        <f t="shared" si="13"/>
        <v>0</v>
      </c>
      <c r="K432" s="119" t="s">
        <v>1589</v>
      </c>
      <c r="L432" s="119">
        <v>226</v>
      </c>
      <c r="M432" s="119" t="s">
        <v>1106</v>
      </c>
      <c r="N432" s="122" t="s">
        <v>3564</v>
      </c>
      <c r="O432" s="122" t="s">
        <v>3565</v>
      </c>
      <c r="P432" s="122" t="s">
        <v>3977</v>
      </c>
    </row>
    <row r="433" spans="1:16" ht="82.05" customHeight="1" x14ac:dyDescent="0.3">
      <c r="A433" s="50" t="s">
        <v>1702</v>
      </c>
      <c r="B433" s="50" t="s">
        <v>68</v>
      </c>
      <c r="C433" s="50" t="s">
        <v>26</v>
      </c>
      <c r="D433" s="50" t="s">
        <v>287</v>
      </c>
      <c r="E433" s="121">
        <v>14108446</v>
      </c>
      <c r="F433" s="121">
        <v>14108446</v>
      </c>
      <c r="G433" s="121" t="s">
        <v>1586</v>
      </c>
      <c r="H433" s="121">
        <f t="shared" si="14"/>
        <v>14108.446</v>
      </c>
      <c r="I433" s="121">
        <f>LUCK!E43</f>
        <v>14108.446</v>
      </c>
      <c r="J433" s="121">
        <f t="shared" si="13"/>
        <v>0</v>
      </c>
      <c r="K433" s="50" t="s">
        <v>1592</v>
      </c>
      <c r="L433" s="50">
        <v>234</v>
      </c>
      <c r="M433" s="50" t="s">
        <v>1106</v>
      </c>
      <c r="N433" s="68" t="s">
        <v>3564</v>
      </c>
      <c r="O433" s="68" t="s">
        <v>3565</v>
      </c>
      <c r="P433" s="68" t="s">
        <v>3978</v>
      </c>
    </row>
    <row r="434" spans="1:16" ht="82.05" customHeight="1" x14ac:dyDescent="0.3">
      <c r="A434" s="119" t="s">
        <v>1703</v>
      </c>
      <c r="B434" s="119" t="s">
        <v>68</v>
      </c>
      <c r="C434" s="119" t="s">
        <v>27</v>
      </c>
      <c r="D434" s="119" t="s">
        <v>287</v>
      </c>
      <c r="E434" s="120">
        <v>14557294</v>
      </c>
      <c r="F434" s="120">
        <v>14557294</v>
      </c>
      <c r="G434" s="120" t="s">
        <v>1586</v>
      </c>
      <c r="H434" s="120">
        <f t="shared" si="14"/>
        <v>14557.294</v>
      </c>
      <c r="I434" s="120">
        <f>LUCK!F43</f>
        <v>14557.294</v>
      </c>
      <c r="J434" s="120">
        <f t="shared" si="13"/>
        <v>0</v>
      </c>
      <c r="K434" s="119" t="s">
        <v>1595</v>
      </c>
      <c r="L434" s="119">
        <v>238</v>
      </c>
      <c r="M434" s="119" t="s">
        <v>1106</v>
      </c>
      <c r="N434" s="122" t="s">
        <v>3564</v>
      </c>
      <c r="O434" s="122" t="s">
        <v>3565</v>
      </c>
      <c r="P434" s="122" t="s">
        <v>3979</v>
      </c>
    </row>
    <row r="435" spans="1:16" ht="82.05" customHeight="1" x14ac:dyDescent="0.3">
      <c r="A435" s="50" t="s">
        <v>1704</v>
      </c>
      <c r="B435" s="50" t="s">
        <v>68</v>
      </c>
      <c r="C435" s="50" t="s">
        <v>28</v>
      </c>
      <c r="D435" s="50" t="s">
        <v>287</v>
      </c>
      <c r="E435" s="121">
        <v>12760637</v>
      </c>
      <c r="F435" s="121">
        <v>12760637</v>
      </c>
      <c r="G435" s="121" t="s">
        <v>1586</v>
      </c>
      <c r="H435" s="121">
        <f t="shared" si="14"/>
        <v>12760.637000000001</v>
      </c>
      <c r="I435" s="121">
        <f>LUCK!G43</f>
        <v>12760.637000000001</v>
      </c>
      <c r="J435" s="121">
        <f t="shared" si="13"/>
        <v>0</v>
      </c>
      <c r="K435" s="50" t="s">
        <v>1598</v>
      </c>
      <c r="L435" s="50">
        <v>240</v>
      </c>
      <c r="M435" s="50" t="s">
        <v>1106</v>
      </c>
      <c r="N435" s="68" t="s">
        <v>3564</v>
      </c>
      <c r="O435" s="68" t="s">
        <v>3565</v>
      </c>
      <c r="P435" s="68" t="s">
        <v>3980</v>
      </c>
    </row>
    <row r="436" spans="1:16" ht="82.05" customHeight="1" x14ac:dyDescent="0.3">
      <c r="A436" s="119" t="s">
        <v>1706</v>
      </c>
      <c r="B436" s="119" t="s">
        <v>68</v>
      </c>
      <c r="C436" s="119" t="s">
        <v>29</v>
      </c>
      <c r="D436" s="119" t="s">
        <v>287</v>
      </c>
      <c r="E436" s="120">
        <v>9184522</v>
      </c>
      <c r="F436" s="120">
        <v>9184522</v>
      </c>
      <c r="G436" s="120" t="s">
        <v>1586</v>
      </c>
      <c r="H436" s="120">
        <f t="shared" si="14"/>
        <v>9184.5220000000008</v>
      </c>
      <c r="I436" s="120">
        <f>LUCK!H43</f>
        <v>9184.5220000000008</v>
      </c>
      <c r="J436" s="120">
        <f t="shared" si="13"/>
        <v>0</v>
      </c>
      <c r="K436" s="119" t="s">
        <v>1598</v>
      </c>
      <c r="L436" s="119">
        <v>240</v>
      </c>
      <c r="M436" s="119" t="s">
        <v>1127</v>
      </c>
      <c r="N436" s="122" t="s">
        <v>3564</v>
      </c>
      <c r="O436" s="122" t="s">
        <v>3565</v>
      </c>
      <c r="P436" s="122" t="s">
        <v>3981</v>
      </c>
    </row>
    <row r="437" spans="1:16" ht="82.05" customHeight="1" x14ac:dyDescent="0.3">
      <c r="A437" s="50" t="s">
        <v>1707</v>
      </c>
      <c r="B437" s="50" t="s">
        <v>68</v>
      </c>
      <c r="C437" s="50" t="s">
        <v>965</v>
      </c>
      <c r="D437" s="50" t="s">
        <v>289</v>
      </c>
      <c r="E437" s="121">
        <v>0</v>
      </c>
      <c r="F437" s="121">
        <v>0</v>
      </c>
      <c r="G437" s="121" t="s">
        <v>1586</v>
      </c>
      <c r="H437" s="121">
        <f t="shared" si="14"/>
        <v>0</v>
      </c>
      <c r="I437" s="121">
        <f>LUCK!C44</f>
        <v>0</v>
      </c>
      <c r="J437" s="121">
        <f t="shared" si="13"/>
        <v>0</v>
      </c>
      <c r="K437" s="50" t="s">
        <v>1584</v>
      </c>
      <c r="L437" s="50">
        <v>191</v>
      </c>
      <c r="M437" s="50" t="s">
        <v>1106</v>
      </c>
      <c r="N437" s="68" t="s">
        <v>3578</v>
      </c>
      <c r="O437" s="68" t="s">
        <v>3579</v>
      </c>
      <c r="P437" s="68" t="s">
        <v>3982</v>
      </c>
    </row>
    <row r="438" spans="1:16" ht="82.05" customHeight="1" x14ac:dyDescent="0.3">
      <c r="A438" s="119" t="s">
        <v>1708</v>
      </c>
      <c r="B438" s="119" t="s">
        <v>68</v>
      </c>
      <c r="C438" s="119" t="s">
        <v>20</v>
      </c>
      <c r="D438" s="119" t="s">
        <v>289</v>
      </c>
      <c r="E438" s="120">
        <v>0</v>
      </c>
      <c r="F438" s="120">
        <v>0</v>
      </c>
      <c r="G438" s="120" t="s">
        <v>1586</v>
      </c>
      <c r="H438" s="120">
        <f t="shared" si="14"/>
        <v>0</v>
      </c>
      <c r="I438" s="120">
        <f>LUCK!D44</f>
        <v>0</v>
      </c>
      <c r="J438" s="120">
        <f t="shared" si="13"/>
        <v>0</v>
      </c>
      <c r="K438" s="119" t="s">
        <v>1589</v>
      </c>
      <c r="L438" s="119">
        <v>226</v>
      </c>
      <c r="M438" s="119" t="s">
        <v>1106</v>
      </c>
      <c r="N438" s="122" t="s">
        <v>3578</v>
      </c>
      <c r="O438" s="122" t="s">
        <v>3579</v>
      </c>
      <c r="P438" s="122" t="s">
        <v>3983</v>
      </c>
    </row>
    <row r="439" spans="1:16" ht="82.05" customHeight="1" x14ac:dyDescent="0.3">
      <c r="A439" s="50" t="s">
        <v>1709</v>
      </c>
      <c r="B439" s="50" t="s">
        <v>68</v>
      </c>
      <c r="C439" s="50" t="s">
        <v>26</v>
      </c>
      <c r="D439" s="50" t="s">
        <v>289</v>
      </c>
      <c r="E439" s="121">
        <v>0</v>
      </c>
      <c r="F439" s="121">
        <v>0</v>
      </c>
      <c r="G439" s="121" t="s">
        <v>1586</v>
      </c>
      <c r="H439" s="121">
        <f t="shared" si="14"/>
        <v>0</v>
      </c>
      <c r="I439" s="121">
        <f>LUCK!E44</f>
        <v>0</v>
      </c>
      <c r="J439" s="121">
        <f t="shared" si="13"/>
        <v>0</v>
      </c>
      <c r="K439" s="50" t="s">
        <v>1592</v>
      </c>
      <c r="L439" s="50">
        <v>234</v>
      </c>
      <c r="M439" s="50" t="s">
        <v>1106</v>
      </c>
      <c r="N439" s="68" t="s">
        <v>3578</v>
      </c>
      <c r="O439" s="68" t="s">
        <v>3579</v>
      </c>
      <c r="P439" s="68" t="s">
        <v>3984</v>
      </c>
    </row>
    <row r="440" spans="1:16" ht="82.05" customHeight="1" x14ac:dyDescent="0.3">
      <c r="A440" s="119" t="s">
        <v>1710</v>
      </c>
      <c r="B440" s="119" t="s">
        <v>68</v>
      </c>
      <c r="C440" s="119" t="s">
        <v>27</v>
      </c>
      <c r="D440" s="119" t="s">
        <v>289</v>
      </c>
      <c r="E440" s="120">
        <v>0</v>
      </c>
      <c r="F440" s="120">
        <v>0</v>
      </c>
      <c r="G440" s="120" t="s">
        <v>1586</v>
      </c>
      <c r="H440" s="120">
        <f t="shared" si="14"/>
        <v>0</v>
      </c>
      <c r="I440" s="120">
        <f>LUCK!F44</f>
        <v>0</v>
      </c>
      <c r="J440" s="120">
        <f t="shared" si="13"/>
        <v>0</v>
      </c>
      <c r="K440" s="119" t="s">
        <v>1595</v>
      </c>
      <c r="L440" s="119">
        <v>238</v>
      </c>
      <c r="M440" s="119" t="s">
        <v>1106</v>
      </c>
      <c r="N440" s="122" t="s">
        <v>3578</v>
      </c>
      <c r="O440" s="122" t="s">
        <v>3579</v>
      </c>
      <c r="P440" s="122" t="s">
        <v>3985</v>
      </c>
    </row>
    <row r="441" spans="1:16" ht="82.05" customHeight="1" x14ac:dyDescent="0.3">
      <c r="A441" s="50" t="s">
        <v>1711</v>
      </c>
      <c r="B441" s="50" t="s">
        <v>68</v>
      </c>
      <c r="C441" s="50" t="s">
        <v>28</v>
      </c>
      <c r="D441" s="50" t="s">
        <v>289</v>
      </c>
      <c r="E441" s="121">
        <v>0</v>
      </c>
      <c r="F441" s="121">
        <v>0</v>
      </c>
      <c r="G441" s="121" t="s">
        <v>1586</v>
      </c>
      <c r="H441" s="121">
        <f t="shared" si="14"/>
        <v>0</v>
      </c>
      <c r="I441" s="121">
        <f>LUCK!G44</f>
        <v>0</v>
      </c>
      <c r="J441" s="121">
        <f t="shared" si="13"/>
        <v>0</v>
      </c>
      <c r="K441" s="50" t="s">
        <v>1598</v>
      </c>
      <c r="L441" s="50">
        <v>240</v>
      </c>
      <c r="M441" s="50" t="s">
        <v>1106</v>
      </c>
      <c r="N441" s="68" t="s">
        <v>3578</v>
      </c>
      <c r="O441" s="68" t="s">
        <v>3579</v>
      </c>
      <c r="P441" s="68" t="s">
        <v>3986</v>
      </c>
    </row>
    <row r="442" spans="1:16" ht="82.05" customHeight="1" x14ac:dyDescent="0.3">
      <c r="A442" s="119" t="s">
        <v>1712</v>
      </c>
      <c r="B442" s="119" t="s">
        <v>68</v>
      </c>
      <c r="C442" s="119" t="s">
        <v>29</v>
      </c>
      <c r="D442" s="119" t="s">
        <v>289</v>
      </c>
      <c r="E442" s="120">
        <v>0</v>
      </c>
      <c r="F442" s="120">
        <v>0</v>
      </c>
      <c r="G442" s="120" t="s">
        <v>1586</v>
      </c>
      <c r="H442" s="120">
        <f t="shared" si="14"/>
        <v>0</v>
      </c>
      <c r="I442" s="120">
        <f>LUCK!H44</f>
        <v>0</v>
      </c>
      <c r="J442" s="120">
        <f t="shared" si="13"/>
        <v>0</v>
      </c>
      <c r="K442" s="119" t="s">
        <v>1598</v>
      </c>
      <c r="L442" s="119">
        <v>240</v>
      </c>
      <c r="M442" s="119" t="s">
        <v>1127</v>
      </c>
      <c r="N442" s="122" t="s">
        <v>3578</v>
      </c>
      <c r="O442" s="122" t="s">
        <v>3579</v>
      </c>
      <c r="P442" s="122" t="s">
        <v>3986</v>
      </c>
    </row>
    <row r="443" spans="1:16" ht="82.05" customHeight="1" x14ac:dyDescent="0.3">
      <c r="A443" s="50" t="s">
        <v>1713</v>
      </c>
      <c r="B443" s="50" t="s">
        <v>68</v>
      </c>
      <c r="C443" s="50" t="s">
        <v>965</v>
      </c>
      <c r="D443" s="50" t="s">
        <v>291</v>
      </c>
      <c r="E443" s="121">
        <v>59720</v>
      </c>
      <c r="F443" s="121">
        <v>59720</v>
      </c>
      <c r="G443" s="121" t="s">
        <v>1586</v>
      </c>
      <c r="H443" s="121">
        <f t="shared" si="14"/>
        <v>59.72</v>
      </c>
      <c r="I443" s="121">
        <f>LUCK!C45</f>
        <v>59.72</v>
      </c>
      <c r="J443" s="121">
        <f t="shared" si="13"/>
        <v>0</v>
      </c>
      <c r="K443" s="50" t="s">
        <v>1584</v>
      </c>
      <c r="L443" s="50">
        <v>191</v>
      </c>
      <c r="M443" s="50" t="s">
        <v>1106</v>
      </c>
      <c r="N443" s="68" t="s">
        <v>3564</v>
      </c>
      <c r="O443" s="68" t="s">
        <v>3565</v>
      </c>
      <c r="P443" s="68" t="s">
        <v>3987</v>
      </c>
    </row>
    <row r="444" spans="1:16" ht="82.05" customHeight="1" x14ac:dyDescent="0.3">
      <c r="A444" s="119" t="s">
        <v>1715</v>
      </c>
      <c r="B444" s="119" t="s">
        <v>68</v>
      </c>
      <c r="C444" s="119" t="s">
        <v>20</v>
      </c>
      <c r="D444" s="119" t="s">
        <v>291</v>
      </c>
      <c r="E444" s="120">
        <v>1107940</v>
      </c>
      <c r="F444" s="120">
        <v>1107940</v>
      </c>
      <c r="G444" s="120" t="s">
        <v>1586</v>
      </c>
      <c r="H444" s="120">
        <f t="shared" si="14"/>
        <v>1107.94</v>
      </c>
      <c r="I444" s="120">
        <f>LUCK!D45</f>
        <v>1107.94</v>
      </c>
      <c r="J444" s="120">
        <f t="shared" si="13"/>
        <v>0</v>
      </c>
      <c r="K444" s="119" t="s">
        <v>1589</v>
      </c>
      <c r="L444" s="119">
        <v>226</v>
      </c>
      <c r="M444" s="119" t="s">
        <v>1106</v>
      </c>
      <c r="N444" s="122" t="s">
        <v>3564</v>
      </c>
      <c r="O444" s="122" t="s">
        <v>3565</v>
      </c>
      <c r="P444" s="122" t="s">
        <v>3988</v>
      </c>
    </row>
    <row r="445" spans="1:16" ht="82.05" customHeight="1" x14ac:dyDescent="0.3">
      <c r="A445" s="50" t="s">
        <v>1716</v>
      </c>
      <c r="B445" s="50" t="s">
        <v>68</v>
      </c>
      <c r="C445" s="50" t="s">
        <v>26</v>
      </c>
      <c r="D445" s="50" t="s">
        <v>291</v>
      </c>
      <c r="E445" s="121">
        <v>2164455</v>
      </c>
      <c r="F445" s="121">
        <v>2164455</v>
      </c>
      <c r="G445" s="121" t="s">
        <v>1586</v>
      </c>
      <c r="H445" s="121">
        <f t="shared" si="14"/>
        <v>2164.4549999999999</v>
      </c>
      <c r="I445" s="121">
        <f>LUCK!E45</f>
        <v>2164.4549999999999</v>
      </c>
      <c r="J445" s="121">
        <f t="shared" si="13"/>
        <v>0</v>
      </c>
      <c r="K445" s="50" t="s">
        <v>1592</v>
      </c>
      <c r="L445" s="50">
        <v>234</v>
      </c>
      <c r="M445" s="50" t="s">
        <v>1106</v>
      </c>
      <c r="N445" s="68" t="s">
        <v>3564</v>
      </c>
      <c r="O445" s="68" t="s">
        <v>3565</v>
      </c>
      <c r="P445" s="68" t="s">
        <v>3989</v>
      </c>
    </row>
    <row r="446" spans="1:16" ht="82.05" customHeight="1" x14ac:dyDescent="0.3">
      <c r="A446" s="119" t="s">
        <v>1717</v>
      </c>
      <c r="B446" s="119" t="s">
        <v>68</v>
      </c>
      <c r="C446" s="119" t="s">
        <v>27</v>
      </c>
      <c r="D446" s="119" t="s">
        <v>291</v>
      </c>
      <c r="E446" s="120">
        <v>2121307</v>
      </c>
      <c r="F446" s="120">
        <v>2121307</v>
      </c>
      <c r="G446" s="120" t="s">
        <v>1586</v>
      </c>
      <c r="H446" s="120">
        <f t="shared" si="14"/>
        <v>2121.3069999999998</v>
      </c>
      <c r="I446" s="120">
        <f>LUCK!F45</f>
        <v>2121.3069999999998</v>
      </c>
      <c r="J446" s="120">
        <f t="shared" si="13"/>
        <v>0</v>
      </c>
      <c r="K446" s="119" t="s">
        <v>1595</v>
      </c>
      <c r="L446" s="119">
        <v>238</v>
      </c>
      <c r="M446" s="119" t="s">
        <v>1106</v>
      </c>
      <c r="N446" s="122" t="s">
        <v>3564</v>
      </c>
      <c r="O446" s="122" t="s">
        <v>3565</v>
      </c>
      <c r="P446" s="122" t="s">
        <v>3990</v>
      </c>
    </row>
    <row r="447" spans="1:16" ht="82.05" customHeight="1" x14ac:dyDescent="0.3">
      <c r="A447" s="50" t="s">
        <v>1718</v>
      </c>
      <c r="B447" s="50" t="s">
        <v>68</v>
      </c>
      <c r="C447" s="50" t="s">
        <v>28</v>
      </c>
      <c r="D447" s="50" t="s">
        <v>291</v>
      </c>
      <c r="E447" s="121">
        <v>1766055</v>
      </c>
      <c r="F447" s="121">
        <v>1766055</v>
      </c>
      <c r="G447" s="121" t="s">
        <v>1586</v>
      </c>
      <c r="H447" s="121">
        <f t="shared" si="14"/>
        <v>1766.0550000000001</v>
      </c>
      <c r="I447" s="121">
        <f>LUCK!G45</f>
        <v>1766.0550000000001</v>
      </c>
      <c r="J447" s="121">
        <f t="shared" si="13"/>
        <v>0</v>
      </c>
      <c r="K447" s="50" t="s">
        <v>1598</v>
      </c>
      <c r="L447" s="50">
        <v>240</v>
      </c>
      <c r="M447" s="50" t="s">
        <v>1106</v>
      </c>
      <c r="N447" s="68" t="s">
        <v>3564</v>
      </c>
      <c r="O447" s="68" t="s">
        <v>3565</v>
      </c>
      <c r="P447" s="68" t="s">
        <v>3991</v>
      </c>
    </row>
    <row r="448" spans="1:16" ht="82.05" customHeight="1" x14ac:dyDescent="0.3">
      <c r="A448" s="119" t="s">
        <v>1719</v>
      </c>
      <c r="B448" s="119" t="s">
        <v>68</v>
      </c>
      <c r="C448" s="119" t="s">
        <v>29</v>
      </c>
      <c r="D448" s="119" t="s">
        <v>291</v>
      </c>
      <c r="E448" s="120">
        <v>1382651</v>
      </c>
      <c r="F448" s="120">
        <v>1382651</v>
      </c>
      <c r="G448" s="120" t="s">
        <v>1586</v>
      </c>
      <c r="H448" s="120">
        <f t="shared" si="14"/>
        <v>1382.6510000000001</v>
      </c>
      <c r="I448" s="120">
        <f>LUCK!H45</f>
        <v>1382.6510000000001</v>
      </c>
      <c r="J448" s="120">
        <f t="shared" si="13"/>
        <v>0</v>
      </c>
      <c r="K448" s="119" t="s">
        <v>1598</v>
      </c>
      <c r="L448" s="119">
        <v>240</v>
      </c>
      <c r="M448" s="119" t="s">
        <v>1127</v>
      </c>
      <c r="N448" s="122" t="s">
        <v>3564</v>
      </c>
      <c r="O448" s="122" t="s">
        <v>3565</v>
      </c>
      <c r="P448" s="122" t="s">
        <v>3992</v>
      </c>
    </row>
    <row r="449" spans="1:16" ht="82.05" customHeight="1" x14ac:dyDescent="0.3">
      <c r="A449" s="50" t="s">
        <v>1720</v>
      </c>
      <c r="B449" s="50" t="s">
        <v>68</v>
      </c>
      <c r="C449" s="50" t="s">
        <v>965</v>
      </c>
      <c r="D449" s="50" t="s">
        <v>293</v>
      </c>
      <c r="E449" s="121">
        <v>5167161</v>
      </c>
      <c r="F449" s="121">
        <v>5167161</v>
      </c>
      <c r="G449" s="121" t="s">
        <v>1586</v>
      </c>
      <c r="H449" s="121">
        <f t="shared" si="14"/>
        <v>5167.1610000000001</v>
      </c>
      <c r="I449" s="121">
        <f>LUCK!C46</f>
        <v>5167.1610000000001</v>
      </c>
      <c r="J449" s="121">
        <f t="shared" ref="J449:J512" si="15">H449-I449</f>
        <v>0</v>
      </c>
      <c r="K449" s="50" t="s">
        <v>1584</v>
      </c>
      <c r="L449" s="50">
        <v>191</v>
      </c>
      <c r="M449" s="50" t="s">
        <v>1106</v>
      </c>
      <c r="N449" s="68" t="s">
        <v>3564</v>
      </c>
      <c r="O449" s="68" t="s">
        <v>3565</v>
      </c>
      <c r="P449" s="68" t="s">
        <v>3993</v>
      </c>
    </row>
    <row r="450" spans="1:16" ht="82.05" customHeight="1" x14ac:dyDescent="0.3">
      <c r="A450" s="119" t="s">
        <v>1722</v>
      </c>
      <c r="B450" s="119" t="s">
        <v>68</v>
      </c>
      <c r="C450" s="119" t="s">
        <v>20</v>
      </c>
      <c r="D450" s="119" t="s">
        <v>293</v>
      </c>
      <c r="E450" s="120">
        <v>6157224</v>
      </c>
      <c r="F450" s="120">
        <v>6157224</v>
      </c>
      <c r="G450" s="120" t="s">
        <v>1586</v>
      </c>
      <c r="H450" s="120">
        <f t="shared" si="14"/>
        <v>6157.2240000000002</v>
      </c>
      <c r="I450" s="120">
        <f>LUCK!D46</f>
        <v>6157.2240000000002</v>
      </c>
      <c r="J450" s="120">
        <f t="shared" si="15"/>
        <v>0</v>
      </c>
      <c r="K450" s="119" t="s">
        <v>1589</v>
      </c>
      <c r="L450" s="119">
        <v>226</v>
      </c>
      <c r="M450" s="119" t="s">
        <v>1106</v>
      </c>
      <c r="N450" s="122" t="s">
        <v>3564</v>
      </c>
      <c r="O450" s="122" t="s">
        <v>3565</v>
      </c>
      <c r="P450" s="122" t="s">
        <v>3994</v>
      </c>
    </row>
    <row r="451" spans="1:16" ht="82.05" customHeight="1" x14ac:dyDescent="0.3">
      <c r="A451" s="50" t="s">
        <v>1723</v>
      </c>
      <c r="B451" s="50" t="s">
        <v>68</v>
      </c>
      <c r="C451" s="50" t="s">
        <v>26</v>
      </c>
      <c r="D451" s="50" t="s">
        <v>293</v>
      </c>
      <c r="E451" s="121">
        <v>6941172</v>
      </c>
      <c r="F451" s="121">
        <v>6941172</v>
      </c>
      <c r="G451" s="121" t="s">
        <v>1586</v>
      </c>
      <c r="H451" s="121">
        <f t="shared" si="14"/>
        <v>6941.1719999999996</v>
      </c>
      <c r="I451" s="121">
        <f>LUCK!E46</f>
        <v>6941.1719999999996</v>
      </c>
      <c r="J451" s="121">
        <f t="shared" si="15"/>
        <v>0</v>
      </c>
      <c r="K451" s="50" t="s">
        <v>1592</v>
      </c>
      <c r="L451" s="50">
        <v>234</v>
      </c>
      <c r="M451" s="50" t="s">
        <v>1106</v>
      </c>
      <c r="N451" s="68" t="s">
        <v>3564</v>
      </c>
      <c r="O451" s="68" t="s">
        <v>3565</v>
      </c>
      <c r="P451" s="68" t="s">
        <v>3995</v>
      </c>
    </row>
    <row r="452" spans="1:16" ht="82.05" customHeight="1" x14ac:dyDescent="0.3">
      <c r="A452" s="119" t="s">
        <v>1724</v>
      </c>
      <c r="B452" s="119" t="s">
        <v>68</v>
      </c>
      <c r="C452" s="119" t="s">
        <v>27</v>
      </c>
      <c r="D452" s="119" t="s">
        <v>293</v>
      </c>
      <c r="E452" s="120">
        <v>10025499</v>
      </c>
      <c r="F452" s="120">
        <v>10025499</v>
      </c>
      <c r="G452" s="120" t="s">
        <v>1586</v>
      </c>
      <c r="H452" s="120">
        <f t="shared" si="14"/>
        <v>10025.499</v>
      </c>
      <c r="I452" s="120">
        <f>LUCK!F46</f>
        <v>10025.499</v>
      </c>
      <c r="J452" s="120">
        <f t="shared" si="15"/>
        <v>0</v>
      </c>
      <c r="K452" s="119" t="s">
        <v>1595</v>
      </c>
      <c r="L452" s="119">
        <v>238</v>
      </c>
      <c r="M452" s="119" t="s">
        <v>1106</v>
      </c>
      <c r="N452" s="122" t="s">
        <v>3564</v>
      </c>
      <c r="O452" s="122" t="s">
        <v>3565</v>
      </c>
      <c r="P452" s="122" t="s">
        <v>3996</v>
      </c>
    </row>
    <row r="453" spans="1:16" ht="82.05" customHeight="1" x14ac:dyDescent="0.3">
      <c r="A453" s="50" t="s">
        <v>1725</v>
      </c>
      <c r="B453" s="50" t="s">
        <v>68</v>
      </c>
      <c r="C453" s="50" t="s">
        <v>28</v>
      </c>
      <c r="D453" s="50" t="s">
        <v>293</v>
      </c>
      <c r="E453" s="121">
        <v>0</v>
      </c>
      <c r="F453" s="121">
        <v>0</v>
      </c>
      <c r="G453" s="121" t="s">
        <v>1586</v>
      </c>
      <c r="H453" s="121">
        <f t="shared" si="14"/>
        <v>0</v>
      </c>
      <c r="I453" s="121">
        <f>LUCK!G46</f>
        <v>0</v>
      </c>
      <c r="J453" s="121">
        <f t="shared" si="15"/>
        <v>0</v>
      </c>
      <c r="K453" s="50" t="s">
        <v>1598</v>
      </c>
      <c r="L453" s="50">
        <v>240</v>
      </c>
      <c r="M453" s="50" t="s">
        <v>1106</v>
      </c>
      <c r="N453" s="68" t="s">
        <v>3578</v>
      </c>
      <c r="O453" s="68" t="s">
        <v>3579</v>
      </c>
      <c r="P453" s="68" t="s">
        <v>3997</v>
      </c>
    </row>
    <row r="454" spans="1:16" ht="82.05" customHeight="1" x14ac:dyDescent="0.3">
      <c r="A454" s="119" t="s">
        <v>1726</v>
      </c>
      <c r="B454" s="119" t="s">
        <v>68</v>
      </c>
      <c r="C454" s="119" t="s">
        <v>29</v>
      </c>
      <c r="D454" s="119" t="s">
        <v>293</v>
      </c>
      <c r="E454" s="120">
        <v>0</v>
      </c>
      <c r="F454" s="120">
        <v>0</v>
      </c>
      <c r="G454" s="120" t="s">
        <v>1586</v>
      </c>
      <c r="H454" s="120">
        <f t="shared" si="14"/>
        <v>0</v>
      </c>
      <c r="I454" s="120">
        <f>LUCK!H46</f>
        <v>0</v>
      </c>
      <c r="J454" s="120">
        <f t="shared" si="15"/>
        <v>0</v>
      </c>
      <c r="K454" s="119" t="s">
        <v>1598</v>
      </c>
      <c r="L454" s="119">
        <v>240</v>
      </c>
      <c r="M454" s="119" t="s">
        <v>1127</v>
      </c>
      <c r="N454" s="122" t="s">
        <v>3578</v>
      </c>
      <c r="O454" s="122" t="s">
        <v>3579</v>
      </c>
      <c r="P454" s="122" t="s">
        <v>3997</v>
      </c>
    </row>
    <row r="455" spans="1:16" ht="82.05" customHeight="1" x14ac:dyDescent="0.3">
      <c r="A455" s="50" t="s">
        <v>1727</v>
      </c>
      <c r="B455" s="50" t="s">
        <v>68</v>
      </c>
      <c r="C455" s="50" t="s">
        <v>965</v>
      </c>
      <c r="D455" s="50" t="s">
        <v>295</v>
      </c>
      <c r="E455" s="121">
        <v>2181919</v>
      </c>
      <c r="F455" s="121">
        <v>2181519</v>
      </c>
      <c r="G455" s="121" t="s">
        <v>1586</v>
      </c>
      <c r="H455" s="121">
        <f t="shared" si="14"/>
        <v>2181.5189999999998</v>
      </c>
      <c r="I455" s="121">
        <f>LUCK!C47</f>
        <v>2181.5189999999998</v>
      </c>
      <c r="J455" s="121">
        <f t="shared" si="15"/>
        <v>0</v>
      </c>
      <c r="K455" s="50" t="s">
        <v>1584</v>
      </c>
      <c r="L455" s="50">
        <v>191</v>
      </c>
      <c r="M455" s="50" t="s">
        <v>1106</v>
      </c>
      <c r="N455" s="68" t="s">
        <v>3998</v>
      </c>
      <c r="O455" s="68" t="s">
        <v>3999</v>
      </c>
      <c r="P455" s="68" t="s">
        <v>4000</v>
      </c>
    </row>
    <row r="456" spans="1:16" ht="82.05" customHeight="1" x14ac:dyDescent="0.3">
      <c r="A456" s="119" t="s">
        <v>1730</v>
      </c>
      <c r="B456" s="119" t="s">
        <v>68</v>
      </c>
      <c r="C456" s="119" t="s">
        <v>20</v>
      </c>
      <c r="D456" s="119" t="s">
        <v>295</v>
      </c>
      <c r="E456" s="120">
        <v>2581530</v>
      </c>
      <c r="F456" s="120">
        <v>2581530</v>
      </c>
      <c r="G456" s="120" t="s">
        <v>1586</v>
      </c>
      <c r="H456" s="120">
        <f t="shared" si="14"/>
        <v>2581.5300000000002</v>
      </c>
      <c r="I456" s="120">
        <f>LUCK!D47</f>
        <v>2581.5300000000002</v>
      </c>
      <c r="J456" s="120">
        <f t="shared" si="15"/>
        <v>0</v>
      </c>
      <c r="K456" s="119" t="s">
        <v>1589</v>
      </c>
      <c r="L456" s="119">
        <v>226</v>
      </c>
      <c r="M456" s="119" t="s">
        <v>1106</v>
      </c>
      <c r="N456" s="122" t="s">
        <v>3602</v>
      </c>
      <c r="O456" s="122" t="s">
        <v>3603</v>
      </c>
      <c r="P456" s="122" t="s">
        <v>4001</v>
      </c>
    </row>
    <row r="457" spans="1:16" ht="82.05" customHeight="1" x14ac:dyDescent="0.3">
      <c r="A457" s="50" t="s">
        <v>1732</v>
      </c>
      <c r="B457" s="50" t="s">
        <v>68</v>
      </c>
      <c r="C457" s="50" t="s">
        <v>26</v>
      </c>
      <c r="D457" s="50" t="s">
        <v>295</v>
      </c>
      <c r="E457" s="121">
        <v>2846613</v>
      </c>
      <c r="F457" s="121">
        <v>2846613</v>
      </c>
      <c r="G457" s="121" t="s">
        <v>1586</v>
      </c>
      <c r="H457" s="121">
        <f t="shared" si="14"/>
        <v>2846.6129999999998</v>
      </c>
      <c r="I457" s="121">
        <f>LUCK!E47</f>
        <v>2846.6129999999998</v>
      </c>
      <c r="J457" s="121">
        <f t="shared" si="15"/>
        <v>0</v>
      </c>
      <c r="K457" s="50" t="s">
        <v>1592</v>
      </c>
      <c r="L457" s="50">
        <v>234</v>
      </c>
      <c r="M457" s="50" t="s">
        <v>1106</v>
      </c>
      <c r="N457" s="68" t="s">
        <v>3602</v>
      </c>
      <c r="O457" s="68" t="s">
        <v>3603</v>
      </c>
      <c r="P457" s="68" t="s">
        <v>4002</v>
      </c>
    </row>
    <row r="458" spans="1:16" ht="82.05" customHeight="1" x14ac:dyDescent="0.3">
      <c r="A458" s="119" t="s">
        <v>1733</v>
      </c>
      <c r="B458" s="119" t="s">
        <v>68</v>
      </c>
      <c r="C458" s="119" t="s">
        <v>27</v>
      </c>
      <c r="D458" s="119" t="s">
        <v>295</v>
      </c>
      <c r="E458" s="120">
        <v>2827762</v>
      </c>
      <c r="F458" s="120">
        <v>2827762</v>
      </c>
      <c r="G458" s="120" t="s">
        <v>1586</v>
      </c>
      <c r="H458" s="120">
        <f t="shared" si="14"/>
        <v>2827.7620000000002</v>
      </c>
      <c r="I458" s="120">
        <f>LUCK!F47</f>
        <v>2827.7620000000002</v>
      </c>
      <c r="J458" s="120">
        <f t="shared" si="15"/>
        <v>0</v>
      </c>
      <c r="K458" s="119" t="s">
        <v>1595</v>
      </c>
      <c r="L458" s="119">
        <v>238</v>
      </c>
      <c r="M458" s="119" t="s">
        <v>1106</v>
      </c>
      <c r="N458" s="122" t="s">
        <v>3602</v>
      </c>
      <c r="O458" s="122" t="s">
        <v>3603</v>
      </c>
      <c r="P458" s="122" t="s">
        <v>4003</v>
      </c>
    </row>
    <row r="459" spans="1:16" ht="82.05" customHeight="1" x14ac:dyDescent="0.3">
      <c r="A459" s="50" t="s">
        <v>1735</v>
      </c>
      <c r="B459" s="50" t="s">
        <v>68</v>
      </c>
      <c r="C459" s="50" t="s">
        <v>28</v>
      </c>
      <c r="D459" s="50" t="s">
        <v>295</v>
      </c>
      <c r="E459" s="121">
        <v>17541648</v>
      </c>
      <c r="F459" s="121">
        <v>17541648</v>
      </c>
      <c r="G459" s="121" t="s">
        <v>1586</v>
      </c>
      <c r="H459" s="121">
        <f t="shared" si="14"/>
        <v>17541.648000000001</v>
      </c>
      <c r="I459" s="121">
        <f>LUCK!G47</f>
        <v>17541.648000000001</v>
      </c>
      <c r="J459" s="121">
        <f t="shared" si="15"/>
        <v>0</v>
      </c>
      <c r="K459" s="50" t="s">
        <v>1598</v>
      </c>
      <c r="L459" s="50">
        <v>240</v>
      </c>
      <c r="M459" s="50" t="s">
        <v>1106</v>
      </c>
      <c r="N459" s="68" t="s">
        <v>3602</v>
      </c>
      <c r="O459" s="68" t="s">
        <v>3603</v>
      </c>
      <c r="P459" s="68" t="s">
        <v>4004</v>
      </c>
    </row>
    <row r="460" spans="1:16" ht="82.05" customHeight="1" x14ac:dyDescent="0.3">
      <c r="A460" s="119" t="s">
        <v>1737</v>
      </c>
      <c r="B460" s="119" t="s">
        <v>68</v>
      </c>
      <c r="C460" s="119" t="s">
        <v>29</v>
      </c>
      <c r="D460" s="119" t="s">
        <v>295</v>
      </c>
      <c r="E460" s="120">
        <v>21629074</v>
      </c>
      <c r="F460" s="120">
        <v>21629074</v>
      </c>
      <c r="G460" s="120" t="s">
        <v>1586</v>
      </c>
      <c r="H460" s="120">
        <f t="shared" si="14"/>
        <v>21629.074000000001</v>
      </c>
      <c r="I460" s="120">
        <f>LUCK!H47</f>
        <v>21629.074000000001</v>
      </c>
      <c r="J460" s="120">
        <f t="shared" si="15"/>
        <v>0</v>
      </c>
      <c r="K460" s="119" t="s">
        <v>1598</v>
      </c>
      <c r="L460" s="119">
        <v>240</v>
      </c>
      <c r="M460" s="119" t="s">
        <v>1127</v>
      </c>
      <c r="N460" s="122" t="s">
        <v>3602</v>
      </c>
      <c r="O460" s="122" t="s">
        <v>3603</v>
      </c>
      <c r="P460" s="122" t="s">
        <v>4004</v>
      </c>
    </row>
    <row r="461" spans="1:16" ht="82.05" customHeight="1" x14ac:dyDescent="0.3">
      <c r="A461" s="50" t="s">
        <v>1738</v>
      </c>
      <c r="B461" s="50" t="s">
        <v>68</v>
      </c>
      <c r="C461" s="50" t="s">
        <v>965</v>
      </c>
      <c r="D461" s="50" t="s">
        <v>300</v>
      </c>
      <c r="E461" s="121">
        <v>19354794</v>
      </c>
      <c r="F461" s="121">
        <v>19354794</v>
      </c>
      <c r="G461" s="121" t="s">
        <v>1586</v>
      </c>
      <c r="H461" s="121">
        <f t="shared" si="14"/>
        <v>19354.794000000002</v>
      </c>
      <c r="I461" s="121">
        <f>LUCK!C50</f>
        <v>19354.794000000002</v>
      </c>
      <c r="J461" s="121">
        <f t="shared" si="15"/>
        <v>0</v>
      </c>
      <c r="K461" s="50" t="s">
        <v>1584</v>
      </c>
      <c r="L461" s="50">
        <v>191</v>
      </c>
      <c r="M461" s="50" t="s">
        <v>1106</v>
      </c>
      <c r="N461" s="68" t="s">
        <v>3564</v>
      </c>
      <c r="O461" s="68" t="s">
        <v>3565</v>
      </c>
      <c r="P461" s="68" t="s">
        <v>4005</v>
      </c>
    </row>
    <row r="462" spans="1:16" ht="82.05" customHeight="1" x14ac:dyDescent="0.3">
      <c r="A462" s="119" t="s">
        <v>1739</v>
      </c>
      <c r="B462" s="119" t="s">
        <v>68</v>
      </c>
      <c r="C462" s="119" t="s">
        <v>20</v>
      </c>
      <c r="D462" s="119" t="s">
        <v>300</v>
      </c>
      <c r="E462" s="120">
        <v>20789760</v>
      </c>
      <c r="F462" s="120">
        <v>20789760</v>
      </c>
      <c r="G462" s="120" t="s">
        <v>1586</v>
      </c>
      <c r="H462" s="120">
        <f t="shared" si="14"/>
        <v>20789.759999999998</v>
      </c>
      <c r="I462" s="120">
        <f>LUCK!D50</f>
        <v>20789.759999999998</v>
      </c>
      <c r="J462" s="120">
        <f t="shared" si="15"/>
        <v>0</v>
      </c>
      <c r="K462" s="119" t="s">
        <v>1589</v>
      </c>
      <c r="L462" s="119">
        <v>226</v>
      </c>
      <c r="M462" s="119" t="s">
        <v>1106</v>
      </c>
      <c r="N462" s="122" t="s">
        <v>3564</v>
      </c>
      <c r="O462" s="122" t="s">
        <v>3565</v>
      </c>
      <c r="P462" s="122" t="s">
        <v>4006</v>
      </c>
    </row>
    <row r="463" spans="1:16" ht="82.05" customHeight="1" x14ac:dyDescent="0.3">
      <c r="A463" s="50" t="s">
        <v>1740</v>
      </c>
      <c r="B463" s="50" t="s">
        <v>68</v>
      </c>
      <c r="C463" s="50" t="s">
        <v>26</v>
      </c>
      <c r="D463" s="50" t="s">
        <v>300</v>
      </c>
      <c r="E463" s="121">
        <v>23191483</v>
      </c>
      <c r="F463" s="121">
        <v>23191483</v>
      </c>
      <c r="G463" s="121" t="s">
        <v>1586</v>
      </c>
      <c r="H463" s="121">
        <f t="shared" si="14"/>
        <v>23191.483</v>
      </c>
      <c r="I463" s="121">
        <f>LUCK!E50</f>
        <v>23191.483</v>
      </c>
      <c r="J463" s="121">
        <f t="shared" si="15"/>
        <v>0</v>
      </c>
      <c r="K463" s="50" t="s">
        <v>1592</v>
      </c>
      <c r="L463" s="50">
        <v>234</v>
      </c>
      <c r="M463" s="50" t="s">
        <v>1106</v>
      </c>
      <c r="N463" s="68" t="s">
        <v>3564</v>
      </c>
      <c r="O463" s="68" t="s">
        <v>3565</v>
      </c>
      <c r="P463" s="68" t="s">
        <v>4007</v>
      </c>
    </row>
    <row r="464" spans="1:16" ht="82.05" customHeight="1" x14ac:dyDescent="0.3">
      <c r="A464" s="119" t="s">
        <v>1741</v>
      </c>
      <c r="B464" s="119" t="s">
        <v>68</v>
      </c>
      <c r="C464" s="119" t="s">
        <v>27</v>
      </c>
      <c r="D464" s="119" t="s">
        <v>300</v>
      </c>
      <c r="E464" s="120">
        <v>29918702</v>
      </c>
      <c r="F464" s="120">
        <v>29918702</v>
      </c>
      <c r="G464" s="120" t="s">
        <v>1586</v>
      </c>
      <c r="H464" s="120">
        <f t="shared" si="14"/>
        <v>29918.702000000001</v>
      </c>
      <c r="I464" s="120">
        <f>LUCK!F50</f>
        <v>29918.702000000001</v>
      </c>
      <c r="J464" s="120">
        <f t="shared" si="15"/>
        <v>0</v>
      </c>
      <c r="K464" s="119" t="s">
        <v>1595</v>
      </c>
      <c r="L464" s="119">
        <v>238</v>
      </c>
      <c r="M464" s="119" t="s">
        <v>1106</v>
      </c>
      <c r="N464" s="122" t="s">
        <v>3564</v>
      </c>
      <c r="O464" s="122" t="s">
        <v>3565</v>
      </c>
      <c r="P464" s="122" t="s">
        <v>4008</v>
      </c>
    </row>
    <row r="465" spans="1:16" ht="82.05" customHeight="1" x14ac:dyDescent="0.3">
      <c r="A465" s="50" t="s">
        <v>1742</v>
      </c>
      <c r="B465" s="50" t="s">
        <v>68</v>
      </c>
      <c r="C465" s="50" t="s">
        <v>28</v>
      </c>
      <c r="D465" s="50" t="s">
        <v>300</v>
      </c>
      <c r="E465" s="121">
        <v>30006625</v>
      </c>
      <c r="F465" s="121">
        <v>30006625</v>
      </c>
      <c r="G465" s="121" t="s">
        <v>1586</v>
      </c>
      <c r="H465" s="121">
        <f t="shared" si="14"/>
        <v>30006.625</v>
      </c>
      <c r="I465" s="121">
        <f>LUCK!G50</f>
        <v>30006.625</v>
      </c>
      <c r="J465" s="121">
        <f t="shared" si="15"/>
        <v>0</v>
      </c>
      <c r="K465" s="50" t="s">
        <v>1598</v>
      </c>
      <c r="L465" s="50">
        <v>240</v>
      </c>
      <c r="M465" s="50" t="s">
        <v>1106</v>
      </c>
      <c r="N465" s="68" t="s">
        <v>3564</v>
      </c>
      <c r="O465" s="68" t="s">
        <v>3565</v>
      </c>
      <c r="P465" s="68" t="s">
        <v>4009</v>
      </c>
    </row>
    <row r="466" spans="1:16" ht="82.05" customHeight="1" x14ac:dyDescent="0.3">
      <c r="A466" s="119" t="s">
        <v>1743</v>
      </c>
      <c r="B466" s="119" t="s">
        <v>68</v>
      </c>
      <c r="C466" s="119" t="s">
        <v>29</v>
      </c>
      <c r="D466" s="119" t="s">
        <v>300</v>
      </c>
      <c r="E466" s="120">
        <v>27300919</v>
      </c>
      <c r="F466" s="120">
        <v>27300919</v>
      </c>
      <c r="G466" s="120" t="s">
        <v>1586</v>
      </c>
      <c r="H466" s="120">
        <f t="shared" si="14"/>
        <v>27300.919000000002</v>
      </c>
      <c r="I466" s="120">
        <f>LUCK!H50</f>
        <v>27300.919000000002</v>
      </c>
      <c r="J466" s="120">
        <f t="shared" si="15"/>
        <v>0</v>
      </c>
      <c r="K466" s="119" t="s">
        <v>1598</v>
      </c>
      <c r="L466" s="119">
        <v>240</v>
      </c>
      <c r="M466" s="119" t="s">
        <v>1127</v>
      </c>
      <c r="N466" s="122" t="s">
        <v>3564</v>
      </c>
      <c r="O466" s="122" t="s">
        <v>3565</v>
      </c>
      <c r="P466" s="122" t="s">
        <v>4010</v>
      </c>
    </row>
    <row r="467" spans="1:16" ht="82.05" customHeight="1" x14ac:dyDescent="0.3">
      <c r="A467" s="50" t="s">
        <v>1744</v>
      </c>
      <c r="B467" s="50" t="s">
        <v>68</v>
      </c>
      <c r="C467" s="50" t="s">
        <v>965</v>
      </c>
      <c r="D467" s="50" t="s">
        <v>1284</v>
      </c>
      <c r="E467" s="121">
        <v>2599290</v>
      </c>
      <c r="F467" s="121">
        <v>2599290</v>
      </c>
      <c r="G467" s="121" t="s">
        <v>1586</v>
      </c>
      <c r="H467" s="121">
        <f t="shared" si="14"/>
        <v>2599.29</v>
      </c>
      <c r="I467" s="121">
        <f>LUCK!C51</f>
        <v>2599.29</v>
      </c>
      <c r="J467" s="121">
        <f t="shared" si="15"/>
        <v>0</v>
      </c>
      <c r="K467" s="50" t="s">
        <v>1584</v>
      </c>
      <c r="L467" s="50">
        <v>216</v>
      </c>
      <c r="M467" s="50" t="s">
        <v>1106</v>
      </c>
      <c r="N467" s="68" t="s">
        <v>3564</v>
      </c>
      <c r="O467" s="68" t="s">
        <v>3565</v>
      </c>
      <c r="P467" s="68" t="s">
        <v>4011</v>
      </c>
    </row>
    <row r="468" spans="1:16" ht="82.05" customHeight="1" x14ac:dyDescent="0.3">
      <c r="A468" s="119" t="s">
        <v>1746</v>
      </c>
      <c r="B468" s="119" t="s">
        <v>68</v>
      </c>
      <c r="C468" s="119" t="s">
        <v>20</v>
      </c>
      <c r="D468" s="119" t="s">
        <v>1284</v>
      </c>
      <c r="E468" s="120">
        <v>2882434</v>
      </c>
      <c r="F468" s="120">
        <v>2882434</v>
      </c>
      <c r="G468" s="120" t="s">
        <v>1586</v>
      </c>
      <c r="H468" s="120">
        <f t="shared" si="14"/>
        <v>2882.4340000000002</v>
      </c>
      <c r="I468" s="120">
        <f>LUCK!D51</f>
        <v>2882.4340000000002</v>
      </c>
      <c r="J468" s="120">
        <f t="shared" si="15"/>
        <v>0</v>
      </c>
      <c r="K468" s="119" t="s">
        <v>1589</v>
      </c>
      <c r="L468" s="119">
        <v>252</v>
      </c>
      <c r="M468" s="119" t="s">
        <v>1106</v>
      </c>
      <c r="N468" s="122" t="s">
        <v>3564</v>
      </c>
      <c r="O468" s="122" t="s">
        <v>3565</v>
      </c>
      <c r="P468" s="122" t="s">
        <v>4012</v>
      </c>
    </row>
    <row r="469" spans="1:16" ht="82.05" customHeight="1" x14ac:dyDescent="0.3">
      <c r="A469" s="50" t="s">
        <v>1747</v>
      </c>
      <c r="B469" s="50" t="s">
        <v>68</v>
      </c>
      <c r="C469" s="50" t="s">
        <v>26</v>
      </c>
      <c r="D469" s="50" t="s">
        <v>1284</v>
      </c>
      <c r="E469" s="121">
        <v>3352998</v>
      </c>
      <c r="F469" s="121">
        <v>3352998</v>
      </c>
      <c r="G469" s="121" t="s">
        <v>1586</v>
      </c>
      <c r="H469" s="121">
        <f t="shared" ref="H469:H532" si="16">F469/1000</f>
        <v>3352.998</v>
      </c>
      <c r="I469" s="121">
        <f>LUCK!E51</f>
        <v>3352.998</v>
      </c>
      <c r="J469" s="121">
        <f t="shared" si="15"/>
        <v>0</v>
      </c>
      <c r="K469" s="50" t="s">
        <v>1592</v>
      </c>
      <c r="L469" s="50">
        <v>260</v>
      </c>
      <c r="M469" s="50" t="s">
        <v>1106</v>
      </c>
      <c r="N469" s="68" t="s">
        <v>3564</v>
      </c>
      <c r="O469" s="68" t="s">
        <v>3565</v>
      </c>
      <c r="P469" s="68" t="s">
        <v>4013</v>
      </c>
    </row>
    <row r="470" spans="1:16" ht="82.05" customHeight="1" x14ac:dyDescent="0.3">
      <c r="A470" s="119" t="s">
        <v>1749</v>
      </c>
      <c r="B470" s="119" t="s">
        <v>68</v>
      </c>
      <c r="C470" s="119" t="s">
        <v>27</v>
      </c>
      <c r="D470" s="119" t="s">
        <v>1284</v>
      </c>
      <c r="E470" s="120">
        <v>5030546</v>
      </c>
      <c r="F470" s="120">
        <v>5030546</v>
      </c>
      <c r="G470" s="120" t="s">
        <v>1586</v>
      </c>
      <c r="H470" s="120">
        <f t="shared" si="16"/>
        <v>5030.5460000000003</v>
      </c>
      <c r="I470" s="120">
        <f>LUCK!F51</f>
        <v>5030.5460000000003</v>
      </c>
      <c r="J470" s="120">
        <f t="shared" si="15"/>
        <v>0</v>
      </c>
      <c r="K470" s="119" t="s">
        <v>1595</v>
      </c>
      <c r="L470" s="119">
        <v>265</v>
      </c>
      <c r="M470" s="119" t="s">
        <v>1106</v>
      </c>
      <c r="N470" s="122" t="s">
        <v>3564</v>
      </c>
      <c r="O470" s="122" t="s">
        <v>3565</v>
      </c>
      <c r="P470" s="122" t="s">
        <v>4014</v>
      </c>
    </row>
    <row r="471" spans="1:16" ht="82.05" customHeight="1" x14ac:dyDescent="0.3">
      <c r="A471" s="50" t="s">
        <v>1751</v>
      </c>
      <c r="B471" s="50" t="s">
        <v>68</v>
      </c>
      <c r="C471" s="50" t="s">
        <v>28</v>
      </c>
      <c r="D471" s="50" t="s">
        <v>1284</v>
      </c>
      <c r="E471" s="121">
        <v>7172144</v>
      </c>
      <c r="F471" s="121">
        <v>7172144</v>
      </c>
      <c r="G471" s="121" t="s">
        <v>1586</v>
      </c>
      <c r="H471" s="121">
        <f t="shared" si="16"/>
        <v>7172.1440000000002</v>
      </c>
      <c r="I471" s="121">
        <f>LUCK!G51</f>
        <v>7172.1440000000002</v>
      </c>
      <c r="J471" s="121">
        <f t="shared" si="15"/>
        <v>0</v>
      </c>
      <c r="K471" s="50" t="s">
        <v>1598</v>
      </c>
      <c r="L471" s="50">
        <v>267</v>
      </c>
      <c r="M471" s="50" t="s">
        <v>1106</v>
      </c>
      <c r="N471" s="68" t="s">
        <v>3564</v>
      </c>
      <c r="O471" s="68" t="s">
        <v>3565</v>
      </c>
      <c r="P471" s="68" t="s">
        <v>4015</v>
      </c>
    </row>
    <row r="472" spans="1:16" ht="82.05" customHeight="1" x14ac:dyDescent="0.3">
      <c r="A472" s="119" t="s">
        <v>1752</v>
      </c>
      <c r="B472" s="119" t="s">
        <v>68</v>
      </c>
      <c r="C472" s="119" t="s">
        <v>29</v>
      </c>
      <c r="D472" s="119" t="s">
        <v>1284</v>
      </c>
      <c r="E472" s="120">
        <v>6426975</v>
      </c>
      <c r="F472" s="120">
        <v>6426975</v>
      </c>
      <c r="G472" s="120" t="s">
        <v>1586</v>
      </c>
      <c r="H472" s="120">
        <f t="shared" si="16"/>
        <v>6426.9750000000004</v>
      </c>
      <c r="I472" s="120">
        <f>LUCK!H51</f>
        <v>6426.9750000000004</v>
      </c>
      <c r="J472" s="120">
        <f t="shared" si="15"/>
        <v>0</v>
      </c>
      <c r="K472" s="119" t="s">
        <v>1598</v>
      </c>
      <c r="L472" s="119">
        <v>267</v>
      </c>
      <c r="M472" s="119" t="s">
        <v>1127</v>
      </c>
      <c r="N472" s="122" t="s">
        <v>3564</v>
      </c>
      <c r="O472" s="122" t="s">
        <v>3565</v>
      </c>
      <c r="P472" s="122" t="s">
        <v>4016</v>
      </c>
    </row>
    <row r="473" spans="1:16" ht="82.05" customHeight="1" x14ac:dyDescent="0.3">
      <c r="A473" s="50" t="s">
        <v>1753</v>
      </c>
      <c r="B473" s="50" t="s">
        <v>68</v>
      </c>
      <c r="C473" s="50" t="s">
        <v>965</v>
      </c>
      <c r="D473" s="50" t="s">
        <v>304</v>
      </c>
      <c r="E473" s="121">
        <v>0</v>
      </c>
      <c r="F473" s="121">
        <v>0</v>
      </c>
      <c r="G473" s="121" t="s">
        <v>1586</v>
      </c>
      <c r="H473" s="121">
        <f t="shared" si="16"/>
        <v>0</v>
      </c>
      <c r="I473" s="121">
        <f>LUCK!C52</f>
        <v>0</v>
      </c>
      <c r="J473" s="121">
        <f t="shared" si="15"/>
        <v>0</v>
      </c>
      <c r="K473" s="50" t="s">
        <v>1584</v>
      </c>
      <c r="L473" s="50">
        <v>191</v>
      </c>
      <c r="M473" s="50" t="s">
        <v>1106</v>
      </c>
      <c r="N473" s="68" t="s">
        <v>3578</v>
      </c>
      <c r="O473" s="68" t="s">
        <v>3579</v>
      </c>
      <c r="P473" s="68" t="s">
        <v>4017</v>
      </c>
    </row>
    <row r="474" spans="1:16" ht="82.05" customHeight="1" x14ac:dyDescent="0.3">
      <c r="A474" s="119" t="s">
        <v>1754</v>
      </c>
      <c r="B474" s="119" t="s">
        <v>68</v>
      </c>
      <c r="C474" s="119" t="s">
        <v>20</v>
      </c>
      <c r="D474" s="119" t="s">
        <v>304</v>
      </c>
      <c r="E474" s="120">
        <v>0</v>
      </c>
      <c r="F474" s="120">
        <v>0</v>
      </c>
      <c r="G474" s="120" t="s">
        <v>1586</v>
      </c>
      <c r="H474" s="120">
        <f t="shared" si="16"/>
        <v>0</v>
      </c>
      <c r="I474" s="120">
        <f>LUCK!D52</f>
        <v>0</v>
      </c>
      <c r="J474" s="120">
        <f t="shared" si="15"/>
        <v>0</v>
      </c>
      <c r="K474" s="119" t="s">
        <v>1589</v>
      </c>
      <c r="L474" s="119">
        <v>226</v>
      </c>
      <c r="M474" s="119" t="s">
        <v>1106</v>
      </c>
      <c r="N474" s="122" t="s">
        <v>3578</v>
      </c>
      <c r="O474" s="122" t="s">
        <v>3579</v>
      </c>
      <c r="P474" s="122" t="s">
        <v>4018</v>
      </c>
    </row>
    <row r="475" spans="1:16" ht="82.05" customHeight="1" x14ac:dyDescent="0.3">
      <c r="A475" s="50" t="s">
        <v>1755</v>
      </c>
      <c r="B475" s="50" t="s">
        <v>68</v>
      </c>
      <c r="C475" s="50" t="s">
        <v>26</v>
      </c>
      <c r="D475" s="50" t="s">
        <v>304</v>
      </c>
      <c r="E475" s="121">
        <v>0</v>
      </c>
      <c r="F475" s="121">
        <v>0</v>
      </c>
      <c r="G475" s="121" t="s">
        <v>1586</v>
      </c>
      <c r="H475" s="121">
        <f t="shared" si="16"/>
        <v>0</v>
      </c>
      <c r="I475" s="121">
        <f>LUCK!E52</f>
        <v>0</v>
      </c>
      <c r="J475" s="121">
        <f t="shared" si="15"/>
        <v>0</v>
      </c>
      <c r="K475" s="50" t="s">
        <v>1592</v>
      </c>
      <c r="L475" s="50">
        <v>234</v>
      </c>
      <c r="M475" s="50" t="s">
        <v>1106</v>
      </c>
      <c r="N475" s="68" t="s">
        <v>3578</v>
      </c>
      <c r="O475" s="68" t="s">
        <v>3579</v>
      </c>
      <c r="P475" s="68" t="s">
        <v>4019</v>
      </c>
    </row>
    <row r="476" spans="1:16" ht="82.05" customHeight="1" x14ac:dyDescent="0.3">
      <c r="A476" s="119" t="s">
        <v>1756</v>
      </c>
      <c r="B476" s="119" t="s">
        <v>68</v>
      </c>
      <c r="C476" s="119" t="s">
        <v>27</v>
      </c>
      <c r="D476" s="119" t="s">
        <v>304</v>
      </c>
      <c r="E476" s="120">
        <v>0</v>
      </c>
      <c r="F476" s="120">
        <v>0</v>
      </c>
      <c r="G476" s="120" t="s">
        <v>1586</v>
      </c>
      <c r="H476" s="120">
        <f t="shared" si="16"/>
        <v>0</v>
      </c>
      <c r="I476" s="120">
        <f>LUCK!F52</f>
        <v>0</v>
      </c>
      <c r="J476" s="120">
        <f t="shared" si="15"/>
        <v>0</v>
      </c>
      <c r="K476" s="119" t="s">
        <v>1595</v>
      </c>
      <c r="L476" s="119">
        <v>238</v>
      </c>
      <c r="M476" s="119" t="s">
        <v>1106</v>
      </c>
      <c r="N476" s="122" t="s">
        <v>3578</v>
      </c>
      <c r="O476" s="122" t="s">
        <v>3579</v>
      </c>
      <c r="P476" s="122" t="s">
        <v>4020</v>
      </c>
    </row>
    <row r="477" spans="1:16" ht="82.05" customHeight="1" x14ac:dyDescent="0.3">
      <c r="A477" s="50" t="s">
        <v>1757</v>
      </c>
      <c r="B477" s="50" t="s">
        <v>68</v>
      </c>
      <c r="C477" s="50" t="s">
        <v>28</v>
      </c>
      <c r="D477" s="50" t="s">
        <v>304</v>
      </c>
      <c r="E477" s="121">
        <v>0</v>
      </c>
      <c r="F477" s="121">
        <v>0</v>
      </c>
      <c r="G477" s="121" t="s">
        <v>1586</v>
      </c>
      <c r="H477" s="121">
        <f t="shared" si="16"/>
        <v>0</v>
      </c>
      <c r="I477" s="121">
        <f>LUCK!G52</f>
        <v>0</v>
      </c>
      <c r="J477" s="121">
        <f t="shared" si="15"/>
        <v>0</v>
      </c>
      <c r="K477" s="50" t="s">
        <v>1598</v>
      </c>
      <c r="L477" s="50">
        <v>240</v>
      </c>
      <c r="M477" s="50" t="s">
        <v>1106</v>
      </c>
      <c r="N477" s="68" t="s">
        <v>3578</v>
      </c>
      <c r="O477" s="68" t="s">
        <v>3579</v>
      </c>
      <c r="P477" s="68" t="s">
        <v>4021</v>
      </c>
    </row>
    <row r="478" spans="1:16" ht="82.05" customHeight="1" x14ac:dyDescent="0.3">
      <c r="A478" s="119" t="s">
        <v>1758</v>
      </c>
      <c r="B478" s="119" t="s">
        <v>68</v>
      </c>
      <c r="C478" s="119" t="s">
        <v>29</v>
      </c>
      <c r="D478" s="119" t="s">
        <v>304</v>
      </c>
      <c r="E478" s="120">
        <v>0</v>
      </c>
      <c r="F478" s="120">
        <v>0</v>
      </c>
      <c r="G478" s="120" t="s">
        <v>1586</v>
      </c>
      <c r="H478" s="120">
        <f t="shared" si="16"/>
        <v>0</v>
      </c>
      <c r="I478" s="120">
        <f>LUCK!H52</f>
        <v>0</v>
      </c>
      <c r="J478" s="120">
        <f t="shared" si="15"/>
        <v>0</v>
      </c>
      <c r="K478" s="119" t="s">
        <v>1598</v>
      </c>
      <c r="L478" s="119">
        <v>240</v>
      </c>
      <c r="M478" s="119" t="s">
        <v>1127</v>
      </c>
      <c r="N478" s="122" t="s">
        <v>3578</v>
      </c>
      <c r="O478" s="122" t="s">
        <v>3579</v>
      </c>
      <c r="P478" s="122" t="s">
        <v>4021</v>
      </c>
    </row>
    <row r="479" spans="1:16" ht="82.05" customHeight="1" x14ac:dyDescent="0.3">
      <c r="A479" s="50" t="s">
        <v>1759</v>
      </c>
      <c r="B479" s="50" t="s">
        <v>68</v>
      </c>
      <c r="C479" s="50" t="s">
        <v>965</v>
      </c>
      <c r="D479" s="50" t="s">
        <v>306</v>
      </c>
      <c r="E479" s="121">
        <v>46173</v>
      </c>
      <c r="F479" s="121">
        <v>46173</v>
      </c>
      <c r="G479" s="121" t="s">
        <v>1586</v>
      </c>
      <c r="H479" s="121">
        <f t="shared" si="16"/>
        <v>46.173000000000002</v>
      </c>
      <c r="I479" s="121">
        <f>LUCK!C53</f>
        <v>46.173000000000002</v>
      </c>
      <c r="J479" s="121">
        <f t="shared" si="15"/>
        <v>0</v>
      </c>
      <c r="K479" s="50" t="s">
        <v>1584</v>
      </c>
      <c r="L479" s="50">
        <v>191</v>
      </c>
      <c r="M479" s="50" t="s">
        <v>1106</v>
      </c>
      <c r="N479" s="68" t="s">
        <v>3564</v>
      </c>
      <c r="O479" s="68" t="s">
        <v>3565</v>
      </c>
      <c r="P479" s="68" t="s">
        <v>4022</v>
      </c>
    </row>
    <row r="480" spans="1:16" ht="82.05" customHeight="1" x14ac:dyDescent="0.3">
      <c r="A480" s="119" t="s">
        <v>1761</v>
      </c>
      <c r="B480" s="119" t="s">
        <v>68</v>
      </c>
      <c r="C480" s="119" t="s">
        <v>20</v>
      </c>
      <c r="D480" s="119" t="s">
        <v>306</v>
      </c>
      <c r="E480" s="120">
        <v>70868</v>
      </c>
      <c r="F480" s="120">
        <v>70868</v>
      </c>
      <c r="G480" s="120" t="s">
        <v>1586</v>
      </c>
      <c r="H480" s="120">
        <f t="shared" si="16"/>
        <v>70.867999999999995</v>
      </c>
      <c r="I480" s="120">
        <f>LUCK!D53</f>
        <v>70.867999999999995</v>
      </c>
      <c r="J480" s="120">
        <f t="shared" si="15"/>
        <v>0</v>
      </c>
      <c r="K480" s="119" t="s">
        <v>1589</v>
      </c>
      <c r="L480" s="119">
        <v>226</v>
      </c>
      <c r="M480" s="119" t="s">
        <v>1106</v>
      </c>
      <c r="N480" s="122" t="s">
        <v>3564</v>
      </c>
      <c r="O480" s="122" t="s">
        <v>3565</v>
      </c>
      <c r="P480" s="122" t="s">
        <v>4023</v>
      </c>
    </row>
    <row r="481" spans="1:16" ht="82.05" customHeight="1" x14ac:dyDescent="0.3">
      <c r="A481" s="50" t="s">
        <v>1762</v>
      </c>
      <c r="B481" s="50" t="s">
        <v>68</v>
      </c>
      <c r="C481" s="50" t="s">
        <v>26</v>
      </c>
      <c r="D481" s="50" t="s">
        <v>306</v>
      </c>
      <c r="E481" s="121">
        <v>135452</v>
      </c>
      <c r="F481" s="121">
        <v>135452</v>
      </c>
      <c r="G481" s="121" t="s">
        <v>1586</v>
      </c>
      <c r="H481" s="121">
        <f t="shared" si="16"/>
        <v>135.452</v>
      </c>
      <c r="I481" s="121">
        <f>LUCK!E53</f>
        <v>135.452</v>
      </c>
      <c r="J481" s="121">
        <f t="shared" si="15"/>
        <v>0</v>
      </c>
      <c r="K481" s="50" t="s">
        <v>1592</v>
      </c>
      <c r="L481" s="50">
        <v>234</v>
      </c>
      <c r="M481" s="50" t="s">
        <v>1106</v>
      </c>
      <c r="N481" s="68" t="s">
        <v>3564</v>
      </c>
      <c r="O481" s="68" t="s">
        <v>3565</v>
      </c>
      <c r="P481" s="68" t="s">
        <v>4024</v>
      </c>
    </row>
    <row r="482" spans="1:16" ht="82.05" customHeight="1" x14ac:dyDescent="0.3">
      <c r="A482" s="119" t="s">
        <v>1763</v>
      </c>
      <c r="B482" s="119" t="s">
        <v>68</v>
      </c>
      <c r="C482" s="119" t="s">
        <v>27</v>
      </c>
      <c r="D482" s="119" t="s">
        <v>306</v>
      </c>
      <c r="E482" s="120">
        <v>497745</v>
      </c>
      <c r="F482" s="120">
        <v>497745</v>
      </c>
      <c r="G482" s="120" t="s">
        <v>1586</v>
      </c>
      <c r="H482" s="120">
        <f t="shared" si="16"/>
        <v>497.745</v>
      </c>
      <c r="I482" s="120">
        <f>LUCK!F53</f>
        <v>497.745</v>
      </c>
      <c r="J482" s="120">
        <f t="shared" si="15"/>
        <v>0</v>
      </c>
      <c r="K482" s="119" t="s">
        <v>1595</v>
      </c>
      <c r="L482" s="119">
        <v>238</v>
      </c>
      <c r="M482" s="119" t="s">
        <v>1106</v>
      </c>
      <c r="N482" s="122" t="s">
        <v>3564</v>
      </c>
      <c r="O482" s="122" t="s">
        <v>3565</v>
      </c>
      <c r="P482" s="122" t="s">
        <v>4025</v>
      </c>
    </row>
    <row r="483" spans="1:16" ht="82.05" customHeight="1" x14ac:dyDescent="0.3">
      <c r="A483" s="50" t="s">
        <v>1764</v>
      </c>
      <c r="B483" s="50" t="s">
        <v>68</v>
      </c>
      <c r="C483" s="50" t="s">
        <v>28</v>
      </c>
      <c r="D483" s="50" t="s">
        <v>306</v>
      </c>
      <c r="E483" s="121">
        <v>342935</v>
      </c>
      <c r="F483" s="121">
        <v>342935</v>
      </c>
      <c r="G483" s="121" t="s">
        <v>1586</v>
      </c>
      <c r="H483" s="121">
        <f t="shared" si="16"/>
        <v>342.935</v>
      </c>
      <c r="I483" s="121">
        <f>LUCK!G53</f>
        <v>342.935</v>
      </c>
      <c r="J483" s="121">
        <f t="shared" si="15"/>
        <v>0</v>
      </c>
      <c r="K483" s="50" t="s">
        <v>1598</v>
      </c>
      <c r="L483" s="50">
        <v>240</v>
      </c>
      <c r="M483" s="50" t="s">
        <v>1106</v>
      </c>
      <c r="N483" s="68" t="s">
        <v>3564</v>
      </c>
      <c r="O483" s="68" t="s">
        <v>3565</v>
      </c>
      <c r="P483" s="68" t="s">
        <v>4026</v>
      </c>
    </row>
    <row r="484" spans="1:16" ht="82.05" customHeight="1" x14ac:dyDescent="0.3">
      <c r="A484" s="119" t="s">
        <v>1765</v>
      </c>
      <c r="B484" s="119" t="s">
        <v>68</v>
      </c>
      <c r="C484" s="119" t="s">
        <v>29</v>
      </c>
      <c r="D484" s="119" t="s">
        <v>306</v>
      </c>
      <c r="E484" s="120">
        <v>185616</v>
      </c>
      <c r="F484" s="120">
        <v>185616</v>
      </c>
      <c r="G484" s="120" t="s">
        <v>1586</v>
      </c>
      <c r="H484" s="120">
        <f t="shared" si="16"/>
        <v>185.61600000000001</v>
      </c>
      <c r="I484" s="120">
        <f>LUCK!H53</f>
        <v>185.61600000000001</v>
      </c>
      <c r="J484" s="120">
        <f t="shared" si="15"/>
        <v>0</v>
      </c>
      <c r="K484" s="119" t="s">
        <v>1598</v>
      </c>
      <c r="L484" s="119">
        <v>240</v>
      </c>
      <c r="M484" s="119" t="s">
        <v>1127</v>
      </c>
      <c r="N484" s="122" t="s">
        <v>3564</v>
      </c>
      <c r="O484" s="122" t="s">
        <v>3565</v>
      </c>
      <c r="P484" s="122" t="s">
        <v>4027</v>
      </c>
    </row>
    <row r="485" spans="1:16" ht="82.05" customHeight="1" x14ac:dyDescent="0.3">
      <c r="A485" s="50" t="s">
        <v>1766</v>
      </c>
      <c r="B485" s="50" t="s">
        <v>68</v>
      </c>
      <c r="C485" s="50" t="s">
        <v>965</v>
      </c>
      <c r="D485" s="50" t="s">
        <v>308</v>
      </c>
      <c r="E485" s="121">
        <v>7931444</v>
      </c>
      <c r="F485" s="121">
        <v>7931444</v>
      </c>
      <c r="G485" s="121" t="s">
        <v>1586</v>
      </c>
      <c r="H485" s="121">
        <f t="shared" si="16"/>
        <v>7931.4440000000004</v>
      </c>
      <c r="I485" s="121">
        <f>LUCK!C54</f>
        <v>7931.4440000000004</v>
      </c>
      <c r="J485" s="121">
        <f t="shared" si="15"/>
        <v>0</v>
      </c>
      <c r="K485" s="50" t="s">
        <v>1584</v>
      </c>
      <c r="L485" s="50">
        <v>191</v>
      </c>
      <c r="M485" s="50" t="s">
        <v>1106</v>
      </c>
      <c r="N485" s="68" t="s">
        <v>3564</v>
      </c>
      <c r="O485" s="68" t="s">
        <v>3565</v>
      </c>
      <c r="P485" s="68" t="s">
        <v>4028</v>
      </c>
    </row>
    <row r="486" spans="1:16" ht="82.05" customHeight="1" x14ac:dyDescent="0.3">
      <c r="A486" s="119" t="s">
        <v>1769</v>
      </c>
      <c r="B486" s="119" t="s">
        <v>68</v>
      </c>
      <c r="C486" s="119" t="s">
        <v>20</v>
      </c>
      <c r="D486" s="119" t="s">
        <v>308</v>
      </c>
      <c r="E486" s="120">
        <v>7050000</v>
      </c>
      <c r="F486" s="120">
        <v>7050000</v>
      </c>
      <c r="G486" s="120" t="s">
        <v>1586</v>
      </c>
      <c r="H486" s="120">
        <f t="shared" si="16"/>
        <v>7050</v>
      </c>
      <c r="I486" s="120">
        <f>LUCK!D54</f>
        <v>7050</v>
      </c>
      <c r="J486" s="120">
        <f t="shared" si="15"/>
        <v>0</v>
      </c>
      <c r="K486" s="119" t="s">
        <v>1589</v>
      </c>
      <c r="L486" s="119">
        <v>226</v>
      </c>
      <c r="M486" s="119" t="s">
        <v>1106</v>
      </c>
      <c r="N486" s="122" t="s">
        <v>3564</v>
      </c>
      <c r="O486" s="122" t="s">
        <v>3565</v>
      </c>
      <c r="P486" s="122" t="s">
        <v>4029</v>
      </c>
    </row>
    <row r="487" spans="1:16" ht="82.05" customHeight="1" x14ac:dyDescent="0.3">
      <c r="A487" s="50" t="s">
        <v>1771</v>
      </c>
      <c r="B487" s="50" t="s">
        <v>68</v>
      </c>
      <c r="C487" s="50" t="s">
        <v>26</v>
      </c>
      <c r="D487" s="50" t="s">
        <v>308</v>
      </c>
      <c r="E487" s="121">
        <v>1000000</v>
      </c>
      <c r="F487" s="121">
        <v>1000000</v>
      </c>
      <c r="G487" s="121" t="s">
        <v>1586</v>
      </c>
      <c r="H487" s="121">
        <f t="shared" si="16"/>
        <v>1000</v>
      </c>
      <c r="I487" s="121">
        <f>LUCK!E54</f>
        <v>1000</v>
      </c>
      <c r="J487" s="121">
        <f t="shared" si="15"/>
        <v>0</v>
      </c>
      <c r="K487" s="50" t="s">
        <v>1592</v>
      </c>
      <c r="L487" s="50">
        <v>234</v>
      </c>
      <c r="M487" s="50" t="s">
        <v>1106</v>
      </c>
      <c r="N487" s="68" t="s">
        <v>3564</v>
      </c>
      <c r="O487" s="68" t="s">
        <v>3565</v>
      </c>
      <c r="P487" s="68" t="s">
        <v>4030</v>
      </c>
    </row>
    <row r="488" spans="1:16" ht="82.05" customHeight="1" x14ac:dyDescent="0.3">
      <c r="A488" s="119" t="s">
        <v>1772</v>
      </c>
      <c r="B488" s="119" t="s">
        <v>68</v>
      </c>
      <c r="C488" s="119" t="s">
        <v>27</v>
      </c>
      <c r="D488" s="119" t="s">
        <v>308</v>
      </c>
      <c r="E488" s="120">
        <v>5885000</v>
      </c>
      <c r="F488" s="120">
        <v>5885000</v>
      </c>
      <c r="G488" s="120" t="s">
        <v>1586</v>
      </c>
      <c r="H488" s="120">
        <f t="shared" si="16"/>
        <v>5885</v>
      </c>
      <c r="I488" s="120">
        <f>LUCK!F54</f>
        <v>5885</v>
      </c>
      <c r="J488" s="120">
        <f t="shared" si="15"/>
        <v>0</v>
      </c>
      <c r="K488" s="119" t="s">
        <v>1595</v>
      </c>
      <c r="L488" s="119">
        <v>238</v>
      </c>
      <c r="M488" s="119" t="s">
        <v>1106</v>
      </c>
      <c r="N488" s="122" t="s">
        <v>3564</v>
      </c>
      <c r="O488" s="122" t="s">
        <v>3565</v>
      </c>
      <c r="P488" s="122" t="s">
        <v>4031</v>
      </c>
    </row>
    <row r="489" spans="1:16" ht="82.05" customHeight="1" x14ac:dyDescent="0.3">
      <c r="A489" s="50" t="s">
        <v>1773</v>
      </c>
      <c r="B489" s="50" t="s">
        <v>68</v>
      </c>
      <c r="C489" s="50" t="s">
        <v>28</v>
      </c>
      <c r="D489" s="50" t="s">
        <v>308</v>
      </c>
      <c r="E489" s="121">
        <v>5485000</v>
      </c>
      <c r="F489" s="121">
        <v>5485000</v>
      </c>
      <c r="G489" s="121" t="s">
        <v>1586</v>
      </c>
      <c r="H489" s="121">
        <f t="shared" si="16"/>
        <v>5485</v>
      </c>
      <c r="I489" s="121">
        <f>LUCK!G54</f>
        <v>5485</v>
      </c>
      <c r="J489" s="121">
        <f t="shared" si="15"/>
        <v>0</v>
      </c>
      <c r="K489" s="50" t="s">
        <v>1598</v>
      </c>
      <c r="L489" s="50">
        <v>240</v>
      </c>
      <c r="M489" s="50" t="s">
        <v>1106</v>
      </c>
      <c r="N489" s="68" t="s">
        <v>3564</v>
      </c>
      <c r="O489" s="68" t="s">
        <v>3565</v>
      </c>
      <c r="P489" s="68" t="s">
        <v>4032</v>
      </c>
    </row>
    <row r="490" spans="1:16" ht="82.05" customHeight="1" x14ac:dyDescent="0.3">
      <c r="A490" s="119" t="s">
        <v>1774</v>
      </c>
      <c r="B490" s="119" t="s">
        <v>68</v>
      </c>
      <c r="C490" s="119" t="s">
        <v>29</v>
      </c>
      <c r="D490" s="119" t="s">
        <v>308</v>
      </c>
      <c r="E490" s="120">
        <v>6485000</v>
      </c>
      <c r="F490" s="120">
        <v>6485000</v>
      </c>
      <c r="G490" s="120" t="s">
        <v>1586</v>
      </c>
      <c r="H490" s="120">
        <f t="shared" si="16"/>
        <v>6485</v>
      </c>
      <c r="I490" s="120">
        <f>LUCK!H54</f>
        <v>6485</v>
      </c>
      <c r="J490" s="120">
        <f t="shared" si="15"/>
        <v>0</v>
      </c>
      <c r="K490" s="119" t="s">
        <v>1598</v>
      </c>
      <c r="L490" s="119">
        <v>240</v>
      </c>
      <c r="M490" s="119" t="s">
        <v>1127</v>
      </c>
      <c r="N490" s="122" t="s">
        <v>3564</v>
      </c>
      <c r="O490" s="122" t="s">
        <v>3565</v>
      </c>
      <c r="P490" s="122" t="s">
        <v>4033</v>
      </c>
    </row>
    <row r="491" spans="1:16" ht="82.05" customHeight="1" x14ac:dyDescent="0.3">
      <c r="A491" s="50" t="s">
        <v>1775</v>
      </c>
      <c r="B491" s="50" t="s">
        <v>68</v>
      </c>
      <c r="C491" s="50" t="s">
        <v>965</v>
      </c>
      <c r="D491" s="50" t="s">
        <v>310</v>
      </c>
      <c r="E491" s="121">
        <v>126727</v>
      </c>
      <c r="F491" s="121">
        <v>126727</v>
      </c>
      <c r="G491" s="121" t="s">
        <v>1586</v>
      </c>
      <c r="H491" s="121">
        <f t="shared" si="16"/>
        <v>126.727</v>
      </c>
      <c r="I491" s="121">
        <f>LUCK!C55</f>
        <v>126.727</v>
      </c>
      <c r="J491" s="121">
        <f t="shared" si="15"/>
        <v>0</v>
      </c>
      <c r="K491" s="50" t="s">
        <v>1584</v>
      </c>
      <c r="L491" s="50">
        <v>191</v>
      </c>
      <c r="M491" s="50" t="s">
        <v>1106</v>
      </c>
      <c r="N491" s="68" t="s">
        <v>3564</v>
      </c>
      <c r="O491" s="68" t="s">
        <v>3565</v>
      </c>
      <c r="P491" s="68" t="s">
        <v>4034</v>
      </c>
    </row>
    <row r="492" spans="1:16" ht="82.05" customHeight="1" x14ac:dyDescent="0.3">
      <c r="A492" s="119" t="s">
        <v>1777</v>
      </c>
      <c r="B492" s="119" t="s">
        <v>68</v>
      </c>
      <c r="C492" s="119" t="s">
        <v>20</v>
      </c>
      <c r="D492" s="119" t="s">
        <v>310</v>
      </c>
      <c r="E492" s="120">
        <v>506908</v>
      </c>
      <c r="F492" s="120">
        <v>506908</v>
      </c>
      <c r="G492" s="120" t="s">
        <v>1586</v>
      </c>
      <c r="H492" s="120">
        <f t="shared" si="16"/>
        <v>506.90800000000002</v>
      </c>
      <c r="I492" s="120">
        <f>LUCK!D55</f>
        <v>506.90800000000002</v>
      </c>
      <c r="J492" s="120">
        <f t="shared" si="15"/>
        <v>0</v>
      </c>
      <c r="K492" s="119" t="s">
        <v>1589</v>
      </c>
      <c r="L492" s="119">
        <v>226</v>
      </c>
      <c r="M492" s="119" t="s">
        <v>1106</v>
      </c>
      <c r="N492" s="122" t="s">
        <v>3564</v>
      </c>
      <c r="O492" s="122" t="s">
        <v>3565</v>
      </c>
      <c r="P492" s="122" t="s">
        <v>4035</v>
      </c>
    </row>
    <row r="493" spans="1:16" ht="82.05" customHeight="1" x14ac:dyDescent="0.3">
      <c r="A493" s="50" t="s">
        <v>1778</v>
      </c>
      <c r="B493" s="50" t="s">
        <v>68</v>
      </c>
      <c r="C493" s="50" t="s">
        <v>26</v>
      </c>
      <c r="D493" s="50" t="s">
        <v>310</v>
      </c>
      <c r="E493" s="121">
        <v>487202</v>
      </c>
      <c r="F493" s="121">
        <v>487202</v>
      </c>
      <c r="G493" s="121" t="s">
        <v>1586</v>
      </c>
      <c r="H493" s="121">
        <f t="shared" si="16"/>
        <v>487.202</v>
      </c>
      <c r="I493" s="121">
        <f>LUCK!E55</f>
        <v>487.202</v>
      </c>
      <c r="J493" s="121">
        <f t="shared" si="15"/>
        <v>0</v>
      </c>
      <c r="K493" s="50" t="s">
        <v>1592</v>
      </c>
      <c r="L493" s="50">
        <v>234</v>
      </c>
      <c r="M493" s="50" t="s">
        <v>1106</v>
      </c>
      <c r="N493" s="68" t="s">
        <v>3564</v>
      </c>
      <c r="O493" s="68" t="s">
        <v>3565</v>
      </c>
      <c r="P493" s="68" t="s">
        <v>4036</v>
      </c>
    </row>
    <row r="494" spans="1:16" ht="82.05" customHeight="1" x14ac:dyDescent="0.3">
      <c r="A494" s="119" t="s">
        <v>1779</v>
      </c>
      <c r="B494" s="119" t="s">
        <v>68</v>
      </c>
      <c r="C494" s="119" t="s">
        <v>27</v>
      </c>
      <c r="D494" s="119" t="s">
        <v>310</v>
      </c>
      <c r="E494" s="120">
        <v>599653</v>
      </c>
      <c r="F494" s="120">
        <v>599653</v>
      </c>
      <c r="G494" s="120" t="s">
        <v>1586</v>
      </c>
      <c r="H494" s="120">
        <f t="shared" si="16"/>
        <v>599.65300000000002</v>
      </c>
      <c r="I494" s="120">
        <f>LUCK!F55</f>
        <v>599.65300000000002</v>
      </c>
      <c r="J494" s="120">
        <f t="shared" si="15"/>
        <v>0</v>
      </c>
      <c r="K494" s="119" t="s">
        <v>1595</v>
      </c>
      <c r="L494" s="119">
        <v>238</v>
      </c>
      <c r="M494" s="119" t="s">
        <v>1106</v>
      </c>
      <c r="N494" s="122" t="s">
        <v>3564</v>
      </c>
      <c r="O494" s="122" t="s">
        <v>3565</v>
      </c>
      <c r="P494" s="122" t="s">
        <v>4037</v>
      </c>
    </row>
    <row r="495" spans="1:16" ht="82.05" customHeight="1" x14ac:dyDescent="0.3">
      <c r="A495" s="50" t="s">
        <v>1780</v>
      </c>
      <c r="B495" s="50" t="s">
        <v>68</v>
      </c>
      <c r="C495" s="50" t="s">
        <v>28</v>
      </c>
      <c r="D495" s="50" t="s">
        <v>310</v>
      </c>
      <c r="E495" s="121">
        <v>2099147</v>
      </c>
      <c r="F495" s="121">
        <v>2099147</v>
      </c>
      <c r="G495" s="121" t="s">
        <v>1586</v>
      </c>
      <c r="H495" s="121">
        <f t="shared" si="16"/>
        <v>2099.1469999999999</v>
      </c>
      <c r="I495" s="121">
        <f>LUCK!G55</f>
        <v>2099.1469999999999</v>
      </c>
      <c r="J495" s="121">
        <f t="shared" si="15"/>
        <v>0</v>
      </c>
      <c r="K495" s="50" t="s">
        <v>1598</v>
      </c>
      <c r="L495" s="50">
        <v>240</v>
      </c>
      <c r="M495" s="50" t="s">
        <v>1106</v>
      </c>
      <c r="N495" s="68" t="s">
        <v>3564</v>
      </c>
      <c r="O495" s="68" t="s">
        <v>3565</v>
      </c>
      <c r="P495" s="68" t="s">
        <v>4038</v>
      </c>
    </row>
    <row r="496" spans="1:16" ht="82.05" customHeight="1" x14ac:dyDescent="0.3">
      <c r="A496" s="119" t="s">
        <v>1782</v>
      </c>
      <c r="B496" s="119" t="s">
        <v>68</v>
      </c>
      <c r="C496" s="119" t="s">
        <v>29</v>
      </c>
      <c r="D496" s="119" t="s">
        <v>310</v>
      </c>
      <c r="E496" s="120">
        <v>1866085</v>
      </c>
      <c r="F496" s="120">
        <v>1866085</v>
      </c>
      <c r="G496" s="120" t="s">
        <v>1586</v>
      </c>
      <c r="H496" s="120">
        <f t="shared" si="16"/>
        <v>1866.085</v>
      </c>
      <c r="I496" s="120">
        <f>LUCK!H55</f>
        <v>1866.085</v>
      </c>
      <c r="J496" s="120">
        <f t="shared" si="15"/>
        <v>0</v>
      </c>
      <c r="K496" s="119" t="s">
        <v>1598</v>
      </c>
      <c r="L496" s="119">
        <v>240</v>
      </c>
      <c r="M496" s="119" t="s">
        <v>1127</v>
      </c>
      <c r="N496" s="122" t="s">
        <v>3564</v>
      </c>
      <c r="O496" s="122" t="s">
        <v>3565</v>
      </c>
      <c r="P496" s="122" t="s">
        <v>4039</v>
      </c>
    </row>
    <row r="497" spans="1:16" ht="82.05" customHeight="1" x14ac:dyDescent="0.3">
      <c r="A497" s="50" t="s">
        <v>1783</v>
      </c>
      <c r="B497" s="50" t="s">
        <v>68</v>
      </c>
      <c r="C497" s="50" t="s">
        <v>965</v>
      </c>
      <c r="D497" s="50" t="s">
        <v>312</v>
      </c>
      <c r="E497" s="121">
        <v>0</v>
      </c>
      <c r="F497" s="121">
        <v>0</v>
      </c>
      <c r="G497" s="121" t="s">
        <v>1586</v>
      </c>
      <c r="H497" s="121">
        <f t="shared" si="16"/>
        <v>0</v>
      </c>
      <c r="I497" s="121">
        <f>LUCK!C56</f>
        <v>0</v>
      </c>
      <c r="J497" s="121">
        <f t="shared" si="15"/>
        <v>0</v>
      </c>
      <c r="K497" s="50" t="s">
        <v>1584</v>
      </c>
      <c r="L497" s="50">
        <v>191</v>
      </c>
      <c r="M497" s="50" t="s">
        <v>1106</v>
      </c>
      <c r="N497" s="68" t="s">
        <v>3578</v>
      </c>
      <c r="O497" s="68" t="s">
        <v>3579</v>
      </c>
      <c r="P497" s="68" t="s">
        <v>4040</v>
      </c>
    </row>
    <row r="498" spans="1:16" ht="82.05" customHeight="1" x14ac:dyDescent="0.3">
      <c r="A498" s="119" t="s">
        <v>1784</v>
      </c>
      <c r="B498" s="119" t="s">
        <v>68</v>
      </c>
      <c r="C498" s="119" t="s">
        <v>20</v>
      </c>
      <c r="D498" s="119" t="s">
        <v>312</v>
      </c>
      <c r="E498" s="120">
        <v>0</v>
      </c>
      <c r="F498" s="120">
        <v>0</v>
      </c>
      <c r="G498" s="120" t="s">
        <v>1586</v>
      </c>
      <c r="H498" s="120">
        <f t="shared" si="16"/>
        <v>0</v>
      </c>
      <c r="I498" s="120">
        <f>LUCK!D56</f>
        <v>0</v>
      </c>
      <c r="J498" s="120">
        <f t="shared" si="15"/>
        <v>0</v>
      </c>
      <c r="K498" s="119" t="s">
        <v>1589</v>
      </c>
      <c r="L498" s="119">
        <v>226</v>
      </c>
      <c r="M498" s="119" t="s">
        <v>1106</v>
      </c>
      <c r="N498" s="122" t="s">
        <v>3578</v>
      </c>
      <c r="O498" s="122" t="s">
        <v>3579</v>
      </c>
      <c r="P498" s="122" t="s">
        <v>4041</v>
      </c>
    </row>
    <row r="499" spans="1:16" ht="82.05" customHeight="1" x14ac:dyDescent="0.3">
      <c r="A499" s="50" t="s">
        <v>1785</v>
      </c>
      <c r="B499" s="50" t="s">
        <v>68</v>
      </c>
      <c r="C499" s="50" t="s">
        <v>26</v>
      </c>
      <c r="D499" s="50" t="s">
        <v>312</v>
      </c>
      <c r="E499" s="121">
        <v>0</v>
      </c>
      <c r="F499" s="121">
        <v>0</v>
      </c>
      <c r="G499" s="121" t="s">
        <v>1586</v>
      </c>
      <c r="H499" s="121">
        <f t="shared" si="16"/>
        <v>0</v>
      </c>
      <c r="I499" s="121">
        <f>LUCK!E56</f>
        <v>0</v>
      </c>
      <c r="J499" s="121">
        <f t="shared" si="15"/>
        <v>0</v>
      </c>
      <c r="K499" s="50" t="s">
        <v>1592</v>
      </c>
      <c r="L499" s="50">
        <v>234</v>
      </c>
      <c r="M499" s="50" t="s">
        <v>1106</v>
      </c>
      <c r="N499" s="68" t="s">
        <v>3578</v>
      </c>
      <c r="O499" s="68" t="s">
        <v>3579</v>
      </c>
      <c r="P499" s="68" t="s">
        <v>4042</v>
      </c>
    </row>
    <row r="500" spans="1:16" ht="82.05" customHeight="1" x14ac:dyDescent="0.3">
      <c r="A500" s="119" t="s">
        <v>1786</v>
      </c>
      <c r="B500" s="119" t="s">
        <v>68</v>
      </c>
      <c r="C500" s="119" t="s">
        <v>27</v>
      </c>
      <c r="D500" s="119" t="s">
        <v>312</v>
      </c>
      <c r="E500" s="120">
        <v>0</v>
      </c>
      <c r="F500" s="120">
        <v>0</v>
      </c>
      <c r="G500" s="120" t="s">
        <v>1586</v>
      </c>
      <c r="H500" s="120">
        <f t="shared" si="16"/>
        <v>0</v>
      </c>
      <c r="I500" s="120">
        <f>LUCK!F56</f>
        <v>0</v>
      </c>
      <c r="J500" s="120">
        <f t="shared" si="15"/>
        <v>0</v>
      </c>
      <c r="K500" s="119" t="s">
        <v>1595</v>
      </c>
      <c r="L500" s="119">
        <v>238</v>
      </c>
      <c r="M500" s="119" t="s">
        <v>1106</v>
      </c>
      <c r="N500" s="122" t="s">
        <v>3578</v>
      </c>
      <c r="O500" s="122" t="s">
        <v>3579</v>
      </c>
      <c r="P500" s="122" t="s">
        <v>4043</v>
      </c>
    </row>
    <row r="501" spans="1:16" ht="82.05" customHeight="1" x14ac:dyDescent="0.3">
      <c r="A501" s="50" t="s">
        <v>1787</v>
      </c>
      <c r="B501" s="50" t="s">
        <v>68</v>
      </c>
      <c r="C501" s="50" t="s">
        <v>28</v>
      </c>
      <c r="D501" s="50" t="s">
        <v>312</v>
      </c>
      <c r="E501" s="121">
        <v>0</v>
      </c>
      <c r="F501" s="121">
        <v>0</v>
      </c>
      <c r="G501" s="121" t="s">
        <v>1586</v>
      </c>
      <c r="H501" s="121">
        <f t="shared" si="16"/>
        <v>0</v>
      </c>
      <c r="I501" s="121">
        <f>LUCK!G56</f>
        <v>0</v>
      </c>
      <c r="J501" s="121">
        <f t="shared" si="15"/>
        <v>0</v>
      </c>
      <c r="K501" s="50" t="s">
        <v>1598</v>
      </c>
      <c r="L501" s="50">
        <v>240</v>
      </c>
      <c r="M501" s="50" t="s">
        <v>1106</v>
      </c>
      <c r="N501" s="68" t="s">
        <v>3578</v>
      </c>
      <c r="O501" s="68" t="s">
        <v>3579</v>
      </c>
      <c r="P501" s="68" t="s">
        <v>4044</v>
      </c>
    </row>
    <row r="502" spans="1:16" ht="82.05" customHeight="1" x14ac:dyDescent="0.3">
      <c r="A502" s="119" t="s">
        <v>1788</v>
      </c>
      <c r="B502" s="119" t="s">
        <v>68</v>
      </c>
      <c r="C502" s="119" t="s">
        <v>29</v>
      </c>
      <c r="D502" s="119" t="s">
        <v>312</v>
      </c>
      <c r="E502" s="120">
        <v>0</v>
      </c>
      <c r="F502" s="120">
        <v>0</v>
      </c>
      <c r="G502" s="120" t="s">
        <v>1586</v>
      </c>
      <c r="H502" s="120">
        <f t="shared" si="16"/>
        <v>0</v>
      </c>
      <c r="I502" s="120">
        <f>LUCK!H56</f>
        <v>0</v>
      </c>
      <c r="J502" s="120">
        <f t="shared" si="15"/>
        <v>0</v>
      </c>
      <c r="K502" s="119" t="s">
        <v>1598</v>
      </c>
      <c r="L502" s="119">
        <v>240</v>
      </c>
      <c r="M502" s="119" t="s">
        <v>1127</v>
      </c>
      <c r="N502" s="122" t="s">
        <v>3578</v>
      </c>
      <c r="O502" s="122" t="s">
        <v>3579</v>
      </c>
      <c r="P502" s="122" t="s">
        <v>4044</v>
      </c>
    </row>
    <row r="503" spans="1:16" ht="82.05" customHeight="1" x14ac:dyDescent="0.3">
      <c r="A503" s="50" t="s">
        <v>1789</v>
      </c>
      <c r="B503" s="50" t="s">
        <v>68</v>
      </c>
      <c r="C503" s="50" t="s">
        <v>965</v>
      </c>
      <c r="D503" s="50" t="s">
        <v>314</v>
      </c>
      <c r="E503" s="121">
        <v>0</v>
      </c>
      <c r="F503" s="121">
        <v>0</v>
      </c>
      <c r="G503" s="121" t="s">
        <v>1586</v>
      </c>
      <c r="H503" s="121">
        <f t="shared" si="16"/>
        <v>0</v>
      </c>
      <c r="I503" s="121">
        <f>LUCK!C57</f>
        <v>0</v>
      </c>
      <c r="J503" s="121">
        <f t="shared" si="15"/>
        <v>0</v>
      </c>
      <c r="K503" s="50" t="s">
        <v>1584</v>
      </c>
      <c r="L503" s="50">
        <v>191</v>
      </c>
      <c r="M503" s="50" t="s">
        <v>1106</v>
      </c>
      <c r="N503" s="68" t="s">
        <v>3578</v>
      </c>
      <c r="O503" s="68" t="s">
        <v>3579</v>
      </c>
      <c r="P503" s="68" t="s">
        <v>4045</v>
      </c>
    </row>
    <row r="504" spans="1:16" ht="82.05" customHeight="1" x14ac:dyDescent="0.3">
      <c r="A504" s="119" t="s">
        <v>1790</v>
      </c>
      <c r="B504" s="119" t="s">
        <v>68</v>
      </c>
      <c r="C504" s="119" t="s">
        <v>20</v>
      </c>
      <c r="D504" s="119" t="s">
        <v>314</v>
      </c>
      <c r="E504" s="120">
        <v>0</v>
      </c>
      <c r="F504" s="120">
        <v>0</v>
      </c>
      <c r="G504" s="120" t="s">
        <v>1586</v>
      </c>
      <c r="H504" s="120">
        <f t="shared" si="16"/>
        <v>0</v>
      </c>
      <c r="I504" s="120">
        <f>LUCK!D57</f>
        <v>0</v>
      </c>
      <c r="J504" s="120">
        <f t="shared" si="15"/>
        <v>0</v>
      </c>
      <c r="K504" s="119" t="s">
        <v>1589</v>
      </c>
      <c r="L504" s="119">
        <v>226</v>
      </c>
      <c r="M504" s="119" t="s">
        <v>1106</v>
      </c>
      <c r="N504" s="122" t="s">
        <v>3578</v>
      </c>
      <c r="O504" s="122" t="s">
        <v>3579</v>
      </c>
      <c r="P504" s="122" t="s">
        <v>4046</v>
      </c>
    </row>
    <row r="505" spans="1:16" ht="82.05" customHeight="1" x14ac:dyDescent="0.3">
      <c r="A505" s="50" t="s">
        <v>1791</v>
      </c>
      <c r="B505" s="50" t="s">
        <v>68</v>
      </c>
      <c r="C505" s="50" t="s">
        <v>26</v>
      </c>
      <c r="D505" s="50" t="s">
        <v>314</v>
      </c>
      <c r="E505" s="121">
        <v>0</v>
      </c>
      <c r="F505" s="121">
        <v>0</v>
      </c>
      <c r="G505" s="121" t="s">
        <v>1586</v>
      </c>
      <c r="H505" s="121">
        <f t="shared" si="16"/>
        <v>0</v>
      </c>
      <c r="I505" s="121">
        <f>LUCK!E57</f>
        <v>0</v>
      </c>
      <c r="J505" s="121">
        <f t="shared" si="15"/>
        <v>0</v>
      </c>
      <c r="K505" s="50" t="s">
        <v>1592</v>
      </c>
      <c r="L505" s="50">
        <v>234</v>
      </c>
      <c r="M505" s="50" t="s">
        <v>1106</v>
      </c>
      <c r="N505" s="68" t="s">
        <v>3578</v>
      </c>
      <c r="O505" s="68" t="s">
        <v>3579</v>
      </c>
      <c r="P505" s="68" t="s">
        <v>4047</v>
      </c>
    </row>
    <row r="506" spans="1:16" ht="82.05" customHeight="1" x14ac:dyDescent="0.3">
      <c r="A506" s="119" t="s">
        <v>1792</v>
      </c>
      <c r="B506" s="119" t="s">
        <v>68</v>
      </c>
      <c r="C506" s="119" t="s">
        <v>27</v>
      </c>
      <c r="D506" s="119" t="s">
        <v>314</v>
      </c>
      <c r="E506" s="120">
        <v>0</v>
      </c>
      <c r="F506" s="120">
        <v>0</v>
      </c>
      <c r="G506" s="120" t="s">
        <v>1586</v>
      </c>
      <c r="H506" s="120">
        <f t="shared" si="16"/>
        <v>0</v>
      </c>
      <c r="I506" s="120">
        <f>LUCK!F57</f>
        <v>0</v>
      </c>
      <c r="J506" s="120">
        <f t="shared" si="15"/>
        <v>0</v>
      </c>
      <c r="K506" s="119" t="s">
        <v>1595</v>
      </c>
      <c r="L506" s="119">
        <v>238</v>
      </c>
      <c r="M506" s="119" t="s">
        <v>1106</v>
      </c>
      <c r="N506" s="122" t="s">
        <v>3578</v>
      </c>
      <c r="O506" s="122" t="s">
        <v>3579</v>
      </c>
      <c r="P506" s="122" t="s">
        <v>4048</v>
      </c>
    </row>
    <row r="507" spans="1:16" ht="82.05" customHeight="1" x14ac:dyDescent="0.3">
      <c r="A507" s="50" t="s">
        <v>1793</v>
      </c>
      <c r="B507" s="50" t="s">
        <v>68</v>
      </c>
      <c r="C507" s="50" t="s">
        <v>28</v>
      </c>
      <c r="D507" s="50" t="s">
        <v>314</v>
      </c>
      <c r="E507" s="121">
        <v>0</v>
      </c>
      <c r="F507" s="121">
        <v>0</v>
      </c>
      <c r="G507" s="121" t="s">
        <v>1586</v>
      </c>
      <c r="H507" s="121">
        <f t="shared" si="16"/>
        <v>0</v>
      </c>
      <c r="I507" s="121">
        <f>LUCK!G57</f>
        <v>0</v>
      </c>
      <c r="J507" s="121">
        <f t="shared" si="15"/>
        <v>0</v>
      </c>
      <c r="K507" s="50" t="s">
        <v>1598</v>
      </c>
      <c r="L507" s="50">
        <v>240</v>
      </c>
      <c r="M507" s="50" t="s">
        <v>1106</v>
      </c>
      <c r="N507" s="68" t="s">
        <v>3578</v>
      </c>
      <c r="O507" s="68" t="s">
        <v>3579</v>
      </c>
      <c r="P507" s="68" t="s">
        <v>4049</v>
      </c>
    </row>
    <row r="508" spans="1:16" ht="82.05" customHeight="1" x14ac:dyDescent="0.3">
      <c r="A508" s="119" t="s">
        <v>1794</v>
      </c>
      <c r="B508" s="119" t="s">
        <v>68</v>
      </c>
      <c r="C508" s="119" t="s">
        <v>29</v>
      </c>
      <c r="D508" s="119" t="s">
        <v>314</v>
      </c>
      <c r="E508" s="120">
        <v>0</v>
      </c>
      <c r="F508" s="120">
        <v>0</v>
      </c>
      <c r="G508" s="120" t="s">
        <v>1586</v>
      </c>
      <c r="H508" s="120">
        <f t="shared" si="16"/>
        <v>0</v>
      </c>
      <c r="I508" s="120">
        <f>LUCK!H57</f>
        <v>0</v>
      </c>
      <c r="J508" s="120">
        <f t="shared" si="15"/>
        <v>0</v>
      </c>
      <c r="K508" s="119" t="s">
        <v>1598</v>
      </c>
      <c r="L508" s="119">
        <v>240</v>
      </c>
      <c r="M508" s="119" t="s">
        <v>1127</v>
      </c>
      <c r="N508" s="122" t="s">
        <v>3578</v>
      </c>
      <c r="O508" s="122" t="s">
        <v>3579</v>
      </c>
      <c r="P508" s="122" t="s">
        <v>4049</v>
      </c>
    </row>
    <row r="509" spans="1:16" ht="82.05" customHeight="1" x14ac:dyDescent="0.3">
      <c r="A509" s="50" t="s">
        <v>1795</v>
      </c>
      <c r="B509" s="50" t="s">
        <v>68</v>
      </c>
      <c r="C509" s="50" t="s">
        <v>965</v>
      </c>
      <c r="D509" s="50" t="s">
        <v>316</v>
      </c>
      <c r="E509" s="121">
        <v>73347</v>
      </c>
      <c r="F509" s="121">
        <v>73347</v>
      </c>
      <c r="G509" s="121" t="s">
        <v>1586</v>
      </c>
      <c r="H509" s="121">
        <f t="shared" si="16"/>
        <v>73.346999999999994</v>
      </c>
      <c r="I509" s="121">
        <f>LUCK!C58</f>
        <v>73.346999999999994</v>
      </c>
      <c r="J509" s="121">
        <f t="shared" si="15"/>
        <v>0</v>
      </c>
      <c r="K509" s="50" t="s">
        <v>1584</v>
      </c>
      <c r="L509" s="50">
        <v>191</v>
      </c>
      <c r="M509" s="50" t="s">
        <v>1106</v>
      </c>
      <c r="N509" s="68" t="s">
        <v>3602</v>
      </c>
      <c r="O509" s="68" t="s">
        <v>3603</v>
      </c>
      <c r="P509" s="68" t="s">
        <v>4050</v>
      </c>
    </row>
    <row r="510" spans="1:16" ht="82.05" customHeight="1" x14ac:dyDescent="0.3">
      <c r="A510" s="119" t="s">
        <v>1797</v>
      </c>
      <c r="B510" s="119" t="s">
        <v>68</v>
      </c>
      <c r="C510" s="119" t="s">
        <v>20</v>
      </c>
      <c r="D510" s="119" t="s">
        <v>316</v>
      </c>
      <c r="E510" s="120">
        <v>53458</v>
      </c>
      <c r="F510" s="120">
        <v>53458</v>
      </c>
      <c r="G510" s="120" t="s">
        <v>1586</v>
      </c>
      <c r="H510" s="120">
        <f t="shared" si="16"/>
        <v>53.457999999999998</v>
      </c>
      <c r="I510" s="120">
        <f>LUCK!D58</f>
        <v>53.457999999999998</v>
      </c>
      <c r="J510" s="120">
        <f t="shared" si="15"/>
        <v>0</v>
      </c>
      <c r="K510" s="119" t="s">
        <v>1589</v>
      </c>
      <c r="L510" s="119">
        <v>226</v>
      </c>
      <c r="M510" s="119" t="s">
        <v>1106</v>
      </c>
      <c r="N510" s="122" t="s">
        <v>3564</v>
      </c>
      <c r="O510" s="122" t="s">
        <v>3565</v>
      </c>
      <c r="P510" s="122" t="s">
        <v>4051</v>
      </c>
    </row>
    <row r="511" spans="1:16" ht="82.05" customHeight="1" x14ac:dyDescent="0.3">
      <c r="A511" s="50" t="s">
        <v>1799</v>
      </c>
      <c r="B511" s="50" t="s">
        <v>68</v>
      </c>
      <c r="C511" s="50" t="s">
        <v>26</v>
      </c>
      <c r="D511" s="50" t="s">
        <v>316</v>
      </c>
      <c r="E511" s="121">
        <v>51030</v>
      </c>
      <c r="F511" s="121">
        <v>51030</v>
      </c>
      <c r="G511" s="121" t="s">
        <v>1586</v>
      </c>
      <c r="H511" s="121">
        <f t="shared" si="16"/>
        <v>51.03</v>
      </c>
      <c r="I511" s="121">
        <f>LUCK!E58</f>
        <v>51.03</v>
      </c>
      <c r="J511" s="121">
        <f t="shared" si="15"/>
        <v>0</v>
      </c>
      <c r="K511" s="50" t="s">
        <v>1592</v>
      </c>
      <c r="L511" s="50">
        <v>234</v>
      </c>
      <c r="M511" s="50" t="s">
        <v>1106</v>
      </c>
      <c r="N511" s="68" t="s">
        <v>3564</v>
      </c>
      <c r="O511" s="68" t="s">
        <v>3565</v>
      </c>
      <c r="P511" s="68" t="s">
        <v>4052</v>
      </c>
    </row>
    <row r="512" spans="1:16" ht="82.05" customHeight="1" x14ac:dyDescent="0.3">
      <c r="A512" s="119" t="s">
        <v>1800</v>
      </c>
      <c r="B512" s="119" t="s">
        <v>68</v>
      </c>
      <c r="C512" s="119" t="s">
        <v>27</v>
      </c>
      <c r="D512" s="119" t="s">
        <v>316</v>
      </c>
      <c r="E512" s="120">
        <v>50115</v>
      </c>
      <c r="F512" s="120">
        <v>50115</v>
      </c>
      <c r="G512" s="120" t="s">
        <v>1586</v>
      </c>
      <c r="H512" s="120">
        <f t="shared" si="16"/>
        <v>50.115000000000002</v>
      </c>
      <c r="I512" s="120">
        <f>LUCK!F58</f>
        <v>50.115000000000002</v>
      </c>
      <c r="J512" s="120">
        <f t="shared" si="15"/>
        <v>0</v>
      </c>
      <c r="K512" s="119" t="s">
        <v>1595</v>
      </c>
      <c r="L512" s="119">
        <v>238</v>
      </c>
      <c r="M512" s="119" t="s">
        <v>1106</v>
      </c>
      <c r="N512" s="122" t="s">
        <v>3564</v>
      </c>
      <c r="O512" s="122" t="s">
        <v>3565</v>
      </c>
      <c r="P512" s="122" t="s">
        <v>4053</v>
      </c>
    </row>
    <row r="513" spans="1:16" ht="82.05" customHeight="1" x14ac:dyDescent="0.3">
      <c r="A513" s="50" t="s">
        <v>1801</v>
      </c>
      <c r="B513" s="50" t="s">
        <v>68</v>
      </c>
      <c r="C513" s="50" t="s">
        <v>28</v>
      </c>
      <c r="D513" s="50" t="s">
        <v>316</v>
      </c>
      <c r="E513" s="121">
        <v>59148</v>
      </c>
      <c r="F513" s="121">
        <v>59148</v>
      </c>
      <c r="G513" s="121" t="s">
        <v>1586</v>
      </c>
      <c r="H513" s="121">
        <f t="shared" si="16"/>
        <v>59.148000000000003</v>
      </c>
      <c r="I513" s="121">
        <f>LUCK!G58</f>
        <v>59.148000000000003</v>
      </c>
      <c r="J513" s="121">
        <f t="shared" ref="J513:J576" si="17">H513-I513</f>
        <v>0</v>
      </c>
      <c r="K513" s="50" t="s">
        <v>1598</v>
      </c>
      <c r="L513" s="50">
        <v>240</v>
      </c>
      <c r="M513" s="50" t="s">
        <v>1106</v>
      </c>
      <c r="N513" s="68" t="s">
        <v>3564</v>
      </c>
      <c r="O513" s="68" t="s">
        <v>3565</v>
      </c>
      <c r="P513" s="68" t="s">
        <v>4054</v>
      </c>
    </row>
    <row r="514" spans="1:16" ht="82.05" customHeight="1" x14ac:dyDescent="0.3">
      <c r="A514" s="119" t="s">
        <v>1802</v>
      </c>
      <c r="B514" s="119" t="s">
        <v>68</v>
      </c>
      <c r="C514" s="119" t="s">
        <v>29</v>
      </c>
      <c r="D514" s="119" t="s">
        <v>316</v>
      </c>
      <c r="E514" s="120">
        <v>65745</v>
      </c>
      <c r="F514" s="120">
        <v>65745</v>
      </c>
      <c r="G514" s="120" t="s">
        <v>1586</v>
      </c>
      <c r="H514" s="120">
        <f t="shared" si="16"/>
        <v>65.745000000000005</v>
      </c>
      <c r="I514" s="120">
        <f>LUCK!H58</f>
        <v>65.745000000000005</v>
      </c>
      <c r="J514" s="120">
        <f t="shared" si="17"/>
        <v>0</v>
      </c>
      <c r="K514" s="119" t="s">
        <v>1598</v>
      </c>
      <c r="L514" s="119">
        <v>240</v>
      </c>
      <c r="M514" s="119" t="s">
        <v>1127</v>
      </c>
      <c r="N514" s="122" t="s">
        <v>3564</v>
      </c>
      <c r="O514" s="122" t="s">
        <v>3565</v>
      </c>
      <c r="P514" s="122" t="s">
        <v>4055</v>
      </c>
    </row>
    <row r="515" spans="1:16" ht="82.05" customHeight="1" x14ac:dyDescent="0.3">
      <c r="A515" s="50" t="s">
        <v>1803</v>
      </c>
      <c r="B515" s="50" t="s">
        <v>68</v>
      </c>
      <c r="C515" s="50" t="s">
        <v>965</v>
      </c>
      <c r="D515" s="50" t="s">
        <v>318</v>
      </c>
      <c r="E515" s="121">
        <v>1422867</v>
      </c>
      <c r="F515" s="121">
        <v>1422867</v>
      </c>
      <c r="G515" s="121" t="s">
        <v>1586</v>
      </c>
      <c r="H515" s="121">
        <f t="shared" si="16"/>
        <v>1422.867</v>
      </c>
      <c r="I515" s="121">
        <f>LUCK!C59</f>
        <v>1422.867</v>
      </c>
      <c r="J515" s="121">
        <f t="shared" si="17"/>
        <v>0</v>
      </c>
      <c r="K515" s="50" t="s">
        <v>1584</v>
      </c>
      <c r="L515" s="50">
        <v>191</v>
      </c>
      <c r="M515" s="50" t="s">
        <v>1106</v>
      </c>
      <c r="N515" s="68" t="s">
        <v>3564</v>
      </c>
      <c r="O515" s="68" t="s">
        <v>3565</v>
      </c>
      <c r="P515" s="68" t="s">
        <v>4056</v>
      </c>
    </row>
    <row r="516" spans="1:16" ht="82.05" customHeight="1" x14ac:dyDescent="0.3">
      <c r="A516" s="119" t="s">
        <v>1805</v>
      </c>
      <c r="B516" s="119" t="s">
        <v>68</v>
      </c>
      <c r="C516" s="119" t="s">
        <v>20</v>
      </c>
      <c r="D516" s="119" t="s">
        <v>318</v>
      </c>
      <c r="E516" s="120">
        <v>1916072</v>
      </c>
      <c r="F516" s="120">
        <v>1916072</v>
      </c>
      <c r="G516" s="120" t="s">
        <v>1586</v>
      </c>
      <c r="H516" s="120">
        <f t="shared" si="16"/>
        <v>1916.0719999999999</v>
      </c>
      <c r="I516" s="120">
        <f>LUCK!D59</f>
        <v>1916.0719999999999</v>
      </c>
      <c r="J516" s="120">
        <f t="shared" si="17"/>
        <v>0</v>
      </c>
      <c r="K516" s="119" t="s">
        <v>1589</v>
      </c>
      <c r="L516" s="119">
        <v>226</v>
      </c>
      <c r="M516" s="119" t="s">
        <v>1106</v>
      </c>
      <c r="N516" s="122" t="s">
        <v>3564</v>
      </c>
      <c r="O516" s="122" t="s">
        <v>3565</v>
      </c>
      <c r="P516" s="122" t="s">
        <v>4057</v>
      </c>
    </row>
    <row r="517" spans="1:16" ht="82.05" customHeight="1" x14ac:dyDescent="0.3">
      <c r="A517" s="50" t="s">
        <v>1806</v>
      </c>
      <c r="B517" s="50" t="s">
        <v>68</v>
      </c>
      <c r="C517" s="50" t="s">
        <v>26</v>
      </c>
      <c r="D517" s="50" t="s">
        <v>318</v>
      </c>
      <c r="E517" s="121">
        <v>5496191</v>
      </c>
      <c r="F517" s="121">
        <v>5496191</v>
      </c>
      <c r="G517" s="121" t="s">
        <v>1586</v>
      </c>
      <c r="H517" s="121">
        <f t="shared" si="16"/>
        <v>5496.1909999999998</v>
      </c>
      <c r="I517" s="121">
        <f>LUCK!E59</f>
        <v>5496.1909999999998</v>
      </c>
      <c r="J517" s="121">
        <f t="shared" si="17"/>
        <v>0</v>
      </c>
      <c r="K517" s="50" t="s">
        <v>1592</v>
      </c>
      <c r="L517" s="50">
        <v>234</v>
      </c>
      <c r="M517" s="50" t="s">
        <v>1106</v>
      </c>
      <c r="N517" s="68" t="s">
        <v>3564</v>
      </c>
      <c r="O517" s="68" t="s">
        <v>3565</v>
      </c>
      <c r="P517" s="68" t="s">
        <v>4058</v>
      </c>
    </row>
    <row r="518" spans="1:16" ht="82.05" customHeight="1" x14ac:dyDescent="0.3">
      <c r="A518" s="119" t="s">
        <v>1807</v>
      </c>
      <c r="B518" s="119" t="s">
        <v>68</v>
      </c>
      <c r="C518" s="119" t="s">
        <v>27</v>
      </c>
      <c r="D518" s="119" t="s">
        <v>318</v>
      </c>
      <c r="E518" s="120">
        <v>9229664</v>
      </c>
      <c r="F518" s="120">
        <v>9229664</v>
      </c>
      <c r="G518" s="120" t="s">
        <v>1586</v>
      </c>
      <c r="H518" s="120">
        <f t="shared" si="16"/>
        <v>9229.6640000000007</v>
      </c>
      <c r="I518" s="120">
        <f>LUCK!F59</f>
        <v>9229.6640000000007</v>
      </c>
      <c r="J518" s="120">
        <f t="shared" si="17"/>
        <v>0</v>
      </c>
      <c r="K518" s="119" t="s">
        <v>1595</v>
      </c>
      <c r="L518" s="119">
        <v>238</v>
      </c>
      <c r="M518" s="119" t="s">
        <v>1106</v>
      </c>
      <c r="N518" s="122" t="s">
        <v>3564</v>
      </c>
      <c r="O518" s="122" t="s">
        <v>3565</v>
      </c>
      <c r="P518" s="122" t="s">
        <v>4059</v>
      </c>
    </row>
    <row r="519" spans="1:16" ht="82.05" customHeight="1" x14ac:dyDescent="0.3">
      <c r="A519" s="50" t="s">
        <v>1808</v>
      </c>
      <c r="B519" s="50" t="s">
        <v>68</v>
      </c>
      <c r="C519" s="50" t="s">
        <v>28</v>
      </c>
      <c r="D519" s="50" t="s">
        <v>318</v>
      </c>
      <c r="E519" s="121">
        <v>16195618</v>
      </c>
      <c r="F519" s="121">
        <v>16195618</v>
      </c>
      <c r="G519" s="121" t="s">
        <v>1586</v>
      </c>
      <c r="H519" s="121">
        <f t="shared" si="16"/>
        <v>16195.618</v>
      </c>
      <c r="I519" s="121">
        <f>LUCK!G59</f>
        <v>16195.618</v>
      </c>
      <c r="J519" s="121">
        <f t="shared" si="17"/>
        <v>0</v>
      </c>
      <c r="K519" s="50" t="s">
        <v>1598</v>
      </c>
      <c r="L519" s="50">
        <v>240</v>
      </c>
      <c r="M519" s="50" t="s">
        <v>1106</v>
      </c>
      <c r="N519" s="68" t="s">
        <v>3564</v>
      </c>
      <c r="O519" s="68" t="s">
        <v>3565</v>
      </c>
      <c r="P519" s="68" t="s">
        <v>4060</v>
      </c>
    </row>
    <row r="520" spans="1:16" ht="82.05" customHeight="1" x14ac:dyDescent="0.3">
      <c r="A520" s="119" t="s">
        <v>1809</v>
      </c>
      <c r="B520" s="119" t="s">
        <v>68</v>
      </c>
      <c r="C520" s="119" t="s">
        <v>29</v>
      </c>
      <c r="D520" s="119" t="s">
        <v>318</v>
      </c>
      <c r="E520" s="120">
        <v>22738018</v>
      </c>
      <c r="F520" s="120">
        <v>22738018</v>
      </c>
      <c r="G520" s="120" t="s">
        <v>1586</v>
      </c>
      <c r="H520" s="120">
        <f t="shared" si="16"/>
        <v>22738.018</v>
      </c>
      <c r="I520" s="120">
        <f>LUCK!H59</f>
        <v>22738.018</v>
      </c>
      <c r="J520" s="120">
        <f t="shared" si="17"/>
        <v>0</v>
      </c>
      <c r="K520" s="119" t="s">
        <v>1598</v>
      </c>
      <c r="L520" s="119">
        <v>240</v>
      </c>
      <c r="M520" s="119" t="s">
        <v>1127</v>
      </c>
      <c r="N520" s="122" t="s">
        <v>3564</v>
      </c>
      <c r="O520" s="122" t="s">
        <v>3565</v>
      </c>
      <c r="P520" s="122" t="s">
        <v>4061</v>
      </c>
    </row>
    <row r="521" spans="1:16" ht="82.05" customHeight="1" x14ac:dyDescent="0.3">
      <c r="A521" s="50" t="s">
        <v>1810</v>
      </c>
      <c r="B521" s="50" t="s">
        <v>68</v>
      </c>
      <c r="C521" s="50" t="s">
        <v>965</v>
      </c>
      <c r="D521" s="50" t="s">
        <v>320</v>
      </c>
      <c r="E521" s="121">
        <v>0</v>
      </c>
      <c r="F521" s="121">
        <v>0</v>
      </c>
      <c r="G521" s="121" t="s">
        <v>1586</v>
      </c>
      <c r="H521" s="121">
        <f t="shared" si="16"/>
        <v>0</v>
      </c>
      <c r="I521" s="121">
        <f>LUCK!C60</f>
        <v>0</v>
      </c>
      <c r="J521" s="121">
        <f t="shared" si="17"/>
        <v>0</v>
      </c>
      <c r="K521" s="50" t="s">
        <v>1584</v>
      </c>
      <c r="L521" s="50">
        <v>191</v>
      </c>
      <c r="M521" s="50" t="s">
        <v>1106</v>
      </c>
      <c r="N521" s="68" t="s">
        <v>3578</v>
      </c>
      <c r="O521" s="68" t="s">
        <v>3579</v>
      </c>
      <c r="P521" s="68" t="s">
        <v>4062</v>
      </c>
    </row>
    <row r="522" spans="1:16" ht="82.05" customHeight="1" x14ac:dyDescent="0.3">
      <c r="A522" s="119" t="s">
        <v>1811</v>
      </c>
      <c r="B522" s="119" t="s">
        <v>68</v>
      </c>
      <c r="C522" s="119" t="s">
        <v>20</v>
      </c>
      <c r="D522" s="119" t="s">
        <v>320</v>
      </c>
      <c r="E522" s="120">
        <v>0</v>
      </c>
      <c r="F522" s="120">
        <v>0</v>
      </c>
      <c r="G522" s="120" t="s">
        <v>1586</v>
      </c>
      <c r="H522" s="120">
        <f t="shared" si="16"/>
        <v>0</v>
      </c>
      <c r="I522" s="120">
        <f>LUCK!D60</f>
        <v>0</v>
      </c>
      <c r="J522" s="120">
        <f t="shared" si="17"/>
        <v>0</v>
      </c>
      <c r="K522" s="119" t="s">
        <v>1589</v>
      </c>
      <c r="L522" s="119">
        <v>226</v>
      </c>
      <c r="M522" s="119" t="s">
        <v>1106</v>
      </c>
      <c r="N522" s="122" t="s">
        <v>3578</v>
      </c>
      <c r="O522" s="122" t="s">
        <v>3579</v>
      </c>
      <c r="P522" s="122" t="s">
        <v>4063</v>
      </c>
    </row>
    <row r="523" spans="1:16" ht="82.05" customHeight="1" x14ac:dyDescent="0.3">
      <c r="A523" s="50" t="s">
        <v>1812</v>
      </c>
      <c r="B523" s="50" t="s">
        <v>68</v>
      </c>
      <c r="C523" s="50" t="s">
        <v>26</v>
      </c>
      <c r="D523" s="50" t="s">
        <v>320</v>
      </c>
      <c r="E523" s="121">
        <v>0</v>
      </c>
      <c r="F523" s="121">
        <v>0</v>
      </c>
      <c r="G523" s="121" t="s">
        <v>1586</v>
      </c>
      <c r="H523" s="121">
        <f t="shared" si="16"/>
        <v>0</v>
      </c>
      <c r="I523" s="121">
        <f>LUCK!E60</f>
        <v>0</v>
      </c>
      <c r="J523" s="121">
        <f t="shared" si="17"/>
        <v>0</v>
      </c>
      <c r="K523" s="50" t="s">
        <v>1592</v>
      </c>
      <c r="L523" s="50">
        <v>234</v>
      </c>
      <c r="M523" s="50" t="s">
        <v>1106</v>
      </c>
      <c r="N523" s="68" t="s">
        <v>3578</v>
      </c>
      <c r="O523" s="68" t="s">
        <v>3579</v>
      </c>
      <c r="P523" s="68" t="s">
        <v>4064</v>
      </c>
    </row>
    <row r="524" spans="1:16" ht="82.05" customHeight="1" x14ac:dyDescent="0.3">
      <c r="A524" s="119" t="s">
        <v>1813</v>
      </c>
      <c r="B524" s="119" t="s">
        <v>68</v>
      </c>
      <c r="C524" s="119" t="s">
        <v>27</v>
      </c>
      <c r="D524" s="119" t="s">
        <v>320</v>
      </c>
      <c r="E524" s="120">
        <v>0</v>
      </c>
      <c r="F524" s="120">
        <v>0</v>
      </c>
      <c r="G524" s="120" t="s">
        <v>1586</v>
      </c>
      <c r="H524" s="120">
        <f t="shared" si="16"/>
        <v>0</v>
      </c>
      <c r="I524" s="120">
        <f>LUCK!F60</f>
        <v>0</v>
      </c>
      <c r="J524" s="120">
        <f t="shared" si="17"/>
        <v>0</v>
      </c>
      <c r="K524" s="119" t="s">
        <v>1595</v>
      </c>
      <c r="L524" s="119">
        <v>238</v>
      </c>
      <c r="M524" s="119" t="s">
        <v>1106</v>
      </c>
      <c r="N524" s="122" t="s">
        <v>3578</v>
      </c>
      <c r="O524" s="122" t="s">
        <v>3579</v>
      </c>
      <c r="P524" s="122" t="s">
        <v>4065</v>
      </c>
    </row>
    <row r="525" spans="1:16" ht="82.05" customHeight="1" x14ac:dyDescent="0.3">
      <c r="A525" s="50" t="s">
        <v>1814</v>
      </c>
      <c r="B525" s="50" t="s">
        <v>68</v>
      </c>
      <c r="C525" s="50" t="s">
        <v>28</v>
      </c>
      <c r="D525" s="50" t="s">
        <v>320</v>
      </c>
      <c r="E525" s="121">
        <v>0</v>
      </c>
      <c r="F525" s="121">
        <v>0</v>
      </c>
      <c r="G525" s="121" t="s">
        <v>1586</v>
      </c>
      <c r="H525" s="121">
        <f t="shared" si="16"/>
        <v>0</v>
      </c>
      <c r="I525" s="121">
        <f>LUCK!G60</f>
        <v>0</v>
      </c>
      <c r="J525" s="121">
        <f t="shared" si="17"/>
        <v>0</v>
      </c>
      <c r="K525" s="50" t="s">
        <v>1598</v>
      </c>
      <c r="L525" s="50">
        <v>240</v>
      </c>
      <c r="M525" s="50" t="s">
        <v>1106</v>
      </c>
      <c r="N525" s="68" t="s">
        <v>3578</v>
      </c>
      <c r="O525" s="68" t="s">
        <v>3579</v>
      </c>
      <c r="P525" s="68" t="s">
        <v>4066</v>
      </c>
    </row>
    <row r="526" spans="1:16" ht="82.05" customHeight="1" x14ac:dyDescent="0.3">
      <c r="A526" s="119" t="s">
        <v>1815</v>
      </c>
      <c r="B526" s="119" t="s">
        <v>68</v>
      </c>
      <c r="C526" s="119" t="s">
        <v>29</v>
      </c>
      <c r="D526" s="119" t="s">
        <v>320</v>
      </c>
      <c r="E526" s="120">
        <v>0</v>
      </c>
      <c r="F526" s="120">
        <v>0</v>
      </c>
      <c r="G526" s="120" t="s">
        <v>1586</v>
      </c>
      <c r="H526" s="120">
        <f t="shared" si="16"/>
        <v>0</v>
      </c>
      <c r="I526" s="120">
        <f>LUCK!H60</f>
        <v>0</v>
      </c>
      <c r="J526" s="120">
        <f t="shared" si="17"/>
        <v>0</v>
      </c>
      <c r="K526" s="119" t="s">
        <v>1598</v>
      </c>
      <c r="L526" s="119">
        <v>240</v>
      </c>
      <c r="M526" s="119" t="s">
        <v>1127</v>
      </c>
      <c r="N526" s="122" t="s">
        <v>3578</v>
      </c>
      <c r="O526" s="122" t="s">
        <v>3579</v>
      </c>
      <c r="P526" s="122" t="s">
        <v>4066</v>
      </c>
    </row>
    <row r="527" spans="1:16" ht="82.05" customHeight="1" x14ac:dyDescent="0.3">
      <c r="A527" s="50" t="s">
        <v>1816</v>
      </c>
      <c r="B527" s="50" t="s">
        <v>68</v>
      </c>
      <c r="C527" s="50" t="s">
        <v>965</v>
      </c>
      <c r="D527" s="50" t="s">
        <v>345</v>
      </c>
      <c r="E527" s="121">
        <v>135868474</v>
      </c>
      <c r="F527" s="121">
        <v>135868474</v>
      </c>
      <c r="G527" s="121" t="s">
        <v>1586</v>
      </c>
      <c r="H527" s="121">
        <f t="shared" si="16"/>
        <v>135868.47399999999</v>
      </c>
      <c r="I527" s="121">
        <f>LUCK!C75</f>
        <v>135868.47399999999</v>
      </c>
      <c r="J527" s="121">
        <f t="shared" si="17"/>
        <v>0</v>
      </c>
      <c r="K527" s="50" t="s">
        <v>1584</v>
      </c>
      <c r="L527" s="50">
        <v>191</v>
      </c>
      <c r="M527" s="50" t="s">
        <v>1106</v>
      </c>
      <c r="N527" s="68" t="s">
        <v>3564</v>
      </c>
      <c r="O527" s="68" t="s">
        <v>3565</v>
      </c>
      <c r="P527" s="68" t="s">
        <v>4067</v>
      </c>
    </row>
    <row r="528" spans="1:16" ht="82.05" customHeight="1" x14ac:dyDescent="0.3">
      <c r="A528" s="119" t="s">
        <v>1817</v>
      </c>
      <c r="B528" s="119" t="s">
        <v>68</v>
      </c>
      <c r="C528" s="119" t="s">
        <v>20</v>
      </c>
      <c r="D528" s="119" t="s">
        <v>345</v>
      </c>
      <c r="E528" s="120">
        <v>156368062</v>
      </c>
      <c r="F528" s="120">
        <v>156368062</v>
      </c>
      <c r="G528" s="120" t="s">
        <v>1586</v>
      </c>
      <c r="H528" s="120">
        <f t="shared" si="16"/>
        <v>156368.06200000001</v>
      </c>
      <c r="I528" s="120">
        <f>LUCK!D75</f>
        <v>156368.06200000001</v>
      </c>
      <c r="J528" s="120">
        <f t="shared" si="17"/>
        <v>0</v>
      </c>
      <c r="K528" s="119" t="s">
        <v>1589</v>
      </c>
      <c r="L528" s="119">
        <v>226</v>
      </c>
      <c r="M528" s="119" t="s">
        <v>1106</v>
      </c>
      <c r="N528" s="122" t="s">
        <v>3564</v>
      </c>
      <c r="O528" s="122" t="s">
        <v>3565</v>
      </c>
      <c r="P528" s="122" t="s">
        <v>4068</v>
      </c>
    </row>
    <row r="529" spans="1:16" ht="82.05" customHeight="1" x14ac:dyDescent="0.3">
      <c r="A529" s="50" t="s">
        <v>1818</v>
      </c>
      <c r="B529" s="50" t="s">
        <v>68</v>
      </c>
      <c r="C529" s="50" t="s">
        <v>26</v>
      </c>
      <c r="D529" s="50" t="s">
        <v>345</v>
      </c>
      <c r="E529" s="121">
        <v>184962368</v>
      </c>
      <c r="F529" s="121">
        <v>184962368</v>
      </c>
      <c r="G529" s="121" t="s">
        <v>1586</v>
      </c>
      <c r="H529" s="121">
        <f t="shared" si="16"/>
        <v>184962.36799999999</v>
      </c>
      <c r="I529" s="121">
        <f>LUCK!E75</f>
        <v>184962.36799999999</v>
      </c>
      <c r="J529" s="121">
        <f t="shared" si="17"/>
        <v>0</v>
      </c>
      <c r="K529" s="50" t="s">
        <v>1592</v>
      </c>
      <c r="L529" s="50">
        <v>234</v>
      </c>
      <c r="M529" s="50" t="s">
        <v>1106</v>
      </c>
      <c r="N529" s="68" t="s">
        <v>3564</v>
      </c>
      <c r="O529" s="68" t="s">
        <v>3565</v>
      </c>
      <c r="P529" s="68" t="s">
        <v>4069</v>
      </c>
    </row>
    <row r="530" spans="1:16" ht="82.05" customHeight="1" x14ac:dyDescent="0.3">
      <c r="A530" s="119" t="s">
        <v>1819</v>
      </c>
      <c r="B530" s="119" t="s">
        <v>68</v>
      </c>
      <c r="C530" s="119" t="s">
        <v>27</v>
      </c>
      <c r="D530" s="119" t="s">
        <v>345</v>
      </c>
      <c r="E530" s="120">
        <v>213079067</v>
      </c>
      <c r="F530" s="120">
        <v>213079067</v>
      </c>
      <c r="G530" s="120" t="s">
        <v>1586</v>
      </c>
      <c r="H530" s="120">
        <f t="shared" si="16"/>
        <v>213079.06700000001</v>
      </c>
      <c r="I530" s="120">
        <f>LUCK!F75</f>
        <v>213079.06700000001</v>
      </c>
      <c r="J530" s="120">
        <f t="shared" si="17"/>
        <v>0</v>
      </c>
      <c r="K530" s="119" t="s">
        <v>1595</v>
      </c>
      <c r="L530" s="119">
        <v>238</v>
      </c>
      <c r="M530" s="119" t="s">
        <v>1106</v>
      </c>
      <c r="N530" s="122" t="s">
        <v>3564</v>
      </c>
      <c r="O530" s="122" t="s">
        <v>3565</v>
      </c>
      <c r="P530" s="122" t="s">
        <v>4070</v>
      </c>
    </row>
    <row r="531" spans="1:16" ht="82.05" customHeight="1" x14ac:dyDescent="0.3">
      <c r="A531" s="50" t="s">
        <v>1820</v>
      </c>
      <c r="B531" s="50" t="s">
        <v>68</v>
      </c>
      <c r="C531" s="50" t="s">
        <v>28</v>
      </c>
      <c r="D531" s="50" t="s">
        <v>345</v>
      </c>
      <c r="E531" s="121">
        <v>234018090</v>
      </c>
      <c r="F531" s="121">
        <v>234018090</v>
      </c>
      <c r="G531" s="121" t="s">
        <v>1586</v>
      </c>
      <c r="H531" s="121">
        <f t="shared" si="16"/>
        <v>234018.09</v>
      </c>
      <c r="I531" s="121">
        <f>LUCK!G75</f>
        <v>234018.09</v>
      </c>
      <c r="J531" s="121">
        <f t="shared" si="17"/>
        <v>0</v>
      </c>
      <c r="K531" s="50" t="s">
        <v>1598</v>
      </c>
      <c r="L531" s="50">
        <v>240</v>
      </c>
      <c r="M531" s="50" t="s">
        <v>1106</v>
      </c>
      <c r="N531" s="68" t="s">
        <v>3564</v>
      </c>
      <c r="O531" s="68" t="s">
        <v>3565</v>
      </c>
      <c r="P531" s="68" t="s">
        <v>4071</v>
      </c>
    </row>
    <row r="532" spans="1:16" ht="82.05" customHeight="1" x14ac:dyDescent="0.3">
      <c r="A532" s="119" t="s">
        <v>1821</v>
      </c>
      <c r="B532" s="119" t="s">
        <v>68</v>
      </c>
      <c r="C532" s="119" t="s">
        <v>29</v>
      </c>
      <c r="D532" s="119" t="s">
        <v>345</v>
      </c>
      <c r="E532" s="120">
        <v>266748030</v>
      </c>
      <c r="F532" s="120">
        <v>266748030</v>
      </c>
      <c r="G532" s="120" t="s">
        <v>1586</v>
      </c>
      <c r="H532" s="120">
        <f t="shared" si="16"/>
        <v>266748.03000000003</v>
      </c>
      <c r="I532" s="120">
        <f>LUCK!H75</f>
        <v>266748.03000000003</v>
      </c>
      <c r="J532" s="120">
        <f t="shared" si="17"/>
        <v>0</v>
      </c>
      <c r="K532" s="119" t="s">
        <v>1598</v>
      </c>
      <c r="L532" s="119">
        <v>240</v>
      </c>
      <c r="M532" s="119" t="s">
        <v>1127</v>
      </c>
      <c r="N532" s="122" t="s">
        <v>3564</v>
      </c>
      <c r="O532" s="122" t="s">
        <v>3565</v>
      </c>
      <c r="P532" s="122" t="s">
        <v>4072</v>
      </c>
    </row>
    <row r="533" spans="1:16" ht="82.05" customHeight="1" x14ac:dyDescent="0.3">
      <c r="A533" s="50" t="s">
        <v>1822</v>
      </c>
      <c r="B533" s="50" t="s">
        <v>68</v>
      </c>
      <c r="C533" s="50" t="s">
        <v>965</v>
      </c>
      <c r="D533" s="50" t="s">
        <v>347</v>
      </c>
      <c r="E533" s="121">
        <v>99183861</v>
      </c>
      <c r="F533" s="121">
        <v>99183861</v>
      </c>
      <c r="G533" s="121" t="s">
        <v>1586</v>
      </c>
      <c r="H533" s="121">
        <f t="shared" ref="H533:H596" si="18">F533/1000</f>
        <v>99183.861000000004</v>
      </c>
      <c r="I533" s="121">
        <f>LUCK!C76</f>
        <v>99183.861000000004</v>
      </c>
      <c r="J533" s="121">
        <f t="shared" si="17"/>
        <v>0</v>
      </c>
      <c r="K533" s="50" t="s">
        <v>1584</v>
      </c>
      <c r="L533" s="50">
        <v>191</v>
      </c>
      <c r="M533" s="50" t="s">
        <v>1106</v>
      </c>
      <c r="N533" s="68" t="s">
        <v>3564</v>
      </c>
      <c r="O533" s="68" t="s">
        <v>3565</v>
      </c>
      <c r="P533" s="68" t="s">
        <v>4073</v>
      </c>
    </row>
    <row r="534" spans="1:16" ht="82.05" customHeight="1" x14ac:dyDescent="0.3">
      <c r="A534" s="119" t="s">
        <v>1823</v>
      </c>
      <c r="B534" s="119" t="s">
        <v>68</v>
      </c>
      <c r="C534" s="119" t="s">
        <v>20</v>
      </c>
      <c r="D534" s="119" t="s">
        <v>347</v>
      </c>
      <c r="E534" s="120">
        <v>113200258</v>
      </c>
      <c r="F534" s="120">
        <v>113200258</v>
      </c>
      <c r="G534" s="120" t="s">
        <v>1586</v>
      </c>
      <c r="H534" s="120">
        <f t="shared" si="18"/>
        <v>113200.258</v>
      </c>
      <c r="I534" s="120">
        <f>LUCK!D76</f>
        <v>113200.258</v>
      </c>
      <c r="J534" s="120">
        <f t="shared" si="17"/>
        <v>0</v>
      </c>
      <c r="K534" s="119" t="s">
        <v>1589</v>
      </c>
      <c r="L534" s="119">
        <v>226</v>
      </c>
      <c r="M534" s="119" t="s">
        <v>1106</v>
      </c>
      <c r="N534" s="122" t="s">
        <v>3564</v>
      </c>
      <c r="O534" s="122" t="s">
        <v>3565</v>
      </c>
      <c r="P534" s="122" t="s">
        <v>4074</v>
      </c>
    </row>
    <row r="535" spans="1:16" ht="82.05" customHeight="1" x14ac:dyDescent="0.3">
      <c r="A535" s="50" t="s">
        <v>1824</v>
      </c>
      <c r="B535" s="50" t="s">
        <v>68</v>
      </c>
      <c r="C535" s="50" t="s">
        <v>26</v>
      </c>
      <c r="D535" s="50" t="s">
        <v>347</v>
      </c>
      <c r="E535" s="121">
        <v>128540324</v>
      </c>
      <c r="F535" s="121">
        <v>128540324</v>
      </c>
      <c r="G535" s="121" t="s">
        <v>1586</v>
      </c>
      <c r="H535" s="121">
        <f t="shared" si="18"/>
        <v>128540.32399999999</v>
      </c>
      <c r="I535" s="121">
        <f>LUCK!E76</f>
        <v>128540.32399999999</v>
      </c>
      <c r="J535" s="121">
        <f t="shared" si="17"/>
        <v>0</v>
      </c>
      <c r="K535" s="50" t="s">
        <v>1592</v>
      </c>
      <c r="L535" s="50">
        <v>234</v>
      </c>
      <c r="M535" s="50" t="s">
        <v>1106</v>
      </c>
      <c r="N535" s="68" t="s">
        <v>3564</v>
      </c>
      <c r="O535" s="68" t="s">
        <v>3565</v>
      </c>
      <c r="P535" s="68" t="s">
        <v>4075</v>
      </c>
    </row>
    <row r="536" spans="1:16" ht="82.05" customHeight="1" x14ac:dyDescent="0.3">
      <c r="A536" s="119" t="s">
        <v>1825</v>
      </c>
      <c r="B536" s="119" t="s">
        <v>68</v>
      </c>
      <c r="C536" s="119" t="s">
        <v>27</v>
      </c>
      <c r="D536" s="119" t="s">
        <v>347</v>
      </c>
      <c r="E536" s="120">
        <v>137366326</v>
      </c>
      <c r="F536" s="120">
        <v>137366326</v>
      </c>
      <c r="G536" s="120" t="s">
        <v>1586</v>
      </c>
      <c r="H536" s="120">
        <f t="shared" si="18"/>
        <v>137366.326</v>
      </c>
      <c r="I536" s="120">
        <f>LUCK!F76</f>
        <v>137366.326</v>
      </c>
      <c r="J536" s="120">
        <f t="shared" si="17"/>
        <v>0</v>
      </c>
      <c r="K536" s="119" t="s">
        <v>1595</v>
      </c>
      <c r="L536" s="119">
        <v>238</v>
      </c>
      <c r="M536" s="119" t="s">
        <v>1106</v>
      </c>
      <c r="N536" s="122" t="s">
        <v>3564</v>
      </c>
      <c r="O536" s="122" t="s">
        <v>3565</v>
      </c>
      <c r="P536" s="122" t="s">
        <v>4076</v>
      </c>
    </row>
    <row r="537" spans="1:16" ht="82.05" customHeight="1" x14ac:dyDescent="0.3">
      <c r="A537" s="50" t="s">
        <v>1826</v>
      </c>
      <c r="B537" s="50" t="s">
        <v>68</v>
      </c>
      <c r="C537" s="50" t="s">
        <v>28</v>
      </c>
      <c r="D537" s="50" t="s">
        <v>347</v>
      </c>
      <c r="E537" s="121">
        <v>147761277</v>
      </c>
      <c r="F537" s="121">
        <v>147761277</v>
      </c>
      <c r="G537" s="121" t="s">
        <v>1586</v>
      </c>
      <c r="H537" s="121">
        <f t="shared" si="18"/>
        <v>147761.277</v>
      </c>
      <c r="I537" s="121">
        <f>LUCK!G76</f>
        <v>147761.277</v>
      </c>
      <c r="J537" s="121">
        <f t="shared" si="17"/>
        <v>0</v>
      </c>
      <c r="K537" s="50" t="s">
        <v>1598</v>
      </c>
      <c r="L537" s="50">
        <v>240</v>
      </c>
      <c r="M537" s="50" t="s">
        <v>1106</v>
      </c>
      <c r="N537" s="68" t="s">
        <v>3564</v>
      </c>
      <c r="O537" s="68" t="s">
        <v>3565</v>
      </c>
      <c r="P537" s="68" t="s">
        <v>4077</v>
      </c>
    </row>
    <row r="538" spans="1:16" ht="82.05" customHeight="1" x14ac:dyDescent="0.3">
      <c r="A538" s="119" t="s">
        <v>1827</v>
      </c>
      <c r="B538" s="119" t="s">
        <v>68</v>
      </c>
      <c r="C538" s="119" t="s">
        <v>29</v>
      </c>
      <c r="D538" s="119" t="s">
        <v>347</v>
      </c>
      <c r="E538" s="120">
        <v>175910400</v>
      </c>
      <c r="F538" s="120">
        <v>175910400</v>
      </c>
      <c r="G538" s="120" t="s">
        <v>1586</v>
      </c>
      <c r="H538" s="120">
        <f t="shared" si="18"/>
        <v>175910.39999999999</v>
      </c>
      <c r="I538" s="120">
        <f>LUCK!H76</f>
        <v>175910.39999999999</v>
      </c>
      <c r="J538" s="120">
        <f t="shared" si="17"/>
        <v>0</v>
      </c>
      <c r="K538" s="119" t="s">
        <v>1598</v>
      </c>
      <c r="L538" s="119">
        <v>240</v>
      </c>
      <c r="M538" s="119" t="s">
        <v>1127</v>
      </c>
      <c r="N538" s="122" t="s">
        <v>3564</v>
      </c>
      <c r="O538" s="122" t="s">
        <v>3565</v>
      </c>
      <c r="P538" s="122" t="s">
        <v>4078</v>
      </c>
    </row>
    <row r="539" spans="1:16" ht="82.05" customHeight="1" x14ac:dyDescent="0.3">
      <c r="A539" s="50" t="s">
        <v>1828</v>
      </c>
      <c r="B539" s="50" t="s">
        <v>68</v>
      </c>
      <c r="C539" s="50" t="s">
        <v>965</v>
      </c>
      <c r="D539" s="50" t="s">
        <v>349</v>
      </c>
      <c r="E539" s="121">
        <v>28374913</v>
      </c>
      <c r="F539" s="121">
        <v>28374913</v>
      </c>
      <c r="G539" s="121" t="s">
        <v>1586</v>
      </c>
      <c r="H539" s="121">
        <f t="shared" si="18"/>
        <v>28374.913</v>
      </c>
      <c r="I539" s="121">
        <f>LUCK!C77</f>
        <v>28374.913</v>
      </c>
      <c r="J539" s="121">
        <f t="shared" si="17"/>
        <v>0</v>
      </c>
      <c r="K539" s="50" t="s">
        <v>1584</v>
      </c>
      <c r="L539" s="50">
        <v>191</v>
      </c>
      <c r="M539" s="50" t="s">
        <v>1106</v>
      </c>
      <c r="N539" s="68" t="s">
        <v>3564</v>
      </c>
      <c r="O539" s="68" t="s">
        <v>3565</v>
      </c>
      <c r="P539" s="68" t="s">
        <v>4079</v>
      </c>
    </row>
    <row r="540" spans="1:16" ht="82.05" customHeight="1" x14ac:dyDescent="0.3">
      <c r="A540" s="119" t="s">
        <v>1829</v>
      </c>
      <c r="B540" s="119" t="s">
        <v>68</v>
      </c>
      <c r="C540" s="119" t="s">
        <v>20</v>
      </c>
      <c r="D540" s="119" t="s">
        <v>349</v>
      </c>
      <c r="E540" s="120">
        <v>40676368</v>
      </c>
      <c r="F540" s="120">
        <v>40676368</v>
      </c>
      <c r="G540" s="120" t="s">
        <v>1586</v>
      </c>
      <c r="H540" s="120">
        <f t="shared" si="18"/>
        <v>40676.368000000002</v>
      </c>
      <c r="I540" s="120">
        <f>LUCK!D77</f>
        <v>40676.368000000002</v>
      </c>
      <c r="J540" s="120">
        <f t="shared" si="17"/>
        <v>0</v>
      </c>
      <c r="K540" s="119" t="s">
        <v>1589</v>
      </c>
      <c r="L540" s="119">
        <v>226</v>
      </c>
      <c r="M540" s="119" t="s">
        <v>1106</v>
      </c>
      <c r="N540" s="122" t="s">
        <v>3564</v>
      </c>
      <c r="O540" s="122" t="s">
        <v>3565</v>
      </c>
      <c r="P540" s="122" t="s">
        <v>4080</v>
      </c>
    </row>
    <row r="541" spans="1:16" ht="82.05" customHeight="1" x14ac:dyDescent="0.3">
      <c r="A541" s="50" t="s">
        <v>1830</v>
      </c>
      <c r="B541" s="50" t="s">
        <v>68</v>
      </c>
      <c r="C541" s="50" t="s">
        <v>26</v>
      </c>
      <c r="D541" s="50" t="s">
        <v>349</v>
      </c>
      <c r="E541" s="121">
        <v>44815691</v>
      </c>
      <c r="F541" s="121">
        <v>44815691</v>
      </c>
      <c r="G541" s="121" t="s">
        <v>1586</v>
      </c>
      <c r="H541" s="121">
        <f t="shared" si="18"/>
        <v>44815.690999999999</v>
      </c>
      <c r="I541" s="121">
        <f>LUCK!E77</f>
        <v>44815.690999999999</v>
      </c>
      <c r="J541" s="121">
        <f t="shared" si="17"/>
        <v>0</v>
      </c>
      <c r="K541" s="50" t="s">
        <v>1592</v>
      </c>
      <c r="L541" s="50">
        <v>234</v>
      </c>
      <c r="M541" s="50" t="s">
        <v>1106</v>
      </c>
      <c r="N541" s="68" t="s">
        <v>3564</v>
      </c>
      <c r="O541" s="68" t="s">
        <v>3565</v>
      </c>
      <c r="P541" s="68" t="s">
        <v>4081</v>
      </c>
    </row>
    <row r="542" spans="1:16" ht="82.05" customHeight="1" x14ac:dyDescent="0.3">
      <c r="A542" s="119" t="s">
        <v>1831</v>
      </c>
      <c r="B542" s="119" t="s">
        <v>68</v>
      </c>
      <c r="C542" s="119" t="s">
        <v>27</v>
      </c>
      <c r="D542" s="119" t="s">
        <v>349</v>
      </c>
      <c r="E542" s="120">
        <v>59576642</v>
      </c>
      <c r="F542" s="120">
        <v>59576642</v>
      </c>
      <c r="G542" s="120" t="s">
        <v>1586</v>
      </c>
      <c r="H542" s="120">
        <f t="shared" si="18"/>
        <v>59576.642</v>
      </c>
      <c r="I542" s="120">
        <f>LUCK!F77</f>
        <v>59576.642</v>
      </c>
      <c r="J542" s="120">
        <f t="shared" si="17"/>
        <v>0</v>
      </c>
      <c r="K542" s="119" t="s">
        <v>1595</v>
      </c>
      <c r="L542" s="119">
        <v>238</v>
      </c>
      <c r="M542" s="119" t="s">
        <v>1106</v>
      </c>
      <c r="N542" s="122" t="s">
        <v>3564</v>
      </c>
      <c r="O542" s="122" t="s">
        <v>3565</v>
      </c>
      <c r="P542" s="122" t="s">
        <v>4082</v>
      </c>
    </row>
    <row r="543" spans="1:16" ht="82.05" customHeight="1" x14ac:dyDescent="0.3">
      <c r="A543" s="50" t="s">
        <v>1832</v>
      </c>
      <c r="B543" s="50" t="s">
        <v>68</v>
      </c>
      <c r="C543" s="50" t="s">
        <v>28</v>
      </c>
      <c r="D543" s="50" t="s">
        <v>349</v>
      </c>
      <c r="E543" s="121">
        <v>68452084</v>
      </c>
      <c r="F543" s="121">
        <v>68452084</v>
      </c>
      <c r="G543" s="121" t="s">
        <v>1586</v>
      </c>
      <c r="H543" s="121">
        <f t="shared" si="18"/>
        <v>68452.084000000003</v>
      </c>
      <c r="I543" s="121">
        <f>LUCK!G77</f>
        <v>68452.084000000003</v>
      </c>
      <c r="J543" s="121">
        <f t="shared" si="17"/>
        <v>0</v>
      </c>
      <c r="K543" s="50" t="s">
        <v>1598</v>
      </c>
      <c r="L543" s="50">
        <v>240</v>
      </c>
      <c r="M543" s="50" t="s">
        <v>1106</v>
      </c>
      <c r="N543" s="68" t="s">
        <v>3564</v>
      </c>
      <c r="O543" s="68" t="s">
        <v>3565</v>
      </c>
      <c r="P543" s="68" t="s">
        <v>4083</v>
      </c>
    </row>
    <row r="544" spans="1:16" ht="82.05" customHeight="1" x14ac:dyDescent="0.3">
      <c r="A544" s="119" t="s">
        <v>1833</v>
      </c>
      <c r="B544" s="119" t="s">
        <v>68</v>
      </c>
      <c r="C544" s="119" t="s">
        <v>29</v>
      </c>
      <c r="D544" s="119" t="s">
        <v>349</v>
      </c>
      <c r="E544" s="120">
        <v>100547359</v>
      </c>
      <c r="F544" s="120">
        <v>100547359</v>
      </c>
      <c r="G544" s="120" t="s">
        <v>1586</v>
      </c>
      <c r="H544" s="120">
        <f t="shared" si="18"/>
        <v>100547.359</v>
      </c>
      <c r="I544" s="120">
        <f>LUCK!H77</f>
        <v>100547.359</v>
      </c>
      <c r="J544" s="120">
        <f t="shared" si="17"/>
        <v>0</v>
      </c>
      <c r="K544" s="119" t="s">
        <v>1598</v>
      </c>
      <c r="L544" s="119">
        <v>240</v>
      </c>
      <c r="M544" s="119" t="s">
        <v>1127</v>
      </c>
      <c r="N544" s="122" t="s">
        <v>3564</v>
      </c>
      <c r="O544" s="122" t="s">
        <v>3565</v>
      </c>
      <c r="P544" s="122" t="s">
        <v>4084</v>
      </c>
    </row>
    <row r="545" spans="1:16" ht="82.05" customHeight="1" x14ac:dyDescent="0.3">
      <c r="A545" s="50" t="s">
        <v>1834</v>
      </c>
      <c r="B545" s="50" t="s">
        <v>68</v>
      </c>
      <c r="C545" s="50" t="s">
        <v>965</v>
      </c>
      <c r="D545" s="50" t="s">
        <v>351</v>
      </c>
      <c r="E545" s="121">
        <v>28955352</v>
      </c>
      <c r="F545" s="121">
        <v>28955352</v>
      </c>
      <c r="G545" s="121" t="s">
        <v>1586</v>
      </c>
      <c r="H545" s="121">
        <f t="shared" si="18"/>
        <v>28955.351999999999</v>
      </c>
      <c r="I545" s="121">
        <f>LUCK!C78</f>
        <v>28955.351999999999</v>
      </c>
      <c r="J545" s="121">
        <f t="shared" si="17"/>
        <v>0</v>
      </c>
      <c r="K545" s="50" t="s">
        <v>1584</v>
      </c>
      <c r="L545" s="50">
        <v>191</v>
      </c>
      <c r="M545" s="50" t="s">
        <v>1106</v>
      </c>
      <c r="N545" s="68" t="s">
        <v>3564</v>
      </c>
      <c r="O545" s="68" t="s">
        <v>3565</v>
      </c>
      <c r="P545" s="68" t="s">
        <v>4085</v>
      </c>
    </row>
    <row r="546" spans="1:16" ht="82.05" customHeight="1" x14ac:dyDescent="0.3">
      <c r="A546" s="119" t="s">
        <v>1835</v>
      </c>
      <c r="B546" s="119" t="s">
        <v>68</v>
      </c>
      <c r="C546" s="119" t="s">
        <v>20</v>
      </c>
      <c r="D546" s="119" t="s">
        <v>351</v>
      </c>
      <c r="E546" s="120">
        <v>30387066</v>
      </c>
      <c r="F546" s="120">
        <v>30387066</v>
      </c>
      <c r="G546" s="120" t="s">
        <v>1586</v>
      </c>
      <c r="H546" s="120">
        <f t="shared" si="18"/>
        <v>30387.065999999999</v>
      </c>
      <c r="I546" s="120">
        <f>LUCK!D78</f>
        <v>30387.065999999999</v>
      </c>
      <c r="J546" s="120">
        <f t="shared" si="17"/>
        <v>0</v>
      </c>
      <c r="K546" s="119" t="s">
        <v>1589</v>
      </c>
      <c r="L546" s="119">
        <v>226</v>
      </c>
      <c r="M546" s="119" t="s">
        <v>1106</v>
      </c>
      <c r="N546" s="122" t="s">
        <v>3564</v>
      </c>
      <c r="O546" s="122" t="s">
        <v>3565</v>
      </c>
      <c r="P546" s="122" t="s">
        <v>4086</v>
      </c>
    </row>
    <row r="547" spans="1:16" ht="82.05" customHeight="1" x14ac:dyDescent="0.3">
      <c r="A547" s="50" t="s">
        <v>1836</v>
      </c>
      <c r="B547" s="50" t="s">
        <v>68</v>
      </c>
      <c r="C547" s="50" t="s">
        <v>26</v>
      </c>
      <c r="D547" s="50" t="s">
        <v>351</v>
      </c>
      <c r="E547" s="121">
        <v>30361358</v>
      </c>
      <c r="F547" s="121">
        <v>30361358</v>
      </c>
      <c r="G547" s="121" t="s">
        <v>1586</v>
      </c>
      <c r="H547" s="121">
        <f t="shared" si="18"/>
        <v>30361.358</v>
      </c>
      <c r="I547" s="121">
        <f>LUCK!E78</f>
        <v>30361.358</v>
      </c>
      <c r="J547" s="121">
        <f t="shared" si="17"/>
        <v>0</v>
      </c>
      <c r="K547" s="50" t="s">
        <v>1592</v>
      </c>
      <c r="L547" s="50">
        <v>234</v>
      </c>
      <c r="M547" s="50" t="s">
        <v>1106</v>
      </c>
      <c r="N547" s="68" t="s">
        <v>3564</v>
      </c>
      <c r="O547" s="68" t="s">
        <v>3565</v>
      </c>
      <c r="P547" s="68" t="s">
        <v>4087</v>
      </c>
    </row>
    <row r="548" spans="1:16" ht="82.05" customHeight="1" x14ac:dyDescent="0.3">
      <c r="A548" s="119" t="s">
        <v>1837</v>
      </c>
      <c r="B548" s="119" t="s">
        <v>68</v>
      </c>
      <c r="C548" s="119" t="s">
        <v>27</v>
      </c>
      <c r="D548" s="119" t="s">
        <v>351</v>
      </c>
      <c r="E548" s="120">
        <v>46180879</v>
      </c>
      <c r="F548" s="120">
        <v>46180879</v>
      </c>
      <c r="G548" s="120" t="s">
        <v>1586</v>
      </c>
      <c r="H548" s="120">
        <f t="shared" si="18"/>
        <v>46180.879000000001</v>
      </c>
      <c r="I548" s="120">
        <f>LUCK!F78</f>
        <v>46180.879000000001</v>
      </c>
      <c r="J548" s="120">
        <f t="shared" si="17"/>
        <v>0</v>
      </c>
      <c r="K548" s="119" t="s">
        <v>1595</v>
      </c>
      <c r="L548" s="119">
        <v>238</v>
      </c>
      <c r="M548" s="119" t="s">
        <v>1106</v>
      </c>
      <c r="N548" s="122" t="s">
        <v>3564</v>
      </c>
      <c r="O548" s="122" t="s">
        <v>3565</v>
      </c>
      <c r="P548" s="122" t="s">
        <v>4088</v>
      </c>
    </row>
    <row r="549" spans="1:16" ht="82.05" customHeight="1" x14ac:dyDescent="0.3">
      <c r="A549" s="50" t="s">
        <v>1838</v>
      </c>
      <c r="B549" s="50" t="s">
        <v>68</v>
      </c>
      <c r="C549" s="50" t="s">
        <v>28</v>
      </c>
      <c r="D549" s="50" t="s">
        <v>351</v>
      </c>
      <c r="E549" s="121">
        <v>54188473</v>
      </c>
      <c r="F549" s="121">
        <v>54188473</v>
      </c>
      <c r="G549" s="121" t="s">
        <v>1586</v>
      </c>
      <c r="H549" s="121">
        <f t="shared" si="18"/>
        <v>54188.472999999998</v>
      </c>
      <c r="I549" s="121">
        <f>LUCK!G78</f>
        <v>54188.472999999998</v>
      </c>
      <c r="J549" s="121">
        <f t="shared" si="17"/>
        <v>0</v>
      </c>
      <c r="K549" s="50" t="s">
        <v>1598</v>
      </c>
      <c r="L549" s="50">
        <v>240</v>
      </c>
      <c r="M549" s="50" t="s">
        <v>1106</v>
      </c>
      <c r="N549" s="68" t="s">
        <v>3564</v>
      </c>
      <c r="O549" s="68" t="s">
        <v>3565</v>
      </c>
      <c r="P549" s="68" t="s">
        <v>4089</v>
      </c>
    </row>
    <row r="550" spans="1:16" ht="82.05" customHeight="1" x14ac:dyDescent="0.3">
      <c r="A550" s="119" t="s">
        <v>1839</v>
      </c>
      <c r="B550" s="119" t="s">
        <v>68</v>
      </c>
      <c r="C550" s="119" t="s">
        <v>29</v>
      </c>
      <c r="D550" s="119" t="s">
        <v>351</v>
      </c>
      <c r="E550" s="120">
        <v>58641383</v>
      </c>
      <c r="F550" s="120">
        <v>58641383</v>
      </c>
      <c r="G550" s="120" t="s">
        <v>1586</v>
      </c>
      <c r="H550" s="120">
        <f t="shared" si="18"/>
        <v>58641.383000000002</v>
      </c>
      <c r="I550" s="120">
        <f>LUCK!H78</f>
        <v>58641.383000000002</v>
      </c>
      <c r="J550" s="120">
        <f t="shared" si="17"/>
        <v>0</v>
      </c>
      <c r="K550" s="119" t="s">
        <v>1598</v>
      </c>
      <c r="L550" s="119">
        <v>240</v>
      </c>
      <c r="M550" s="119" t="s">
        <v>1127</v>
      </c>
      <c r="N550" s="122" t="s">
        <v>3564</v>
      </c>
      <c r="O550" s="122" t="s">
        <v>3565</v>
      </c>
      <c r="P550" s="122" t="s">
        <v>4090</v>
      </c>
    </row>
    <row r="551" spans="1:16" ht="82.05" customHeight="1" x14ac:dyDescent="0.3">
      <c r="A551" s="50" t="s">
        <v>1840</v>
      </c>
      <c r="B551" s="50" t="s">
        <v>68</v>
      </c>
      <c r="C551" s="50" t="s">
        <v>20</v>
      </c>
      <c r="D551" s="50" t="s">
        <v>358</v>
      </c>
      <c r="E551" s="121">
        <v>62940805</v>
      </c>
      <c r="F551" s="121">
        <v>62940805</v>
      </c>
      <c r="G551" s="121" t="s">
        <v>1586</v>
      </c>
      <c r="H551" s="121">
        <f t="shared" si="18"/>
        <v>62940.805</v>
      </c>
      <c r="I551" s="121">
        <f>LUCK!D84</f>
        <v>62940.805</v>
      </c>
      <c r="J551" s="121">
        <f t="shared" si="17"/>
        <v>0</v>
      </c>
      <c r="K551" s="50" t="s">
        <v>1589</v>
      </c>
      <c r="L551" s="50">
        <v>227</v>
      </c>
      <c r="M551" s="50" t="s">
        <v>1106</v>
      </c>
      <c r="N551" s="68" t="s">
        <v>3564</v>
      </c>
      <c r="O551" s="68" t="s">
        <v>3565</v>
      </c>
      <c r="P551" s="68" t="s">
        <v>4091</v>
      </c>
    </row>
    <row r="552" spans="1:16" ht="82.05" customHeight="1" x14ac:dyDescent="0.3">
      <c r="A552" s="119" t="s">
        <v>1843</v>
      </c>
      <c r="B552" s="119" t="s">
        <v>68</v>
      </c>
      <c r="C552" s="119" t="s">
        <v>26</v>
      </c>
      <c r="D552" s="119" t="s">
        <v>358</v>
      </c>
      <c r="E552" s="120">
        <v>81093525</v>
      </c>
      <c r="F552" s="120">
        <v>81093525</v>
      </c>
      <c r="G552" s="120" t="s">
        <v>1586</v>
      </c>
      <c r="H552" s="120">
        <f t="shared" si="18"/>
        <v>81093.524999999994</v>
      </c>
      <c r="I552" s="120">
        <f>LUCK!E84</f>
        <v>81093.524999999994</v>
      </c>
      <c r="J552" s="120">
        <f t="shared" si="17"/>
        <v>0</v>
      </c>
      <c r="K552" s="119" t="s">
        <v>1592</v>
      </c>
      <c r="L552" s="119">
        <v>235</v>
      </c>
      <c r="M552" s="119" t="s">
        <v>1106</v>
      </c>
      <c r="N552" s="122" t="s">
        <v>3564</v>
      </c>
      <c r="O552" s="122" t="s">
        <v>3565</v>
      </c>
      <c r="P552" s="122" t="s">
        <v>4092</v>
      </c>
    </row>
    <row r="553" spans="1:16" ht="82.05" customHeight="1" x14ac:dyDescent="0.3">
      <c r="A553" s="50" t="s">
        <v>1845</v>
      </c>
      <c r="B553" s="50" t="s">
        <v>68</v>
      </c>
      <c r="C553" s="50" t="s">
        <v>27</v>
      </c>
      <c r="D553" s="50" t="s">
        <v>358</v>
      </c>
      <c r="E553" s="121">
        <v>95832147</v>
      </c>
      <c r="F553" s="121">
        <v>95832147</v>
      </c>
      <c r="G553" s="121" t="s">
        <v>1586</v>
      </c>
      <c r="H553" s="121">
        <f t="shared" si="18"/>
        <v>95832.146999999997</v>
      </c>
      <c r="I553" s="121">
        <f>LUCK!F84</f>
        <v>95832.146999999997</v>
      </c>
      <c r="J553" s="121">
        <f t="shared" si="17"/>
        <v>0</v>
      </c>
      <c r="K553" s="50" t="s">
        <v>1595</v>
      </c>
      <c r="L553" s="50">
        <v>239</v>
      </c>
      <c r="M553" s="50" t="s">
        <v>1106</v>
      </c>
      <c r="N553" s="68" t="s">
        <v>3564</v>
      </c>
      <c r="O553" s="68" t="s">
        <v>3565</v>
      </c>
      <c r="P553" s="68" t="s">
        <v>4093</v>
      </c>
    </row>
    <row r="554" spans="1:16" ht="82.05" customHeight="1" x14ac:dyDescent="0.3">
      <c r="A554" s="119" t="s">
        <v>1847</v>
      </c>
      <c r="B554" s="119" t="s">
        <v>68</v>
      </c>
      <c r="C554" s="119" t="s">
        <v>28</v>
      </c>
      <c r="D554" s="119" t="s">
        <v>358</v>
      </c>
      <c r="E554" s="120">
        <v>115324942</v>
      </c>
      <c r="F554" s="120">
        <v>115324942</v>
      </c>
      <c r="G554" s="120" t="s">
        <v>1586</v>
      </c>
      <c r="H554" s="120">
        <f t="shared" si="18"/>
        <v>115324.942</v>
      </c>
      <c r="I554" s="120">
        <f>LUCK!G84</f>
        <v>115324.942</v>
      </c>
      <c r="J554" s="120">
        <f t="shared" si="17"/>
        <v>0</v>
      </c>
      <c r="K554" s="119" t="s">
        <v>1598</v>
      </c>
      <c r="L554" s="119">
        <v>241</v>
      </c>
      <c r="M554" s="119" t="s">
        <v>1106</v>
      </c>
      <c r="N554" s="122" t="s">
        <v>3564</v>
      </c>
      <c r="O554" s="122" t="s">
        <v>3565</v>
      </c>
      <c r="P554" s="122" t="s">
        <v>4094</v>
      </c>
    </row>
    <row r="555" spans="1:16" ht="82.05" customHeight="1" x14ac:dyDescent="0.3">
      <c r="A555" s="50" t="s">
        <v>1849</v>
      </c>
      <c r="B555" s="50" t="s">
        <v>68</v>
      </c>
      <c r="C555" s="50" t="s">
        <v>29</v>
      </c>
      <c r="D555" s="50" t="s">
        <v>358</v>
      </c>
      <c r="E555" s="121">
        <v>124511744</v>
      </c>
      <c r="F555" s="121">
        <v>124511744</v>
      </c>
      <c r="G555" s="121" t="s">
        <v>1586</v>
      </c>
      <c r="H555" s="121">
        <f t="shared" si="18"/>
        <v>124511.74400000001</v>
      </c>
      <c r="I555" s="121">
        <f>LUCK!H84</f>
        <v>124511.74400000001</v>
      </c>
      <c r="J555" s="121">
        <f t="shared" si="17"/>
        <v>0</v>
      </c>
      <c r="K555" s="50" t="s">
        <v>1598</v>
      </c>
      <c r="L555" s="50">
        <v>241</v>
      </c>
      <c r="M555" s="50" t="s">
        <v>1127</v>
      </c>
      <c r="N555" s="68" t="s">
        <v>3564</v>
      </c>
      <c r="O555" s="68" t="s">
        <v>3565</v>
      </c>
      <c r="P555" s="68" t="s">
        <v>4095</v>
      </c>
    </row>
    <row r="556" spans="1:16" ht="82.05" customHeight="1" x14ac:dyDescent="0.3">
      <c r="A556" s="119" t="s">
        <v>1850</v>
      </c>
      <c r="B556" s="119" t="s">
        <v>68</v>
      </c>
      <c r="C556" s="119" t="s">
        <v>20</v>
      </c>
      <c r="D556" s="119" t="s">
        <v>360</v>
      </c>
      <c r="E556" s="120">
        <v>-43984873</v>
      </c>
      <c r="F556" s="120">
        <v>-43984873</v>
      </c>
      <c r="G556" s="120" t="s">
        <v>1586</v>
      </c>
      <c r="H556" s="120">
        <f t="shared" si="18"/>
        <v>-43984.873</v>
      </c>
      <c r="I556" s="120">
        <f>LUCK!D85</f>
        <v>-43984.873</v>
      </c>
      <c r="J556" s="120">
        <f t="shared" si="17"/>
        <v>0</v>
      </c>
      <c r="K556" s="119" t="s">
        <v>1589</v>
      </c>
      <c r="L556" s="119">
        <v>227</v>
      </c>
      <c r="M556" s="119" t="s">
        <v>1106</v>
      </c>
      <c r="N556" s="122" t="s">
        <v>3564</v>
      </c>
      <c r="O556" s="122" t="s">
        <v>3565</v>
      </c>
      <c r="P556" s="122" t="s">
        <v>4096</v>
      </c>
    </row>
    <row r="557" spans="1:16" ht="82.05" customHeight="1" x14ac:dyDescent="0.3">
      <c r="A557" s="50" t="s">
        <v>1851</v>
      </c>
      <c r="B557" s="50" t="s">
        <v>68</v>
      </c>
      <c r="C557" s="50" t="s">
        <v>26</v>
      </c>
      <c r="D557" s="50" t="s">
        <v>360</v>
      </c>
      <c r="E557" s="121">
        <v>-58541684</v>
      </c>
      <c r="F557" s="121">
        <v>-58541684</v>
      </c>
      <c r="G557" s="121" t="s">
        <v>1586</v>
      </c>
      <c r="H557" s="121">
        <f t="shared" si="18"/>
        <v>-58541.684000000001</v>
      </c>
      <c r="I557" s="121">
        <f>LUCK!E85</f>
        <v>-58541.684000000001</v>
      </c>
      <c r="J557" s="121">
        <f t="shared" si="17"/>
        <v>0</v>
      </c>
      <c r="K557" s="50" t="s">
        <v>1592</v>
      </c>
      <c r="L557" s="50">
        <v>235</v>
      </c>
      <c r="M557" s="50" t="s">
        <v>1106</v>
      </c>
      <c r="N557" s="68" t="s">
        <v>3564</v>
      </c>
      <c r="O557" s="68" t="s">
        <v>3565</v>
      </c>
      <c r="P557" s="68" t="s">
        <v>4097</v>
      </c>
    </row>
    <row r="558" spans="1:16" ht="82.05" customHeight="1" x14ac:dyDescent="0.3">
      <c r="A558" s="119" t="s">
        <v>1852</v>
      </c>
      <c r="B558" s="119" t="s">
        <v>68</v>
      </c>
      <c r="C558" s="119" t="s">
        <v>27</v>
      </c>
      <c r="D558" s="119" t="s">
        <v>360</v>
      </c>
      <c r="E558" s="120">
        <v>-69771469</v>
      </c>
      <c r="F558" s="120">
        <v>-69771469</v>
      </c>
      <c r="G558" s="120" t="s">
        <v>1586</v>
      </c>
      <c r="H558" s="120">
        <f t="shared" si="18"/>
        <v>-69771.468999999997</v>
      </c>
      <c r="I558" s="120">
        <f>LUCK!F85</f>
        <v>-69771.468999999997</v>
      </c>
      <c r="J558" s="120">
        <f t="shared" si="17"/>
        <v>0</v>
      </c>
      <c r="K558" s="119" t="s">
        <v>1595</v>
      </c>
      <c r="L558" s="119">
        <v>239</v>
      </c>
      <c r="M558" s="119" t="s">
        <v>1106</v>
      </c>
      <c r="N558" s="122" t="s">
        <v>3564</v>
      </c>
      <c r="O558" s="122" t="s">
        <v>3565</v>
      </c>
      <c r="P558" s="122" t="s">
        <v>4098</v>
      </c>
    </row>
    <row r="559" spans="1:16" ht="82.05" customHeight="1" x14ac:dyDescent="0.3">
      <c r="A559" s="50" t="s">
        <v>1853</v>
      </c>
      <c r="B559" s="50" t="s">
        <v>68</v>
      </c>
      <c r="C559" s="50" t="s">
        <v>28</v>
      </c>
      <c r="D559" s="50" t="s">
        <v>360</v>
      </c>
      <c r="E559" s="121">
        <v>-76520370</v>
      </c>
      <c r="F559" s="121">
        <v>-76520370</v>
      </c>
      <c r="G559" s="121" t="s">
        <v>1586</v>
      </c>
      <c r="H559" s="121">
        <f t="shared" si="18"/>
        <v>-76520.37</v>
      </c>
      <c r="I559" s="121">
        <f>LUCK!G85</f>
        <v>-76520.37</v>
      </c>
      <c r="J559" s="121">
        <f t="shared" si="17"/>
        <v>0</v>
      </c>
      <c r="K559" s="50" t="s">
        <v>1598</v>
      </c>
      <c r="L559" s="50">
        <v>241</v>
      </c>
      <c r="M559" s="50" t="s">
        <v>1106</v>
      </c>
      <c r="N559" s="68" t="s">
        <v>3564</v>
      </c>
      <c r="O559" s="68" t="s">
        <v>3565</v>
      </c>
      <c r="P559" s="68" t="s">
        <v>4099</v>
      </c>
    </row>
    <row r="560" spans="1:16" ht="82.05" customHeight="1" x14ac:dyDescent="0.3">
      <c r="A560" s="119" t="s">
        <v>1854</v>
      </c>
      <c r="B560" s="119" t="s">
        <v>68</v>
      </c>
      <c r="C560" s="119" t="s">
        <v>29</v>
      </c>
      <c r="D560" s="119" t="s">
        <v>360</v>
      </c>
      <c r="E560" s="120">
        <v>-81827060</v>
      </c>
      <c r="F560" s="120">
        <v>-81827060</v>
      </c>
      <c r="G560" s="120" t="s">
        <v>1586</v>
      </c>
      <c r="H560" s="120">
        <f t="shared" si="18"/>
        <v>-81827.06</v>
      </c>
      <c r="I560" s="120">
        <f>LUCK!H85</f>
        <v>-81827.06</v>
      </c>
      <c r="J560" s="120">
        <f t="shared" si="17"/>
        <v>0</v>
      </c>
      <c r="K560" s="119" t="s">
        <v>1598</v>
      </c>
      <c r="L560" s="119">
        <v>241</v>
      </c>
      <c r="M560" s="119" t="s">
        <v>1127</v>
      </c>
      <c r="N560" s="122" t="s">
        <v>3564</v>
      </c>
      <c r="O560" s="122" t="s">
        <v>3565</v>
      </c>
      <c r="P560" s="122" t="s">
        <v>4100</v>
      </c>
    </row>
    <row r="561" spans="1:16" ht="82.05" customHeight="1" x14ac:dyDescent="0.3">
      <c r="A561" s="50" t="s">
        <v>1855</v>
      </c>
      <c r="B561" s="50" t="s">
        <v>68</v>
      </c>
      <c r="C561" s="50" t="s">
        <v>20</v>
      </c>
      <c r="D561" s="50" t="s">
        <v>364</v>
      </c>
      <c r="E561" s="121">
        <v>-4859096</v>
      </c>
      <c r="F561" s="121">
        <v>-4859096</v>
      </c>
      <c r="G561" s="121" t="s">
        <v>1586</v>
      </c>
      <c r="H561" s="121">
        <f t="shared" si="18"/>
        <v>-4859.0959999999995</v>
      </c>
      <c r="I561" s="121">
        <f>LUCK!D87</f>
        <v>-4859.0959999999995</v>
      </c>
      <c r="J561" s="121">
        <f t="shared" si="17"/>
        <v>0</v>
      </c>
      <c r="K561" s="50" t="s">
        <v>1589</v>
      </c>
      <c r="L561" s="50">
        <v>227</v>
      </c>
      <c r="M561" s="50" t="s">
        <v>1106</v>
      </c>
      <c r="N561" s="68" t="s">
        <v>3564</v>
      </c>
      <c r="O561" s="68" t="s">
        <v>3565</v>
      </c>
      <c r="P561" s="68" t="s">
        <v>4101</v>
      </c>
    </row>
    <row r="562" spans="1:16" ht="82.05" customHeight="1" x14ac:dyDescent="0.3">
      <c r="A562" s="119" t="s">
        <v>1857</v>
      </c>
      <c r="B562" s="119" t="s">
        <v>68</v>
      </c>
      <c r="C562" s="119" t="s">
        <v>26</v>
      </c>
      <c r="D562" s="119" t="s">
        <v>364</v>
      </c>
      <c r="E562" s="120">
        <v>-4764574</v>
      </c>
      <c r="F562" s="120">
        <v>-4764574</v>
      </c>
      <c r="G562" s="120" t="s">
        <v>1586</v>
      </c>
      <c r="H562" s="120">
        <f t="shared" si="18"/>
        <v>-4764.5739999999996</v>
      </c>
      <c r="I562" s="120">
        <f>LUCK!E87</f>
        <v>-4764.5739999999996</v>
      </c>
      <c r="J562" s="120">
        <f t="shared" si="17"/>
        <v>0</v>
      </c>
      <c r="K562" s="119" t="s">
        <v>1592</v>
      </c>
      <c r="L562" s="119">
        <v>235</v>
      </c>
      <c r="M562" s="119" t="s">
        <v>1106</v>
      </c>
      <c r="N562" s="122" t="s">
        <v>3564</v>
      </c>
      <c r="O562" s="122" t="s">
        <v>3565</v>
      </c>
      <c r="P562" s="122" t="s">
        <v>4102</v>
      </c>
    </row>
    <row r="563" spans="1:16" ht="82.05" customHeight="1" x14ac:dyDescent="0.3">
      <c r="A563" s="50" t="s">
        <v>1858</v>
      </c>
      <c r="B563" s="50" t="s">
        <v>68</v>
      </c>
      <c r="C563" s="50" t="s">
        <v>27</v>
      </c>
      <c r="D563" s="50" t="s">
        <v>364</v>
      </c>
      <c r="E563" s="121">
        <v>-5326894</v>
      </c>
      <c r="F563" s="121">
        <v>-5326894</v>
      </c>
      <c r="G563" s="121" t="s">
        <v>1586</v>
      </c>
      <c r="H563" s="121">
        <f t="shared" si="18"/>
        <v>-5326.8940000000002</v>
      </c>
      <c r="I563" s="121">
        <f>LUCK!F87</f>
        <v>-5326.8940000000002</v>
      </c>
      <c r="J563" s="121">
        <f t="shared" si="17"/>
        <v>0</v>
      </c>
      <c r="K563" s="50" t="s">
        <v>1595</v>
      </c>
      <c r="L563" s="50">
        <v>239</v>
      </c>
      <c r="M563" s="50" t="s">
        <v>1106</v>
      </c>
      <c r="N563" s="68" t="s">
        <v>3564</v>
      </c>
      <c r="O563" s="68" t="s">
        <v>3565</v>
      </c>
      <c r="P563" s="68" t="s">
        <v>4103</v>
      </c>
    </row>
    <row r="564" spans="1:16" ht="82.05" customHeight="1" x14ac:dyDescent="0.3">
      <c r="A564" s="119" t="s">
        <v>1859</v>
      </c>
      <c r="B564" s="119" t="s">
        <v>68</v>
      </c>
      <c r="C564" s="119" t="s">
        <v>28</v>
      </c>
      <c r="D564" s="119" t="s">
        <v>364</v>
      </c>
      <c r="E564" s="120">
        <v>-7773885</v>
      </c>
      <c r="F564" s="120">
        <v>-7773885</v>
      </c>
      <c r="G564" s="120" t="s">
        <v>1586</v>
      </c>
      <c r="H564" s="120">
        <f t="shared" si="18"/>
        <v>-7773.8850000000002</v>
      </c>
      <c r="I564" s="120">
        <f>LUCK!G87</f>
        <v>-7773.8850000000002</v>
      </c>
      <c r="J564" s="120">
        <f t="shared" si="17"/>
        <v>0</v>
      </c>
      <c r="K564" s="119" t="s">
        <v>1598</v>
      </c>
      <c r="L564" s="119">
        <v>241</v>
      </c>
      <c r="M564" s="119" t="s">
        <v>1106</v>
      </c>
      <c r="N564" s="122" t="s">
        <v>3564</v>
      </c>
      <c r="O564" s="122" t="s">
        <v>3565</v>
      </c>
      <c r="P564" s="122" t="s">
        <v>4104</v>
      </c>
    </row>
    <row r="565" spans="1:16" ht="82.05" customHeight="1" x14ac:dyDescent="0.3">
      <c r="A565" s="50" t="s">
        <v>1861</v>
      </c>
      <c r="B565" s="50" t="s">
        <v>68</v>
      </c>
      <c r="C565" s="50" t="s">
        <v>29</v>
      </c>
      <c r="D565" s="50" t="s">
        <v>364</v>
      </c>
      <c r="E565" s="121">
        <v>-8972815</v>
      </c>
      <c r="F565" s="121">
        <v>-8972815</v>
      </c>
      <c r="G565" s="121" t="s">
        <v>1586</v>
      </c>
      <c r="H565" s="121">
        <f t="shared" si="18"/>
        <v>-8972.8150000000005</v>
      </c>
      <c r="I565" s="121">
        <f>LUCK!H87</f>
        <v>-8972.8150000000005</v>
      </c>
      <c r="J565" s="121">
        <f t="shared" si="17"/>
        <v>0</v>
      </c>
      <c r="K565" s="50" t="s">
        <v>1598</v>
      </c>
      <c r="L565" s="50">
        <v>241</v>
      </c>
      <c r="M565" s="50" t="s">
        <v>1127</v>
      </c>
      <c r="N565" s="68" t="s">
        <v>3564</v>
      </c>
      <c r="O565" s="68" t="s">
        <v>3565</v>
      </c>
      <c r="P565" s="68" t="s">
        <v>4105</v>
      </c>
    </row>
    <row r="566" spans="1:16" ht="82.05" customHeight="1" x14ac:dyDescent="0.3">
      <c r="A566" s="119" t="s">
        <v>1862</v>
      </c>
      <c r="B566" s="119" t="s">
        <v>68</v>
      </c>
      <c r="C566" s="119" t="s">
        <v>20</v>
      </c>
      <c r="D566" s="119" t="s">
        <v>366</v>
      </c>
      <c r="E566" s="120">
        <v>-1257074</v>
      </c>
      <c r="F566" s="120">
        <v>-1257074</v>
      </c>
      <c r="G566" s="120" t="s">
        <v>1586</v>
      </c>
      <c r="H566" s="120">
        <f t="shared" si="18"/>
        <v>-1257.0740000000001</v>
      </c>
      <c r="I566" s="120">
        <f>LUCK!D88</f>
        <v>-1257.0740000000001</v>
      </c>
      <c r="J566" s="120">
        <f t="shared" si="17"/>
        <v>0</v>
      </c>
      <c r="K566" s="119" t="s">
        <v>1589</v>
      </c>
      <c r="L566" s="119">
        <v>227</v>
      </c>
      <c r="M566" s="119" t="s">
        <v>1106</v>
      </c>
      <c r="N566" s="122" t="s">
        <v>3564</v>
      </c>
      <c r="O566" s="122" t="s">
        <v>3565</v>
      </c>
      <c r="P566" s="122" t="s">
        <v>4106</v>
      </c>
    </row>
    <row r="567" spans="1:16" ht="82.05" customHeight="1" x14ac:dyDescent="0.3">
      <c r="A567" s="50" t="s">
        <v>1863</v>
      </c>
      <c r="B567" s="50" t="s">
        <v>68</v>
      </c>
      <c r="C567" s="50" t="s">
        <v>26</v>
      </c>
      <c r="D567" s="50" t="s">
        <v>366</v>
      </c>
      <c r="E567" s="121">
        <v>-1512279</v>
      </c>
      <c r="F567" s="121">
        <v>-1512279</v>
      </c>
      <c r="G567" s="121" t="s">
        <v>1586</v>
      </c>
      <c r="H567" s="121">
        <f t="shared" si="18"/>
        <v>-1512.279</v>
      </c>
      <c r="I567" s="121">
        <f>LUCK!E88</f>
        <v>-1512.279</v>
      </c>
      <c r="J567" s="121">
        <f t="shared" si="17"/>
        <v>0</v>
      </c>
      <c r="K567" s="50" t="s">
        <v>1592</v>
      </c>
      <c r="L567" s="50">
        <v>235</v>
      </c>
      <c r="M567" s="50" t="s">
        <v>1106</v>
      </c>
      <c r="N567" s="68" t="s">
        <v>3564</v>
      </c>
      <c r="O567" s="68" t="s">
        <v>3565</v>
      </c>
      <c r="P567" s="68" t="s">
        <v>4107</v>
      </c>
    </row>
    <row r="568" spans="1:16" ht="82.05" customHeight="1" x14ac:dyDescent="0.3">
      <c r="A568" s="119" t="s">
        <v>1864</v>
      </c>
      <c r="B568" s="119" t="s">
        <v>68</v>
      </c>
      <c r="C568" s="119" t="s">
        <v>27</v>
      </c>
      <c r="D568" s="119" t="s">
        <v>366</v>
      </c>
      <c r="E568" s="120">
        <v>-1825578</v>
      </c>
      <c r="F568" s="120">
        <v>-1825578</v>
      </c>
      <c r="G568" s="120" t="s">
        <v>1586</v>
      </c>
      <c r="H568" s="120">
        <f t="shared" si="18"/>
        <v>-1825.578</v>
      </c>
      <c r="I568" s="120">
        <f>LUCK!F88</f>
        <v>-1825.578</v>
      </c>
      <c r="J568" s="120">
        <f t="shared" si="17"/>
        <v>0</v>
      </c>
      <c r="K568" s="119" t="s">
        <v>1595</v>
      </c>
      <c r="L568" s="119">
        <v>239</v>
      </c>
      <c r="M568" s="119" t="s">
        <v>1106</v>
      </c>
      <c r="N568" s="122" t="s">
        <v>3564</v>
      </c>
      <c r="O568" s="122" t="s">
        <v>3565</v>
      </c>
      <c r="P568" s="122" t="s">
        <v>4108</v>
      </c>
    </row>
    <row r="569" spans="1:16" ht="82.05" customHeight="1" x14ac:dyDescent="0.3">
      <c r="A569" s="50" t="s">
        <v>1865</v>
      </c>
      <c r="B569" s="50" t="s">
        <v>68</v>
      </c>
      <c r="C569" s="50" t="s">
        <v>28</v>
      </c>
      <c r="D569" s="50" t="s">
        <v>366</v>
      </c>
      <c r="E569" s="121">
        <v>-2160682</v>
      </c>
      <c r="F569" s="121">
        <v>-2160682</v>
      </c>
      <c r="G569" s="121" t="s">
        <v>1586</v>
      </c>
      <c r="H569" s="121">
        <f t="shared" si="18"/>
        <v>-2160.6819999999998</v>
      </c>
      <c r="I569" s="121">
        <f>LUCK!G88</f>
        <v>-2160.6819999999998</v>
      </c>
      <c r="J569" s="121">
        <f t="shared" si="17"/>
        <v>0</v>
      </c>
      <c r="K569" s="50" t="s">
        <v>1598</v>
      </c>
      <c r="L569" s="50">
        <v>241</v>
      </c>
      <c r="M569" s="50" t="s">
        <v>1106</v>
      </c>
      <c r="N569" s="68" t="s">
        <v>3564</v>
      </c>
      <c r="O569" s="68" t="s">
        <v>3565</v>
      </c>
      <c r="P569" s="68" t="s">
        <v>4109</v>
      </c>
    </row>
    <row r="570" spans="1:16" ht="82.05" customHeight="1" x14ac:dyDescent="0.3">
      <c r="A570" s="119" t="s">
        <v>1866</v>
      </c>
      <c r="B570" s="119" t="s">
        <v>68</v>
      </c>
      <c r="C570" s="119" t="s">
        <v>29</v>
      </c>
      <c r="D570" s="119" t="s">
        <v>366</v>
      </c>
      <c r="E570" s="120">
        <v>-2427249</v>
      </c>
      <c r="F570" s="120">
        <v>-2427249</v>
      </c>
      <c r="G570" s="120" t="s">
        <v>1586</v>
      </c>
      <c r="H570" s="120">
        <f t="shared" si="18"/>
        <v>-2427.2489999999998</v>
      </c>
      <c r="I570" s="120">
        <f>LUCK!H88</f>
        <v>-2427.2489999999998</v>
      </c>
      <c r="J570" s="120">
        <f t="shared" si="17"/>
        <v>0</v>
      </c>
      <c r="K570" s="119" t="s">
        <v>1598</v>
      </c>
      <c r="L570" s="119">
        <v>241</v>
      </c>
      <c r="M570" s="119" t="s">
        <v>1127</v>
      </c>
      <c r="N570" s="122" t="s">
        <v>3564</v>
      </c>
      <c r="O570" s="122" t="s">
        <v>3565</v>
      </c>
      <c r="P570" s="122" t="s">
        <v>4110</v>
      </c>
    </row>
    <row r="571" spans="1:16" ht="82.05" customHeight="1" x14ac:dyDescent="0.3">
      <c r="A571" s="50" t="s">
        <v>1867</v>
      </c>
      <c r="B571" s="50" t="s">
        <v>68</v>
      </c>
      <c r="C571" s="50" t="s">
        <v>20</v>
      </c>
      <c r="D571" s="50" t="s">
        <v>368</v>
      </c>
      <c r="E571" s="121">
        <v>0</v>
      </c>
      <c r="F571" s="121">
        <v>0</v>
      </c>
      <c r="G571" s="121" t="s">
        <v>1586</v>
      </c>
      <c r="H571" s="121">
        <f t="shared" si="18"/>
        <v>0</v>
      </c>
      <c r="I571" s="121">
        <f>LUCK!D89</f>
        <v>0</v>
      </c>
      <c r="J571" s="121">
        <f t="shared" si="17"/>
        <v>0</v>
      </c>
      <c r="K571" s="50" t="s">
        <v>1589</v>
      </c>
      <c r="L571" s="50">
        <v>227</v>
      </c>
      <c r="M571" s="50" t="s">
        <v>1106</v>
      </c>
      <c r="N571" s="68" t="s">
        <v>3578</v>
      </c>
      <c r="O571" s="68" t="s">
        <v>3579</v>
      </c>
      <c r="P571" s="68" t="s">
        <v>4111</v>
      </c>
    </row>
    <row r="572" spans="1:16" ht="82.05" customHeight="1" x14ac:dyDescent="0.3">
      <c r="A572" s="119" t="s">
        <v>1868</v>
      </c>
      <c r="B572" s="119" t="s">
        <v>68</v>
      </c>
      <c r="C572" s="119" t="s">
        <v>26</v>
      </c>
      <c r="D572" s="119" t="s">
        <v>368</v>
      </c>
      <c r="E572" s="120">
        <v>0</v>
      </c>
      <c r="F572" s="120">
        <v>0</v>
      </c>
      <c r="G572" s="120" t="s">
        <v>1586</v>
      </c>
      <c r="H572" s="120">
        <f t="shared" si="18"/>
        <v>0</v>
      </c>
      <c r="I572" s="120">
        <f>LUCK!E89</f>
        <v>0</v>
      </c>
      <c r="J572" s="120">
        <f t="shared" si="17"/>
        <v>0</v>
      </c>
      <c r="K572" s="119" t="s">
        <v>1592</v>
      </c>
      <c r="L572" s="119">
        <v>235</v>
      </c>
      <c r="M572" s="119" t="s">
        <v>1106</v>
      </c>
      <c r="N572" s="122" t="s">
        <v>3578</v>
      </c>
      <c r="O572" s="122" t="s">
        <v>3579</v>
      </c>
      <c r="P572" s="122" t="s">
        <v>4112</v>
      </c>
    </row>
    <row r="573" spans="1:16" ht="82.05" customHeight="1" x14ac:dyDescent="0.3">
      <c r="A573" s="50" t="s">
        <v>1869</v>
      </c>
      <c r="B573" s="50" t="s">
        <v>68</v>
      </c>
      <c r="C573" s="50" t="s">
        <v>27</v>
      </c>
      <c r="D573" s="50" t="s">
        <v>368</v>
      </c>
      <c r="E573" s="121">
        <v>0</v>
      </c>
      <c r="F573" s="121">
        <v>0</v>
      </c>
      <c r="G573" s="121" t="s">
        <v>1586</v>
      </c>
      <c r="H573" s="121">
        <f t="shared" si="18"/>
        <v>0</v>
      </c>
      <c r="I573" s="121">
        <f>LUCK!F89</f>
        <v>0</v>
      </c>
      <c r="J573" s="121">
        <f t="shared" si="17"/>
        <v>0</v>
      </c>
      <c r="K573" s="50" t="s">
        <v>1595</v>
      </c>
      <c r="L573" s="50">
        <v>239</v>
      </c>
      <c r="M573" s="50" t="s">
        <v>1106</v>
      </c>
      <c r="N573" s="68" t="s">
        <v>3578</v>
      </c>
      <c r="O573" s="68" t="s">
        <v>3579</v>
      </c>
      <c r="P573" s="68" t="s">
        <v>4113</v>
      </c>
    </row>
    <row r="574" spans="1:16" ht="82.05" customHeight="1" x14ac:dyDescent="0.3">
      <c r="A574" s="119" t="s">
        <v>1870</v>
      </c>
      <c r="B574" s="119" t="s">
        <v>68</v>
      </c>
      <c r="C574" s="119" t="s">
        <v>28</v>
      </c>
      <c r="D574" s="119" t="s">
        <v>368</v>
      </c>
      <c r="E574" s="120">
        <v>0</v>
      </c>
      <c r="F574" s="120">
        <v>0</v>
      </c>
      <c r="G574" s="120" t="s">
        <v>1586</v>
      </c>
      <c r="H574" s="120">
        <f t="shared" si="18"/>
        <v>0</v>
      </c>
      <c r="I574" s="120">
        <f>LUCK!G89</f>
        <v>0</v>
      </c>
      <c r="J574" s="120">
        <f t="shared" si="17"/>
        <v>0</v>
      </c>
      <c r="K574" s="119" t="s">
        <v>1598</v>
      </c>
      <c r="L574" s="119">
        <v>241</v>
      </c>
      <c r="M574" s="119" t="s">
        <v>1106</v>
      </c>
      <c r="N574" s="122" t="s">
        <v>3578</v>
      </c>
      <c r="O574" s="122" t="s">
        <v>3579</v>
      </c>
      <c r="P574" s="122" t="s">
        <v>4114</v>
      </c>
    </row>
    <row r="575" spans="1:16" ht="82.05" customHeight="1" x14ac:dyDescent="0.3">
      <c r="A575" s="50" t="s">
        <v>1871</v>
      </c>
      <c r="B575" s="50" t="s">
        <v>68</v>
      </c>
      <c r="C575" s="50" t="s">
        <v>29</v>
      </c>
      <c r="D575" s="50" t="s">
        <v>368</v>
      </c>
      <c r="E575" s="121">
        <v>0</v>
      </c>
      <c r="F575" s="121">
        <v>0</v>
      </c>
      <c r="G575" s="121" t="s">
        <v>1586</v>
      </c>
      <c r="H575" s="121">
        <f t="shared" si="18"/>
        <v>0</v>
      </c>
      <c r="I575" s="121">
        <f>LUCK!H89</f>
        <v>0</v>
      </c>
      <c r="J575" s="121">
        <f t="shared" si="17"/>
        <v>0</v>
      </c>
      <c r="K575" s="50" t="s">
        <v>1598</v>
      </c>
      <c r="L575" s="50">
        <v>241</v>
      </c>
      <c r="M575" s="50" t="s">
        <v>1127</v>
      </c>
      <c r="N575" s="68" t="s">
        <v>3578</v>
      </c>
      <c r="O575" s="68" t="s">
        <v>3579</v>
      </c>
      <c r="P575" s="68" t="s">
        <v>4114</v>
      </c>
    </row>
    <row r="576" spans="1:16" ht="82.05" customHeight="1" x14ac:dyDescent="0.3">
      <c r="A576" s="119" t="s">
        <v>1872</v>
      </c>
      <c r="B576" s="119" t="s">
        <v>68</v>
      </c>
      <c r="C576" s="119" t="s">
        <v>20</v>
      </c>
      <c r="D576" s="119" t="s">
        <v>370</v>
      </c>
      <c r="E576" s="120">
        <v>-1507673</v>
      </c>
      <c r="F576" s="120">
        <v>-1507673</v>
      </c>
      <c r="G576" s="120" t="s">
        <v>1586</v>
      </c>
      <c r="H576" s="120">
        <f t="shared" si="18"/>
        <v>-1507.673</v>
      </c>
      <c r="I576" s="120">
        <f>LUCK!D90</f>
        <v>-1507.673</v>
      </c>
      <c r="J576" s="120">
        <f t="shared" si="17"/>
        <v>0</v>
      </c>
      <c r="K576" s="119" t="s">
        <v>1589</v>
      </c>
      <c r="L576" s="119">
        <v>227</v>
      </c>
      <c r="M576" s="119" t="s">
        <v>1106</v>
      </c>
      <c r="N576" s="122" t="s">
        <v>3564</v>
      </c>
      <c r="O576" s="122" t="s">
        <v>3565</v>
      </c>
      <c r="P576" s="122" t="s">
        <v>4115</v>
      </c>
    </row>
    <row r="577" spans="1:16" ht="82.05" customHeight="1" x14ac:dyDescent="0.3">
      <c r="A577" s="50" t="s">
        <v>1873</v>
      </c>
      <c r="B577" s="50" t="s">
        <v>68</v>
      </c>
      <c r="C577" s="50" t="s">
        <v>26</v>
      </c>
      <c r="D577" s="50" t="s">
        <v>370</v>
      </c>
      <c r="E577" s="121">
        <v>-1847039</v>
      </c>
      <c r="F577" s="121">
        <v>-1847039</v>
      </c>
      <c r="G577" s="121" t="s">
        <v>1586</v>
      </c>
      <c r="H577" s="121">
        <f t="shared" si="18"/>
        <v>-1847.039</v>
      </c>
      <c r="I577" s="121">
        <f>LUCK!E90</f>
        <v>-1847.039</v>
      </c>
      <c r="J577" s="121">
        <f t="shared" ref="J577:J640" si="19">H577-I577</f>
        <v>0</v>
      </c>
      <c r="K577" s="50" t="s">
        <v>1592</v>
      </c>
      <c r="L577" s="50">
        <v>235</v>
      </c>
      <c r="M577" s="50" t="s">
        <v>1106</v>
      </c>
      <c r="N577" s="68" t="s">
        <v>3564</v>
      </c>
      <c r="O577" s="68" t="s">
        <v>3565</v>
      </c>
      <c r="P577" s="68" t="s">
        <v>4116</v>
      </c>
    </row>
    <row r="578" spans="1:16" ht="82.05" customHeight="1" x14ac:dyDescent="0.3">
      <c r="A578" s="119" t="s">
        <v>1874</v>
      </c>
      <c r="B578" s="119" t="s">
        <v>68</v>
      </c>
      <c r="C578" s="119" t="s">
        <v>27</v>
      </c>
      <c r="D578" s="119" t="s">
        <v>370</v>
      </c>
      <c r="E578" s="120">
        <v>-2442585</v>
      </c>
      <c r="F578" s="120">
        <v>-2442585</v>
      </c>
      <c r="G578" s="120" t="s">
        <v>1586</v>
      </c>
      <c r="H578" s="120">
        <f t="shared" si="18"/>
        <v>-2442.585</v>
      </c>
      <c r="I578" s="120">
        <f>LUCK!F90</f>
        <v>-2442.585</v>
      </c>
      <c r="J578" s="120">
        <f t="shared" si="19"/>
        <v>0</v>
      </c>
      <c r="K578" s="119" t="s">
        <v>1595</v>
      </c>
      <c r="L578" s="119">
        <v>239</v>
      </c>
      <c r="M578" s="119" t="s">
        <v>1106</v>
      </c>
      <c r="N578" s="122" t="s">
        <v>3564</v>
      </c>
      <c r="O578" s="122" t="s">
        <v>3565</v>
      </c>
      <c r="P578" s="122" t="s">
        <v>4117</v>
      </c>
    </row>
    <row r="579" spans="1:16" ht="82.05" customHeight="1" x14ac:dyDescent="0.3">
      <c r="A579" s="50" t="s">
        <v>1875</v>
      </c>
      <c r="B579" s="50" t="s">
        <v>68</v>
      </c>
      <c r="C579" s="50" t="s">
        <v>28</v>
      </c>
      <c r="D579" s="50" t="s">
        <v>370</v>
      </c>
      <c r="E579" s="121">
        <v>-2476636</v>
      </c>
      <c r="F579" s="121">
        <v>-2476636</v>
      </c>
      <c r="G579" s="121" t="s">
        <v>1586</v>
      </c>
      <c r="H579" s="121">
        <f t="shared" si="18"/>
        <v>-2476.636</v>
      </c>
      <c r="I579" s="121">
        <f>LUCK!G90</f>
        <v>-2476.636</v>
      </c>
      <c r="J579" s="121">
        <f t="shared" si="19"/>
        <v>0</v>
      </c>
      <c r="K579" s="50" t="s">
        <v>1598</v>
      </c>
      <c r="L579" s="50">
        <v>241</v>
      </c>
      <c r="M579" s="50" t="s">
        <v>1106</v>
      </c>
      <c r="N579" s="68" t="s">
        <v>3564</v>
      </c>
      <c r="O579" s="68" t="s">
        <v>3565</v>
      </c>
      <c r="P579" s="68" t="s">
        <v>4118</v>
      </c>
    </row>
    <row r="580" spans="1:16" ht="82.05" customHeight="1" x14ac:dyDescent="0.3">
      <c r="A580" s="119" t="s">
        <v>1876</v>
      </c>
      <c r="B580" s="119" t="s">
        <v>68</v>
      </c>
      <c r="C580" s="119" t="s">
        <v>29</v>
      </c>
      <c r="D580" s="119" t="s">
        <v>370</v>
      </c>
      <c r="E580" s="120">
        <v>-3056913</v>
      </c>
      <c r="F580" s="120">
        <v>-3056913</v>
      </c>
      <c r="G580" s="120" t="s">
        <v>1586</v>
      </c>
      <c r="H580" s="120">
        <f t="shared" si="18"/>
        <v>-3056.913</v>
      </c>
      <c r="I580" s="120">
        <f>LUCK!H90</f>
        <v>-3056.913</v>
      </c>
      <c r="J580" s="120">
        <f t="shared" si="19"/>
        <v>0</v>
      </c>
      <c r="K580" s="119" t="s">
        <v>1598</v>
      </c>
      <c r="L580" s="119">
        <v>241</v>
      </c>
      <c r="M580" s="119" t="s">
        <v>1127</v>
      </c>
      <c r="N580" s="122" t="s">
        <v>3564</v>
      </c>
      <c r="O580" s="122" t="s">
        <v>3565</v>
      </c>
      <c r="P580" s="122" t="s">
        <v>4119</v>
      </c>
    </row>
    <row r="581" spans="1:16" ht="82.05" customHeight="1" x14ac:dyDescent="0.3">
      <c r="A581" s="50" t="s">
        <v>1877</v>
      </c>
      <c r="B581" s="50" t="s">
        <v>68</v>
      </c>
      <c r="C581" s="50" t="s">
        <v>20</v>
      </c>
      <c r="D581" s="50" t="s">
        <v>374</v>
      </c>
      <c r="E581" s="121">
        <v>5993029</v>
      </c>
      <c r="F581" s="121">
        <v>5993029</v>
      </c>
      <c r="G581" s="121" t="s">
        <v>1586</v>
      </c>
      <c r="H581" s="121">
        <f t="shared" si="18"/>
        <v>5993.0290000000005</v>
      </c>
      <c r="I581" s="121">
        <f>LUCK!D92</f>
        <v>5993.0290000000005</v>
      </c>
      <c r="J581" s="121">
        <f t="shared" si="19"/>
        <v>0</v>
      </c>
      <c r="K581" s="50" t="s">
        <v>1589</v>
      </c>
      <c r="L581" s="50">
        <v>227</v>
      </c>
      <c r="M581" s="50" t="s">
        <v>1106</v>
      </c>
      <c r="N581" s="68" t="s">
        <v>3564</v>
      </c>
      <c r="O581" s="68" t="s">
        <v>3565</v>
      </c>
      <c r="P581" s="68" t="s">
        <v>4120</v>
      </c>
    </row>
    <row r="582" spans="1:16" ht="82.05" customHeight="1" x14ac:dyDescent="0.3">
      <c r="A582" s="119" t="s">
        <v>1878</v>
      </c>
      <c r="B582" s="119" t="s">
        <v>68</v>
      </c>
      <c r="C582" s="119" t="s">
        <v>26</v>
      </c>
      <c r="D582" s="119" t="s">
        <v>374</v>
      </c>
      <c r="E582" s="120">
        <v>7387800</v>
      </c>
      <c r="F582" s="120">
        <v>7387800</v>
      </c>
      <c r="G582" s="120" t="s">
        <v>1586</v>
      </c>
      <c r="H582" s="120">
        <f t="shared" si="18"/>
        <v>7387.8</v>
      </c>
      <c r="I582" s="120">
        <f>LUCK!E92</f>
        <v>7387.8</v>
      </c>
      <c r="J582" s="120">
        <f t="shared" si="19"/>
        <v>0</v>
      </c>
      <c r="K582" s="119" t="s">
        <v>1592</v>
      </c>
      <c r="L582" s="119">
        <v>235</v>
      </c>
      <c r="M582" s="119" t="s">
        <v>1106</v>
      </c>
      <c r="N582" s="122" t="s">
        <v>3564</v>
      </c>
      <c r="O582" s="122" t="s">
        <v>3565</v>
      </c>
      <c r="P582" s="122" t="s">
        <v>4121</v>
      </c>
    </row>
    <row r="583" spans="1:16" ht="82.05" customHeight="1" x14ac:dyDescent="0.3">
      <c r="A583" s="50" t="s">
        <v>1879</v>
      </c>
      <c r="B583" s="50" t="s">
        <v>68</v>
      </c>
      <c r="C583" s="50" t="s">
        <v>27</v>
      </c>
      <c r="D583" s="50" t="s">
        <v>374</v>
      </c>
      <c r="E583" s="121">
        <v>6047423</v>
      </c>
      <c r="F583" s="121">
        <v>6047423</v>
      </c>
      <c r="G583" s="121" t="s">
        <v>1586</v>
      </c>
      <c r="H583" s="121">
        <f t="shared" si="18"/>
        <v>6047.4229999999998</v>
      </c>
      <c r="I583" s="121">
        <f>LUCK!F92</f>
        <v>6047.4229999999998</v>
      </c>
      <c r="J583" s="121">
        <f t="shared" si="19"/>
        <v>0</v>
      </c>
      <c r="K583" s="50" t="s">
        <v>1595</v>
      </c>
      <c r="L583" s="50">
        <v>239</v>
      </c>
      <c r="M583" s="50" t="s">
        <v>1106</v>
      </c>
      <c r="N583" s="68" t="s">
        <v>3564</v>
      </c>
      <c r="O583" s="68" t="s">
        <v>3565</v>
      </c>
      <c r="P583" s="68" t="s">
        <v>4122</v>
      </c>
    </row>
    <row r="584" spans="1:16" ht="82.05" customHeight="1" x14ac:dyDescent="0.3">
      <c r="A584" s="119" t="s">
        <v>1880</v>
      </c>
      <c r="B584" s="119" t="s">
        <v>68</v>
      </c>
      <c r="C584" s="119" t="s">
        <v>28</v>
      </c>
      <c r="D584" s="119" t="s">
        <v>374</v>
      </c>
      <c r="E584" s="120">
        <v>16575363</v>
      </c>
      <c r="F584" s="120">
        <v>16575363</v>
      </c>
      <c r="G584" s="120" t="s">
        <v>1586</v>
      </c>
      <c r="H584" s="120">
        <f t="shared" si="18"/>
        <v>16575.363000000001</v>
      </c>
      <c r="I584" s="120">
        <f>LUCK!G92</f>
        <v>16575.363000000001</v>
      </c>
      <c r="J584" s="120">
        <f t="shared" si="19"/>
        <v>0</v>
      </c>
      <c r="K584" s="119" t="s">
        <v>1598</v>
      </c>
      <c r="L584" s="119">
        <v>241</v>
      </c>
      <c r="M584" s="119" t="s">
        <v>1106</v>
      </c>
      <c r="N584" s="122" t="s">
        <v>3564</v>
      </c>
      <c r="O584" s="122" t="s">
        <v>3565</v>
      </c>
      <c r="P584" s="122" t="s">
        <v>4123</v>
      </c>
    </row>
    <row r="585" spans="1:16" ht="82.05" customHeight="1" x14ac:dyDescent="0.3">
      <c r="A585" s="50" t="s">
        <v>1881</v>
      </c>
      <c r="B585" s="50" t="s">
        <v>68</v>
      </c>
      <c r="C585" s="50" t="s">
        <v>29</v>
      </c>
      <c r="D585" s="50" t="s">
        <v>374</v>
      </c>
      <c r="E585" s="121">
        <v>20465921</v>
      </c>
      <c r="F585" s="121">
        <v>20465921</v>
      </c>
      <c r="G585" s="121" t="s">
        <v>1586</v>
      </c>
      <c r="H585" s="121">
        <f t="shared" si="18"/>
        <v>20465.920999999998</v>
      </c>
      <c r="I585" s="121">
        <f>LUCK!H92</f>
        <v>20465.920999999998</v>
      </c>
      <c r="J585" s="121">
        <f t="shared" si="19"/>
        <v>0</v>
      </c>
      <c r="K585" s="50" t="s">
        <v>1598</v>
      </c>
      <c r="L585" s="50">
        <v>241</v>
      </c>
      <c r="M585" s="50" t="s">
        <v>1127</v>
      </c>
      <c r="N585" s="68" t="s">
        <v>3564</v>
      </c>
      <c r="O585" s="68" t="s">
        <v>3565</v>
      </c>
      <c r="P585" s="68" t="s">
        <v>4124</v>
      </c>
    </row>
    <row r="586" spans="1:16" ht="82.05" customHeight="1" x14ac:dyDescent="0.3">
      <c r="A586" s="119" t="s">
        <v>1882</v>
      </c>
      <c r="B586" s="119" t="s">
        <v>68</v>
      </c>
      <c r="C586" s="119" t="s">
        <v>20</v>
      </c>
      <c r="D586" s="119" t="s">
        <v>376</v>
      </c>
      <c r="E586" s="120">
        <v>0</v>
      </c>
      <c r="F586" s="120">
        <v>0</v>
      </c>
      <c r="G586" s="120" t="s">
        <v>1586</v>
      </c>
      <c r="H586" s="120">
        <f t="shared" si="18"/>
        <v>0</v>
      </c>
      <c r="I586" s="120">
        <f>LUCK!D93</f>
        <v>0</v>
      </c>
      <c r="J586" s="120">
        <f t="shared" si="19"/>
        <v>0</v>
      </c>
      <c r="K586" s="119" t="s">
        <v>1589</v>
      </c>
      <c r="L586" s="119">
        <v>227</v>
      </c>
      <c r="M586" s="119" t="s">
        <v>1106</v>
      </c>
      <c r="N586" s="122" t="s">
        <v>3578</v>
      </c>
      <c r="O586" s="122" t="s">
        <v>3579</v>
      </c>
      <c r="P586" s="122" t="s">
        <v>4125</v>
      </c>
    </row>
    <row r="587" spans="1:16" ht="82.05" customHeight="1" x14ac:dyDescent="0.3">
      <c r="A587" s="50" t="s">
        <v>1883</v>
      </c>
      <c r="B587" s="50" t="s">
        <v>68</v>
      </c>
      <c r="C587" s="50" t="s">
        <v>26</v>
      </c>
      <c r="D587" s="50" t="s">
        <v>376</v>
      </c>
      <c r="E587" s="121">
        <v>0</v>
      </c>
      <c r="F587" s="121">
        <v>0</v>
      </c>
      <c r="G587" s="121" t="s">
        <v>1586</v>
      </c>
      <c r="H587" s="121">
        <f t="shared" si="18"/>
        <v>0</v>
      </c>
      <c r="I587" s="121">
        <f>LUCK!E93</f>
        <v>0</v>
      </c>
      <c r="J587" s="121">
        <f t="shared" si="19"/>
        <v>0</v>
      </c>
      <c r="K587" s="50" t="s">
        <v>1592</v>
      </c>
      <c r="L587" s="50">
        <v>235</v>
      </c>
      <c r="M587" s="50" t="s">
        <v>1106</v>
      </c>
      <c r="N587" s="68" t="s">
        <v>3578</v>
      </c>
      <c r="O587" s="68" t="s">
        <v>3579</v>
      </c>
      <c r="P587" s="68" t="s">
        <v>4126</v>
      </c>
    </row>
    <row r="588" spans="1:16" ht="82.05" customHeight="1" x14ac:dyDescent="0.3">
      <c r="A588" s="119" t="s">
        <v>1884</v>
      </c>
      <c r="B588" s="119" t="s">
        <v>68</v>
      </c>
      <c r="C588" s="119" t="s">
        <v>27</v>
      </c>
      <c r="D588" s="119" t="s">
        <v>376</v>
      </c>
      <c r="E588" s="120">
        <v>0</v>
      </c>
      <c r="F588" s="120">
        <v>0</v>
      </c>
      <c r="G588" s="120" t="s">
        <v>1586</v>
      </c>
      <c r="H588" s="120">
        <f t="shared" si="18"/>
        <v>0</v>
      </c>
      <c r="I588" s="120">
        <f>LUCK!F93</f>
        <v>0</v>
      </c>
      <c r="J588" s="120">
        <f t="shared" si="19"/>
        <v>0</v>
      </c>
      <c r="K588" s="119" t="s">
        <v>1595</v>
      </c>
      <c r="L588" s="119">
        <v>239</v>
      </c>
      <c r="M588" s="119" t="s">
        <v>1106</v>
      </c>
      <c r="N588" s="122" t="s">
        <v>3578</v>
      </c>
      <c r="O588" s="122" t="s">
        <v>3579</v>
      </c>
      <c r="P588" s="122" t="s">
        <v>4127</v>
      </c>
    </row>
    <row r="589" spans="1:16" ht="82.05" customHeight="1" x14ac:dyDescent="0.3">
      <c r="A589" s="50" t="s">
        <v>1885</v>
      </c>
      <c r="B589" s="50" t="s">
        <v>68</v>
      </c>
      <c r="C589" s="50" t="s">
        <v>28</v>
      </c>
      <c r="D589" s="50" t="s">
        <v>376</v>
      </c>
      <c r="E589" s="121">
        <v>0</v>
      </c>
      <c r="F589" s="121">
        <v>0</v>
      </c>
      <c r="G589" s="121" t="s">
        <v>1586</v>
      </c>
      <c r="H589" s="121">
        <f t="shared" si="18"/>
        <v>0</v>
      </c>
      <c r="I589" s="121">
        <f>LUCK!G93</f>
        <v>0</v>
      </c>
      <c r="J589" s="121">
        <f t="shared" si="19"/>
        <v>0</v>
      </c>
      <c r="K589" s="50" t="s">
        <v>1598</v>
      </c>
      <c r="L589" s="50">
        <v>241</v>
      </c>
      <c r="M589" s="50" t="s">
        <v>1106</v>
      </c>
      <c r="N589" s="68" t="s">
        <v>3578</v>
      </c>
      <c r="O589" s="68" t="s">
        <v>3579</v>
      </c>
      <c r="P589" s="68" t="s">
        <v>4128</v>
      </c>
    </row>
    <row r="590" spans="1:16" ht="82.05" customHeight="1" x14ac:dyDescent="0.3">
      <c r="A590" s="119" t="s">
        <v>1886</v>
      </c>
      <c r="B590" s="119" t="s">
        <v>68</v>
      </c>
      <c r="C590" s="119" t="s">
        <v>29</v>
      </c>
      <c r="D590" s="119" t="s">
        <v>376</v>
      </c>
      <c r="E590" s="120">
        <v>0</v>
      </c>
      <c r="F590" s="120">
        <v>0</v>
      </c>
      <c r="G590" s="120" t="s">
        <v>1586</v>
      </c>
      <c r="H590" s="120">
        <f t="shared" si="18"/>
        <v>0</v>
      </c>
      <c r="I590" s="120">
        <f>LUCK!H93</f>
        <v>0</v>
      </c>
      <c r="J590" s="120">
        <f t="shared" si="19"/>
        <v>0</v>
      </c>
      <c r="K590" s="119" t="s">
        <v>1598</v>
      </c>
      <c r="L590" s="119">
        <v>241</v>
      </c>
      <c r="M590" s="119" t="s">
        <v>1127</v>
      </c>
      <c r="N590" s="122" t="s">
        <v>3578</v>
      </c>
      <c r="O590" s="122" t="s">
        <v>3579</v>
      </c>
      <c r="P590" s="122" t="s">
        <v>4128</v>
      </c>
    </row>
    <row r="591" spans="1:16" ht="82.05" customHeight="1" x14ac:dyDescent="0.3">
      <c r="A591" s="50" t="s">
        <v>1887</v>
      </c>
      <c r="B591" s="50" t="s">
        <v>68</v>
      </c>
      <c r="C591" s="50" t="s">
        <v>20</v>
      </c>
      <c r="D591" s="50" t="s">
        <v>378</v>
      </c>
      <c r="E591" s="121">
        <v>0</v>
      </c>
      <c r="F591" s="121">
        <v>0</v>
      </c>
      <c r="G591" s="121" t="s">
        <v>1586</v>
      </c>
      <c r="H591" s="121">
        <f t="shared" si="18"/>
        <v>0</v>
      </c>
      <c r="I591" s="121">
        <f>LUCK!D94</f>
        <v>0</v>
      </c>
      <c r="J591" s="121">
        <f t="shared" si="19"/>
        <v>0</v>
      </c>
      <c r="K591" s="50" t="s">
        <v>1589</v>
      </c>
      <c r="L591" s="50">
        <v>227</v>
      </c>
      <c r="M591" s="50" t="s">
        <v>1106</v>
      </c>
      <c r="N591" s="68" t="s">
        <v>3578</v>
      </c>
      <c r="O591" s="68" t="s">
        <v>3579</v>
      </c>
      <c r="P591" s="68" t="s">
        <v>4129</v>
      </c>
    </row>
    <row r="592" spans="1:16" ht="82.05" customHeight="1" x14ac:dyDescent="0.3">
      <c r="A592" s="119" t="s">
        <v>1888</v>
      </c>
      <c r="B592" s="119" t="s">
        <v>68</v>
      </c>
      <c r="C592" s="119" t="s">
        <v>26</v>
      </c>
      <c r="D592" s="119" t="s">
        <v>378</v>
      </c>
      <c r="E592" s="120">
        <v>0</v>
      </c>
      <c r="F592" s="120">
        <v>0</v>
      </c>
      <c r="G592" s="120" t="s">
        <v>1586</v>
      </c>
      <c r="H592" s="120">
        <f t="shared" si="18"/>
        <v>0</v>
      </c>
      <c r="I592" s="120">
        <f>LUCK!E94</f>
        <v>0</v>
      </c>
      <c r="J592" s="120">
        <f t="shared" si="19"/>
        <v>0</v>
      </c>
      <c r="K592" s="119" t="s">
        <v>1592</v>
      </c>
      <c r="L592" s="119">
        <v>235</v>
      </c>
      <c r="M592" s="119" t="s">
        <v>1106</v>
      </c>
      <c r="N592" s="122" t="s">
        <v>3578</v>
      </c>
      <c r="O592" s="122" t="s">
        <v>3579</v>
      </c>
      <c r="P592" s="122" t="s">
        <v>4130</v>
      </c>
    </row>
    <row r="593" spans="1:16" ht="82.05" customHeight="1" x14ac:dyDescent="0.3">
      <c r="A593" s="50" t="s">
        <v>1889</v>
      </c>
      <c r="B593" s="50" t="s">
        <v>68</v>
      </c>
      <c r="C593" s="50" t="s">
        <v>27</v>
      </c>
      <c r="D593" s="50" t="s">
        <v>378</v>
      </c>
      <c r="E593" s="121">
        <v>0</v>
      </c>
      <c r="F593" s="121">
        <v>0</v>
      </c>
      <c r="G593" s="121" t="s">
        <v>1586</v>
      </c>
      <c r="H593" s="121">
        <f t="shared" si="18"/>
        <v>0</v>
      </c>
      <c r="I593" s="121">
        <f>LUCK!F94</f>
        <v>0</v>
      </c>
      <c r="J593" s="121">
        <f t="shared" si="19"/>
        <v>0</v>
      </c>
      <c r="K593" s="50" t="s">
        <v>1595</v>
      </c>
      <c r="L593" s="50">
        <v>239</v>
      </c>
      <c r="M593" s="50" t="s">
        <v>1106</v>
      </c>
      <c r="N593" s="68" t="s">
        <v>3578</v>
      </c>
      <c r="O593" s="68" t="s">
        <v>3579</v>
      </c>
      <c r="P593" s="68" t="s">
        <v>4131</v>
      </c>
    </row>
    <row r="594" spans="1:16" ht="82.05" customHeight="1" x14ac:dyDescent="0.3">
      <c r="A594" s="119" t="s">
        <v>1890</v>
      </c>
      <c r="B594" s="119" t="s">
        <v>68</v>
      </c>
      <c r="C594" s="119" t="s">
        <v>28</v>
      </c>
      <c r="D594" s="119" t="s">
        <v>378</v>
      </c>
      <c r="E594" s="120">
        <v>0</v>
      </c>
      <c r="F594" s="120">
        <v>0</v>
      </c>
      <c r="G594" s="120" t="s">
        <v>1586</v>
      </c>
      <c r="H594" s="120">
        <f t="shared" si="18"/>
        <v>0</v>
      </c>
      <c r="I594" s="120">
        <f>LUCK!G94</f>
        <v>0</v>
      </c>
      <c r="J594" s="120">
        <f t="shared" si="19"/>
        <v>0</v>
      </c>
      <c r="K594" s="119" t="s">
        <v>1598</v>
      </c>
      <c r="L594" s="119">
        <v>241</v>
      </c>
      <c r="M594" s="119" t="s">
        <v>1106</v>
      </c>
      <c r="N594" s="122" t="s">
        <v>3578</v>
      </c>
      <c r="O594" s="122" t="s">
        <v>3579</v>
      </c>
      <c r="P594" s="122" t="s">
        <v>4132</v>
      </c>
    </row>
    <row r="595" spans="1:16" ht="82.05" customHeight="1" x14ac:dyDescent="0.3">
      <c r="A595" s="50" t="s">
        <v>1891</v>
      </c>
      <c r="B595" s="50" t="s">
        <v>68</v>
      </c>
      <c r="C595" s="50" t="s">
        <v>29</v>
      </c>
      <c r="D595" s="50" t="s">
        <v>378</v>
      </c>
      <c r="E595" s="121">
        <v>0</v>
      </c>
      <c r="F595" s="121">
        <v>0</v>
      </c>
      <c r="G595" s="121" t="s">
        <v>1586</v>
      </c>
      <c r="H595" s="121">
        <f t="shared" si="18"/>
        <v>0</v>
      </c>
      <c r="I595" s="121">
        <f>LUCK!H94</f>
        <v>0</v>
      </c>
      <c r="J595" s="121">
        <f t="shared" si="19"/>
        <v>0</v>
      </c>
      <c r="K595" s="50" t="s">
        <v>1598</v>
      </c>
      <c r="L595" s="50">
        <v>241</v>
      </c>
      <c r="M595" s="50" t="s">
        <v>1127</v>
      </c>
      <c r="N595" s="68" t="s">
        <v>3578</v>
      </c>
      <c r="O595" s="68" t="s">
        <v>3579</v>
      </c>
      <c r="P595" s="68" t="s">
        <v>4132</v>
      </c>
    </row>
    <row r="596" spans="1:16" ht="82.05" customHeight="1" x14ac:dyDescent="0.3">
      <c r="A596" s="119" t="s">
        <v>1892</v>
      </c>
      <c r="B596" s="119" t="s">
        <v>68</v>
      </c>
      <c r="C596" s="119" t="s">
        <v>20</v>
      </c>
      <c r="D596" s="119" t="s">
        <v>380</v>
      </c>
      <c r="E596" s="120">
        <v>-332905</v>
      </c>
      <c r="F596" s="120">
        <v>-332905</v>
      </c>
      <c r="G596" s="120" t="s">
        <v>1586</v>
      </c>
      <c r="H596" s="120">
        <f t="shared" si="18"/>
        <v>-332.90499999999997</v>
      </c>
      <c r="I596" s="120">
        <f>LUCK!D95</f>
        <v>-332.90499999999997</v>
      </c>
      <c r="J596" s="120">
        <f t="shared" si="19"/>
        <v>0</v>
      </c>
      <c r="K596" s="119" t="s">
        <v>1589</v>
      </c>
      <c r="L596" s="119">
        <v>227</v>
      </c>
      <c r="M596" s="119" t="s">
        <v>1106</v>
      </c>
      <c r="N596" s="122" t="s">
        <v>3564</v>
      </c>
      <c r="O596" s="122" t="s">
        <v>3565</v>
      </c>
      <c r="P596" s="122" t="s">
        <v>4133</v>
      </c>
    </row>
    <row r="597" spans="1:16" ht="82.05" customHeight="1" x14ac:dyDescent="0.3">
      <c r="A597" s="50" t="s">
        <v>1894</v>
      </c>
      <c r="B597" s="50" t="s">
        <v>68</v>
      </c>
      <c r="C597" s="50" t="s">
        <v>26</v>
      </c>
      <c r="D597" s="50" t="s">
        <v>380</v>
      </c>
      <c r="E597" s="121">
        <v>-394517</v>
      </c>
      <c r="F597" s="121">
        <v>-394517</v>
      </c>
      <c r="G597" s="121" t="s">
        <v>1586</v>
      </c>
      <c r="H597" s="121">
        <f t="shared" ref="H597:H650" si="20">F597/1000</f>
        <v>-394.517</v>
      </c>
      <c r="I597" s="121">
        <f>LUCK!E95</f>
        <v>-394.517</v>
      </c>
      <c r="J597" s="121">
        <f t="shared" si="19"/>
        <v>0</v>
      </c>
      <c r="K597" s="50" t="s">
        <v>1592</v>
      </c>
      <c r="L597" s="50">
        <v>235</v>
      </c>
      <c r="M597" s="50" t="s">
        <v>1106</v>
      </c>
      <c r="N597" s="68" t="s">
        <v>3564</v>
      </c>
      <c r="O597" s="68" t="s">
        <v>3565</v>
      </c>
      <c r="P597" s="68" t="s">
        <v>4134</v>
      </c>
    </row>
    <row r="598" spans="1:16" ht="82.05" customHeight="1" x14ac:dyDescent="0.3">
      <c r="A598" s="119" t="s">
        <v>1895</v>
      </c>
      <c r="B598" s="119" t="s">
        <v>68</v>
      </c>
      <c r="C598" s="119" t="s">
        <v>27</v>
      </c>
      <c r="D598" s="119" t="s">
        <v>380</v>
      </c>
      <c r="E598" s="120">
        <v>-1169770</v>
      </c>
      <c r="F598" s="120">
        <v>-1169770</v>
      </c>
      <c r="G598" s="120" t="s">
        <v>1586</v>
      </c>
      <c r="H598" s="120">
        <f t="shared" si="20"/>
        <v>-1169.77</v>
      </c>
      <c r="I598" s="120">
        <f>LUCK!F95</f>
        <v>-1169.77</v>
      </c>
      <c r="J598" s="120">
        <f t="shared" si="19"/>
        <v>0</v>
      </c>
      <c r="K598" s="119" t="s">
        <v>1595</v>
      </c>
      <c r="L598" s="119">
        <v>239</v>
      </c>
      <c r="M598" s="119" t="s">
        <v>1106</v>
      </c>
      <c r="N598" s="122" t="s">
        <v>3564</v>
      </c>
      <c r="O598" s="122" t="s">
        <v>3565</v>
      </c>
      <c r="P598" s="122" t="s">
        <v>4135</v>
      </c>
    </row>
    <row r="599" spans="1:16" ht="82.05" customHeight="1" x14ac:dyDescent="0.3">
      <c r="A599" s="50" t="s">
        <v>1896</v>
      </c>
      <c r="B599" s="50" t="s">
        <v>68</v>
      </c>
      <c r="C599" s="50" t="s">
        <v>28</v>
      </c>
      <c r="D599" s="50" t="s">
        <v>380</v>
      </c>
      <c r="E599" s="121">
        <v>-1581168</v>
      </c>
      <c r="F599" s="121">
        <v>-1581168</v>
      </c>
      <c r="G599" s="121" t="s">
        <v>1586</v>
      </c>
      <c r="H599" s="121">
        <f t="shared" si="20"/>
        <v>-1581.1679999999999</v>
      </c>
      <c r="I599" s="121">
        <f>LUCK!G95</f>
        <v>-1581.1679999999999</v>
      </c>
      <c r="J599" s="121">
        <f t="shared" si="19"/>
        <v>0</v>
      </c>
      <c r="K599" s="50" t="s">
        <v>1598</v>
      </c>
      <c r="L599" s="50">
        <v>241</v>
      </c>
      <c r="M599" s="50" t="s">
        <v>1106</v>
      </c>
      <c r="N599" s="68" t="s">
        <v>3564</v>
      </c>
      <c r="O599" s="68" t="s">
        <v>3565</v>
      </c>
      <c r="P599" s="68" t="s">
        <v>4136</v>
      </c>
    </row>
    <row r="600" spans="1:16" ht="82.05" customHeight="1" x14ac:dyDescent="0.3">
      <c r="A600" s="119" t="s">
        <v>1897</v>
      </c>
      <c r="B600" s="119" t="s">
        <v>68</v>
      </c>
      <c r="C600" s="119" t="s">
        <v>29</v>
      </c>
      <c r="D600" s="119" t="s">
        <v>380</v>
      </c>
      <c r="E600" s="120">
        <v>-1370569</v>
      </c>
      <c r="F600" s="120">
        <v>-1370569</v>
      </c>
      <c r="G600" s="120" t="s">
        <v>1586</v>
      </c>
      <c r="H600" s="120">
        <f t="shared" si="20"/>
        <v>-1370.569</v>
      </c>
      <c r="I600" s="120">
        <f>LUCK!H95</f>
        <v>-1370.569</v>
      </c>
      <c r="J600" s="120">
        <f t="shared" si="19"/>
        <v>0</v>
      </c>
      <c r="K600" s="119" t="s">
        <v>1598</v>
      </c>
      <c r="L600" s="119">
        <v>241</v>
      </c>
      <c r="M600" s="119" t="s">
        <v>1127</v>
      </c>
      <c r="N600" s="122" t="s">
        <v>3564</v>
      </c>
      <c r="O600" s="122" t="s">
        <v>3565</v>
      </c>
      <c r="P600" s="122" t="s">
        <v>4137</v>
      </c>
    </row>
    <row r="601" spans="1:16" ht="82.05" customHeight="1" x14ac:dyDescent="0.3">
      <c r="A601" s="50" t="s">
        <v>1898</v>
      </c>
      <c r="B601" s="50" t="s">
        <v>68</v>
      </c>
      <c r="C601" s="50" t="s">
        <v>20</v>
      </c>
      <c r="D601" s="50" t="s">
        <v>384</v>
      </c>
      <c r="E601" s="121">
        <v>0</v>
      </c>
      <c r="F601" s="121">
        <v>0</v>
      </c>
      <c r="G601" s="121" t="s">
        <v>1586</v>
      </c>
      <c r="H601" s="121">
        <f t="shared" si="20"/>
        <v>0</v>
      </c>
      <c r="I601" s="121">
        <f>LUCK!D97</f>
        <v>0</v>
      </c>
      <c r="J601" s="121">
        <f t="shared" si="19"/>
        <v>0</v>
      </c>
      <c r="K601" s="50" t="s">
        <v>1589</v>
      </c>
      <c r="L601" s="50">
        <v>227</v>
      </c>
      <c r="M601" s="50" t="s">
        <v>1106</v>
      </c>
      <c r="N601" s="68" t="s">
        <v>3578</v>
      </c>
      <c r="O601" s="68" t="s">
        <v>3579</v>
      </c>
      <c r="P601" s="68" t="s">
        <v>4138</v>
      </c>
    </row>
    <row r="602" spans="1:16" ht="82.05" customHeight="1" x14ac:dyDescent="0.3">
      <c r="A602" s="119" t="s">
        <v>1899</v>
      </c>
      <c r="B602" s="119" t="s">
        <v>68</v>
      </c>
      <c r="C602" s="119" t="s">
        <v>26</v>
      </c>
      <c r="D602" s="119" t="s">
        <v>384</v>
      </c>
      <c r="E602" s="120">
        <v>0</v>
      </c>
      <c r="F602" s="120">
        <v>0</v>
      </c>
      <c r="G602" s="120" t="s">
        <v>1586</v>
      </c>
      <c r="H602" s="120">
        <f t="shared" si="20"/>
        <v>0</v>
      </c>
      <c r="I602" s="120">
        <f>LUCK!E97</f>
        <v>0</v>
      </c>
      <c r="J602" s="120">
        <f t="shared" si="19"/>
        <v>0</v>
      </c>
      <c r="K602" s="119" t="s">
        <v>1592</v>
      </c>
      <c r="L602" s="119">
        <v>235</v>
      </c>
      <c r="M602" s="119" t="s">
        <v>1106</v>
      </c>
      <c r="N602" s="122" t="s">
        <v>3578</v>
      </c>
      <c r="O602" s="122" t="s">
        <v>3579</v>
      </c>
      <c r="P602" s="122" t="s">
        <v>4139</v>
      </c>
    </row>
    <row r="603" spans="1:16" ht="82.05" customHeight="1" x14ac:dyDescent="0.3">
      <c r="A603" s="50" t="s">
        <v>1900</v>
      </c>
      <c r="B603" s="50" t="s">
        <v>68</v>
      </c>
      <c r="C603" s="50" t="s">
        <v>27</v>
      </c>
      <c r="D603" s="50" t="s">
        <v>384</v>
      </c>
      <c r="E603" s="121">
        <v>-437833</v>
      </c>
      <c r="F603" s="121">
        <v>-437833</v>
      </c>
      <c r="G603" s="121" t="s">
        <v>1586</v>
      </c>
      <c r="H603" s="121">
        <f t="shared" si="20"/>
        <v>-437.83300000000003</v>
      </c>
      <c r="I603" s="121">
        <f>LUCK!F97</f>
        <v>-437.83300000000003</v>
      </c>
      <c r="J603" s="121">
        <f t="shared" si="19"/>
        <v>0</v>
      </c>
      <c r="K603" s="50" t="s">
        <v>1595</v>
      </c>
      <c r="L603" s="50">
        <v>239</v>
      </c>
      <c r="M603" s="50" t="s">
        <v>1106</v>
      </c>
      <c r="N603" s="68" t="s">
        <v>3564</v>
      </c>
      <c r="O603" s="68" t="s">
        <v>3565</v>
      </c>
      <c r="P603" s="68" t="s">
        <v>4140</v>
      </c>
    </row>
    <row r="604" spans="1:16" ht="82.05" customHeight="1" x14ac:dyDescent="0.3">
      <c r="A604" s="119" t="s">
        <v>1902</v>
      </c>
      <c r="B604" s="119" t="s">
        <v>68</v>
      </c>
      <c r="C604" s="119" t="s">
        <v>28</v>
      </c>
      <c r="D604" s="119" t="s">
        <v>384</v>
      </c>
      <c r="E604" s="120">
        <v>-953051</v>
      </c>
      <c r="F604" s="120">
        <v>-953051</v>
      </c>
      <c r="G604" s="120" t="s">
        <v>1586</v>
      </c>
      <c r="H604" s="120">
        <f t="shared" si="20"/>
        <v>-953.05100000000004</v>
      </c>
      <c r="I604" s="120">
        <f>LUCK!G97</f>
        <v>-953.05100000000004</v>
      </c>
      <c r="J604" s="120">
        <f t="shared" si="19"/>
        <v>0</v>
      </c>
      <c r="K604" s="119" t="s">
        <v>1598</v>
      </c>
      <c r="L604" s="119">
        <v>241</v>
      </c>
      <c r="M604" s="119" t="s">
        <v>1106</v>
      </c>
      <c r="N604" s="122" t="s">
        <v>3564</v>
      </c>
      <c r="O604" s="122" t="s">
        <v>3565</v>
      </c>
      <c r="P604" s="122" t="s">
        <v>4141</v>
      </c>
    </row>
    <row r="605" spans="1:16" ht="82.05" customHeight="1" x14ac:dyDescent="0.3">
      <c r="A605" s="50" t="s">
        <v>1904</v>
      </c>
      <c r="B605" s="50" t="s">
        <v>68</v>
      </c>
      <c r="C605" s="50" t="s">
        <v>29</v>
      </c>
      <c r="D605" s="50" t="s">
        <v>384</v>
      </c>
      <c r="E605" s="121">
        <v>-329600</v>
      </c>
      <c r="F605" s="121">
        <v>-329600</v>
      </c>
      <c r="G605" s="121" t="s">
        <v>1586</v>
      </c>
      <c r="H605" s="121">
        <f t="shared" si="20"/>
        <v>-329.6</v>
      </c>
      <c r="I605" s="121">
        <f>LUCK!H97</f>
        <v>-329.6</v>
      </c>
      <c r="J605" s="121">
        <f t="shared" si="19"/>
        <v>0</v>
      </c>
      <c r="K605" s="50" t="s">
        <v>1598</v>
      </c>
      <c r="L605" s="50">
        <v>241</v>
      </c>
      <c r="M605" s="50" t="s">
        <v>1127</v>
      </c>
      <c r="N605" s="68" t="s">
        <v>3564</v>
      </c>
      <c r="O605" s="68" t="s">
        <v>3565</v>
      </c>
      <c r="P605" s="68" t="s">
        <v>4142</v>
      </c>
    </row>
    <row r="606" spans="1:16" ht="82.05" customHeight="1" x14ac:dyDescent="0.3">
      <c r="A606" s="119" t="s">
        <v>1905</v>
      </c>
      <c r="B606" s="119" t="s">
        <v>68</v>
      </c>
      <c r="C606" s="119" t="s">
        <v>20</v>
      </c>
      <c r="D606" s="119" t="s">
        <v>386</v>
      </c>
      <c r="E606" s="120">
        <v>-2922024</v>
      </c>
      <c r="F606" s="120">
        <v>-2922024</v>
      </c>
      <c r="G606" s="120" t="s">
        <v>1586</v>
      </c>
      <c r="H606" s="120">
        <f t="shared" si="20"/>
        <v>-2922.0239999999999</v>
      </c>
      <c r="I606" s="120">
        <f>LUCK!D98</f>
        <v>-2922.0239999999999</v>
      </c>
      <c r="J606" s="120">
        <f t="shared" si="19"/>
        <v>0</v>
      </c>
      <c r="K606" s="119" t="s">
        <v>1589</v>
      </c>
      <c r="L606" s="119">
        <v>227</v>
      </c>
      <c r="M606" s="119" t="s">
        <v>1106</v>
      </c>
      <c r="N606" s="122" t="s">
        <v>3564</v>
      </c>
      <c r="O606" s="122" t="s">
        <v>3565</v>
      </c>
      <c r="P606" s="122" t="s">
        <v>4143</v>
      </c>
    </row>
    <row r="607" spans="1:16" ht="82.05" customHeight="1" x14ac:dyDescent="0.3">
      <c r="A607" s="50" t="s">
        <v>1906</v>
      </c>
      <c r="B607" s="50" t="s">
        <v>68</v>
      </c>
      <c r="C607" s="50" t="s">
        <v>26</v>
      </c>
      <c r="D607" s="50" t="s">
        <v>386</v>
      </c>
      <c r="E607" s="121">
        <v>-6122614</v>
      </c>
      <c r="F607" s="121">
        <v>-6122614</v>
      </c>
      <c r="G607" s="121" t="s">
        <v>1586</v>
      </c>
      <c r="H607" s="121">
        <f t="shared" si="20"/>
        <v>-6122.6139999999996</v>
      </c>
      <c r="I607" s="121">
        <f>LUCK!E98</f>
        <v>-6122.6139999999996</v>
      </c>
      <c r="J607" s="121">
        <f t="shared" si="19"/>
        <v>0</v>
      </c>
      <c r="K607" s="50" t="s">
        <v>1592</v>
      </c>
      <c r="L607" s="50">
        <v>235</v>
      </c>
      <c r="M607" s="50" t="s">
        <v>1106</v>
      </c>
      <c r="N607" s="68" t="s">
        <v>3564</v>
      </c>
      <c r="O607" s="68" t="s">
        <v>3565</v>
      </c>
      <c r="P607" s="68" t="s">
        <v>4144</v>
      </c>
    </row>
    <row r="608" spans="1:16" ht="82.05" customHeight="1" x14ac:dyDescent="0.3">
      <c r="A608" s="119" t="s">
        <v>1907</v>
      </c>
      <c r="B608" s="119" t="s">
        <v>68</v>
      </c>
      <c r="C608" s="119" t="s">
        <v>27</v>
      </c>
      <c r="D608" s="119" t="s">
        <v>386</v>
      </c>
      <c r="E608" s="120">
        <v>-7179627</v>
      </c>
      <c r="F608" s="120">
        <v>-7179627</v>
      </c>
      <c r="G608" s="120" t="s">
        <v>1586</v>
      </c>
      <c r="H608" s="120">
        <f t="shared" si="20"/>
        <v>-7179.6270000000004</v>
      </c>
      <c r="I608" s="120">
        <f>LUCK!F98</f>
        <v>-7179.6270000000004</v>
      </c>
      <c r="J608" s="120">
        <f t="shared" si="19"/>
        <v>0</v>
      </c>
      <c r="K608" s="119" t="s">
        <v>1595</v>
      </c>
      <c r="L608" s="119">
        <v>239</v>
      </c>
      <c r="M608" s="119" t="s">
        <v>1106</v>
      </c>
      <c r="N608" s="122" t="s">
        <v>3564</v>
      </c>
      <c r="O608" s="122" t="s">
        <v>3565</v>
      </c>
      <c r="P608" s="122" t="s">
        <v>4145</v>
      </c>
    </row>
    <row r="609" spans="1:16" ht="82.05" customHeight="1" x14ac:dyDescent="0.3">
      <c r="A609" s="50" t="s">
        <v>1908</v>
      </c>
      <c r="B609" s="50" t="s">
        <v>68</v>
      </c>
      <c r="C609" s="50" t="s">
        <v>28</v>
      </c>
      <c r="D609" s="50" t="s">
        <v>386</v>
      </c>
      <c r="E609" s="121">
        <v>-12327974</v>
      </c>
      <c r="F609" s="121">
        <v>-12327974</v>
      </c>
      <c r="G609" s="121" t="s">
        <v>1586</v>
      </c>
      <c r="H609" s="121">
        <f t="shared" si="20"/>
        <v>-12327.974</v>
      </c>
      <c r="I609" s="121">
        <f>LUCK!G98</f>
        <v>-12327.974</v>
      </c>
      <c r="J609" s="121">
        <f t="shared" si="19"/>
        <v>0</v>
      </c>
      <c r="K609" s="50" t="s">
        <v>1598</v>
      </c>
      <c r="L609" s="50">
        <v>241</v>
      </c>
      <c r="M609" s="50" t="s">
        <v>1106</v>
      </c>
      <c r="N609" s="68" t="s">
        <v>3564</v>
      </c>
      <c r="O609" s="68" t="s">
        <v>3565</v>
      </c>
      <c r="P609" s="68" t="s">
        <v>4146</v>
      </c>
    </row>
    <row r="610" spans="1:16" ht="82.05" customHeight="1" x14ac:dyDescent="0.3">
      <c r="A610" s="119" t="s">
        <v>1909</v>
      </c>
      <c r="B610" s="119" t="s">
        <v>68</v>
      </c>
      <c r="C610" s="119" t="s">
        <v>29</v>
      </c>
      <c r="D610" s="119" t="s">
        <v>386</v>
      </c>
      <c r="E610" s="120">
        <v>-13901297</v>
      </c>
      <c r="F610" s="120">
        <v>-13901297</v>
      </c>
      <c r="G610" s="120" t="s">
        <v>1586</v>
      </c>
      <c r="H610" s="120">
        <f t="shared" si="20"/>
        <v>-13901.297</v>
      </c>
      <c r="I610" s="120">
        <f>LUCK!H98</f>
        <v>-13901.297</v>
      </c>
      <c r="J610" s="120">
        <f t="shared" si="19"/>
        <v>0</v>
      </c>
      <c r="K610" s="119" t="s">
        <v>1598</v>
      </c>
      <c r="L610" s="119">
        <v>241</v>
      </c>
      <c r="M610" s="119" t="s">
        <v>1127</v>
      </c>
      <c r="N610" s="122" t="s">
        <v>3564</v>
      </c>
      <c r="O610" s="122" t="s">
        <v>3565</v>
      </c>
      <c r="P610" s="122" t="s">
        <v>4147</v>
      </c>
    </row>
    <row r="611" spans="1:16" ht="82.05" customHeight="1" x14ac:dyDescent="0.3">
      <c r="A611" s="50" t="s">
        <v>1910</v>
      </c>
      <c r="B611" s="50" t="s">
        <v>68</v>
      </c>
      <c r="C611" s="50" t="s">
        <v>20</v>
      </c>
      <c r="D611" s="50" t="s">
        <v>390</v>
      </c>
      <c r="E611" s="121">
        <v>18955932</v>
      </c>
      <c r="F611" s="121">
        <v>18955932</v>
      </c>
      <c r="G611" s="121" t="s">
        <v>1586</v>
      </c>
      <c r="H611" s="121">
        <f t="shared" si="20"/>
        <v>18955.932000000001</v>
      </c>
      <c r="I611" s="121">
        <f>LUCK!D100</f>
        <v>18955.932000000001</v>
      </c>
      <c r="J611" s="121">
        <f t="shared" si="19"/>
        <v>0</v>
      </c>
      <c r="K611" s="50" t="s">
        <v>1589</v>
      </c>
      <c r="L611" s="50">
        <v>227</v>
      </c>
      <c r="M611" s="50" t="s">
        <v>1106</v>
      </c>
      <c r="N611" s="68" t="s">
        <v>3564</v>
      </c>
      <c r="O611" s="68" t="s">
        <v>3565</v>
      </c>
      <c r="P611" s="68" t="s">
        <v>4148</v>
      </c>
    </row>
    <row r="612" spans="1:16" ht="82.05" customHeight="1" x14ac:dyDescent="0.3">
      <c r="A612" s="119" t="s">
        <v>1911</v>
      </c>
      <c r="B612" s="119" t="s">
        <v>68</v>
      </c>
      <c r="C612" s="119" t="s">
        <v>26</v>
      </c>
      <c r="D612" s="119" t="s">
        <v>390</v>
      </c>
      <c r="E612" s="120">
        <v>22551841</v>
      </c>
      <c r="F612" s="120">
        <v>22551841</v>
      </c>
      <c r="G612" s="120" t="s">
        <v>1586</v>
      </c>
      <c r="H612" s="120">
        <f t="shared" si="20"/>
        <v>22551.841</v>
      </c>
      <c r="I612" s="120">
        <f>LUCK!E100</f>
        <v>22551.841</v>
      </c>
      <c r="J612" s="120">
        <f t="shared" si="19"/>
        <v>0</v>
      </c>
      <c r="K612" s="119" t="s">
        <v>1592</v>
      </c>
      <c r="L612" s="119">
        <v>235</v>
      </c>
      <c r="M612" s="119" t="s">
        <v>1106</v>
      </c>
      <c r="N612" s="122" t="s">
        <v>3564</v>
      </c>
      <c r="O612" s="122" t="s">
        <v>3565</v>
      </c>
      <c r="P612" s="122" t="s">
        <v>4149</v>
      </c>
    </row>
    <row r="613" spans="1:16" ht="82.05" customHeight="1" x14ac:dyDescent="0.3">
      <c r="A613" s="50" t="s">
        <v>1912</v>
      </c>
      <c r="B613" s="50" t="s">
        <v>68</v>
      </c>
      <c r="C613" s="50" t="s">
        <v>27</v>
      </c>
      <c r="D613" s="50" t="s">
        <v>390</v>
      </c>
      <c r="E613" s="121">
        <v>26060678</v>
      </c>
      <c r="F613" s="121">
        <v>26060678</v>
      </c>
      <c r="G613" s="121" t="s">
        <v>1586</v>
      </c>
      <c r="H613" s="121">
        <f t="shared" si="20"/>
        <v>26060.678</v>
      </c>
      <c r="I613" s="121">
        <f>LUCK!F100</f>
        <v>26060.678</v>
      </c>
      <c r="J613" s="121">
        <f t="shared" si="19"/>
        <v>0</v>
      </c>
      <c r="K613" s="50" t="s">
        <v>1595</v>
      </c>
      <c r="L613" s="50">
        <v>239</v>
      </c>
      <c r="M613" s="50" t="s">
        <v>1106</v>
      </c>
      <c r="N613" s="68" t="s">
        <v>3564</v>
      </c>
      <c r="O613" s="68" t="s">
        <v>3565</v>
      </c>
      <c r="P613" s="68" t="s">
        <v>4150</v>
      </c>
    </row>
    <row r="614" spans="1:16" ht="82.05" customHeight="1" x14ac:dyDescent="0.3">
      <c r="A614" s="119" t="s">
        <v>1913</v>
      </c>
      <c r="B614" s="119" t="s">
        <v>68</v>
      </c>
      <c r="C614" s="119" t="s">
        <v>28</v>
      </c>
      <c r="D614" s="119" t="s">
        <v>390</v>
      </c>
      <c r="E614" s="120">
        <v>38804572</v>
      </c>
      <c r="F614" s="120">
        <v>38804572</v>
      </c>
      <c r="G614" s="120" t="s">
        <v>1586</v>
      </c>
      <c r="H614" s="120">
        <f t="shared" si="20"/>
        <v>38804.572</v>
      </c>
      <c r="I614" s="120">
        <f>LUCK!G100</f>
        <v>38804.572</v>
      </c>
      <c r="J614" s="120">
        <f t="shared" si="19"/>
        <v>0</v>
      </c>
      <c r="K614" s="119" t="s">
        <v>1598</v>
      </c>
      <c r="L614" s="119">
        <v>241</v>
      </c>
      <c r="M614" s="119" t="s">
        <v>1106</v>
      </c>
      <c r="N614" s="122" t="s">
        <v>3564</v>
      </c>
      <c r="O614" s="122" t="s">
        <v>3565</v>
      </c>
      <c r="P614" s="122" t="s">
        <v>4151</v>
      </c>
    </row>
    <row r="615" spans="1:16" ht="82.05" customHeight="1" x14ac:dyDescent="0.3">
      <c r="A615" s="50" t="s">
        <v>1914</v>
      </c>
      <c r="B615" s="50" t="s">
        <v>68</v>
      </c>
      <c r="C615" s="50" t="s">
        <v>29</v>
      </c>
      <c r="D615" s="50" t="s">
        <v>390</v>
      </c>
      <c r="E615" s="121">
        <v>42684684</v>
      </c>
      <c r="F615" s="121">
        <v>42684684</v>
      </c>
      <c r="G615" s="121" t="s">
        <v>1586</v>
      </c>
      <c r="H615" s="121">
        <f t="shared" si="20"/>
        <v>42684.684000000001</v>
      </c>
      <c r="I615" s="121">
        <f>LUCK!H100</f>
        <v>42684.684000000001</v>
      </c>
      <c r="J615" s="121">
        <f t="shared" si="19"/>
        <v>0</v>
      </c>
      <c r="K615" s="50" t="s">
        <v>1598</v>
      </c>
      <c r="L615" s="50">
        <v>241</v>
      </c>
      <c r="M615" s="50" t="s">
        <v>1127</v>
      </c>
      <c r="N615" s="68" t="s">
        <v>3564</v>
      </c>
      <c r="O615" s="68" t="s">
        <v>3565</v>
      </c>
      <c r="P615" s="68" t="s">
        <v>4152</v>
      </c>
    </row>
    <row r="616" spans="1:16" ht="82.05" customHeight="1" x14ac:dyDescent="0.3">
      <c r="A616" s="119" t="s">
        <v>1915</v>
      </c>
      <c r="B616" s="119" t="s">
        <v>68</v>
      </c>
      <c r="C616" s="119" t="s">
        <v>20</v>
      </c>
      <c r="D616" s="119" t="s">
        <v>392</v>
      </c>
      <c r="E616" s="120">
        <v>16992213</v>
      </c>
      <c r="F616" s="120">
        <v>16992213</v>
      </c>
      <c r="G616" s="120" t="s">
        <v>1586</v>
      </c>
      <c r="H616" s="120">
        <f t="shared" si="20"/>
        <v>16992.213</v>
      </c>
      <c r="I616" s="120">
        <f>LUCK!D101</f>
        <v>16992.213</v>
      </c>
      <c r="J616" s="120">
        <f t="shared" si="19"/>
        <v>0</v>
      </c>
      <c r="K616" s="119" t="s">
        <v>1589</v>
      </c>
      <c r="L616" s="119">
        <v>227</v>
      </c>
      <c r="M616" s="119" t="s">
        <v>1106</v>
      </c>
      <c r="N616" s="122" t="s">
        <v>3564</v>
      </c>
      <c r="O616" s="122" t="s">
        <v>3565</v>
      </c>
      <c r="P616" s="122" t="s">
        <v>4153</v>
      </c>
    </row>
    <row r="617" spans="1:16" ht="82.05" customHeight="1" x14ac:dyDescent="0.3">
      <c r="A617" s="50" t="s">
        <v>1916</v>
      </c>
      <c r="B617" s="50" t="s">
        <v>68</v>
      </c>
      <c r="C617" s="50" t="s">
        <v>26</v>
      </c>
      <c r="D617" s="50" t="s">
        <v>392</v>
      </c>
      <c r="E617" s="121">
        <v>21421232</v>
      </c>
      <c r="F617" s="121">
        <v>21421232</v>
      </c>
      <c r="G617" s="121" t="s">
        <v>1586</v>
      </c>
      <c r="H617" s="121">
        <f t="shared" si="20"/>
        <v>21421.232</v>
      </c>
      <c r="I617" s="121">
        <f>LUCK!E101</f>
        <v>21421.232</v>
      </c>
      <c r="J617" s="121">
        <f t="shared" si="19"/>
        <v>0</v>
      </c>
      <c r="K617" s="50" t="s">
        <v>1592</v>
      </c>
      <c r="L617" s="50">
        <v>235</v>
      </c>
      <c r="M617" s="50" t="s">
        <v>1106</v>
      </c>
      <c r="N617" s="68" t="s">
        <v>3564</v>
      </c>
      <c r="O617" s="68" t="s">
        <v>3565</v>
      </c>
      <c r="P617" s="68" t="s">
        <v>4154</v>
      </c>
    </row>
    <row r="618" spans="1:16" ht="82.05" customHeight="1" x14ac:dyDescent="0.3">
      <c r="A618" s="119" t="s">
        <v>1917</v>
      </c>
      <c r="B618" s="119" t="s">
        <v>68</v>
      </c>
      <c r="C618" s="119" t="s">
        <v>27</v>
      </c>
      <c r="D618" s="119" t="s">
        <v>392</v>
      </c>
      <c r="E618" s="120">
        <v>21343274</v>
      </c>
      <c r="F618" s="120">
        <v>21343274</v>
      </c>
      <c r="G618" s="120" t="s">
        <v>1586</v>
      </c>
      <c r="H618" s="120">
        <f t="shared" si="20"/>
        <v>21343.274000000001</v>
      </c>
      <c r="I618" s="120">
        <f>LUCK!F101</f>
        <v>21343.274000000001</v>
      </c>
      <c r="J618" s="120">
        <f t="shared" si="19"/>
        <v>0</v>
      </c>
      <c r="K618" s="119" t="s">
        <v>1595</v>
      </c>
      <c r="L618" s="119">
        <v>239</v>
      </c>
      <c r="M618" s="119" t="s">
        <v>1106</v>
      </c>
      <c r="N618" s="122" t="s">
        <v>3564</v>
      </c>
      <c r="O618" s="122" t="s">
        <v>3565</v>
      </c>
      <c r="P618" s="122" t="s">
        <v>4155</v>
      </c>
    </row>
    <row r="619" spans="1:16" ht="82.05" customHeight="1" x14ac:dyDescent="0.3">
      <c r="A619" s="50" t="s">
        <v>1919</v>
      </c>
      <c r="B619" s="50" t="s">
        <v>68</v>
      </c>
      <c r="C619" s="50" t="s">
        <v>28</v>
      </c>
      <c r="D619" s="50" t="s">
        <v>392</v>
      </c>
      <c r="E619" s="121">
        <v>41387564</v>
      </c>
      <c r="F619" s="121">
        <v>41387564</v>
      </c>
      <c r="G619" s="121" t="s">
        <v>1586</v>
      </c>
      <c r="H619" s="121">
        <f t="shared" si="20"/>
        <v>41387.563999999998</v>
      </c>
      <c r="I619" s="121">
        <f>LUCK!G101</f>
        <v>41387.563999999998</v>
      </c>
      <c r="J619" s="121">
        <f t="shared" si="19"/>
        <v>0</v>
      </c>
      <c r="K619" s="50" t="s">
        <v>1598</v>
      </c>
      <c r="L619" s="50">
        <v>241</v>
      </c>
      <c r="M619" s="50" t="s">
        <v>1106</v>
      </c>
      <c r="N619" s="68" t="s">
        <v>3564</v>
      </c>
      <c r="O619" s="68" t="s">
        <v>3565</v>
      </c>
      <c r="P619" s="68" t="s">
        <v>4156</v>
      </c>
    </row>
    <row r="620" spans="1:16" ht="82.05" customHeight="1" x14ac:dyDescent="0.3">
      <c r="A620" s="119" t="s">
        <v>1921</v>
      </c>
      <c r="B620" s="119" t="s">
        <v>68</v>
      </c>
      <c r="C620" s="119" t="s">
        <v>29</v>
      </c>
      <c r="D620" s="119" t="s">
        <v>392</v>
      </c>
      <c r="E620" s="120">
        <v>47323059</v>
      </c>
      <c r="F620" s="120">
        <v>47323059</v>
      </c>
      <c r="G620" s="120" t="s">
        <v>1586</v>
      </c>
      <c r="H620" s="120">
        <f t="shared" si="20"/>
        <v>47323.059000000001</v>
      </c>
      <c r="I620" s="120">
        <f>LUCK!H101</f>
        <v>47323.059000000001</v>
      </c>
      <c r="J620" s="120">
        <f t="shared" si="19"/>
        <v>0</v>
      </c>
      <c r="K620" s="119" t="s">
        <v>1598</v>
      </c>
      <c r="L620" s="119">
        <v>241</v>
      </c>
      <c r="M620" s="119" t="s">
        <v>1127</v>
      </c>
      <c r="N620" s="122" t="s">
        <v>3564</v>
      </c>
      <c r="O620" s="122" t="s">
        <v>3565</v>
      </c>
      <c r="P620" s="122" t="s">
        <v>4157</v>
      </c>
    </row>
    <row r="621" spans="1:16" ht="82.05" customHeight="1" x14ac:dyDescent="0.3">
      <c r="A621" s="50" t="s">
        <v>1922</v>
      </c>
      <c r="B621" s="50" t="s">
        <v>68</v>
      </c>
      <c r="C621" s="50" t="s">
        <v>20</v>
      </c>
      <c r="D621" s="50" t="s">
        <v>394</v>
      </c>
      <c r="E621" s="121">
        <v>14070189</v>
      </c>
      <c r="F621" s="121">
        <v>14070189</v>
      </c>
      <c r="G621" s="121" t="s">
        <v>1586</v>
      </c>
      <c r="H621" s="121">
        <f t="shared" si="20"/>
        <v>14070.189</v>
      </c>
      <c r="I621" s="121">
        <f>LUCK!D102</f>
        <v>14070.189</v>
      </c>
      <c r="J621" s="121">
        <f t="shared" si="19"/>
        <v>0</v>
      </c>
      <c r="K621" s="50" t="s">
        <v>1589</v>
      </c>
      <c r="L621" s="50">
        <v>227</v>
      </c>
      <c r="M621" s="50" t="s">
        <v>1106</v>
      </c>
      <c r="N621" s="68" t="s">
        <v>3564</v>
      </c>
      <c r="O621" s="68" t="s">
        <v>3565</v>
      </c>
      <c r="P621" s="68" t="s">
        <v>4158</v>
      </c>
    </row>
    <row r="622" spans="1:16" ht="82.05" customHeight="1" x14ac:dyDescent="0.3">
      <c r="A622" s="119" t="s">
        <v>1923</v>
      </c>
      <c r="B622" s="119" t="s">
        <v>68</v>
      </c>
      <c r="C622" s="119" t="s">
        <v>26</v>
      </c>
      <c r="D622" s="119" t="s">
        <v>394</v>
      </c>
      <c r="E622" s="120">
        <v>15298618</v>
      </c>
      <c r="F622" s="120">
        <v>15298618</v>
      </c>
      <c r="G622" s="120" t="s">
        <v>1586</v>
      </c>
      <c r="H622" s="120">
        <f t="shared" si="20"/>
        <v>15298.618</v>
      </c>
      <c r="I622" s="120">
        <f>LUCK!E102</f>
        <v>15298.618</v>
      </c>
      <c r="J622" s="120">
        <f t="shared" si="19"/>
        <v>0</v>
      </c>
      <c r="K622" s="119" t="s">
        <v>1592</v>
      </c>
      <c r="L622" s="119">
        <v>235</v>
      </c>
      <c r="M622" s="119" t="s">
        <v>1106</v>
      </c>
      <c r="N622" s="122" t="s">
        <v>3564</v>
      </c>
      <c r="O622" s="122" t="s">
        <v>3565</v>
      </c>
      <c r="P622" s="122" t="s">
        <v>4159</v>
      </c>
    </row>
    <row r="623" spans="1:16" ht="82.05" customHeight="1" x14ac:dyDescent="0.3">
      <c r="A623" s="50" t="s">
        <v>1924</v>
      </c>
      <c r="B623" s="50" t="s">
        <v>68</v>
      </c>
      <c r="C623" s="50" t="s">
        <v>27</v>
      </c>
      <c r="D623" s="50" t="s">
        <v>394</v>
      </c>
      <c r="E623" s="121">
        <v>13725814</v>
      </c>
      <c r="F623" s="121">
        <v>13725814</v>
      </c>
      <c r="G623" s="121" t="s">
        <v>1586</v>
      </c>
      <c r="H623" s="121">
        <f t="shared" si="20"/>
        <v>13725.814</v>
      </c>
      <c r="I623" s="121">
        <f>LUCK!F102</f>
        <v>13725.814</v>
      </c>
      <c r="J623" s="121">
        <f t="shared" si="19"/>
        <v>0</v>
      </c>
      <c r="K623" s="50" t="s">
        <v>1595</v>
      </c>
      <c r="L623" s="50">
        <v>239</v>
      </c>
      <c r="M623" s="50" t="s">
        <v>1106</v>
      </c>
      <c r="N623" s="68" t="s">
        <v>3564</v>
      </c>
      <c r="O623" s="68" t="s">
        <v>3565</v>
      </c>
      <c r="P623" s="68" t="s">
        <v>4160</v>
      </c>
    </row>
    <row r="624" spans="1:16" ht="82.05" customHeight="1" x14ac:dyDescent="0.3">
      <c r="A624" s="119" t="s">
        <v>1926</v>
      </c>
      <c r="B624" s="119" t="s">
        <v>68</v>
      </c>
      <c r="C624" s="119" t="s">
        <v>28</v>
      </c>
      <c r="D624" s="119" t="s">
        <v>394</v>
      </c>
      <c r="E624" s="120">
        <v>28106539</v>
      </c>
      <c r="F624" s="120">
        <v>28106539</v>
      </c>
      <c r="G624" s="120" t="s">
        <v>1586</v>
      </c>
      <c r="H624" s="120">
        <f t="shared" si="20"/>
        <v>28106.539000000001</v>
      </c>
      <c r="I624" s="120">
        <f>LUCK!G102</f>
        <v>28106.539000000001</v>
      </c>
      <c r="J624" s="120">
        <f t="shared" si="19"/>
        <v>0</v>
      </c>
      <c r="K624" s="119" t="s">
        <v>1598</v>
      </c>
      <c r="L624" s="119">
        <v>241</v>
      </c>
      <c r="M624" s="119" t="s">
        <v>1106</v>
      </c>
      <c r="N624" s="122" t="s">
        <v>3564</v>
      </c>
      <c r="O624" s="122" t="s">
        <v>3565</v>
      </c>
      <c r="P624" s="122" t="s">
        <v>4161</v>
      </c>
    </row>
    <row r="625" spans="1:16" ht="82.05" customHeight="1" x14ac:dyDescent="0.3">
      <c r="A625" s="50" t="s">
        <v>1927</v>
      </c>
      <c r="B625" s="50" t="s">
        <v>68</v>
      </c>
      <c r="C625" s="50" t="s">
        <v>29</v>
      </c>
      <c r="D625" s="50" t="s">
        <v>394</v>
      </c>
      <c r="E625" s="121">
        <v>33092162</v>
      </c>
      <c r="F625" s="121">
        <v>33092162</v>
      </c>
      <c r="G625" s="121" t="s">
        <v>1586</v>
      </c>
      <c r="H625" s="121">
        <f t="shared" si="20"/>
        <v>33092.161999999997</v>
      </c>
      <c r="I625" s="121">
        <f>LUCK!H102</f>
        <v>33092.161999999997</v>
      </c>
      <c r="J625" s="121">
        <f t="shared" si="19"/>
        <v>0</v>
      </c>
      <c r="K625" s="50" t="s">
        <v>1598</v>
      </c>
      <c r="L625" s="50">
        <v>241</v>
      </c>
      <c r="M625" s="50" t="s">
        <v>1127</v>
      </c>
      <c r="N625" s="68" t="s">
        <v>3564</v>
      </c>
      <c r="O625" s="68" t="s">
        <v>3565</v>
      </c>
      <c r="P625" s="68" t="s">
        <v>4162</v>
      </c>
    </row>
    <row r="626" spans="1:16" ht="82.05" customHeight="1" x14ac:dyDescent="0.3">
      <c r="A626" s="119" t="s">
        <v>1928</v>
      </c>
      <c r="B626" s="119" t="s">
        <v>68</v>
      </c>
      <c r="C626" s="119" t="s">
        <v>20</v>
      </c>
      <c r="D626" s="119" t="s">
        <v>398</v>
      </c>
      <c r="E626" s="120">
        <v>0</v>
      </c>
      <c r="F626" s="120">
        <v>0</v>
      </c>
      <c r="G626" s="120" t="s">
        <v>1586</v>
      </c>
      <c r="H626" s="120">
        <f t="shared" si="20"/>
        <v>0</v>
      </c>
      <c r="I626" s="120">
        <f>LUCK!D105</f>
        <v>0</v>
      </c>
      <c r="J626" s="120">
        <f t="shared" si="19"/>
        <v>0</v>
      </c>
      <c r="K626" s="119" t="s">
        <v>1589</v>
      </c>
      <c r="L626" s="119">
        <v>256</v>
      </c>
      <c r="M626" s="119" t="s">
        <v>1106</v>
      </c>
      <c r="N626" s="122" t="s">
        <v>3578</v>
      </c>
      <c r="O626" s="122" t="s">
        <v>3579</v>
      </c>
      <c r="P626" s="122" t="s">
        <v>4163</v>
      </c>
    </row>
    <row r="627" spans="1:16" ht="82.05" customHeight="1" x14ac:dyDescent="0.3">
      <c r="A627" s="50" t="s">
        <v>1931</v>
      </c>
      <c r="B627" s="50" t="s">
        <v>68</v>
      </c>
      <c r="C627" s="50" t="s">
        <v>26</v>
      </c>
      <c r="D627" s="50" t="s">
        <v>398</v>
      </c>
      <c r="E627" s="121">
        <v>0</v>
      </c>
      <c r="F627" s="121">
        <v>0</v>
      </c>
      <c r="G627" s="121" t="s">
        <v>1586</v>
      </c>
      <c r="H627" s="121">
        <f t="shared" si="20"/>
        <v>0</v>
      </c>
      <c r="I627" s="121">
        <f>LUCK!E105</f>
        <v>0</v>
      </c>
      <c r="J627" s="121">
        <f t="shared" si="19"/>
        <v>0</v>
      </c>
      <c r="K627" s="50" t="s">
        <v>1592</v>
      </c>
      <c r="L627" s="50">
        <v>264</v>
      </c>
      <c r="M627" s="50" t="s">
        <v>1106</v>
      </c>
      <c r="N627" s="68" t="s">
        <v>3578</v>
      </c>
      <c r="O627" s="68" t="s">
        <v>3579</v>
      </c>
      <c r="P627" s="68" t="s">
        <v>4164</v>
      </c>
    </row>
    <row r="628" spans="1:16" ht="82.05" customHeight="1" x14ac:dyDescent="0.3">
      <c r="A628" s="119" t="s">
        <v>1933</v>
      </c>
      <c r="B628" s="119" t="s">
        <v>68</v>
      </c>
      <c r="C628" s="119" t="s">
        <v>27</v>
      </c>
      <c r="D628" s="119" t="s">
        <v>398</v>
      </c>
      <c r="E628" s="120">
        <v>10974</v>
      </c>
      <c r="F628" s="120">
        <v>10974</v>
      </c>
      <c r="G628" s="120" t="s">
        <v>1586</v>
      </c>
      <c r="H628" s="120">
        <f t="shared" si="20"/>
        <v>10.974</v>
      </c>
      <c r="I628" s="120">
        <f>LUCK!F105</f>
        <v>10.974</v>
      </c>
      <c r="J628" s="120">
        <f t="shared" si="19"/>
        <v>0</v>
      </c>
      <c r="K628" s="119" t="s">
        <v>1595</v>
      </c>
      <c r="L628" s="119">
        <v>269</v>
      </c>
      <c r="M628" s="119" t="s">
        <v>1106</v>
      </c>
      <c r="N628" s="122" t="s">
        <v>3564</v>
      </c>
      <c r="O628" s="122" t="s">
        <v>3565</v>
      </c>
      <c r="P628" s="122" t="s">
        <v>4165</v>
      </c>
    </row>
    <row r="629" spans="1:16" ht="82.05" customHeight="1" x14ac:dyDescent="0.3">
      <c r="A629" s="50" t="s">
        <v>1935</v>
      </c>
      <c r="B629" s="50" t="s">
        <v>68</v>
      </c>
      <c r="C629" s="50" t="s">
        <v>28</v>
      </c>
      <c r="D629" s="50" t="s">
        <v>398</v>
      </c>
      <c r="E629" s="121">
        <v>20633</v>
      </c>
      <c r="F629" s="121">
        <v>20633</v>
      </c>
      <c r="G629" s="121" t="s">
        <v>1586</v>
      </c>
      <c r="H629" s="121">
        <f t="shared" si="20"/>
        <v>20.632999999999999</v>
      </c>
      <c r="I629" s="121">
        <f>LUCK!G105</f>
        <v>20.632999999999999</v>
      </c>
      <c r="J629" s="121">
        <f t="shared" si="19"/>
        <v>0</v>
      </c>
      <c r="K629" s="50" t="s">
        <v>1598</v>
      </c>
      <c r="L629" s="50">
        <v>272</v>
      </c>
      <c r="M629" s="50" t="s">
        <v>1106</v>
      </c>
      <c r="N629" s="68" t="s">
        <v>3564</v>
      </c>
      <c r="O629" s="68" t="s">
        <v>3565</v>
      </c>
      <c r="P629" s="68" t="s">
        <v>4166</v>
      </c>
    </row>
    <row r="630" spans="1:16" ht="82.05" customHeight="1" x14ac:dyDescent="0.3">
      <c r="A630" s="119" t="s">
        <v>1937</v>
      </c>
      <c r="B630" s="119" t="s">
        <v>68</v>
      </c>
      <c r="C630" s="119" t="s">
        <v>29</v>
      </c>
      <c r="D630" s="119" t="s">
        <v>398</v>
      </c>
      <c r="E630" s="120">
        <v>44522</v>
      </c>
      <c r="F630" s="120">
        <v>44522</v>
      </c>
      <c r="G630" s="120" t="s">
        <v>1586</v>
      </c>
      <c r="H630" s="120">
        <f t="shared" si="20"/>
        <v>44.521999999999998</v>
      </c>
      <c r="I630" s="120">
        <f>LUCK!H105</f>
        <v>44.521999999999998</v>
      </c>
      <c r="J630" s="120">
        <f t="shared" si="19"/>
        <v>0</v>
      </c>
      <c r="K630" s="119" t="s">
        <v>1598</v>
      </c>
      <c r="L630" s="119">
        <v>272</v>
      </c>
      <c r="M630" s="119" t="s">
        <v>1127</v>
      </c>
      <c r="N630" s="122" t="s">
        <v>3564</v>
      </c>
      <c r="O630" s="122" t="s">
        <v>3565</v>
      </c>
      <c r="P630" s="122" t="s">
        <v>4167</v>
      </c>
    </row>
    <row r="631" spans="1:16" ht="82.05" customHeight="1" x14ac:dyDescent="0.3">
      <c r="A631" s="50" t="s">
        <v>1938</v>
      </c>
      <c r="B631" s="50" t="s">
        <v>68</v>
      </c>
      <c r="C631" s="50" t="s">
        <v>20</v>
      </c>
      <c r="D631" s="50" t="s">
        <v>402</v>
      </c>
      <c r="E631" s="121">
        <v>4298760</v>
      </c>
      <c r="F631" s="121">
        <v>4298760</v>
      </c>
      <c r="G631" s="121" t="s">
        <v>1586</v>
      </c>
      <c r="H631" s="121">
        <f t="shared" si="20"/>
        <v>4298.76</v>
      </c>
      <c r="I631" s="121">
        <f>LUCK!D107</f>
        <v>4298.76</v>
      </c>
      <c r="J631" s="121">
        <f t="shared" si="19"/>
        <v>0</v>
      </c>
      <c r="K631" s="50" t="s">
        <v>1589</v>
      </c>
      <c r="L631" s="50">
        <v>258</v>
      </c>
      <c r="M631" s="50" t="s">
        <v>1106</v>
      </c>
      <c r="N631" s="68" t="s">
        <v>3564</v>
      </c>
      <c r="O631" s="68" t="s">
        <v>3565</v>
      </c>
      <c r="P631" s="68" t="s">
        <v>4168</v>
      </c>
    </row>
    <row r="632" spans="1:16" ht="82.05" customHeight="1" x14ac:dyDescent="0.3">
      <c r="A632" s="119" t="s">
        <v>1941</v>
      </c>
      <c r="B632" s="119" t="s">
        <v>68</v>
      </c>
      <c r="C632" s="119" t="s">
        <v>26</v>
      </c>
      <c r="D632" s="119" t="s">
        <v>402</v>
      </c>
      <c r="E632" s="120">
        <v>4527761</v>
      </c>
      <c r="F632" s="120">
        <v>4527761</v>
      </c>
      <c r="G632" s="120" t="s">
        <v>1586</v>
      </c>
      <c r="H632" s="120">
        <f t="shared" si="20"/>
        <v>4527.7610000000004</v>
      </c>
      <c r="I632" s="120">
        <f>LUCK!E107</f>
        <v>4527.7610000000004</v>
      </c>
      <c r="J632" s="120">
        <f t="shared" si="19"/>
        <v>0</v>
      </c>
      <c r="K632" s="119" t="s">
        <v>1592</v>
      </c>
      <c r="L632" s="119">
        <v>266</v>
      </c>
      <c r="M632" s="119" t="s">
        <v>1106</v>
      </c>
      <c r="N632" s="122" t="s">
        <v>3602</v>
      </c>
      <c r="O632" s="122" t="s">
        <v>3603</v>
      </c>
      <c r="P632" s="122" t="s">
        <v>4169</v>
      </c>
    </row>
    <row r="633" spans="1:16" ht="82.05" customHeight="1" x14ac:dyDescent="0.3">
      <c r="A633" s="50" t="s">
        <v>1944</v>
      </c>
      <c r="B633" s="50" t="s">
        <v>68</v>
      </c>
      <c r="C633" s="50" t="s">
        <v>27</v>
      </c>
      <c r="D633" s="50" t="s">
        <v>402</v>
      </c>
      <c r="E633" s="121">
        <v>5314762</v>
      </c>
      <c r="F633" s="121">
        <v>5314762</v>
      </c>
      <c r="G633" s="121" t="s">
        <v>1586</v>
      </c>
      <c r="H633" s="121">
        <f t="shared" si="20"/>
        <v>5314.7619999999997</v>
      </c>
      <c r="I633" s="121">
        <f>LUCK!F107</f>
        <v>5314.7619999999997</v>
      </c>
      <c r="J633" s="121">
        <f t="shared" si="19"/>
        <v>0</v>
      </c>
      <c r="K633" s="50" t="s">
        <v>1595</v>
      </c>
      <c r="L633" s="50">
        <v>272</v>
      </c>
      <c r="M633" s="50" t="s">
        <v>1106</v>
      </c>
      <c r="N633" s="68" t="s">
        <v>3602</v>
      </c>
      <c r="O633" s="68" t="s">
        <v>3603</v>
      </c>
      <c r="P633" s="68" t="s">
        <v>4170</v>
      </c>
    </row>
    <row r="634" spans="1:16" ht="82.05" customHeight="1" x14ac:dyDescent="0.3">
      <c r="A634" s="119" t="s">
        <v>1945</v>
      </c>
      <c r="B634" s="119" t="s">
        <v>68</v>
      </c>
      <c r="C634" s="119" t="s">
        <v>28</v>
      </c>
      <c r="D634" s="119" t="s">
        <v>402</v>
      </c>
      <c r="E634" s="120">
        <v>6097422</v>
      </c>
      <c r="F634" s="120">
        <v>6097422</v>
      </c>
      <c r="G634" s="120" t="s">
        <v>1586</v>
      </c>
      <c r="H634" s="120">
        <f t="shared" si="20"/>
        <v>6097.4219999999996</v>
      </c>
      <c r="I634" s="120">
        <f>LUCK!G107</f>
        <v>6097.4219999999996</v>
      </c>
      <c r="J634" s="120">
        <f t="shared" si="19"/>
        <v>0</v>
      </c>
      <c r="K634" s="119" t="s">
        <v>1598</v>
      </c>
      <c r="L634" s="119">
        <v>275</v>
      </c>
      <c r="M634" s="119" t="s">
        <v>1106</v>
      </c>
      <c r="N634" s="122" t="s">
        <v>3602</v>
      </c>
      <c r="O634" s="122" t="s">
        <v>3603</v>
      </c>
      <c r="P634" s="122" t="s">
        <v>4171</v>
      </c>
    </row>
    <row r="635" spans="1:16" ht="82.05" customHeight="1" x14ac:dyDescent="0.3">
      <c r="A635" s="50" t="s">
        <v>1946</v>
      </c>
      <c r="B635" s="50" t="s">
        <v>68</v>
      </c>
      <c r="C635" s="50" t="s">
        <v>29</v>
      </c>
      <c r="D635" s="50" t="s">
        <v>402</v>
      </c>
      <c r="E635" s="121">
        <v>6937732</v>
      </c>
      <c r="F635" s="121">
        <v>6937732</v>
      </c>
      <c r="G635" s="121" t="s">
        <v>1586</v>
      </c>
      <c r="H635" s="121">
        <f t="shared" si="20"/>
        <v>6937.732</v>
      </c>
      <c r="I635" s="121">
        <f>LUCK!H107</f>
        <v>6937.732</v>
      </c>
      <c r="J635" s="121">
        <f t="shared" si="19"/>
        <v>0</v>
      </c>
      <c r="K635" s="50" t="s">
        <v>1598</v>
      </c>
      <c r="L635" s="50">
        <v>275</v>
      </c>
      <c r="M635" s="50" t="s">
        <v>1127</v>
      </c>
      <c r="N635" s="68" t="s">
        <v>3602</v>
      </c>
      <c r="O635" s="68" t="s">
        <v>3603</v>
      </c>
      <c r="P635" s="68" t="s">
        <v>4171</v>
      </c>
    </row>
    <row r="636" spans="1:16" ht="82.05" customHeight="1" x14ac:dyDescent="0.3">
      <c r="A636" s="119" t="s">
        <v>1947</v>
      </c>
      <c r="B636" s="119" t="s">
        <v>68</v>
      </c>
      <c r="C636" s="119" t="s">
        <v>20</v>
      </c>
      <c r="D636" s="119" t="s">
        <v>418</v>
      </c>
      <c r="E636" s="120">
        <v>13285674</v>
      </c>
      <c r="F636" s="120">
        <v>13285674</v>
      </c>
      <c r="G636" s="120" t="s">
        <v>1586</v>
      </c>
      <c r="H636" s="120">
        <f t="shared" si="20"/>
        <v>13285.674000000001</v>
      </c>
      <c r="I636" s="120">
        <f>LUCK!D116</f>
        <v>13285.674000000001</v>
      </c>
      <c r="J636" s="120">
        <f t="shared" si="19"/>
        <v>0</v>
      </c>
      <c r="K636" s="119" t="s">
        <v>1589</v>
      </c>
      <c r="L636" s="119">
        <v>229</v>
      </c>
      <c r="M636" s="119" t="s">
        <v>1106</v>
      </c>
      <c r="N636" s="122" t="s">
        <v>3564</v>
      </c>
      <c r="O636" s="122" t="s">
        <v>3565</v>
      </c>
      <c r="P636" s="122" t="s">
        <v>4172</v>
      </c>
    </row>
    <row r="637" spans="1:16" ht="82.05" customHeight="1" x14ac:dyDescent="0.3">
      <c r="A637" s="50" t="s">
        <v>1949</v>
      </c>
      <c r="B637" s="50" t="s">
        <v>68</v>
      </c>
      <c r="C637" s="50" t="s">
        <v>26</v>
      </c>
      <c r="D637" s="50" t="s">
        <v>418</v>
      </c>
      <c r="E637" s="121">
        <v>18126508</v>
      </c>
      <c r="F637" s="121">
        <v>18126508</v>
      </c>
      <c r="G637" s="121" t="s">
        <v>1586</v>
      </c>
      <c r="H637" s="121">
        <f t="shared" si="20"/>
        <v>18126.508000000002</v>
      </c>
      <c r="I637" s="121">
        <f>LUCK!E116</f>
        <v>18126.508000000002</v>
      </c>
      <c r="J637" s="121">
        <f t="shared" si="19"/>
        <v>0</v>
      </c>
      <c r="K637" s="50" t="s">
        <v>1592</v>
      </c>
      <c r="L637" s="50">
        <v>237</v>
      </c>
      <c r="M637" s="50" t="s">
        <v>1106</v>
      </c>
      <c r="N637" s="68" t="s">
        <v>3564</v>
      </c>
      <c r="O637" s="68" t="s">
        <v>3565</v>
      </c>
      <c r="P637" s="68" t="s">
        <v>4173</v>
      </c>
    </row>
    <row r="638" spans="1:16" ht="82.05" customHeight="1" x14ac:dyDescent="0.3">
      <c r="A638" s="119" t="s">
        <v>1950</v>
      </c>
      <c r="B638" s="119" t="s">
        <v>68</v>
      </c>
      <c r="C638" s="119" t="s">
        <v>27</v>
      </c>
      <c r="D638" s="119" t="s">
        <v>418</v>
      </c>
      <c r="E638" s="120">
        <v>24515258</v>
      </c>
      <c r="F638" s="120">
        <v>24515258</v>
      </c>
      <c r="G638" s="120" t="s">
        <v>1586</v>
      </c>
      <c r="H638" s="120">
        <f t="shared" si="20"/>
        <v>24515.258000000002</v>
      </c>
      <c r="I638" s="120">
        <f>LUCK!F116</f>
        <v>24515.258000000002</v>
      </c>
      <c r="J638" s="120">
        <f t="shared" si="19"/>
        <v>0</v>
      </c>
      <c r="K638" s="119" t="s">
        <v>1595</v>
      </c>
      <c r="L638" s="119">
        <v>241</v>
      </c>
      <c r="M638" s="119" t="s">
        <v>1106</v>
      </c>
      <c r="N638" s="122" t="s">
        <v>3564</v>
      </c>
      <c r="O638" s="122" t="s">
        <v>3565</v>
      </c>
      <c r="P638" s="122" t="s">
        <v>4174</v>
      </c>
    </row>
    <row r="639" spans="1:16" ht="82.05" customHeight="1" x14ac:dyDescent="0.3">
      <c r="A639" s="50" t="s">
        <v>1952</v>
      </c>
      <c r="B639" s="50" t="s">
        <v>68</v>
      </c>
      <c r="C639" s="50" t="s">
        <v>28</v>
      </c>
      <c r="D639" s="50" t="s">
        <v>418</v>
      </c>
      <c r="E639" s="121">
        <v>30937432</v>
      </c>
      <c r="F639" s="121">
        <v>30937432</v>
      </c>
      <c r="G639" s="121" t="s">
        <v>1586</v>
      </c>
      <c r="H639" s="121">
        <f t="shared" si="20"/>
        <v>30937.432000000001</v>
      </c>
      <c r="I639" s="121">
        <f>LUCK!G116</f>
        <v>30937.432000000001</v>
      </c>
      <c r="J639" s="121">
        <f t="shared" si="19"/>
        <v>0</v>
      </c>
      <c r="K639" s="50" t="s">
        <v>1598</v>
      </c>
      <c r="L639" s="50">
        <v>243</v>
      </c>
      <c r="M639" s="50" t="s">
        <v>1106</v>
      </c>
      <c r="N639" s="68" t="s">
        <v>3564</v>
      </c>
      <c r="O639" s="68" t="s">
        <v>3565</v>
      </c>
      <c r="P639" s="68" t="s">
        <v>4175</v>
      </c>
    </row>
    <row r="640" spans="1:16" ht="82.05" customHeight="1" x14ac:dyDescent="0.3">
      <c r="A640" s="119" t="s">
        <v>1953</v>
      </c>
      <c r="B640" s="119" t="s">
        <v>68</v>
      </c>
      <c r="C640" s="119" t="s">
        <v>29</v>
      </c>
      <c r="D640" s="119" t="s">
        <v>418</v>
      </c>
      <c r="E640" s="120">
        <v>33808781</v>
      </c>
      <c r="F640" s="120">
        <v>33808781</v>
      </c>
      <c r="G640" s="120" t="s">
        <v>1586</v>
      </c>
      <c r="H640" s="120">
        <f t="shared" si="20"/>
        <v>33808.781000000003</v>
      </c>
      <c r="I640" s="120">
        <f>LUCK!H116</f>
        <v>33808.781000000003</v>
      </c>
      <c r="J640" s="120">
        <f t="shared" si="19"/>
        <v>0</v>
      </c>
      <c r="K640" s="119" t="s">
        <v>1598</v>
      </c>
      <c r="L640" s="119">
        <v>243</v>
      </c>
      <c r="M640" s="119" t="s">
        <v>1127</v>
      </c>
      <c r="N640" s="122" t="s">
        <v>3564</v>
      </c>
      <c r="O640" s="122" t="s">
        <v>3565</v>
      </c>
      <c r="P640" s="122" t="s">
        <v>4176</v>
      </c>
    </row>
    <row r="641" spans="1:16" ht="82.05" customHeight="1" x14ac:dyDescent="0.3">
      <c r="A641" s="50" t="s">
        <v>1954</v>
      </c>
      <c r="B641" s="50" t="s">
        <v>68</v>
      </c>
      <c r="C641" s="50" t="s">
        <v>20</v>
      </c>
      <c r="D641" s="50" t="s">
        <v>420</v>
      </c>
      <c r="E641" s="121">
        <v>12492631</v>
      </c>
      <c r="F641" s="121">
        <v>12492631</v>
      </c>
      <c r="G641" s="121" t="s">
        <v>1586</v>
      </c>
      <c r="H641" s="121">
        <f t="shared" si="20"/>
        <v>12492.630999999999</v>
      </c>
      <c r="I641" s="121">
        <f>LUCK!D117</f>
        <v>12492.630999999999</v>
      </c>
      <c r="J641" s="121">
        <f t="shared" ref="J641:J650" si="21">H641-I641</f>
        <v>0</v>
      </c>
      <c r="K641" s="50" t="s">
        <v>1589</v>
      </c>
      <c r="L641" s="50">
        <v>229</v>
      </c>
      <c r="M641" s="50" t="s">
        <v>1106</v>
      </c>
      <c r="N641" s="68" t="s">
        <v>3564</v>
      </c>
      <c r="O641" s="68" t="s">
        <v>3565</v>
      </c>
      <c r="P641" s="68" t="s">
        <v>4177</v>
      </c>
    </row>
    <row r="642" spans="1:16" ht="82.05" customHeight="1" x14ac:dyDescent="0.3">
      <c r="A642" s="119" t="s">
        <v>1955</v>
      </c>
      <c r="B642" s="119" t="s">
        <v>68</v>
      </c>
      <c r="C642" s="119" t="s">
        <v>26</v>
      </c>
      <c r="D642" s="119" t="s">
        <v>420</v>
      </c>
      <c r="E642" s="120">
        <v>15469449</v>
      </c>
      <c r="F642" s="120">
        <v>15469449</v>
      </c>
      <c r="G642" s="120" t="s">
        <v>1586</v>
      </c>
      <c r="H642" s="120">
        <f t="shared" si="20"/>
        <v>15469.449000000001</v>
      </c>
      <c r="I642" s="120">
        <f>LUCK!E117</f>
        <v>15469.449000000001</v>
      </c>
      <c r="J642" s="120">
        <f t="shared" si="21"/>
        <v>0</v>
      </c>
      <c r="K642" s="119" t="s">
        <v>1592</v>
      </c>
      <c r="L642" s="119">
        <v>237</v>
      </c>
      <c r="M642" s="119" t="s">
        <v>1106</v>
      </c>
      <c r="N642" s="122" t="s">
        <v>3564</v>
      </c>
      <c r="O642" s="122" t="s">
        <v>3565</v>
      </c>
      <c r="P642" s="122" t="s">
        <v>4178</v>
      </c>
    </row>
    <row r="643" spans="1:16" ht="82.05" customHeight="1" x14ac:dyDescent="0.3">
      <c r="A643" s="50" t="s">
        <v>1956</v>
      </c>
      <c r="B643" s="50" t="s">
        <v>68</v>
      </c>
      <c r="C643" s="50" t="s">
        <v>27</v>
      </c>
      <c r="D643" s="50" t="s">
        <v>420</v>
      </c>
      <c r="E643" s="121">
        <v>23242896</v>
      </c>
      <c r="F643" s="121">
        <v>23242896</v>
      </c>
      <c r="G643" s="121" t="s">
        <v>1586</v>
      </c>
      <c r="H643" s="121">
        <f t="shared" si="20"/>
        <v>23242.896000000001</v>
      </c>
      <c r="I643" s="121">
        <f>LUCK!F117</f>
        <v>23242.896000000001</v>
      </c>
      <c r="J643" s="121">
        <f t="shared" si="21"/>
        <v>0</v>
      </c>
      <c r="K643" s="50" t="s">
        <v>1595</v>
      </c>
      <c r="L643" s="50">
        <v>241</v>
      </c>
      <c r="M643" s="50" t="s">
        <v>1106</v>
      </c>
      <c r="N643" s="68" t="s">
        <v>3564</v>
      </c>
      <c r="O643" s="68" t="s">
        <v>3565</v>
      </c>
      <c r="P643" s="68" t="s">
        <v>4179</v>
      </c>
    </row>
    <row r="644" spans="1:16" ht="82.05" customHeight="1" x14ac:dyDescent="0.3">
      <c r="A644" s="119" t="s">
        <v>1957</v>
      </c>
      <c r="B644" s="119" t="s">
        <v>68</v>
      </c>
      <c r="C644" s="119" t="s">
        <v>28</v>
      </c>
      <c r="D644" s="119" t="s">
        <v>420</v>
      </c>
      <c r="E644" s="120">
        <v>27580741</v>
      </c>
      <c r="F644" s="120">
        <v>27580741</v>
      </c>
      <c r="G644" s="120" t="s">
        <v>1586</v>
      </c>
      <c r="H644" s="120">
        <f t="shared" si="20"/>
        <v>27580.741000000002</v>
      </c>
      <c r="I644" s="120">
        <f>LUCK!G117</f>
        <v>27580.741000000002</v>
      </c>
      <c r="J644" s="120">
        <f t="shared" si="21"/>
        <v>0</v>
      </c>
      <c r="K644" s="119" t="s">
        <v>1598</v>
      </c>
      <c r="L644" s="119">
        <v>243</v>
      </c>
      <c r="M644" s="119" t="s">
        <v>1106</v>
      </c>
      <c r="N644" s="122" t="s">
        <v>3564</v>
      </c>
      <c r="O644" s="122" t="s">
        <v>3565</v>
      </c>
      <c r="P644" s="122" t="s">
        <v>4180</v>
      </c>
    </row>
    <row r="645" spans="1:16" ht="82.05" customHeight="1" x14ac:dyDescent="0.3">
      <c r="A645" s="50" t="s">
        <v>1958</v>
      </c>
      <c r="B645" s="50" t="s">
        <v>68</v>
      </c>
      <c r="C645" s="50" t="s">
        <v>29</v>
      </c>
      <c r="D645" s="50" t="s">
        <v>420</v>
      </c>
      <c r="E645" s="121">
        <v>27572567</v>
      </c>
      <c r="F645" s="121">
        <v>27572567</v>
      </c>
      <c r="G645" s="121" t="s">
        <v>1586</v>
      </c>
      <c r="H645" s="121">
        <f t="shared" si="20"/>
        <v>27572.566999999999</v>
      </c>
      <c r="I645" s="121">
        <f>LUCK!H117</f>
        <v>27572.566999999999</v>
      </c>
      <c r="J645" s="121">
        <f t="shared" si="21"/>
        <v>0</v>
      </c>
      <c r="K645" s="50" t="s">
        <v>1598</v>
      </c>
      <c r="L645" s="50">
        <v>243</v>
      </c>
      <c r="M645" s="50" t="s">
        <v>1127</v>
      </c>
      <c r="N645" s="68" t="s">
        <v>3564</v>
      </c>
      <c r="O645" s="68" t="s">
        <v>3565</v>
      </c>
      <c r="P645" s="68" t="s">
        <v>4181</v>
      </c>
    </row>
    <row r="646" spans="1:16" ht="82.05" customHeight="1" x14ac:dyDescent="0.3">
      <c r="A646" s="119" t="s">
        <v>1959</v>
      </c>
      <c r="B646" s="119" t="s">
        <v>68</v>
      </c>
      <c r="C646" s="119" t="s">
        <v>20</v>
      </c>
      <c r="D646" s="119" t="s">
        <v>422</v>
      </c>
      <c r="E646" s="120">
        <v>-308210</v>
      </c>
      <c r="F646" s="120">
        <v>-308210</v>
      </c>
      <c r="G646" s="120" t="s">
        <v>1586</v>
      </c>
      <c r="H646" s="120">
        <f t="shared" si="20"/>
        <v>-308.20999999999998</v>
      </c>
      <c r="I646" s="120">
        <f>LUCK!D118</f>
        <v>-308.20999999999998</v>
      </c>
      <c r="J646" s="120">
        <f t="shared" si="21"/>
        <v>0</v>
      </c>
      <c r="K646" s="119" t="s">
        <v>1589</v>
      </c>
      <c r="L646" s="119">
        <v>229</v>
      </c>
      <c r="M646" s="119" t="s">
        <v>1106</v>
      </c>
      <c r="N646" s="122" t="s">
        <v>3564</v>
      </c>
      <c r="O646" s="122" t="s">
        <v>3565</v>
      </c>
      <c r="P646" s="122" t="s">
        <v>4182</v>
      </c>
    </row>
    <row r="647" spans="1:16" ht="82.05" customHeight="1" x14ac:dyDescent="0.3">
      <c r="A647" s="50" t="s">
        <v>1961</v>
      </c>
      <c r="B647" s="50" t="s">
        <v>68</v>
      </c>
      <c r="C647" s="50" t="s">
        <v>26</v>
      </c>
      <c r="D647" s="50" t="s">
        <v>422</v>
      </c>
      <c r="E647" s="121">
        <v>-329933</v>
      </c>
      <c r="F647" s="121">
        <v>-329933</v>
      </c>
      <c r="G647" s="121" t="s">
        <v>1586</v>
      </c>
      <c r="H647" s="121">
        <f t="shared" si="20"/>
        <v>-329.93299999999999</v>
      </c>
      <c r="I647" s="121">
        <f>LUCK!E118</f>
        <v>-329.93299999999999</v>
      </c>
      <c r="J647" s="121">
        <f t="shared" si="21"/>
        <v>0</v>
      </c>
      <c r="K647" s="50" t="s">
        <v>1592</v>
      </c>
      <c r="L647" s="50">
        <v>237</v>
      </c>
      <c r="M647" s="50" t="s">
        <v>1106</v>
      </c>
      <c r="N647" s="68" t="s">
        <v>3564</v>
      </c>
      <c r="O647" s="68" t="s">
        <v>3565</v>
      </c>
      <c r="P647" s="68" t="s">
        <v>4183</v>
      </c>
    </row>
    <row r="648" spans="1:16" ht="82.05" customHeight="1" x14ac:dyDescent="0.3">
      <c r="A648" s="119" t="s">
        <v>1962</v>
      </c>
      <c r="B648" s="119" t="s">
        <v>68</v>
      </c>
      <c r="C648" s="119" t="s">
        <v>27</v>
      </c>
      <c r="D648" s="119" t="s">
        <v>422</v>
      </c>
      <c r="E648" s="120">
        <v>-807477</v>
      </c>
      <c r="F648" s="120">
        <v>-807477</v>
      </c>
      <c r="G648" s="120" t="s">
        <v>1586</v>
      </c>
      <c r="H648" s="120">
        <f t="shared" si="20"/>
        <v>-807.47699999999998</v>
      </c>
      <c r="I648" s="120">
        <f>LUCK!F118</f>
        <v>-807.47699999999998</v>
      </c>
      <c r="J648" s="120">
        <f t="shared" si="21"/>
        <v>0</v>
      </c>
      <c r="K648" s="119" t="s">
        <v>1595</v>
      </c>
      <c r="L648" s="119">
        <v>241</v>
      </c>
      <c r="M648" s="119" t="s">
        <v>1106</v>
      </c>
      <c r="N648" s="122" t="s">
        <v>3564</v>
      </c>
      <c r="O648" s="122" t="s">
        <v>3565</v>
      </c>
      <c r="P648" s="122" t="s">
        <v>4184</v>
      </c>
    </row>
    <row r="649" spans="1:16" ht="82.05" customHeight="1" x14ac:dyDescent="0.3">
      <c r="A649" s="50" t="s">
        <v>1963</v>
      </c>
      <c r="B649" s="50" t="s">
        <v>68</v>
      </c>
      <c r="C649" s="50" t="s">
        <v>28</v>
      </c>
      <c r="D649" s="50" t="s">
        <v>422</v>
      </c>
      <c r="E649" s="121">
        <v>-1735978</v>
      </c>
      <c r="F649" s="121">
        <v>-1735978</v>
      </c>
      <c r="G649" s="121" t="s">
        <v>1586</v>
      </c>
      <c r="H649" s="121">
        <f t="shared" si="20"/>
        <v>-1735.9780000000001</v>
      </c>
      <c r="I649" s="121">
        <f>LUCK!G118</f>
        <v>-1735.9780000000001</v>
      </c>
      <c r="J649" s="121">
        <f t="shared" si="21"/>
        <v>0</v>
      </c>
      <c r="K649" s="50" t="s">
        <v>1598</v>
      </c>
      <c r="L649" s="50">
        <v>243</v>
      </c>
      <c r="M649" s="50" t="s">
        <v>1106</v>
      </c>
      <c r="N649" s="68" t="s">
        <v>3564</v>
      </c>
      <c r="O649" s="68" t="s">
        <v>3565</v>
      </c>
      <c r="P649" s="68" t="s">
        <v>4185</v>
      </c>
    </row>
    <row r="650" spans="1:16" ht="82.05" customHeight="1" x14ac:dyDescent="0.3">
      <c r="A650" s="119" t="s">
        <v>1964</v>
      </c>
      <c r="B650" s="119" t="s">
        <v>68</v>
      </c>
      <c r="C650" s="119" t="s">
        <v>29</v>
      </c>
      <c r="D650" s="119" t="s">
        <v>422</v>
      </c>
      <c r="E650" s="120">
        <v>-1527888</v>
      </c>
      <c r="F650" s="120">
        <v>-1527888</v>
      </c>
      <c r="G650" s="120" t="s">
        <v>1586</v>
      </c>
      <c r="H650" s="120">
        <f t="shared" si="20"/>
        <v>-1527.8879999999999</v>
      </c>
      <c r="I650" s="120">
        <f>LUCK!H118</f>
        <v>-1527.8879999999999</v>
      </c>
      <c r="J650" s="120">
        <f t="shared" si="21"/>
        <v>0</v>
      </c>
      <c r="K650" s="119" t="s">
        <v>1598</v>
      </c>
      <c r="L650" s="119">
        <v>243</v>
      </c>
      <c r="M650" s="119" t="s">
        <v>1127</v>
      </c>
      <c r="N650" s="122" t="s">
        <v>3564</v>
      </c>
      <c r="O650" s="122" t="s">
        <v>3565</v>
      </c>
      <c r="P650" s="122" t="s">
        <v>4186</v>
      </c>
    </row>
    <row r="651" spans="1:16" ht="82.05" customHeight="1" x14ac:dyDescent="0.3">
      <c r="A651" s="50" t="s">
        <v>1965</v>
      </c>
      <c r="B651" s="50" t="s">
        <v>68</v>
      </c>
      <c r="C651" s="50" t="s">
        <v>20</v>
      </c>
      <c r="D651" s="50" t="s">
        <v>424</v>
      </c>
      <c r="E651" s="121" t="s">
        <v>426</v>
      </c>
      <c r="F651" s="121" t="s">
        <v>426</v>
      </c>
      <c r="G651" s="121" t="s">
        <v>427</v>
      </c>
      <c r="H651" s="121" t="s">
        <v>426</v>
      </c>
      <c r="I651" s="121" t="str">
        <f>LUCK!D119</f>
        <v>Operating</v>
      </c>
      <c r="J651" s="121" t="s">
        <v>579</v>
      </c>
      <c r="K651" s="50" t="s">
        <v>1589</v>
      </c>
      <c r="L651" s="50">
        <v>229</v>
      </c>
      <c r="M651" s="50" t="s">
        <v>1106</v>
      </c>
      <c r="N651" s="68" t="s">
        <v>3864</v>
      </c>
      <c r="O651" s="68" t="s">
        <v>3865</v>
      </c>
      <c r="P651" s="68" t="s">
        <v>4187</v>
      </c>
    </row>
    <row r="652" spans="1:16" ht="82.05" customHeight="1" x14ac:dyDescent="0.3">
      <c r="A652" s="119" t="s">
        <v>1966</v>
      </c>
      <c r="B652" s="119" t="s">
        <v>68</v>
      </c>
      <c r="C652" s="119" t="s">
        <v>26</v>
      </c>
      <c r="D652" s="119" t="s">
        <v>424</v>
      </c>
      <c r="E652" s="120" t="s">
        <v>426</v>
      </c>
      <c r="F652" s="120" t="s">
        <v>426</v>
      </c>
      <c r="G652" s="120" t="s">
        <v>427</v>
      </c>
      <c r="H652" s="120" t="s">
        <v>426</v>
      </c>
      <c r="I652" s="120" t="str">
        <f>LUCK!E119</f>
        <v>Operating</v>
      </c>
      <c r="J652" s="120" t="s">
        <v>579</v>
      </c>
      <c r="K652" s="119" t="s">
        <v>1592</v>
      </c>
      <c r="L652" s="119">
        <v>237</v>
      </c>
      <c r="M652" s="119" t="s">
        <v>1106</v>
      </c>
      <c r="N652" s="122" t="s">
        <v>3864</v>
      </c>
      <c r="O652" s="122" t="s">
        <v>3865</v>
      </c>
      <c r="P652" s="122" t="s">
        <v>4188</v>
      </c>
    </row>
    <row r="653" spans="1:16" ht="82.05" customHeight="1" x14ac:dyDescent="0.3">
      <c r="A653" s="50" t="s">
        <v>1967</v>
      </c>
      <c r="B653" s="50" t="s">
        <v>68</v>
      </c>
      <c r="C653" s="50" t="s">
        <v>27</v>
      </c>
      <c r="D653" s="50" t="s">
        <v>424</v>
      </c>
      <c r="E653" s="121" t="s">
        <v>426</v>
      </c>
      <c r="F653" s="121" t="s">
        <v>426</v>
      </c>
      <c r="G653" s="121" t="s">
        <v>427</v>
      </c>
      <c r="H653" s="121" t="s">
        <v>426</v>
      </c>
      <c r="I653" s="121" t="str">
        <f>LUCK!F119</f>
        <v>Operating</v>
      </c>
      <c r="J653" s="121" t="s">
        <v>579</v>
      </c>
      <c r="K653" s="50" t="s">
        <v>1595</v>
      </c>
      <c r="L653" s="50">
        <v>241</v>
      </c>
      <c r="M653" s="50" t="s">
        <v>1106</v>
      </c>
      <c r="N653" s="68" t="s">
        <v>3864</v>
      </c>
      <c r="O653" s="68" t="s">
        <v>3865</v>
      </c>
      <c r="P653" s="68" t="s">
        <v>4189</v>
      </c>
    </row>
    <row r="654" spans="1:16" ht="82.05" customHeight="1" x14ac:dyDescent="0.3">
      <c r="A654" s="119" t="s">
        <v>1968</v>
      </c>
      <c r="B654" s="119" t="s">
        <v>68</v>
      </c>
      <c r="C654" s="119" t="s">
        <v>28</v>
      </c>
      <c r="D654" s="119" t="s">
        <v>424</v>
      </c>
      <c r="E654" s="120" t="s">
        <v>426</v>
      </c>
      <c r="F654" s="120" t="s">
        <v>426</v>
      </c>
      <c r="G654" s="120" t="s">
        <v>427</v>
      </c>
      <c r="H654" s="120" t="s">
        <v>426</v>
      </c>
      <c r="I654" s="120" t="str">
        <f>LUCK!G119</f>
        <v>Operating</v>
      </c>
      <c r="J654" s="120" t="s">
        <v>579</v>
      </c>
      <c r="K654" s="119" t="s">
        <v>1598</v>
      </c>
      <c r="L654" s="119">
        <v>243</v>
      </c>
      <c r="M654" s="119" t="s">
        <v>1106</v>
      </c>
      <c r="N654" s="122" t="s">
        <v>3864</v>
      </c>
      <c r="O654" s="122" t="s">
        <v>3865</v>
      </c>
      <c r="P654" s="122" t="s">
        <v>4190</v>
      </c>
    </row>
    <row r="655" spans="1:16" ht="82.05" customHeight="1" x14ac:dyDescent="0.3">
      <c r="A655" s="50" t="s">
        <v>1969</v>
      </c>
      <c r="B655" s="50" t="s">
        <v>68</v>
      </c>
      <c r="C655" s="50" t="s">
        <v>29</v>
      </c>
      <c r="D655" s="50" t="s">
        <v>424</v>
      </c>
      <c r="E655" s="121" t="s">
        <v>426</v>
      </c>
      <c r="F655" s="121" t="s">
        <v>426</v>
      </c>
      <c r="G655" s="121" t="s">
        <v>427</v>
      </c>
      <c r="H655" s="121" t="s">
        <v>426</v>
      </c>
      <c r="I655" s="121" t="str">
        <f>LUCK!H119</f>
        <v>Operating</v>
      </c>
      <c r="J655" s="121" t="s">
        <v>579</v>
      </c>
      <c r="K655" s="50" t="s">
        <v>1598</v>
      </c>
      <c r="L655" s="50">
        <v>243</v>
      </c>
      <c r="M655" s="50" t="s">
        <v>1127</v>
      </c>
      <c r="N655" s="68" t="s">
        <v>3864</v>
      </c>
      <c r="O655" s="68" t="s">
        <v>3865</v>
      </c>
      <c r="P655" s="68" t="s">
        <v>4190</v>
      </c>
    </row>
    <row r="656" spans="1:16" ht="82.05" customHeight="1" x14ac:dyDescent="0.3">
      <c r="A656" s="119" t="s">
        <v>1970</v>
      </c>
      <c r="B656" s="119" t="s">
        <v>68</v>
      </c>
      <c r="C656" s="119" t="s">
        <v>20</v>
      </c>
      <c r="D656" s="119" t="s">
        <v>430</v>
      </c>
      <c r="E656" s="120">
        <v>-6470913</v>
      </c>
      <c r="F656" s="120">
        <v>-6470913</v>
      </c>
      <c r="G656" s="120" t="s">
        <v>1586</v>
      </c>
      <c r="H656" s="120">
        <f t="shared" ref="H656:H719" si="22">F656/1000</f>
        <v>-6470.9129999999996</v>
      </c>
      <c r="I656" s="120">
        <f>LUCK!D121</f>
        <v>-6470.9129999999996</v>
      </c>
      <c r="J656" s="120">
        <f t="shared" ref="J656:J719" si="23">H656-I656</f>
        <v>0</v>
      </c>
      <c r="K656" s="119" t="s">
        <v>1589</v>
      </c>
      <c r="L656" s="119">
        <v>229</v>
      </c>
      <c r="M656" s="119" t="s">
        <v>1106</v>
      </c>
      <c r="N656" s="122" t="s">
        <v>3564</v>
      </c>
      <c r="O656" s="122" t="s">
        <v>3565</v>
      </c>
      <c r="P656" s="122" t="s">
        <v>4191</v>
      </c>
    </row>
    <row r="657" spans="1:16" ht="82.05" customHeight="1" x14ac:dyDescent="0.3">
      <c r="A657" s="50" t="s">
        <v>1972</v>
      </c>
      <c r="B657" s="50" t="s">
        <v>68</v>
      </c>
      <c r="C657" s="50" t="s">
        <v>26</v>
      </c>
      <c r="D657" s="50" t="s">
        <v>430</v>
      </c>
      <c r="E657" s="121">
        <v>-24537830</v>
      </c>
      <c r="F657" s="121">
        <v>-24537830</v>
      </c>
      <c r="G657" s="121" t="s">
        <v>1586</v>
      </c>
      <c r="H657" s="121">
        <f t="shared" si="22"/>
        <v>-24537.83</v>
      </c>
      <c r="I657" s="121">
        <f>LUCK!E121</f>
        <v>-24537.83</v>
      </c>
      <c r="J657" s="121">
        <f t="shared" si="23"/>
        <v>0</v>
      </c>
      <c r="K657" s="50" t="s">
        <v>1592</v>
      </c>
      <c r="L657" s="50">
        <v>237</v>
      </c>
      <c r="M657" s="50" t="s">
        <v>1106</v>
      </c>
      <c r="N657" s="68" t="s">
        <v>3564</v>
      </c>
      <c r="O657" s="68" t="s">
        <v>3565</v>
      </c>
      <c r="P657" s="68" t="s">
        <v>4192</v>
      </c>
    </row>
    <row r="658" spans="1:16" ht="82.05" customHeight="1" x14ac:dyDescent="0.3">
      <c r="A658" s="119" t="s">
        <v>1974</v>
      </c>
      <c r="B658" s="119" t="s">
        <v>68</v>
      </c>
      <c r="C658" s="119" t="s">
        <v>27</v>
      </c>
      <c r="D658" s="119" t="s">
        <v>430</v>
      </c>
      <c r="E658" s="120">
        <v>-18644906</v>
      </c>
      <c r="F658" s="120">
        <v>-18644906</v>
      </c>
      <c r="G658" s="120" t="s">
        <v>1586</v>
      </c>
      <c r="H658" s="120">
        <f t="shared" si="22"/>
        <v>-18644.905999999999</v>
      </c>
      <c r="I658" s="120">
        <f>LUCK!F121</f>
        <v>-18644.905999999999</v>
      </c>
      <c r="J658" s="120">
        <f t="shared" si="23"/>
        <v>0</v>
      </c>
      <c r="K658" s="119" t="s">
        <v>1595</v>
      </c>
      <c r="L658" s="119">
        <v>241</v>
      </c>
      <c r="M658" s="119" t="s">
        <v>1106</v>
      </c>
      <c r="N658" s="122" t="s">
        <v>3564</v>
      </c>
      <c r="O658" s="122" t="s">
        <v>3565</v>
      </c>
      <c r="P658" s="122" t="s">
        <v>4193</v>
      </c>
    </row>
    <row r="659" spans="1:16" ht="82.05" customHeight="1" x14ac:dyDescent="0.3">
      <c r="A659" s="50" t="s">
        <v>1976</v>
      </c>
      <c r="B659" s="50" t="s">
        <v>68</v>
      </c>
      <c r="C659" s="50" t="s">
        <v>28</v>
      </c>
      <c r="D659" s="50" t="s">
        <v>430</v>
      </c>
      <c r="E659" s="121">
        <v>-17709902</v>
      </c>
      <c r="F659" s="121">
        <v>-17709902</v>
      </c>
      <c r="G659" s="121" t="s">
        <v>1586</v>
      </c>
      <c r="H659" s="121">
        <f t="shared" si="22"/>
        <v>-17709.901999999998</v>
      </c>
      <c r="I659" s="121">
        <f>LUCK!G121</f>
        <v>-17709.901999999998</v>
      </c>
      <c r="J659" s="121">
        <f t="shared" si="23"/>
        <v>0</v>
      </c>
      <c r="K659" s="50" t="s">
        <v>1598</v>
      </c>
      <c r="L659" s="50">
        <v>243</v>
      </c>
      <c r="M659" s="50" t="s">
        <v>1106</v>
      </c>
      <c r="N659" s="68" t="s">
        <v>3564</v>
      </c>
      <c r="O659" s="68" t="s">
        <v>3565</v>
      </c>
      <c r="P659" s="68" t="s">
        <v>4194</v>
      </c>
    </row>
    <row r="660" spans="1:16" ht="82.05" customHeight="1" x14ac:dyDescent="0.3">
      <c r="A660" s="119" t="s">
        <v>1978</v>
      </c>
      <c r="B660" s="119" t="s">
        <v>68</v>
      </c>
      <c r="C660" s="119" t="s">
        <v>29</v>
      </c>
      <c r="D660" s="119" t="s">
        <v>430</v>
      </c>
      <c r="E660" s="120">
        <v>-7048725</v>
      </c>
      <c r="F660" s="120">
        <v>-7048725</v>
      </c>
      <c r="G660" s="120" t="s">
        <v>1586</v>
      </c>
      <c r="H660" s="120">
        <f t="shared" si="22"/>
        <v>-7048.7250000000004</v>
      </c>
      <c r="I660" s="120">
        <f>LUCK!H121</f>
        <v>-7048.7250000000004</v>
      </c>
      <c r="J660" s="120">
        <f t="shared" si="23"/>
        <v>0</v>
      </c>
      <c r="K660" s="119" t="s">
        <v>1598</v>
      </c>
      <c r="L660" s="119">
        <v>243</v>
      </c>
      <c r="M660" s="119" t="s">
        <v>1127</v>
      </c>
      <c r="N660" s="122" t="s">
        <v>3564</v>
      </c>
      <c r="O660" s="122" t="s">
        <v>3565</v>
      </c>
      <c r="P660" s="122" t="s">
        <v>4195</v>
      </c>
    </row>
    <row r="661" spans="1:16" ht="82.05" customHeight="1" x14ac:dyDescent="0.3">
      <c r="A661" s="50" t="s">
        <v>1979</v>
      </c>
      <c r="B661" s="50" t="s">
        <v>68</v>
      </c>
      <c r="C661" s="50" t="s">
        <v>20</v>
      </c>
      <c r="D661" s="50" t="s">
        <v>432</v>
      </c>
      <c r="E661" s="121">
        <v>-5762325</v>
      </c>
      <c r="F661" s="121">
        <v>-5762325</v>
      </c>
      <c r="G661" s="121" t="s">
        <v>1586</v>
      </c>
      <c r="H661" s="121">
        <f t="shared" si="22"/>
        <v>-5762.3249999999998</v>
      </c>
      <c r="I661" s="121">
        <f>LUCK!D122</f>
        <v>-5762.3249999999998</v>
      </c>
      <c r="J661" s="121">
        <f t="shared" si="23"/>
        <v>0</v>
      </c>
      <c r="K661" s="50" t="s">
        <v>1589</v>
      </c>
      <c r="L661" s="50">
        <v>229</v>
      </c>
      <c r="M661" s="50" t="s">
        <v>1106</v>
      </c>
      <c r="N661" s="68" t="s">
        <v>3564</v>
      </c>
      <c r="O661" s="68" t="s">
        <v>3565</v>
      </c>
      <c r="P661" s="68" t="s">
        <v>4196</v>
      </c>
    </row>
    <row r="662" spans="1:16" ht="82.05" customHeight="1" x14ac:dyDescent="0.3">
      <c r="A662" s="119" t="s">
        <v>1980</v>
      </c>
      <c r="B662" s="119" t="s">
        <v>68</v>
      </c>
      <c r="C662" s="119" t="s">
        <v>26</v>
      </c>
      <c r="D662" s="119" t="s">
        <v>432</v>
      </c>
      <c r="E662" s="120">
        <v>-24826255</v>
      </c>
      <c r="F662" s="120">
        <v>-24826255</v>
      </c>
      <c r="G662" s="120" t="s">
        <v>1586</v>
      </c>
      <c r="H662" s="120">
        <f t="shared" si="22"/>
        <v>-24826.255000000001</v>
      </c>
      <c r="I662" s="120">
        <f>LUCK!E122</f>
        <v>-24826.255000000001</v>
      </c>
      <c r="J662" s="120">
        <f t="shared" si="23"/>
        <v>0</v>
      </c>
      <c r="K662" s="119" t="s">
        <v>1592</v>
      </c>
      <c r="L662" s="119">
        <v>237</v>
      </c>
      <c r="M662" s="119" t="s">
        <v>1106</v>
      </c>
      <c r="N662" s="122" t="s">
        <v>3564</v>
      </c>
      <c r="O662" s="122" t="s">
        <v>3565</v>
      </c>
      <c r="P662" s="122" t="s">
        <v>4197</v>
      </c>
    </row>
    <row r="663" spans="1:16" ht="82.05" customHeight="1" x14ac:dyDescent="0.3">
      <c r="A663" s="50" t="s">
        <v>1981</v>
      </c>
      <c r="B663" s="50" t="s">
        <v>68</v>
      </c>
      <c r="C663" s="50" t="s">
        <v>27</v>
      </c>
      <c r="D663" s="50" t="s">
        <v>432</v>
      </c>
      <c r="E663" s="121">
        <v>-12978915</v>
      </c>
      <c r="F663" s="121">
        <v>-12978915</v>
      </c>
      <c r="G663" s="121" t="s">
        <v>1586</v>
      </c>
      <c r="H663" s="121">
        <f t="shared" si="22"/>
        <v>-12978.915000000001</v>
      </c>
      <c r="I663" s="121">
        <f>LUCK!F122</f>
        <v>-12978.915000000001</v>
      </c>
      <c r="J663" s="121">
        <f t="shared" si="23"/>
        <v>0</v>
      </c>
      <c r="K663" s="50" t="s">
        <v>1595</v>
      </c>
      <c r="L663" s="50">
        <v>241</v>
      </c>
      <c r="M663" s="50" t="s">
        <v>1106</v>
      </c>
      <c r="N663" s="68" t="s">
        <v>3564</v>
      </c>
      <c r="O663" s="68" t="s">
        <v>3565</v>
      </c>
      <c r="P663" s="68" t="s">
        <v>4198</v>
      </c>
    </row>
    <row r="664" spans="1:16" ht="82.05" customHeight="1" x14ac:dyDescent="0.3">
      <c r="A664" s="119" t="s">
        <v>1982</v>
      </c>
      <c r="B664" s="119" t="s">
        <v>68</v>
      </c>
      <c r="C664" s="119" t="s">
        <v>28</v>
      </c>
      <c r="D664" s="119" t="s">
        <v>432</v>
      </c>
      <c r="E664" s="120">
        <v>-2580021</v>
      </c>
      <c r="F664" s="120">
        <v>-2580021</v>
      </c>
      <c r="G664" s="120" t="s">
        <v>1586</v>
      </c>
      <c r="H664" s="120">
        <f t="shared" si="22"/>
        <v>-2580.0210000000002</v>
      </c>
      <c r="I664" s="120">
        <f>LUCK!G122</f>
        <v>-2580.0210000000002</v>
      </c>
      <c r="J664" s="120">
        <f t="shared" si="23"/>
        <v>0</v>
      </c>
      <c r="K664" s="119" t="s">
        <v>1598</v>
      </c>
      <c r="L664" s="119">
        <v>243</v>
      </c>
      <c r="M664" s="119" t="s">
        <v>1106</v>
      </c>
      <c r="N664" s="122" t="s">
        <v>3564</v>
      </c>
      <c r="O664" s="122" t="s">
        <v>3565</v>
      </c>
      <c r="P664" s="122" t="s">
        <v>4199</v>
      </c>
    </row>
    <row r="665" spans="1:16" ht="82.05" customHeight="1" x14ac:dyDescent="0.3">
      <c r="A665" s="50" t="s">
        <v>1984</v>
      </c>
      <c r="B665" s="50" t="s">
        <v>68</v>
      </c>
      <c r="C665" s="50" t="s">
        <v>29</v>
      </c>
      <c r="D665" s="50" t="s">
        <v>432</v>
      </c>
      <c r="E665" s="121">
        <v>11714661</v>
      </c>
      <c r="F665" s="121">
        <v>11714661</v>
      </c>
      <c r="G665" s="121" t="s">
        <v>1586</v>
      </c>
      <c r="H665" s="121">
        <f t="shared" si="22"/>
        <v>11714.661</v>
      </c>
      <c r="I665" s="121">
        <f>LUCK!H122</f>
        <v>11714.661</v>
      </c>
      <c r="J665" s="121">
        <f t="shared" si="23"/>
        <v>0</v>
      </c>
      <c r="K665" s="50" t="s">
        <v>1598</v>
      </c>
      <c r="L665" s="50">
        <v>243</v>
      </c>
      <c r="M665" s="50" t="s">
        <v>1127</v>
      </c>
      <c r="N665" s="68" t="s">
        <v>3564</v>
      </c>
      <c r="O665" s="68" t="s">
        <v>3565</v>
      </c>
      <c r="P665" s="68" t="s">
        <v>4200</v>
      </c>
    </row>
    <row r="666" spans="1:16" ht="82.05" customHeight="1" x14ac:dyDescent="0.3">
      <c r="A666" s="119" t="s">
        <v>1985</v>
      </c>
      <c r="B666" s="119" t="s">
        <v>68</v>
      </c>
      <c r="C666" s="119" t="s">
        <v>20</v>
      </c>
      <c r="D666" s="119" t="s">
        <v>434</v>
      </c>
      <c r="E666" s="120">
        <v>4022095</v>
      </c>
      <c r="F666" s="120">
        <v>4022095</v>
      </c>
      <c r="G666" s="120" t="s">
        <v>1586</v>
      </c>
      <c r="H666" s="120">
        <f t="shared" si="22"/>
        <v>4022.0949999999998</v>
      </c>
      <c r="I666" s="120">
        <f>LUCK!D123</f>
        <v>4022.0949999999998</v>
      </c>
      <c r="J666" s="120">
        <f t="shared" si="23"/>
        <v>0</v>
      </c>
      <c r="K666" s="119" t="s">
        <v>1589</v>
      </c>
      <c r="L666" s="119">
        <v>229</v>
      </c>
      <c r="M666" s="119" t="s">
        <v>1106</v>
      </c>
      <c r="N666" s="122" t="s">
        <v>3564</v>
      </c>
      <c r="O666" s="122" t="s">
        <v>3565</v>
      </c>
      <c r="P666" s="122" t="s">
        <v>4201</v>
      </c>
    </row>
    <row r="667" spans="1:16" ht="82.05" customHeight="1" x14ac:dyDescent="0.3">
      <c r="A667" s="50" t="s">
        <v>1987</v>
      </c>
      <c r="B667" s="50" t="s">
        <v>68</v>
      </c>
      <c r="C667" s="50" t="s">
        <v>26</v>
      </c>
      <c r="D667" s="50" t="s">
        <v>434</v>
      </c>
      <c r="E667" s="121">
        <v>6158783</v>
      </c>
      <c r="F667" s="121">
        <v>6158783</v>
      </c>
      <c r="G667" s="121" t="s">
        <v>1586</v>
      </c>
      <c r="H667" s="121">
        <f t="shared" si="22"/>
        <v>6158.7830000000004</v>
      </c>
      <c r="I667" s="121">
        <f>LUCK!E123</f>
        <v>6158.7830000000004</v>
      </c>
      <c r="J667" s="121">
        <f t="shared" si="23"/>
        <v>0</v>
      </c>
      <c r="K667" s="50" t="s">
        <v>1592</v>
      </c>
      <c r="L667" s="50">
        <v>237</v>
      </c>
      <c r="M667" s="50" t="s">
        <v>1106</v>
      </c>
      <c r="N667" s="68" t="s">
        <v>3564</v>
      </c>
      <c r="O667" s="68" t="s">
        <v>3565</v>
      </c>
      <c r="P667" s="68" t="s">
        <v>4202</v>
      </c>
    </row>
    <row r="668" spans="1:16" ht="82.05" customHeight="1" x14ac:dyDescent="0.3">
      <c r="A668" s="119" t="s">
        <v>1988</v>
      </c>
      <c r="B668" s="119" t="s">
        <v>68</v>
      </c>
      <c r="C668" s="119" t="s">
        <v>27</v>
      </c>
      <c r="D668" s="119" t="s">
        <v>434</v>
      </c>
      <c r="E668" s="120">
        <v>244582</v>
      </c>
      <c r="F668" s="120">
        <v>244582</v>
      </c>
      <c r="G668" s="120" t="s">
        <v>1586</v>
      </c>
      <c r="H668" s="120">
        <f t="shared" si="22"/>
        <v>244.58199999999999</v>
      </c>
      <c r="I668" s="120">
        <f>LUCK!F123</f>
        <v>244.58199999999999</v>
      </c>
      <c r="J668" s="120">
        <f t="shared" si="23"/>
        <v>0</v>
      </c>
      <c r="K668" s="119" t="s">
        <v>1595</v>
      </c>
      <c r="L668" s="119">
        <v>241</v>
      </c>
      <c r="M668" s="119" t="s">
        <v>1106</v>
      </c>
      <c r="N668" s="122" t="s">
        <v>3564</v>
      </c>
      <c r="O668" s="122" t="s">
        <v>3565</v>
      </c>
      <c r="P668" s="122" t="s">
        <v>4203</v>
      </c>
    </row>
    <row r="669" spans="1:16" ht="82.05" customHeight="1" x14ac:dyDescent="0.3">
      <c r="A669" s="50" t="s">
        <v>1990</v>
      </c>
      <c r="B669" s="50" t="s">
        <v>68</v>
      </c>
      <c r="C669" s="50" t="s">
        <v>28</v>
      </c>
      <c r="D669" s="50" t="s">
        <v>434</v>
      </c>
      <c r="E669" s="121">
        <v>-18620168</v>
      </c>
      <c r="F669" s="121">
        <v>-18620168</v>
      </c>
      <c r="G669" s="121" t="s">
        <v>1586</v>
      </c>
      <c r="H669" s="121">
        <f t="shared" si="22"/>
        <v>-18620.168000000001</v>
      </c>
      <c r="I669" s="121">
        <f>LUCK!G123</f>
        <v>-18620.168000000001</v>
      </c>
      <c r="J669" s="121">
        <f t="shared" si="23"/>
        <v>0</v>
      </c>
      <c r="K669" s="50" t="s">
        <v>1598</v>
      </c>
      <c r="L669" s="50">
        <v>243</v>
      </c>
      <c r="M669" s="50" t="s">
        <v>1106</v>
      </c>
      <c r="N669" s="68" t="s">
        <v>3564</v>
      </c>
      <c r="O669" s="68" t="s">
        <v>3565</v>
      </c>
      <c r="P669" s="68" t="s">
        <v>4204</v>
      </c>
    </row>
    <row r="670" spans="1:16" ht="82.05" customHeight="1" x14ac:dyDescent="0.3">
      <c r="A670" s="119" t="s">
        <v>1991</v>
      </c>
      <c r="B670" s="119" t="s">
        <v>68</v>
      </c>
      <c r="C670" s="119" t="s">
        <v>29</v>
      </c>
      <c r="D670" s="119" t="s">
        <v>434</v>
      </c>
      <c r="E670" s="120">
        <v>-7580984</v>
      </c>
      <c r="F670" s="120">
        <v>-7580984</v>
      </c>
      <c r="G670" s="120" t="s">
        <v>1586</v>
      </c>
      <c r="H670" s="120">
        <f t="shared" si="22"/>
        <v>-7580.9840000000004</v>
      </c>
      <c r="I670" s="120">
        <f>LUCK!H123</f>
        <v>-7580.9840000000004</v>
      </c>
      <c r="J670" s="120">
        <f t="shared" si="23"/>
        <v>0</v>
      </c>
      <c r="K670" s="119" t="s">
        <v>1598</v>
      </c>
      <c r="L670" s="119">
        <v>243</v>
      </c>
      <c r="M670" s="119" t="s">
        <v>1127</v>
      </c>
      <c r="N670" s="122" t="s">
        <v>3564</v>
      </c>
      <c r="O670" s="122" t="s">
        <v>3565</v>
      </c>
      <c r="P670" s="122" t="s">
        <v>4205</v>
      </c>
    </row>
    <row r="671" spans="1:16" ht="82.05" customHeight="1" x14ac:dyDescent="0.3">
      <c r="A671" s="50" t="s">
        <v>1992</v>
      </c>
      <c r="B671" s="50" t="s">
        <v>68</v>
      </c>
      <c r="C671" s="50" t="s">
        <v>20</v>
      </c>
      <c r="D671" s="50" t="s">
        <v>436</v>
      </c>
      <c r="E671" s="121">
        <v>-19889</v>
      </c>
      <c r="F671" s="121">
        <v>-19889</v>
      </c>
      <c r="G671" s="121" t="s">
        <v>1586</v>
      </c>
      <c r="H671" s="121">
        <f t="shared" si="22"/>
        <v>-19.888999999999999</v>
      </c>
      <c r="I671" s="121">
        <f>LUCK!D124</f>
        <v>-19.888999999999999</v>
      </c>
      <c r="J671" s="121">
        <f t="shared" si="23"/>
        <v>0</v>
      </c>
      <c r="K671" s="50" t="s">
        <v>1589</v>
      </c>
      <c r="L671" s="50">
        <v>229</v>
      </c>
      <c r="M671" s="50" t="s">
        <v>1106</v>
      </c>
      <c r="N671" s="68" t="s">
        <v>3564</v>
      </c>
      <c r="O671" s="68" t="s">
        <v>3565</v>
      </c>
      <c r="P671" s="68" t="s">
        <v>4206</v>
      </c>
    </row>
    <row r="672" spans="1:16" ht="82.05" customHeight="1" x14ac:dyDescent="0.3">
      <c r="A672" s="119" t="s">
        <v>1993</v>
      </c>
      <c r="B672" s="119" t="s">
        <v>68</v>
      </c>
      <c r="C672" s="119" t="s">
        <v>26</v>
      </c>
      <c r="D672" s="119" t="s">
        <v>436</v>
      </c>
      <c r="E672" s="120">
        <v>-2428</v>
      </c>
      <c r="F672" s="120">
        <v>-2428</v>
      </c>
      <c r="G672" s="120" t="s">
        <v>1586</v>
      </c>
      <c r="H672" s="120">
        <f t="shared" si="22"/>
        <v>-2.4279999999999999</v>
      </c>
      <c r="I672" s="120">
        <f>LUCK!E124</f>
        <v>-2.4279999999999999</v>
      </c>
      <c r="J672" s="120">
        <f t="shared" si="23"/>
        <v>0</v>
      </c>
      <c r="K672" s="119" t="s">
        <v>1592</v>
      </c>
      <c r="L672" s="119">
        <v>237</v>
      </c>
      <c r="M672" s="119" t="s">
        <v>1106</v>
      </c>
      <c r="N672" s="122" t="s">
        <v>3564</v>
      </c>
      <c r="O672" s="122" t="s">
        <v>3565</v>
      </c>
      <c r="P672" s="122" t="s">
        <v>4207</v>
      </c>
    </row>
    <row r="673" spans="1:16" ht="82.05" customHeight="1" x14ac:dyDescent="0.3">
      <c r="A673" s="50" t="s">
        <v>1994</v>
      </c>
      <c r="B673" s="50" t="s">
        <v>68</v>
      </c>
      <c r="C673" s="50" t="s">
        <v>27</v>
      </c>
      <c r="D673" s="50" t="s">
        <v>436</v>
      </c>
      <c r="E673" s="121">
        <v>-915</v>
      </c>
      <c r="F673" s="121">
        <v>-915</v>
      </c>
      <c r="G673" s="121" t="s">
        <v>1586</v>
      </c>
      <c r="H673" s="121">
        <f t="shared" si="22"/>
        <v>-0.91500000000000004</v>
      </c>
      <c r="I673" s="121">
        <f>LUCK!F124</f>
        <v>-0.91500000000000004</v>
      </c>
      <c r="J673" s="121">
        <f t="shared" si="23"/>
        <v>0</v>
      </c>
      <c r="K673" s="50" t="s">
        <v>1595</v>
      </c>
      <c r="L673" s="50">
        <v>241</v>
      </c>
      <c r="M673" s="50" t="s">
        <v>1106</v>
      </c>
      <c r="N673" s="68" t="s">
        <v>3564</v>
      </c>
      <c r="O673" s="68" t="s">
        <v>3565</v>
      </c>
      <c r="P673" s="68" t="s">
        <v>4208</v>
      </c>
    </row>
    <row r="674" spans="1:16" ht="82.05" customHeight="1" x14ac:dyDescent="0.3">
      <c r="A674" s="119" t="s">
        <v>1995</v>
      </c>
      <c r="B674" s="119" t="s">
        <v>68</v>
      </c>
      <c r="C674" s="119" t="s">
        <v>28</v>
      </c>
      <c r="D674" s="119" t="s">
        <v>436</v>
      </c>
      <c r="E674" s="120">
        <v>-5443084</v>
      </c>
      <c r="F674" s="120">
        <v>-5443084</v>
      </c>
      <c r="G674" s="120" t="s">
        <v>1586</v>
      </c>
      <c r="H674" s="120">
        <f t="shared" si="22"/>
        <v>-5443.0839999999998</v>
      </c>
      <c r="I674" s="120">
        <f>LUCK!G124</f>
        <v>-5443.0839999999998</v>
      </c>
      <c r="J674" s="120">
        <f t="shared" si="23"/>
        <v>0</v>
      </c>
      <c r="K674" s="119" t="s">
        <v>1598</v>
      </c>
      <c r="L674" s="119">
        <v>243</v>
      </c>
      <c r="M674" s="119" t="s">
        <v>1106</v>
      </c>
      <c r="N674" s="122" t="s">
        <v>3564</v>
      </c>
      <c r="O674" s="122" t="s">
        <v>3565</v>
      </c>
      <c r="P674" s="122" t="s">
        <v>4209</v>
      </c>
    </row>
    <row r="675" spans="1:16" ht="82.05" customHeight="1" x14ac:dyDescent="0.3">
      <c r="A675" s="50" t="s">
        <v>1996</v>
      </c>
      <c r="B675" s="50" t="s">
        <v>68</v>
      </c>
      <c r="C675" s="50" t="s">
        <v>29</v>
      </c>
      <c r="D675" s="50" t="s">
        <v>436</v>
      </c>
      <c r="E675" s="121">
        <v>-4388403</v>
      </c>
      <c r="F675" s="121">
        <v>-4388403</v>
      </c>
      <c r="G675" s="121" t="s">
        <v>1586</v>
      </c>
      <c r="H675" s="121">
        <f t="shared" si="22"/>
        <v>-4388.4030000000002</v>
      </c>
      <c r="I675" s="121">
        <f>LUCK!H124</f>
        <v>-4388.4030000000002</v>
      </c>
      <c r="J675" s="121">
        <f t="shared" si="23"/>
        <v>0</v>
      </c>
      <c r="K675" s="50" t="s">
        <v>1598</v>
      </c>
      <c r="L675" s="50">
        <v>243</v>
      </c>
      <c r="M675" s="50" t="s">
        <v>1127</v>
      </c>
      <c r="N675" s="68" t="s">
        <v>3564</v>
      </c>
      <c r="O675" s="68" t="s">
        <v>3565</v>
      </c>
      <c r="P675" s="68" t="s">
        <v>4210</v>
      </c>
    </row>
    <row r="676" spans="1:16" ht="82.05" customHeight="1" x14ac:dyDescent="0.3">
      <c r="A676" s="119" t="s">
        <v>2030</v>
      </c>
      <c r="B676" s="119" t="s">
        <v>86</v>
      </c>
      <c r="C676" s="119" t="s">
        <v>965</v>
      </c>
      <c r="D676" s="119" t="s">
        <v>243</v>
      </c>
      <c r="E676" s="120">
        <v>83537295</v>
      </c>
      <c r="F676" s="120">
        <v>83537295</v>
      </c>
      <c r="G676" s="120" t="s">
        <v>2033</v>
      </c>
      <c r="H676" s="120">
        <f t="shared" si="22"/>
        <v>83537.294999999998</v>
      </c>
      <c r="I676" s="120">
        <f>DGKC!C20</f>
        <v>83537.294999999998</v>
      </c>
      <c r="J676" s="120">
        <f t="shared" si="23"/>
        <v>0</v>
      </c>
      <c r="K676" s="119" t="s">
        <v>2031</v>
      </c>
      <c r="L676" s="119">
        <v>106</v>
      </c>
      <c r="M676" s="119" t="s">
        <v>1106</v>
      </c>
      <c r="N676" s="122" t="s">
        <v>3564</v>
      </c>
      <c r="O676" s="122" t="s">
        <v>3565</v>
      </c>
      <c r="P676" s="122" t="s">
        <v>4211</v>
      </c>
    </row>
    <row r="677" spans="1:16" ht="82.05" customHeight="1" x14ac:dyDescent="0.3">
      <c r="A677" s="50" t="s">
        <v>2034</v>
      </c>
      <c r="B677" s="50" t="s">
        <v>86</v>
      </c>
      <c r="C677" s="50" t="s">
        <v>20</v>
      </c>
      <c r="D677" s="50" t="s">
        <v>243</v>
      </c>
      <c r="E677" s="121">
        <v>85020109</v>
      </c>
      <c r="F677" s="121">
        <v>85020109</v>
      </c>
      <c r="G677" s="121" t="s">
        <v>2033</v>
      </c>
      <c r="H677" s="121">
        <f t="shared" si="22"/>
        <v>85020.108999999997</v>
      </c>
      <c r="I677" s="121">
        <f>DGKC!D20</f>
        <v>85020.108999999997</v>
      </c>
      <c r="J677" s="121">
        <f t="shared" si="23"/>
        <v>0</v>
      </c>
      <c r="K677" s="50" t="s">
        <v>2035</v>
      </c>
      <c r="L677" s="50">
        <v>126</v>
      </c>
      <c r="M677" s="50" t="s">
        <v>1106</v>
      </c>
      <c r="N677" s="68" t="s">
        <v>3564</v>
      </c>
      <c r="O677" s="68" t="s">
        <v>3565</v>
      </c>
      <c r="P677" s="68" t="s">
        <v>4212</v>
      </c>
    </row>
    <row r="678" spans="1:16" ht="82.05" customHeight="1" x14ac:dyDescent="0.3">
      <c r="A678" s="119" t="s">
        <v>2037</v>
      </c>
      <c r="B678" s="119" t="s">
        <v>86</v>
      </c>
      <c r="C678" s="119" t="s">
        <v>26</v>
      </c>
      <c r="D678" s="119" t="s">
        <v>243</v>
      </c>
      <c r="E678" s="120">
        <v>82803860</v>
      </c>
      <c r="F678" s="120">
        <v>82803860</v>
      </c>
      <c r="G678" s="120" t="s">
        <v>2033</v>
      </c>
      <c r="H678" s="120">
        <f t="shared" si="22"/>
        <v>82803.86</v>
      </c>
      <c r="I678" s="120">
        <f>DGKC!E20</f>
        <v>82803.86</v>
      </c>
      <c r="J678" s="120">
        <f t="shared" si="23"/>
        <v>0</v>
      </c>
      <c r="K678" s="119" t="s">
        <v>2038</v>
      </c>
      <c r="L678" s="119">
        <v>152</v>
      </c>
      <c r="M678" s="119" t="s">
        <v>1106</v>
      </c>
      <c r="N678" s="122" t="s">
        <v>3564</v>
      </c>
      <c r="O678" s="122" t="s">
        <v>3565</v>
      </c>
      <c r="P678" s="122" t="s">
        <v>4213</v>
      </c>
    </row>
    <row r="679" spans="1:16" ht="82.05" customHeight="1" x14ac:dyDescent="0.3">
      <c r="A679" s="50" t="s">
        <v>2040</v>
      </c>
      <c r="B679" s="50" t="s">
        <v>86</v>
      </c>
      <c r="C679" s="50" t="s">
        <v>27</v>
      </c>
      <c r="D679" s="50" t="s">
        <v>243</v>
      </c>
      <c r="E679" s="121">
        <v>82245650</v>
      </c>
      <c r="F679" s="121">
        <v>82245650</v>
      </c>
      <c r="G679" s="121" t="s">
        <v>2033</v>
      </c>
      <c r="H679" s="121">
        <f t="shared" si="22"/>
        <v>82245.649999999994</v>
      </c>
      <c r="I679" s="121">
        <f>DGKC!F20</f>
        <v>82245.649999999994</v>
      </c>
      <c r="J679" s="121">
        <f t="shared" si="23"/>
        <v>0</v>
      </c>
      <c r="K679" s="50" t="s">
        <v>2041</v>
      </c>
      <c r="L679" s="50">
        <v>152</v>
      </c>
      <c r="M679" s="50" t="s">
        <v>1106</v>
      </c>
      <c r="N679" s="68" t="s">
        <v>3564</v>
      </c>
      <c r="O679" s="68" t="s">
        <v>3565</v>
      </c>
      <c r="P679" s="68" t="s">
        <v>4214</v>
      </c>
    </row>
    <row r="680" spans="1:16" ht="82.05" customHeight="1" x14ac:dyDescent="0.3">
      <c r="A680" s="119" t="s">
        <v>2042</v>
      </c>
      <c r="B680" s="119" t="s">
        <v>86</v>
      </c>
      <c r="C680" s="119" t="s">
        <v>28</v>
      </c>
      <c r="D680" s="119" t="s">
        <v>243</v>
      </c>
      <c r="E680" s="120">
        <v>79877839</v>
      </c>
      <c r="F680" s="120">
        <v>79877839</v>
      </c>
      <c r="G680" s="120" t="s">
        <v>2033</v>
      </c>
      <c r="H680" s="120">
        <f t="shared" si="22"/>
        <v>79877.839000000007</v>
      </c>
      <c r="I680" s="120">
        <f>DGKC!G20</f>
        <v>79877.839000000007</v>
      </c>
      <c r="J680" s="120">
        <f t="shared" si="23"/>
        <v>0</v>
      </c>
      <c r="K680" s="119" t="s">
        <v>2043</v>
      </c>
      <c r="L680" s="119">
        <v>154</v>
      </c>
      <c r="M680" s="119" t="s">
        <v>1106</v>
      </c>
      <c r="N680" s="122" t="s">
        <v>3564</v>
      </c>
      <c r="O680" s="122" t="s">
        <v>3565</v>
      </c>
      <c r="P680" s="122" t="s">
        <v>4215</v>
      </c>
    </row>
    <row r="681" spans="1:16" ht="82.05" customHeight="1" x14ac:dyDescent="0.3">
      <c r="A681" s="50" t="s">
        <v>2045</v>
      </c>
      <c r="B681" s="50" t="s">
        <v>86</v>
      </c>
      <c r="C681" s="50" t="s">
        <v>29</v>
      </c>
      <c r="D681" s="50" t="s">
        <v>243</v>
      </c>
      <c r="E681" s="121">
        <v>77252559</v>
      </c>
      <c r="F681" s="121">
        <v>77252559</v>
      </c>
      <c r="G681" s="121" t="s">
        <v>2033</v>
      </c>
      <c r="H681" s="121">
        <f t="shared" si="22"/>
        <v>77252.558999999994</v>
      </c>
      <c r="I681" s="121">
        <f>DGKC!H20</f>
        <v>77252.558999999994</v>
      </c>
      <c r="J681" s="121">
        <f t="shared" si="23"/>
        <v>0</v>
      </c>
      <c r="K681" s="50" t="s">
        <v>2043</v>
      </c>
      <c r="L681" s="50">
        <v>154</v>
      </c>
      <c r="M681" s="50" t="s">
        <v>1127</v>
      </c>
      <c r="N681" s="68" t="s">
        <v>3564</v>
      </c>
      <c r="O681" s="68" t="s">
        <v>3565</v>
      </c>
      <c r="P681" s="68" t="s">
        <v>4216</v>
      </c>
    </row>
    <row r="682" spans="1:16" ht="82.05" customHeight="1" x14ac:dyDescent="0.3">
      <c r="A682" s="119" t="s">
        <v>2046</v>
      </c>
      <c r="B682" s="119" t="s">
        <v>86</v>
      </c>
      <c r="C682" s="119" t="s">
        <v>965</v>
      </c>
      <c r="D682" s="119" t="s">
        <v>1129</v>
      </c>
      <c r="E682" s="120">
        <v>6358259</v>
      </c>
      <c r="F682" s="120">
        <v>6358259</v>
      </c>
      <c r="G682" s="120" t="s">
        <v>2033</v>
      </c>
      <c r="H682" s="120">
        <f t="shared" si="22"/>
        <v>6358.259</v>
      </c>
      <c r="I682" s="120">
        <f>DGKC!C21</f>
        <v>6358.259</v>
      </c>
      <c r="J682" s="120">
        <f t="shared" si="23"/>
        <v>0</v>
      </c>
      <c r="K682" s="119" t="s">
        <v>2031</v>
      </c>
      <c r="L682" s="119">
        <v>139</v>
      </c>
      <c r="M682" s="119" t="s">
        <v>1106</v>
      </c>
      <c r="N682" s="122" t="s">
        <v>3564</v>
      </c>
      <c r="O682" s="122" t="s">
        <v>3565</v>
      </c>
      <c r="P682" s="122" t="s">
        <v>4217</v>
      </c>
    </row>
    <row r="683" spans="1:16" ht="82.05" customHeight="1" x14ac:dyDescent="0.3">
      <c r="A683" s="50" t="s">
        <v>2048</v>
      </c>
      <c r="B683" s="50" t="s">
        <v>86</v>
      </c>
      <c r="C683" s="50" t="s">
        <v>20</v>
      </c>
      <c r="D683" s="50" t="s">
        <v>1129</v>
      </c>
      <c r="E683" s="121">
        <v>7726720</v>
      </c>
      <c r="F683" s="121">
        <v>7726720</v>
      </c>
      <c r="G683" s="121" t="s">
        <v>2033</v>
      </c>
      <c r="H683" s="121">
        <f t="shared" si="22"/>
        <v>7726.72</v>
      </c>
      <c r="I683" s="121">
        <f>DGKC!D21</f>
        <v>7726.72</v>
      </c>
      <c r="J683" s="121">
        <f t="shared" si="23"/>
        <v>0</v>
      </c>
      <c r="K683" s="50" t="s">
        <v>2035</v>
      </c>
      <c r="L683" s="50">
        <v>160</v>
      </c>
      <c r="M683" s="50" t="s">
        <v>1106</v>
      </c>
      <c r="N683" s="68" t="s">
        <v>3564</v>
      </c>
      <c r="O683" s="68" t="s">
        <v>3565</v>
      </c>
      <c r="P683" s="68" t="s">
        <v>4218</v>
      </c>
    </row>
    <row r="684" spans="1:16" ht="82.05" customHeight="1" x14ac:dyDescent="0.3">
      <c r="A684" s="119" t="s">
        <v>2050</v>
      </c>
      <c r="B684" s="119" t="s">
        <v>86</v>
      </c>
      <c r="C684" s="119" t="s">
        <v>26</v>
      </c>
      <c r="D684" s="119" t="s">
        <v>1129</v>
      </c>
      <c r="E684" s="120">
        <v>724168</v>
      </c>
      <c r="F684" s="120">
        <v>724168</v>
      </c>
      <c r="G684" s="120" t="s">
        <v>2033</v>
      </c>
      <c r="H684" s="120">
        <f t="shared" si="22"/>
        <v>724.16800000000001</v>
      </c>
      <c r="I684" s="120">
        <f>DGKC!E21</f>
        <v>724.16800000000001</v>
      </c>
      <c r="J684" s="120">
        <f t="shared" si="23"/>
        <v>0</v>
      </c>
      <c r="K684" s="119" t="s">
        <v>2038</v>
      </c>
      <c r="L684" s="119">
        <v>185</v>
      </c>
      <c r="M684" s="119" t="s">
        <v>1106</v>
      </c>
      <c r="N684" s="122" t="s">
        <v>3564</v>
      </c>
      <c r="O684" s="122" t="s">
        <v>3565</v>
      </c>
      <c r="P684" s="122" t="s">
        <v>4219</v>
      </c>
    </row>
    <row r="685" spans="1:16" ht="82.05" customHeight="1" x14ac:dyDescent="0.3">
      <c r="A685" s="50" t="s">
        <v>2052</v>
      </c>
      <c r="B685" s="50" t="s">
        <v>86</v>
      </c>
      <c r="C685" s="50" t="s">
        <v>27</v>
      </c>
      <c r="D685" s="50" t="s">
        <v>1129</v>
      </c>
      <c r="E685" s="121">
        <v>2006864</v>
      </c>
      <c r="F685" s="121">
        <v>2006864</v>
      </c>
      <c r="G685" s="121" t="s">
        <v>2033</v>
      </c>
      <c r="H685" s="121">
        <f t="shared" si="22"/>
        <v>2006.864</v>
      </c>
      <c r="I685" s="121">
        <f>DGKC!F21</f>
        <v>2006.864</v>
      </c>
      <c r="J685" s="121">
        <f t="shared" si="23"/>
        <v>0</v>
      </c>
      <c r="K685" s="50" t="s">
        <v>2041</v>
      </c>
      <c r="L685" s="50">
        <v>187</v>
      </c>
      <c r="M685" s="50" t="s">
        <v>1106</v>
      </c>
      <c r="N685" s="68" t="s">
        <v>3564</v>
      </c>
      <c r="O685" s="68" t="s">
        <v>3565</v>
      </c>
      <c r="P685" s="68" t="s">
        <v>4220</v>
      </c>
    </row>
    <row r="686" spans="1:16" ht="82.05" customHeight="1" x14ac:dyDescent="0.3">
      <c r="A686" s="119" t="s">
        <v>2054</v>
      </c>
      <c r="B686" s="119" t="s">
        <v>86</v>
      </c>
      <c r="C686" s="119" t="s">
        <v>28</v>
      </c>
      <c r="D686" s="119" t="s">
        <v>1129</v>
      </c>
      <c r="E686" s="120">
        <v>1341029</v>
      </c>
      <c r="F686" s="120">
        <v>1341029</v>
      </c>
      <c r="G686" s="120" t="s">
        <v>2033</v>
      </c>
      <c r="H686" s="120">
        <f t="shared" si="22"/>
        <v>1341.029</v>
      </c>
      <c r="I686" s="120">
        <f>DGKC!G21</f>
        <v>1341.029</v>
      </c>
      <c r="J686" s="120">
        <f t="shared" si="23"/>
        <v>0</v>
      </c>
      <c r="K686" s="119" t="s">
        <v>2043</v>
      </c>
      <c r="L686" s="119">
        <v>189</v>
      </c>
      <c r="M686" s="119" t="s">
        <v>1106</v>
      </c>
      <c r="N686" s="122" t="s">
        <v>3564</v>
      </c>
      <c r="O686" s="122" t="s">
        <v>3565</v>
      </c>
      <c r="P686" s="122" t="s">
        <v>4221</v>
      </c>
    </row>
    <row r="687" spans="1:16" ht="82.05" customHeight="1" x14ac:dyDescent="0.3">
      <c r="A687" s="50" t="s">
        <v>2056</v>
      </c>
      <c r="B687" s="50" t="s">
        <v>86</v>
      </c>
      <c r="C687" s="50" t="s">
        <v>29</v>
      </c>
      <c r="D687" s="50" t="s">
        <v>1129</v>
      </c>
      <c r="E687" s="121">
        <v>798312</v>
      </c>
      <c r="F687" s="121">
        <v>798312</v>
      </c>
      <c r="G687" s="121" t="s">
        <v>2033</v>
      </c>
      <c r="H687" s="121">
        <f t="shared" si="22"/>
        <v>798.31200000000001</v>
      </c>
      <c r="I687" s="121">
        <f>DGKC!H21</f>
        <v>798.31200000000001</v>
      </c>
      <c r="J687" s="121">
        <f t="shared" si="23"/>
        <v>0</v>
      </c>
      <c r="K687" s="50" t="s">
        <v>2043</v>
      </c>
      <c r="L687" s="50">
        <v>189</v>
      </c>
      <c r="M687" s="50" t="s">
        <v>1127</v>
      </c>
      <c r="N687" s="68" t="s">
        <v>3564</v>
      </c>
      <c r="O687" s="68" t="s">
        <v>3565</v>
      </c>
      <c r="P687" s="68" t="s">
        <v>4222</v>
      </c>
    </row>
    <row r="688" spans="1:16" ht="82.05" customHeight="1" x14ac:dyDescent="0.3">
      <c r="A688" s="119" t="s">
        <v>2057</v>
      </c>
      <c r="B688" s="119" t="s">
        <v>86</v>
      </c>
      <c r="C688" s="119" t="s">
        <v>965</v>
      </c>
      <c r="D688" s="119" t="s">
        <v>250</v>
      </c>
      <c r="E688" s="120">
        <v>0</v>
      </c>
      <c r="F688" s="120">
        <v>0</v>
      </c>
      <c r="G688" s="120" t="s">
        <v>2033</v>
      </c>
      <c r="H688" s="120">
        <f t="shared" si="22"/>
        <v>0</v>
      </c>
      <c r="I688" s="120">
        <f>DGKC!C23</f>
        <v>0</v>
      </c>
      <c r="J688" s="120">
        <f t="shared" si="23"/>
        <v>0</v>
      </c>
      <c r="K688" s="119" t="s">
        <v>2031</v>
      </c>
      <c r="L688" s="119">
        <v>105</v>
      </c>
      <c r="M688" s="119" t="s">
        <v>1106</v>
      </c>
      <c r="N688" s="122" t="s">
        <v>3578</v>
      </c>
      <c r="O688" s="122" t="s">
        <v>3579</v>
      </c>
      <c r="P688" s="122" t="s">
        <v>4223</v>
      </c>
    </row>
    <row r="689" spans="1:16" ht="82.05" customHeight="1" x14ac:dyDescent="0.3">
      <c r="A689" s="50" t="s">
        <v>2059</v>
      </c>
      <c r="B689" s="50" t="s">
        <v>86</v>
      </c>
      <c r="C689" s="50" t="s">
        <v>20</v>
      </c>
      <c r="D689" s="50" t="s">
        <v>250</v>
      </c>
      <c r="E689" s="121">
        <v>0</v>
      </c>
      <c r="F689" s="121">
        <v>0</v>
      </c>
      <c r="G689" s="121" t="s">
        <v>2033</v>
      </c>
      <c r="H689" s="121">
        <f t="shared" si="22"/>
        <v>0</v>
      </c>
      <c r="I689" s="121">
        <f>DGKC!D23</f>
        <v>0</v>
      </c>
      <c r="J689" s="121">
        <f t="shared" si="23"/>
        <v>0</v>
      </c>
      <c r="K689" s="50" t="s">
        <v>2035</v>
      </c>
      <c r="L689" s="50">
        <v>125</v>
      </c>
      <c r="M689" s="50" t="s">
        <v>1106</v>
      </c>
      <c r="N689" s="68" t="s">
        <v>3578</v>
      </c>
      <c r="O689" s="68" t="s">
        <v>3579</v>
      </c>
      <c r="P689" s="68" t="s">
        <v>4224</v>
      </c>
    </row>
    <row r="690" spans="1:16" ht="82.05" customHeight="1" x14ac:dyDescent="0.3">
      <c r="A690" s="119" t="s">
        <v>2061</v>
      </c>
      <c r="B690" s="119" t="s">
        <v>86</v>
      </c>
      <c r="C690" s="119" t="s">
        <v>26</v>
      </c>
      <c r="D690" s="119" t="s">
        <v>250</v>
      </c>
      <c r="E690" s="120">
        <v>0</v>
      </c>
      <c r="F690" s="120">
        <v>0</v>
      </c>
      <c r="G690" s="120" t="s">
        <v>2033</v>
      </c>
      <c r="H690" s="120">
        <f t="shared" si="22"/>
        <v>0</v>
      </c>
      <c r="I690" s="120">
        <f>DGKC!E23</f>
        <v>0</v>
      </c>
      <c r="J690" s="120">
        <f t="shared" si="23"/>
        <v>0</v>
      </c>
      <c r="K690" s="119" t="s">
        <v>2038</v>
      </c>
      <c r="L690" s="119">
        <v>151</v>
      </c>
      <c r="M690" s="119" t="s">
        <v>1106</v>
      </c>
      <c r="N690" s="122" t="s">
        <v>3578</v>
      </c>
      <c r="O690" s="122" t="s">
        <v>3579</v>
      </c>
      <c r="P690" s="122" t="s">
        <v>4225</v>
      </c>
    </row>
    <row r="691" spans="1:16" ht="82.05" customHeight="1" x14ac:dyDescent="0.3">
      <c r="A691" s="50" t="s">
        <v>2063</v>
      </c>
      <c r="B691" s="50" t="s">
        <v>86</v>
      </c>
      <c r="C691" s="50" t="s">
        <v>27</v>
      </c>
      <c r="D691" s="50" t="s">
        <v>250</v>
      </c>
      <c r="E691" s="121">
        <v>0</v>
      </c>
      <c r="F691" s="121">
        <v>0</v>
      </c>
      <c r="G691" s="121" t="s">
        <v>2033</v>
      </c>
      <c r="H691" s="121">
        <f t="shared" si="22"/>
        <v>0</v>
      </c>
      <c r="I691" s="121">
        <f>DGKC!F23</f>
        <v>0</v>
      </c>
      <c r="J691" s="121">
        <f t="shared" si="23"/>
        <v>0</v>
      </c>
      <c r="K691" s="50" t="s">
        <v>2041</v>
      </c>
      <c r="L691" s="50">
        <v>151</v>
      </c>
      <c r="M691" s="50" t="s">
        <v>1106</v>
      </c>
      <c r="N691" s="68" t="s">
        <v>3578</v>
      </c>
      <c r="O691" s="68" t="s">
        <v>3579</v>
      </c>
      <c r="P691" s="68" t="s">
        <v>4226</v>
      </c>
    </row>
    <row r="692" spans="1:16" ht="82.05" customHeight="1" x14ac:dyDescent="0.3">
      <c r="A692" s="119" t="s">
        <v>2064</v>
      </c>
      <c r="B692" s="119" t="s">
        <v>86</v>
      </c>
      <c r="C692" s="119" t="s">
        <v>28</v>
      </c>
      <c r="D692" s="119" t="s">
        <v>250</v>
      </c>
      <c r="E692" s="120">
        <v>0</v>
      </c>
      <c r="F692" s="120">
        <v>0</v>
      </c>
      <c r="G692" s="120" t="s">
        <v>2033</v>
      </c>
      <c r="H692" s="120">
        <f t="shared" si="22"/>
        <v>0</v>
      </c>
      <c r="I692" s="120">
        <f>DGKC!G23</f>
        <v>0</v>
      </c>
      <c r="J692" s="120">
        <f t="shared" si="23"/>
        <v>0</v>
      </c>
      <c r="K692" s="119" t="s">
        <v>2043</v>
      </c>
      <c r="L692" s="119">
        <v>153</v>
      </c>
      <c r="M692" s="119" t="s">
        <v>1106</v>
      </c>
      <c r="N692" s="122" t="s">
        <v>3578</v>
      </c>
      <c r="O692" s="122" t="s">
        <v>3579</v>
      </c>
      <c r="P692" s="122" t="s">
        <v>4227</v>
      </c>
    </row>
    <row r="693" spans="1:16" ht="82.05" customHeight="1" x14ac:dyDescent="0.3">
      <c r="A693" s="50" t="s">
        <v>2066</v>
      </c>
      <c r="B693" s="50" t="s">
        <v>86</v>
      </c>
      <c r="C693" s="50" t="s">
        <v>29</v>
      </c>
      <c r="D693" s="50" t="s">
        <v>250</v>
      </c>
      <c r="E693" s="121">
        <v>0</v>
      </c>
      <c r="F693" s="121">
        <v>0</v>
      </c>
      <c r="G693" s="121" t="s">
        <v>2033</v>
      </c>
      <c r="H693" s="121">
        <f t="shared" si="22"/>
        <v>0</v>
      </c>
      <c r="I693" s="121">
        <f>DGKC!H23</f>
        <v>0</v>
      </c>
      <c r="J693" s="121">
        <f t="shared" si="23"/>
        <v>0</v>
      </c>
      <c r="K693" s="50" t="s">
        <v>2043</v>
      </c>
      <c r="L693" s="50">
        <v>153</v>
      </c>
      <c r="M693" s="50" t="s">
        <v>1127</v>
      </c>
      <c r="N693" s="68" t="s">
        <v>3578</v>
      </c>
      <c r="O693" s="68" t="s">
        <v>3579</v>
      </c>
      <c r="P693" s="68" t="s">
        <v>4227</v>
      </c>
    </row>
    <row r="694" spans="1:16" ht="82.05" customHeight="1" x14ac:dyDescent="0.3">
      <c r="A694" s="119" t="s">
        <v>2067</v>
      </c>
      <c r="B694" s="119" t="s">
        <v>86</v>
      </c>
      <c r="C694" s="119" t="s">
        <v>965</v>
      </c>
      <c r="D694" s="119" t="s">
        <v>252</v>
      </c>
      <c r="E694" s="120">
        <v>0</v>
      </c>
      <c r="F694" s="120">
        <v>0</v>
      </c>
      <c r="G694" s="120" t="s">
        <v>2033</v>
      </c>
      <c r="H694" s="120">
        <f t="shared" si="22"/>
        <v>0</v>
      </c>
      <c r="I694" s="120">
        <f>DGKC!C24</f>
        <v>0</v>
      </c>
      <c r="J694" s="120">
        <f t="shared" si="23"/>
        <v>0</v>
      </c>
      <c r="K694" s="119" t="s">
        <v>2031</v>
      </c>
      <c r="L694" s="119">
        <v>105</v>
      </c>
      <c r="M694" s="119" t="s">
        <v>1106</v>
      </c>
      <c r="N694" s="122" t="s">
        <v>3578</v>
      </c>
      <c r="O694" s="122" t="s">
        <v>3579</v>
      </c>
      <c r="P694" s="122" t="s">
        <v>4228</v>
      </c>
    </row>
    <row r="695" spans="1:16" ht="82.05" customHeight="1" x14ac:dyDescent="0.3">
      <c r="A695" s="50" t="s">
        <v>2068</v>
      </c>
      <c r="B695" s="50" t="s">
        <v>86</v>
      </c>
      <c r="C695" s="50" t="s">
        <v>20</v>
      </c>
      <c r="D695" s="50" t="s">
        <v>252</v>
      </c>
      <c r="E695" s="121">
        <v>0</v>
      </c>
      <c r="F695" s="121">
        <v>0</v>
      </c>
      <c r="G695" s="121" t="s">
        <v>2033</v>
      </c>
      <c r="H695" s="121">
        <f t="shared" si="22"/>
        <v>0</v>
      </c>
      <c r="I695" s="121">
        <f>DGKC!D24</f>
        <v>0</v>
      </c>
      <c r="J695" s="121">
        <f t="shared" si="23"/>
        <v>0</v>
      </c>
      <c r="K695" s="50" t="s">
        <v>2035</v>
      </c>
      <c r="L695" s="50">
        <v>126</v>
      </c>
      <c r="M695" s="50" t="s">
        <v>1106</v>
      </c>
      <c r="N695" s="68" t="s">
        <v>3578</v>
      </c>
      <c r="O695" s="68" t="s">
        <v>3579</v>
      </c>
      <c r="P695" s="68" t="s">
        <v>4229</v>
      </c>
    </row>
    <row r="696" spans="1:16" ht="82.05" customHeight="1" x14ac:dyDescent="0.3">
      <c r="A696" s="119" t="s">
        <v>2070</v>
      </c>
      <c r="B696" s="119" t="s">
        <v>86</v>
      </c>
      <c r="C696" s="119" t="s">
        <v>26</v>
      </c>
      <c r="D696" s="119" t="s">
        <v>252</v>
      </c>
      <c r="E696" s="120">
        <v>17319</v>
      </c>
      <c r="F696" s="120">
        <v>17319</v>
      </c>
      <c r="G696" s="120" t="s">
        <v>2033</v>
      </c>
      <c r="H696" s="120">
        <f t="shared" si="22"/>
        <v>17.318999999999999</v>
      </c>
      <c r="I696" s="120">
        <f>DGKC!E24</f>
        <v>17.318999999999999</v>
      </c>
      <c r="J696" s="120">
        <f t="shared" si="23"/>
        <v>0</v>
      </c>
      <c r="K696" s="119" t="s">
        <v>2038</v>
      </c>
      <c r="L696" s="119">
        <v>152</v>
      </c>
      <c r="M696" s="119" t="s">
        <v>1106</v>
      </c>
      <c r="N696" s="122" t="s">
        <v>3564</v>
      </c>
      <c r="O696" s="122" t="s">
        <v>3565</v>
      </c>
      <c r="P696" s="122" t="s">
        <v>4230</v>
      </c>
    </row>
    <row r="697" spans="1:16" ht="82.05" customHeight="1" x14ac:dyDescent="0.3">
      <c r="A697" s="50" t="s">
        <v>2071</v>
      </c>
      <c r="B697" s="50" t="s">
        <v>86</v>
      </c>
      <c r="C697" s="50" t="s">
        <v>27</v>
      </c>
      <c r="D697" s="50" t="s">
        <v>252</v>
      </c>
      <c r="E697" s="121">
        <v>10152</v>
      </c>
      <c r="F697" s="121">
        <v>10152</v>
      </c>
      <c r="G697" s="121" t="s">
        <v>2033</v>
      </c>
      <c r="H697" s="121">
        <f t="shared" si="22"/>
        <v>10.151999999999999</v>
      </c>
      <c r="I697" s="121">
        <f>DGKC!F24</f>
        <v>10.151999999999999</v>
      </c>
      <c r="J697" s="121">
        <f t="shared" si="23"/>
        <v>0</v>
      </c>
      <c r="K697" s="50" t="s">
        <v>2041</v>
      </c>
      <c r="L697" s="50">
        <v>152</v>
      </c>
      <c r="M697" s="50" t="s">
        <v>1106</v>
      </c>
      <c r="N697" s="68" t="s">
        <v>3564</v>
      </c>
      <c r="O697" s="68" t="s">
        <v>3565</v>
      </c>
      <c r="P697" s="68" t="s">
        <v>4231</v>
      </c>
    </row>
    <row r="698" spans="1:16" ht="82.05" customHeight="1" x14ac:dyDescent="0.3">
      <c r="A698" s="119" t="s">
        <v>2072</v>
      </c>
      <c r="B698" s="119" t="s">
        <v>86</v>
      </c>
      <c r="C698" s="119" t="s">
        <v>28</v>
      </c>
      <c r="D698" s="119" t="s">
        <v>252</v>
      </c>
      <c r="E698" s="120">
        <v>42762</v>
      </c>
      <c r="F698" s="120">
        <v>42762</v>
      </c>
      <c r="G698" s="120" t="s">
        <v>2033</v>
      </c>
      <c r="H698" s="120">
        <f t="shared" si="22"/>
        <v>42.762</v>
      </c>
      <c r="I698" s="120">
        <f>DGKC!G24</f>
        <v>42.762</v>
      </c>
      <c r="J698" s="120">
        <f t="shared" si="23"/>
        <v>0</v>
      </c>
      <c r="K698" s="119" t="s">
        <v>2043</v>
      </c>
      <c r="L698" s="119">
        <v>154</v>
      </c>
      <c r="M698" s="119" t="s">
        <v>1106</v>
      </c>
      <c r="N698" s="122" t="s">
        <v>3564</v>
      </c>
      <c r="O698" s="122" t="s">
        <v>3565</v>
      </c>
      <c r="P698" s="122" t="s">
        <v>4232</v>
      </c>
    </row>
    <row r="699" spans="1:16" ht="82.05" customHeight="1" x14ac:dyDescent="0.3">
      <c r="A699" s="50" t="s">
        <v>2073</v>
      </c>
      <c r="B699" s="50" t="s">
        <v>86</v>
      </c>
      <c r="C699" s="50" t="s">
        <v>29</v>
      </c>
      <c r="D699" s="50" t="s">
        <v>252</v>
      </c>
      <c r="E699" s="121">
        <v>13076</v>
      </c>
      <c r="F699" s="121">
        <v>13076</v>
      </c>
      <c r="G699" s="121" t="s">
        <v>2033</v>
      </c>
      <c r="H699" s="121">
        <f t="shared" si="22"/>
        <v>13.076000000000001</v>
      </c>
      <c r="I699" s="121">
        <f>DGKC!H24</f>
        <v>13.076000000000001</v>
      </c>
      <c r="J699" s="121">
        <f t="shared" si="23"/>
        <v>0</v>
      </c>
      <c r="K699" s="50" t="s">
        <v>2043</v>
      </c>
      <c r="L699" s="50">
        <v>154</v>
      </c>
      <c r="M699" s="50" t="s">
        <v>1127</v>
      </c>
      <c r="N699" s="68" t="s">
        <v>3564</v>
      </c>
      <c r="O699" s="68" t="s">
        <v>3565</v>
      </c>
      <c r="P699" s="68" t="s">
        <v>4233</v>
      </c>
    </row>
    <row r="700" spans="1:16" ht="82.05" customHeight="1" x14ac:dyDescent="0.3">
      <c r="A700" s="119" t="s">
        <v>2074</v>
      </c>
      <c r="B700" s="119" t="s">
        <v>86</v>
      </c>
      <c r="C700" s="119" t="s">
        <v>965</v>
      </c>
      <c r="D700" s="119" t="s">
        <v>254</v>
      </c>
      <c r="E700" s="120">
        <v>0</v>
      </c>
      <c r="F700" s="120">
        <v>0</v>
      </c>
      <c r="G700" s="120" t="s">
        <v>2033</v>
      </c>
      <c r="H700" s="120">
        <f t="shared" si="22"/>
        <v>0</v>
      </c>
      <c r="I700" s="120">
        <f>DGKC!C25</f>
        <v>0</v>
      </c>
      <c r="J700" s="120">
        <f t="shared" si="23"/>
        <v>0</v>
      </c>
      <c r="K700" s="119" t="s">
        <v>2031</v>
      </c>
      <c r="L700" s="119">
        <v>105</v>
      </c>
      <c r="M700" s="119" t="s">
        <v>1106</v>
      </c>
      <c r="N700" s="122" t="s">
        <v>3578</v>
      </c>
      <c r="O700" s="122" t="s">
        <v>3579</v>
      </c>
      <c r="P700" s="122" t="s">
        <v>4234</v>
      </c>
    </row>
    <row r="701" spans="1:16" ht="82.05" customHeight="1" x14ac:dyDescent="0.3">
      <c r="A701" s="50" t="s">
        <v>2075</v>
      </c>
      <c r="B701" s="50" t="s">
        <v>86</v>
      </c>
      <c r="C701" s="50" t="s">
        <v>20</v>
      </c>
      <c r="D701" s="50" t="s">
        <v>254</v>
      </c>
      <c r="E701" s="121">
        <v>0</v>
      </c>
      <c r="F701" s="121">
        <v>0</v>
      </c>
      <c r="G701" s="121" t="s">
        <v>2033</v>
      </c>
      <c r="H701" s="121">
        <f t="shared" si="22"/>
        <v>0</v>
      </c>
      <c r="I701" s="121">
        <f>DGKC!D25</f>
        <v>0</v>
      </c>
      <c r="J701" s="121">
        <f t="shared" si="23"/>
        <v>0</v>
      </c>
      <c r="K701" s="50" t="s">
        <v>2035</v>
      </c>
      <c r="L701" s="50">
        <v>125</v>
      </c>
      <c r="M701" s="50" t="s">
        <v>1106</v>
      </c>
      <c r="N701" s="68" t="s">
        <v>3578</v>
      </c>
      <c r="O701" s="68" t="s">
        <v>3579</v>
      </c>
      <c r="P701" s="68" t="s">
        <v>4235</v>
      </c>
    </row>
    <row r="702" spans="1:16" ht="82.05" customHeight="1" x14ac:dyDescent="0.3">
      <c r="A702" s="119" t="s">
        <v>2076</v>
      </c>
      <c r="B702" s="119" t="s">
        <v>86</v>
      </c>
      <c r="C702" s="119" t="s">
        <v>26</v>
      </c>
      <c r="D702" s="119" t="s">
        <v>254</v>
      </c>
      <c r="E702" s="120">
        <v>0</v>
      </c>
      <c r="F702" s="120">
        <v>0</v>
      </c>
      <c r="G702" s="120" t="s">
        <v>2033</v>
      </c>
      <c r="H702" s="120">
        <f t="shared" si="22"/>
        <v>0</v>
      </c>
      <c r="I702" s="120">
        <f>DGKC!E25</f>
        <v>0</v>
      </c>
      <c r="J702" s="120">
        <f t="shared" si="23"/>
        <v>0</v>
      </c>
      <c r="K702" s="119" t="s">
        <v>2038</v>
      </c>
      <c r="L702" s="119">
        <v>151</v>
      </c>
      <c r="M702" s="119" t="s">
        <v>1106</v>
      </c>
      <c r="N702" s="122" t="s">
        <v>3578</v>
      </c>
      <c r="O702" s="122" t="s">
        <v>3579</v>
      </c>
      <c r="P702" s="122" t="s">
        <v>4236</v>
      </c>
    </row>
    <row r="703" spans="1:16" ht="82.05" customHeight="1" x14ac:dyDescent="0.3">
      <c r="A703" s="50" t="s">
        <v>2077</v>
      </c>
      <c r="B703" s="50" t="s">
        <v>86</v>
      </c>
      <c r="C703" s="50" t="s">
        <v>27</v>
      </c>
      <c r="D703" s="50" t="s">
        <v>254</v>
      </c>
      <c r="E703" s="121">
        <v>0</v>
      </c>
      <c r="F703" s="121">
        <v>0</v>
      </c>
      <c r="G703" s="121" t="s">
        <v>2033</v>
      </c>
      <c r="H703" s="121">
        <f t="shared" si="22"/>
        <v>0</v>
      </c>
      <c r="I703" s="121">
        <f>DGKC!F25</f>
        <v>0</v>
      </c>
      <c r="J703" s="121">
        <f t="shared" si="23"/>
        <v>0</v>
      </c>
      <c r="K703" s="50" t="s">
        <v>2041</v>
      </c>
      <c r="L703" s="50">
        <v>151</v>
      </c>
      <c r="M703" s="50" t="s">
        <v>1106</v>
      </c>
      <c r="N703" s="68" t="s">
        <v>3578</v>
      </c>
      <c r="O703" s="68" t="s">
        <v>3579</v>
      </c>
      <c r="P703" s="68" t="s">
        <v>4237</v>
      </c>
    </row>
    <row r="704" spans="1:16" ht="82.05" customHeight="1" x14ac:dyDescent="0.3">
      <c r="A704" s="119" t="s">
        <v>2078</v>
      </c>
      <c r="B704" s="119" t="s">
        <v>86</v>
      </c>
      <c r="C704" s="119" t="s">
        <v>28</v>
      </c>
      <c r="D704" s="119" t="s">
        <v>254</v>
      </c>
      <c r="E704" s="120">
        <v>0</v>
      </c>
      <c r="F704" s="120">
        <v>0</v>
      </c>
      <c r="G704" s="120" t="s">
        <v>2033</v>
      </c>
      <c r="H704" s="120">
        <f t="shared" si="22"/>
        <v>0</v>
      </c>
      <c r="I704" s="120">
        <f>DGKC!G25</f>
        <v>0</v>
      </c>
      <c r="J704" s="120">
        <f t="shared" si="23"/>
        <v>0</v>
      </c>
      <c r="K704" s="119" t="s">
        <v>2043</v>
      </c>
      <c r="L704" s="119">
        <v>153</v>
      </c>
      <c r="M704" s="119" t="s">
        <v>1106</v>
      </c>
      <c r="N704" s="122" t="s">
        <v>3578</v>
      </c>
      <c r="O704" s="122" t="s">
        <v>3579</v>
      </c>
      <c r="P704" s="122" t="s">
        <v>4238</v>
      </c>
    </row>
    <row r="705" spans="1:16" ht="82.05" customHeight="1" x14ac:dyDescent="0.3">
      <c r="A705" s="50" t="s">
        <v>2079</v>
      </c>
      <c r="B705" s="50" t="s">
        <v>86</v>
      </c>
      <c r="C705" s="50" t="s">
        <v>29</v>
      </c>
      <c r="D705" s="50" t="s">
        <v>254</v>
      </c>
      <c r="E705" s="121">
        <v>0</v>
      </c>
      <c r="F705" s="121">
        <v>0</v>
      </c>
      <c r="G705" s="121" t="s">
        <v>2033</v>
      </c>
      <c r="H705" s="121">
        <f t="shared" si="22"/>
        <v>0</v>
      </c>
      <c r="I705" s="121">
        <f>DGKC!H25</f>
        <v>0</v>
      </c>
      <c r="J705" s="121">
        <f t="shared" si="23"/>
        <v>0</v>
      </c>
      <c r="K705" s="50" t="s">
        <v>2043</v>
      </c>
      <c r="L705" s="50">
        <v>153</v>
      </c>
      <c r="M705" s="50" t="s">
        <v>1127</v>
      </c>
      <c r="N705" s="68" t="s">
        <v>3578</v>
      </c>
      <c r="O705" s="68" t="s">
        <v>3579</v>
      </c>
      <c r="P705" s="68" t="s">
        <v>4238</v>
      </c>
    </row>
    <row r="706" spans="1:16" ht="82.05" customHeight="1" x14ac:dyDescent="0.3">
      <c r="A706" s="119" t="s">
        <v>2080</v>
      </c>
      <c r="B706" s="119" t="s">
        <v>86</v>
      </c>
      <c r="C706" s="119" t="s">
        <v>965</v>
      </c>
      <c r="D706" s="119" t="s">
        <v>256</v>
      </c>
      <c r="E706" s="120">
        <v>11849828</v>
      </c>
      <c r="F706" s="120">
        <v>11849828</v>
      </c>
      <c r="G706" s="120" t="s">
        <v>2033</v>
      </c>
      <c r="H706" s="120">
        <f t="shared" si="22"/>
        <v>11849.828</v>
      </c>
      <c r="I706" s="120">
        <f>DGKC!C26</f>
        <v>11849.828</v>
      </c>
      <c r="J706" s="120">
        <f t="shared" si="23"/>
        <v>0</v>
      </c>
      <c r="K706" s="119" t="s">
        <v>2031</v>
      </c>
      <c r="L706" s="119">
        <v>106</v>
      </c>
      <c r="M706" s="119" t="s">
        <v>1106</v>
      </c>
      <c r="N706" s="122" t="s">
        <v>3564</v>
      </c>
      <c r="O706" s="122" t="s">
        <v>3565</v>
      </c>
      <c r="P706" s="122" t="s">
        <v>4239</v>
      </c>
    </row>
    <row r="707" spans="1:16" ht="82.05" customHeight="1" x14ac:dyDescent="0.3">
      <c r="A707" s="50" t="s">
        <v>2082</v>
      </c>
      <c r="B707" s="50" t="s">
        <v>86</v>
      </c>
      <c r="C707" s="50" t="s">
        <v>20</v>
      </c>
      <c r="D707" s="50" t="s">
        <v>256</v>
      </c>
      <c r="E707" s="121">
        <v>15965811</v>
      </c>
      <c r="F707" s="121">
        <v>15965811</v>
      </c>
      <c r="G707" s="121" t="s">
        <v>2033</v>
      </c>
      <c r="H707" s="121">
        <f t="shared" si="22"/>
        <v>15965.811</v>
      </c>
      <c r="I707" s="121">
        <f>DGKC!D26</f>
        <v>15965.811</v>
      </c>
      <c r="J707" s="121">
        <f t="shared" si="23"/>
        <v>0</v>
      </c>
      <c r="K707" s="50" t="s">
        <v>2035</v>
      </c>
      <c r="L707" s="50">
        <v>126</v>
      </c>
      <c r="M707" s="50" t="s">
        <v>1106</v>
      </c>
      <c r="N707" s="68" t="s">
        <v>3564</v>
      </c>
      <c r="O707" s="68" t="s">
        <v>3565</v>
      </c>
      <c r="P707" s="68" t="s">
        <v>4240</v>
      </c>
    </row>
    <row r="708" spans="1:16" ht="82.05" customHeight="1" x14ac:dyDescent="0.3">
      <c r="A708" s="119" t="s">
        <v>2083</v>
      </c>
      <c r="B708" s="119" t="s">
        <v>86</v>
      </c>
      <c r="C708" s="119" t="s">
        <v>26</v>
      </c>
      <c r="D708" s="119" t="s">
        <v>256</v>
      </c>
      <c r="E708" s="120">
        <v>12866145</v>
      </c>
      <c r="F708" s="120">
        <v>12866145</v>
      </c>
      <c r="G708" s="120" t="s">
        <v>2033</v>
      </c>
      <c r="H708" s="120">
        <f t="shared" si="22"/>
        <v>12866.145</v>
      </c>
      <c r="I708" s="120">
        <f>DGKC!E26</f>
        <v>12866.145</v>
      </c>
      <c r="J708" s="120">
        <f t="shared" si="23"/>
        <v>0</v>
      </c>
      <c r="K708" s="119" t="s">
        <v>2038</v>
      </c>
      <c r="L708" s="119">
        <v>152</v>
      </c>
      <c r="M708" s="119" t="s">
        <v>1106</v>
      </c>
      <c r="N708" s="122" t="s">
        <v>3564</v>
      </c>
      <c r="O708" s="122" t="s">
        <v>3565</v>
      </c>
      <c r="P708" s="122" t="s">
        <v>4241</v>
      </c>
    </row>
    <row r="709" spans="1:16" ht="82.05" customHeight="1" x14ac:dyDescent="0.3">
      <c r="A709" s="50" t="s">
        <v>2084</v>
      </c>
      <c r="B709" s="50" t="s">
        <v>86</v>
      </c>
      <c r="C709" s="50" t="s">
        <v>27</v>
      </c>
      <c r="D709" s="50" t="s">
        <v>256</v>
      </c>
      <c r="E709" s="121">
        <v>13366360</v>
      </c>
      <c r="F709" s="121">
        <v>13366360</v>
      </c>
      <c r="G709" s="121" t="s">
        <v>2033</v>
      </c>
      <c r="H709" s="121">
        <f t="shared" si="22"/>
        <v>13366.36</v>
      </c>
      <c r="I709" s="121">
        <f>DGKC!F26</f>
        <v>13366.36</v>
      </c>
      <c r="J709" s="121">
        <f t="shared" si="23"/>
        <v>0</v>
      </c>
      <c r="K709" s="50" t="s">
        <v>2041</v>
      </c>
      <c r="L709" s="50">
        <v>152</v>
      </c>
      <c r="M709" s="50" t="s">
        <v>1106</v>
      </c>
      <c r="N709" s="68" t="s">
        <v>3564</v>
      </c>
      <c r="O709" s="68" t="s">
        <v>3565</v>
      </c>
      <c r="P709" s="68" t="s">
        <v>4242</v>
      </c>
    </row>
    <row r="710" spans="1:16" ht="82.05" customHeight="1" x14ac:dyDescent="0.3">
      <c r="A710" s="119" t="s">
        <v>2085</v>
      </c>
      <c r="B710" s="119" t="s">
        <v>86</v>
      </c>
      <c r="C710" s="119" t="s">
        <v>28</v>
      </c>
      <c r="D710" s="119" t="s">
        <v>256</v>
      </c>
      <c r="E710" s="120">
        <v>16633064</v>
      </c>
      <c r="F710" s="120">
        <v>16633064</v>
      </c>
      <c r="G710" s="120" t="s">
        <v>2033</v>
      </c>
      <c r="H710" s="120">
        <f t="shared" si="22"/>
        <v>16633.063999999998</v>
      </c>
      <c r="I710" s="120">
        <f>DGKC!G26</f>
        <v>16633.063999999998</v>
      </c>
      <c r="J710" s="120">
        <f t="shared" si="23"/>
        <v>0</v>
      </c>
      <c r="K710" s="119" t="s">
        <v>2043</v>
      </c>
      <c r="L710" s="119">
        <v>154</v>
      </c>
      <c r="M710" s="119" t="s">
        <v>1106</v>
      </c>
      <c r="N710" s="122" t="s">
        <v>3564</v>
      </c>
      <c r="O710" s="122" t="s">
        <v>3565</v>
      </c>
      <c r="P710" s="122" t="s">
        <v>4243</v>
      </c>
    </row>
    <row r="711" spans="1:16" ht="82.05" customHeight="1" x14ac:dyDescent="0.3">
      <c r="A711" s="50" t="s">
        <v>2087</v>
      </c>
      <c r="B711" s="50" t="s">
        <v>86</v>
      </c>
      <c r="C711" s="50" t="s">
        <v>29</v>
      </c>
      <c r="D711" s="50" t="s">
        <v>256</v>
      </c>
      <c r="E711" s="121">
        <v>20689545</v>
      </c>
      <c r="F711" s="121">
        <v>20689545</v>
      </c>
      <c r="G711" s="121" t="s">
        <v>2033</v>
      </c>
      <c r="H711" s="121">
        <f t="shared" si="22"/>
        <v>20689.544999999998</v>
      </c>
      <c r="I711" s="121">
        <f>DGKC!H26</f>
        <v>20689.544999999998</v>
      </c>
      <c r="J711" s="121">
        <f t="shared" si="23"/>
        <v>0</v>
      </c>
      <c r="K711" s="50" t="s">
        <v>2043</v>
      </c>
      <c r="L711" s="50">
        <v>154</v>
      </c>
      <c r="M711" s="50" t="s">
        <v>1127</v>
      </c>
      <c r="N711" s="68" t="s">
        <v>3564</v>
      </c>
      <c r="O711" s="68" t="s">
        <v>3565</v>
      </c>
      <c r="P711" s="68" t="s">
        <v>4244</v>
      </c>
    </row>
    <row r="712" spans="1:16" ht="82.05" customHeight="1" x14ac:dyDescent="0.3">
      <c r="A712" s="119" t="s">
        <v>2088</v>
      </c>
      <c r="B712" s="119" t="s">
        <v>86</v>
      </c>
      <c r="C712" s="119" t="s">
        <v>965</v>
      </c>
      <c r="D712" s="119" t="s">
        <v>258</v>
      </c>
      <c r="E712" s="120">
        <v>57984</v>
      </c>
      <c r="F712" s="120">
        <v>57984</v>
      </c>
      <c r="G712" s="120" t="s">
        <v>2033</v>
      </c>
      <c r="H712" s="120">
        <f t="shared" si="22"/>
        <v>57.984000000000002</v>
      </c>
      <c r="I712" s="120">
        <f>DGKC!C27</f>
        <v>57.984000000000002</v>
      </c>
      <c r="J712" s="120">
        <f t="shared" si="23"/>
        <v>0</v>
      </c>
      <c r="K712" s="119" t="s">
        <v>2031</v>
      </c>
      <c r="L712" s="119">
        <v>106</v>
      </c>
      <c r="M712" s="119" t="s">
        <v>1106</v>
      </c>
      <c r="N712" s="122" t="s">
        <v>3602</v>
      </c>
      <c r="O712" s="122" t="s">
        <v>3603</v>
      </c>
      <c r="P712" s="122" t="s">
        <v>4245</v>
      </c>
    </row>
    <row r="713" spans="1:16" ht="82.05" customHeight="1" x14ac:dyDescent="0.3">
      <c r="A713" s="50" t="s">
        <v>2090</v>
      </c>
      <c r="B713" s="50" t="s">
        <v>86</v>
      </c>
      <c r="C713" s="50" t="s">
        <v>20</v>
      </c>
      <c r="D713" s="50" t="s">
        <v>258</v>
      </c>
      <c r="E713" s="121">
        <v>57513</v>
      </c>
      <c r="F713" s="121">
        <v>57513</v>
      </c>
      <c r="G713" s="121" t="s">
        <v>2033</v>
      </c>
      <c r="H713" s="121">
        <f t="shared" si="22"/>
        <v>57.512999999999998</v>
      </c>
      <c r="I713" s="121">
        <f>DGKC!D27</f>
        <v>57.512999999999998</v>
      </c>
      <c r="J713" s="121">
        <f t="shared" si="23"/>
        <v>0</v>
      </c>
      <c r="K713" s="50" t="s">
        <v>2035</v>
      </c>
      <c r="L713" s="50">
        <v>126</v>
      </c>
      <c r="M713" s="50" t="s">
        <v>1106</v>
      </c>
      <c r="N713" s="68" t="s">
        <v>3564</v>
      </c>
      <c r="O713" s="68" t="s">
        <v>3565</v>
      </c>
      <c r="P713" s="68" t="s">
        <v>4246</v>
      </c>
    </row>
    <row r="714" spans="1:16" ht="82.05" customHeight="1" x14ac:dyDescent="0.3">
      <c r="A714" s="119" t="s">
        <v>2091</v>
      </c>
      <c r="B714" s="119" t="s">
        <v>86</v>
      </c>
      <c r="C714" s="119" t="s">
        <v>26</v>
      </c>
      <c r="D714" s="119" t="s">
        <v>258</v>
      </c>
      <c r="E714" s="120">
        <v>61526</v>
      </c>
      <c r="F714" s="120">
        <v>61526</v>
      </c>
      <c r="G714" s="120" t="s">
        <v>2033</v>
      </c>
      <c r="H714" s="120">
        <f t="shared" si="22"/>
        <v>61.526000000000003</v>
      </c>
      <c r="I714" s="120">
        <f>DGKC!E27</f>
        <v>61.526000000000003</v>
      </c>
      <c r="J714" s="120">
        <f t="shared" si="23"/>
        <v>0</v>
      </c>
      <c r="K714" s="119" t="s">
        <v>2038</v>
      </c>
      <c r="L714" s="119">
        <v>152</v>
      </c>
      <c r="M714" s="119" t="s">
        <v>1106</v>
      </c>
      <c r="N714" s="122" t="s">
        <v>3564</v>
      </c>
      <c r="O714" s="122" t="s">
        <v>3565</v>
      </c>
      <c r="P714" s="122" t="s">
        <v>4247</v>
      </c>
    </row>
    <row r="715" spans="1:16" ht="82.05" customHeight="1" x14ac:dyDescent="0.3">
      <c r="A715" s="50" t="s">
        <v>2092</v>
      </c>
      <c r="B715" s="50" t="s">
        <v>86</v>
      </c>
      <c r="C715" s="50" t="s">
        <v>27</v>
      </c>
      <c r="D715" s="50" t="s">
        <v>258</v>
      </c>
      <c r="E715" s="121">
        <v>64426</v>
      </c>
      <c r="F715" s="121">
        <v>64426</v>
      </c>
      <c r="G715" s="121" t="s">
        <v>2033</v>
      </c>
      <c r="H715" s="121">
        <f t="shared" si="22"/>
        <v>64.426000000000002</v>
      </c>
      <c r="I715" s="121">
        <f>DGKC!F27</f>
        <v>64.426000000000002</v>
      </c>
      <c r="J715" s="121">
        <f t="shared" si="23"/>
        <v>0</v>
      </c>
      <c r="K715" s="50" t="s">
        <v>2041</v>
      </c>
      <c r="L715" s="50">
        <v>152</v>
      </c>
      <c r="M715" s="50" t="s">
        <v>1106</v>
      </c>
      <c r="N715" s="68" t="s">
        <v>3564</v>
      </c>
      <c r="O715" s="68" t="s">
        <v>3565</v>
      </c>
      <c r="P715" s="68" t="s">
        <v>4248</v>
      </c>
    </row>
    <row r="716" spans="1:16" ht="82.05" customHeight="1" x14ac:dyDescent="0.3">
      <c r="A716" s="119" t="s">
        <v>2093</v>
      </c>
      <c r="B716" s="119" t="s">
        <v>86</v>
      </c>
      <c r="C716" s="119" t="s">
        <v>28</v>
      </c>
      <c r="D716" s="119" t="s">
        <v>258</v>
      </c>
      <c r="E716" s="120">
        <v>61568</v>
      </c>
      <c r="F716" s="120">
        <v>61568</v>
      </c>
      <c r="G716" s="120" t="s">
        <v>2033</v>
      </c>
      <c r="H716" s="120">
        <f t="shared" si="22"/>
        <v>61.567999999999998</v>
      </c>
      <c r="I716" s="120">
        <f>DGKC!G27</f>
        <v>61.567999999999998</v>
      </c>
      <c r="J716" s="120">
        <f t="shared" si="23"/>
        <v>0</v>
      </c>
      <c r="K716" s="119" t="s">
        <v>2043</v>
      </c>
      <c r="L716" s="119">
        <v>154</v>
      </c>
      <c r="M716" s="119" t="s">
        <v>1106</v>
      </c>
      <c r="N716" s="122" t="s">
        <v>3564</v>
      </c>
      <c r="O716" s="122" t="s">
        <v>3565</v>
      </c>
      <c r="P716" s="122" t="s">
        <v>4249</v>
      </c>
    </row>
    <row r="717" spans="1:16" ht="82.05" customHeight="1" x14ac:dyDescent="0.3">
      <c r="A717" s="50" t="s">
        <v>2094</v>
      </c>
      <c r="B717" s="50" t="s">
        <v>86</v>
      </c>
      <c r="C717" s="50" t="s">
        <v>29</v>
      </c>
      <c r="D717" s="50" t="s">
        <v>258</v>
      </c>
      <c r="E717" s="121">
        <v>61013</v>
      </c>
      <c r="F717" s="121">
        <v>61013</v>
      </c>
      <c r="G717" s="121" t="s">
        <v>2033</v>
      </c>
      <c r="H717" s="121">
        <f t="shared" si="22"/>
        <v>61.012999999999998</v>
      </c>
      <c r="I717" s="121">
        <f>DGKC!H27</f>
        <v>61.012999999999998</v>
      </c>
      <c r="J717" s="121">
        <f t="shared" si="23"/>
        <v>0</v>
      </c>
      <c r="K717" s="50" t="s">
        <v>2043</v>
      </c>
      <c r="L717" s="50">
        <v>154</v>
      </c>
      <c r="M717" s="50" t="s">
        <v>1127</v>
      </c>
      <c r="N717" s="68" t="s">
        <v>3564</v>
      </c>
      <c r="O717" s="68" t="s">
        <v>3565</v>
      </c>
      <c r="P717" s="68" t="s">
        <v>4250</v>
      </c>
    </row>
    <row r="718" spans="1:16" ht="82.05" customHeight="1" x14ac:dyDescent="0.3">
      <c r="A718" s="119" t="s">
        <v>2095</v>
      </c>
      <c r="B718" s="119" t="s">
        <v>86</v>
      </c>
      <c r="C718" s="119" t="s">
        <v>965</v>
      </c>
      <c r="D718" s="119" t="s">
        <v>263</v>
      </c>
      <c r="E718" s="120">
        <v>8237990</v>
      </c>
      <c r="F718" s="120">
        <v>8237990</v>
      </c>
      <c r="G718" s="120" t="s">
        <v>2033</v>
      </c>
      <c r="H718" s="120">
        <f t="shared" si="22"/>
        <v>8237.99</v>
      </c>
      <c r="I718" s="120">
        <f>DGKC!C30</f>
        <v>8237.99</v>
      </c>
      <c r="J718" s="120">
        <f t="shared" si="23"/>
        <v>0</v>
      </c>
      <c r="K718" s="119" t="s">
        <v>2031</v>
      </c>
      <c r="L718" s="119">
        <v>106</v>
      </c>
      <c r="M718" s="119" t="s">
        <v>1106</v>
      </c>
      <c r="N718" s="122" t="s">
        <v>3564</v>
      </c>
      <c r="O718" s="122" t="s">
        <v>3565</v>
      </c>
      <c r="P718" s="122" t="s">
        <v>4251</v>
      </c>
    </row>
    <row r="719" spans="1:16" ht="82.05" customHeight="1" x14ac:dyDescent="0.3">
      <c r="A719" s="50" t="s">
        <v>2097</v>
      </c>
      <c r="B719" s="50" t="s">
        <v>86</v>
      </c>
      <c r="C719" s="50" t="s">
        <v>20</v>
      </c>
      <c r="D719" s="50" t="s">
        <v>263</v>
      </c>
      <c r="E719" s="121">
        <v>12879348</v>
      </c>
      <c r="F719" s="121">
        <v>12879348</v>
      </c>
      <c r="G719" s="121" t="s">
        <v>2033</v>
      </c>
      <c r="H719" s="121">
        <f t="shared" si="22"/>
        <v>12879.348</v>
      </c>
      <c r="I719" s="121">
        <f>DGKC!D30</f>
        <v>12879.348</v>
      </c>
      <c r="J719" s="121">
        <f t="shared" si="23"/>
        <v>0</v>
      </c>
      <c r="K719" s="50" t="s">
        <v>2035</v>
      </c>
      <c r="L719" s="50">
        <v>126</v>
      </c>
      <c r="M719" s="50" t="s">
        <v>1106</v>
      </c>
      <c r="N719" s="68" t="s">
        <v>3564</v>
      </c>
      <c r="O719" s="68" t="s">
        <v>3565</v>
      </c>
      <c r="P719" s="68" t="s">
        <v>4252</v>
      </c>
    </row>
    <row r="720" spans="1:16" ht="82.05" customHeight="1" x14ac:dyDescent="0.3">
      <c r="A720" s="119" t="s">
        <v>2098</v>
      </c>
      <c r="B720" s="119" t="s">
        <v>86</v>
      </c>
      <c r="C720" s="119" t="s">
        <v>26</v>
      </c>
      <c r="D720" s="119" t="s">
        <v>263</v>
      </c>
      <c r="E720" s="120">
        <v>16813883</v>
      </c>
      <c r="F720" s="120">
        <v>16813883</v>
      </c>
      <c r="G720" s="120" t="s">
        <v>2033</v>
      </c>
      <c r="H720" s="120">
        <f t="shared" ref="H720:H783" si="24">F720/1000</f>
        <v>16813.883000000002</v>
      </c>
      <c r="I720" s="120">
        <f>DGKC!E30</f>
        <v>16813.883000000002</v>
      </c>
      <c r="J720" s="120">
        <f t="shared" ref="J720:J783" si="25">H720-I720</f>
        <v>0</v>
      </c>
      <c r="K720" s="119" t="s">
        <v>2038</v>
      </c>
      <c r="L720" s="119">
        <v>152</v>
      </c>
      <c r="M720" s="119" t="s">
        <v>1106</v>
      </c>
      <c r="N720" s="122" t="s">
        <v>3564</v>
      </c>
      <c r="O720" s="122" t="s">
        <v>3565</v>
      </c>
      <c r="P720" s="122" t="s">
        <v>4253</v>
      </c>
    </row>
    <row r="721" spans="1:16" ht="82.05" customHeight="1" x14ac:dyDescent="0.3">
      <c r="A721" s="50" t="s">
        <v>2099</v>
      </c>
      <c r="B721" s="50" t="s">
        <v>86</v>
      </c>
      <c r="C721" s="50" t="s">
        <v>27</v>
      </c>
      <c r="D721" s="50" t="s">
        <v>263</v>
      </c>
      <c r="E721" s="121">
        <v>13852005</v>
      </c>
      <c r="F721" s="121">
        <v>13852005</v>
      </c>
      <c r="G721" s="121" t="s">
        <v>2033</v>
      </c>
      <c r="H721" s="121">
        <f t="shared" si="24"/>
        <v>13852.004999999999</v>
      </c>
      <c r="I721" s="121">
        <f>DGKC!F30</f>
        <v>13852.004999999999</v>
      </c>
      <c r="J721" s="121">
        <f t="shared" si="25"/>
        <v>0</v>
      </c>
      <c r="K721" s="50" t="s">
        <v>2041</v>
      </c>
      <c r="L721" s="50">
        <v>152</v>
      </c>
      <c r="M721" s="50" t="s">
        <v>1106</v>
      </c>
      <c r="N721" s="68" t="s">
        <v>3564</v>
      </c>
      <c r="O721" s="68" t="s">
        <v>3565</v>
      </c>
      <c r="P721" s="68" t="s">
        <v>4254</v>
      </c>
    </row>
    <row r="722" spans="1:16" ht="82.05" customHeight="1" x14ac:dyDescent="0.3">
      <c r="A722" s="119" t="s">
        <v>2100</v>
      </c>
      <c r="B722" s="119" t="s">
        <v>86</v>
      </c>
      <c r="C722" s="119" t="s">
        <v>28</v>
      </c>
      <c r="D722" s="119" t="s">
        <v>263</v>
      </c>
      <c r="E722" s="120">
        <v>12559774</v>
      </c>
      <c r="F722" s="120">
        <v>12559774</v>
      </c>
      <c r="G722" s="120" t="s">
        <v>2033</v>
      </c>
      <c r="H722" s="120">
        <f t="shared" si="24"/>
        <v>12559.773999999999</v>
      </c>
      <c r="I722" s="120">
        <f>DGKC!G30</f>
        <v>12559.773999999999</v>
      </c>
      <c r="J722" s="120">
        <f t="shared" si="25"/>
        <v>0</v>
      </c>
      <c r="K722" s="119" t="s">
        <v>2043</v>
      </c>
      <c r="L722" s="119">
        <v>154</v>
      </c>
      <c r="M722" s="119" t="s">
        <v>1106</v>
      </c>
      <c r="N722" s="122" t="s">
        <v>3564</v>
      </c>
      <c r="O722" s="122" t="s">
        <v>3565</v>
      </c>
      <c r="P722" s="122" t="s">
        <v>4255</v>
      </c>
    </row>
    <row r="723" spans="1:16" ht="82.05" customHeight="1" x14ac:dyDescent="0.3">
      <c r="A723" s="50" t="s">
        <v>2101</v>
      </c>
      <c r="B723" s="50" t="s">
        <v>86</v>
      </c>
      <c r="C723" s="50" t="s">
        <v>29</v>
      </c>
      <c r="D723" s="50" t="s">
        <v>263</v>
      </c>
      <c r="E723" s="121">
        <v>12306679</v>
      </c>
      <c r="F723" s="121">
        <v>12306679</v>
      </c>
      <c r="G723" s="121" t="s">
        <v>2033</v>
      </c>
      <c r="H723" s="121">
        <f t="shared" si="24"/>
        <v>12306.679</v>
      </c>
      <c r="I723" s="121">
        <f>DGKC!H30</f>
        <v>12306.679</v>
      </c>
      <c r="J723" s="121">
        <f t="shared" si="25"/>
        <v>0</v>
      </c>
      <c r="K723" s="50" t="s">
        <v>2043</v>
      </c>
      <c r="L723" s="50">
        <v>154</v>
      </c>
      <c r="M723" s="50" t="s">
        <v>1127</v>
      </c>
      <c r="N723" s="68" t="s">
        <v>3564</v>
      </c>
      <c r="O723" s="68" t="s">
        <v>3565</v>
      </c>
      <c r="P723" s="68" t="s">
        <v>4256</v>
      </c>
    </row>
    <row r="724" spans="1:16" ht="82.05" customHeight="1" x14ac:dyDescent="0.3">
      <c r="A724" s="119" t="s">
        <v>2102</v>
      </c>
      <c r="B724" s="119" t="s">
        <v>86</v>
      </c>
      <c r="C724" s="119" t="s">
        <v>965</v>
      </c>
      <c r="D724" s="119" t="s">
        <v>265</v>
      </c>
      <c r="E724" s="120">
        <v>4352995</v>
      </c>
      <c r="F724" s="120">
        <v>4352995</v>
      </c>
      <c r="G724" s="120" t="s">
        <v>2033</v>
      </c>
      <c r="H724" s="120">
        <f t="shared" si="24"/>
        <v>4352.9949999999999</v>
      </c>
      <c r="I724" s="120">
        <f>DGKC!C31</f>
        <v>4352.9949999999999</v>
      </c>
      <c r="J724" s="120">
        <f t="shared" si="25"/>
        <v>0</v>
      </c>
      <c r="K724" s="119" t="s">
        <v>2031</v>
      </c>
      <c r="L724" s="119">
        <v>106</v>
      </c>
      <c r="M724" s="119" t="s">
        <v>1106</v>
      </c>
      <c r="N724" s="122" t="s">
        <v>3564</v>
      </c>
      <c r="O724" s="122" t="s">
        <v>3565</v>
      </c>
      <c r="P724" s="122" t="s">
        <v>4257</v>
      </c>
    </row>
    <row r="725" spans="1:16" ht="82.05" customHeight="1" x14ac:dyDescent="0.3">
      <c r="A725" s="50" t="s">
        <v>2103</v>
      </c>
      <c r="B725" s="50" t="s">
        <v>86</v>
      </c>
      <c r="C725" s="50" t="s">
        <v>20</v>
      </c>
      <c r="D725" s="50" t="s">
        <v>265</v>
      </c>
      <c r="E725" s="121">
        <v>2728589</v>
      </c>
      <c r="F725" s="121">
        <v>2728589</v>
      </c>
      <c r="G725" s="121" t="s">
        <v>2033</v>
      </c>
      <c r="H725" s="121">
        <f t="shared" si="24"/>
        <v>2728.5889999999999</v>
      </c>
      <c r="I725" s="121">
        <f>DGKC!D31</f>
        <v>2728.5889999999999</v>
      </c>
      <c r="J725" s="121">
        <f t="shared" si="25"/>
        <v>0</v>
      </c>
      <c r="K725" s="50" t="s">
        <v>2035</v>
      </c>
      <c r="L725" s="50">
        <v>126</v>
      </c>
      <c r="M725" s="50" t="s">
        <v>1106</v>
      </c>
      <c r="N725" s="68" t="s">
        <v>3564</v>
      </c>
      <c r="O725" s="68" t="s">
        <v>3565</v>
      </c>
      <c r="P725" s="68" t="s">
        <v>4258</v>
      </c>
    </row>
    <row r="726" spans="1:16" ht="82.05" customHeight="1" x14ac:dyDescent="0.3">
      <c r="A726" s="119" t="s">
        <v>2104</v>
      </c>
      <c r="B726" s="119" t="s">
        <v>86</v>
      </c>
      <c r="C726" s="119" t="s">
        <v>26</v>
      </c>
      <c r="D726" s="119" t="s">
        <v>265</v>
      </c>
      <c r="E726" s="120">
        <v>5981515</v>
      </c>
      <c r="F726" s="120">
        <v>5981515</v>
      </c>
      <c r="G726" s="120" t="s">
        <v>2033</v>
      </c>
      <c r="H726" s="120">
        <f t="shared" si="24"/>
        <v>5981.5150000000003</v>
      </c>
      <c r="I726" s="120">
        <f>DGKC!E31</f>
        <v>5981.5150000000003</v>
      </c>
      <c r="J726" s="120">
        <f t="shared" si="25"/>
        <v>0</v>
      </c>
      <c r="K726" s="119" t="s">
        <v>2038</v>
      </c>
      <c r="L726" s="119">
        <v>152</v>
      </c>
      <c r="M726" s="119" t="s">
        <v>1106</v>
      </c>
      <c r="N726" s="122" t="s">
        <v>3564</v>
      </c>
      <c r="O726" s="122" t="s">
        <v>3565</v>
      </c>
      <c r="P726" s="122" t="s">
        <v>4259</v>
      </c>
    </row>
    <row r="727" spans="1:16" ht="82.05" customHeight="1" x14ac:dyDescent="0.3">
      <c r="A727" s="50" t="s">
        <v>2105</v>
      </c>
      <c r="B727" s="50" t="s">
        <v>86</v>
      </c>
      <c r="C727" s="50" t="s">
        <v>27</v>
      </c>
      <c r="D727" s="50" t="s">
        <v>265</v>
      </c>
      <c r="E727" s="121">
        <v>8873170</v>
      </c>
      <c r="F727" s="121">
        <v>8873170</v>
      </c>
      <c r="G727" s="121" t="s">
        <v>2033</v>
      </c>
      <c r="H727" s="121">
        <f t="shared" si="24"/>
        <v>8873.17</v>
      </c>
      <c r="I727" s="121">
        <f>DGKC!F31</f>
        <v>8873.17</v>
      </c>
      <c r="J727" s="121">
        <f t="shared" si="25"/>
        <v>0</v>
      </c>
      <c r="K727" s="50" t="s">
        <v>2041</v>
      </c>
      <c r="L727" s="50">
        <v>152</v>
      </c>
      <c r="M727" s="50" t="s">
        <v>1106</v>
      </c>
      <c r="N727" s="68" t="s">
        <v>3564</v>
      </c>
      <c r="O727" s="68" t="s">
        <v>3565</v>
      </c>
      <c r="P727" s="68" t="s">
        <v>4260</v>
      </c>
    </row>
    <row r="728" spans="1:16" ht="82.05" customHeight="1" x14ac:dyDescent="0.3">
      <c r="A728" s="119" t="s">
        <v>2106</v>
      </c>
      <c r="B728" s="119" t="s">
        <v>86</v>
      </c>
      <c r="C728" s="119" t="s">
        <v>28</v>
      </c>
      <c r="D728" s="119" t="s">
        <v>265</v>
      </c>
      <c r="E728" s="120">
        <v>7693067</v>
      </c>
      <c r="F728" s="120">
        <v>7693067</v>
      </c>
      <c r="G728" s="120" t="s">
        <v>2033</v>
      </c>
      <c r="H728" s="120">
        <f t="shared" si="24"/>
        <v>7693.067</v>
      </c>
      <c r="I728" s="120">
        <f>DGKC!G31</f>
        <v>7693.067</v>
      </c>
      <c r="J728" s="120">
        <f t="shared" si="25"/>
        <v>0</v>
      </c>
      <c r="K728" s="119" t="s">
        <v>2043</v>
      </c>
      <c r="L728" s="119">
        <v>154</v>
      </c>
      <c r="M728" s="119" t="s">
        <v>1106</v>
      </c>
      <c r="N728" s="122" t="s">
        <v>3564</v>
      </c>
      <c r="O728" s="122" t="s">
        <v>3565</v>
      </c>
      <c r="P728" s="122" t="s">
        <v>4261</v>
      </c>
    </row>
    <row r="729" spans="1:16" ht="82.05" customHeight="1" x14ac:dyDescent="0.3">
      <c r="A729" s="50" t="s">
        <v>2107</v>
      </c>
      <c r="B729" s="50" t="s">
        <v>86</v>
      </c>
      <c r="C729" s="50" t="s">
        <v>29</v>
      </c>
      <c r="D729" s="50" t="s">
        <v>265</v>
      </c>
      <c r="E729" s="121">
        <v>8188678</v>
      </c>
      <c r="F729" s="121">
        <v>8188678</v>
      </c>
      <c r="G729" s="121" t="s">
        <v>2033</v>
      </c>
      <c r="H729" s="121">
        <f t="shared" si="24"/>
        <v>8188.6779999999999</v>
      </c>
      <c r="I729" s="121">
        <f>DGKC!H31</f>
        <v>8188.6779999999999</v>
      </c>
      <c r="J729" s="121">
        <f t="shared" si="25"/>
        <v>0</v>
      </c>
      <c r="K729" s="50" t="s">
        <v>2043</v>
      </c>
      <c r="L729" s="50">
        <v>154</v>
      </c>
      <c r="M729" s="50" t="s">
        <v>1127</v>
      </c>
      <c r="N729" s="68" t="s">
        <v>3564</v>
      </c>
      <c r="O729" s="68" t="s">
        <v>3565</v>
      </c>
      <c r="P729" s="68" t="s">
        <v>4262</v>
      </c>
    </row>
    <row r="730" spans="1:16" ht="82.05" customHeight="1" x14ac:dyDescent="0.3">
      <c r="A730" s="119" t="s">
        <v>2108</v>
      </c>
      <c r="B730" s="119" t="s">
        <v>86</v>
      </c>
      <c r="C730" s="119" t="s">
        <v>965</v>
      </c>
      <c r="D730" s="119" t="s">
        <v>267</v>
      </c>
      <c r="E730" s="120">
        <v>2286084</v>
      </c>
      <c r="F730" s="120">
        <v>2286084</v>
      </c>
      <c r="G730" s="120" t="s">
        <v>2033</v>
      </c>
      <c r="H730" s="120">
        <f t="shared" si="24"/>
        <v>2286.0839999999998</v>
      </c>
      <c r="I730" s="120">
        <f>DGKC!C32</f>
        <v>2286.0839999999998</v>
      </c>
      <c r="J730" s="120">
        <f t="shared" si="25"/>
        <v>0</v>
      </c>
      <c r="K730" s="119" t="s">
        <v>2031</v>
      </c>
      <c r="L730" s="119">
        <v>106</v>
      </c>
      <c r="M730" s="119" t="s">
        <v>1106</v>
      </c>
      <c r="N730" s="122" t="s">
        <v>3564</v>
      </c>
      <c r="O730" s="122" t="s">
        <v>3565</v>
      </c>
      <c r="P730" s="122" t="s">
        <v>4263</v>
      </c>
    </row>
    <row r="731" spans="1:16" ht="82.05" customHeight="1" x14ac:dyDescent="0.3">
      <c r="A731" s="50" t="s">
        <v>2109</v>
      </c>
      <c r="B731" s="50" t="s">
        <v>86</v>
      </c>
      <c r="C731" s="50" t="s">
        <v>20</v>
      </c>
      <c r="D731" s="50" t="s">
        <v>267</v>
      </c>
      <c r="E731" s="121">
        <v>1676245</v>
      </c>
      <c r="F731" s="121">
        <v>1676245</v>
      </c>
      <c r="G731" s="121" t="s">
        <v>2033</v>
      </c>
      <c r="H731" s="121">
        <f t="shared" si="24"/>
        <v>1676.2449999999999</v>
      </c>
      <c r="I731" s="121">
        <f>DGKC!D32</f>
        <v>1676.2449999999999</v>
      </c>
      <c r="J731" s="121">
        <f t="shared" si="25"/>
        <v>0</v>
      </c>
      <c r="K731" s="50" t="s">
        <v>2035</v>
      </c>
      <c r="L731" s="50">
        <v>126</v>
      </c>
      <c r="M731" s="50" t="s">
        <v>1106</v>
      </c>
      <c r="N731" s="68" t="s">
        <v>3564</v>
      </c>
      <c r="O731" s="68" t="s">
        <v>3565</v>
      </c>
      <c r="P731" s="68" t="s">
        <v>4264</v>
      </c>
    </row>
    <row r="732" spans="1:16" ht="82.05" customHeight="1" x14ac:dyDescent="0.3">
      <c r="A732" s="119" t="s">
        <v>2110</v>
      </c>
      <c r="B732" s="119" t="s">
        <v>86</v>
      </c>
      <c r="C732" s="119" t="s">
        <v>26</v>
      </c>
      <c r="D732" s="119" t="s">
        <v>267</v>
      </c>
      <c r="E732" s="120">
        <v>1467862</v>
      </c>
      <c r="F732" s="120">
        <v>1467862</v>
      </c>
      <c r="G732" s="120" t="s">
        <v>2033</v>
      </c>
      <c r="H732" s="120">
        <f t="shared" si="24"/>
        <v>1467.8620000000001</v>
      </c>
      <c r="I732" s="120">
        <f>DGKC!E32</f>
        <v>1467.8620000000001</v>
      </c>
      <c r="J732" s="120">
        <f t="shared" si="25"/>
        <v>0</v>
      </c>
      <c r="K732" s="119" t="s">
        <v>2038</v>
      </c>
      <c r="L732" s="119">
        <v>152</v>
      </c>
      <c r="M732" s="119" t="s">
        <v>1106</v>
      </c>
      <c r="N732" s="122" t="s">
        <v>3564</v>
      </c>
      <c r="O732" s="122" t="s">
        <v>3565</v>
      </c>
      <c r="P732" s="122" t="s">
        <v>4265</v>
      </c>
    </row>
    <row r="733" spans="1:16" ht="82.05" customHeight="1" x14ac:dyDescent="0.3">
      <c r="A733" s="50" t="s">
        <v>2111</v>
      </c>
      <c r="B733" s="50" t="s">
        <v>86</v>
      </c>
      <c r="C733" s="50" t="s">
        <v>27</v>
      </c>
      <c r="D733" s="50" t="s">
        <v>267</v>
      </c>
      <c r="E733" s="121">
        <v>1193440</v>
      </c>
      <c r="F733" s="121">
        <v>1193440</v>
      </c>
      <c r="G733" s="121" t="s">
        <v>2033</v>
      </c>
      <c r="H733" s="121">
        <f t="shared" si="24"/>
        <v>1193.44</v>
      </c>
      <c r="I733" s="121">
        <f>DGKC!F32</f>
        <v>1193.44</v>
      </c>
      <c r="J733" s="121">
        <f t="shared" si="25"/>
        <v>0</v>
      </c>
      <c r="K733" s="50" t="s">
        <v>2041</v>
      </c>
      <c r="L733" s="50">
        <v>152</v>
      </c>
      <c r="M733" s="50" t="s">
        <v>1106</v>
      </c>
      <c r="N733" s="68" t="s">
        <v>3564</v>
      </c>
      <c r="O733" s="68" t="s">
        <v>3565</v>
      </c>
      <c r="P733" s="68" t="s">
        <v>4266</v>
      </c>
    </row>
    <row r="734" spans="1:16" ht="82.05" customHeight="1" x14ac:dyDescent="0.3">
      <c r="A734" s="119" t="s">
        <v>2112</v>
      </c>
      <c r="B734" s="119" t="s">
        <v>86</v>
      </c>
      <c r="C734" s="119" t="s">
        <v>28</v>
      </c>
      <c r="D734" s="119" t="s">
        <v>267</v>
      </c>
      <c r="E734" s="120">
        <v>855742</v>
      </c>
      <c r="F734" s="120">
        <v>855742</v>
      </c>
      <c r="G734" s="120" t="s">
        <v>2033</v>
      </c>
      <c r="H734" s="120">
        <f t="shared" si="24"/>
        <v>855.74199999999996</v>
      </c>
      <c r="I734" s="120">
        <f>DGKC!G32</f>
        <v>855.74199999999996</v>
      </c>
      <c r="J734" s="120">
        <f t="shared" si="25"/>
        <v>0</v>
      </c>
      <c r="K734" s="119" t="s">
        <v>2043</v>
      </c>
      <c r="L734" s="119">
        <v>154</v>
      </c>
      <c r="M734" s="119" t="s">
        <v>1106</v>
      </c>
      <c r="N734" s="122" t="s">
        <v>3564</v>
      </c>
      <c r="O734" s="122" t="s">
        <v>3565</v>
      </c>
      <c r="P734" s="122" t="s">
        <v>4267</v>
      </c>
    </row>
    <row r="735" spans="1:16" ht="82.05" customHeight="1" x14ac:dyDescent="0.3">
      <c r="A735" s="50" t="s">
        <v>2113</v>
      </c>
      <c r="B735" s="50" t="s">
        <v>86</v>
      </c>
      <c r="C735" s="50" t="s">
        <v>29</v>
      </c>
      <c r="D735" s="50" t="s">
        <v>267</v>
      </c>
      <c r="E735" s="121">
        <v>1493080</v>
      </c>
      <c r="F735" s="121">
        <v>1493080</v>
      </c>
      <c r="G735" s="121" t="s">
        <v>2033</v>
      </c>
      <c r="H735" s="121">
        <f t="shared" si="24"/>
        <v>1493.08</v>
      </c>
      <c r="I735" s="121">
        <f>DGKC!H32</f>
        <v>1493.08</v>
      </c>
      <c r="J735" s="121">
        <f t="shared" si="25"/>
        <v>0</v>
      </c>
      <c r="K735" s="50" t="s">
        <v>2043</v>
      </c>
      <c r="L735" s="50">
        <v>154</v>
      </c>
      <c r="M735" s="50" t="s">
        <v>1127</v>
      </c>
      <c r="N735" s="68" t="s">
        <v>3564</v>
      </c>
      <c r="O735" s="68" t="s">
        <v>3565</v>
      </c>
      <c r="P735" s="68" t="s">
        <v>4268</v>
      </c>
    </row>
    <row r="736" spans="1:16" ht="82.05" customHeight="1" x14ac:dyDescent="0.3">
      <c r="A736" s="119" t="s">
        <v>2114</v>
      </c>
      <c r="B736" s="119" t="s">
        <v>86</v>
      </c>
      <c r="C736" s="119" t="s">
        <v>965</v>
      </c>
      <c r="D736" s="119" t="s">
        <v>269</v>
      </c>
      <c r="E736" s="120">
        <v>13126388</v>
      </c>
      <c r="F736" s="120">
        <v>13126388</v>
      </c>
      <c r="G736" s="120" t="s">
        <v>2033</v>
      </c>
      <c r="H736" s="120">
        <f t="shared" si="24"/>
        <v>13126.388000000001</v>
      </c>
      <c r="I736" s="120">
        <f>DGKC!C33</f>
        <v>13126.388000000001</v>
      </c>
      <c r="J736" s="120">
        <f t="shared" si="25"/>
        <v>0</v>
      </c>
      <c r="K736" s="119" t="s">
        <v>2031</v>
      </c>
      <c r="L736" s="119">
        <v>106</v>
      </c>
      <c r="M736" s="119" t="s">
        <v>1106</v>
      </c>
      <c r="N736" s="122" t="s">
        <v>3564</v>
      </c>
      <c r="O736" s="122" t="s">
        <v>3565</v>
      </c>
      <c r="P736" s="122" t="s">
        <v>4269</v>
      </c>
    </row>
    <row r="737" spans="1:16" ht="82.05" customHeight="1" x14ac:dyDescent="0.3">
      <c r="A737" s="50" t="s">
        <v>2115</v>
      </c>
      <c r="B737" s="50" t="s">
        <v>86</v>
      </c>
      <c r="C737" s="50" t="s">
        <v>20</v>
      </c>
      <c r="D737" s="50" t="s">
        <v>269</v>
      </c>
      <c r="E737" s="121">
        <v>12946786</v>
      </c>
      <c r="F737" s="121">
        <v>12946786</v>
      </c>
      <c r="G737" s="121" t="s">
        <v>2033</v>
      </c>
      <c r="H737" s="121">
        <f t="shared" si="24"/>
        <v>12946.786</v>
      </c>
      <c r="I737" s="121">
        <f>DGKC!D33</f>
        <v>12946.786</v>
      </c>
      <c r="J737" s="121">
        <f t="shared" si="25"/>
        <v>0</v>
      </c>
      <c r="K737" s="50" t="s">
        <v>2035</v>
      </c>
      <c r="L737" s="50">
        <v>126</v>
      </c>
      <c r="M737" s="50" t="s">
        <v>1106</v>
      </c>
      <c r="N737" s="68" t="s">
        <v>3564</v>
      </c>
      <c r="O737" s="68" t="s">
        <v>3565</v>
      </c>
      <c r="P737" s="68" t="s">
        <v>4270</v>
      </c>
    </row>
    <row r="738" spans="1:16" ht="82.05" customHeight="1" x14ac:dyDescent="0.3">
      <c r="A738" s="119" t="s">
        <v>2116</v>
      </c>
      <c r="B738" s="119" t="s">
        <v>86</v>
      </c>
      <c r="C738" s="119" t="s">
        <v>26</v>
      </c>
      <c r="D738" s="119" t="s">
        <v>269</v>
      </c>
      <c r="E738" s="120">
        <v>9962421</v>
      </c>
      <c r="F738" s="120">
        <v>9962421</v>
      </c>
      <c r="G738" s="120" t="s">
        <v>2033</v>
      </c>
      <c r="H738" s="120">
        <f t="shared" si="24"/>
        <v>9962.4210000000003</v>
      </c>
      <c r="I738" s="120">
        <f>DGKC!E33</f>
        <v>9962.4210000000003</v>
      </c>
      <c r="J738" s="120">
        <f t="shared" si="25"/>
        <v>0</v>
      </c>
      <c r="K738" s="119" t="s">
        <v>2038</v>
      </c>
      <c r="L738" s="119">
        <v>152</v>
      </c>
      <c r="M738" s="119" t="s">
        <v>1106</v>
      </c>
      <c r="N738" s="122" t="s">
        <v>3564</v>
      </c>
      <c r="O738" s="122" t="s">
        <v>3565</v>
      </c>
      <c r="P738" s="122" t="s">
        <v>4271</v>
      </c>
    </row>
    <row r="739" spans="1:16" ht="82.05" customHeight="1" x14ac:dyDescent="0.3">
      <c r="A739" s="50" t="s">
        <v>2117</v>
      </c>
      <c r="B739" s="50" t="s">
        <v>86</v>
      </c>
      <c r="C739" s="50" t="s">
        <v>27</v>
      </c>
      <c r="D739" s="50" t="s">
        <v>269</v>
      </c>
      <c r="E739" s="121">
        <v>9270898</v>
      </c>
      <c r="F739" s="121">
        <v>9270898</v>
      </c>
      <c r="G739" s="121" t="s">
        <v>2033</v>
      </c>
      <c r="H739" s="121">
        <f t="shared" si="24"/>
        <v>9270.8979999999992</v>
      </c>
      <c r="I739" s="121">
        <f>DGKC!F33</f>
        <v>9270.8979999999992</v>
      </c>
      <c r="J739" s="121">
        <f t="shared" si="25"/>
        <v>0</v>
      </c>
      <c r="K739" s="50" t="s">
        <v>2041</v>
      </c>
      <c r="L739" s="50">
        <v>152</v>
      </c>
      <c r="M739" s="50" t="s">
        <v>1106</v>
      </c>
      <c r="N739" s="68" t="s">
        <v>3564</v>
      </c>
      <c r="O739" s="68" t="s">
        <v>3565</v>
      </c>
      <c r="P739" s="68" t="s">
        <v>4272</v>
      </c>
    </row>
    <row r="740" spans="1:16" ht="82.05" customHeight="1" x14ac:dyDescent="0.3">
      <c r="A740" s="119" t="s">
        <v>2118</v>
      </c>
      <c r="B740" s="119" t="s">
        <v>86</v>
      </c>
      <c r="C740" s="119" t="s">
        <v>28</v>
      </c>
      <c r="D740" s="119" t="s">
        <v>269</v>
      </c>
      <c r="E740" s="120">
        <v>18384882</v>
      </c>
      <c r="F740" s="120">
        <v>18384882</v>
      </c>
      <c r="G740" s="120" t="s">
        <v>2033</v>
      </c>
      <c r="H740" s="120">
        <f t="shared" si="24"/>
        <v>18384.882000000001</v>
      </c>
      <c r="I740" s="120">
        <f>DGKC!G33</f>
        <v>18384.882000000001</v>
      </c>
      <c r="J740" s="120">
        <f t="shared" si="25"/>
        <v>0</v>
      </c>
      <c r="K740" s="119" t="s">
        <v>2043</v>
      </c>
      <c r="L740" s="119">
        <v>154</v>
      </c>
      <c r="M740" s="119" t="s">
        <v>1106</v>
      </c>
      <c r="N740" s="122" t="s">
        <v>3564</v>
      </c>
      <c r="O740" s="122" t="s">
        <v>3565</v>
      </c>
      <c r="P740" s="122" t="s">
        <v>4273</v>
      </c>
    </row>
    <row r="741" spans="1:16" ht="82.05" customHeight="1" x14ac:dyDescent="0.3">
      <c r="A741" s="50" t="s">
        <v>2119</v>
      </c>
      <c r="B741" s="50" t="s">
        <v>86</v>
      </c>
      <c r="C741" s="50" t="s">
        <v>29</v>
      </c>
      <c r="D741" s="50" t="s">
        <v>269</v>
      </c>
      <c r="E741" s="121">
        <v>24005100</v>
      </c>
      <c r="F741" s="121">
        <v>24005100</v>
      </c>
      <c r="G741" s="121" t="s">
        <v>2033</v>
      </c>
      <c r="H741" s="121">
        <f t="shared" si="24"/>
        <v>24005.1</v>
      </c>
      <c r="I741" s="121">
        <f>DGKC!H33</f>
        <v>24005.1</v>
      </c>
      <c r="J741" s="121">
        <f t="shared" si="25"/>
        <v>0</v>
      </c>
      <c r="K741" s="50" t="s">
        <v>2043</v>
      </c>
      <c r="L741" s="50">
        <v>154</v>
      </c>
      <c r="M741" s="50" t="s">
        <v>1127</v>
      </c>
      <c r="N741" s="68" t="s">
        <v>3564</v>
      </c>
      <c r="O741" s="68" t="s">
        <v>3565</v>
      </c>
      <c r="P741" s="68" t="s">
        <v>4274</v>
      </c>
    </row>
    <row r="742" spans="1:16" ht="82.05" customHeight="1" x14ac:dyDescent="0.3">
      <c r="A742" s="119" t="s">
        <v>2120</v>
      </c>
      <c r="B742" s="119" t="s">
        <v>86</v>
      </c>
      <c r="C742" s="119" t="s">
        <v>965</v>
      </c>
      <c r="D742" s="119" t="s">
        <v>271</v>
      </c>
      <c r="E742" s="120">
        <v>347834</v>
      </c>
      <c r="F742" s="120">
        <v>347834</v>
      </c>
      <c r="G742" s="120" t="s">
        <v>2033</v>
      </c>
      <c r="H742" s="120">
        <f t="shared" si="24"/>
        <v>347.834</v>
      </c>
      <c r="I742" s="120">
        <f>DGKC!C34</f>
        <v>347.834</v>
      </c>
      <c r="J742" s="120">
        <f t="shared" si="25"/>
        <v>0</v>
      </c>
      <c r="K742" s="119" t="s">
        <v>2031</v>
      </c>
      <c r="L742" s="119">
        <v>106</v>
      </c>
      <c r="M742" s="119" t="s">
        <v>1106</v>
      </c>
      <c r="N742" s="122" t="s">
        <v>3564</v>
      </c>
      <c r="O742" s="122" t="s">
        <v>3565</v>
      </c>
      <c r="P742" s="122" t="s">
        <v>4275</v>
      </c>
    </row>
    <row r="743" spans="1:16" ht="82.05" customHeight="1" x14ac:dyDescent="0.3">
      <c r="A743" s="50" t="s">
        <v>2121</v>
      </c>
      <c r="B743" s="50" t="s">
        <v>86</v>
      </c>
      <c r="C743" s="50" t="s">
        <v>20</v>
      </c>
      <c r="D743" s="50" t="s">
        <v>271</v>
      </c>
      <c r="E743" s="121">
        <v>806373</v>
      </c>
      <c r="F743" s="121">
        <v>806373</v>
      </c>
      <c r="G743" s="121" t="s">
        <v>2033</v>
      </c>
      <c r="H743" s="121">
        <f t="shared" si="24"/>
        <v>806.37300000000005</v>
      </c>
      <c r="I743" s="121">
        <f>DGKC!D34</f>
        <v>806.37300000000005</v>
      </c>
      <c r="J743" s="121">
        <f t="shared" si="25"/>
        <v>0</v>
      </c>
      <c r="K743" s="50" t="s">
        <v>2035</v>
      </c>
      <c r="L743" s="50">
        <v>126</v>
      </c>
      <c r="M743" s="50" t="s">
        <v>1106</v>
      </c>
      <c r="N743" s="68" t="s">
        <v>3564</v>
      </c>
      <c r="O743" s="68" t="s">
        <v>3565</v>
      </c>
      <c r="P743" s="68" t="s">
        <v>4276</v>
      </c>
    </row>
    <row r="744" spans="1:16" ht="82.05" customHeight="1" x14ac:dyDescent="0.3">
      <c r="A744" s="119" t="s">
        <v>2123</v>
      </c>
      <c r="B744" s="119" t="s">
        <v>86</v>
      </c>
      <c r="C744" s="119" t="s">
        <v>26</v>
      </c>
      <c r="D744" s="119" t="s">
        <v>271</v>
      </c>
      <c r="E744" s="120">
        <v>410803</v>
      </c>
      <c r="F744" s="120">
        <v>410803</v>
      </c>
      <c r="G744" s="120" t="s">
        <v>2033</v>
      </c>
      <c r="H744" s="120">
        <f t="shared" si="24"/>
        <v>410.803</v>
      </c>
      <c r="I744" s="120">
        <f>DGKC!E34</f>
        <v>410.803</v>
      </c>
      <c r="J744" s="120">
        <f t="shared" si="25"/>
        <v>0</v>
      </c>
      <c r="K744" s="119" t="s">
        <v>2038</v>
      </c>
      <c r="L744" s="119">
        <v>152</v>
      </c>
      <c r="M744" s="119" t="s">
        <v>1106</v>
      </c>
      <c r="N744" s="122" t="s">
        <v>3564</v>
      </c>
      <c r="O744" s="122" t="s">
        <v>3565</v>
      </c>
      <c r="P744" s="122" t="s">
        <v>4277</v>
      </c>
    </row>
    <row r="745" spans="1:16" ht="82.05" customHeight="1" x14ac:dyDescent="0.3">
      <c r="A745" s="50" t="s">
        <v>2124</v>
      </c>
      <c r="B745" s="50" t="s">
        <v>86</v>
      </c>
      <c r="C745" s="50" t="s">
        <v>27</v>
      </c>
      <c r="D745" s="50" t="s">
        <v>271</v>
      </c>
      <c r="E745" s="121">
        <v>674972</v>
      </c>
      <c r="F745" s="121">
        <v>674972</v>
      </c>
      <c r="G745" s="121" t="s">
        <v>2033</v>
      </c>
      <c r="H745" s="121">
        <f t="shared" si="24"/>
        <v>674.97199999999998</v>
      </c>
      <c r="I745" s="121">
        <f>DGKC!F34</f>
        <v>674.97199999999998</v>
      </c>
      <c r="J745" s="121">
        <f t="shared" si="25"/>
        <v>0</v>
      </c>
      <c r="K745" s="50" t="s">
        <v>2041</v>
      </c>
      <c r="L745" s="50">
        <v>152</v>
      </c>
      <c r="M745" s="50" t="s">
        <v>1106</v>
      </c>
      <c r="N745" s="68" t="s">
        <v>3564</v>
      </c>
      <c r="O745" s="68" t="s">
        <v>3565</v>
      </c>
      <c r="P745" s="68" t="s">
        <v>4278</v>
      </c>
    </row>
    <row r="746" spans="1:16" ht="82.05" customHeight="1" x14ac:dyDescent="0.3">
      <c r="A746" s="119" t="s">
        <v>2125</v>
      </c>
      <c r="B746" s="119" t="s">
        <v>86</v>
      </c>
      <c r="C746" s="119" t="s">
        <v>28</v>
      </c>
      <c r="D746" s="119" t="s">
        <v>271</v>
      </c>
      <c r="E746" s="120">
        <v>732168</v>
      </c>
      <c r="F746" s="120">
        <v>732168</v>
      </c>
      <c r="G746" s="120" t="s">
        <v>2033</v>
      </c>
      <c r="H746" s="120">
        <f t="shared" si="24"/>
        <v>732.16800000000001</v>
      </c>
      <c r="I746" s="120">
        <f>DGKC!G34</f>
        <v>732.16800000000001</v>
      </c>
      <c r="J746" s="120">
        <f t="shared" si="25"/>
        <v>0</v>
      </c>
      <c r="K746" s="119" t="s">
        <v>2043</v>
      </c>
      <c r="L746" s="119">
        <v>154</v>
      </c>
      <c r="M746" s="119" t="s">
        <v>1106</v>
      </c>
      <c r="N746" s="122" t="s">
        <v>3564</v>
      </c>
      <c r="O746" s="122" t="s">
        <v>3565</v>
      </c>
      <c r="P746" s="122" t="s">
        <v>4279</v>
      </c>
    </row>
    <row r="747" spans="1:16" ht="82.05" customHeight="1" x14ac:dyDescent="0.3">
      <c r="A747" s="50" t="s">
        <v>2126</v>
      </c>
      <c r="B747" s="50" t="s">
        <v>86</v>
      </c>
      <c r="C747" s="50" t="s">
        <v>29</v>
      </c>
      <c r="D747" s="50" t="s">
        <v>271</v>
      </c>
      <c r="E747" s="121">
        <v>568832</v>
      </c>
      <c r="F747" s="121">
        <v>568832</v>
      </c>
      <c r="G747" s="121" t="s">
        <v>2033</v>
      </c>
      <c r="H747" s="121">
        <f t="shared" si="24"/>
        <v>568.83199999999999</v>
      </c>
      <c r="I747" s="121">
        <f>DGKC!H34</f>
        <v>568.83199999999999</v>
      </c>
      <c r="J747" s="121">
        <f t="shared" si="25"/>
        <v>0</v>
      </c>
      <c r="K747" s="50" t="s">
        <v>2043</v>
      </c>
      <c r="L747" s="50">
        <v>154</v>
      </c>
      <c r="M747" s="50" t="s">
        <v>1127</v>
      </c>
      <c r="N747" s="68" t="s">
        <v>3564</v>
      </c>
      <c r="O747" s="68" t="s">
        <v>3565</v>
      </c>
      <c r="P747" s="68" t="s">
        <v>4280</v>
      </c>
    </row>
    <row r="748" spans="1:16" ht="82.05" customHeight="1" x14ac:dyDescent="0.3">
      <c r="A748" s="119" t="s">
        <v>2127</v>
      </c>
      <c r="B748" s="119" t="s">
        <v>86</v>
      </c>
      <c r="C748" s="119" t="s">
        <v>965</v>
      </c>
      <c r="D748" s="119" t="s">
        <v>273</v>
      </c>
      <c r="E748" s="120">
        <v>5755136</v>
      </c>
      <c r="F748" s="120">
        <v>5755136</v>
      </c>
      <c r="G748" s="120" t="s">
        <v>2033</v>
      </c>
      <c r="H748" s="120">
        <f t="shared" si="24"/>
        <v>5755.1360000000004</v>
      </c>
      <c r="I748" s="120">
        <f>DGKC!C35</f>
        <v>5755.1360000000004</v>
      </c>
      <c r="J748" s="120">
        <f t="shared" si="25"/>
        <v>0</v>
      </c>
      <c r="K748" s="119" t="s">
        <v>2031</v>
      </c>
      <c r="L748" s="119">
        <v>106</v>
      </c>
      <c r="M748" s="119" t="s">
        <v>1106</v>
      </c>
      <c r="N748" s="122" t="s">
        <v>3602</v>
      </c>
      <c r="O748" s="122" t="s">
        <v>3603</v>
      </c>
      <c r="P748" s="122" t="s">
        <v>4281</v>
      </c>
    </row>
    <row r="749" spans="1:16" ht="82.05" customHeight="1" x14ac:dyDescent="0.3">
      <c r="A749" s="50" t="s">
        <v>2129</v>
      </c>
      <c r="B749" s="50" t="s">
        <v>86</v>
      </c>
      <c r="C749" s="50" t="s">
        <v>20</v>
      </c>
      <c r="D749" s="50" t="s">
        <v>273</v>
      </c>
      <c r="E749" s="121">
        <v>5813923</v>
      </c>
      <c r="F749" s="121">
        <v>5813923</v>
      </c>
      <c r="G749" s="121" t="s">
        <v>2033</v>
      </c>
      <c r="H749" s="121">
        <f t="shared" si="24"/>
        <v>5813.9229999999998</v>
      </c>
      <c r="I749" s="121">
        <f>DGKC!D35</f>
        <v>5813.9229999999998</v>
      </c>
      <c r="J749" s="121">
        <f t="shared" si="25"/>
        <v>0</v>
      </c>
      <c r="K749" s="50" t="s">
        <v>2035</v>
      </c>
      <c r="L749" s="50">
        <v>126</v>
      </c>
      <c r="M749" s="50" t="s">
        <v>1106</v>
      </c>
      <c r="N749" s="68" t="s">
        <v>3602</v>
      </c>
      <c r="O749" s="68" t="s">
        <v>3603</v>
      </c>
      <c r="P749" s="68" t="s">
        <v>4282</v>
      </c>
    </row>
    <row r="750" spans="1:16" ht="82.05" customHeight="1" x14ac:dyDescent="0.3">
      <c r="A750" s="119" t="s">
        <v>2130</v>
      </c>
      <c r="B750" s="119" t="s">
        <v>86</v>
      </c>
      <c r="C750" s="119" t="s">
        <v>26</v>
      </c>
      <c r="D750" s="119" t="s">
        <v>273</v>
      </c>
      <c r="E750" s="120">
        <v>6176679</v>
      </c>
      <c r="F750" s="120">
        <v>6176679</v>
      </c>
      <c r="G750" s="120" t="s">
        <v>2033</v>
      </c>
      <c r="H750" s="120">
        <f t="shared" si="24"/>
        <v>6176.6790000000001</v>
      </c>
      <c r="I750" s="120">
        <f>DGKC!E35</f>
        <v>6176.6790000000001</v>
      </c>
      <c r="J750" s="120">
        <f t="shared" si="25"/>
        <v>0</v>
      </c>
      <c r="K750" s="119" t="s">
        <v>2038</v>
      </c>
      <c r="L750" s="119">
        <v>152</v>
      </c>
      <c r="M750" s="119" t="s">
        <v>1106</v>
      </c>
      <c r="N750" s="122" t="s">
        <v>3602</v>
      </c>
      <c r="O750" s="122" t="s">
        <v>3603</v>
      </c>
      <c r="P750" s="122" t="s">
        <v>4283</v>
      </c>
    </row>
    <row r="751" spans="1:16" ht="82.05" customHeight="1" x14ac:dyDescent="0.3">
      <c r="A751" s="50" t="s">
        <v>2132</v>
      </c>
      <c r="B751" s="50" t="s">
        <v>86</v>
      </c>
      <c r="C751" s="50" t="s">
        <v>27</v>
      </c>
      <c r="D751" s="50" t="s">
        <v>273</v>
      </c>
      <c r="E751" s="121">
        <v>5162181</v>
      </c>
      <c r="F751" s="121">
        <v>5162181</v>
      </c>
      <c r="G751" s="121" t="s">
        <v>2033</v>
      </c>
      <c r="H751" s="121">
        <f t="shared" si="24"/>
        <v>5162.1809999999996</v>
      </c>
      <c r="I751" s="121">
        <f>DGKC!F35</f>
        <v>5162.1809999999996</v>
      </c>
      <c r="J751" s="121">
        <f t="shared" si="25"/>
        <v>0</v>
      </c>
      <c r="K751" s="50" t="s">
        <v>2041</v>
      </c>
      <c r="L751" s="50">
        <v>152</v>
      </c>
      <c r="M751" s="50" t="s">
        <v>1106</v>
      </c>
      <c r="N751" s="68" t="s">
        <v>3602</v>
      </c>
      <c r="O751" s="68" t="s">
        <v>3603</v>
      </c>
      <c r="P751" s="68" t="s">
        <v>4284</v>
      </c>
    </row>
    <row r="752" spans="1:16" ht="82.05" customHeight="1" x14ac:dyDescent="0.3">
      <c r="A752" s="119" t="s">
        <v>2133</v>
      </c>
      <c r="B752" s="119" t="s">
        <v>86</v>
      </c>
      <c r="C752" s="119" t="s">
        <v>28</v>
      </c>
      <c r="D752" s="119" t="s">
        <v>273</v>
      </c>
      <c r="E752" s="120">
        <v>1544888</v>
      </c>
      <c r="F752" s="120">
        <v>1544888</v>
      </c>
      <c r="G752" s="120" t="s">
        <v>2033</v>
      </c>
      <c r="H752" s="120">
        <f t="shared" si="24"/>
        <v>1544.8879999999999</v>
      </c>
      <c r="I752" s="120">
        <f>DGKC!G35</f>
        <v>1544.8879999999999</v>
      </c>
      <c r="J752" s="120">
        <f t="shared" si="25"/>
        <v>0</v>
      </c>
      <c r="K752" s="119" t="s">
        <v>2043</v>
      </c>
      <c r="L752" s="119">
        <v>154</v>
      </c>
      <c r="M752" s="119" t="s">
        <v>1106</v>
      </c>
      <c r="N752" s="122" t="s">
        <v>3602</v>
      </c>
      <c r="O752" s="122" t="s">
        <v>3603</v>
      </c>
      <c r="P752" s="122" t="s">
        <v>4285</v>
      </c>
    </row>
    <row r="753" spans="1:16" ht="82.05" customHeight="1" x14ac:dyDescent="0.3">
      <c r="A753" s="50" t="s">
        <v>2134</v>
      </c>
      <c r="B753" s="50" t="s">
        <v>86</v>
      </c>
      <c r="C753" s="50" t="s">
        <v>29</v>
      </c>
      <c r="D753" s="50" t="s">
        <v>273</v>
      </c>
      <c r="E753" s="121">
        <v>1345673</v>
      </c>
      <c r="F753" s="121">
        <v>1345673</v>
      </c>
      <c r="G753" s="121" t="s">
        <v>2033</v>
      </c>
      <c r="H753" s="121">
        <f t="shared" si="24"/>
        <v>1345.673</v>
      </c>
      <c r="I753" s="121">
        <f>DGKC!H35</f>
        <v>1345.673</v>
      </c>
      <c r="J753" s="121">
        <f t="shared" si="25"/>
        <v>0</v>
      </c>
      <c r="K753" s="50" t="s">
        <v>2043</v>
      </c>
      <c r="L753" s="50">
        <v>154</v>
      </c>
      <c r="M753" s="50" t="s">
        <v>1127</v>
      </c>
      <c r="N753" s="68" t="s">
        <v>3564</v>
      </c>
      <c r="O753" s="68" t="s">
        <v>3565</v>
      </c>
      <c r="P753" s="68" t="s">
        <v>4286</v>
      </c>
    </row>
    <row r="754" spans="1:16" ht="82.05" customHeight="1" x14ac:dyDescent="0.3">
      <c r="A754" s="119" t="s">
        <v>2135</v>
      </c>
      <c r="B754" s="119" t="s">
        <v>86</v>
      </c>
      <c r="C754" s="119" t="s">
        <v>965</v>
      </c>
      <c r="D754" s="119" t="s">
        <v>280</v>
      </c>
      <c r="E754" s="120">
        <v>4381191</v>
      </c>
      <c r="F754" s="120">
        <v>4381191</v>
      </c>
      <c r="G754" s="120" t="s">
        <v>2033</v>
      </c>
      <c r="H754" s="120">
        <f t="shared" si="24"/>
        <v>4381.1909999999998</v>
      </c>
      <c r="I754" s="120">
        <f>DGKC!C39</f>
        <v>4381.1909999999998</v>
      </c>
      <c r="J754" s="120">
        <f t="shared" si="25"/>
        <v>0</v>
      </c>
      <c r="K754" s="119" t="s">
        <v>2031</v>
      </c>
      <c r="L754" s="119">
        <v>105</v>
      </c>
      <c r="M754" s="119" t="s">
        <v>1106</v>
      </c>
      <c r="N754" s="122" t="s">
        <v>3564</v>
      </c>
      <c r="O754" s="122" t="s">
        <v>3565</v>
      </c>
      <c r="P754" s="122" t="s">
        <v>4287</v>
      </c>
    </row>
    <row r="755" spans="1:16" ht="82.05" customHeight="1" x14ac:dyDescent="0.3">
      <c r="A755" s="50" t="s">
        <v>2137</v>
      </c>
      <c r="B755" s="50" t="s">
        <v>86</v>
      </c>
      <c r="C755" s="50" t="s">
        <v>20</v>
      </c>
      <c r="D755" s="50" t="s">
        <v>280</v>
      </c>
      <c r="E755" s="121">
        <v>4381191</v>
      </c>
      <c r="F755" s="121">
        <v>4381191</v>
      </c>
      <c r="G755" s="121" t="s">
        <v>2033</v>
      </c>
      <c r="H755" s="121">
        <f t="shared" si="24"/>
        <v>4381.1909999999998</v>
      </c>
      <c r="I755" s="121">
        <f>DGKC!D39</f>
        <v>4381.1909999999998</v>
      </c>
      <c r="J755" s="121">
        <f t="shared" si="25"/>
        <v>0</v>
      </c>
      <c r="K755" s="50" t="s">
        <v>2035</v>
      </c>
      <c r="L755" s="50">
        <v>125</v>
      </c>
      <c r="M755" s="50" t="s">
        <v>1106</v>
      </c>
      <c r="N755" s="68" t="s">
        <v>3564</v>
      </c>
      <c r="O755" s="68" t="s">
        <v>3565</v>
      </c>
      <c r="P755" s="68" t="s">
        <v>4288</v>
      </c>
    </row>
    <row r="756" spans="1:16" ht="82.05" customHeight="1" x14ac:dyDescent="0.3">
      <c r="A756" s="119" t="s">
        <v>2138</v>
      </c>
      <c r="B756" s="119" t="s">
        <v>86</v>
      </c>
      <c r="C756" s="119" t="s">
        <v>26</v>
      </c>
      <c r="D756" s="119" t="s">
        <v>280</v>
      </c>
      <c r="E756" s="120">
        <v>4381191</v>
      </c>
      <c r="F756" s="120">
        <v>4381191</v>
      </c>
      <c r="G756" s="120" t="s">
        <v>2033</v>
      </c>
      <c r="H756" s="120">
        <f t="shared" si="24"/>
        <v>4381.1909999999998</v>
      </c>
      <c r="I756" s="120">
        <f>DGKC!E39</f>
        <v>4381.1909999999998</v>
      </c>
      <c r="J756" s="120">
        <f t="shared" si="25"/>
        <v>0</v>
      </c>
      <c r="K756" s="119" t="s">
        <v>2038</v>
      </c>
      <c r="L756" s="119">
        <v>151</v>
      </c>
      <c r="M756" s="119" t="s">
        <v>1106</v>
      </c>
      <c r="N756" s="122" t="s">
        <v>3564</v>
      </c>
      <c r="O756" s="122" t="s">
        <v>3565</v>
      </c>
      <c r="P756" s="122" t="s">
        <v>4289</v>
      </c>
    </row>
    <row r="757" spans="1:16" ht="82.05" customHeight="1" x14ac:dyDescent="0.3">
      <c r="A757" s="50" t="s">
        <v>2139</v>
      </c>
      <c r="B757" s="50" t="s">
        <v>86</v>
      </c>
      <c r="C757" s="50" t="s">
        <v>27</v>
      </c>
      <c r="D757" s="50" t="s">
        <v>280</v>
      </c>
      <c r="E757" s="121">
        <v>4381191</v>
      </c>
      <c r="F757" s="121">
        <v>4381191</v>
      </c>
      <c r="G757" s="121" t="s">
        <v>2033</v>
      </c>
      <c r="H757" s="121">
        <f t="shared" si="24"/>
        <v>4381.1909999999998</v>
      </c>
      <c r="I757" s="121">
        <f>DGKC!F39</f>
        <v>4381.1909999999998</v>
      </c>
      <c r="J757" s="121">
        <f t="shared" si="25"/>
        <v>0</v>
      </c>
      <c r="K757" s="50" t="s">
        <v>2041</v>
      </c>
      <c r="L757" s="50">
        <v>151</v>
      </c>
      <c r="M757" s="50" t="s">
        <v>1106</v>
      </c>
      <c r="N757" s="68" t="s">
        <v>3564</v>
      </c>
      <c r="O757" s="68" t="s">
        <v>3565</v>
      </c>
      <c r="P757" s="68" t="s">
        <v>4290</v>
      </c>
    </row>
    <row r="758" spans="1:16" ht="82.05" customHeight="1" x14ac:dyDescent="0.3">
      <c r="A758" s="119" t="s">
        <v>2140</v>
      </c>
      <c r="B758" s="119" t="s">
        <v>86</v>
      </c>
      <c r="C758" s="119" t="s">
        <v>28</v>
      </c>
      <c r="D758" s="119" t="s">
        <v>280</v>
      </c>
      <c r="E758" s="120">
        <v>4381191</v>
      </c>
      <c r="F758" s="120">
        <v>4381191</v>
      </c>
      <c r="G758" s="120" t="s">
        <v>2033</v>
      </c>
      <c r="H758" s="120">
        <f t="shared" si="24"/>
        <v>4381.1909999999998</v>
      </c>
      <c r="I758" s="120">
        <f>DGKC!G39</f>
        <v>4381.1909999999998</v>
      </c>
      <c r="J758" s="120">
        <f t="shared" si="25"/>
        <v>0</v>
      </c>
      <c r="K758" s="119" t="s">
        <v>2043</v>
      </c>
      <c r="L758" s="119">
        <v>153</v>
      </c>
      <c r="M758" s="119" t="s">
        <v>1106</v>
      </c>
      <c r="N758" s="122" t="s">
        <v>3564</v>
      </c>
      <c r="O758" s="122" t="s">
        <v>3565</v>
      </c>
      <c r="P758" s="122" t="s">
        <v>4291</v>
      </c>
    </row>
    <row r="759" spans="1:16" ht="82.05" customHeight="1" x14ac:dyDescent="0.3">
      <c r="A759" s="50" t="s">
        <v>2141</v>
      </c>
      <c r="B759" s="50" t="s">
        <v>86</v>
      </c>
      <c r="C759" s="50" t="s">
        <v>29</v>
      </c>
      <c r="D759" s="50" t="s">
        <v>280</v>
      </c>
      <c r="E759" s="121">
        <v>4381191</v>
      </c>
      <c r="F759" s="121">
        <v>4381191</v>
      </c>
      <c r="G759" s="121" t="s">
        <v>2033</v>
      </c>
      <c r="H759" s="121">
        <f t="shared" si="24"/>
        <v>4381.1909999999998</v>
      </c>
      <c r="I759" s="121">
        <f>DGKC!H39</f>
        <v>4381.1909999999998</v>
      </c>
      <c r="J759" s="121">
        <f t="shared" si="25"/>
        <v>0</v>
      </c>
      <c r="K759" s="50" t="s">
        <v>2043</v>
      </c>
      <c r="L759" s="50">
        <v>153</v>
      </c>
      <c r="M759" s="50" t="s">
        <v>1127</v>
      </c>
      <c r="N759" s="68" t="s">
        <v>3564</v>
      </c>
      <c r="O759" s="68" t="s">
        <v>3565</v>
      </c>
      <c r="P759" s="68" t="s">
        <v>4291</v>
      </c>
    </row>
    <row r="760" spans="1:16" ht="82.05" customHeight="1" x14ac:dyDescent="0.3">
      <c r="A760" s="119" t="s">
        <v>2142</v>
      </c>
      <c r="B760" s="119" t="s">
        <v>86</v>
      </c>
      <c r="C760" s="119" t="s">
        <v>965</v>
      </c>
      <c r="D760" s="119" t="s">
        <v>282</v>
      </c>
      <c r="E760" s="120">
        <v>62262966</v>
      </c>
      <c r="F760" s="120">
        <v>62262966</v>
      </c>
      <c r="G760" s="120" t="s">
        <v>2033</v>
      </c>
      <c r="H760" s="120">
        <f t="shared" si="24"/>
        <v>62262.966</v>
      </c>
      <c r="I760" s="120">
        <f>DGKC!C40</f>
        <v>62262.966</v>
      </c>
      <c r="J760" s="120">
        <f t="shared" si="25"/>
        <v>0</v>
      </c>
      <c r="K760" s="119" t="s">
        <v>2031</v>
      </c>
      <c r="L760" s="119">
        <v>105</v>
      </c>
      <c r="M760" s="119" t="s">
        <v>1106</v>
      </c>
      <c r="N760" s="122" t="s">
        <v>3602</v>
      </c>
      <c r="O760" s="122" t="s">
        <v>3603</v>
      </c>
      <c r="P760" s="122" t="s">
        <v>4292</v>
      </c>
    </row>
    <row r="761" spans="1:16" ht="82.05" customHeight="1" x14ac:dyDescent="0.3">
      <c r="A761" s="50" t="s">
        <v>2144</v>
      </c>
      <c r="B761" s="50" t="s">
        <v>86</v>
      </c>
      <c r="C761" s="50" t="s">
        <v>20</v>
      </c>
      <c r="D761" s="50" t="s">
        <v>282</v>
      </c>
      <c r="E761" s="121">
        <v>69096682</v>
      </c>
      <c r="F761" s="121">
        <v>69096682</v>
      </c>
      <c r="G761" s="121" t="s">
        <v>2033</v>
      </c>
      <c r="H761" s="121">
        <f t="shared" si="24"/>
        <v>69096.682000000001</v>
      </c>
      <c r="I761" s="121">
        <f>DGKC!D40</f>
        <v>69096.682000000001</v>
      </c>
      <c r="J761" s="121">
        <f t="shared" si="25"/>
        <v>0</v>
      </c>
      <c r="K761" s="50" t="s">
        <v>2035</v>
      </c>
      <c r="L761" s="50">
        <v>125</v>
      </c>
      <c r="M761" s="50" t="s">
        <v>1106</v>
      </c>
      <c r="N761" s="68" t="s">
        <v>3602</v>
      </c>
      <c r="O761" s="68" t="s">
        <v>3603</v>
      </c>
      <c r="P761" s="68" t="s">
        <v>4293</v>
      </c>
    </row>
    <row r="762" spans="1:16" ht="82.05" customHeight="1" x14ac:dyDescent="0.3">
      <c r="A762" s="119" t="s">
        <v>2145</v>
      </c>
      <c r="B762" s="119" t="s">
        <v>86</v>
      </c>
      <c r="C762" s="119" t="s">
        <v>26</v>
      </c>
      <c r="D762" s="119" t="s">
        <v>282</v>
      </c>
      <c r="E762" s="120">
        <v>65536911</v>
      </c>
      <c r="F762" s="120">
        <v>65536911</v>
      </c>
      <c r="G762" s="120" t="s">
        <v>2033</v>
      </c>
      <c r="H762" s="120">
        <f t="shared" si="24"/>
        <v>65536.910999999993</v>
      </c>
      <c r="I762" s="120">
        <f>DGKC!E40</f>
        <v>65536.910999999993</v>
      </c>
      <c r="J762" s="120">
        <f t="shared" si="25"/>
        <v>0</v>
      </c>
      <c r="K762" s="119" t="s">
        <v>2038</v>
      </c>
      <c r="L762" s="119">
        <v>151</v>
      </c>
      <c r="M762" s="119" t="s">
        <v>1106</v>
      </c>
      <c r="N762" s="122" t="s">
        <v>3602</v>
      </c>
      <c r="O762" s="122" t="s">
        <v>3603</v>
      </c>
      <c r="P762" s="122" t="s">
        <v>4294</v>
      </c>
    </row>
    <row r="763" spans="1:16" ht="82.05" customHeight="1" x14ac:dyDescent="0.3">
      <c r="A763" s="50" t="s">
        <v>2146</v>
      </c>
      <c r="B763" s="50" t="s">
        <v>86</v>
      </c>
      <c r="C763" s="50" t="s">
        <v>27</v>
      </c>
      <c r="D763" s="50" t="s">
        <v>282</v>
      </c>
      <c r="E763" s="121">
        <v>59811086</v>
      </c>
      <c r="F763" s="121">
        <v>59811086</v>
      </c>
      <c r="G763" s="121" t="s">
        <v>2033</v>
      </c>
      <c r="H763" s="121">
        <f t="shared" si="24"/>
        <v>59811.086000000003</v>
      </c>
      <c r="I763" s="121">
        <f>DGKC!F40</f>
        <v>59811.086000000003</v>
      </c>
      <c r="J763" s="121">
        <f t="shared" si="25"/>
        <v>0</v>
      </c>
      <c r="K763" s="50" t="s">
        <v>2041</v>
      </c>
      <c r="L763" s="50">
        <v>151</v>
      </c>
      <c r="M763" s="50" t="s">
        <v>1106</v>
      </c>
      <c r="N763" s="68" t="s">
        <v>3602</v>
      </c>
      <c r="O763" s="68" t="s">
        <v>3603</v>
      </c>
      <c r="P763" s="68" t="s">
        <v>4295</v>
      </c>
    </row>
    <row r="764" spans="1:16" ht="82.05" customHeight="1" x14ac:dyDescent="0.3">
      <c r="A764" s="119" t="s">
        <v>2147</v>
      </c>
      <c r="B764" s="119" t="s">
        <v>86</v>
      </c>
      <c r="C764" s="119" t="s">
        <v>28</v>
      </c>
      <c r="D764" s="119" t="s">
        <v>282</v>
      </c>
      <c r="E764" s="120">
        <v>71466347</v>
      </c>
      <c r="F764" s="120">
        <v>71466347</v>
      </c>
      <c r="G764" s="120" t="s">
        <v>2033</v>
      </c>
      <c r="H764" s="120">
        <f t="shared" si="24"/>
        <v>71466.346999999994</v>
      </c>
      <c r="I764" s="120">
        <f>DGKC!G40</f>
        <v>71466.346999999994</v>
      </c>
      <c r="J764" s="120">
        <f t="shared" si="25"/>
        <v>0</v>
      </c>
      <c r="K764" s="119" t="s">
        <v>2043</v>
      </c>
      <c r="L764" s="119">
        <v>153</v>
      </c>
      <c r="M764" s="119" t="s">
        <v>1106</v>
      </c>
      <c r="N764" s="122" t="s">
        <v>3602</v>
      </c>
      <c r="O764" s="122" t="s">
        <v>3603</v>
      </c>
      <c r="P764" s="122" t="s">
        <v>4296</v>
      </c>
    </row>
    <row r="765" spans="1:16" ht="82.05" customHeight="1" x14ac:dyDescent="0.3">
      <c r="A765" s="50" t="s">
        <v>2148</v>
      </c>
      <c r="B765" s="50" t="s">
        <v>86</v>
      </c>
      <c r="C765" s="50" t="s">
        <v>29</v>
      </c>
      <c r="D765" s="50" t="s">
        <v>282</v>
      </c>
      <c r="E765" s="121">
        <v>90286287</v>
      </c>
      <c r="F765" s="121">
        <v>90286287</v>
      </c>
      <c r="G765" s="121" t="s">
        <v>2033</v>
      </c>
      <c r="H765" s="121">
        <f t="shared" si="24"/>
        <v>90286.286999999997</v>
      </c>
      <c r="I765" s="121">
        <f>DGKC!H40</f>
        <v>90286.286999999997</v>
      </c>
      <c r="J765" s="121">
        <f t="shared" si="25"/>
        <v>0</v>
      </c>
      <c r="K765" s="50" t="s">
        <v>2043</v>
      </c>
      <c r="L765" s="50">
        <v>153</v>
      </c>
      <c r="M765" s="50" t="s">
        <v>1127</v>
      </c>
      <c r="N765" s="68" t="s">
        <v>3602</v>
      </c>
      <c r="O765" s="68" t="s">
        <v>3603</v>
      </c>
      <c r="P765" s="68" t="s">
        <v>4296</v>
      </c>
    </row>
    <row r="766" spans="1:16" ht="82.05" customHeight="1" x14ac:dyDescent="0.3">
      <c r="A766" s="119" t="s">
        <v>2149</v>
      </c>
      <c r="B766" s="119" t="s">
        <v>86</v>
      </c>
      <c r="C766" s="119" t="s">
        <v>965</v>
      </c>
      <c r="D766" s="119" t="s">
        <v>287</v>
      </c>
      <c r="E766" s="120">
        <v>21972000</v>
      </c>
      <c r="F766" s="120">
        <v>21972000</v>
      </c>
      <c r="G766" s="120" t="s">
        <v>2033</v>
      </c>
      <c r="H766" s="120">
        <f t="shared" si="24"/>
        <v>21972</v>
      </c>
      <c r="I766" s="120">
        <f>DGKC!C43</f>
        <v>21972</v>
      </c>
      <c r="J766" s="120">
        <f t="shared" si="25"/>
        <v>0</v>
      </c>
      <c r="K766" s="119" t="s">
        <v>2031</v>
      </c>
      <c r="L766" s="119">
        <v>105</v>
      </c>
      <c r="M766" s="119" t="s">
        <v>1106</v>
      </c>
      <c r="N766" s="122" t="s">
        <v>3564</v>
      </c>
      <c r="O766" s="122" t="s">
        <v>3565</v>
      </c>
      <c r="P766" s="122" t="s">
        <v>4297</v>
      </c>
    </row>
    <row r="767" spans="1:16" ht="82.05" customHeight="1" x14ac:dyDescent="0.3">
      <c r="A767" s="50" t="s">
        <v>2151</v>
      </c>
      <c r="B767" s="50" t="s">
        <v>86</v>
      </c>
      <c r="C767" s="50" t="s">
        <v>20</v>
      </c>
      <c r="D767" s="50" t="s">
        <v>287</v>
      </c>
      <c r="E767" s="121">
        <v>19300064</v>
      </c>
      <c r="F767" s="121">
        <v>19300064</v>
      </c>
      <c r="G767" s="121" t="s">
        <v>2033</v>
      </c>
      <c r="H767" s="121">
        <f t="shared" si="24"/>
        <v>19300.063999999998</v>
      </c>
      <c r="I767" s="121">
        <f>DGKC!D43</f>
        <v>19300.063999999998</v>
      </c>
      <c r="J767" s="121">
        <f t="shared" si="25"/>
        <v>0</v>
      </c>
      <c r="K767" s="50" t="s">
        <v>2035</v>
      </c>
      <c r="L767" s="50">
        <v>125</v>
      </c>
      <c r="M767" s="50" t="s">
        <v>1106</v>
      </c>
      <c r="N767" s="68" t="s">
        <v>3564</v>
      </c>
      <c r="O767" s="68" t="s">
        <v>3565</v>
      </c>
      <c r="P767" s="68" t="s">
        <v>4298</v>
      </c>
    </row>
    <row r="768" spans="1:16" ht="82.05" customHeight="1" x14ac:dyDescent="0.3">
      <c r="A768" s="119" t="s">
        <v>2153</v>
      </c>
      <c r="B768" s="119" t="s">
        <v>86</v>
      </c>
      <c r="C768" s="119" t="s">
        <v>26</v>
      </c>
      <c r="D768" s="119" t="s">
        <v>287</v>
      </c>
      <c r="E768" s="120">
        <v>14168229</v>
      </c>
      <c r="F768" s="120">
        <v>14168229</v>
      </c>
      <c r="G768" s="120" t="s">
        <v>2033</v>
      </c>
      <c r="H768" s="120">
        <f t="shared" si="24"/>
        <v>14168.228999999999</v>
      </c>
      <c r="I768" s="120">
        <f>DGKC!E43</f>
        <v>14168.228999999999</v>
      </c>
      <c r="J768" s="120">
        <f t="shared" si="25"/>
        <v>0</v>
      </c>
      <c r="K768" s="119" t="s">
        <v>2038</v>
      </c>
      <c r="L768" s="119">
        <v>151</v>
      </c>
      <c r="M768" s="119" t="s">
        <v>1106</v>
      </c>
      <c r="N768" s="122" t="s">
        <v>3564</v>
      </c>
      <c r="O768" s="122" t="s">
        <v>3565</v>
      </c>
      <c r="P768" s="122" t="s">
        <v>4299</v>
      </c>
    </row>
    <row r="769" spans="1:16" ht="82.05" customHeight="1" x14ac:dyDescent="0.3">
      <c r="A769" s="50" t="s">
        <v>2154</v>
      </c>
      <c r="B769" s="50" t="s">
        <v>86</v>
      </c>
      <c r="C769" s="50" t="s">
        <v>27</v>
      </c>
      <c r="D769" s="50" t="s">
        <v>287</v>
      </c>
      <c r="E769" s="121">
        <v>9663619</v>
      </c>
      <c r="F769" s="121">
        <v>9663619</v>
      </c>
      <c r="G769" s="121" t="s">
        <v>2033</v>
      </c>
      <c r="H769" s="121">
        <f t="shared" si="24"/>
        <v>9663.6190000000006</v>
      </c>
      <c r="I769" s="121">
        <f>DGKC!F43</f>
        <v>9663.6190000000006</v>
      </c>
      <c r="J769" s="121">
        <f t="shared" si="25"/>
        <v>0</v>
      </c>
      <c r="K769" s="50" t="s">
        <v>2041</v>
      </c>
      <c r="L769" s="50">
        <v>151</v>
      </c>
      <c r="M769" s="50" t="s">
        <v>1106</v>
      </c>
      <c r="N769" s="68" t="s">
        <v>3564</v>
      </c>
      <c r="O769" s="68" t="s">
        <v>3565</v>
      </c>
      <c r="P769" s="68" t="s">
        <v>4300</v>
      </c>
    </row>
    <row r="770" spans="1:16" ht="82.05" customHeight="1" x14ac:dyDescent="0.3">
      <c r="A770" s="119" t="s">
        <v>2155</v>
      </c>
      <c r="B770" s="119" t="s">
        <v>86</v>
      </c>
      <c r="C770" s="119" t="s">
        <v>28</v>
      </c>
      <c r="D770" s="119" t="s">
        <v>287</v>
      </c>
      <c r="E770" s="120">
        <v>15965116</v>
      </c>
      <c r="F770" s="120">
        <v>15965116</v>
      </c>
      <c r="G770" s="120" t="s">
        <v>2033</v>
      </c>
      <c r="H770" s="120">
        <f t="shared" si="24"/>
        <v>15965.116</v>
      </c>
      <c r="I770" s="120">
        <f>DGKC!G43</f>
        <v>15965.116</v>
      </c>
      <c r="J770" s="120">
        <f t="shared" si="25"/>
        <v>0</v>
      </c>
      <c r="K770" s="119" t="s">
        <v>2043</v>
      </c>
      <c r="L770" s="119">
        <v>153</v>
      </c>
      <c r="M770" s="119" t="s">
        <v>1106</v>
      </c>
      <c r="N770" s="122" t="s">
        <v>3564</v>
      </c>
      <c r="O770" s="122" t="s">
        <v>3565</v>
      </c>
      <c r="P770" s="122" t="s">
        <v>4301</v>
      </c>
    </row>
    <row r="771" spans="1:16" ht="82.05" customHeight="1" x14ac:dyDescent="0.3">
      <c r="A771" s="50" t="s">
        <v>2156</v>
      </c>
      <c r="B771" s="50" t="s">
        <v>86</v>
      </c>
      <c r="C771" s="50" t="s">
        <v>29</v>
      </c>
      <c r="D771" s="50" t="s">
        <v>287</v>
      </c>
      <c r="E771" s="121">
        <v>10093829</v>
      </c>
      <c r="F771" s="121">
        <v>10093829</v>
      </c>
      <c r="G771" s="121" t="s">
        <v>2033</v>
      </c>
      <c r="H771" s="121">
        <f t="shared" si="24"/>
        <v>10093.829</v>
      </c>
      <c r="I771" s="121">
        <f>DGKC!H43</f>
        <v>10093.829</v>
      </c>
      <c r="J771" s="121">
        <f t="shared" si="25"/>
        <v>0</v>
      </c>
      <c r="K771" s="50" t="s">
        <v>2043</v>
      </c>
      <c r="L771" s="50">
        <v>153</v>
      </c>
      <c r="M771" s="50" t="s">
        <v>1127</v>
      </c>
      <c r="N771" s="68" t="s">
        <v>3564</v>
      </c>
      <c r="O771" s="68" t="s">
        <v>3565</v>
      </c>
      <c r="P771" s="68" t="s">
        <v>4302</v>
      </c>
    </row>
    <row r="772" spans="1:16" ht="82.05" customHeight="1" x14ac:dyDescent="0.3">
      <c r="A772" s="119" t="s">
        <v>2157</v>
      </c>
      <c r="B772" s="119" t="s">
        <v>86</v>
      </c>
      <c r="C772" s="119" t="s">
        <v>965</v>
      </c>
      <c r="D772" s="119" t="s">
        <v>289</v>
      </c>
      <c r="E772" s="120">
        <v>0</v>
      </c>
      <c r="F772" s="120">
        <v>0</v>
      </c>
      <c r="G772" s="120" t="s">
        <v>2033</v>
      </c>
      <c r="H772" s="120">
        <f t="shared" si="24"/>
        <v>0</v>
      </c>
      <c r="I772" s="120">
        <f>DGKC!C44</f>
        <v>0</v>
      </c>
      <c r="J772" s="120">
        <f t="shared" si="25"/>
        <v>0</v>
      </c>
      <c r="K772" s="119" t="s">
        <v>2031</v>
      </c>
      <c r="L772" s="119">
        <v>105</v>
      </c>
      <c r="M772" s="119" t="s">
        <v>1106</v>
      </c>
      <c r="N772" s="122" t="s">
        <v>3578</v>
      </c>
      <c r="O772" s="122" t="s">
        <v>3579</v>
      </c>
      <c r="P772" s="122" t="s">
        <v>4303</v>
      </c>
    </row>
    <row r="773" spans="1:16" ht="82.05" customHeight="1" x14ac:dyDescent="0.3">
      <c r="A773" s="50" t="s">
        <v>2158</v>
      </c>
      <c r="B773" s="50" t="s">
        <v>86</v>
      </c>
      <c r="C773" s="50" t="s">
        <v>20</v>
      </c>
      <c r="D773" s="50" t="s">
        <v>289</v>
      </c>
      <c r="E773" s="121">
        <v>0</v>
      </c>
      <c r="F773" s="121">
        <v>0</v>
      </c>
      <c r="G773" s="121" t="s">
        <v>2033</v>
      </c>
      <c r="H773" s="121">
        <f t="shared" si="24"/>
        <v>0</v>
      </c>
      <c r="I773" s="121">
        <f>DGKC!D44</f>
        <v>0</v>
      </c>
      <c r="J773" s="121">
        <f t="shared" si="25"/>
        <v>0</v>
      </c>
      <c r="K773" s="50" t="s">
        <v>2035</v>
      </c>
      <c r="L773" s="50">
        <v>125</v>
      </c>
      <c r="M773" s="50" t="s">
        <v>1106</v>
      </c>
      <c r="N773" s="68" t="s">
        <v>3578</v>
      </c>
      <c r="O773" s="68" t="s">
        <v>3579</v>
      </c>
      <c r="P773" s="68" t="s">
        <v>4304</v>
      </c>
    </row>
    <row r="774" spans="1:16" ht="82.05" customHeight="1" x14ac:dyDescent="0.3">
      <c r="A774" s="119" t="s">
        <v>2159</v>
      </c>
      <c r="B774" s="119" t="s">
        <v>86</v>
      </c>
      <c r="C774" s="119" t="s">
        <v>26</v>
      </c>
      <c r="D774" s="119" t="s">
        <v>289</v>
      </c>
      <c r="E774" s="120">
        <v>0</v>
      </c>
      <c r="F774" s="120">
        <v>0</v>
      </c>
      <c r="G774" s="120" t="s">
        <v>2033</v>
      </c>
      <c r="H774" s="120">
        <f t="shared" si="24"/>
        <v>0</v>
      </c>
      <c r="I774" s="120">
        <f>DGKC!E44</f>
        <v>0</v>
      </c>
      <c r="J774" s="120">
        <f t="shared" si="25"/>
        <v>0</v>
      </c>
      <c r="K774" s="119" t="s">
        <v>2038</v>
      </c>
      <c r="L774" s="119">
        <v>151</v>
      </c>
      <c r="M774" s="119" t="s">
        <v>1106</v>
      </c>
      <c r="N774" s="122" t="s">
        <v>3578</v>
      </c>
      <c r="O774" s="122" t="s">
        <v>3579</v>
      </c>
      <c r="P774" s="122" t="s">
        <v>4305</v>
      </c>
    </row>
    <row r="775" spans="1:16" ht="82.05" customHeight="1" x14ac:dyDescent="0.3">
      <c r="A775" s="50" t="s">
        <v>2160</v>
      </c>
      <c r="B775" s="50" t="s">
        <v>86</v>
      </c>
      <c r="C775" s="50" t="s">
        <v>27</v>
      </c>
      <c r="D775" s="50" t="s">
        <v>289</v>
      </c>
      <c r="E775" s="121">
        <v>0</v>
      </c>
      <c r="F775" s="121">
        <v>0</v>
      </c>
      <c r="G775" s="121" t="s">
        <v>2033</v>
      </c>
      <c r="H775" s="121">
        <f t="shared" si="24"/>
        <v>0</v>
      </c>
      <c r="I775" s="121">
        <f>DGKC!F44</f>
        <v>0</v>
      </c>
      <c r="J775" s="121">
        <f t="shared" si="25"/>
        <v>0</v>
      </c>
      <c r="K775" s="50" t="s">
        <v>2041</v>
      </c>
      <c r="L775" s="50">
        <v>151</v>
      </c>
      <c r="M775" s="50" t="s">
        <v>1106</v>
      </c>
      <c r="N775" s="68" t="s">
        <v>3578</v>
      </c>
      <c r="O775" s="68" t="s">
        <v>3579</v>
      </c>
      <c r="P775" s="68" t="s">
        <v>4306</v>
      </c>
    </row>
    <row r="776" spans="1:16" ht="82.05" customHeight="1" x14ac:dyDescent="0.3">
      <c r="A776" s="119" t="s">
        <v>2161</v>
      </c>
      <c r="B776" s="119" t="s">
        <v>86</v>
      </c>
      <c r="C776" s="119" t="s">
        <v>28</v>
      </c>
      <c r="D776" s="119" t="s">
        <v>289</v>
      </c>
      <c r="E776" s="120">
        <v>0</v>
      </c>
      <c r="F776" s="120">
        <v>0</v>
      </c>
      <c r="G776" s="120" t="s">
        <v>2033</v>
      </c>
      <c r="H776" s="120">
        <f t="shared" si="24"/>
        <v>0</v>
      </c>
      <c r="I776" s="120">
        <f>DGKC!G44</f>
        <v>0</v>
      </c>
      <c r="J776" s="120">
        <f t="shared" si="25"/>
        <v>0</v>
      </c>
      <c r="K776" s="119" t="s">
        <v>2043</v>
      </c>
      <c r="L776" s="119">
        <v>153</v>
      </c>
      <c r="M776" s="119" t="s">
        <v>1106</v>
      </c>
      <c r="N776" s="122" t="s">
        <v>3578</v>
      </c>
      <c r="O776" s="122" t="s">
        <v>3579</v>
      </c>
      <c r="P776" s="122" t="s">
        <v>4307</v>
      </c>
    </row>
    <row r="777" spans="1:16" ht="82.05" customHeight="1" x14ac:dyDescent="0.3">
      <c r="A777" s="50" t="s">
        <v>2162</v>
      </c>
      <c r="B777" s="50" t="s">
        <v>86</v>
      </c>
      <c r="C777" s="50" t="s">
        <v>29</v>
      </c>
      <c r="D777" s="50" t="s">
        <v>289</v>
      </c>
      <c r="E777" s="121">
        <v>0</v>
      </c>
      <c r="F777" s="121">
        <v>0</v>
      </c>
      <c r="G777" s="121" t="s">
        <v>2033</v>
      </c>
      <c r="H777" s="121">
        <f t="shared" si="24"/>
        <v>0</v>
      </c>
      <c r="I777" s="121">
        <f>DGKC!H44</f>
        <v>0</v>
      </c>
      <c r="J777" s="121">
        <f t="shared" si="25"/>
        <v>0</v>
      </c>
      <c r="K777" s="50" t="s">
        <v>2043</v>
      </c>
      <c r="L777" s="50">
        <v>153</v>
      </c>
      <c r="M777" s="50" t="s">
        <v>1127</v>
      </c>
      <c r="N777" s="68" t="s">
        <v>3578</v>
      </c>
      <c r="O777" s="68" t="s">
        <v>3579</v>
      </c>
      <c r="P777" s="68" t="s">
        <v>4307</v>
      </c>
    </row>
    <row r="778" spans="1:16" ht="82.05" customHeight="1" x14ac:dyDescent="0.3">
      <c r="A778" s="119" t="s">
        <v>2163</v>
      </c>
      <c r="B778" s="119" t="s">
        <v>86</v>
      </c>
      <c r="C778" s="119" t="s">
        <v>965</v>
      </c>
      <c r="D778" s="119" t="s">
        <v>291</v>
      </c>
      <c r="E778" s="120">
        <v>0</v>
      </c>
      <c r="F778" s="120">
        <v>0</v>
      </c>
      <c r="G778" s="120" t="s">
        <v>2033</v>
      </c>
      <c r="H778" s="120">
        <f t="shared" si="24"/>
        <v>0</v>
      </c>
      <c r="I778" s="120">
        <f>DGKC!C45</f>
        <v>0</v>
      </c>
      <c r="J778" s="120">
        <f t="shared" si="25"/>
        <v>0</v>
      </c>
      <c r="K778" s="119" t="s">
        <v>2031</v>
      </c>
      <c r="L778" s="119">
        <v>105</v>
      </c>
      <c r="M778" s="119" t="s">
        <v>1106</v>
      </c>
      <c r="N778" s="122" t="s">
        <v>3578</v>
      </c>
      <c r="O778" s="122" t="s">
        <v>3579</v>
      </c>
      <c r="P778" s="122" t="s">
        <v>4308</v>
      </c>
    </row>
    <row r="779" spans="1:16" ht="82.05" customHeight="1" x14ac:dyDescent="0.3">
      <c r="A779" s="50" t="s">
        <v>2165</v>
      </c>
      <c r="B779" s="50" t="s">
        <v>86</v>
      </c>
      <c r="C779" s="50" t="s">
        <v>20</v>
      </c>
      <c r="D779" s="50" t="s">
        <v>291</v>
      </c>
      <c r="E779" s="121">
        <v>664504</v>
      </c>
      <c r="F779" s="121">
        <v>664504</v>
      </c>
      <c r="G779" s="121" t="s">
        <v>2033</v>
      </c>
      <c r="H779" s="121">
        <f t="shared" si="24"/>
        <v>664.50400000000002</v>
      </c>
      <c r="I779" s="121">
        <f>DGKC!D45</f>
        <v>664.50400000000002</v>
      </c>
      <c r="J779" s="121">
        <f t="shared" si="25"/>
        <v>0</v>
      </c>
      <c r="K779" s="50" t="s">
        <v>2035</v>
      </c>
      <c r="L779" s="50">
        <v>125</v>
      </c>
      <c r="M779" s="50" t="s">
        <v>1106</v>
      </c>
      <c r="N779" s="68" t="s">
        <v>3564</v>
      </c>
      <c r="O779" s="68" t="s">
        <v>3565</v>
      </c>
      <c r="P779" s="68" t="s">
        <v>4309</v>
      </c>
    </row>
    <row r="780" spans="1:16" ht="82.05" customHeight="1" x14ac:dyDescent="0.3">
      <c r="A780" s="119" t="s">
        <v>2166</v>
      </c>
      <c r="B780" s="119" t="s">
        <v>86</v>
      </c>
      <c r="C780" s="119" t="s">
        <v>26</v>
      </c>
      <c r="D780" s="119" t="s">
        <v>291</v>
      </c>
      <c r="E780" s="120">
        <v>450684</v>
      </c>
      <c r="F780" s="120">
        <v>450684</v>
      </c>
      <c r="G780" s="120" t="s">
        <v>2033</v>
      </c>
      <c r="H780" s="120">
        <f t="shared" si="24"/>
        <v>450.68400000000003</v>
      </c>
      <c r="I780" s="120">
        <f>DGKC!E45</f>
        <v>450.68400000000003</v>
      </c>
      <c r="J780" s="120">
        <f t="shared" si="25"/>
        <v>0</v>
      </c>
      <c r="K780" s="119" t="s">
        <v>2038</v>
      </c>
      <c r="L780" s="119">
        <v>151</v>
      </c>
      <c r="M780" s="119" t="s">
        <v>1106</v>
      </c>
      <c r="N780" s="122" t="s">
        <v>3564</v>
      </c>
      <c r="O780" s="122" t="s">
        <v>3565</v>
      </c>
      <c r="P780" s="122" t="s">
        <v>4310</v>
      </c>
    </row>
    <row r="781" spans="1:16" ht="82.05" customHeight="1" x14ac:dyDescent="0.3">
      <c r="A781" s="50" t="s">
        <v>2167</v>
      </c>
      <c r="B781" s="50" t="s">
        <v>86</v>
      </c>
      <c r="C781" s="50" t="s">
        <v>27</v>
      </c>
      <c r="D781" s="50" t="s">
        <v>291</v>
      </c>
      <c r="E781" s="121">
        <v>278753</v>
      </c>
      <c r="F781" s="121">
        <v>278753</v>
      </c>
      <c r="G781" s="121" t="s">
        <v>2033</v>
      </c>
      <c r="H781" s="121">
        <f t="shared" si="24"/>
        <v>278.75299999999999</v>
      </c>
      <c r="I781" s="121">
        <f>DGKC!F45</f>
        <v>278.75299999999999</v>
      </c>
      <c r="J781" s="121">
        <f t="shared" si="25"/>
        <v>0</v>
      </c>
      <c r="K781" s="50" t="s">
        <v>2041</v>
      </c>
      <c r="L781" s="50">
        <v>151</v>
      </c>
      <c r="M781" s="50" t="s">
        <v>1106</v>
      </c>
      <c r="N781" s="68" t="s">
        <v>3564</v>
      </c>
      <c r="O781" s="68" t="s">
        <v>3565</v>
      </c>
      <c r="P781" s="68" t="s">
        <v>4311</v>
      </c>
    </row>
    <row r="782" spans="1:16" ht="82.05" customHeight="1" x14ac:dyDescent="0.3">
      <c r="A782" s="119" t="s">
        <v>2168</v>
      </c>
      <c r="B782" s="119" t="s">
        <v>86</v>
      </c>
      <c r="C782" s="119" t="s">
        <v>28</v>
      </c>
      <c r="D782" s="119" t="s">
        <v>291</v>
      </c>
      <c r="E782" s="120">
        <v>154614</v>
      </c>
      <c r="F782" s="120">
        <v>154614</v>
      </c>
      <c r="G782" s="120" t="s">
        <v>2033</v>
      </c>
      <c r="H782" s="120">
        <f t="shared" si="24"/>
        <v>154.614</v>
      </c>
      <c r="I782" s="120">
        <f>DGKC!G45</f>
        <v>154.614</v>
      </c>
      <c r="J782" s="120">
        <f t="shared" si="25"/>
        <v>0</v>
      </c>
      <c r="K782" s="119" t="s">
        <v>2043</v>
      </c>
      <c r="L782" s="119">
        <v>153</v>
      </c>
      <c r="M782" s="119" t="s">
        <v>1106</v>
      </c>
      <c r="N782" s="122" t="s">
        <v>3564</v>
      </c>
      <c r="O782" s="122" t="s">
        <v>3565</v>
      </c>
      <c r="P782" s="122" t="s">
        <v>4312</v>
      </c>
    </row>
    <row r="783" spans="1:16" ht="82.05" customHeight="1" x14ac:dyDescent="0.3">
      <c r="A783" s="50" t="s">
        <v>2169</v>
      </c>
      <c r="B783" s="50" t="s">
        <v>86</v>
      </c>
      <c r="C783" s="50" t="s">
        <v>29</v>
      </c>
      <c r="D783" s="50" t="s">
        <v>291</v>
      </c>
      <c r="E783" s="121">
        <v>70135</v>
      </c>
      <c r="F783" s="121">
        <v>70135</v>
      </c>
      <c r="G783" s="121" t="s">
        <v>2033</v>
      </c>
      <c r="H783" s="121">
        <f t="shared" si="24"/>
        <v>70.135000000000005</v>
      </c>
      <c r="I783" s="121">
        <f>DGKC!H45</f>
        <v>70.135000000000005</v>
      </c>
      <c r="J783" s="121">
        <f t="shared" si="25"/>
        <v>0</v>
      </c>
      <c r="K783" s="50" t="s">
        <v>2043</v>
      </c>
      <c r="L783" s="50">
        <v>153</v>
      </c>
      <c r="M783" s="50" t="s">
        <v>1127</v>
      </c>
      <c r="N783" s="68" t="s">
        <v>3564</v>
      </c>
      <c r="O783" s="68" t="s">
        <v>3565</v>
      </c>
      <c r="P783" s="68" t="s">
        <v>4313</v>
      </c>
    </row>
    <row r="784" spans="1:16" ht="82.05" customHeight="1" x14ac:dyDescent="0.3">
      <c r="A784" s="119" t="s">
        <v>2170</v>
      </c>
      <c r="B784" s="119" t="s">
        <v>86</v>
      </c>
      <c r="C784" s="119" t="s">
        <v>965</v>
      </c>
      <c r="D784" s="119" t="s">
        <v>293</v>
      </c>
      <c r="E784" s="120">
        <v>2535349</v>
      </c>
      <c r="F784" s="120">
        <v>2535349</v>
      </c>
      <c r="G784" s="120" t="s">
        <v>2033</v>
      </c>
      <c r="H784" s="120">
        <f t="shared" ref="H784:H847" si="26">F784/1000</f>
        <v>2535.3490000000002</v>
      </c>
      <c r="I784" s="120">
        <f>DGKC!C46</f>
        <v>2535.3490000000002</v>
      </c>
      <c r="J784" s="120">
        <f t="shared" ref="J784:J847" si="27">H784-I784</f>
        <v>0</v>
      </c>
      <c r="K784" s="119" t="s">
        <v>2031</v>
      </c>
      <c r="L784" s="119">
        <v>105</v>
      </c>
      <c r="M784" s="119" t="s">
        <v>1106</v>
      </c>
      <c r="N784" s="122" t="s">
        <v>3564</v>
      </c>
      <c r="O784" s="122" t="s">
        <v>3565</v>
      </c>
      <c r="P784" s="122" t="s">
        <v>4314</v>
      </c>
    </row>
    <row r="785" spans="1:16" ht="82.05" customHeight="1" x14ac:dyDescent="0.3">
      <c r="A785" s="50" t="s">
        <v>2172</v>
      </c>
      <c r="B785" s="50" t="s">
        <v>86</v>
      </c>
      <c r="C785" s="50" t="s">
        <v>20</v>
      </c>
      <c r="D785" s="50" t="s">
        <v>293</v>
      </c>
      <c r="E785" s="121">
        <v>3378941</v>
      </c>
      <c r="F785" s="121">
        <v>3378941</v>
      </c>
      <c r="G785" s="121" t="s">
        <v>2033</v>
      </c>
      <c r="H785" s="121">
        <f t="shared" si="26"/>
        <v>3378.9409999999998</v>
      </c>
      <c r="I785" s="121">
        <f>DGKC!D46</f>
        <v>3378.9409999999998</v>
      </c>
      <c r="J785" s="121">
        <f t="shared" si="27"/>
        <v>0</v>
      </c>
      <c r="K785" s="50" t="s">
        <v>2035</v>
      </c>
      <c r="L785" s="50">
        <v>125</v>
      </c>
      <c r="M785" s="50" t="s">
        <v>1106</v>
      </c>
      <c r="N785" s="68" t="s">
        <v>3564</v>
      </c>
      <c r="O785" s="68" t="s">
        <v>3565</v>
      </c>
      <c r="P785" s="68" t="s">
        <v>4315</v>
      </c>
    </row>
    <row r="786" spans="1:16" ht="82.05" customHeight="1" x14ac:dyDescent="0.3">
      <c r="A786" s="119" t="s">
        <v>2173</v>
      </c>
      <c r="B786" s="119" t="s">
        <v>86</v>
      </c>
      <c r="C786" s="119" t="s">
        <v>26</v>
      </c>
      <c r="D786" s="119" t="s">
        <v>293</v>
      </c>
      <c r="E786" s="120">
        <v>4942150</v>
      </c>
      <c r="F786" s="120">
        <v>4942150</v>
      </c>
      <c r="G786" s="120" t="s">
        <v>2033</v>
      </c>
      <c r="H786" s="120">
        <f t="shared" si="26"/>
        <v>4942.1499999999996</v>
      </c>
      <c r="I786" s="120">
        <f>DGKC!E46</f>
        <v>4942.1499999999996</v>
      </c>
      <c r="J786" s="120">
        <f t="shared" si="27"/>
        <v>0</v>
      </c>
      <c r="K786" s="119" t="s">
        <v>2038</v>
      </c>
      <c r="L786" s="119">
        <v>151</v>
      </c>
      <c r="M786" s="119" t="s">
        <v>1106</v>
      </c>
      <c r="N786" s="122" t="s">
        <v>3564</v>
      </c>
      <c r="O786" s="122" t="s">
        <v>3565</v>
      </c>
      <c r="P786" s="122" t="s">
        <v>4316</v>
      </c>
    </row>
    <row r="787" spans="1:16" ht="82.05" customHeight="1" x14ac:dyDescent="0.3">
      <c r="A787" s="50" t="s">
        <v>2174</v>
      </c>
      <c r="B787" s="50" t="s">
        <v>86</v>
      </c>
      <c r="C787" s="50" t="s">
        <v>27</v>
      </c>
      <c r="D787" s="50" t="s">
        <v>293</v>
      </c>
      <c r="E787" s="121">
        <v>10613603</v>
      </c>
      <c r="F787" s="121">
        <v>10613603</v>
      </c>
      <c r="G787" s="121" t="s">
        <v>2033</v>
      </c>
      <c r="H787" s="121">
        <f t="shared" si="26"/>
        <v>10613.602999999999</v>
      </c>
      <c r="I787" s="121">
        <f>DGKC!F46</f>
        <v>10613.602999999999</v>
      </c>
      <c r="J787" s="121">
        <f t="shared" si="27"/>
        <v>0</v>
      </c>
      <c r="K787" s="50" t="s">
        <v>2041</v>
      </c>
      <c r="L787" s="50">
        <v>151</v>
      </c>
      <c r="M787" s="50" t="s">
        <v>1106</v>
      </c>
      <c r="N787" s="68" t="s">
        <v>3564</v>
      </c>
      <c r="O787" s="68" t="s">
        <v>3565</v>
      </c>
      <c r="P787" s="68" t="s">
        <v>4317</v>
      </c>
    </row>
    <row r="788" spans="1:16" ht="82.05" customHeight="1" x14ac:dyDescent="0.3">
      <c r="A788" s="119" t="s">
        <v>2175</v>
      </c>
      <c r="B788" s="119" t="s">
        <v>86</v>
      </c>
      <c r="C788" s="119" t="s">
        <v>28</v>
      </c>
      <c r="D788" s="119" t="s">
        <v>293</v>
      </c>
      <c r="E788" s="120">
        <v>12675472</v>
      </c>
      <c r="F788" s="120">
        <v>12675472</v>
      </c>
      <c r="G788" s="120" t="s">
        <v>2033</v>
      </c>
      <c r="H788" s="120">
        <f t="shared" si="26"/>
        <v>12675.472</v>
      </c>
      <c r="I788" s="120">
        <f>DGKC!G46</f>
        <v>12675.472</v>
      </c>
      <c r="J788" s="120">
        <f t="shared" si="27"/>
        <v>0</v>
      </c>
      <c r="K788" s="119" t="s">
        <v>2043</v>
      </c>
      <c r="L788" s="119">
        <v>153</v>
      </c>
      <c r="M788" s="119" t="s">
        <v>1106</v>
      </c>
      <c r="N788" s="122" t="s">
        <v>3564</v>
      </c>
      <c r="O788" s="122" t="s">
        <v>3565</v>
      </c>
      <c r="P788" s="122" t="s">
        <v>4318</v>
      </c>
    </row>
    <row r="789" spans="1:16" ht="82.05" customHeight="1" x14ac:dyDescent="0.3">
      <c r="A789" s="50" t="s">
        <v>2176</v>
      </c>
      <c r="B789" s="50" t="s">
        <v>86</v>
      </c>
      <c r="C789" s="50" t="s">
        <v>29</v>
      </c>
      <c r="D789" s="50" t="s">
        <v>293</v>
      </c>
      <c r="E789" s="121">
        <v>13286942</v>
      </c>
      <c r="F789" s="121">
        <v>13286942</v>
      </c>
      <c r="G789" s="121" t="s">
        <v>2033</v>
      </c>
      <c r="H789" s="121">
        <f t="shared" si="26"/>
        <v>13286.941999999999</v>
      </c>
      <c r="I789" s="121">
        <f>DGKC!H46</f>
        <v>13286.941999999999</v>
      </c>
      <c r="J789" s="121">
        <f t="shared" si="27"/>
        <v>0</v>
      </c>
      <c r="K789" s="50" t="s">
        <v>2043</v>
      </c>
      <c r="L789" s="50">
        <v>153</v>
      </c>
      <c r="M789" s="50" t="s">
        <v>1127</v>
      </c>
      <c r="N789" s="68" t="s">
        <v>3564</v>
      </c>
      <c r="O789" s="68" t="s">
        <v>3565</v>
      </c>
      <c r="P789" s="68" t="s">
        <v>4319</v>
      </c>
    </row>
    <row r="790" spans="1:16" ht="82.05" customHeight="1" x14ac:dyDescent="0.3">
      <c r="A790" s="119" t="s">
        <v>2177</v>
      </c>
      <c r="B790" s="119" t="s">
        <v>86</v>
      </c>
      <c r="C790" s="119" t="s">
        <v>965</v>
      </c>
      <c r="D790" s="119" t="s">
        <v>295</v>
      </c>
      <c r="E790" s="120">
        <v>775771</v>
      </c>
      <c r="F790" s="120">
        <v>775771</v>
      </c>
      <c r="G790" s="120" t="s">
        <v>2033</v>
      </c>
      <c r="H790" s="120">
        <f t="shared" si="26"/>
        <v>775.77099999999996</v>
      </c>
      <c r="I790" s="120">
        <f>DGKC!C47</f>
        <v>775.77099999999996</v>
      </c>
      <c r="J790" s="120">
        <f t="shared" si="27"/>
        <v>0</v>
      </c>
      <c r="K790" s="119" t="s">
        <v>2031</v>
      </c>
      <c r="L790" s="119">
        <v>105</v>
      </c>
      <c r="M790" s="119" t="s">
        <v>1106</v>
      </c>
      <c r="N790" s="122" t="s">
        <v>3602</v>
      </c>
      <c r="O790" s="122" t="s">
        <v>3603</v>
      </c>
      <c r="P790" s="122" t="s">
        <v>4320</v>
      </c>
    </row>
    <row r="791" spans="1:16" ht="82.05" customHeight="1" x14ac:dyDescent="0.3">
      <c r="A791" s="50" t="s">
        <v>2179</v>
      </c>
      <c r="B791" s="50" t="s">
        <v>86</v>
      </c>
      <c r="C791" s="50" t="s">
        <v>20</v>
      </c>
      <c r="D791" s="50" t="s">
        <v>295</v>
      </c>
      <c r="E791" s="121">
        <v>777795</v>
      </c>
      <c r="F791" s="121">
        <v>777795</v>
      </c>
      <c r="G791" s="121" t="s">
        <v>2033</v>
      </c>
      <c r="H791" s="121">
        <f t="shared" si="26"/>
        <v>777.79499999999996</v>
      </c>
      <c r="I791" s="121">
        <f>DGKC!D47</f>
        <v>777.79499999999996</v>
      </c>
      <c r="J791" s="121">
        <f t="shared" si="27"/>
        <v>0</v>
      </c>
      <c r="K791" s="50" t="s">
        <v>2035</v>
      </c>
      <c r="L791" s="50">
        <v>125</v>
      </c>
      <c r="M791" s="50" t="s">
        <v>1106</v>
      </c>
      <c r="N791" s="68" t="s">
        <v>3602</v>
      </c>
      <c r="O791" s="68" t="s">
        <v>3603</v>
      </c>
      <c r="P791" s="68" t="s">
        <v>4321</v>
      </c>
    </row>
    <row r="792" spans="1:16" ht="82.05" customHeight="1" x14ac:dyDescent="0.3">
      <c r="A792" s="119" t="s">
        <v>2181</v>
      </c>
      <c r="B792" s="119" t="s">
        <v>86</v>
      </c>
      <c r="C792" s="119" t="s">
        <v>26</v>
      </c>
      <c r="D792" s="119" t="s">
        <v>295</v>
      </c>
      <c r="E792" s="120">
        <v>993817</v>
      </c>
      <c r="F792" s="120">
        <v>993817</v>
      </c>
      <c r="G792" s="120" t="s">
        <v>2033</v>
      </c>
      <c r="H792" s="120">
        <f t="shared" si="26"/>
        <v>993.81700000000001</v>
      </c>
      <c r="I792" s="120">
        <f>DGKC!E47</f>
        <v>993.81700000000001</v>
      </c>
      <c r="J792" s="120">
        <f t="shared" si="27"/>
        <v>0</v>
      </c>
      <c r="K792" s="119" t="s">
        <v>2038</v>
      </c>
      <c r="L792" s="119">
        <v>151</v>
      </c>
      <c r="M792" s="119" t="s">
        <v>1106</v>
      </c>
      <c r="N792" s="122" t="s">
        <v>3602</v>
      </c>
      <c r="O792" s="122" t="s">
        <v>3603</v>
      </c>
      <c r="P792" s="122" t="s">
        <v>4322</v>
      </c>
    </row>
    <row r="793" spans="1:16" ht="82.05" customHeight="1" x14ac:dyDescent="0.3">
      <c r="A793" s="50" t="s">
        <v>2182</v>
      </c>
      <c r="B793" s="50" t="s">
        <v>86</v>
      </c>
      <c r="C793" s="50" t="s">
        <v>27</v>
      </c>
      <c r="D793" s="50" t="s">
        <v>295</v>
      </c>
      <c r="E793" s="121">
        <v>1289212</v>
      </c>
      <c r="F793" s="121">
        <v>1289212</v>
      </c>
      <c r="G793" s="121" t="s">
        <v>2033</v>
      </c>
      <c r="H793" s="121">
        <f t="shared" si="26"/>
        <v>1289.212</v>
      </c>
      <c r="I793" s="121">
        <f>DGKC!F47</f>
        <v>1289.212</v>
      </c>
      <c r="J793" s="121">
        <f t="shared" si="27"/>
        <v>0</v>
      </c>
      <c r="K793" s="50" t="s">
        <v>2041</v>
      </c>
      <c r="L793" s="50">
        <v>151</v>
      </c>
      <c r="M793" s="50" t="s">
        <v>1106</v>
      </c>
      <c r="N793" s="68" t="s">
        <v>3602</v>
      </c>
      <c r="O793" s="68" t="s">
        <v>3603</v>
      </c>
      <c r="P793" s="68" t="s">
        <v>4323</v>
      </c>
    </row>
    <row r="794" spans="1:16" ht="82.05" customHeight="1" x14ac:dyDescent="0.3">
      <c r="A794" s="119" t="s">
        <v>2183</v>
      </c>
      <c r="B794" s="119" t="s">
        <v>86</v>
      </c>
      <c r="C794" s="119" t="s">
        <v>28</v>
      </c>
      <c r="D794" s="119" t="s">
        <v>295</v>
      </c>
      <c r="E794" s="120">
        <v>1517297</v>
      </c>
      <c r="F794" s="120">
        <v>1517297</v>
      </c>
      <c r="G794" s="120" t="s">
        <v>2033</v>
      </c>
      <c r="H794" s="120">
        <f t="shared" si="26"/>
        <v>1517.297</v>
      </c>
      <c r="I794" s="120">
        <f>DGKC!G47</f>
        <v>1517.297</v>
      </c>
      <c r="J794" s="120">
        <f t="shared" si="27"/>
        <v>0</v>
      </c>
      <c r="K794" s="119" t="s">
        <v>2043</v>
      </c>
      <c r="L794" s="119">
        <v>153</v>
      </c>
      <c r="M794" s="119" t="s">
        <v>1106</v>
      </c>
      <c r="N794" s="122" t="s">
        <v>3602</v>
      </c>
      <c r="O794" s="122" t="s">
        <v>3603</v>
      </c>
      <c r="P794" s="122" t="s">
        <v>4324</v>
      </c>
    </row>
    <row r="795" spans="1:16" ht="82.05" customHeight="1" x14ac:dyDescent="0.3">
      <c r="A795" s="50" t="s">
        <v>2184</v>
      </c>
      <c r="B795" s="50" t="s">
        <v>86</v>
      </c>
      <c r="C795" s="50" t="s">
        <v>29</v>
      </c>
      <c r="D795" s="50" t="s">
        <v>295</v>
      </c>
      <c r="E795" s="121">
        <v>1894931</v>
      </c>
      <c r="F795" s="121">
        <v>1894931</v>
      </c>
      <c r="G795" s="121" t="s">
        <v>2033</v>
      </c>
      <c r="H795" s="121">
        <f t="shared" si="26"/>
        <v>1894.931</v>
      </c>
      <c r="I795" s="121">
        <f>DGKC!H47</f>
        <v>1894.931</v>
      </c>
      <c r="J795" s="121">
        <f t="shared" si="27"/>
        <v>0</v>
      </c>
      <c r="K795" s="50" t="s">
        <v>2043</v>
      </c>
      <c r="L795" s="50">
        <v>153</v>
      </c>
      <c r="M795" s="50" t="s">
        <v>1127</v>
      </c>
      <c r="N795" s="68" t="s">
        <v>3602</v>
      </c>
      <c r="O795" s="68" t="s">
        <v>3603</v>
      </c>
      <c r="P795" s="68" t="s">
        <v>4324</v>
      </c>
    </row>
    <row r="796" spans="1:16" ht="82.05" customHeight="1" x14ac:dyDescent="0.3">
      <c r="A796" s="119" t="s">
        <v>2185</v>
      </c>
      <c r="B796" s="119" t="s">
        <v>86</v>
      </c>
      <c r="C796" s="119" t="s">
        <v>965</v>
      </c>
      <c r="D796" s="119" t="s">
        <v>300</v>
      </c>
      <c r="E796" s="120">
        <v>11298187</v>
      </c>
      <c r="F796" s="120">
        <v>11298187</v>
      </c>
      <c r="G796" s="120" t="s">
        <v>2033</v>
      </c>
      <c r="H796" s="120">
        <f t="shared" si="26"/>
        <v>11298.187</v>
      </c>
      <c r="I796" s="120">
        <f>DGKC!C50</f>
        <v>11298.187</v>
      </c>
      <c r="J796" s="120">
        <f t="shared" si="27"/>
        <v>0</v>
      </c>
      <c r="K796" s="119" t="s">
        <v>2031</v>
      </c>
      <c r="L796" s="119">
        <v>105</v>
      </c>
      <c r="M796" s="119" t="s">
        <v>1106</v>
      </c>
      <c r="N796" s="122" t="s">
        <v>3564</v>
      </c>
      <c r="O796" s="122" t="s">
        <v>3565</v>
      </c>
      <c r="P796" s="122" t="s">
        <v>4325</v>
      </c>
    </row>
    <row r="797" spans="1:16" ht="82.05" customHeight="1" x14ac:dyDescent="0.3">
      <c r="A797" s="50" t="s">
        <v>2186</v>
      </c>
      <c r="B797" s="50" t="s">
        <v>86</v>
      </c>
      <c r="C797" s="50" t="s">
        <v>20</v>
      </c>
      <c r="D797" s="50" t="s">
        <v>300</v>
      </c>
      <c r="E797" s="121">
        <v>14923151</v>
      </c>
      <c r="F797" s="121">
        <v>14923151</v>
      </c>
      <c r="G797" s="121" t="s">
        <v>2033</v>
      </c>
      <c r="H797" s="121">
        <f t="shared" si="26"/>
        <v>14923.151</v>
      </c>
      <c r="I797" s="121">
        <f>DGKC!D50</f>
        <v>14923.151</v>
      </c>
      <c r="J797" s="121">
        <f t="shared" si="27"/>
        <v>0</v>
      </c>
      <c r="K797" s="50" t="s">
        <v>2035</v>
      </c>
      <c r="L797" s="50">
        <v>125</v>
      </c>
      <c r="M797" s="50" t="s">
        <v>1106</v>
      </c>
      <c r="N797" s="68" t="s">
        <v>3564</v>
      </c>
      <c r="O797" s="68" t="s">
        <v>3565</v>
      </c>
      <c r="P797" s="68" t="s">
        <v>4326</v>
      </c>
    </row>
    <row r="798" spans="1:16" ht="82.05" customHeight="1" x14ac:dyDescent="0.3">
      <c r="A798" s="119" t="s">
        <v>2187</v>
      </c>
      <c r="B798" s="119" t="s">
        <v>86</v>
      </c>
      <c r="C798" s="119" t="s">
        <v>26</v>
      </c>
      <c r="D798" s="119" t="s">
        <v>300</v>
      </c>
      <c r="E798" s="120">
        <v>12591709</v>
      </c>
      <c r="F798" s="120">
        <v>12591709</v>
      </c>
      <c r="G798" s="120" t="s">
        <v>2033</v>
      </c>
      <c r="H798" s="120">
        <f t="shared" si="26"/>
        <v>12591.709000000001</v>
      </c>
      <c r="I798" s="120">
        <f>DGKC!E50</f>
        <v>12591.709000000001</v>
      </c>
      <c r="J798" s="120">
        <f t="shared" si="27"/>
        <v>0</v>
      </c>
      <c r="K798" s="119" t="s">
        <v>2038</v>
      </c>
      <c r="L798" s="119">
        <v>151</v>
      </c>
      <c r="M798" s="119" t="s">
        <v>1106</v>
      </c>
      <c r="N798" s="122" t="s">
        <v>3564</v>
      </c>
      <c r="O798" s="122" t="s">
        <v>3565</v>
      </c>
      <c r="P798" s="122" t="s">
        <v>4327</v>
      </c>
    </row>
    <row r="799" spans="1:16" ht="82.05" customHeight="1" x14ac:dyDescent="0.3">
      <c r="A799" s="50" t="s">
        <v>2188</v>
      </c>
      <c r="B799" s="50" t="s">
        <v>86</v>
      </c>
      <c r="C799" s="50" t="s">
        <v>27</v>
      </c>
      <c r="D799" s="50" t="s">
        <v>300</v>
      </c>
      <c r="E799" s="121">
        <v>13783299</v>
      </c>
      <c r="F799" s="121">
        <v>13783299</v>
      </c>
      <c r="G799" s="121" t="s">
        <v>2033</v>
      </c>
      <c r="H799" s="121">
        <f t="shared" si="26"/>
        <v>13783.299000000001</v>
      </c>
      <c r="I799" s="121">
        <f>DGKC!F50</f>
        <v>13783.299000000001</v>
      </c>
      <c r="J799" s="121">
        <f t="shared" si="27"/>
        <v>0</v>
      </c>
      <c r="K799" s="50" t="s">
        <v>2041</v>
      </c>
      <c r="L799" s="50">
        <v>151</v>
      </c>
      <c r="M799" s="50" t="s">
        <v>1106</v>
      </c>
      <c r="N799" s="68" t="s">
        <v>3564</v>
      </c>
      <c r="O799" s="68" t="s">
        <v>3565</v>
      </c>
      <c r="P799" s="68" t="s">
        <v>4328</v>
      </c>
    </row>
    <row r="800" spans="1:16" ht="82.05" customHeight="1" x14ac:dyDescent="0.3">
      <c r="A800" s="119" t="s">
        <v>2189</v>
      </c>
      <c r="B800" s="119" t="s">
        <v>86</v>
      </c>
      <c r="C800" s="119" t="s">
        <v>28</v>
      </c>
      <c r="D800" s="119" t="s">
        <v>300</v>
      </c>
      <c r="E800" s="120">
        <v>12394455</v>
      </c>
      <c r="F800" s="120">
        <v>12394455</v>
      </c>
      <c r="G800" s="120" t="s">
        <v>2033</v>
      </c>
      <c r="H800" s="120">
        <f t="shared" si="26"/>
        <v>12394.455</v>
      </c>
      <c r="I800" s="120">
        <f>DGKC!G50</f>
        <v>12394.455</v>
      </c>
      <c r="J800" s="120">
        <f t="shared" si="27"/>
        <v>0</v>
      </c>
      <c r="K800" s="119" t="s">
        <v>2043</v>
      </c>
      <c r="L800" s="119">
        <v>153</v>
      </c>
      <c r="M800" s="119" t="s">
        <v>1106</v>
      </c>
      <c r="N800" s="122" t="s">
        <v>3564</v>
      </c>
      <c r="O800" s="122" t="s">
        <v>3565</v>
      </c>
      <c r="P800" s="122" t="s">
        <v>4329</v>
      </c>
    </row>
    <row r="801" spans="1:16" ht="82.05" customHeight="1" x14ac:dyDescent="0.3">
      <c r="A801" s="50" t="s">
        <v>2190</v>
      </c>
      <c r="B801" s="50" t="s">
        <v>86</v>
      </c>
      <c r="C801" s="50" t="s">
        <v>29</v>
      </c>
      <c r="D801" s="50" t="s">
        <v>300</v>
      </c>
      <c r="E801" s="121">
        <v>13333448</v>
      </c>
      <c r="F801" s="121">
        <v>13333448</v>
      </c>
      <c r="G801" s="121" t="s">
        <v>2033</v>
      </c>
      <c r="H801" s="121">
        <f t="shared" si="26"/>
        <v>13333.448</v>
      </c>
      <c r="I801" s="121">
        <f>DGKC!H50</f>
        <v>13333.448</v>
      </c>
      <c r="J801" s="121">
        <f t="shared" si="27"/>
        <v>0</v>
      </c>
      <c r="K801" s="50" t="s">
        <v>2043</v>
      </c>
      <c r="L801" s="50">
        <v>153</v>
      </c>
      <c r="M801" s="50" t="s">
        <v>1127</v>
      </c>
      <c r="N801" s="68" t="s">
        <v>3564</v>
      </c>
      <c r="O801" s="68" t="s">
        <v>3565</v>
      </c>
      <c r="P801" s="68" t="s">
        <v>4330</v>
      </c>
    </row>
    <row r="802" spans="1:16" ht="82.05" customHeight="1" x14ac:dyDescent="0.3">
      <c r="A802" s="119" t="s">
        <v>2191</v>
      </c>
      <c r="B802" s="119" t="s">
        <v>86</v>
      </c>
      <c r="C802" s="119" t="s">
        <v>965</v>
      </c>
      <c r="D802" s="119" t="s">
        <v>1284</v>
      </c>
      <c r="E802" s="120">
        <v>4325320</v>
      </c>
      <c r="F802" s="120">
        <v>4325320</v>
      </c>
      <c r="G802" s="120" t="s">
        <v>2033</v>
      </c>
      <c r="H802" s="120">
        <f t="shared" si="26"/>
        <v>4325.32</v>
      </c>
      <c r="I802" s="120">
        <f>DGKC!C51</f>
        <v>4325.32</v>
      </c>
      <c r="J802" s="120">
        <f t="shared" si="27"/>
        <v>0</v>
      </c>
      <c r="K802" s="119" t="s">
        <v>2031</v>
      </c>
      <c r="L802" s="119">
        <v>135</v>
      </c>
      <c r="M802" s="119" t="s">
        <v>1106</v>
      </c>
      <c r="N802" s="122" t="s">
        <v>3564</v>
      </c>
      <c r="O802" s="122" t="s">
        <v>3565</v>
      </c>
      <c r="P802" s="122" t="s">
        <v>4331</v>
      </c>
    </row>
    <row r="803" spans="1:16" ht="82.05" customHeight="1" x14ac:dyDescent="0.3">
      <c r="A803" s="50" t="s">
        <v>2194</v>
      </c>
      <c r="B803" s="50" t="s">
        <v>86</v>
      </c>
      <c r="C803" s="50" t="s">
        <v>20</v>
      </c>
      <c r="D803" s="50" t="s">
        <v>1284</v>
      </c>
      <c r="E803" s="121">
        <v>7375630</v>
      </c>
      <c r="F803" s="121">
        <v>7375630</v>
      </c>
      <c r="G803" s="121" t="s">
        <v>2033</v>
      </c>
      <c r="H803" s="121">
        <f t="shared" si="26"/>
        <v>7375.63</v>
      </c>
      <c r="I803" s="121">
        <f>DGKC!D51</f>
        <v>7375.63</v>
      </c>
      <c r="J803" s="121">
        <f t="shared" si="27"/>
        <v>0</v>
      </c>
      <c r="K803" s="50" t="s">
        <v>2035</v>
      </c>
      <c r="L803" s="50">
        <v>155</v>
      </c>
      <c r="M803" s="50" t="s">
        <v>1106</v>
      </c>
      <c r="N803" s="68" t="s">
        <v>3564</v>
      </c>
      <c r="O803" s="68" t="s">
        <v>3565</v>
      </c>
      <c r="P803" s="68" t="s">
        <v>4332</v>
      </c>
    </row>
    <row r="804" spans="1:16" ht="82.05" customHeight="1" x14ac:dyDescent="0.3">
      <c r="A804" s="119" t="s">
        <v>2196</v>
      </c>
      <c r="B804" s="119" t="s">
        <v>86</v>
      </c>
      <c r="C804" s="119" t="s">
        <v>26</v>
      </c>
      <c r="D804" s="119" t="s">
        <v>1284</v>
      </c>
      <c r="E804" s="120">
        <v>3871207</v>
      </c>
      <c r="F804" s="120">
        <v>3871207</v>
      </c>
      <c r="G804" s="120" t="s">
        <v>2033</v>
      </c>
      <c r="H804" s="120">
        <f t="shared" si="26"/>
        <v>3871.2069999999999</v>
      </c>
      <c r="I804" s="120">
        <f>DGKC!E51</f>
        <v>3871.2069999999999</v>
      </c>
      <c r="J804" s="120">
        <f t="shared" si="27"/>
        <v>0</v>
      </c>
      <c r="K804" s="119" t="s">
        <v>2038</v>
      </c>
      <c r="L804" s="119">
        <v>180</v>
      </c>
      <c r="M804" s="119" t="s">
        <v>1106</v>
      </c>
      <c r="N804" s="122" t="s">
        <v>3564</v>
      </c>
      <c r="O804" s="122" t="s">
        <v>3565</v>
      </c>
      <c r="P804" s="122" t="s">
        <v>4333</v>
      </c>
    </row>
    <row r="805" spans="1:16" ht="82.05" customHeight="1" x14ac:dyDescent="0.3">
      <c r="A805" s="50" t="s">
        <v>2198</v>
      </c>
      <c r="B805" s="50" t="s">
        <v>86</v>
      </c>
      <c r="C805" s="50" t="s">
        <v>27</v>
      </c>
      <c r="D805" s="50" t="s">
        <v>1284</v>
      </c>
      <c r="E805" s="121">
        <v>6530049</v>
      </c>
      <c r="F805" s="121">
        <v>6530049</v>
      </c>
      <c r="G805" s="121" t="s">
        <v>2033</v>
      </c>
      <c r="H805" s="121">
        <f t="shared" si="26"/>
        <v>6530.049</v>
      </c>
      <c r="I805" s="121">
        <f>DGKC!F51</f>
        <v>6530.049</v>
      </c>
      <c r="J805" s="121">
        <f t="shared" si="27"/>
        <v>0</v>
      </c>
      <c r="K805" s="50" t="s">
        <v>2041</v>
      </c>
      <c r="L805" s="50">
        <v>182</v>
      </c>
      <c r="M805" s="50" t="s">
        <v>1106</v>
      </c>
      <c r="N805" s="68" t="s">
        <v>3564</v>
      </c>
      <c r="O805" s="68" t="s">
        <v>3565</v>
      </c>
      <c r="P805" s="68" t="s">
        <v>4334</v>
      </c>
    </row>
    <row r="806" spans="1:16" ht="82.05" customHeight="1" x14ac:dyDescent="0.3">
      <c r="A806" s="119" t="s">
        <v>2200</v>
      </c>
      <c r="B806" s="119" t="s">
        <v>86</v>
      </c>
      <c r="C806" s="119" t="s">
        <v>28</v>
      </c>
      <c r="D806" s="119" t="s">
        <v>1284</v>
      </c>
      <c r="E806" s="120">
        <v>5046744</v>
      </c>
      <c r="F806" s="120">
        <v>5046744</v>
      </c>
      <c r="G806" s="120" t="s">
        <v>2033</v>
      </c>
      <c r="H806" s="120">
        <f t="shared" si="26"/>
        <v>5046.7439999999997</v>
      </c>
      <c r="I806" s="120">
        <f>DGKC!G51</f>
        <v>5046.7439999999997</v>
      </c>
      <c r="J806" s="120">
        <f t="shared" si="27"/>
        <v>0</v>
      </c>
      <c r="K806" s="119" t="s">
        <v>2043</v>
      </c>
      <c r="L806" s="119">
        <v>183</v>
      </c>
      <c r="M806" s="119" t="s">
        <v>1106</v>
      </c>
      <c r="N806" s="122" t="s">
        <v>3564</v>
      </c>
      <c r="O806" s="122" t="s">
        <v>3565</v>
      </c>
      <c r="P806" s="122" t="s">
        <v>4335</v>
      </c>
    </row>
    <row r="807" spans="1:16" ht="82.05" customHeight="1" x14ac:dyDescent="0.3">
      <c r="A807" s="50" t="s">
        <v>2202</v>
      </c>
      <c r="B807" s="50" t="s">
        <v>86</v>
      </c>
      <c r="C807" s="50" t="s">
        <v>29</v>
      </c>
      <c r="D807" s="50" t="s">
        <v>1284</v>
      </c>
      <c r="E807" s="121">
        <v>3900142</v>
      </c>
      <c r="F807" s="121">
        <v>3900142</v>
      </c>
      <c r="G807" s="121" t="s">
        <v>2033</v>
      </c>
      <c r="H807" s="121">
        <f t="shared" si="26"/>
        <v>3900.1419999999998</v>
      </c>
      <c r="I807" s="121">
        <f>DGKC!H51</f>
        <v>3900.1419999999998</v>
      </c>
      <c r="J807" s="121">
        <f t="shared" si="27"/>
        <v>0</v>
      </c>
      <c r="K807" s="50" t="s">
        <v>2043</v>
      </c>
      <c r="L807" s="50">
        <v>183</v>
      </c>
      <c r="M807" s="50" t="s">
        <v>1127</v>
      </c>
      <c r="N807" s="68" t="s">
        <v>3564</v>
      </c>
      <c r="O807" s="68" t="s">
        <v>3565</v>
      </c>
      <c r="P807" s="68" t="s">
        <v>4336</v>
      </c>
    </row>
    <row r="808" spans="1:16" ht="82.05" customHeight="1" x14ac:dyDescent="0.3">
      <c r="A808" s="119" t="s">
        <v>2203</v>
      </c>
      <c r="B808" s="119" t="s">
        <v>86</v>
      </c>
      <c r="C808" s="119" t="s">
        <v>965</v>
      </c>
      <c r="D808" s="119" t="s">
        <v>304</v>
      </c>
      <c r="E808" s="120">
        <v>0</v>
      </c>
      <c r="F808" s="120">
        <v>0</v>
      </c>
      <c r="G808" s="120" t="s">
        <v>2033</v>
      </c>
      <c r="H808" s="120">
        <f t="shared" si="26"/>
        <v>0</v>
      </c>
      <c r="I808" s="120">
        <f>DGKC!C52</f>
        <v>0</v>
      </c>
      <c r="J808" s="120">
        <f t="shared" si="27"/>
        <v>0</v>
      </c>
      <c r="K808" s="119" t="s">
        <v>2031</v>
      </c>
      <c r="L808" s="119">
        <v>105</v>
      </c>
      <c r="M808" s="119" t="s">
        <v>1106</v>
      </c>
      <c r="N808" s="122" t="s">
        <v>3578</v>
      </c>
      <c r="O808" s="122" t="s">
        <v>3579</v>
      </c>
      <c r="P808" s="122" t="s">
        <v>4337</v>
      </c>
    </row>
    <row r="809" spans="1:16" ht="82.05" customHeight="1" x14ac:dyDescent="0.3">
      <c r="A809" s="50" t="s">
        <v>2204</v>
      </c>
      <c r="B809" s="50" t="s">
        <v>86</v>
      </c>
      <c r="C809" s="50" t="s">
        <v>20</v>
      </c>
      <c r="D809" s="50" t="s">
        <v>304</v>
      </c>
      <c r="E809" s="121">
        <v>0</v>
      </c>
      <c r="F809" s="121">
        <v>0</v>
      </c>
      <c r="G809" s="121" t="s">
        <v>2033</v>
      </c>
      <c r="H809" s="121">
        <f t="shared" si="26"/>
        <v>0</v>
      </c>
      <c r="I809" s="121">
        <f>DGKC!D52</f>
        <v>0</v>
      </c>
      <c r="J809" s="121">
        <f t="shared" si="27"/>
        <v>0</v>
      </c>
      <c r="K809" s="50" t="s">
        <v>2035</v>
      </c>
      <c r="L809" s="50">
        <v>125</v>
      </c>
      <c r="M809" s="50" t="s">
        <v>1106</v>
      </c>
      <c r="N809" s="68" t="s">
        <v>3578</v>
      </c>
      <c r="O809" s="68" t="s">
        <v>3579</v>
      </c>
      <c r="P809" s="68" t="s">
        <v>4338</v>
      </c>
    </row>
    <row r="810" spans="1:16" ht="82.05" customHeight="1" x14ac:dyDescent="0.3">
      <c r="A810" s="119" t="s">
        <v>2205</v>
      </c>
      <c r="B810" s="119" t="s">
        <v>86</v>
      </c>
      <c r="C810" s="119" t="s">
        <v>26</v>
      </c>
      <c r="D810" s="119" t="s">
        <v>304</v>
      </c>
      <c r="E810" s="120">
        <v>0</v>
      </c>
      <c r="F810" s="120">
        <v>0</v>
      </c>
      <c r="G810" s="120" t="s">
        <v>2033</v>
      </c>
      <c r="H810" s="120">
        <f t="shared" si="26"/>
        <v>0</v>
      </c>
      <c r="I810" s="120">
        <f>DGKC!E52</f>
        <v>0</v>
      </c>
      <c r="J810" s="120">
        <f t="shared" si="27"/>
        <v>0</v>
      </c>
      <c r="K810" s="119" t="s">
        <v>2038</v>
      </c>
      <c r="L810" s="119">
        <v>151</v>
      </c>
      <c r="M810" s="119" t="s">
        <v>1106</v>
      </c>
      <c r="N810" s="122" t="s">
        <v>3578</v>
      </c>
      <c r="O810" s="122" t="s">
        <v>3579</v>
      </c>
      <c r="P810" s="122" t="s">
        <v>4339</v>
      </c>
    </row>
    <row r="811" spans="1:16" ht="82.05" customHeight="1" x14ac:dyDescent="0.3">
      <c r="A811" s="50" t="s">
        <v>2206</v>
      </c>
      <c r="B811" s="50" t="s">
        <v>86</v>
      </c>
      <c r="C811" s="50" t="s">
        <v>27</v>
      </c>
      <c r="D811" s="50" t="s">
        <v>304</v>
      </c>
      <c r="E811" s="121">
        <v>0</v>
      </c>
      <c r="F811" s="121">
        <v>0</v>
      </c>
      <c r="G811" s="121" t="s">
        <v>2033</v>
      </c>
      <c r="H811" s="121">
        <f t="shared" si="26"/>
        <v>0</v>
      </c>
      <c r="I811" s="121">
        <f>DGKC!F52</f>
        <v>0</v>
      </c>
      <c r="J811" s="121">
        <f t="shared" si="27"/>
        <v>0</v>
      </c>
      <c r="K811" s="50" t="s">
        <v>2041</v>
      </c>
      <c r="L811" s="50">
        <v>151</v>
      </c>
      <c r="M811" s="50" t="s">
        <v>1106</v>
      </c>
      <c r="N811" s="68" t="s">
        <v>3578</v>
      </c>
      <c r="O811" s="68" t="s">
        <v>3579</v>
      </c>
      <c r="P811" s="68" t="s">
        <v>4340</v>
      </c>
    </row>
    <row r="812" spans="1:16" ht="82.05" customHeight="1" x14ac:dyDescent="0.3">
      <c r="A812" s="119" t="s">
        <v>2207</v>
      </c>
      <c r="B812" s="119" t="s">
        <v>86</v>
      </c>
      <c r="C812" s="119" t="s">
        <v>28</v>
      </c>
      <c r="D812" s="119" t="s">
        <v>304</v>
      </c>
      <c r="E812" s="120">
        <v>0</v>
      </c>
      <c r="F812" s="120">
        <v>0</v>
      </c>
      <c r="G812" s="120" t="s">
        <v>2033</v>
      </c>
      <c r="H812" s="120">
        <f t="shared" si="26"/>
        <v>0</v>
      </c>
      <c r="I812" s="120">
        <f>DGKC!G52</f>
        <v>0</v>
      </c>
      <c r="J812" s="120">
        <f t="shared" si="27"/>
        <v>0</v>
      </c>
      <c r="K812" s="119" t="s">
        <v>2043</v>
      </c>
      <c r="L812" s="119">
        <v>153</v>
      </c>
      <c r="M812" s="119" t="s">
        <v>1106</v>
      </c>
      <c r="N812" s="122" t="s">
        <v>3578</v>
      </c>
      <c r="O812" s="122" t="s">
        <v>3579</v>
      </c>
      <c r="P812" s="122" t="s">
        <v>4341</v>
      </c>
    </row>
    <row r="813" spans="1:16" ht="82.05" customHeight="1" x14ac:dyDescent="0.3">
      <c r="A813" s="50" t="s">
        <v>2208</v>
      </c>
      <c r="B813" s="50" t="s">
        <v>86</v>
      </c>
      <c r="C813" s="50" t="s">
        <v>29</v>
      </c>
      <c r="D813" s="50" t="s">
        <v>304</v>
      </c>
      <c r="E813" s="121">
        <v>0</v>
      </c>
      <c r="F813" s="121">
        <v>0</v>
      </c>
      <c r="G813" s="121" t="s">
        <v>2033</v>
      </c>
      <c r="H813" s="121">
        <f t="shared" si="26"/>
        <v>0</v>
      </c>
      <c r="I813" s="121">
        <f>DGKC!H52</f>
        <v>0</v>
      </c>
      <c r="J813" s="121">
        <f t="shared" si="27"/>
        <v>0</v>
      </c>
      <c r="K813" s="50" t="s">
        <v>2043</v>
      </c>
      <c r="L813" s="50">
        <v>153</v>
      </c>
      <c r="M813" s="50" t="s">
        <v>1127</v>
      </c>
      <c r="N813" s="68" t="s">
        <v>3578</v>
      </c>
      <c r="O813" s="68" t="s">
        <v>3579</v>
      </c>
      <c r="P813" s="68" t="s">
        <v>4341</v>
      </c>
    </row>
    <row r="814" spans="1:16" ht="82.05" customHeight="1" x14ac:dyDescent="0.3">
      <c r="A814" s="119" t="s">
        <v>2209</v>
      </c>
      <c r="B814" s="119" t="s">
        <v>86</v>
      </c>
      <c r="C814" s="119" t="s">
        <v>965</v>
      </c>
      <c r="D814" s="119" t="s">
        <v>306</v>
      </c>
      <c r="E814" s="120">
        <v>712275</v>
      </c>
      <c r="F814" s="120">
        <v>712275</v>
      </c>
      <c r="G814" s="120" t="s">
        <v>2033</v>
      </c>
      <c r="H814" s="120">
        <f t="shared" si="26"/>
        <v>712.27499999999998</v>
      </c>
      <c r="I814" s="120">
        <f>DGKC!C53</f>
        <v>712.27499999999998</v>
      </c>
      <c r="J814" s="120">
        <f t="shared" si="27"/>
        <v>0</v>
      </c>
      <c r="K814" s="119" t="s">
        <v>2031</v>
      </c>
      <c r="L814" s="119">
        <v>105</v>
      </c>
      <c r="M814" s="119" t="s">
        <v>1106</v>
      </c>
      <c r="N814" s="122" t="s">
        <v>3564</v>
      </c>
      <c r="O814" s="122" t="s">
        <v>3565</v>
      </c>
      <c r="P814" s="122" t="s">
        <v>4342</v>
      </c>
    </row>
    <row r="815" spans="1:16" ht="82.05" customHeight="1" x14ac:dyDescent="0.3">
      <c r="A815" s="50" t="s">
        <v>2210</v>
      </c>
      <c r="B815" s="50" t="s">
        <v>86</v>
      </c>
      <c r="C815" s="50" t="s">
        <v>20</v>
      </c>
      <c r="D815" s="50" t="s">
        <v>306</v>
      </c>
      <c r="E815" s="121">
        <v>507769</v>
      </c>
      <c r="F815" s="121">
        <v>507769</v>
      </c>
      <c r="G815" s="121" t="s">
        <v>2033</v>
      </c>
      <c r="H815" s="121">
        <f t="shared" si="26"/>
        <v>507.76900000000001</v>
      </c>
      <c r="I815" s="121">
        <f>DGKC!D53</f>
        <v>507.76900000000001</v>
      </c>
      <c r="J815" s="121">
        <f t="shared" si="27"/>
        <v>0</v>
      </c>
      <c r="K815" s="50" t="s">
        <v>2035</v>
      </c>
      <c r="L815" s="50">
        <v>125</v>
      </c>
      <c r="M815" s="50" t="s">
        <v>1106</v>
      </c>
      <c r="N815" s="68" t="s">
        <v>3564</v>
      </c>
      <c r="O815" s="68" t="s">
        <v>3565</v>
      </c>
      <c r="P815" s="68" t="s">
        <v>4343</v>
      </c>
    </row>
    <row r="816" spans="1:16" ht="82.05" customHeight="1" x14ac:dyDescent="0.3">
      <c r="A816" s="119" t="s">
        <v>2211</v>
      </c>
      <c r="B816" s="119" t="s">
        <v>86</v>
      </c>
      <c r="C816" s="119" t="s">
        <v>26</v>
      </c>
      <c r="D816" s="119" t="s">
        <v>306</v>
      </c>
      <c r="E816" s="120">
        <v>883229</v>
      </c>
      <c r="F816" s="120">
        <v>883229</v>
      </c>
      <c r="G816" s="120" t="s">
        <v>2033</v>
      </c>
      <c r="H816" s="120">
        <f t="shared" si="26"/>
        <v>883.22900000000004</v>
      </c>
      <c r="I816" s="120">
        <f>DGKC!E53</f>
        <v>883.22900000000004</v>
      </c>
      <c r="J816" s="120">
        <f t="shared" si="27"/>
        <v>0</v>
      </c>
      <c r="K816" s="119" t="s">
        <v>2038</v>
      </c>
      <c r="L816" s="119">
        <v>151</v>
      </c>
      <c r="M816" s="119" t="s">
        <v>1106</v>
      </c>
      <c r="N816" s="122" t="s">
        <v>3564</v>
      </c>
      <c r="O816" s="122" t="s">
        <v>3565</v>
      </c>
      <c r="P816" s="122" t="s">
        <v>4344</v>
      </c>
    </row>
    <row r="817" spans="1:16" ht="82.05" customHeight="1" x14ac:dyDescent="0.3">
      <c r="A817" s="50" t="s">
        <v>2212</v>
      </c>
      <c r="B817" s="50" t="s">
        <v>86</v>
      </c>
      <c r="C817" s="50" t="s">
        <v>27</v>
      </c>
      <c r="D817" s="50" t="s">
        <v>306</v>
      </c>
      <c r="E817" s="121">
        <v>1739547</v>
      </c>
      <c r="F817" s="121">
        <v>1739547</v>
      </c>
      <c r="G817" s="121" t="s">
        <v>2033</v>
      </c>
      <c r="H817" s="121">
        <f t="shared" si="26"/>
        <v>1739.547</v>
      </c>
      <c r="I817" s="121">
        <f>DGKC!F53</f>
        <v>1739.547</v>
      </c>
      <c r="J817" s="121">
        <f t="shared" si="27"/>
        <v>0</v>
      </c>
      <c r="K817" s="50" t="s">
        <v>2041</v>
      </c>
      <c r="L817" s="50">
        <v>151</v>
      </c>
      <c r="M817" s="50" t="s">
        <v>1106</v>
      </c>
      <c r="N817" s="68" t="s">
        <v>3564</v>
      </c>
      <c r="O817" s="68" t="s">
        <v>3565</v>
      </c>
      <c r="P817" s="68" t="s">
        <v>4345</v>
      </c>
    </row>
    <row r="818" spans="1:16" ht="82.05" customHeight="1" x14ac:dyDescent="0.3">
      <c r="A818" s="119" t="s">
        <v>2213</v>
      </c>
      <c r="B818" s="119" t="s">
        <v>86</v>
      </c>
      <c r="C818" s="119" t="s">
        <v>28</v>
      </c>
      <c r="D818" s="119" t="s">
        <v>306</v>
      </c>
      <c r="E818" s="120">
        <v>1280446</v>
      </c>
      <c r="F818" s="120">
        <v>1280446</v>
      </c>
      <c r="G818" s="120" t="s">
        <v>2033</v>
      </c>
      <c r="H818" s="120">
        <f t="shared" si="26"/>
        <v>1280.4459999999999</v>
      </c>
      <c r="I818" s="120">
        <f>DGKC!G53</f>
        <v>1280.4459999999999</v>
      </c>
      <c r="J818" s="120">
        <f t="shared" si="27"/>
        <v>0</v>
      </c>
      <c r="K818" s="119" t="s">
        <v>2043</v>
      </c>
      <c r="L818" s="119">
        <v>153</v>
      </c>
      <c r="M818" s="119" t="s">
        <v>1106</v>
      </c>
      <c r="N818" s="122" t="s">
        <v>3564</v>
      </c>
      <c r="O818" s="122" t="s">
        <v>3565</v>
      </c>
      <c r="P818" s="122" t="s">
        <v>4346</v>
      </c>
    </row>
    <row r="819" spans="1:16" ht="82.05" customHeight="1" x14ac:dyDescent="0.3">
      <c r="A819" s="50" t="s">
        <v>2214</v>
      </c>
      <c r="B819" s="50" t="s">
        <v>86</v>
      </c>
      <c r="C819" s="50" t="s">
        <v>29</v>
      </c>
      <c r="D819" s="50" t="s">
        <v>306</v>
      </c>
      <c r="E819" s="121">
        <v>229652</v>
      </c>
      <c r="F819" s="121">
        <v>229652</v>
      </c>
      <c r="G819" s="121" t="s">
        <v>2033</v>
      </c>
      <c r="H819" s="121">
        <f t="shared" si="26"/>
        <v>229.65199999999999</v>
      </c>
      <c r="I819" s="121">
        <f>DGKC!H53</f>
        <v>229.65199999999999</v>
      </c>
      <c r="J819" s="121">
        <f t="shared" si="27"/>
        <v>0</v>
      </c>
      <c r="K819" s="50" t="s">
        <v>2043</v>
      </c>
      <c r="L819" s="50">
        <v>153</v>
      </c>
      <c r="M819" s="50" t="s">
        <v>1127</v>
      </c>
      <c r="N819" s="68" t="s">
        <v>3564</v>
      </c>
      <c r="O819" s="68" t="s">
        <v>3565</v>
      </c>
      <c r="P819" s="68" t="s">
        <v>4347</v>
      </c>
    </row>
    <row r="820" spans="1:16" ht="82.05" customHeight="1" x14ac:dyDescent="0.3">
      <c r="A820" s="119" t="s">
        <v>2215</v>
      </c>
      <c r="B820" s="119" t="s">
        <v>86</v>
      </c>
      <c r="C820" s="119" t="s">
        <v>965</v>
      </c>
      <c r="D820" s="119" t="s">
        <v>308</v>
      </c>
      <c r="E820" s="120">
        <v>23495967</v>
      </c>
      <c r="F820" s="120">
        <v>23495967</v>
      </c>
      <c r="G820" s="120" t="s">
        <v>2033</v>
      </c>
      <c r="H820" s="120">
        <f t="shared" si="26"/>
        <v>23495.967000000001</v>
      </c>
      <c r="I820" s="120">
        <f>DGKC!C54</f>
        <v>23495.967000000001</v>
      </c>
      <c r="J820" s="120">
        <f t="shared" si="27"/>
        <v>0</v>
      </c>
      <c r="K820" s="119" t="s">
        <v>2031</v>
      </c>
      <c r="L820" s="119">
        <v>105</v>
      </c>
      <c r="M820" s="119" t="s">
        <v>1106</v>
      </c>
      <c r="N820" s="122" t="s">
        <v>3564</v>
      </c>
      <c r="O820" s="122" t="s">
        <v>3565</v>
      </c>
      <c r="P820" s="122" t="s">
        <v>4348</v>
      </c>
    </row>
    <row r="821" spans="1:16" ht="82.05" customHeight="1" x14ac:dyDescent="0.3">
      <c r="A821" s="50" t="s">
        <v>2216</v>
      </c>
      <c r="B821" s="50" t="s">
        <v>86</v>
      </c>
      <c r="C821" s="50" t="s">
        <v>20</v>
      </c>
      <c r="D821" s="50" t="s">
        <v>308</v>
      </c>
      <c r="E821" s="121">
        <v>18362050</v>
      </c>
      <c r="F821" s="121">
        <v>18362050</v>
      </c>
      <c r="G821" s="121" t="s">
        <v>2033</v>
      </c>
      <c r="H821" s="121">
        <f t="shared" si="26"/>
        <v>18362.05</v>
      </c>
      <c r="I821" s="121">
        <f>DGKC!D54</f>
        <v>18362.05</v>
      </c>
      <c r="J821" s="121">
        <f t="shared" si="27"/>
        <v>0</v>
      </c>
      <c r="K821" s="50" t="s">
        <v>2035</v>
      </c>
      <c r="L821" s="50">
        <v>125</v>
      </c>
      <c r="M821" s="50" t="s">
        <v>1106</v>
      </c>
      <c r="N821" s="68" t="s">
        <v>3564</v>
      </c>
      <c r="O821" s="68" t="s">
        <v>3565</v>
      </c>
      <c r="P821" s="68" t="s">
        <v>4349</v>
      </c>
    </row>
    <row r="822" spans="1:16" ht="82.05" customHeight="1" x14ac:dyDescent="0.3">
      <c r="A822" s="119" t="s">
        <v>2218</v>
      </c>
      <c r="B822" s="119" t="s">
        <v>86</v>
      </c>
      <c r="C822" s="119" t="s">
        <v>26</v>
      </c>
      <c r="D822" s="119" t="s">
        <v>308</v>
      </c>
      <c r="E822" s="120">
        <v>25210506</v>
      </c>
      <c r="F822" s="120">
        <v>25210506</v>
      </c>
      <c r="G822" s="120" t="s">
        <v>2033</v>
      </c>
      <c r="H822" s="120">
        <f t="shared" si="26"/>
        <v>25210.506000000001</v>
      </c>
      <c r="I822" s="120">
        <f>DGKC!E54</f>
        <v>25210.506000000001</v>
      </c>
      <c r="J822" s="120">
        <f t="shared" si="27"/>
        <v>0</v>
      </c>
      <c r="K822" s="119" t="s">
        <v>2038</v>
      </c>
      <c r="L822" s="119">
        <v>151</v>
      </c>
      <c r="M822" s="119" t="s">
        <v>1106</v>
      </c>
      <c r="N822" s="122" t="s">
        <v>3564</v>
      </c>
      <c r="O822" s="122" t="s">
        <v>3565</v>
      </c>
      <c r="P822" s="122" t="s">
        <v>4350</v>
      </c>
    </row>
    <row r="823" spans="1:16" ht="82.05" customHeight="1" x14ac:dyDescent="0.3">
      <c r="A823" s="50" t="s">
        <v>2219</v>
      </c>
      <c r="B823" s="50" t="s">
        <v>86</v>
      </c>
      <c r="C823" s="50" t="s">
        <v>27</v>
      </c>
      <c r="D823" s="50" t="s">
        <v>308</v>
      </c>
      <c r="E823" s="121">
        <v>25494293</v>
      </c>
      <c r="F823" s="121">
        <v>25494293</v>
      </c>
      <c r="G823" s="121" t="s">
        <v>2033</v>
      </c>
      <c r="H823" s="121">
        <f t="shared" si="26"/>
        <v>25494.293000000001</v>
      </c>
      <c r="I823" s="121">
        <f>DGKC!F54</f>
        <v>25494.293000000001</v>
      </c>
      <c r="J823" s="121">
        <f t="shared" si="27"/>
        <v>0</v>
      </c>
      <c r="K823" s="50" t="s">
        <v>2041</v>
      </c>
      <c r="L823" s="50">
        <v>151</v>
      </c>
      <c r="M823" s="50" t="s">
        <v>1106</v>
      </c>
      <c r="N823" s="68" t="s">
        <v>3564</v>
      </c>
      <c r="O823" s="68" t="s">
        <v>3565</v>
      </c>
      <c r="P823" s="68" t="s">
        <v>4351</v>
      </c>
    </row>
    <row r="824" spans="1:16" ht="82.05" customHeight="1" x14ac:dyDescent="0.3">
      <c r="A824" s="119" t="s">
        <v>2220</v>
      </c>
      <c r="B824" s="119" t="s">
        <v>86</v>
      </c>
      <c r="C824" s="119" t="s">
        <v>28</v>
      </c>
      <c r="D824" s="119" t="s">
        <v>308</v>
      </c>
      <c r="E824" s="120">
        <v>13064718</v>
      </c>
      <c r="F824" s="120">
        <v>13064718</v>
      </c>
      <c r="G824" s="120" t="s">
        <v>2033</v>
      </c>
      <c r="H824" s="120">
        <f t="shared" si="26"/>
        <v>13064.718000000001</v>
      </c>
      <c r="I824" s="120">
        <f>DGKC!G54</f>
        <v>13064.718000000001</v>
      </c>
      <c r="J824" s="120">
        <f t="shared" si="27"/>
        <v>0</v>
      </c>
      <c r="K824" s="119" t="s">
        <v>2043</v>
      </c>
      <c r="L824" s="119">
        <v>153</v>
      </c>
      <c r="M824" s="119" t="s">
        <v>1106</v>
      </c>
      <c r="N824" s="122" t="s">
        <v>3564</v>
      </c>
      <c r="O824" s="122" t="s">
        <v>3565</v>
      </c>
      <c r="P824" s="122" t="s">
        <v>4352</v>
      </c>
    </row>
    <row r="825" spans="1:16" ht="82.05" customHeight="1" x14ac:dyDescent="0.3">
      <c r="A825" s="50" t="s">
        <v>2221</v>
      </c>
      <c r="B825" s="50" t="s">
        <v>86</v>
      </c>
      <c r="C825" s="50" t="s">
        <v>29</v>
      </c>
      <c r="D825" s="50" t="s">
        <v>308</v>
      </c>
      <c r="E825" s="121">
        <v>9878499</v>
      </c>
      <c r="F825" s="121">
        <v>9878499</v>
      </c>
      <c r="G825" s="121" t="s">
        <v>2033</v>
      </c>
      <c r="H825" s="121">
        <f t="shared" si="26"/>
        <v>9878.4989999999998</v>
      </c>
      <c r="I825" s="121">
        <f>DGKC!H54</f>
        <v>9878.4989999999998</v>
      </c>
      <c r="J825" s="121">
        <f t="shared" si="27"/>
        <v>0</v>
      </c>
      <c r="K825" s="50" t="s">
        <v>2043</v>
      </c>
      <c r="L825" s="50">
        <v>153</v>
      </c>
      <c r="M825" s="50" t="s">
        <v>1127</v>
      </c>
      <c r="N825" s="68" t="s">
        <v>3564</v>
      </c>
      <c r="O825" s="68" t="s">
        <v>3565</v>
      </c>
      <c r="P825" s="68" t="s">
        <v>4353</v>
      </c>
    </row>
    <row r="826" spans="1:16" ht="82.05" customHeight="1" x14ac:dyDescent="0.3">
      <c r="A826" s="119" t="s">
        <v>2222</v>
      </c>
      <c r="B826" s="119" t="s">
        <v>86</v>
      </c>
      <c r="C826" s="119" t="s">
        <v>965</v>
      </c>
      <c r="D826" s="119" t="s">
        <v>310</v>
      </c>
      <c r="E826" s="120">
        <v>2010621</v>
      </c>
      <c r="F826" s="120">
        <v>2010621</v>
      </c>
      <c r="G826" s="120" t="s">
        <v>2033</v>
      </c>
      <c r="H826" s="120">
        <f t="shared" si="26"/>
        <v>2010.6210000000001</v>
      </c>
      <c r="I826" s="120">
        <f>DGKC!C55</f>
        <v>2010.6210000000001</v>
      </c>
      <c r="J826" s="120">
        <f t="shared" si="27"/>
        <v>0</v>
      </c>
      <c r="K826" s="119" t="s">
        <v>2031</v>
      </c>
      <c r="L826" s="119">
        <v>125</v>
      </c>
      <c r="M826" s="119" t="s">
        <v>1106</v>
      </c>
      <c r="N826" s="122" t="s">
        <v>3564</v>
      </c>
      <c r="O826" s="122" t="s">
        <v>3565</v>
      </c>
      <c r="P826" s="122" t="s">
        <v>4354</v>
      </c>
    </row>
    <row r="827" spans="1:16" ht="82.05" customHeight="1" x14ac:dyDescent="0.3">
      <c r="A827" s="50" t="s">
        <v>2226</v>
      </c>
      <c r="B827" s="50" t="s">
        <v>86</v>
      </c>
      <c r="C827" s="50" t="s">
        <v>20</v>
      </c>
      <c r="D827" s="50" t="s">
        <v>310</v>
      </c>
      <c r="E827" s="121">
        <v>6130703</v>
      </c>
      <c r="F827" s="121">
        <v>6130703</v>
      </c>
      <c r="G827" s="121" t="s">
        <v>2033</v>
      </c>
      <c r="H827" s="121">
        <f t="shared" si="26"/>
        <v>6130.7030000000004</v>
      </c>
      <c r="I827" s="121">
        <f>DGKC!D55</f>
        <v>6130.7030000000004</v>
      </c>
      <c r="J827" s="121">
        <f t="shared" si="27"/>
        <v>0</v>
      </c>
      <c r="K827" s="50" t="s">
        <v>2035</v>
      </c>
      <c r="L827" s="50">
        <v>144</v>
      </c>
      <c r="M827" s="50" t="s">
        <v>1106</v>
      </c>
      <c r="N827" s="68" t="s">
        <v>3564</v>
      </c>
      <c r="O827" s="68" t="s">
        <v>3565</v>
      </c>
      <c r="P827" s="68" t="s">
        <v>4355</v>
      </c>
    </row>
    <row r="828" spans="1:16" ht="82.05" customHeight="1" x14ac:dyDescent="0.3">
      <c r="A828" s="119" t="s">
        <v>2228</v>
      </c>
      <c r="B828" s="119" t="s">
        <v>86</v>
      </c>
      <c r="C828" s="119" t="s">
        <v>26</v>
      </c>
      <c r="D828" s="119" t="s">
        <v>310</v>
      </c>
      <c r="E828" s="120">
        <v>7097166</v>
      </c>
      <c r="F828" s="120">
        <v>7097166</v>
      </c>
      <c r="G828" s="120" t="s">
        <v>2033</v>
      </c>
      <c r="H828" s="120">
        <f t="shared" si="26"/>
        <v>7097.1660000000002</v>
      </c>
      <c r="I828" s="120">
        <f>DGKC!E55</f>
        <v>7097.1660000000002</v>
      </c>
      <c r="J828" s="120">
        <f t="shared" si="27"/>
        <v>0</v>
      </c>
      <c r="K828" s="119" t="s">
        <v>2038</v>
      </c>
      <c r="L828" s="119">
        <v>170</v>
      </c>
      <c r="M828" s="119" t="s">
        <v>1106</v>
      </c>
      <c r="N828" s="122" t="s">
        <v>3564</v>
      </c>
      <c r="O828" s="122" t="s">
        <v>3565</v>
      </c>
      <c r="P828" s="122" t="s">
        <v>4356</v>
      </c>
    </row>
    <row r="829" spans="1:16" ht="82.05" customHeight="1" x14ac:dyDescent="0.3">
      <c r="A829" s="50" t="s">
        <v>2229</v>
      </c>
      <c r="B829" s="50" t="s">
        <v>86</v>
      </c>
      <c r="C829" s="50" t="s">
        <v>27</v>
      </c>
      <c r="D829" s="50" t="s">
        <v>310</v>
      </c>
      <c r="E829" s="121">
        <v>7370364</v>
      </c>
      <c r="F829" s="121">
        <v>7370364</v>
      </c>
      <c r="G829" s="121" t="s">
        <v>2033</v>
      </c>
      <c r="H829" s="121">
        <f t="shared" si="26"/>
        <v>7370.3639999999996</v>
      </c>
      <c r="I829" s="121">
        <f>DGKC!F55</f>
        <v>7370.3639999999996</v>
      </c>
      <c r="J829" s="121">
        <f t="shared" si="27"/>
        <v>0</v>
      </c>
      <c r="K829" s="50" t="s">
        <v>2041</v>
      </c>
      <c r="L829" s="50">
        <v>172</v>
      </c>
      <c r="M829" s="50" t="s">
        <v>1106</v>
      </c>
      <c r="N829" s="68" t="s">
        <v>3564</v>
      </c>
      <c r="O829" s="68" t="s">
        <v>3565</v>
      </c>
      <c r="P829" s="68" t="s">
        <v>4357</v>
      </c>
    </row>
    <row r="830" spans="1:16" ht="82.05" customHeight="1" x14ac:dyDescent="0.3">
      <c r="A830" s="119" t="s">
        <v>2231</v>
      </c>
      <c r="B830" s="119" t="s">
        <v>86</v>
      </c>
      <c r="C830" s="119" t="s">
        <v>28</v>
      </c>
      <c r="D830" s="119" t="s">
        <v>310</v>
      </c>
      <c r="E830" s="120">
        <v>5291972</v>
      </c>
      <c r="F830" s="120">
        <v>5291972</v>
      </c>
      <c r="G830" s="120" t="s">
        <v>2033</v>
      </c>
      <c r="H830" s="120">
        <f t="shared" si="26"/>
        <v>5291.9719999999998</v>
      </c>
      <c r="I830" s="120">
        <f>DGKC!G55</f>
        <v>5291.9719999999998</v>
      </c>
      <c r="J830" s="120">
        <f t="shared" si="27"/>
        <v>0</v>
      </c>
      <c r="K830" s="119" t="s">
        <v>2043</v>
      </c>
      <c r="L830" s="119">
        <v>173</v>
      </c>
      <c r="M830" s="119" t="s">
        <v>1106</v>
      </c>
      <c r="N830" s="122" t="s">
        <v>3564</v>
      </c>
      <c r="O830" s="122" t="s">
        <v>3565</v>
      </c>
      <c r="P830" s="122" t="s">
        <v>4358</v>
      </c>
    </row>
    <row r="831" spans="1:16" ht="82.05" customHeight="1" x14ac:dyDescent="0.3">
      <c r="A831" s="50" t="s">
        <v>2233</v>
      </c>
      <c r="B831" s="50" t="s">
        <v>86</v>
      </c>
      <c r="C831" s="50" t="s">
        <v>29</v>
      </c>
      <c r="D831" s="50" t="s">
        <v>310</v>
      </c>
      <c r="E831" s="121">
        <v>1934772</v>
      </c>
      <c r="F831" s="121">
        <v>1934772</v>
      </c>
      <c r="G831" s="121" t="s">
        <v>2033</v>
      </c>
      <c r="H831" s="121">
        <f t="shared" si="26"/>
        <v>1934.7719999999999</v>
      </c>
      <c r="I831" s="121">
        <f>DGKC!H55</f>
        <v>1934.7719999999999</v>
      </c>
      <c r="J831" s="121">
        <f t="shared" si="27"/>
        <v>0</v>
      </c>
      <c r="K831" s="50" t="s">
        <v>2043</v>
      </c>
      <c r="L831" s="50">
        <v>173</v>
      </c>
      <c r="M831" s="50" t="s">
        <v>1127</v>
      </c>
      <c r="N831" s="68" t="s">
        <v>3564</v>
      </c>
      <c r="O831" s="68" t="s">
        <v>3565</v>
      </c>
      <c r="P831" s="68" t="s">
        <v>4359</v>
      </c>
    </row>
    <row r="832" spans="1:16" ht="82.05" customHeight="1" x14ac:dyDescent="0.3">
      <c r="A832" s="119" t="s">
        <v>2234</v>
      </c>
      <c r="B832" s="119" t="s">
        <v>86</v>
      </c>
      <c r="C832" s="119" t="s">
        <v>965</v>
      </c>
      <c r="D832" s="119" t="s">
        <v>312</v>
      </c>
      <c r="E832" s="120">
        <v>0</v>
      </c>
      <c r="F832" s="120">
        <v>0</v>
      </c>
      <c r="G832" s="120" t="s">
        <v>2033</v>
      </c>
      <c r="H832" s="120">
        <f t="shared" si="26"/>
        <v>0</v>
      </c>
      <c r="I832" s="120">
        <f>DGKC!C56</f>
        <v>0</v>
      </c>
      <c r="J832" s="120">
        <f t="shared" si="27"/>
        <v>0</v>
      </c>
      <c r="K832" s="119" t="s">
        <v>2031</v>
      </c>
      <c r="L832" s="119">
        <v>105</v>
      </c>
      <c r="M832" s="119" t="s">
        <v>1106</v>
      </c>
      <c r="N832" s="122" t="s">
        <v>3578</v>
      </c>
      <c r="O832" s="122" t="s">
        <v>3579</v>
      </c>
      <c r="P832" s="122" t="s">
        <v>4360</v>
      </c>
    </row>
    <row r="833" spans="1:16" ht="82.05" customHeight="1" x14ac:dyDescent="0.3">
      <c r="A833" s="50" t="s">
        <v>2235</v>
      </c>
      <c r="B833" s="50" t="s">
        <v>86</v>
      </c>
      <c r="C833" s="50" t="s">
        <v>20</v>
      </c>
      <c r="D833" s="50" t="s">
        <v>312</v>
      </c>
      <c r="E833" s="121">
        <v>0</v>
      </c>
      <c r="F833" s="121">
        <v>0</v>
      </c>
      <c r="G833" s="121" t="s">
        <v>2033</v>
      </c>
      <c r="H833" s="121">
        <f t="shared" si="26"/>
        <v>0</v>
      </c>
      <c r="I833" s="121">
        <f>DGKC!D56</f>
        <v>0</v>
      </c>
      <c r="J833" s="121">
        <f t="shared" si="27"/>
        <v>0</v>
      </c>
      <c r="K833" s="50" t="s">
        <v>2035</v>
      </c>
      <c r="L833" s="50">
        <v>125</v>
      </c>
      <c r="M833" s="50" t="s">
        <v>1106</v>
      </c>
      <c r="N833" s="68" t="s">
        <v>3578</v>
      </c>
      <c r="O833" s="68" t="s">
        <v>3579</v>
      </c>
      <c r="P833" s="68" t="s">
        <v>4361</v>
      </c>
    </row>
    <row r="834" spans="1:16" ht="82.05" customHeight="1" x14ac:dyDescent="0.3">
      <c r="A834" s="119" t="s">
        <v>2236</v>
      </c>
      <c r="B834" s="119" t="s">
        <v>86</v>
      </c>
      <c r="C834" s="119" t="s">
        <v>26</v>
      </c>
      <c r="D834" s="119" t="s">
        <v>312</v>
      </c>
      <c r="E834" s="120">
        <v>0</v>
      </c>
      <c r="F834" s="120">
        <v>0</v>
      </c>
      <c r="G834" s="120" t="s">
        <v>2033</v>
      </c>
      <c r="H834" s="120">
        <f t="shared" si="26"/>
        <v>0</v>
      </c>
      <c r="I834" s="120">
        <f>DGKC!E56</f>
        <v>0</v>
      </c>
      <c r="J834" s="120">
        <f t="shared" si="27"/>
        <v>0</v>
      </c>
      <c r="K834" s="119" t="s">
        <v>2038</v>
      </c>
      <c r="L834" s="119">
        <v>151</v>
      </c>
      <c r="M834" s="119" t="s">
        <v>1106</v>
      </c>
      <c r="N834" s="122" t="s">
        <v>3578</v>
      </c>
      <c r="O834" s="122" t="s">
        <v>3579</v>
      </c>
      <c r="P834" s="122" t="s">
        <v>4362</v>
      </c>
    </row>
    <row r="835" spans="1:16" ht="82.05" customHeight="1" x14ac:dyDescent="0.3">
      <c r="A835" s="50" t="s">
        <v>2237</v>
      </c>
      <c r="B835" s="50" t="s">
        <v>86</v>
      </c>
      <c r="C835" s="50" t="s">
        <v>27</v>
      </c>
      <c r="D835" s="50" t="s">
        <v>312</v>
      </c>
      <c r="E835" s="121">
        <v>0</v>
      </c>
      <c r="F835" s="121">
        <v>0</v>
      </c>
      <c r="G835" s="121" t="s">
        <v>2033</v>
      </c>
      <c r="H835" s="121">
        <f t="shared" si="26"/>
        <v>0</v>
      </c>
      <c r="I835" s="121">
        <f>DGKC!F56</f>
        <v>0</v>
      </c>
      <c r="J835" s="121">
        <f t="shared" si="27"/>
        <v>0</v>
      </c>
      <c r="K835" s="50" t="s">
        <v>2041</v>
      </c>
      <c r="L835" s="50">
        <v>151</v>
      </c>
      <c r="M835" s="50" t="s">
        <v>1106</v>
      </c>
      <c r="N835" s="68" t="s">
        <v>3578</v>
      </c>
      <c r="O835" s="68" t="s">
        <v>3579</v>
      </c>
      <c r="P835" s="68" t="s">
        <v>4363</v>
      </c>
    </row>
    <row r="836" spans="1:16" ht="82.05" customHeight="1" x14ac:dyDescent="0.3">
      <c r="A836" s="119" t="s">
        <v>2238</v>
      </c>
      <c r="B836" s="119" t="s">
        <v>86</v>
      </c>
      <c r="C836" s="119" t="s">
        <v>28</v>
      </c>
      <c r="D836" s="119" t="s">
        <v>312</v>
      </c>
      <c r="E836" s="120">
        <v>0</v>
      </c>
      <c r="F836" s="120">
        <v>0</v>
      </c>
      <c r="G836" s="120" t="s">
        <v>2033</v>
      </c>
      <c r="H836" s="120">
        <f t="shared" si="26"/>
        <v>0</v>
      </c>
      <c r="I836" s="120">
        <f>DGKC!G56</f>
        <v>0</v>
      </c>
      <c r="J836" s="120">
        <f t="shared" si="27"/>
        <v>0</v>
      </c>
      <c r="K836" s="119" t="s">
        <v>2043</v>
      </c>
      <c r="L836" s="119">
        <v>153</v>
      </c>
      <c r="M836" s="119" t="s">
        <v>1106</v>
      </c>
      <c r="N836" s="122" t="s">
        <v>3578</v>
      </c>
      <c r="O836" s="122" t="s">
        <v>3579</v>
      </c>
      <c r="P836" s="122" t="s">
        <v>4364</v>
      </c>
    </row>
    <row r="837" spans="1:16" ht="82.05" customHeight="1" x14ac:dyDescent="0.3">
      <c r="A837" s="50" t="s">
        <v>2239</v>
      </c>
      <c r="B837" s="50" t="s">
        <v>86</v>
      </c>
      <c r="C837" s="50" t="s">
        <v>29</v>
      </c>
      <c r="D837" s="50" t="s">
        <v>312</v>
      </c>
      <c r="E837" s="121">
        <v>0</v>
      </c>
      <c r="F837" s="121">
        <v>0</v>
      </c>
      <c r="G837" s="121" t="s">
        <v>2033</v>
      </c>
      <c r="H837" s="121">
        <f t="shared" si="26"/>
        <v>0</v>
      </c>
      <c r="I837" s="121">
        <f>DGKC!H56</f>
        <v>0</v>
      </c>
      <c r="J837" s="121">
        <f t="shared" si="27"/>
        <v>0</v>
      </c>
      <c r="K837" s="50" t="s">
        <v>2043</v>
      </c>
      <c r="L837" s="50">
        <v>153</v>
      </c>
      <c r="M837" s="50" t="s">
        <v>1127</v>
      </c>
      <c r="N837" s="68" t="s">
        <v>3578</v>
      </c>
      <c r="O837" s="68" t="s">
        <v>3579</v>
      </c>
      <c r="P837" s="68" t="s">
        <v>4364</v>
      </c>
    </row>
    <row r="838" spans="1:16" ht="82.05" customHeight="1" x14ac:dyDescent="0.3">
      <c r="A838" s="119" t="s">
        <v>2240</v>
      </c>
      <c r="B838" s="119" t="s">
        <v>86</v>
      </c>
      <c r="C838" s="119" t="s">
        <v>965</v>
      </c>
      <c r="D838" s="119" t="s">
        <v>314</v>
      </c>
      <c r="E838" s="120">
        <v>0</v>
      </c>
      <c r="F838" s="120">
        <v>0</v>
      </c>
      <c r="G838" s="120" t="s">
        <v>2033</v>
      </c>
      <c r="H838" s="120">
        <f t="shared" si="26"/>
        <v>0</v>
      </c>
      <c r="I838" s="120">
        <f>DGKC!C57</f>
        <v>0</v>
      </c>
      <c r="J838" s="120">
        <f t="shared" si="27"/>
        <v>0</v>
      </c>
      <c r="K838" s="119" t="s">
        <v>2031</v>
      </c>
      <c r="L838" s="119">
        <v>105</v>
      </c>
      <c r="M838" s="119" t="s">
        <v>1106</v>
      </c>
      <c r="N838" s="122" t="s">
        <v>3578</v>
      </c>
      <c r="O838" s="122" t="s">
        <v>3579</v>
      </c>
      <c r="P838" s="122" t="s">
        <v>4365</v>
      </c>
    </row>
    <row r="839" spans="1:16" ht="82.05" customHeight="1" x14ac:dyDescent="0.3">
      <c r="A839" s="50" t="s">
        <v>2241</v>
      </c>
      <c r="B839" s="50" t="s">
        <v>86</v>
      </c>
      <c r="C839" s="50" t="s">
        <v>20</v>
      </c>
      <c r="D839" s="50" t="s">
        <v>314</v>
      </c>
      <c r="E839" s="121">
        <v>262523</v>
      </c>
      <c r="F839" s="121">
        <v>262523</v>
      </c>
      <c r="G839" s="121" t="s">
        <v>2033</v>
      </c>
      <c r="H839" s="121">
        <f t="shared" si="26"/>
        <v>262.52300000000002</v>
      </c>
      <c r="I839" s="121">
        <f>DGKC!D57</f>
        <v>262.52300000000002</v>
      </c>
      <c r="J839" s="121">
        <f t="shared" si="27"/>
        <v>0</v>
      </c>
      <c r="K839" s="50" t="s">
        <v>2035</v>
      </c>
      <c r="L839" s="50">
        <v>150</v>
      </c>
      <c r="M839" s="50" t="s">
        <v>1106</v>
      </c>
      <c r="N839" s="68" t="s">
        <v>3564</v>
      </c>
      <c r="O839" s="68" t="s">
        <v>3565</v>
      </c>
      <c r="P839" s="68" t="s">
        <v>4366</v>
      </c>
    </row>
    <row r="840" spans="1:16" ht="82.05" customHeight="1" x14ac:dyDescent="0.3">
      <c r="A840" s="119" t="s">
        <v>2242</v>
      </c>
      <c r="B840" s="119" t="s">
        <v>86</v>
      </c>
      <c r="C840" s="119" t="s">
        <v>26</v>
      </c>
      <c r="D840" s="119" t="s">
        <v>314</v>
      </c>
      <c r="E840" s="120">
        <v>213883</v>
      </c>
      <c r="F840" s="120">
        <v>213883</v>
      </c>
      <c r="G840" s="120" t="s">
        <v>2033</v>
      </c>
      <c r="H840" s="120">
        <f t="shared" si="26"/>
        <v>213.88300000000001</v>
      </c>
      <c r="I840" s="120">
        <f>DGKC!E57</f>
        <v>213.88300000000001</v>
      </c>
      <c r="J840" s="120">
        <f t="shared" si="27"/>
        <v>0</v>
      </c>
      <c r="K840" s="119" t="s">
        <v>2038</v>
      </c>
      <c r="L840" s="119">
        <v>175</v>
      </c>
      <c r="M840" s="119" t="s">
        <v>1106</v>
      </c>
      <c r="N840" s="122" t="s">
        <v>3564</v>
      </c>
      <c r="O840" s="122" t="s">
        <v>3565</v>
      </c>
      <c r="P840" s="122" t="s">
        <v>4367</v>
      </c>
    </row>
    <row r="841" spans="1:16" ht="82.05" customHeight="1" x14ac:dyDescent="0.3">
      <c r="A841" s="50" t="s">
        <v>2243</v>
      </c>
      <c r="B841" s="50" t="s">
        <v>86</v>
      </c>
      <c r="C841" s="50" t="s">
        <v>27</v>
      </c>
      <c r="D841" s="50" t="s">
        <v>314</v>
      </c>
      <c r="E841" s="121">
        <v>171581</v>
      </c>
      <c r="F841" s="121">
        <v>171581</v>
      </c>
      <c r="G841" s="121" t="s">
        <v>2033</v>
      </c>
      <c r="H841" s="121">
        <f t="shared" si="26"/>
        <v>171.58099999999999</v>
      </c>
      <c r="I841" s="121">
        <f>DGKC!F57</f>
        <v>171.58099999999999</v>
      </c>
      <c r="J841" s="121">
        <f t="shared" si="27"/>
        <v>0</v>
      </c>
      <c r="K841" s="50" t="s">
        <v>2041</v>
      </c>
      <c r="L841" s="50">
        <v>177</v>
      </c>
      <c r="M841" s="50" t="s">
        <v>1106</v>
      </c>
      <c r="N841" s="68" t="s">
        <v>3564</v>
      </c>
      <c r="O841" s="68" t="s">
        <v>3565</v>
      </c>
      <c r="P841" s="68" t="s">
        <v>4368</v>
      </c>
    </row>
    <row r="842" spans="1:16" ht="82.05" customHeight="1" x14ac:dyDescent="0.3">
      <c r="A842" s="119" t="s">
        <v>2244</v>
      </c>
      <c r="B842" s="119" t="s">
        <v>86</v>
      </c>
      <c r="C842" s="119" t="s">
        <v>28</v>
      </c>
      <c r="D842" s="119" t="s">
        <v>314</v>
      </c>
      <c r="E842" s="120">
        <v>124138</v>
      </c>
      <c r="F842" s="120">
        <v>124138</v>
      </c>
      <c r="G842" s="120" t="s">
        <v>2033</v>
      </c>
      <c r="H842" s="120">
        <f t="shared" si="26"/>
        <v>124.13800000000001</v>
      </c>
      <c r="I842" s="120">
        <f>DGKC!G57</f>
        <v>124.13800000000001</v>
      </c>
      <c r="J842" s="120">
        <f t="shared" si="27"/>
        <v>0</v>
      </c>
      <c r="K842" s="119" t="s">
        <v>2043</v>
      </c>
      <c r="L842" s="119">
        <v>178</v>
      </c>
      <c r="M842" s="119" t="s">
        <v>1106</v>
      </c>
      <c r="N842" s="122" t="s">
        <v>3564</v>
      </c>
      <c r="O842" s="122" t="s">
        <v>3565</v>
      </c>
      <c r="P842" s="122" t="s">
        <v>4369</v>
      </c>
    </row>
    <row r="843" spans="1:16" ht="82.05" customHeight="1" x14ac:dyDescent="0.3">
      <c r="A843" s="50" t="s">
        <v>2245</v>
      </c>
      <c r="B843" s="50" t="s">
        <v>86</v>
      </c>
      <c r="C843" s="50" t="s">
        <v>29</v>
      </c>
      <c r="D843" s="50" t="s">
        <v>314</v>
      </c>
      <c r="E843" s="121">
        <v>79465</v>
      </c>
      <c r="F843" s="121">
        <v>79465</v>
      </c>
      <c r="G843" s="121" t="s">
        <v>2033</v>
      </c>
      <c r="H843" s="121">
        <f t="shared" si="26"/>
        <v>79.465000000000003</v>
      </c>
      <c r="I843" s="121">
        <f>DGKC!H57</f>
        <v>79.465000000000003</v>
      </c>
      <c r="J843" s="121">
        <f t="shared" si="27"/>
        <v>0</v>
      </c>
      <c r="K843" s="50" t="s">
        <v>2043</v>
      </c>
      <c r="L843" s="50">
        <v>178</v>
      </c>
      <c r="M843" s="50" t="s">
        <v>1127</v>
      </c>
      <c r="N843" s="68" t="s">
        <v>3564</v>
      </c>
      <c r="O843" s="68" t="s">
        <v>3565</v>
      </c>
      <c r="P843" s="68" t="s">
        <v>4370</v>
      </c>
    </row>
    <row r="844" spans="1:16" ht="82.05" customHeight="1" x14ac:dyDescent="0.3">
      <c r="A844" s="119" t="s">
        <v>2246</v>
      </c>
      <c r="B844" s="119" t="s">
        <v>86</v>
      </c>
      <c r="C844" s="119" t="s">
        <v>965</v>
      </c>
      <c r="D844" s="119" t="s">
        <v>316</v>
      </c>
      <c r="E844" s="120">
        <v>33837</v>
      </c>
      <c r="F844" s="120">
        <v>33837</v>
      </c>
      <c r="G844" s="120" t="s">
        <v>2033</v>
      </c>
      <c r="H844" s="120">
        <f t="shared" si="26"/>
        <v>33.837000000000003</v>
      </c>
      <c r="I844" s="120">
        <f>DGKC!C58</f>
        <v>33.837000000000003</v>
      </c>
      <c r="J844" s="120">
        <f t="shared" si="27"/>
        <v>0</v>
      </c>
      <c r="K844" s="119" t="s">
        <v>2031</v>
      </c>
      <c r="L844" s="119">
        <v>105</v>
      </c>
      <c r="M844" s="119" t="s">
        <v>1106</v>
      </c>
      <c r="N844" s="122" t="s">
        <v>3564</v>
      </c>
      <c r="O844" s="122" t="s">
        <v>3565</v>
      </c>
      <c r="P844" s="122" t="s">
        <v>4371</v>
      </c>
    </row>
    <row r="845" spans="1:16" ht="82.05" customHeight="1" x14ac:dyDescent="0.3">
      <c r="A845" s="50" t="s">
        <v>2247</v>
      </c>
      <c r="B845" s="50" t="s">
        <v>86</v>
      </c>
      <c r="C845" s="50" t="s">
        <v>20</v>
      </c>
      <c r="D845" s="50" t="s">
        <v>316</v>
      </c>
      <c r="E845" s="121">
        <v>33517</v>
      </c>
      <c r="F845" s="121">
        <v>33517</v>
      </c>
      <c r="G845" s="121" t="s">
        <v>2033</v>
      </c>
      <c r="H845" s="121">
        <f t="shared" si="26"/>
        <v>33.517000000000003</v>
      </c>
      <c r="I845" s="121">
        <f>DGKC!D58</f>
        <v>33.517000000000003</v>
      </c>
      <c r="J845" s="121">
        <f t="shared" si="27"/>
        <v>0</v>
      </c>
      <c r="K845" s="50" t="s">
        <v>2035</v>
      </c>
      <c r="L845" s="50">
        <v>125</v>
      </c>
      <c r="M845" s="50" t="s">
        <v>1106</v>
      </c>
      <c r="N845" s="68" t="s">
        <v>3564</v>
      </c>
      <c r="O845" s="68" t="s">
        <v>3565</v>
      </c>
      <c r="P845" s="68" t="s">
        <v>4372</v>
      </c>
    </row>
    <row r="846" spans="1:16" ht="82.05" customHeight="1" x14ac:dyDescent="0.3">
      <c r="A846" s="119" t="s">
        <v>2248</v>
      </c>
      <c r="B846" s="119" t="s">
        <v>86</v>
      </c>
      <c r="C846" s="119" t="s">
        <v>26</v>
      </c>
      <c r="D846" s="119" t="s">
        <v>316</v>
      </c>
      <c r="E846" s="120">
        <v>34512</v>
      </c>
      <c r="F846" s="120">
        <v>34512</v>
      </c>
      <c r="G846" s="120" t="s">
        <v>2033</v>
      </c>
      <c r="H846" s="120">
        <f t="shared" si="26"/>
        <v>34.512</v>
      </c>
      <c r="I846" s="120">
        <f>DGKC!E58</f>
        <v>34.512</v>
      </c>
      <c r="J846" s="120">
        <f t="shared" si="27"/>
        <v>0</v>
      </c>
      <c r="K846" s="119" t="s">
        <v>2038</v>
      </c>
      <c r="L846" s="119">
        <v>151</v>
      </c>
      <c r="M846" s="119" t="s">
        <v>1106</v>
      </c>
      <c r="N846" s="122" t="s">
        <v>3564</v>
      </c>
      <c r="O846" s="122" t="s">
        <v>3565</v>
      </c>
      <c r="P846" s="122" t="s">
        <v>4373</v>
      </c>
    </row>
    <row r="847" spans="1:16" ht="82.05" customHeight="1" x14ac:dyDescent="0.3">
      <c r="A847" s="50" t="s">
        <v>2249</v>
      </c>
      <c r="B847" s="50" t="s">
        <v>86</v>
      </c>
      <c r="C847" s="50" t="s">
        <v>27</v>
      </c>
      <c r="D847" s="50" t="s">
        <v>316</v>
      </c>
      <c r="E847" s="121">
        <v>34704</v>
      </c>
      <c r="F847" s="121">
        <v>34704</v>
      </c>
      <c r="G847" s="121" t="s">
        <v>2033</v>
      </c>
      <c r="H847" s="121">
        <f t="shared" si="26"/>
        <v>34.704000000000001</v>
      </c>
      <c r="I847" s="121">
        <f>DGKC!F58</f>
        <v>34.704000000000001</v>
      </c>
      <c r="J847" s="121">
        <f t="shared" si="27"/>
        <v>0</v>
      </c>
      <c r="K847" s="50" t="s">
        <v>2041</v>
      </c>
      <c r="L847" s="50">
        <v>151</v>
      </c>
      <c r="M847" s="50" t="s">
        <v>1106</v>
      </c>
      <c r="N847" s="68" t="s">
        <v>3564</v>
      </c>
      <c r="O847" s="68" t="s">
        <v>3565</v>
      </c>
      <c r="P847" s="68" t="s">
        <v>4374</v>
      </c>
    </row>
    <row r="848" spans="1:16" ht="82.05" customHeight="1" x14ac:dyDescent="0.3">
      <c r="A848" s="119" t="s">
        <v>2250</v>
      </c>
      <c r="B848" s="119" t="s">
        <v>86</v>
      </c>
      <c r="C848" s="119" t="s">
        <v>28</v>
      </c>
      <c r="D848" s="119" t="s">
        <v>316</v>
      </c>
      <c r="E848" s="120">
        <v>34201</v>
      </c>
      <c r="F848" s="120">
        <v>34201</v>
      </c>
      <c r="G848" s="120" t="s">
        <v>2033</v>
      </c>
      <c r="H848" s="120">
        <f t="shared" ref="H848:H911" si="28">F848/1000</f>
        <v>34.201000000000001</v>
      </c>
      <c r="I848" s="120">
        <f>DGKC!G58</f>
        <v>34.201000000000001</v>
      </c>
      <c r="J848" s="120">
        <f t="shared" ref="J848:J911" si="29">H848-I848</f>
        <v>0</v>
      </c>
      <c r="K848" s="119" t="s">
        <v>2043</v>
      </c>
      <c r="L848" s="119">
        <v>153</v>
      </c>
      <c r="M848" s="119" t="s">
        <v>1106</v>
      </c>
      <c r="N848" s="122" t="s">
        <v>3564</v>
      </c>
      <c r="O848" s="122" t="s">
        <v>3565</v>
      </c>
      <c r="P848" s="122" t="s">
        <v>4375</v>
      </c>
    </row>
    <row r="849" spans="1:16" ht="82.05" customHeight="1" x14ac:dyDescent="0.3">
      <c r="A849" s="50" t="s">
        <v>2251</v>
      </c>
      <c r="B849" s="50" t="s">
        <v>86</v>
      </c>
      <c r="C849" s="50" t="s">
        <v>29</v>
      </c>
      <c r="D849" s="50" t="s">
        <v>316</v>
      </c>
      <c r="E849" s="121">
        <v>34154</v>
      </c>
      <c r="F849" s="121">
        <v>34154</v>
      </c>
      <c r="G849" s="121" t="s">
        <v>2033</v>
      </c>
      <c r="H849" s="121">
        <f t="shared" si="28"/>
        <v>34.154000000000003</v>
      </c>
      <c r="I849" s="121">
        <f>DGKC!H58</f>
        <v>34.154000000000003</v>
      </c>
      <c r="J849" s="121">
        <f t="shared" si="29"/>
        <v>0</v>
      </c>
      <c r="K849" s="50" t="s">
        <v>2043</v>
      </c>
      <c r="L849" s="50">
        <v>153</v>
      </c>
      <c r="M849" s="50" t="s">
        <v>1127</v>
      </c>
      <c r="N849" s="68" t="s">
        <v>3564</v>
      </c>
      <c r="O849" s="68" t="s">
        <v>3565</v>
      </c>
      <c r="P849" s="68" t="s">
        <v>4376</v>
      </c>
    </row>
    <row r="850" spans="1:16" ht="82.05" customHeight="1" x14ac:dyDescent="0.3">
      <c r="A850" s="119" t="s">
        <v>2252</v>
      </c>
      <c r="B850" s="119" t="s">
        <v>86</v>
      </c>
      <c r="C850" s="119" t="s">
        <v>965</v>
      </c>
      <c r="D850" s="119" t="s">
        <v>318</v>
      </c>
      <c r="E850" s="120">
        <v>35090</v>
      </c>
      <c r="F850" s="120">
        <v>35090</v>
      </c>
      <c r="G850" s="120" t="s">
        <v>2033</v>
      </c>
      <c r="H850" s="120">
        <f t="shared" si="28"/>
        <v>35.090000000000003</v>
      </c>
      <c r="I850" s="120">
        <f>DGKC!C59</f>
        <v>35.090000000000003</v>
      </c>
      <c r="J850" s="120">
        <f t="shared" si="29"/>
        <v>0</v>
      </c>
      <c r="K850" s="119" t="s">
        <v>2031</v>
      </c>
      <c r="L850" s="119">
        <v>105</v>
      </c>
      <c r="M850" s="119" t="s">
        <v>1106</v>
      </c>
      <c r="N850" s="122" t="s">
        <v>3564</v>
      </c>
      <c r="O850" s="122" t="s">
        <v>3565</v>
      </c>
      <c r="P850" s="122" t="s">
        <v>4377</v>
      </c>
    </row>
    <row r="851" spans="1:16" ht="82.05" customHeight="1" x14ac:dyDescent="0.3">
      <c r="A851" s="50" t="s">
        <v>2254</v>
      </c>
      <c r="B851" s="50" t="s">
        <v>86</v>
      </c>
      <c r="C851" s="50" t="s">
        <v>20</v>
      </c>
      <c r="D851" s="50" t="s">
        <v>318</v>
      </c>
      <c r="E851" s="121">
        <v>35090</v>
      </c>
      <c r="F851" s="121">
        <v>35090</v>
      </c>
      <c r="G851" s="121" t="s">
        <v>2033</v>
      </c>
      <c r="H851" s="121">
        <f t="shared" si="28"/>
        <v>35.090000000000003</v>
      </c>
      <c r="I851" s="121">
        <f>DGKC!D59</f>
        <v>35.090000000000003</v>
      </c>
      <c r="J851" s="121">
        <f t="shared" si="29"/>
        <v>0</v>
      </c>
      <c r="K851" s="50" t="s">
        <v>2035</v>
      </c>
      <c r="L851" s="50">
        <v>125</v>
      </c>
      <c r="M851" s="50" t="s">
        <v>1106</v>
      </c>
      <c r="N851" s="68" t="s">
        <v>3564</v>
      </c>
      <c r="O851" s="68" t="s">
        <v>3565</v>
      </c>
      <c r="P851" s="68" t="s">
        <v>4378</v>
      </c>
    </row>
    <row r="852" spans="1:16" ht="82.05" customHeight="1" x14ac:dyDescent="0.3">
      <c r="A852" s="119" t="s">
        <v>2255</v>
      </c>
      <c r="B852" s="119" t="s">
        <v>86</v>
      </c>
      <c r="C852" s="119" t="s">
        <v>26</v>
      </c>
      <c r="D852" s="119" t="s">
        <v>318</v>
      </c>
      <c r="E852" s="120">
        <v>35090</v>
      </c>
      <c r="F852" s="120">
        <v>35090</v>
      </c>
      <c r="G852" s="120" t="s">
        <v>2033</v>
      </c>
      <c r="H852" s="120">
        <f t="shared" si="28"/>
        <v>35.090000000000003</v>
      </c>
      <c r="I852" s="120">
        <f>DGKC!E59</f>
        <v>35.090000000000003</v>
      </c>
      <c r="J852" s="120">
        <f t="shared" si="29"/>
        <v>0</v>
      </c>
      <c r="K852" s="119" t="s">
        <v>2038</v>
      </c>
      <c r="L852" s="119">
        <v>151</v>
      </c>
      <c r="M852" s="119" t="s">
        <v>1106</v>
      </c>
      <c r="N852" s="122" t="s">
        <v>3564</v>
      </c>
      <c r="O852" s="122" t="s">
        <v>3565</v>
      </c>
      <c r="P852" s="122" t="s">
        <v>4379</v>
      </c>
    </row>
    <row r="853" spans="1:16" ht="82.05" customHeight="1" x14ac:dyDescent="0.3">
      <c r="A853" s="50" t="s">
        <v>2256</v>
      </c>
      <c r="B853" s="50" t="s">
        <v>86</v>
      </c>
      <c r="C853" s="50" t="s">
        <v>27</v>
      </c>
      <c r="D853" s="50" t="s">
        <v>318</v>
      </c>
      <c r="E853" s="121">
        <v>35090</v>
      </c>
      <c r="F853" s="121">
        <v>35090</v>
      </c>
      <c r="G853" s="121" t="s">
        <v>2033</v>
      </c>
      <c r="H853" s="121">
        <f t="shared" si="28"/>
        <v>35.090000000000003</v>
      </c>
      <c r="I853" s="121">
        <f>DGKC!F59</f>
        <v>35.090000000000003</v>
      </c>
      <c r="J853" s="121">
        <f t="shared" si="29"/>
        <v>0</v>
      </c>
      <c r="K853" s="50" t="s">
        <v>2041</v>
      </c>
      <c r="L853" s="50">
        <v>151</v>
      </c>
      <c r="M853" s="50" t="s">
        <v>1106</v>
      </c>
      <c r="N853" s="68" t="s">
        <v>3564</v>
      </c>
      <c r="O853" s="68" t="s">
        <v>3565</v>
      </c>
      <c r="P853" s="68" t="s">
        <v>4380</v>
      </c>
    </row>
    <row r="854" spans="1:16" ht="82.05" customHeight="1" x14ac:dyDescent="0.3">
      <c r="A854" s="119" t="s">
        <v>2257</v>
      </c>
      <c r="B854" s="119" t="s">
        <v>86</v>
      </c>
      <c r="C854" s="119" t="s">
        <v>28</v>
      </c>
      <c r="D854" s="119" t="s">
        <v>318</v>
      </c>
      <c r="E854" s="120">
        <v>35090</v>
      </c>
      <c r="F854" s="120">
        <v>35090</v>
      </c>
      <c r="G854" s="120" t="s">
        <v>2033</v>
      </c>
      <c r="H854" s="120">
        <f t="shared" si="28"/>
        <v>35.090000000000003</v>
      </c>
      <c r="I854" s="120">
        <f>DGKC!G59</f>
        <v>35.090000000000003</v>
      </c>
      <c r="J854" s="120">
        <f t="shared" si="29"/>
        <v>0</v>
      </c>
      <c r="K854" s="119" t="s">
        <v>2043</v>
      </c>
      <c r="L854" s="119">
        <v>153</v>
      </c>
      <c r="M854" s="119" t="s">
        <v>1106</v>
      </c>
      <c r="N854" s="122" t="s">
        <v>3564</v>
      </c>
      <c r="O854" s="122" t="s">
        <v>3565</v>
      </c>
      <c r="P854" s="122" t="s">
        <v>4381</v>
      </c>
    </row>
    <row r="855" spans="1:16" ht="82.05" customHeight="1" x14ac:dyDescent="0.3">
      <c r="A855" s="50" t="s">
        <v>2259</v>
      </c>
      <c r="B855" s="50" t="s">
        <v>86</v>
      </c>
      <c r="C855" s="50" t="s">
        <v>29</v>
      </c>
      <c r="D855" s="50" t="s">
        <v>318</v>
      </c>
      <c r="E855" s="121">
        <v>365924</v>
      </c>
      <c r="F855" s="121">
        <v>365924</v>
      </c>
      <c r="G855" s="121" t="s">
        <v>2033</v>
      </c>
      <c r="H855" s="121">
        <f t="shared" si="28"/>
        <v>365.92399999999998</v>
      </c>
      <c r="I855" s="121">
        <f>DGKC!H59</f>
        <v>365.92399999999998</v>
      </c>
      <c r="J855" s="121">
        <f t="shared" si="29"/>
        <v>0</v>
      </c>
      <c r="K855" s="50" t="s">
        <v>2043</v>
      </c>
      <c r="L855" s="50">
        <v>153</v>
      </c>
      <c r="M855" s="50" t="s">
        <v>1127</v>
      </c>
      <c r="N855" s="68" t="s">
        <v>3602</v>
      </c>
      <c r="O855" s="68" t="s">
        <v>3603</v>
      </c>
      <c r="P855" s="68" t="s">
        <v>4382</v>
      </c>
    </row>
    <row r="856" spans="1:16" ht="82.05" customHeight="1" x14ac:dyDescent="0.3">
      <c r="A856" s="119" t="s">
        <v>2260</v>
      </c>
      <c r="B856" s="119" t="s">
        <v>86</v>
      </c>
      <c r="C856" s="119" t="s">
        <v>965</v>
      </c>
      <c r="D856" s="119" t="s">
        <v>320</v>
      </c>
      <c r="E856" s="120">
        <v>38280</v>
      </c>
      <c r="F856" s="120">
        <v>38280</v>
      </c>
      <c r="G856" s="120" t="s">
        <v>2033</v>
      </c>
      <c r="H856" s="120">
        <f t="shared" si="28"/>
        <v>38.28</v>
      </c>
      <c r="I856" s="120">
        <f>DGKC!C60</f>
        <v>38.28</v>
      </c>
      <c r="J856" s="120">
        <f t="shared" si="29"/>
        <v>0</v>
      </c>
      <c r="K856" s="119" t="s">
        <v>2031</v>
      </c>
      <c r="L856" s="119">
        <v>133</v>
      </c>
      <c r="M856" s="119" t="s">
        <v>1106</v>
      </c>
      <c r="N856" s="122" t="s">
        <v>3564</v>
      </c>
      <c r="O856" s="122" t="s">
        <v>3565</v>
      </c>
      <c r="P856" s="122" t="s">
        <v>4383</v>
      </c>
    </row>
    <row r="857" spans="1:16" ht="82.05" customHeight="1" x14ac:dyDescent="0.3">
      <c r="A857" s="50" t="s">
        <v>2261</v>
      </c>
      <c r="B857" s="50" t="s">
        <v>86</v>
      </c>
      <c r="C857" s="50" t="s">
        <v>20</v>
      </c>
      <c r="D857" s="50" t="s">
        <v>320</v>
      </c>
      <c r="E857" s="121">
        <v>40717</v>
      </c>
      <c r="F857" s="121">
        <v>40717</v>
      </c>
      <c r="G857" s="121" t="s">
        <v>2033</v>
      </c>
      <c r="H857" s="121">
        <f t="shared" si="28"/>
        <v>40.716999999999999</v>
      </c>
      <c r="I857" s="121">
        <f>DGKC!D60</f>
        <v>40.716999999999999</v>
      </c>
      <c r="J857" s="121">
        <f t="shared" si="29"/>
        <v>0</v>
      </c>
      <c r="K857" s="50" t="s">
        <v>2035</v>
      </c>
      <c r="L857" s="50">
        <v>153</v>
      </c>
      <c r="M857" s="50" t="s">
        <v>1106</v>
      </c>
      <c r="N857" s="68" t="s">
        <v>3564</v>
      </c>
      <c r="O857" s="68" t="s">
        <v>3565</v>
      </c>
      <c r="P857" s="68" t="s">
        <v>4384</v>
      </c>
    </row>
    <row r="858" spans="1:16" ht="82.05" customHeight="1" x14ac:dyDescent="0.3">
      <c r="A858" s="119" t="s">
        <v>2262</v>
      </c>
      <c r="B858" s="119" t="s">
        <v>86</v>
      </c>
      <c r="C858" s="119" t="s">
        <v>26</v>
      </c>
      <c r="D858" s="119" t="s">
        <v>320</v>
      </c>
      <c r="E858" s="120">
        <v>22936</v>
      </c>
      <c r="F858" s="120">
        <v>22936</v>
      </c>
      <c r="G858" s="120" t="s">
        <v>2033</v>
      </c>
      <c r="H858" s="120">
        <f t="shared" si="28"/>
        <v>22.936</v>
      </c>
      <c r="I858" s="120">
        <f>DGKC!E60</f>
        <v>22.936</v>
      </c>
      <c r="J858" s="120">
        <f t="shared" si="29"/>
        <v>0</v>
      </c>
      <c r="K858" s="119" t="s">
        <v>2038</v>
      </c>
      <c r="L858" s="119">
        <v>178</v>
      </c>
      <c r="M858" s="119" t="s">
        <v>1106</v>
      </c>
      <c r="N858" s="122" t="s">
        <v>3564</v>
      </c>
      <c r="O858" s="122" t="s">
        <v>3565</v>
      </c>
      <c r="P858" s="122" t="s">
        <v>4385</v>
      </c>
    </row>
    <row r="859" spans="1:16" ht="82.05" customHeight="1" x14ac:dyDescent="0.3">
      <c r="A859" s="50" t="s">
        <v>2263</v>
      </c>
      <c r="B859" s="50" t="s">
        <v>86</v>
      </c>
      <c r="C859" s="50" t="s">
        <v>27</v>
      </c>
      <c r="D859" s="50" t="s">
        <v>320</v>
      </c>
      <c r="E859" s="121">
        <v>46912</v>
      </c>
      <c r="F859" s="121">
        <v>46912</v>
      </c>
      <c r="G859" s="121" t="s">
        <v>2033</v>
      </c>
      <c r="H859" s="121">
        <f t="shared" si="28"/>
        <v>46.911999999999999</v>
      </c>
      <c r="I859" s="121">
        <f>DGKC!F60</f>
        <v>46.911999999999999</v>
      </c>
      <c r="J859" s="121">
        <f t="shared" si="29"/>
        <v>0</v>
      </c>
      <c r="K859" s="50" t="s">
        <v>2041</v>
      </c>
      <c r="L859" s="50">
        <v>180</v>
      </c>
      <c r="M859" s="50" t="s">
        <v>1106</v>
      </c>
      <c r="N859" s="68" t="s">
        <v>3564</v>
      </c>
      <c r="O859" s="68" t="s">
        <v>3565</v>
      </c>
      <c r="P859" s="68" t="s">
        <v>4386</v>
      </c>
    </row>
    <row r="860" spans="1:16" ht="82.05" customHeight="1" x14ac:dyDescent="0.3">
      <c r="A860" s="119" t="s">
        <v>2264</v>
      </c>
      <c r="B860" s="119" t="s">
        <v>86</v>
      </c>
      <c r="C860" s="119" t="s">
        <v>28</v>
      </c>
      <c r="D860" s="119" t="s">
        <v>320</v>
      </c>
      <c r="E860" s="120">
        <v>697</v>
      </c>
      <c r="F860" s="120">
        <v>697</v>
      </c>
      <c r="G860" s="120" t="s">
        <v>2033</v>
      </c>
      <c r="H860" s="120">
        <f t="shared" si="28"/>
        <v>0.69699999999999995</v>
      </c>
      <c r="I860" s="120">
        <f>DGKC!G60</f>
        <v>0.69699999999999995</v>
      </c>
      <c r="J860" s="120">
        <f t="shared" si="29"/>
        <v>0</v>
      </c>
      <c r="K860" s="119" t="s">
        <v>2043</v>
      </c>
      <c r="L860" s="119">
        <v>181</v>
      </c>
      <c r="M860" s="119" t="s">
        <v>1106</v>
      </c>
      <c r="N860" s="122" t="s">
        <v>3564</v>
      </c>
      <c r="O860" s="122" t="s">
        <v>3565</v>
      </c>
      <c r="P860" s="122" t="s">
        <v>4387</v>
      </c>
    </row>
    <row r="861" spans="1:16" ht="82.05" customHeight="1" x14ac:dyDescent="0.3">
      <c r="A861" s="50" t="s">
        <v>2265</v>
      </c>
      <c r="B861" s="50" t="s">
        <v>86</v>
      </c>
      <c r="C861" s="50" t="s">
        <v>29</v>
      </c>
      <c r="D861" s="50" t="s">
        <v>320</v>
      </c>
      <c r="E861" s="121">
        <v>55006</v>
      </c>
      <c r="F861" s="121">
        <v>55006</v>
      </c>
      <c r="G861" s="121" t="s">
        <v>2033</v>
      </c>
      <c r="H861" s="121">
        <f t="shared" si="28"/>
        <v>55.006</v>
      </c>
      <c r="I861" s="121">
        <f>DGKC!H60</f>
        <v>55.006</v>
      </c>
      <c r="J861" s="121">
        <f t="shared" si="29"/>
        <v>0</v>
      </c>
      <c r="K861" s="50" t="s">
        <v>2043</v>
      </c>
      <c r="L861" s="50">
        <v>181</v>
      </c>
      <c r="M861" s="50" t="s">
        <v>1127</v>
      </c>
      <c r="N861" s="68" t="s">
        <v>3564</v>
      </c>
      <c r="O861" s="68" t="s">
        <v>3565</v>
      </c>
      <c r="P861" s="68" t="s">
        <v>4388</v>
      </c>
    </row>
    <row r="862" spans="1:16" ht="82.05" customHeight="1" x14ac:dyDescent="0.3">
      <c r="A862" s="119" t="s">
        <v>2266</v>
      </c>
      <c r="B862" s="119" t="s">
        <v>86</v>
      </c>
      <c r="C862" s="119" t="s">
        <v>965</v>
      </c>
      <c r="D862" s="119" t="s">
        <v>345</v>
      </c>
      <c r="E862" s="120">
        <v>129551534</v>
      </c>
      <c r="F862" s="120">
        <v>129551534</v>
      </c>
      <c r="G862" s="120" t="s">
        <v>2033</v>
      </c>
      <c r="H862" s="120">
        <f t="shared" si="28"/>
        <v>129551.534</v>
      </c>
      <c r="I862" s="120">
        <f>DGKC!C75</f>
        <v>129551.534</v>
      </c>
      <c r="J862" s="120">
        <f t="shared" si="29"/>
        <v>0</v>
      </c>
      <c r="K862" s="119" t="s">
        <v>2031</v>
      </c>
      <c r="L862" s="119">
        <v>106</v>
      </c>
      <c r="M862" s="119" t="s">
        <v>1106</v>
      </c>
      <c r="N862" s="122" t="s">
        <v>3564</v>
      </c>
      <c r="O862" s="122" t="s">
        <v>3565</v>
      </c>
      <c r="P862" s="122" t="s">
        <v>4389</v>
      </c>
    </row>
    <row r="863" spans="1:16" ht="82.05" customHeight="1" x14ac:dyDescent="0.3">
      <c r="A863" s="50" t="s">
        <v>2267</v>
      </c>
      <c r="B863" s="50" t="s">
        <v>86</v>
      </c>
      <c r="C863" s="50" t="s">
        <v>20</v>
      </c>
      <c r="D863" s="50" t="s">
        <v>345</v>
      </c>
      <c r="E863" s="121">
        <v>137894697</v>
      </c>
      <c r="F863" s="121">
        <v>137894697</v>
      </c>
      <c r="G863" s="121" t="s">
        <v>2033</v>
      </c>
      <c r="H863" s="121">
        <f t="shared" si="28"/>
        <v>137894.69699999999</v>
      </c>
      <c r="I863" s="121">
        <f>DGKC!D75</f>
        <v>137894.69699999999</v>
      </c>
      <c r="J863" s="121">
        <f t="shared" si="29"/>
        <v>0</v>
      </c>
      <c r="K863" s="50" t="s">
        <v>2035</v>
      </c>
      <c r="L863" s="50">
        <v>126</v>
      </c>
      <c r="M863" s="50" t="s">
        <v>1106</v>
      </c>
      <c r="N863" s="68" t="s">
        <v>3564</v>
      </c>
      <c r="O863" s="68" t="s">
        <v>3565</v>
      </c>
      <c r="P863" s="68" t="s">
        <v>4390</v>
      </c>
    </row>
    <row r="864" spans="1:16" ht="82.05" customHeight="1" x14ac:dyDescent="0.3">
      <c r="A864" s="119" t="s">
        <v>2268</v>
      </c>
      <c r="B864" s="119" t="s">
        <v>86</v>
      </c>
      <c r="C864" s="119" t="s">
        <v>26</v>
      </c>
      <c r="D864" s="119" t="s">
        <v>345</v>
      </c>
      <c r="E864" s="120">
        <v>136562013</v>
      </c>
      <c r="F864" s="120">
        <v>136562013</v>
      </c>
      <c r="G864" s="120" t="s">
        <v>2033</v>
      </c>
      <c r="H864" s="120">
        <f t="shared" si="28"/>
        <v>136562.01300000001</v>
      </c>
      <c r="I864" s="120">
        <f>DGKC!E75</f>
        <v>136562.01300000001</v>
      </c>
      <c r="J864" s="120">
        <f t="shared" si="29"/>
        <v>0</v>
      </c>
      <c r="K864" s="119" t="s">
        <v>2038</v>
      </c>
      <c r="L864" s="119">
        <v>152</v>
      </c>
      <c r="M864" s="119" t="s">
        <v>1106</v>
      </c>
      <c r="N864" s="122" t="s">
        <v>3564</v>
      </c>
      <c r="O864" s="122" t="s">
        <v>3565</v>
      </c>
      <c r="P864" s="122" t="s">
        <v>4391</v>
      </c>
    </row>
    <row r="865" spans="1:16" ht="82.05" customHeight="1" x14ac:dyDescent="0.3">
      <c r="A865" s="50" t="s">
        <v>2269</v>
      </c>
      <c r="B865" s="50" t="s">
        <v>86</v>
      </c>
      <c r="C865" s="50" t="s">
        <v>27</v>
      </c>
      <c r="D865" s="50" t="s">
        <v>345</v>
      </c>
      <c r="E865" s="121">
        <v>134713254</v>
      </c>
      <c r="F865" s="121">
        <v>134713254</v>
      </c>
      <c r="G865" s="121" t="s">
        <v>2033</v>
      </c>
      <c r="H865" s="121">
        <f t="shared" si="28"/>
        <v>134713.25399999999</v>
      </c>
      <c r="I865" s="121">
        <f>DGKC!F75</f>
        <v>134713.25399999999</v>
      </c>
      <c r="J865" s="121">
        <f t="shared" si="29"/>
        <v>0</v>
      </c>
      <c r="K865" s="50" t="s">
        <v>2041</v>
      </c>
      <c r="L865" s="50">
        <v>152</v>
      </c>
      <c r="M865" s="50" t="s">
        <v>1106</v>
      </c>
      <c r="N865" s="68" t="s">
        <v>3564</v>
      </c>
      <c r="O865" s="68" t="s">
        <v>3565</v>
      </c>
      <c r="P865" s="68" t="s">
        <v>4392</v>
      </c>
    </row>
    <row r="866" spans="1:16" ht="82.05" customHeight="1" x14ac:dyDescent="0.3">
      <c r="A866" s="119" t="s">
        <v>2270</v>
      </c>
      <c r="B866" s="119" t="s">
        <v>86</v>
      </c>
      <c r="C866" s="119" t="s">
        <v>28</v>
      </c>
      <c r="D866" s="119" t="s">
        <v>345</v>
      </c>
      <c r="E866" s="120">
        <v>138385754</v>
      </c>
      <c r="F866" s="120">
        <v>138385754</v>
      </c>
      <c r="G866" s="120" t="s">
        <v>2033</v>
      </c>
      <c r="H866" s="120">
        <f t="shared" si="28"/>
        <v>138385.75399999999</v>
      </c>
      <c r="I866" s="120">
        <f>DGKC!G75</f>
        <v>138385.75399999999</v>
      </c>
      <c r="J866" s="120">
        <f t="shared" si="29"/>
        <v>0</v>
      </c>
      <c r="K866" s="119" t="s">
        <v>2043</v>
      </c>
      <c r="L866" s="119">
        <v>154</v>
      </c>
      <c r="M866" s="119" t="s">
        <v>1106</v>
      </c>
      <c r="N866" s="122" t="s">
        <v>3564</v>
      </c>
      <c r="O866" s="122" t="s">
        <v>3565</v>
      </c>
      <c r="P866" s="122" t="s">
        <v>4393</v>
      </c>
    </row>
    <row r="867" spans="1:16" ht="82.05" customHeight="1" x14ac:dyDescent="0.3">
      <c r="A867" s="50" t="s">
        <v>2271</v>
      </c>
      <c r="B867" s="50" t="s">
        <v>86</v>
      </c>
      <c r="C867" s="50" t="s">
        <v>29</v>
      </c>
      <c r="D867" s="50" t="s">
        <v>345</v>
      </c>
      <c r="E867" s="121">
        <v>145924235</v>
      </c>
      <c r="F867" s="121">
        <v>145924235</v>
      </c>
      <c r="G867" s="121" t="s">
        <v>2033</v>
      </c>
      <c r="H867" s="121">
        <f t="shared" si="28"/>
        <v>145924.23499999999</v>
      </c>
      <c r="I867" s="121">
        <f>DGKC!H75</f>
        <v>145924.23499999999</v>
      </c>
      <c r="J867" s="121">
        <f t="shared" si="29"/>
        <v>0</v>
      </c>
      <c r="K867" s="50" t="s">
        <v>2043</v>
      </c>
      <c r="L867" s="50">
        <v>154</v>
      </c>
      <c r="M867" s="50" t="s">
        <v>1127</v>
      </c>
      <c r="N867" s="68" t="s">
        <v>3564</v>
      </c>
      <c r="O867" s="68" t="s">
        <v>3565</v>
      </c>
      <c r="P867" s="68" t="s">
        <v>4394</v>
      </c>
    </row>
    <row r="868" spans="1:16" ht="82.05" customHeight="1" x14ac:dyDescent="0.3">
      <c r="A868" s="119" t="s">
        <v>2272</v>
      </c>
      <c r="B868" s="119" t="s">
        <v>86</v>
      </c>
      <c r="C868" s="119" t="s">
        <v>965</v>
      </c>
      <c r="D868" s="119" t="s">
        <v>347</v>
      </c>
      <c r="E868" s="120">
        <v>66644157</v>
      </c>
      <c r="F868" s="120">
        <v>66644157</v>
      </c>
      <c r="G868" s="120" t="s">
        <v>2033</v>
      </c>
      <c r="H868" s="120">
        <f t="shared" si="28"/>
        <v>66644.157000000007</v>
      </c>
      <c r="I868" s="120">
        <f>DGKC!C76</f>
        <v>66644.157000000007</v>
      </c>
      <c r="J868" s="120">
        <f t="shared" si="29"/>
        <v>0</v>
      </c>
      <c r="K868" s="119" t="s">
        <v>2031</v>
      </c>
      <c r="L868" s="119">
        <v>105</v>
      </c>
      <c r="M868" s="119" t="s">
        <v>1106</v>
      </c>
      <c r="N868" s="122" t="s">
        <v>3564</v>
      </c>
      <c r="O868" s="122" t="s">
        <v>3565</v>
      </c>
      <c r="P868" s="122" t="s">
        <v>4395</v>
      </c>
    </row>
    <row r="869" spans="1:16" ht="82.05" customHeight="1" x14ac:dyDescent="0.3">
      <c r="A869" s="50" t="s">
        <v>2273</v>
      </c>
      <c r="B869" s="50" t="s">
        <v>86</v>
      </c>
      <c r="C869" s="50" t="s">
        <v>20</v>
      </c>
      <c r="D869" s="50" t="s">
        <v>347</v>
      </c>
      <c r="E869" s="121">
        <v>73477873</v>
      </c>
      <c r="F869" s="121">
        <v>73477873</v>
      </c>
      <c r="G869" s="121" t="s">
        <v>2033</v>
      </c>
      <c r="H869" s="121">
        <f t="shared" si="28"/>
        <v>73477.873000000007</v>
      </c>
      <c r="I869" s="121">
        <f>DGKC!D76</f>
        <v>73477.873000000007</v>
      </c>
      <c r="J869" s="121">
        <f t="shared" si="29"/>
        <v>0</v>
      </c>
      <c r="K869" s="50" t="s">
        <v>2035</v>
      </c>
      <c r="L869" s="50">
        <v>125</v>
      </c>
      <c r="M869" s="50" t="s">
        <v>1106</v>
      </c>
      <c r="N869" s="68" t="s">
        <v>3564</v>
      </c>
      <c r="O869" s="68" t="s">
        <v>3565</v>
      </c>
      <c r="P869" s="68" t="s">
        <v>4396</v>
      </c>
    </row>
    <row r="870" spans="1:16" ht="82.05" customHeight="1" x14ac:dyDescent="0.3">
      <c r="A870" s="119" t="s">
        <v>2274</v>
      </c>
      <c r="B870" s="119" t="s">
        <v>86</v>
      </c>
      <c r="C870" s="119" t="s">
        <v>26</v>
      </c>
      <c r="D870" s="119" t="s">
        <v>347</v>
      </c>
      <c r="E870" s="120">
        <v>69918102</v>
      </c>
      <c r="F870" s="120">
        <v>69918102</v>
      </c>
      <c r="G870" s="120" t="s">
        <v>2033</v>
      </c>
      <c r="H870" s="120">
        <f t="shared" si="28"/>
        <v>69918.101999999999</v>
      </c>
      <c r="I870" s="120">
        <f>DGKC!E76</f>
        <v>69918.101999999999</v>
      </c>
      <c r="J870" s="120">
        <f t="shared" si="29"/>
        <v>0</v>
      </c>
      <c r="K870" s="119" t="s">
        <v>2038</v>
      </c>
      <c r="L870" s="119">
        <v>151</v>
      </c>
      <c r="M870" s="119" t="s">
        <v>1106</v>
      </c>
      <c r="N870" s="122" t="s">
        <v>3564</v>
      </c>
      <c r="O870" s="122" t="s">
        <v>3565</v>
      </c>
      <c r="P870" s="122" t="s">
        <v>4397</v>
      </c>
    </row>
    <row r="871" spans="1:16" ht="82.05" customHeight="1" x14ac:dyDescent="0.3">
      <c r="A871" s="50" t="s">
        <v>2275</v>
      </c>
      <c r="B871" s="50" t="s">
        <v>86</v>
      </c>
      <c r="C871" s="50" t="s">
        <v>27</v>
      </c>
      <c r="D871" s="50" t="s">
        <v>347</v>
      </c>
      <c r="E871" s="121">
        <v>64192277</v>
      </c>
      <c r="F871" s="121">
        <v>64192277</v>
      </c>
      <c r="G871" s="121" t="s">
        <v>2033</v>
      </c>
      <c r="H871" s="121">
        <f t="shared" si="28"/>
        <v>64192.277000000002</v>
      </c>
      <c r="I871" s="121">
        <f>DGKC!F76</f>
        <v>64192.277000000002</v>
      </c>
      <c r="J871" s="121">
        <f t="shared" si="29"/>
        <v>0</v>
      </c>
      <c r="K871" s="50" t="s">
        <v>2041</v>
      </c>
      <c r="L871" s="50">
        <v>151</v>
      </c>
      <c r="M871" s="50" t="s">
        <v>1106</v>
      </c>
      <c r="N871" s="68" t="s">
        <v>3564</v>
      </c>
      <c r="O871" s="68" t="s">
        <v>3565</v>
      </c>
      <c r="P871" s="68" t="s">
        <v>4398</v>
      </c>
    </row>
    <row r="872" spans="1:16" ht="82.05" customHeight="1" x14ac:dyDescent="0.3">
      <c r="A872" s="119" t="s">
        <v>2276</v>
      </c>
      <c r="B872" s="119" t="s">
        <v>86</v>
      </c>
      <c r="C872" s="119" t="s">
        <v>28</v>
      </c>
      <c r="D872" s="119" t="s">
        <v>347</v>
      </c>
      <c r="E872" s="120">
        <v>75847538</v>
      </c>
      <c r="F872" s="120">
        <v>75847538</v>
      </c>
      <c r="G872" s="120" t="s">
        <v>2033</v>
      </c>
      <c r="H872" s="120">
        <f t="shared" si="28"/>
        <v>75847.538</v>
      </c>
      <c r="I872" s="120">
        <f>DGKC!G76</f>
        <v>75847.538</v>
      </c>
      <c r="J872" s="120">
        <f t="shared" si="29"/>
        <v>0</v>
      </c>
      <c r="K872" s="119" t="s">
        <v>2043</v>
      </c>
      <c r="L872" s="119">
        <v>153</v>
      </c>
      <c r="M872" s="119" t="s">
        <v>1106</v>
      </c>
      <c r="N872" s="122" t="s">
        <v>3564</v>
      </c>
      <c r="O872" s="122" t="s">
        <v>3565</v>
      </c>
      <c r="P872" s="122" t="s">
        <v>4399</v>
      </c>
    </row>
    <row r="873" spans="1:16" ht="82.05" customHeight="1" x14ac:dyDescent="0.3">
      <c r="A873" s="50" t="s">
        <v>2277</v>
      </c>
      <c r="B873" s="50" t="s">
        <v>86</v>
      </c>
      <c r="C873" s="50" t="s">
        <v>29</v>
      </c>
      <c r="D873" s="50" t="s">
        <v>347</v>
      </c>
      <c r="E873" s="121">
        <v>94667478</v>
      </c>
      <c r="F873" s="121">
        <v>94667478</v>
      </c>
      <c r="G873" s="121" t="s">
        <v>2033</v>
      </c>
      <c r="H873" s="121">
        <f t="shared" si="28"/>
        <v>94667.478000000003</v>
      </c>
      <c r="I873" s="121">
        <f>DGKC!H76</f>
        <v>94667.478000000003</v>
      </c>
      <c r="J873" s="121">
        <f t="shared" si="29"/>
        <v>0</v>
      </c>
      <c r="K873" s="50" t="s">
        <v>2043</v>
      </c>
      <c r="L873" s="50">
        <v>153</v>
      </c>
      <c r="M873" s="50" t="s">
        <v>1127</v>
      </c>
      <c r="N873" s="68" t="s">
        <v>3564</v>
      </c>
      <c r="O873" s="68" t="s">
        <v>3565</v>
      </c>
      <c r="P873" s="68" t="s">
        <v>4400</v>
      </c>
    </row>
    <row r="874" spans="1:16" ht="82.05" customHeight="1" x14ac:dyDescent="0.3">
      <c r="A874" s="119" t="s">
        <v>2278</v>
      </c>
      <c r="B874" s="119" t="s">
        <v>86</v>
      </c>
      <c r="C874" s="119" t="s">
        <v>965</v>
      </c>
      <c r="D874" s="119" t="s">
        <v>349</v>
      </c>
      <c r="E874" s="120">
        <v>34106427</v>
      </c>
      <c r="F874" s="120">
        <v>34106427</v>
      </c>
      <c r="G874" s="120" t="s">
        <v>2033</v>
      </c>
      <c r="H874" s="120">
        <f t="shared" si="28"/>
        <v>34106.427000000003</v>
      </c>
      <c r="I874" s="120">
        <f>DGKC!C77</f>
        <v>34106.427000000003</v>
      </c>
      <c r="J874" s="120">
        <f t="shared" si="29"/>
        <v>0</v>
      </c>
      <c r="K874" s="119" t="s">
        <v>2031</v>
      </c>
      <c r="L874" s="119">
        <v>106</v>
      </c>
      <c r="M874" s="119" t="s">
        <v>1106</v>
      </c>
      <c r="N874" s="122" t="s">
        <v>3564</v>
      </c>
      <c r="O874" s="122" t="s">
        <v>3565</v>
      </c>
      <c r="P874" s="122" t="s">
        <v>4401</v>
      </c>
    </row>
    <row r="875" spans="1:16" ht="82.05" customHeight="1" x14ac:dyDescent="0.3">
      <c r="A875" s="50" t="s">
        <v>2279</v>
      </c>
      <c r="B875" s="50" t="s">
        <v>86</v>
      </c>
      <c r="C875" s="50" t="s">
        <v>20</v>
      </c>
      <c r="D875" s="50" t="s">
        <v>349</v>
      </c>
      <c r="E875" s="121">
        <v>36851264</v>
      </c>
      <c r="F875" s="121">
        <v>36851264</v>
      </c>
      <c r="G875" s="121" t="s">
        <v>2033</v>
      </c>
      <c r="H875" s="121">
        <f t="shared" si="28"/>
        <v>36851.264000000003</v>
      </c>
      <c r="I875" s="121">
        <f>DGKC!D77</f>
        <v>36851.264000000003</v>
      </c>
      <c r="J875" s="121">
        <f t="shared" si="29"/>
        <v>0</v>
      </c>
      <c r="K875" s="50" t="s">
        <v>2035</v>
      </c>
      <c r="L875" s="50">
        <v>126</v>
      </c>
      <c r="M875" s="50" t="s">
        <v>1106</v>
      </c>
      <c r="N875" s="68" t="s">
        <v>3564</v>
      </c>
      <c r="O875" s="68" t="s">
        <v>3565</v>
      </c>
      <c r="P875" s="68" t="s">
        <v>4402</v>
      </c>
    </row>
    <row r="876" spans="1:16" ht="82.05" customHeight="1" x14ac:dyDescent="0.3">
      <c r="A876" s="119" t="s">
        <v>2280</v>
      </c>
      <c r="B876" s="119" t="s">
        <v>86</v>
      </c>
      <c r="C876" s="119" t="s">
        <v>26</v>
      </c>
      <c r="D876" s="119" t="s">
        <v>349</v>
      </c>
      <c r="E876" s="120">
        <v>40813163</v>
      </c>
      <c r="F876" s="120">
        <v>40813163</v>
      </c>
      <c r="G876" s="120" t="s">
        <v>2033</v>
      </c>
      <c r="H876" s="120">
        <f t="shared" si="28"/>
        <v>40813.163</v>
      </c>
      <c r="I876" s="120">
        <f>DGKC!E77</f>
        <v>40813.163</v>
      </c>
      <c r="J876" s="120">
        <f t="shared" si="29"/>
        <v>0</v>
      </c>
      <c r="K876" s="119" t="s">
        <v>2038</v>
      </c>
      <c r="L876" s="119">
        <v>152</v>
      </c>
      <c r="M876" s="119" t="s">
        <v>1106</v>
      </c>
      <c r="N876" s="122" t="s">
        <v>3564</v>
      </c>
      <c r="O876" s="122" t="s">
        <v>3565</v>
      </c>
      <c r="P876" s="122" t="s">
        <v>4403</v>
      </c>
    </row>
    <row r="877" spans="1:16" ht="82.05" customHeight="1" x14ac:dyDescent="0.3">
      <c r="A877" s="50" t="s">
        <v>2281</v>
      </c>
      <c r="B877" s="50" t="s">
        <v>86</v>
      </c>
      <c r="C877" s="50" t="s">
        <v>27</v>
      </c>
      <c r="D877" s="50" t="s">
        <v>349</v>
      </c>
      <c r="E877" s="121">
        <v>39026666</v>
      </c>
      <c r="F877" s="121">
        <v>39026666</v>
      </c>
      <c r="G877" s="121" t="s">
        <v>2033</v>
      </c>
      <c r="H877" s="121">
        <f t="shared" si="28"/>
        <v>39026.665999999997</v>
      </c>
      <c r="I877" s="121">
        <f>DGKC!F77</f>
        <v>39026.665999999997</v>
      </c>
      <c r="J877" s="121">
        <f t="shared" si="29"/>
        <v>0</v>
      </c>
      <c r="K877" s="50" t="s">
        <v>2041</v>
      </c>
      <c r="L877" s="50">
        <v>152</v>
      </c>
      <c r="M877" s="50" t="s">
        <v>1106</v>
      </c>
      <c r="N877" s="68" t="s">
        <v>3564</v>
      </c>
      <c r="O877" s="68" t="s">
        <v>3565</v>
      </c>
      <c r="P877" s="68" t="s">
        <v>4404</v>
      </c>
    </row>
    <row r="878" spans="1:16" ht="82.05" customHeight="1" x14ac:dyDescent="0.3">
      <c r="A878" s="119" t="s">
        <v>2282</v>
      </c>
      <c r="B878" s="119" t="s">
        <v>86</v>
      </c>
      <c r="C878" s="119" t="s">
        <v>28</v>
      </c>
      <c r="D878" s="119" t="s">
        <v>349</v>
      </c>
      <c r="E878" s="120">
        <v>41770521</v>
      </c>
      <c r="F878" s="120">
        <v>41770521</v>
      </c>
      <c r="G878" s="120" t="s">
        <v>2033</v>
      </c>
      <c r="H878" s="120">
        <f t="shared" si="28"/>
        <v>41770.521000000001</v>
      </c>
      <c r="I878" s="120">
        <f>DGKC!G77</f>
        <v>41770.521000000001</v>
      </c>
      <c r="J878" s="120">
        <f t="shared" si="29"/>
        <v>0</v>
      </c>
      <c r="K878" s="119" t="s">
        <v>2043</v>
      </c>
      <c r="L878" s="119">
        <v>154</v>
      </c>
      <c r="M878" s="119" t="s">
        <v>1106</v>
      </c>
      <c r="N878" s="122" t="s">
        <v>3564</v>
      </c>
      <c r="O878" s="122" t="s">
        <v>3565</v>
      </c>
      <c r="P878" s="122" t="s">
        <v>4405</v>
      </c>
    </row>
    <row r="879" spans="1:16" ht="82.05" customHeight="1" x14ac:dyDescent="0.3">
      <c r="A879" s="50" t="s">
        <v>2283</v>
      </c>
      <c r="B879" s="50" t="s">
        <v>86</v>
      </c>
      <c r="C879" s="50" t="s">
        <v>29</v>
      </c>
      <c r="D879" s="50" t="s">
        <v>349</v>
      </c>
      <c r="E879" s="121">
        <v>47908042</v>
      </c>
      <c r="F879" s="121">
        <v>47908042</v>
      </c>
      <c r="G879" s="121" t="s">
        <v>2033</v>
      </c>
      <c r="H879" s="121">
        <f t="shared" si="28"/>
        <v>47908.042000000001</v>
      </c>
      <c r="I879" s="121">
        <f>DGKC!H77</f>
        <v>47908.042000000001</v>
      </c>
      <c r="J879" s="121">
        <f t="shared" si="29"/>
        <v>0</v>
      </c>
      <c r="K879" s="50" t="s">
        <v>2043</v>
      </c>
      <c r="L879" s="50">
        <v>154</v>
      </c>
      <c r="M879" s="50" t="s">
        <v>1127</v>
      </c>
      <c r="N879" s="68" t="s">
        <v>3564</v>
      </c>
      <c r="O879" s="68" t="s">
        <v>3565</v>
      </c>
      <c r="P879" s="68" t="s">
        <v>4406</v>
      </c>
    </row>
    <row r="880" spans="1:16" ht="82.05" customHeight="1" x14ac:dyDescent="0.3">
      <c r="A880" s="119" t="s">
        <v>2284</v>
      </c>
      <c r="B880" s="119" t="s">
        <v>86</v>
      </c>
      <c r="C880" s="119" t="s">
        <v>965</v>
      </c>
      <c r="D880" s="119" t="s">
        <v>351</v>
      </c>
      <c r="E880" s="120">
        <v>37624257</v>
      </c>
      <c r="F880" s="120">
        <v>37624257</v>
      </c>
      <c r="G880" s="120" t="s">
        <v>2033</v>
      </c>
      <c r="H880" s="120">
        <f t="shared" si="28"/>
        <v>37624.256999999998</v>
      </c>
      <c r="I880" s="120">
        <f>DGKC!C78</f>
        <v>37624.256999999998</v>
      </c>
      <c r="J880" s="120">
        <f t="shared" si="29"/>
        <v>0</v>
      </c>
      <c r="K880" s="119" t="s">
        <v>2031</v>
      </c>
      <c r="L880" s="119">
        <v>105</v>
      </c>
      <c r="M880" s="119" t="s">
        <v>1106</v>
      </c>
      <c r="N880" s="122" t="s">
        <v>3564</v>
      </c>
      <c r="O880" s="122" t="s">
        <v>3565</v>
      </c>
      <c r="P880" s="122" t="s">
        <v>4407</v>
      </c>
    </row>
    <row r="881" spans="1:16" ht="82.05" customHeight="1" x14ac:dyDescent="0.3">
      <c r="A881" s="50" t="s">
        <v>2285</v>
      </c>
      <c r="B881" s="50" t="s">
        <v>86</v>
      </c>
      <c r="C881" s="50" t="s">
        <v>20</v>
      </c>
      <c r="D881" s="50" t="s">
        <v>351</v>
      </c>
      <c r="E881" s="121">
        <v>40295520</v>
      </c>
      <c r="F881" s="121">
        <v>40295520</v>
      </c>
      <c r="G881" s="121" t="s">
        <v>2033</v>
      </c>
      <c r="H881" s="121">
        <f t="shared" si="28"/>
        <v>40295.519999999997</v>
      </c>
      <c r="I881" s="121">
        <f>DGKC!D78</f>
        <v>40295.519999999997</v>
      </c>
      <c r="J881" s="121">
        <f t="shared" si="29"/>
        <v>0</v>
      </c>
      <c r="K881" s="50" t="s">
        <v>2035</v>
      </c>
      <c r="L881" s="50">
        <v>125</v>
      </c>
      <c r="M881" s="50" t="s">
        <v>1106</v>
      </c>
      <c r="N881" s="68" t="s">
        <v>3564</v>
      </c>
      <c r="O881" s="68" t="s">
        <v>3565</v>
      </c>
      <c r="P881" s="68" t="s">
        <v>4408</v>
      </c>
    </row>
    <row r="882" spans="1:16" ht="82.05" customHeight="1" x14ac:dyDescent="0.3">
      <c r="A882" s="119" t="s">
        <v>2286</v>
      </c>
      <c r="B882" s="119" t="s">
        <v>86</v>
      </c>
      <c r="C882" s="119" t="s">
        <v>26</v>
      </c>
      <c r="D882" s="119" t="s">
        <v>351</v>
      </c>
      <c r="E882" s="120">
        <v>46089031</v>
      </c>
      <c r="F882" s="120">
        <v>46089031</v>
      </c>
      <c r="G882" s="120" t="s">
        <v>2033</v>
      </c>
      <c r="H882" s="120">
        <f t="shared" si="28"/>
        <v>46089.031000000003</v>
      </c>
      <c r="I882" s="120">
        <f>DGKC!E78</f>
        <v>46089.031000000003</v>
      </c>
      <c r="J882" s="120">
        <f t="shared" si="29"/>
        <v>0</v>
      </c>
      <c r="K882" s="119" t="s">
        <v>2038</v>
      </c>
      <c r="L882" s="119">
        <v>151</v>
      </c>
      <c r="M882" s="119" t="s">
        <v>1106</v>
      </c>
      <c r="N882" s="122" t="s">
        <v>3564</v>
      </c>
      <c r="O882" s="122" t="s">
        <v>3565</v>
      </c>
      <c r="P882" s="122" t="s">
        <v>4409</v>
      </c>
    </row>
    <row r="883" spans="1:16" ht="82.05" customHeight="1" x14ac:dyDescent="0.3">
      <c r="A883" s="50" t="s">
        <v>2287</v>
      </c>
      <c r="B883" s="50" t="s">
        <v>86</v>
      </c>
      <c r="C883" s="50" t="s">
        <v>27</v>
      </c>
      <c r="D883" s="50" t="s">
        <v>351</v>
      </c>
      <c r="E883" s="121">
        <v>48675790</v>
      </c>
      <c r="F883" s="121">
        <v>48675790</v>
      </c>
      <c r="G883" s="121" t="s">
        <v>2033</v>
      </c>
      <c r="H883" s="121">
        <f t="shared" si="28"/>
        <v>48675.79</v>
      </c>
      <c r="I883" s="121">
        <f>DGKC!F78</f>
        <v>48675.79</v>
      </c>
      <c r="J883" s="121">
        <f t="shared" si="29"/>
        <v>0</v>
      </c>
      <c r="K883" s="50" t="s">
        <v>2041</v>
      </c>
      <c r="L883" s="50">
        <v>151</v>
      </c>
      <c r="M883" s="50" t="s">
        <v>1106</v>
      </c>
      <c r="N883" s="68" t="s">
        <v>3564</v>
      </c>
      <c r="O883" s="68" t="s">
        <v>3565</v>
      </c>
      <c r="P883" s="68" t="s">
        <v>4410</v>
      </c>
    </row>
    <row r="884" spans="1:16" ht="82.05" customHeight="1" x14ac:dyDescent="0.3">
      <c r="A884" s="119" t="s">
        <v>2288</v>
      </c>
      <c r="B884" s="119" t="s">
        <v>86</v>
      </c>
      <c r="C884" s="119" t="s">
        <v>28</v>
      </c>
      <c r="D884" s="119" t="s">
        <v>351</v>
      </c>
      <c r="E884" s="120">
        <v>32225717</v>
      </c>
      <c r="F884" s="120">
        <v>32225717</v>
      </c>
      <c r="G884" s="120" t="s">
        <v>2033</v>
      </c>
      <c r="H884" s="120">
        <f t="shared" si="28"/>
        <v>32225.717000000001</v>
      </c>
      <c r="I884" s="120">
        <f>DGKC!G78</f>
        <v>32225.717000000001</v>
      </c>
      <c r="J884" s="120">
        <f t="shared" si="29"/>
        <v>0</v>
      </c>
      <c r="K884" s="119" t="s">
        <v>2043</v>
      </c>
      <c r="L884" s="119">
        <v>153</v>
      </c>
      <c r="M884" s="119" t="s">
        <v>1106</v>
      </c>
      <c r="N884" s="122" t="s">
        <v>3564</v>
      </c>
      <c r="O884" s="122" t="s">
        <v>3565</v>
      </c>
      <c r="P884" s="122" t="s">
        <v>4411</v>
      </c>
    </row>
    <row r="885" spans="1:16" ht="82.05" customHeight="1" x14ac:dyDescent="0.3">
      <c r="A885" s="50" t="s">
        <v>2289</v>
      </c>
      <c r="B885" s="50" t="s">
        <v>86</v>
      </c>
      <c r="C885" s="50" t="s">
        <v>29</v>
      </c>
      <c r="D885" s="50" t="s">
        <v>351</v>
      </c>
      <c r="E885" s="121">
        <v>25910920</v>
      </c>
      <c r="F885" s="121">
        <v>25910920</v>
      </c>
      <c r="G885" s="121" t="s">
        <v>2033</v>
      </c>
      <c r="H885" s="121">
        <f t="shared" si="28"/>
        <v>25910.92</v>
      </c>
      <c r="I885" s="121">
        <f>DGKC!H78</f>
        <v>25910.92</v>
      </c>
      <c r="J885" s="121">
        <f t="shared" si="29"/>
        <v>0</v>
      </c>
      <c r="K885" s="50" t="s">
        <v>2043</v>
      </c>
      <c r="L885" s="50">
        <v>153</v>
      </c>
      <c r="M885" s="50" t="s">
        <v>1127</v>
      </c>
      <c r="N885" s="68" t="s">
        <v>3564</v>
      </c>
      <c r="O885" s="68" t="s">
        <v>3565</v>
      </c>
      <c r="P885" s="68" t="s">
        <v>4412</v>
      </c>
    </row>
    <row r="886" spans="1:16" ht="82.05" customHeight="1" x14ac:dyDescent="0.3">
      <c r="A886" s="119" t="s">
        <v>2290</v>
      </c>
      <c r="B886" s="119" t="s">
        <v>86</v>
      </c>
      <c r="C886" s="119" t="s">
        <v>20</v>
      </c>
      <c r="D886" s="119" t="s">
        <v>358</v>
      </c>
      <c r="E886" s="120">
        <v>45107690</v>
      </c>
      <c r="F886" s="120">
        <v>45107690</v>
      </c>
      <c r="G886" s="120" t="s">
        <v>2033</v>
      </c>
      <c r="H886" s="120">
        <f t="shared" si="28"/>
        <v>45107.69</v>
      </c>
      <c r="I886" s="120">
        <f>DGKC!D84</f>
        <v>45107.69</v>
      </c>
      <c r="J886" s="120">
        <f t="shared" si="29"/>
        <v>0</v>
      </c>
      <c r="K886" s="119" t="s">
        <v>2035</v>
      </c>
      <c r="L886" s="119">
        <v>127</v>
      </c>
      <c r="M886" s="119" t="s">
        <v>1106</v>
      </c>
      <c r="N886" s="122" t="s">
        <v>3564</v>
      </c>
      <c r="O886" s="122" t="s">
        <v>3565</v>
      </c>
      <c r="P886" s="122" t="s">
        <v>4413</v>
      </c>
    </row>
    <row r="887" spans="1:16" ht="82.05" customHeight="1" x14ac:dyDescent="0.3">
      <c r="A887" s="50" t="s">
        <v>2293</v>
      </c>
      <c r="B887" s="50" t="s">
        <v>86</v>
      </c>
      <c r="C887" s="50" t="s">
        <v>26</v>
      </c>
      <c r="D887" s="50" t="s">
        <v>358</v>
      </c>
      <c r="E887" s="121">
        <v>58043863</v>
      </c>
      <c r="F887" s="121">
        <v>58043863</v>
      </c>
      <c r="G887" s="121" t="s">
        <v>2033</v>
      </c>
      <c r="H887" s="121">
        <f t="shared" si="28"/>
        <v>58043.862999999998</v>
      </c>
      <c r="I887" s="121">
        <f>DGKC!E84</f>
        <v>58043.862999999998</v>
      </c>
      <c r="J887" s="121">
        <f t="shared" si="29"/>
        <v>0</v>
      </c>
      <c r="K887" s="50" t="s">
        <v>2038</v>
      </c>
      <c r="L887" s="50">
        <v>153</v>
      </c>
      <c r="M887" s="50" t="s">
        <v>1106</v>
      </c>
      <c r="N887" s="68" t="s">
        <v>3564</v>
      </c>
      <c r="O887" s="68" t="s">
        <v>3565</v>
      </c>
      <c r="P887" s="68" t="s">
        <v>4414</v>
      </c>
    </row>
    <row r="888" spans="1:16" ht="82.05" customHeight="1" x14ac:dyDescent="0.3">
      <c r="A888" s="119" t="s">
        <v>2294</v>
      </c>
      <c r="B888" s="119" t="s">
        <v>86</v>
      </c>
      <c r="C888" s="119" t="s">
        <v>27</v>
      </c>
      <c r="D888" s="119" t="s">
        <v>358</v>
      </c>
      <c r="E888" s="120">
        <v>64983821</v>
      </c>
      <c r="F888" s="120">
        <v>64983821</v>
      </c>
      <c r="G888" s="120" t="s">
        <v>2033</v>
      </c>
      <c r="H888" s="120">
        <f t="shared" si="28"/>
        <v>64983.821000000004</v>
      </c>
      <c r="I888" s="120">
        <f>DGKC!F84</f>
        <v>64983.821000000004</v>
      </c>
      <c r="J888" s="120">
        <f t="shared" si="29"/>
        <v>0</v>
      </c>
      <c r="K888" s="119" t="s">
        <v>2041</v>
      </c>
      <c r="L888" s="119">
        <v>153</v>
      </c>
      <c r="M888" s="119" t="s">
        <v>1106</v>
      </c>
      <c r="N888" s="122" t="s">
        <v>3564</v>
      </c>
      <c r="O888" s="122" t="s">
        <v>3565</v>
      </c>
      <c r="P888" s="122" t="s">
        <v>4415</v>
      </c>
    </row>
    <row r="889" spans="1:16" ht="82.05" customHeight="1" x14ac:dyDescent="0.3">
      <c r="A889" s="50" t="s">
        <v>2295</v>
      </c>
      <c r="B889" s="50" t="s">
        <v>86</v>
      </c>
      <c r="C889" s="50" t="s">
        <v>28</v>
      </c>
      <c r="D889" s="50" t="s">
        <v>358</v>
      </c>
      <c r="E889" s="121">
        <v>66038689</v>
      </c>
      <c r="F889" s="121">
        <v>66038689</v>
      </c>
      <c r="G889" s="121" t="s">
        <v>2033</v>
      </c>
      <c r="H889" s="121">
        <f t="shared" si="28"/>
        <v>66038.688999999998</v>
      </c>
      <c r="I889" s="121">
        <f>DGKC!G84</f>
        <v>66038.688999999998</v>
      </c>
      <c r="J889" s="121">
        <f t="shared" si="29"/>
        <v>0</v>
      </c>
      <c r="K889" s="50" t="s">
        <v>2043</v>
      </c>
      <c r="L889" s="50">
        <v>155</v>
      </c>
      <c r="M889" s="50" t="s">
        <v>1106</v>
      </c>
      <c r="N889" s="68" t="s">
        <v>3564</v>
      </c>
      <c r="O889" s="68" t="s">
        <v>3565</v>
      </c>
      <c r="P889" s="68" t="s">
        <v>4416</v>
      </c>
    </row>
    <row r="890" spans="1:16" ht="82.05" customHeight="1" x14ac:dyDescent="0.3">
      <c r="A890" s="119" t="s">
        <v>2297</v>
      </c>
      <c r="B890" s="119" t="s">
        <v>86</v>
      </c>
      <c r="C890" s="119" t="s">
        <v>29</v>
      </c>
      <c r="D890" s="119" t="s">
        <v>358</v>
      </c>
      <c r="E890" s="120">
        <v>71892837</v>
      </c>
      <c r="F890" s="120">
        <v>71892837</v>
      </c>
      <c r="G890" s="120" t="s">
        <v>2033</v>
      </c>
      <c r="H890" s="120">
        <f t="shared" si="28"/>
        <v>71892.837</v>
      </c>
      <c r="I890" s="120">
        <f>DGKC!H84</f>
        <v>71892.837</v>
      </c>
      <c r="J890" s="120">
        <f t="shared" si="29"/>
        <v>0</v>
      </c>
      <c r="K890" s="119" t="s">
        <v>2043</v>
      </c>
      <c r="L890" s="119">
        <v>155</v>
      </c>
      <c r="M890" s="119" t="s">
        <v>1127</v>
      </c>
      <c r="N890" s="122" t="s">
        <v>3564</v>
      </c>
      <c r="O890" s="122" t="s">
        <v>3565</v>
      </c>
      <c r="P890" s="122" t="s">
        <v>4417</v>
      </c>
    </row>
    <row r="891" spans="1:16" ht="82.05" customHeight="1" x14ac:dyDescent="0.3">
      <c r="A891" s="50" t="s">
        <v>2298</v>
      </c>
      <c r="B891" s="50" t="s">
        <v>86</v>
      </c>
      <c r="C891" s="50" t="s">
        <v>20</v>
      </c>
      <c r="D891" s="50" t="s">
        <v>360</v>
      </c>
      <c r="E891" s="121">
        <v>-37035798</v>
      </c>
      <c r="F891" s="121">
        <v>-37035798</v>
      </c>
      <c r="G891" s="121" t="s">
        <v>2033</v>
      </c>
      <c r="H891" s="121">
        <f t="shared" si="28"/>
        <v>-37035.798000000003</v>
      </c>
      <c r="I891" s="121">
        <f>DGKC!D85</f>
        <v>-37035.798000000003</v>
      </c>
      <c r="J891" s="121">
        <f t="shared" si="29"/>
        <v>0</v>
      </c>
      <c r="K891" s="50" t="s">
        <v>2035</v>
      </c>
      <c r="L891" s="50">
        <v>127</v>
      </c>
      <c r="M891" s="50" t="s">
        <v>1106</v>
      </c>
      <c r="N891" s="68" t="s">
        <v>3564</v>
      </c>
      <c r="O891" s="68" t="s">
        <v>3565</v>
      </c>
      <c r="P891" s="68" t="s">
        <v>4418</v>
      </c>
    </row>
    <row r="892" spans="1:16" ht="82.05" customHeight="1" x14ac:dyDescent="0.3">
      <c r="A892" s="119" t="s">
        <v>2299</v>
      </c>
      <c r="B892" s="119" t="s">
        <v>86</v>
      </c>
      <c r="C892" s="119" t="s">
        <v>26</v>
      </c>
      <c r="D892" s="119" t="s">
        <v>360</v>
      </c>
      <c r="E892" s="120">
        <v>-47615551</v>
      </c>
      <c r="F892" s="120">
        <v>-47615551</v>
      </c>
      <c r="G892" s="120" t="s">
        <v>2033</v>
      </c>
      <c r="H892" s="120">
        <f t="shared" si="28"/>
        <v>-47615.550999999999</v>
      </c>
      <c r="I892" s="120">
        <f>DGKC!E85</f>
        <v>-47615.550999999999</v>
      </c>
      <c r="J892" s="120">
        <f t="shared" si="29"/>
        <v>0</v>
      </c>
      <c r="K892" s="119" t="s">
        <v>2038</v>
      </c>
      <c r="L892" s="119">
        <v>153</v>
      </c>
      <c r="M892" s="119" t="s">
        <v>1106</v>
      </c>
      <c r="N892" s="122" t="s">
        <v>3564</v>
      </c>
      <c r="O892" s="122" t="s">
        <v>3565</v>
      </c>
      <c r="P892" s="122" t="s">
        <v>4419</v>
      </c>
    </row>
    <row r="893" spans="1:16" ht="82.05" customHeight="1" x14ac:dyDescent="0.3">
      <c r="A893" s="50" t="s">
        <v>2300</v>
      </c>
      <c r="B893" s="50" t="s">
        <v>86</v>
      </c>
      <c r="C893" s="50" t="s">
        <v>27</v>
      </c>
      <c r="D893" s="50" t="s">
        <v>360</v>
      </c>
      <c r="E893" s="121">
        <v>-55428046</v>
      </c>
      <c r="F893" s="121">
        <v>-55428046</v>
      </c>
      <c r="G893" s="121" t="s">
        <v>2033</v>
      </c>
      <c r="H893" s="121">
        <f t="shared" si="28"/>
        <v>-55428.046000000002</v>
      </c>
      <c r="I893" s="121">
        <f>DGKC!F85</f>
        <v>-55428.046000000002</v>
      </c>
      <c r="J893" s="121">
        <f t="shared" si="29"/>
        <v>0</v>
      </c>
      <c r="K893" s="50" t="s">
        <v>2041</v>
      </c>
      <c r="L893" s="50">
        <v>153</v>
      </c>
      <c r="M893" s="50" t="s">
        <v>1106</v>
      </c>
      <c r="N893" s="68" t="s">
        <v>3564</v>
      </c>
      <c r="O893" s="68" t="s">
        <v>3565</v>
      </c>
      <c r="P893" s="68" t="s">
        <v>4420</v>
      </c>
    </row>
    <row r="894" spans="1:16" ht="82.05" customHeight="1" x14ac:dyDescent="0.3">
      <c r="A894" s="119" t="s">
        <v>2301</v>
      </c>
      <c r="B894" s="119" t="s">
        <v>86</v>
      </c>
      <c r="C894" s="119" t="s">
        <v>28</v>
      </c>
      <c r="D894" s="119" t="s">
        <v>360</v>
      </c>
      <c r="E894" s="120">
        <v>-55510429</v>
      </c>
      <c r="F894" s="120">
        <v>-55510429</v>
      </c>
      <c r="G894" s="120" t="s">
        <v>2033</v>
      </c>
      <c r="H894" s="120">
        <f t="shared" si="28"/>
        <v>-55510.428999999996</v>
      </c>
      <c r="I894" s="120">
        <f>DGKC!G85</f>
        <v>-55510.428999999996</v>
      </c>
      <c r="J894" s="120">
        <f t="shared" si="29"/>
        <v>0</v>
      </c>
      <c r="K894" s="119" t="s">
        <v>2043</v>
      </c>
      <c r="L894" s="119">
        <v>155</v>
      </c>
      <c r="M894" s="119" t="s">
        <v>1106</v>
      </c>
      <c r="N894" s="122" t="s">
        <v>3564</v>
      </c>
      <c r="O894" s="122" t="s">
        <v>3565</v>
      </c>
      <c r="P894" s="122" t="s">
        <v>4421</v>
      </c>
    </row>
    <row r="895" spans="1:16" ht="82.05" customHeight="1" x14ac:dyDescent="0.3">
      <c r="A895" s="50" t="s">
        <v>2302</v>
      </c>
      <c r="B895" s="50" t="s">
        <v>86</v>
      </c>
      <c r="C895" s="50" t="s">
        <v>29</v>
      </c>
      <c r="D895" s="50" t="s">
        <v>360</v>
      </c>
      <c r="E895" s="121">
        <v>-53387166</v>
      </c>
      <c r="F895" s="121">
        <v>-53387166</v>
      </c>
      <c r="G895" s="121" t="s">
        <v>2033</v>
      </c>
      <c r="H895" s="121">
        <f t="shared" si="28"/>
        <v>-53387.165999999997</v>
      </c>
      <c r="I895" s="121">
        <f>DGKC!H85</f>
        <v>-53387.165999999997</v>
      </c>
      <c r="J895" s="121">
        <f t="shared" si="29"/>
        <v>0</v>
      </c>
      <c r="K895" s="50" t="s">
        <v>2043</v>
      </c>
      <c r="L895" s="50">
        <v>155</v>
      </c>
      <c r="M895" s="50" t="s">
        <v>1127</v>
      </c>
      <c r="N895" s="68" t="s">
        <v>3564</v>
      </c>
      <c r="O895" s="68" t="s">
        <v>3565</v>
      </c>
      <c r="P895" s="68" t="s">
        <v>4422</v>
      </c>
    </row>
    <row r="896" spans="1:16" ht="82.05" customHeight="1" x14ac:dyDescent="0.3">
      <c r="A896" s="119" t="s">
        <v>2303</v>
      </c>
      <c r="B896" s="119" t="s">
        <v>86</v>
      </c>
      <c r="C896" s="119" t="s">
        <v>20</v>
      </c>
      <c r="D896" s="119" t="s">
        <v>364</v>
      </c>
      <c r="E896" s="120">
        <v>-1950056</v>
      </c>
      <c r="F896" s="120">
        <v>-1950056</v>
      </c>
      <c r="G896" s="120" t="s">
        <v>2033</v>
      </c>
      <c r="H896" s="120">
        <f t="shared" si="28"/>
        <v>-1950.056</v>
      </c>
      <c r="I896" s="120">
        <f>DGKC!D87</f>
        <v>-1950.056</v>
      </c>
      <c r="J896" s="120">
        <f t="shared" si="29"/>
        <v>0</v>
      </c>
      <c r="K896" s="119" t="s">
        <v>2035</v>
      </c>
      <c r="L896" s="119">
        <v>127</v>
      </c>
      <c r="M896" s="119" t="s">
        <v>1106</v>
      </c>
      <c r="N896" s="122" t="s">
        <v>3564</v>
      </c>
      <c r="O896" s="122" t="s">
        <v>3565</v>
      </c>
      <c r="P896" s="122" t="s">
        <v>4423</v>
      </c>
    </row>
    <row r="897" spans="1:16" ht="82.05" customHeight="1" x14ac:dyDescent="0.3">
      <c r="A897" s="50" t="s">
        <v>2304</v>
      </c>
      <c r="B897" s="50" t="s">
        <v>86</v>
      </c>
      <c r="C897" s="50" t="s">
        <v>26</v>
      </c>
      <c r="D897" s="50" t="s">
        <v>364</v>
      </c>
      <c r="E897" s="121">
        <v>-1748859</v>
      </c>
      <c r="F897" s="121">
        <v>-1748859</v>
      </c>
      <c r="G897" s="121" t="s">
        <v>2033</v>
      </c>
      <c r="H897" s="121">
        <f t="shared" si="28"/>
        <v>-1748.8589999999999</v>
      </c>
      <c r="I897" s="121">
        <f>DGKC!E87</f>
        <v>-1748.8589999999999</v>
      </c>
      <c r="J897" s="121">
        <f t="shared" si="29"/>
        <v>0</v>
      </c>
      <c r="K897" s="50" t="s">
        <v>2038</v>
      </c>
      <c r="L897" s="50">
        <v>153</v>
      </c>
      <c r="M897" s="50" t="s">
        <v>1106</v>
      </c>
      <c r="N897" s="68" t="s">
        <v>3564</v>
      </c>
      <c r="O897" s="68" t="s">
        <v>3565</v>
      </c>
      <c r="P897" s="68" t="s">
        <v>4424</v>
      </c>
    </row>
    <row r="898" spans="1:16" ht="82.05" customHeight="1" x14ac:dyDescent="0.3">
      <c r="A898" s="119" t="s">
        <v>2305</v>
      </c>
      <c r="B898" s="119" t="s">
        <v>86</v>
      </c>
      <c r="C898" s="119" t="s">
        <v>27</v>
      </c>
      <c r="D898" s="119" t="s">
        <v>364</v>
      </c>
      <c r="E898" s="120">
        <v>-1818028</v>
      </c>
      <c r="F898" s="120">
        <v>-1818028</v>
      </c>
      <c r="G898" s="120" t="s">
        <v>2033</v>
      </c>
      <c r="H898" s="120">
        <f t="shared" si="28"/>
        <v>-1818.028</v>
      </c>
      <c r="I898" s="120">
        <f>DGKC!F87</f>
        <v>-1818.028</v>
      </c>
      <c r="J898" s="120">
        <f t="shared" si="29"/>
        <v>0</v>
      </c>
      <c r="K898" s="119" t="s">
        <v>2041</v>
      </c>
      <c r="L898" s="119">
        <v>153</v>
      </c>
      <c r="M898" s="119" t="s">
        <v>1106</v>
      </c>
      <c r="N898" s="122" t="s">
        <v>3564</v>
      </c>
      <c r="O898" s="122" t="s">
        <v>3565</v>
      </c>
      <c r="P898" s="122" t="s">
        <v>4425</v>
      </c>
    </row>
    <row r="899" spans="1:16" ht="82.05" customHeight="1" x14ac:dyDescent="0.3">
      <c r="A899" s="50" t="s">
        <v>2306</v>
      </c>
      <c r="B899" s="50" t="s">
        <v>86</v>
      </c>
      <c r="C899" s="50" t="s">
        <v>28</v>
      </c>
      <c r="D899" s="50" t="s">
        <v>364</v>
      </c>
      <c r="E899" s="121">
        <v>-2608537</v>
      </c>
      <c r="F899" s="121">
        <v>-2608537</v>
      </c>
      <c r="G899" s="121" t="s">
        <v>2033</v>
      </c>
      <c r="H899" s="121">
        <f t="shared" si="28"/>
        <v>-2608.5369999999998</v>
      </c>
      <c r="I899" s="121">
        <f>DGKC!G87</f>
        <v>-2608.5369999999998</v>
      </c>
      <c r="J899" s="121">
        <f t="shared" si="29"/>
        <v>0</v>
      </c>
      <c r="K899" s="50" t="s">
        <v>2043</v>
      </c>
      <c r="L899" s="50">
        <v>155</v>
      </c>
      <c r="M899" s="50" t="s">
        <v>1106</v>
      </c>
      <c r="N899" s="68" t="s">
        <v>3564</v>
      </c>
      <c r="O899" s="68" t="s">
        <v>3565</v>
      </c>
      <c r="P899" s="68" t="s">
        <v>4426</v>
      </c>
    </row>
    <row r="900" spans="1:16" ht="82.05" customHeight="1" x14ac:dyDescent="0.3">
      <c r="A900" s="119" t="s">
        <v>2307</v>
      </c>
      <c r="B900" s="119" t="s">
        <v>86</v>
      </c>
      <c r="C900" s="119" t="s">
        <v>29</v>
      </c>
      <c r="D900" s="119" t="s">
        <v>364</v>
      </c>
      <c r="E900" s="120">
        <v>-3874688</v>
      </c>
      <c r="F900" s="120">
        <v>-3874688</v>
      </c>
      <c r="G900" s="120" t="s">
        <v>2033</v>
      </c>
      <c r="H900" s="120">
        <f t="shared" si="28"/>
        <v>-3874.6880000000001</v>
      </c>
      <c r="I900" s="120">
        <f>DGKC!H87</f>
        <v>-3874.6880000000001</v>
      </c>
      <c r="J900" s="120">
        <f t="shared" si="29"/>
        <v>0</v>
      </c>
      <c r="K900" s="119" t="s">
        <v>2043</v>
      </c>
      <c r="L900" s="119">
        <v>155</v>
      </c>
      <c r="M900" s="119" t="s">
        <v>1127</v>
      </c>
      <c r="N900" s="122" t="s">
        <v>3564</v>
      </c>
      <c r="O900" s="122" t="s">
        <v>3565</v>
      </c>
      <c r="P900" s="122" t="s">
        <v>4427</v>
      </c>
    </row>
    <row r="901" spans="1:16" ht="82.05" customHeight="1" x14ac:dyDescent="0.3">
      <c r="A901" s="50" t="s">
        <v>2308</v>
      </c>
      <c r="B901" s="50" t="s">
        <v>86</v>
      </c>
      <c r="C901" s="50" t="s">
        <v>20</v>
      </c>
      <c r="D901" s="50" t="s">
        <v>366</v>
      </c>
      <c r="E901" s="121">
        <v>-646762</v>
      </c>
      <c r="F901" s="121">
        <v>-646762</v>
      </c>
      <c r="G901" s="121" t="s">
        <v>2033</v>
      </c>
      <c r="H901" s="121">
        <f t="shared" si="28"/>
        <v>-646.76199999999994</v>
      </c>
      <c r="I901" s="121">
        <f>DGKC!D88</f>
        <v>-646.76199999999994</v>
      </c>
      <c r="J901" s="121">
        <f t="shared" si="29"/>
        <v>0</v>
      </c>
      <c r="K901" s="50" t="s">
        <v>2035</v>
      </c>
      <c r="L901" s="50">
        <v>127</v>
      </c>
      <c r="M901" s="50" t="s">
        <v>1106</v>
      </c>
      <c r="N901" s="68" t="s">
        <v>3564</v>
      </c>
      <c r="O901" s="68" t="s">
        <v>3565</v>
      </c>
      <c r="P901" s="68" t="s">
        <v>4428</v>
      </c>
    </row>
    <row r="902" spans="1:16" ht="82.05" customHeight="1" x14ac:dyDescent="0.3">
      <c r="A902" s="119" t="s">
        <v>2309</v>
      </c>
      <c r="B902" s="119" t="s">
        <v>86</v>
      </c>
      <c r="C902" s="119" t="s">
        <v>26</v>
      </c>
      <c r="D902" s="119" t="s">
        <v>366</v>
      </c>
      <c r="E902" s="120">
        <v>-751052</v>
      </c>
      <c r="F902" s="120">
        <v>-751052</v>
      </c>
      <c r="G902" s="120" t="s">
        <v>2033</v>
      </c>
      <c r="H902" s="120">
        <f t="shared" si="28"/>
        <v>-751.05200000000002</v>
      </c>
      <c r="I902" s="120">
        <f>DGKC!E88</f>
        <v>-751.05200000000002</v>
      </c>
      <c r="J902" s="120">
        <f t="shared" si="29"/>
        <v>0</v>
      </c>
      <c r="K902" s="119" t="s">
        <v>2038</v>
      </c>
      <c r="L902" s="119">
        <v>153</v>
      </c>
      <c r="M902" s="119" t="s">
        <v>1106</v>
      </c>
      <c r="N902" s="122" t="s">
        <v>3564</v>
      </c>
      <c r="O902" s="122" t="s">
        <v>3565</v>
      </c>
      <c r="P902" s="122" t="s">
        <v>4429</v>
      </c>
    </row>
    <row r="903" spans="1:16" ht="82.05" customHeight="1" x14ac:dyDescent="0.3">
      <c r="A903" s="50" t="s">
        <v>2310</v>
      </c>
      <c r="B903" s="50" t="s">
        <v>86</v>
      </c>
      <c r="C903" s="50" t="s">
        <v>27</v>
      </c>
      <c r="D903" s="50" t="s">
        <v>366</v>
      </c>
      <c r="E903" s="121">
        <v>-879356</v>
      </c>
      <c r="F903" s="121">
        <v>-879356</v>
      </c>
      <c r="G903" s="121" t="s">
        <v>2033</v>
      </c>
      <c r="H903" s="121">
        <f t="shared" si="28"/>
        <v>-879.35599999999999</v>
      </c>
      <c r="I903" s="121">
        <f>DGKC!F88</f>
        <v>-879.35599999999999</v>
      </c>
      <c r="J903" s="121">
        <f t="shared" si="29"/>
        <v>0</v>
      </c>
      <c r="K903" s="50" t="s">
        <v>2041</v>
      </c>
      <c r="L903" s="50">
        <v>153</v>
      </c>
      <c r="M903" s="50" t="s">
        <v>1106</v>
      </c>
      <c r="N903" s="68" t="s">
        <v>3564</v>
      </c>
      <c r="O903" s="68" t="s">
        <v>3565</v>
      </c>
      <c r="P903" s="68" t="s">
        <v>4430</v>
      </c>
    </row>
    <row r="904" spans="1:16" ht="82.05" customHeight="1" x14ac:dyDescent="0.3">
      <c r="A904" s="119" t="s">
        <v>2311</v>
      </c>
      <c r="B904" s="119" t="s">
        <v>86</v>
      </c>
      <c r="C904" s="119" t="s">
        <v>28</v>
      </c>
      <c r="D904" s="119" t="s">
        <v>366</v>
      </c>
      <c r="E904" s="120">
        <v>-1206105</v>
      </c>
      <c r="F904" s="120">
        <v>-1206105</v>
      </c>
      <c r="G904" s="120" t="s">
        <v>2033</v>
      </c>
      <c r="H904" s="120">
        <f t="shared" si="28"/>
        <v>-1206.105</v>
      </c>
      <c r="I904" s="120">
        <f>DGKC!G88</f>
        <v>-1206.105</v>
      </c>
      <c r="J904" s="120">
        <f t="shared" si="29"/>
        <v>0</v>
      </c>
      <c r="K904" s="119" t="s">
        <v>2043</v>
      </c>
      <c r="L904" s="119">
        <v>155</v>
      </c>
      <c r="M904" s="119" t="s">
        <v>1106</v>
      </c>
      <c r="N904" s="122" t="s">
        <v>3564</v>
      </c>
      <c r="O904" s="122" t="s">
        <v>3565</v>
      </c>
      <c r="P904" s="122" t="s">
        <v>4431</v>
      </c>
    </row>
    <row r="905" spans="1:16" ht="82.05" customHeight="1" x14ac:dyDescent="0.3">
      <c r="A905" s="50" t="s">
        <v>2312</v>
      </c>
      <c r="B905" s="50" t="s">
        <v>86</v>
      </c>
      <c r="C905" s="50" t="s">
        <v>29</v>
      </c>
      <c r="D905" s="50" t="s">
        <v>366</v>
      </c>
      <c r="E905" s="121">
        <v>-1294974</v>
      </c>
      <c r="F905" s="121">
        <v>-1294974</v>
      </c>
      <c r="G905" s="121" t="s">
        <v>2033</v>
      </c>
      <c r="H905" s="121">
        <f t="shared" si="28"/>
        <v>-1294.9739999999999</v>
      </c>
      <c r="I905" s="121">
        <f>DGKC!H88</f>
        <v>-1294.9739999999999</v>
      </c>
      <c r="J905" s="121">
        <f t="shared" si="29"/>
        <v>0</v>
      </c>
      <c r="K905" s="50" t="s">
        <v>2043</v>
      </c>
      <c r="L905" s="50">
        <v>155</v>
      </c>
      <c r="M905" s="50" t="s">
        <v>1127</v>
      </c>
      <c r="N905" s="68" t="s">
        <v>3564</v>
      </c>
      <c r="O905" s="68" t="s">
        <v>3565</v>
      </c>
      <c r="P905" s="68" t="s">
        <v>4432</v>
      </c>
    </row>
    <row r="906" spans="1:16" ht="82.05" customHeight="1" x14ac:dyDescent="0.3">
      <c r="A906" s="119" t="s">
        <v>2313</v>
      </c>
      <c r="B906" s="119" t="s">
        <v>86</v>
      </c>
      <c r="C906" s="119" t="s">
        <v>20</v>
      </c>
      <c r="D906" s="119" t="s">
        <v>368</v>
      </c>
      <c r="E906" s="120">
        <v>104703</v>
      </c>
      <c r="F906" s="120">
        <v>104703</v>
      </c>
      <c r="G906" s="120" t="s">
        <v>2033</v>
      </c>
      <c r="H906" s="120">
        <f t="shared" si="28"/>
        <v>104.703</v>
      </c>
      <c r="I906" s="120">
        <f>DGKC!D89</f>
        <v>104.703</v>
      </c>
      <c r="J906" s="120">
        <f t="shared" si="29"/>
        <v>0</v>
      </c>
      <c r="K906" s="119" t="s">
        <v>2035</v>
      </c>
      <c r="L906" s="119">
        <v>127</v>
      </c>
      <c r="M906" s="119" t="s">
        <v>1106</v>
      </c>
      <c r="N906" s="122" t="s">
        <v>3564</v>
      </c>
      <c r="O906" s="122" t="s">
        <v>3565</v>
      </c>
      <c r="P906" s="122" t="s">
        <v>4433</v>
      </c>
    </row>
    <row r="907" spans="1:16" ht="82.05" customHeight="1" x14ac:dyDescent="0.3">
      <c r="A907" s="50" t="s">
        <v>2315</v>
      </c>
      <c r="B907" s="50" t="s">
        <v>86</v>
      </c>
      <c r="C907" s="50" t="s">
        <v>26</v>
      </c>
      <c r="D907" s="50" t="s">
        <v>368</v>
      </c>
      <c r="E907" s="121">
        <v>-8990</v>
      </c>
      <c r="F907" s="121">
        <v>-8990</v>
      </c>
      <c r="G907" s="121" t="s">
        <v>2033</v>
      </c>
      <c r="H907" s="121">
        <f t="shared" si="28"/>
        <v>-8.99</v>
      </c>
      <c r="I907" s="121">
        <f>DGKC!E89</f>
        <v>-8.99</v>
      </c>
      <c r="J907" s="121">
        <f t="shared" si="29"/>
        <v>0</v>
      </c>
      <c r="K907" s="50" t="s">
        <v>2038</v>
      </c>
      <c r="L907" s="50">
        <v>153</v>
      </c>
      <c r="M907" s="50" t="s">
        <v>1106</v>
      </c>
      <c r="N907" s="68" t="s">
        <v>3564</v>
      </c>
      <c r="O907" s="68" t="s">
        <v>3565</v>
      </c>
      <c r="P907" s="68" t="s">
        <v>4434</v>
      </c>
    </row>
    <row r="908" spans="1:16" ht="82.05" customHeight="1" x14ac:dyDescent="0.3">
      <c r="A908" s="119" t="s">
        <v>2317</v>
      </c>
      <c r="B908" s="119" t="s">
        <v>86</v>
      </c>
      <c r="C908" s="119" t="s">
        <v>27</v>
      </c>
      <c r="D908" s="119" t="s">
        <v>368</v>
      </c>
      <c r="E908" s="120">
        <v>-104094</v>
      </c>
      <c r="F908" s="120">
        <v>-104094</v>
      </c>
      <c r="G908" s="120" t="s">
        <v>2033</v>
      </c>
      <c r="H908" s="120">
        <f t="shared" si="28"/>
        <v>-104.09399999999999</v>
      </c>
      <c r="I908" s="120">
        <f>DGKC!F89</f>
        <v>-104.09399999999999</v>
      </c>
      <c r="J908" s="120">
        <f t="shared" si="29"/>
        <v>0</v>
      </c>
      <c r="K908" s="119" t="s">
        <v>2041</v>
      </c>
      <c r="L908" s="119">
        <v>153</v>
      </c>
      <c r="M908" s="119" t="s">
        <v>1106</v>
      </c>
      <c r="N908" s="122" t="s">
        <v>3564</v>
      </c>
      <c r="O908" s="122" t="s">
        <v>3565</v>
      </c>
      <c r="P908" s="122" t="s">
        <v>4435</v>
      </c>
    </row>
    <row r="909" spans="1:16" ht="82.05" customHeight="1" x14ac:dyDescent="0.3">
      <c r="A909" s="50" t="s">
        <v>2318</v>
      </c>
      <c r="B909" s="50" t="s">
        <v>86</v>
      </c>
      <c r="C909" s="50" t="s">
        <v>28</v>
      </c>
      <c r="D909" s="50" t="s">
        <v>368</v>
      </c>
      <c r="E909" s="121">
        <v>-103367</v>
      </c>
      <c r="F909" s="121">
        <v>-103367</v>
      </c>
      <c r="G909" s="121" t="s">
        <v>2033</v>
      </c>
      <c r="H909" s="121">
        <f t="shared" si="28"/>
        <v>-103.367</v>
      </c>
      <c r="I909" s="121">
        <f>DGKC!G89</f>
        <v>-103.367</v>
      </c>
      <c r="J909" s="121">
        <f t="shared" si="29"/>
        <v>0</v>
      </c>
      <c r="K909" s="50" t="s">
        <v>2043</v>
      </c>
      <c r="L909" s="50">
        <v>155</v>
      </c>
      <c r="M909" s="50" t="s">
        <v>1106</v>
      </c>
      <c r="N909" s="68" t="s">
        <v>3564</v>
      </c>
      <c r="O909" s="68" t="s">
        <v>3565</v>
      </c>
      <c r="P909" s="68" t="s">
        <v>4436</v>
      </c>
    </row>
    <row r="910" spans="1:16" ht="82.05" customHeight="1" x14ac:dyDescent="0.3">
      <c r="A910" s="119" t="s">
        <v>2319</v>
      </c>
      <c r="B910" s="119" t="s">
        <v>86</v>
      </c>
      <c r="C910" s="119" t="s">
        <v>29</v>
      </c>
      <c r="D910" s="119" t="s">
        <v>368</v>
      </c>
      <c r="E910" s="120">
        <v>-6899</v>
      </c>
      <c r="F910" s="120">
        <v>-6899</v>
      </c>
      <c r="G910" s="120" t="s">
        <v>2033</v>
      </c>
      <c r="H910" s="120">
        <f t="shared" si="28"/>
        <v>-6.899</v>
      </c>
      <c r="I910" s="120">
        <f>DGKC!H89</f>
        <v>-6.899</v>
      </c>
      <c r="J910" s="120">
        <f t="shared" si="29"/>
        <v>0</v>
      </c>
      <c r="K910" s="119" t="s">
        <v>2043</v>
      </c>
      <c r="L910" s="119">
        <v>155</v>
      </c>
      <c r="M910" s="119" t="s">
        <v>1127</v>
      </c>
      <c r="N910" s="122" t="s">
        <v>3564</v>
      </c>
      <c r="O910" s="122" t="s">
        <v>3565</v>
      </c>
      <c r="P910" s="122" t="s">
        <v>4437</v>
      </c>
    </row>
    <row r="911" spans="1:16" ht="82.05" customHeight="1" x14ac:dyDescent="0.3">
      <c r="A911" s="50" t="s">
        <v>2320</v>
      </c>
      <c r="B911" s="50" t="s">
        <v>86</v>
      </c>
      <c r="C911" s="50" t="s">
        <v>20</v>
      </c>
      <c r="D911" s="50" t="s">
        <v>370</v>
      </c>
      <c r="E911" s="121">
        <v>-414315</v>
      </c>
      <c r="F911" s="121">
        <v>-414315</v>
      </c>
      <c r="G911" s="121" t="s">
        <v>2033</v>
      </c>
      <c r="H911" s="121">
        <f t="shared" si="28"/>
        <v>-414.315</v>
      </c>
      <c r="I911" s="121">
        <f>DGKC!D90</f>
        <v>-414.315</v>
      </c>
      <c r="J911" s="121">
        <f t="shared" si="29"/>
        <v>0</v>
      </c>
      <c r="K911" s="50" t="s">
        <v>2035</v>
      </c>
      <c r="L911" s="50">
        <v>127</v>
      </c>
      <c r="M911" s="50" t="s">
        <v>1106</v>
      </c>
      <c r="N911" s="68" t="s">
        <v>3564</v>
      </c>
      <c r="O911" s="68" t="s">
        <v>3565</v>
      </c>
      <c r="P911" s="68" t="s">
        <v>4438</v>
      </c>
    </row>
    <row r="912" spans="1:16" ht="82.05" customHeight="1" x14ac:dyDescent="0.3">
      <c r="A912" s="119" t="s">
        <v>2321</v>
      </c>
      <c r="B912" s="119" t="s">
        <v>86</v>
      </c>
      <c r="C912" s="119" t="s">
        <v>26</v>
      </c>
      <c r="D912" s="119" t="s">
        <v>370</v>
      </c>
      <c r="E912" s="120">
        <v>-1042803</v>
      </c>
      <c r="F912" s="120">
        <v>-1042803</v>
      </c>
      <c r="G912" s="120" t="s">
        <v>2033</v>
      </c>
      <c r="H912" s="120">
        <f t="shared" ref="H912:H975" si="30">F912/1000</f>
        <v>-1042.8030000000001</v>
      </c>
      <c r="I912" s="120">
        <f>DGKC!E90</f>
        <v>-1042.8030000000001</v>
      </c>
      <c r="J912" s="120">
        <f t="shared" ref="J912:J975" si="31">H912-I912</f>
        <v>0</v>
      </c>
      <c r="K912" s="119" t="s">
        <v>2038</v>
      </c>
      <c r="L912" s="119">
        <v>153</v>
      </c>
      <c r="M912" s="119" t="s">
        <v>1106</v>
      </c>
      <c r="N912" s="122" t="s">
        <v>3564</v>
      </c>
      <c r="O912" s="122" t="s">
        <v>3565</v>
      </c>
      <c r="P912" s="122" t="s">
        <v>4439</v>
      </c>
    </row>
    <row r="913" spans="1:16" ht="82.05" customHeight="1" x14ac:dyDescent="0.3">
      <c r="A913" s="50" t="s">
        <v>2322</v>
      </c>
      <c r="B913" s="50" t="s">
        <v>86</v>
      </c>
      <c r="C913" s="50" t="s">
        <v>27</v>
      </c>
      <c r="D913" s="50" t="s">
        <v>370</v>
      </c>
      <c r="E913" s="121">
        <v>-96461</v>
      </c>
      <c r="F913" s="121">
        <v>-96461</v>
      </c>
      <c r="G913" s="121" t="s">
        <v>2033</v>
      </c>
      <c r="H913" s="121">
        <f t="shared" si="30"/>
        <v>-96.460999999999999</v>
      </c>
      <c r="I913" s="121">
        <f>DGKC!F90</f>
        <v>-96.460999999999999</v>
      </c>
      <c r="J913" s="121">
        <f t="shared" si="31"/>
        <v>0</v>
      </c>
      <c r="K913" s="50" t="s">
        <v>2041</v>
      </c>
      <c r="L913" s="50">
        <v>153</v>
      </c>
      <c r="M913" s="50" t="s">
        <v>1106</v>
      </c>
      <c r="N913" s="68" t="s">
        <v>3564</v>
      </c>
      <c r="O913" s="68" t="s">
        <v>3565</v>
      </c>
      <c r="P913" s="68" t="s">
        <v>4440</v>
      </c>
    </row>
    <row r="914" spans="1:16" ht="82.05" customHeight="1" x14ac:dyDescent="0.3">
      <c r="A914" s="119" t="s">
        <v>2323</v>
      </c>
      <c r="B914" s="119" t="s">
        <v>86</v>
      </c>
      <c r="C914" s="119" t="s">
        <v>28</v>
      </c>
      <c r="D914" s="119" t="s">
        <v>370</v>
      </c>
      <c r="E914" s="120">
        <v>-5033</v>
      </c>
      <c r="F914" s="120">
        <v>-5033</v>
      </c>
      <c r="G914" s="120" t="s">
        <v>2033</v>
      </c>
      <c r="H914" s="120">
        <f t="shared" si="30"/>
        <v>-5.0330000000000004</v>
      </c>
      <c r="I914" s="120">
        <f>DGKC!G90</f>
        <v>-5.0330000000000004</v>
      </c>
      <c r="J914" s="120">
        <f t="shared" si="31"/>
        <v>0</v>
      </c>
      <c r="K914" s="119" t="s">
        <v>2043</v>
      </c>
      <c r="L914" s="119">
        <v>155</v>
      </c>
      <c r="M914" s="119" t="s">
        <v>1106</v>
      </c>
      <c r="N914" s="122" t="s">
        <v>3564</v>
      </c>
      <c r="O914" s="122" t="s">
        <v>3565</v>
      </c>
      <c r="P914" s="122" t="s">
        <v>4441</v>
      </c>
    </row>
    <row r="915" spans="1:16" ht="82.05" customHeight="1" x14ac:dyDescent="0.3">
      <c r="A915" s="50" t="s">
        <v>2324</v>
      </c>
      <c r="B915" s="50" t="s">
        <v>86</v>
      </c>
      <c r="C915" s="50" t="s">
        <v>29</v>
      </c>
      <c r="D915" s="50" t="s">
        <v>370</v>
      </c>
      <c r="E915" s="121">
        <v>-725663</v>
      </c>
      <c r="F915" s="121">
        <v>-725663</v>
      </c>
      <c r="G915" s="121" t="s">
        <v>2033</v>
      </c>
      <c r="H915" s="121">
        <f t="shared" si="30"/>
        <v>-725.66300000000001</v>
      </c>
      <c r="I915" s="121">
        <f>DGKC!H90</f>
        <v>-725.66300000000001</v>
      </c>
      <c r="J915" s="121">
        <f t="shared" si="31"/>
        <v>0</v>
      </c>
      <c r="K915" s="50" t="s">
        <v>2043</v>
      </c>
      <c r="L915" s="50">
        <v>155</v>
      </c>
      <c r="M915" s="50" t="s">
        <v>1127</v>
      </c>
      <c r="N915" s="68" t="s">
        <v>3564</v>
      </c>
      <c r="O915" s="68" t="s">
        <v>3565</v>
      </c>
      <c r="P915" s="68" t="s">
        <v>4442</v>
      </c>
    </row>
    <row r="916" spans="1:16" ht="82.05" customHeight="1" x14ac:dyDescent="0.3">
      <c r="A916" s="119" t="s">
        <v>2325</v>
      </c>
      <c r="B916" s="119" t="s">
        <v>86</v>
      </c>
      <c r="C916" s="119" t="s">
        <v>20</v>
      </c>
      <c r="D916" s="119" t="s">
        <v>374</v>
      </c>
      <c r="E916" s="120">
        <v>2526818</v>
      </c>
      <c r="F916" s="120">
        <v>2526818</v>
      </c>
      <c r="G916" s="120" t="s">
        <v>2033</v>
      </c>
      <c r="H916" s="120">
        <f t="shared" si="30"/>
        <v>2526.8180000000002</v>
      </c>
      <c r="I916" s="120">
        <f>DGKC!D92</f>
        <v>2526.8180000000002</v>
      </c>
      <c r="J916" s="120">
        <f t="shared" si="31"/>
        <v>0</v>
      </c>
      <c r="K916" s="119" t="s">
        <v>2035</v>
      </c>
      <c r="L916" s="119">
        <v>127</v>
      </c>
      <c r="M916" s="119" t="s">
        <v>1106</v>
      </c>
      <c r="N916" s="122" t="s">
        <v>3564</v>
      </c>
      <c r="O916" s="122" t="s">
        <v>3565</v>
      </c>
      <c r="P916" s="122" t="s">
        <v>4443</v>
      </c>
    </row>
    <row r="917" spans="1:16" ht="82.05" customHeight="1" x14ac:dyDescent="0.3">
      <c r="A917" s="50" t="s">
        <v>2326</v>
      </c>
      <c r="B917" s="50" t="s">
        <v>86</v>
      </c>
      <c r="C917" s="50" t="s">
        <v>26</v>
      </c>
      <c r="D917" s="50" t="s">
        <v>374</v>
      </c>
      <c r="E917" s="121">
        <v>2714340</v>
      </c>
      <c r="F917" s="121">
        <v>2714340</v>
      </c>
      <c r="G917" s="121" t="s">
        <v>2033</v>
      </c>
      <c r="H917" s="121">
        <f t="shared" si="30"/>
        <v>2714.34</v>
      </c>
      <c r="I917" s="121">
        <f>DGKC!E92</f>
        <v>2714.34</v>
      </c>
      <c r="J917" s="121">
        <f t="shared" si="31"/>
        <v>0</v>
      </c>
      <c r="K917" s="50" t="s">
        <v>2038</v>
      </c>
      <c r="L917" s="50">
        <v>153</v>
      </c>
      <c r="M917" s="50" t="s">
        <v>1106</v>
      </c>
      <c r="N917" s="68" t="s">
        <v>3564</v>
      </c>
      <c r="O917" s="68" t="s">
        <v>3565</v>
      </c>
      <c r="P917" s="68" t="s">
        <v>4444</v>
      </c>
    </row>
    <row r="918" spans="1:16" ht="82.05" customHeight="1" x14ac:dyDescent="0.3">
      <c r="A918" s="119" t="s">
        <v>2327</v>
      </c>
      <c r="B918" s="119" t="s">
        <v>86</v>
      </c>
      <c r="C918" s="119" t="s">
        <v>27</v>
      </c>
      <c r="D918" s="119" t="s">
        <v>374</v>
      </c>
      <c r="E918" s="120">
        <v>3246999</v>
      </c>
      <c r="F918" s="120">
        <v>3246999</v>
      </c>
      <c r="G918" s="120" t="s">
        <v>2033</v>
      </c>
      <c r="H918" s="120">
        <f t="shared" si="30"/>
        <v>3246.9989999999998</v>
      </c>
      <c r="I918" s="120">
        <f>DGKC!F92</f>
        <v>3246.9989999999998</v>
      </c>
      <c r="J918" s="120">
        <f t="shared" si="31"/>
        <v>0</v>
      </c>
      <c r="K918" s="119" t="s">
        <v>2041</v>
      </c>
      <c r="L918" s="119">
        <v>153</v>
      </c>
      <c r="M918" s="119" t="s">
        <v>1106</v>
      </c>
      <c r="N918" s="122" t="s">
        <v>3564</v>
      </c>
      <c r="O918" s="122" t="s">
        <v>3565</v>
      </c>
      <c r="P918" s="122" t="s">
        <v>4445</v>
      </c>
    </row>
    <row r="919" spans="1:16" ht="82.05" customHeight="1" x14ac:dyDescent="0.3">
      <c r="A919" s="50" t="s">
        <v>2328</v>
      </c>
      <c r="B919" s="50" t="s">
        <v>86</v>
      </c>
      <c r="C919" s="50" t="s">
        <v>28</v>
      </c>
      <c r="D919" s="50" t="s">
        <v>374</v>
      </c>
      <c r="E919" s="121">
        <v>4234797</v>
      </c>
      <c r="F919" s="121">
        <v>4234797</v>
      </c>
      <c r="G919" s="121" t="s">
        <v>2033</v>
      </c>
      <c r="H919" s="121">
        <f t="shared" si="30"/>
        <v>4234.7969999999996</v>
      </c>
      <c r="I919" s="121">
        <f>DGKC!G92</f>
        <v>4234.7969999999996</v>
      </c>
      <c r="J919" s="121">
        <f t="shared" si="31"/>
        <v>0</v>
      </c>
      <c r="K919" s="50" t="s">
        <v>2043</v>
      </c>
      <c r="L919" s="50">
        <v>155</v>
      </c>
      <c r="M919" s="50" t="s">
        <v>1106</v>
      </c>
      <c r="N919" s="68" t="s">
        <v>3564</v>
      </c>
      <c r="O919" s="68" t="s">
        <v>3565</v>
      </c>
      <c r="P919" s="68" t="s">
        <v>4446</v>
      </c>
    </row>
    <row r="920" spans="1:16" ht="82.05" customHeight="1" x14ac:dyDescent="0.3">
      <c r="A920" s="119" t="s">
        <v>2329</v>
      </c>
      <c r="B920" s="119" t="s">
        <v>86</v>
      </c>
      <c r="C920" s="119" t="s">
        <v>29</v>
      </c>
      <c r="D920" s="119" t="s">
        <v>374</v>
      </c>
      <c r="E920" s="120">
        <v>4271570</v>
      </c>
      <c r="F920" s="120">
        <v>4271570</v>
      </c>
      <c r="G920" s="120" t="s">
        <v>2033</v>
      </c>
      <c r="H920" s="120">
        <f t="shared" si="30"/>
        <v>4271.57</v>
      </c>
      <c r="I920" s="120">
        <f>DGKC!H92</f>
        <v>4271.57</v>
      </c>
      <c r="J920" s="120">
        <f t="shared" si="31"/>
        <v>0</v>
      </c>
      <c r="K920" s="119" t="s">
        <v>2043</v>
      </c>
      <c r="L920" s="119">
        <v>155</v>
      </c>
      <c r="M920" s="119" t="s">
        <v>1127</v>
      </c>
      <c r="N920" s="122" t="s">
        <v>3564</v>
      </c>
      <c r="O920" s="122" t="s">
        <v>3565</v>
      </c>
      <c r="P920" s="122" t="s">
        <v>4447</v>
      </c>
    </row>
    <row r="921" spans="1:16" ht="82.05" customHeight="1" x14ac:dyDescent="0.3">
      <c r="A921" s="50" t="s">
        <v>2330</v>
      </c>
      <c r="B921" s="50" t="s">
        <v>86</v>
      </c>
      <c r="C921" s="50" t="s">
        <v>20</v>
      </c>
      <c r="D921" s="50" t="s">
        <v>376</v>
      </c>
      <c r="E921" s="121">
        <v>0</v>
      </c>
      <c r="F921" s="121">
        <v>0</v>
      </c>
      <c r="G921" s="121" t="s">
        <v>2033</v>
      </c>
      <c r="H921" s="121">
        <f t="shared" si="30"/>
        <v>0</v>
      </c>
      <c r="I921" s="121">
        <f>DGKC!D93</f>
        <v>0</v>
      </c>
      <c r="J921" s="121">
        <f t="shared" si="31"/>
        <v>0</v>
      </c>
      <c r="K921" s="50" t="s">
        <v>2035</v>
      </c>
      <c r="L921" s="50">
        <v>127</v>
      </c>
      <c r="M921" s="50" t="s">
        <v>1106</v>
      </c>
      <c r="N921" s="68" t="s">
        <v>3578</v>
      </c>
      <c r="O921" s="68" t="s">
        <v>3579</v>
      </c>
      <c r="P921" s="68" t="s">
        <v>4448</v>
      </c>
    </row>
    <row r="922" spans="1:16" ht="82.05" customHeight="1" x14ac:dyDescent="0.3">
      <c r="A922" s="119" t="s">
        <v>2331</v>
      </c>
      <c r="B922" s="119" t="s">
        <v>86</v>
      </c>
      <c r="C922" s="119" t="s">
        <v>26</v>
      </c>
      <c r="D922" s="119" t="s">
        <v>376</v>
      </c>
      <c r="E922" s="120">
        <v>0</v>
      </c>
      <c r="F922" s="120">
        <v>0</v>
      </c>
      <c r="G922" s="120" t="s">
        <v>2033</v>
      </c>
      <c r="H922" s="120">
        <f t="shared" si="30"/>
        <v>0</v>
      </c>
      <c r="I922" s="120">
        <f>DGKC!E93</f>
        <v>0</v>
      </c>
      <c r="J922" s="120">
        <f t="shared" si="31"/>
        <v>0</v>
      </c>
      <c r="K922" s="119" t="s">
        <v>2038</v>
      </c>
      <c r="L922" s="119">
        <v>153</v>
      </c>
      <c r="M922" s="119" t="s">
        <v>1106</v>
      </c>
      <c r="N922" s="122" t="s">
        <v>3578</v>
      </c>
      <c r="O922" s="122" t="s">
        <v>3579</v>
      </c>
      <c r="P922" s="122" t="s">
        <v>4449</v>
      </c>
    </row>
    <row r="923" spans="1:16" ht="82.05" customHeight="1" x14ac:dyDescent="0.3">
      <c r="A923" s="50" t="s">
        <v>2332</v>
      </c>
      <c r="B923" s="50" t="s">
        <v>86</v>
      </c>
      <c r="C923" s="50" t="s">
        <v>27</v>
      </c>
      <c r="D923" s="50" t="s">
        <v>376</v>
      </c>
      <c r="E923" s="121">
        <v>0</v>
      </c>
      <c r="F923" s="121">
        <v>0</v>
      </c>
      <c r="G923" s="121" t="s">
        <v>2033</v>
      </c>
      <c r="H923" s="121">
        <f t="shared" si="30"/>
        <v>0</v>
      </c>
      <c r="I923" s="121">
        <f>DGKC!F93</f>
        <v>0</v>
      </c>
      <c r="J923" s="121">
        <f t="shared" si="31"/>
        <v>0</v>
      </c>
      <c r="K923" s="50" t="s">
        <v>2041</v>
      </c>
      <c r="L923" s="50">
        <v>153</v>
      </c>
      <c r="M923" s="50" t="s">
        <v>1106</v>
      </c>
      <c r="N923" s="68" t="s">
        <v>3578</v>
      </c>
      <c r="O923" s="68" t="s">
        <v>3579</v>
      </c>
      <c r="P923" s="68" t="s">
        <v>4450</v>
      </c>
    </row>
    <row r="924" spans="1:16" ht="82.05" customHeight="1" x14ac:dyDescent="0.3">
      <c r="A924" s="119" t="s">
        <v>2333</v>
      </c>
      <c r="B924" s="119" t="s">
        <v>86</v>
      </c>
      <c r="C924" s="119" t="s">
        <v>28</v>
      </c>
      <c r="D924" s="119" t="s">
        <v>376</v>
      </c>
      <c r="E924" s="120">
        <v>0</v>
      </c>
      <c r="F924" s="120">
        <v>0</v>
      </c>
      <c r="G924" s="120" t="s">
        <v>2033</v>
      </c>
      <c r="H924" s="120">
        <f t="shared" si="30"/>
        <v>0</v>
      </c>
      <c r="I924" s="120">
        <f>DGKC!G93</f>
        <v>0</v>
      </c>
      <c r="J924" s="120">
        <f t="shared" si="31"/>
        <v>0</v>
      </c>
      <c r="K924" s="119" t="s">
        <v>2043</v>
      </c>
      <c r="L924" s="119">
        <v>155</v>
      </c>
      <c r="M924" s="119" t="s">
        <v>1106</v>
      </c>
      <c r="N924" s="122" t="s">
        <v>3578</v>
      </c>
      <c r="O924" s="122" t="s">
        <v>3579</v>
      </c>
      <c r="P924" s="122" t="s">
        <v>4451</v>
      </c>
    </row>
    <row r="925" spans="1:16" ht="82.05" customHeight="1" x14ac:dyDescent="0.3">
      <c r="A925" s="50" t="s">
        <v>2334</v>
      </c>
      <c r="B925" s="50" t="s">
        <v>86</v>
      </c>
      <c r="C925" s="50" t="s">
        <v>29</v>
      </c>
      <c r="D925" s="50" t="s">
        <v>376</v>
      </c>
      <c r="E925" s="121">
        <v>0</v>
      </c>
      <c r="F925" s="121">
        <v>0</v>
      </c>
      <c r="G925" s="121" t="s">
        <v>2033</v>
      </c>
      <c r="H925" s="121">
        <f t="shared" si="30"/>
        <v>0</v>
      </c>
      <c r="I925" s="121">
        <f>DGKC!H93</f>
        <v>0</v>
      </c>
      <c r="J925" s="121">
        <f t="shared" si="31"/>
        <v>0</v>
      </c>
      <c r="K925" s="50" t="s">
        <v>2043</v>
      </c>
      <c r="L925" s="50">
        <v>155</v>
      </c>
      <c r="M925" s="50" t="s">
        <v>1127</v>
      </c>
      <c r="N925" s="68" t="s">
        <v>3578</v>
      </c>
      <c r="O925" s="68" t="s">
        <v>3579</v>
      </c>
      <c r="P925" s="68" t="s">
        <v>4451</v>
      </c>
    </row>
    <row r="926" spans="1:16" ht="82.05" customHeight="1" x14ac:dyDescent="0.3">
      <c r="A926" s="119" t="s">
        <v>2335</v>
      </c>
      <c r="B926" s="119" t="s">
        <v>86</v>
      </c>
      <c r="C926" s="119" t="s">
        <v>20</v>
      </c>
      <c r="D926" s="119" t="s">
        <v>378</v>
      </c>
      <c r="E926" s="120">
        <v>0</v>
      </c>
      <c r="F926" s="120">
        <v>0</v>
      </c>
      <c r="G926" s="120" t="s">
        <v>2033</v>
      </c>
      <c r="H926" s="120">
        <f t="shared" si="30"/>
        <v>0</v>
      </c>
      <c r="I926" s="120">
        <f>DGKC!D94</f>
        <v>0</v>
      </c>
      <c r="J926" s="120">
        <f t="shared" si="31"/>
        <v>0</v>
      </c>
      <c r="K926" s="119" t="s">
        <v>2035</v>
      </c>
      <c r="L926" s="119">
        <v>127</v>
      </c>
      <c r="M926" s="119" t="s">
        <v>1106</v>
      </c>
      <c r="N926" s="122" t="s">
        <v>3578</v>
      </c>
      <c r="O926" s="122" t="s">
        <v>3579</v>
      </c>
      <c r="P926" s="122" t="s">
        <v>4452</v>
      </c>
    </row>
    <row r="927" spans="1:16" ht="82.05" customHeight="1" x14ac:dyDescent="0.3">
      <c r="A927" s="50" t="s">
        <v>2336</v>
      </c>
      <c r="B927" s="50" t="s">
        <v>86</v>
      </c>
      <c r="C927" s="50" t="s">
        <v>26</v>
      </c>
      <c r="D927" s="50" t="s">
        <v>378</v>
      </c>
      <c r="E927" s="121">
        <v>0</v>
      </c>
      <c r="F927" s="121">
        <v>0</v>
      </c>
      <c r="G927" s="121" t="s">
        <v>2033</v>
      </c>
      <c r="H927" s="121">
        <f t="shared" si="30"/>
        <v>0</v>
      </c>
      <c r="I927" s="121">
        <f>DGKC!E94</f>
        <v>0</v>
      </c>
      <c r="J927" s="121">
        <f t="shared" si="31"/>
        <v>0</v>
      </c>
      <c r="K927" s="50" t="s">
        <v>2038</v>
      </c>
      <c r="L927" s="50">
        <v>153</v>
      </c>
      <c r="M927" s="50" t="s">
        <v>1106</v>
      </c>
      <c r="N927" s="68" t="s">
        <v>3578</v>
      </c>
      <c r="O927" s="68" t="s">
        <v>3579</v>
      </c>
      <c r="P927" s="68" t="s">
        <v>4453</v>
      </c>
    </row>
    <row r="928" spans="1:16" ht="82.05" customHeight="1" x14ac:dyDescent="0.3">
      <c r="A928" s="119" t="s">
        <v>2337</v>
      </c>
      <c r="B928" s="119" t="s">
        <v>86</v>
      </c>
      <c r="C928" s="119" t="s">
        <v>27</v>
      </c>
      <c r="D928" s="119" t="s">
        <v>378</v>
      </c>
      <c r="E928" s="120">
        <v>0</v>
      </c>
      <c r="F928" s="120">
        <v>0</v>
      </c>
      <c r="G928" s="120" t="s">
        <v>2033</v>
      </c>
      <c r="H928" s="120">
        <f t="shared" si="30"/>
        <v>0</v>
      </c>
      <c r="I928" s="120">
        <f>DGKC!F94</f>
        <v>0</v>
      </c>
      <c r="J928" s="120">
        <f t="shared" si="31"/>
        <v>0</v>
      </c>
      <c r="K928" s="119" t="s">
        <v>2041</v>
      </c>
      <c r="L928" s="119">
        <v>153</v>
      </c>
      <c r="M928" s="119" t="s">
        <v>1106</v>
      </c>
      <c r="N928" s="122" t="s">
        <v>3578</v>
      </c>
      <c r="O928" s="122" t="s">
        <v>3579</v>
      </c>
      <c r="P928" s="122" t="s">
        <v>4454</v>
      </c>
    </row>
    <row r="929" spans="1:16" ht="82.05" customHeight="1" x14ac:dyDescent="0.3">
      <c r="A929" s="50" t="s">
        <v>2338</v>
      </c>
      <c r="B929" s="50" t="s">
        <v>86</v>
      </c>
      <c r="C929" s="50" t="s">
        <v>28</v>
      </c>
      <c r="D929" s="50" t="s">
        <v>378</v>
      </c>
      <c r="E929" s="121">
        <v>0</v>
      </c>
      <c r="F929" s="121">
        <v>0</v>
      </c>
      <c r="G929" s="121" t="s">
        <v>2033</v>
      </c>
      <c r="H929" s="121">
        <f t="shared" si="30"/>
        <v>0</v>
      </c>
      <c r="I929" s="121">
        <f>DGKC!G94</f>
        <v>0</v>
      </c>
      <c r="J929" s="121">
        <f t="shared" si="31"/>
        <v>0</v>
      </c>
      <c r="K929" s="50" t="s">
        <v>2043</v>
      </c>
      <c r="L929" s="50">
        <v>155</v>
      </c>
      <c r="M929" s="50" t="s">
        <v>1106</v>
      </c>
      <c r="N929" s="68" t="s">
        <v>3578</v>
      </c>
      <c r="O929" s="68" t="s">
        <v>3579</v>
      </c>
      <c r="P929" s="68" t="s">
        <v>4455</v>
      </c>
    </row>
    <row r="930" spans="1:16" ht="82.05" customHeight="1" x14ac:dyDescent="0.3">
      <c r="A930" s="119" t="s">
        <v>2339</v>
      </c>
      <c r="B930" s="119" t="s">
        <v>86</v>
      </c>
      <c r="C930" s="119" t="s">
        <v>29</v>
      </c>
      <c r="D930" s="119" t="s">
        <v>378</v>
      </c>
      <c r="E930" s="120">
        <v>0</v>
      </c>
      <c r="F930" s="120">
        <v>0</v>
      </c>
      <c r="G930" s="120" t="s">
        <v>2033</v>
      </c>
      <c r="H930" s="120">
        <f t="shared" si="30"/>
        <v>0</v>
      </c>
      <c r="I930" s="120">
        <f>DGKC!H94</f>
        <v>0</v>
      </c>
      <c r="J930" s="120">
        <f t="shared" si="31"/>
        <v>0</v>
      </c>
      <c r="K930" s="119" t="s">
        <v>2043</v>
      </c>
      <c r="L930" s="119">
        <v>155</v>
      </c>
      <c r="M930" s="119" t="s">
        <v>1127</v>
      </c>
      <c r="N930" s="122" t="s">
        <v>3578</v>
      </c>
      <c r="O930" s="122" t="s">
        <v>3579</v>
      </c>
      <c r="P930" s="122" t="s">
        <v>4455</v>
      </c>
    </row>
    <row r="931" spans="1:16" ht="82.05" customHeight="1" x14ac:dyDescent="0.3">
      <c r="A931" s="50" t="s">
        <v>2340</v>
      </c>
      <c r="B931" s="50" t="s">
        <v>86</v>
      </c>
      <c r="C931" s="50" t="s">
        <v>20</v>
      </c>
      <c r="D931" s="50" t="s">
        <v>380</v>
      </c>
      <c r="E931" s="121">
        <v>-2920875</v>
      </c>
      <c r="F931" s="121">
        <v>-2920875</v>
      </c>
      <c r="G931" s="121" t="s">
        <v>2033</v>
      </c>
      <c r="H931" s="121">
        <f t="shared" si="30"/>
        <v>-2920.875</v>
      </c>
      <c r="I931" s="121">
        <f>DGKC!D95</f>
        <v>-2920.875</v>
      </c>
      <c r="J931" s="121">
        <f t="shared" si="31"/>
        <v>0</v>
      </c>
      <c r="K931" s="50" t="s">
        <v>2035</v>
      </c>
      <c r="L931" s="50">
        <v>127</v>
      </c>
      <c r="M931" s="50" t="s">
        <v>1106</v>
      </c>
      <c r="N931" s="68" t="s">
        <v>3564</v>
      </c>
      <c r="O931" s="68" t="s">
        <v>3565</v>
      </c>
      <c r="P931" s="68" t="s">
        <v>4456</v>
      </c>
    </row>
    <row r="932" spans="1:16" ht="82.05" customHeight="1" x14ac:dyDescent="0.3">
      <c r="A932" s="119" t="s">
        <v>2341</v>
      </c>
      <c r="B932" s="119" t="s">
        <v>86</v>
      </c>
      <c r="C932" s="119" t="s">
        <v>26</v>
      </c>
      <c r="D932" s="119" t="s">
        <v>380</v>
      </c>
      <c r="E932" s="120">
        <v>-3571187</v>
      </c>
      <c r="F932" s="120">
        <v>-3571187</v>
      </c>
      <c r="G932" s="120" t="s">
        <v>2033</v>
      </c>
      <c r="H932" s="120">
        <f t="shared" si="30"/>
        <v>-3571.1869999999999</v>
      </c>
      <c r="I932" s="120">
        <f>DGKC!E95</f>
        <v>-3571.1869999999999</v>
      </c>
      <c r="J932" s="120">
        <f t="shared" si="31"/>
        <v>0</v>
      </c>
      <c r="K932" s="119" t="s">
        <v>2038</v>
      </c>
      <c r="L932" s="119">
        <v>153</v>
      </c>
      <c r="M932" s="119" t="s">
        <v>1106</v>
      </c>
      <c r="N932" s="122" t="s">
        <v>3564</v>
      </c>
      <c r="O932" s="122" t="s">
        <v>3565</v>
      </c>
      <c r="P932" s="122" t="s">
        <v>4457</v>
      </c>
    </row>
    <row r="933" spans="1:16" ht="82.05" customHeight="1" x14ac:dyDescent="0.3">
      <c r="A933" s="50" t="s">
        <v>2342</v>
      </c>
      <c r="B933" s="50" t="s">
        <v>86</v>
      </c>
      <c r="C933" s="50" t="s">
        <v>27</v>
      </c>
      <c r="D933" s="50" t="s">
        <v>380</v>
      </c>
      <c r="E933" s="121">
        <v>-6742292</v>
      </c>
      <c r="F933" s="121">
        <v>-6742292</v>
      </c>
      <c r="G933" s="121" t="s">
        <v>2033</v>
      </c>
      <c r="H933" s="121">
        <f t="shared" si="30"/>
        <v>-6742.2920000000004</v>
      </c>
      <c r="I933" s="121">
        <f>DGKC!F95</f>
        <v>-6742.2920000000004</v>
      </c>
      <c r="J933" s="121">
        <f t="shared" si="31"/>
        <v>0</v>
      </c>
      <c r="K933" s="50" t="s">
        <v>2041</v>
      </c>
      <c r="L933" s="50">
        <v>153</v>
      </c>
      <c r="M933" s="50" t="s">
        <v>1106</v>
      </c>
      <c r="N933" s="68" t="s">
        <v>3564</v>
      </c>
      <c r="O933" s="68" t="s">
        <v>3565</v>
      </c>
      <c r="P933" s="68" t="s">
        <v>4458</v>
      </c>
    </row>
    <row r="934" spans="1:16" ht="82.05" customHeight="1" x14ac:dyDescent="0.3">
      <c r="A934" s="119" t="s">
        <v>2343</v>
      </c>
      <c r="B934" s="119" t="s">
        <v>86</v>
      </c>
      <c r="C934" s="119" t="s">
        <v>28</v>
      </c>
      <c r="D934" s="119" t="s">
        <v>380</v>
      </c>
      <c r="E934" s="120">
        <v>-8001105</v>
      </c>
      <c r="F934" s="120">
        <v>-8001105</v>
      </c>
      <c r="G934" s="120" t="s">
        <v>2033</v>
      </c>
      <c r="H934" s="120">
        <f t="shared" si="30"/>
        <v>-8001.1049999999996</v>
      </c>
      <c r="I934" s="120">
        <f>DGKC!G95</f>
        <v>-8001.1049999999996</v>
      </c>
      <c r="J934" s="120">
        <f t="shared" si="31"/>
        <v>0</v>
      </c>
      <c r="K934" s="119" t="s">
        <v>2043</v>
      </c>
      <c r="L934" s="119">
        <v>155</v>
      </c>
      <c r="M934" s="119" t="s">
        <v>1106</v>
      </c>
      <c r="N934" s="122" t="s">
        <v>3564</v>
      </c>
      <c r="O934" s="122" t="s">
        <v>3565</v>
      </c>
      <c r="P934" s="122" t="s">
        <v>4459</v>
      </c>
    </row>
    <row r="935" spans="1:16" ht="82.05" customHeight="1" x14ac:dyDescent="0.3">
      <c r="A935" s="50" t="s">
        <v>2344</v>
      </c>
      <c r="B935" s="50" t="s">
        <v>86</v>
      </c>
      <c r="C935" s="50" t="s">
        <v>29</v>
      </c>
      <c r="D935" s="50" t="s">
        <v>380</v>
      </c>
      <c r="E935" s="121">
        <v>-3870405</v>
      </c>
      <c r="F935" s="121">
        <v>-3870405</v>
      </c>
      <c r="G935" s="121" t="s">
        <v>2033</v>
      </c>
      <c r="H935" s="121">
        <f t="shared" si="30"/>
        <v>-3870.4050000000002</v>
      </c>
      <c r="I935" s="121">
        <f>DGKC!H95</f>
        <v>-3870.4050000000002</v>
      </c>
      <c r="J935" s="121">
        <f t="shared" si="31"/>
        <v>0</v>
      </c>
      <c r="K935" s="50" t="s">
        <v>2043</v>
      </c>
      <c r="L935" s="50">
        <v>155</v>
      </c>
      <c r="M935" s="50" t="s">
        <v>1127</v>
      </c>
      <c r="N935" s="68" t="s">
        <v>3564</v>
      </c>
      <c r="O935" s="68" t="s">
        <v>3565</v>
      </c>
      <c r="P935" s="68" t="s">
        <v>4460</v>
      </c>
    </row>
    <row r="936" spans="1:16" ht="82.05" customHeight="1" x14ac:dyDescent="0.3">
      <c r="A936" s="119" t="s">
        <v>2345</v>
      </c>
      <c r="B936" s="119" t="s">
        <v>86</v>
      </c>
      <c r="C936" s="119" t="s">
        <v>20</v>
      </c>
      <c r="D936" s="119" t="s">
        <v>384</v>
      </c>
      <c r="E936" s="120">
        <v>0</v>
      </c>
      <c r="F936" s="120">
        <v>0</v>
      </c>
      <c r="G936" s="120" t="s">
        <v>2033</v>
      </c>
      <c r="H936" s="120">
        <f t="shared" si="30"/>
        <v>0</v>
      </c>
      <c r="I936" s="120">
        <f>DGKC!D97</f>
        <v>0</v>
      </c>
      <c r="J936" s="120">
        <f t="shared" si="31"/>
        <v>0</v>
      </c>
      <c r="K936" s="119" t="s">
        <v>2035</v>
      </c>
      <c r="L936" s="119">
        <v>127</v>
      </c>
      <c r="M936" s="119" t="s">
        <v>1106</v>
      </c>
      <c r="N936" s="122" t="s">
        <v>3578</v>
      </c>
      <c r="O936" s="122" t="s">
        <v>3579</v>
      </c>
      <c r="P936" s="122" t="s">
        <v>4461</v>
      </c>
    </row>
    <row r="937" spans="1:16" ht="82.05" customHeight="1" x14ac:dyDescent="0.3">
      <c r="A937" s="50" t="s">
        <v>2346</v>
      </c>
      <c r="B937" s="50" t="s">
        <v>86</v>
      </c>
      <c r="C937" s="50" t="s">
        <v>26</v>
      </c>
      <c r="D937" s="50" t="s">
        <v>384</v>
      </c>
      <c r="E937" s="121">
        <v>0</v>
      </c>
      <c r="F937" s="121">
        <v>0</v>
      </c>
      <c r="G937" s="121" t="s">
        <v>2033</v>
      </c>
      <c r="H937" s="121">
        <f t="shared" si="30"/>
        <v>0</v>
      </c>
      <c r="I937" s="121">
        <f>DGKC!E97</f>
        <v>0</v>
      </c>
      <c r="J937" s="121">
        <f t="shared" si="31"/>
        <v>0</v>
      </c>
      <c r="K937" s="50" t="s">
        <v>2038</v>
      </c>
      <c r="L937" s="50">
        <v>153</v>
      </c>
      <c r="M937" s="50" t="s">
        <v>1106</v>
      </c>
      <c r="N937" s="68" t="s">
        <v>3578</v>
      </c>
      <c r="O937" s="68" t="s">
        <v>3579</v>
      </c>
      <c r="P937" s="68" t="s">
        <v>4462</v>
      </c>
    </row>
    <row r="938" spans="1:16" ht="82.05" customHeight="1" x14ac:dyDescent="0.3">
      <c r="A938" s="119" t="s">
        <v>2347</v>
      </c>
      <c r="B938" s="119" t="s">
        <v>86</v>
      </c>
      <c r="C938" s="119" t="s">
        <v>27</v>
      </c>
      <c r="D938" s="119" t="s">
        <v>384</v>
      </c>
      <c r="E938" s="120">
        <v>-364054</v>
      </c>
      <c r="F938" s="120">
        <v>-364054</v>
      </c>
      <c r="G938" s="120" t="s">
        <v>2033</v>
      </c>
      <c r="H938" s="120">
        <f t="shared" si="30"/>
        <v>-364.05399999999997</v>
      </c>
      <c r="I938" s="120">
        <f>DGKC!F97</f>
        <v>-364.05399999999997</v>
      </c>
      <c r="J938" s="120">
        <f t="shared" si="31"/>
        <v>0</v>
      </c>
      <c r="K938" s="119" t="s">
        <v>2041</v>
      </c>
      <c r="L938" s="119">
        <v>153</v>
      </c>
      <c r="M938" s="119" t="s">
        <v>1106</v>
      </c>
      <c r="N938" s="122" t="s">
        <v>3564</v>
      </c>
      <c r="O938" s="122" t="s">
        <v>3565</v>
      </c>
      <c r="P938" s="122" t="s">
        <v>4463</v>
      </c>
    </row>
    <row r="939" spans="1:16" ht="82.05" customHeight="1" x14ac:dyDescent="0.3">
      <c r="A939" s="50" t="s">
        <v>2348</v>
      </c>
      <c r="B939" s="50" t="s">
        <v>86</v>
      </c>
      <c r="C939" s="50" t="s">
        <v>28</v>
      </c>
      <c r="D939" s="50" t="s">
        <v>384</v>
      </c>
      <c r="E939" s="121">
        <v>-520848</v>
      </c>
      <c r="F939" s="121">
        <v>-520848</v>
      </c>
      <c r="G939" s="121" t="s">
        <v>2033</v>
      </c>
      <c r="H939" s="121">
        <f t="shared" si="30"/>
        <v>-520.84799999999996</v>
      </c>
      <c r="I939" s="121">
        <f>DGKC!G97</f>
        <v>-520.84799999999996</v>
      </c>
      <c r="J939" s="121">
        <f t="shared" si="31"/>
        <v>0</v>
      </c>
      <c r="K939" s="50" t="s">
        <v>2043</v>
      </c>
      <c r="L939" s="50">
        <v>155</v>
      </c>
      <c r="M939" s="50" t="s">
        <v>1106</v>
      </c>
      <c r="N939" s="68" t="s">
        <v>3564</v>
      </c>
      <c r="O939" s="68" t="s">
        <v>3565</v>
      </c>
      <c r="P939" s="68" t="s">
        <v>4464</v>
      </c>
    </row>
    <row r="940" spans="1:16" ht="82.05" customHeight="1" x14ac:dyDescent="0.3">
      <c r="A940" s="119" t="s">
        <v>2349</v>
      </c>
      <c r="B940" s="119" t="s">
        <v>86</v>
      </c>
      <c r="C940" s="119" t="s">
        <v>29</v>
      </c>
      <c r="D940" s="119" t="s">
        <v>384</v>
      </c>
      <c r="E940" s="120">
        <v>-577125</v>
      </c>
      <c r="F940" s="120">
        <v>-577125</v>
      </c>
      <c r="G940" s="120" t="s">
        <v>2033</v>
      </c>
      <c r="H940" s="120">
        <f t="shared" si="30"/>
        <v>-577.125</v>
      </c>
      <c r="I940" s="120">
        <f>DGKC!H97</f>
        <v>-577.125</v>
      </c>
      <c r="J940" s="120">
        <f t="shared" si="31"/>
        <v>0</v>
      </c>
      <c r="K940" s="119" t="s">
        <v>2043</v>
      </c>
      <c r="L940" s="119">
        <v>155</v>
      </c>
      <c r="M940" s="119" t="s">
        <v>1127</v>
      </c>
      <c r="N940" s="122" t="s">
        <v>3564</v>
      </c>
      <c r="O940" s="122" t="s">
        <v>3565</v>
      </c>
      <c r="P940" s="122" t="s">
        <v>4465</v>
      </c>
    </row>
    <row r="941" spans="1:16" ht="82.05" customHeight="1" x14ac:dyDescent="0.3">
      <c r="A941" s="50" t="s">
        <v>2350</v>
      </c>
      <c r="B941" s="50" t="s">
        <v>86</v>
      </c>
      <c r="C941" s="50" t="s">
        <v>20</v>
      </c>
      <c r="D941" s="50" t="s">
        <v>386</v>
      </c>
      <c r="E941" s="121">
        <v>-1050132</v>
      </c>
      <c r="F941" s="121">
        <v>-1050132</v>
      </c>
      <c r="G941" s="121" t="s">
        <v>2033</v>
      </c>
      <c r="H941" s="121">
        <f t="shared" si="30"/>
        <v>-1050.1320000000001</v>
      </c>
      <c r="I941" s="121">
        <f>DGKC!D98</f>
        <v>-1050.1320000000001</v>
      </c>
      <c r="J941" s="121">
        <f t="shared" si="31"/>
        <v>0</v>
      </c>
      <c r="K941" s="50" t="s">
        <v>2035</v>
      </c>
      <c r="L941" s="50">
        <v>127</v>
      </c>
      <c r="M941" s="50" t="s">
        <v>1106</v>
      </c>
      <c r="N941" s="68" t="s">
        <v>3564</v>
      </c>
      <c r="O941" s="68" t="s">
        <v>3565</v>
      </c>
      <c r="P941" s="68" t="s">
        <v>4466</v>
      </c>
    </row>
    <row r="942" spans="1:16" ht="82.05" customHeight="1" x14ac:dyDescent="0.3">
      <c r="A942" s="119" t="s">
        <v>2351</v>
      </c>
      <c r="B942" s="119" t="s">
        <v>86</v>
      </c>
      <c r="C942" s="119" t="s">
        <v>26</v>
      </c>
      <c r="D942" s="119" t="s">
        <v>386</v>
      </c>
      <c r="E942" s="120">
        <v>-3047629</v>
      </c>
      <c r="F942" s="120">
        <v>-3047629</v>
      </c>
      <c r="G942" s="120" t="s">
        <v>2033</v>
      </c>
      <c r="H942" s="120">
        <f t="shared" si="30"/>
        <v>-3047.6289999999999</v>
      </c>
      <c r="I942" s="120">
        <f>DGKC!E98</f>
        <v>-3047.6289999999999</v>
      </c>
      <c r="J942" s="120">
        <f t="shared" si="31"/>
        <v>0</v>
      </c>
      <c r="K942" s="119" t="s">
        <v>2038</v>
      </c>
      <c r="L942" s="119">
        <v>153</v>
      </c>
      <c r="M942" s="119" t="s">
        <v>1106</v>
      </c>
      <c r="N942" s="122" t="s">
        <v>3564</v>
      </c>
      <c r="O942" s="122" t="s">
        <v>3565</v>
      </c>
      <c r="P942" s="122" t="s">
        <v>4467</v>
      </c>
    </row>
    <row r="943" spans="1:16" ht="82.05" customHeight="1" x14ac:dyDescent="0.3">
      <c r="A943" s="50" t="s">
        <v>2352</v>
      </c>
      <c r="B943" s="50" t="s">
        <v>86</v>
      </c>
      <c r="C943" s="50" t="s">
        <v>27</v>
      </c>
      <c r="D943" s="50" t="s">
        <v>386</v>
      </c>
      <c r="E943" s="121">
        <v>-6434465</v>
      </c>
      <c r="F943" s="121">
        <v>-6434465</v>
      </c>
      <c r="G943" s="121" t="s">
        <v>2033</v>
      </c>
      <c r="H943" s="121">
        <f t="shared" si="30"/>
        <v>-6434.4650000000001</v>
      </c>
      <c r="I943" s="121">
        <f>DGKC!F98</f>
        <v>-6434.4650000000001</v>
      </c>
      <c r="J943" s="121">
        <f t="shared" si="31"/>
        <v>0</v>
      </c>
      <c r="K943" s="50" t="s">
        <v>2041</v>
      </c>
      <c r="L943" s="50">
        <v>153</v>
      </c>
      <c r="M943" s="50" t="s">
        <v>1106</v>
      </c>
      <c r="N943" s="68" t="s">
        <v>3564</v>
      </c>
      <c r="O943" s="68" t="s">
        <v>3565</v>
      </c>
      <c r="P943" s="68" t="s">
        <v>4468</v>
      </c>
    </row>
    <row r="944" spans="1:16" ht="82.05" customHeight="1" x14ac:dyDescent="0.3">
      <c r="A944" s="119" t="s">
        <v>2353</v>
      </c>
      <c r="B944" s="119" t="s">
        <v>86</v>
      </c>
      <c r="C944" s="119" t="s">
        <v>28</v>
      </c>
      <c r="D944" s="119" t="s">
        <v>386</v>
      </c>
      <c r="E944" s="120">
        <v>-1775666</v>
      </c>
      <c r="F944" s="120">
        <v>-1775666</v>
      </c>
      <c r="G944" s="120" t="s">
        <v>2033</v>
      </c>
      <c r="H944" s="120">
        <f t="shared" si="30"/>
        <v>-1775.6659999999999</v>
      </c>
      <c r="I944" s="120">
        <f>DGKC!G98</f>
        <v>-1775.6659999999999</v>
      </c>
      <c r="J944" s="120">
        <f t="shared" si="31"/>
        <v>0</v>
      </c>
      <c r="K944" s="119" t="s">
        <v>2043</v>
      </c>
      <c r="L944" s="119">
        <v>155</v>
      </c>
      <c r="M944" s="119" t="s">
        <v>1106</v>
      </c>
      <c r="N944" s="122" t="s">
        <v>3564</v>
      </c>
      <c r="O944" s="122" t="s">
        <v>3565</v>
      </c>
      <c r="P944" s="122" t="s">
        <v>4469</v>
      </c>
    </row>
    <row r="945" spans="1:16" ht="82.05" customHeight="1" x14ac:dyDescent="0.3">
      <c r="A945" s="50" t="s">
        <v>2354</v>
      </c>
      <c r="B945" s="50" t="s">
        <v>86</v>
      </c>
      <c r="C945" s="50" t="s">
        <v>29</v>
      </c>
      <c r="D945" s="50" t="s">
        <v>386</v>
      </c>
      <c r="E945" s="121">
        <v>-3752428</v>
      </c>
      <c r="F945" s="121">
        <v>-3752428</v>
      </c>
      <c r="G945" s="121" t="s">
        <v>2033</v>
      </c>
      <c r="H945" s="121">
        <f t="shared" si="30"/>
        <v>-3752.4279999999999</v>
      </c>
      <c r="I945" s="121">
        <f>DGKC!H98</f>
        <v>-3752.4279999999999</v>
      </c>
      <c r="J945" s="121">
        <f t="shared" si="31"/>
        <v>0</v>
      </c>
      <c r="K945" s="50" t="s">
        <v>2043</v>
      </c>
      <c r="L945" s="50">
        <v>155</v>
      </c>
      <c r="M945" s="50" t="s">
        <v>1127</v>
      </c>
      <c r="N945" s="68" t="s">
        <v>3564</v>
      </c>
      <c r="O945" s="68" t="s">
        <v>3565</v>
      </c>
      <c r="P945" s="68" t="s">
        <v>4470</v>
      </c>
    </row>
    <row r="946" spans="1:16" ht="82.05" customHeight="1" x14ac:dyDescent="0.3">
      <c r="A946" s="119" t="s">
        <v>2355</v>
      </c>
      <c r="B946" s="119" t="s">
        <v>86</v>
      </c>
      <c r="C946" s="119" t="s">
        <v>20</v>
      </c>
      <c r="D946" s="119" t="s">
        <v>390</v>
      </c>
      <c r="E946" s="120">
        <v>8071892</v>
      </c>
      <c r="F946" s="120">
        <v>8071892</v>
      </c>
      <c r="G946" s="120" t="s">
        <v>2033</v>
      </c>
      <c r="H946" s="120">
        <f t="shared" si="30"/>
        <v>8071.8919999999998</v>
      </c>
      <c r="I946" s="120">
        <f>DGKC!D100</f>
        <v>8071.8919999999998</v>
      </c>
      <c r="J946" s="120">
        <f t="shared" si="31"/>
        <v>0</v>
      </c>
      <c r="K946" s="119" t="s">
        <v>2035</v>
      </c>
      <c r="L946" s="119">
        <v>127</v>
      </c>
      <c r="M946" s="119" t="s">
        <v>1106</v>
      </c>
      <c r="N946" s="122" t="s">
        <v>3564</v>
      </c>
      <c r="O946" s="122" t="s">
        <v>3565</v>
      </c>
      <c r="P946" s="122" t="s">
        <v>4471</v>
      </c>
    </row>
    <row r="947" spans="1:16" ht="82.05" customHeight="1" x14ac:dyDescent="0.3">
      <c r="A947" s="50" t="s">
        <v>2356</v>
      </c>
      <c r="B947" s="50" t="s">
        <v>86</v>
      </c>
      <c r="C947" s="50" t="s">
        <v>26</v>
      </c>
      <c r="D947" s="50" t="s">
        <v>390</v>
      </c>
      <c r="E947" s="121">
        <v>10428312</v>
      </c>
      <c r="F947" s="121">
        <v>10428312</v>
      </c>
      <c r="G947" s="121" t="s">
        <v>2033</v>
      </c>
      <c r="H947" s="121">
        <f t="shared" si="30"/>
        <v>10428.312</v>
      </c>
      <c r="I947" s="121">
        <f>DGKC!E100</f>
        <v>10428.312</v>
      </c>
      <c r="J947" s="121">
        <f t="shared" si="31"/>
        <v>0</v>
      </c>
      <c r="K947" s="50" t="s">
        <v>2038</v>
      </c>
      <c r="L947" s="50">
        <v>153</v>
      </c>
      <c r="M947" s="50" t="s">
        <v>1106</v>
      </c>
      <c r="N947" s="68" t="s">
        <v>3564</v>
      </c>
      <c r="O947" s="68" t="s">
        <v>3565</v>
      </c>
      <c r="P947" s="68" t="s">
        <v>4472</v>
      </c>
    </row>
    <row r="948" spans="1:16" ht="82.05" customHeight="1" x14ac:dyDescent="0.3">
      <c r="A948" s="119" t="s">
        <v>2357</v>
      </c>
      <c r="B948" s="119" t="s">
        <v>86</v>
      </c>
      <c r="C948" s="119" t="s">
        <v>27</v>
      </c>
      <c r="D948" s="119" t="s">
        <v>390</v>
      </c>
      <c r="E948" s="120">
        <v>9555775</v>
      </c>
      <c r="F948" s="120">
        <v>9555775</v>
      </c>
      <c r="G948" s="120" t="s">
        <v>2033</v>
      </c>
      <c r="H948" s="120">
        <f t="shared" si="30"/>
        <v>9555.7749999999996</v>
      </c>
      <c r="I948" s="120">
        <f>DGKC!F100</f>
        <v>9555.7749999999996</v>
      </c>
      <c r="J948" s="120">
        <f t="shared" si="31"/>
        <v>0</v>
      </c>
      <c r="K948" s="119" t="s">
        <v>2041</v>
      </c>
      <c r="L948" s="119">
        <v>153</v>
      </c>
      <c r="M948" s="119" t="s">
        <v>1106</v>
      </c>
      <c r="N948" s="122" t="s">
        <v>3564</v>
      </c>
      <c r="O948" s="122" t="s">
        <v>3565</v>
      </c>
      <c r="P948" s="122" t="s">
        <v>4473</v>
      </c>
    </row>
    <row r="949" spans="1:16" ht="82.05" customHeight="1" x14ac:dyDescent="0.3">
      <c r="A949" s="50" t="s">
        <v>2358</v>
      </c>
      <c r="B949" s="50" t="s">
        <v>86</v>
      </c>
      <c r="C949" s="50" t="s">
        <v>28</v>
      </c>
      <c r="D949" s="50" t="s">
        <v>390</v>
      </c>
      <c r="E949" s="121">
        <v>10528260</v>
      </c>
      <c r="F949" s="121">
        <v>10528260</v>
      </c>
      <c r="G949" s="121" t="s">
        <v>2033</v>
      </c>
      <c r="H949" s="121">
        <f t="shared" si="30"/>
        <v>10528.26</v>
      </c>
      <c r="I949" s="121">
        <f>DGKC!G100</f>
        <v>10528.26</v>
      </c>
      <c r="J949" s="121">
        <f t="shared" si="31"/>
        <v>0</v>
      </c>
      <c r="K949" s="50" t="s">
        <v>2043</v>
      </c>
      <c r="L949" s="50">
        <v>155</v>
      </c>
      <c r="M949" s="50" t="s">
        <v>1106</v>
      </c>
      <c r="N949" s="68" t="s">
        <v>3564</v>
      </c>
      <c r="O949" s="68" t="s">
        <v>3565</v>
      </c>
      <c r="P949" s="68" t="s">
        <v>4474</v>
      </c>
    </row>
    <row r="950" spans="1:16" ht="82.05" customHeight="1" x14ac:dyDescent="0.3">
      <c r="A950" s="119" t="s">
        <v>2359</v>
      </c>
      <c r="B950" s="119" t="s">
        <v>86</v>
      </c>
      <c r="C950" s="119" t="s">
        <v>29</v>
      </c>
      <c r="D950" s="119" t="s">
        <v>390</v>
      </c>
      <c r="E950" s="120">
        <v>18505671</v>
      </c>
      <c r="F950" s="120">
        <v>18505671</v>
      </c>
      <c r="G950" s="120" t="s">
        <v>2033</v>
      </c>
      <c r="H950" s="120">
        <f t="shared" si="30"/>
        <v>18505.670999999998</v>
      </c>
      <c r="I950" s="120">
        <f>DGKC!H100</f>
        <v>18505.670999999998</v>
      </c>
      <c r="J950" s="120">
        <f t="shared" si="31"/>
        <v>0</v>
      </c>
      <c r="K950" s="119" t="s">
        <v>2043</v>
      </c>
      <c r="L950" s="119">
        <v>155</v>
      </c>
      <c r="M950" s="119" t="s">
        <v>1127</v>
      </c>
      <c r="N950" s="122" t="s">
        <v>3564</v>
      </c>
      <c r="O950" s="122" t="s">
        <v>3565</v>
      </c>
      <c r="P950" s="122" t="s">
        <v>4475</v>
      </c>
    </row>
    <row r="951" spans="1:16" ht="82.05" customHeight="1" x14ac:dyDescent="0.3">
      <c r="A951" s="50" t="s">
        <v>2360</v>
      </c>
      <c r="B951" s="50" t="s">
        <v>86</v>
      </c>
      <c r="C951" s="50" t="s">
        <v>20</v>
      </c>
      <c r="D951" s="50" t="s">
        <v>392</v>
      </c>
      <c r="E951" s="121">
        <v>4771405</v>
      </c>
      <c r="F951" s="121">
        <v>4771405</v>
      </c>
      <c r="G951" s="121" t="s">
        <v>2033</v>
      </c>
      <c r="H951" s="121">
        <f t="shared" si="30"/>
        <v>4771.4049999999997</v>
      </c>
      <c r="I951" s="121">
        <f>DGKC!D101</f>
        <v>4771.4049999999997</v>
      </c>
      <c r="J951" s="121">
        <f t="shared" si="31"/>
        <v>0</v>
      </c>
      <c r="K951" s="50" t="s">
        <v>2035</v>
      </c>
      <c r="L951" s="50">
        <v>127</v>
      </c>
      <c r="M951" s="50" t="s">
        <v>1106</v>
      </c>
      <c r="N951" s="68" t="s">
        <v>3564</v>
      </c>
      <c r="O951" s="68" t="s">
        <v>3565</v>
      </c>
      <c r="P951" s="68" t="s">
        <v>4476</v>
      </c>
    </row>
    <row r="952" spans="1:16" ht="82.05" customHeight="1" x14ac:dyDescent="0.3">
      <c r="A952" s="119" t="s">
        <v>2361</v>
      </c>
      <c r="B952" s="119" t="s">
        <v>86</v>
      </c>
      <c r="C952" s="119" t="s">
        <v>26</v>
      </c>
      <c r="D952" s="119" t="s">
        <v>392</v>
      </c>
      <c r="E952" s="120">
        <v>6019761</v>
      </c>
      <c r="F952" s="120">
        <v>6019761</v>
      </c>
      <c r="G952" s="120" t="s">
        <v>2033</v>
      </c>
      <c r="H952" s="120">
        <f t="shared" si="30"/>
        <v>6019.7610000000004</v>
      </c>
      <c r="I952" s="120">
        <f>DGKC!E101</f>
        <v>6019.7610000000004</v>
      </c>
      <c r="J952" s="120">
        <f t="shared" si="31"/>
        <v>0</v>
      </c>
      <c r="K952" s="119" t="s">
        <v>2038</v>
      </c>
      <c r="L952" s="119">
        <v>153</v>
      </c>
      <c r="M952" s="119" t="s">
        <v>1106</v>
      </c>
      <c r="N952" s="122" t="s">
        <v>3564</v>
      </c>
      <c r="O952" s="122" t="s">
        <v>3565</v>
      </c>
      <c r="P952" s="122" t="s">
        <v>4477</v>
      </c>
    </row>
    <row r="953" spans="1:16" ht="82.05" customHeight="1" x14ac:dyDescent="0.3">
      <c r="A953" s="50" t="s">
        <v>2362</v>
      </c>
      <c r="B953" s="50" t="s">
        <v>86</v>
      </c>
      <c r="C953" s="50" t="s">
        <v>27</v>
      </c>
      <c r="D953" s="50" t="s">
        <v>392</v>
      </c>
      <c r="E953" s="121">
        <v>3162543</v>
      </c>
      <c r="F953" s="121">
        <v>3162543</v>
      </c>
      <c r="G953" s="121" t="s">
        <v>2033</v>
      </c>
      <c r="H953" s="121">
        <f t="shared" si="30"/>
        <v>3162.5430000000001</v>
      </c>
      <c r="I953" s="121">
        <f>DGKC!F101</f>
        <v>3162.5430000000001</v>
      </c>
      <c r="J953" s="121">
        <f t="shared" si="31"/>
        <v>0</v>
      </c>
      <c r="K953" s="50" t="s">
        <v>2041</v>
      </c>
      <c r="L953" s="50">
        <v>153</v>
      </c>
      <c r="M953" s="50" t="s">
        <v>1106</v>
      </c>
      <c r="N953" s="68" t="s">
        <v>3564</v>
      </c>
      <c r="O953" s="68" t="s">
        <v>3565</v>
      </c>
      <c r="P953" s="68" t="s">
        <v>4478</v>
      </c>
    </row>
    <row r="954" spans="1:16" ht="82.05" customHeight="1" x14ac:dyDescent="0.3">
      <c r="A954" s="119" t="s">
        <v>2364</v>
      </c>
      <c r="B954" s="119" t="s">
        <v>86</v>
      </c>
      <c r="C954" s="119" t="s">
        <v>28</v>
      </c>
      <c r="D954" s="119" t="s">
        <v>392</v>
      </c>
      <c r="E954" s="120">
        <v>2838910</v>
      </c>
      <c r="F954" s="120">
        <v>2838910</v>
      </c>
      <c r="G954" s="120" t="s">
        <v>2033</v>
      </c>
      <c r="H954" s="120">
        <f t="shared" si="30"/>
        <v>2838.91</v>
      </c>
      <c r="I954" s="120">
        <f>DGKC!G101</f>
        <v>2838.91</v>
      </c>
      <c r="J954" s="120">
        <f t="shared" si="31"/>
        <v>0</v>
      </c>
      <c r="K954" s="119" t="s">
        <v>2043</v>
      </c>
      <c r="L954" s="119">
        <v>155</v>
      </c>
      <c r="M954" s="119" t="s">
        <v>1106</v>
      </c>
      <c r="N954" s="122" t="s">
        <v>3564</v>
      </c>
      <c r="O954" s="122" t="s">
        <v>3565</v>
      </c>
      <c r="P954" s="122" t="s">
        <v>4479</v>
      </c>
    </row>
    <row r="955" spans="1:16" ht="82.05" customHeight="1" x14ac:dyDescent="0.3">
      <c r="A955" s="50" t="s">
        <v>2366</v>
      </c>
      <c r="B955" s="50" t="s">
        <v>86</v>
      </c>
      <c r="C955" s="50" t="s">
        <v>29</v>
      </c>
      <c r="D955" s="50" t="s">
        <v>392</v>
      </c>
      <c r="E955" s="121">
        <v>13004612</v>
      </c>
      <c r="F955" s="121">
        <v>13004612</v>
      </c>
      <c r="G955" s="121" t="s">
        <v>2033</v>
      </c>
      <c r="H955" s="121">
        <f t="shared" si="30"/>
        <v>13004.611999999999</v>
      </c>
      <c r="I955" s="121">
        <f>DGKC!H101</f>
        <v>13004.611999999999</v>
      </c>
      <c r="J955" s="121">
        <f t="shared" si="31"/>
        <v>0</v>
      </c>
      <c r="K955" s="50" t="s">
        <v>2043</v>
      </c>
      <c r="L955" s="50">
        <v>155</v>
      </c>
      <c r="M955" s="50" t="s">
        <v>1127</v>
      </c>
      <c r="N955" s="68" t="s">
        <v>3564</v>
      </c>
      <c r="O955" s="68" t="s">
        <v>3565</v>
      </c>
      <c r="P955" s="68" t="s">
        <v>4480</v>
      </c>
    </row>
    <row r="956" spans="1:16" ht="82.05" customHeight="1" x14ac:dyDescent="0.3">
      <c r="A956" s="119" t="s">
        <v>2367</v>
      </c>
      <c r="B956" s="119" t="s">
        <v>86</v>
      </c>
      <c r="C956" s="119" t="s">
        <v>20</v>
      </c>
      <c r="D956" s="119" t="s">
        <v>394</v>
      </c>
      <c r="E956" s="120">
        <v>3721273</v>
      </c>
      <c r="F956" s="120">
        <v>3721273</v>
      </c>
      <c r="G956" s="120" t="s">
        <v>2033</v>
      </c>
      <c r="H956" s="120">
        <f t="shared" si="30"/>
        <v>3721.2730000000001</v>
      </c>
      <c r="I956" s="120">
        <f>DGKC!D102</f>
        <v>3721.2730000000001</v>
      </c>
      <c r="J956" s="120">
        <f t="shared" si="31"/>
        <v>0</v>
      </c>
      <c r="K956" s="119" t="s">
        <v>2035</v>
      </c>
      <c r="L956" s="119">
        <v>127</v>
      </c>
      <c r="M956" s="119" t="s">
        <v>1106</v>
      </c>
      <c r="N956" s="122" t="s">
        <v>3564</v>
      </c>
      <c r="O956" s="122" t="s">
        <v>3565</v>
      </c>
      <c r="P956" s="122" t="s">
        <v>4481</v>
      </c>
    </row>
    <row r="957" spans="1:16" ht="82.05" customHeight="1" x14ac:dyDescent="0.3">
      <c r="A957" s="50" t="s">
        <v>2369</v>
      </c>
      <c r="B957" s="50" t="s">
        <v>86</v>
      </c>
      <c r="C957" s="50" t="s">
        <v>26</v>
      </c>
      <c r="D957" s="50" t="s">
        <v>394</v>
      </c>
      <c r="E957" s="121">
        <v>2972132</v>
      </c>
      <c r="F957" s="121">
        <v>2972132</v>
      </c>
      <c r="G957" s="121" t="s">
        <v>2033</v>
      </c>
      <c r="H957" s="121">
        <f t="shared" si="30"/>
        <v>2972.1320000000001</v>
      </c>
      <c r="I957" s="121">
        <f>DGKC!E102</f>
        <v>2972.1320000000001</v>
      </c>
      <c r="J957" s="121">
        <f t="shared" si="31"/>
        <v>0</v>
      </c>
      <c r="K957" s="50" t="s">
        <v>2038</v>
      </c>
      <c r="L957" s="50">
        <v>153</v>
      </c>
      <c r="M957" s="50" t="s">
        <v>1106</v>
      </c>
      <c r="N957" s="68" t="s">
        <v>3564</v>
      </c>
      <c r="O957" s="68" t="s">
        <v>3565</v>
      </c>
      <c r="P957" s="68" t="s">
        <v>4482</v>
      </c>
    </row>
    <row r="958" spans="1:16" ht="82.05" customHeight="1" x14ac:dyDescent="0.3">
      <c r="A958" s="119" t="s">
        <v>2371</v>
      </c>
      <c r="B958" s="119" t="s">
        <v>86</v>
      </c>
      <c r="C958" s="119" t="s">
        <v>27</v>
      </c>
      <c r="D958" s="119" t="s">
        <v>394</v>
      </c>
      <c r="E958" s="120">
        <v>-3635976</v>
      </c>
      <c r="F958" s="120">
        <v>-3635976</v>
      </c>
      <c r="G958" s="120" t="s">
        <v>2033</v>
      </c>
      <c r="H958" s="120">
        <f t="shared" si="30"/>
        <v>-3635.9760000000001</v>
      </c>
      <c r="I958" s="120">
        <f>DGKC!F102</f>
        <v>-3635.9760000000001</v>
      </c>
      <c r="J958" s="120">
        <f t="shared" si="31"/>
        <v>0</v>
      </c>
      <c r="K958" s="119" t="s">
        <v>2041</v>
      </c>
      <c r="L958" s="119">
        <v>153</v>
      </c>
      <c r="M958" s="119" t="s">
        <v>1106</v>
      </c>
      <c r="N958" s="122" t="s">
        <v>3564</v>
      </c>
      <c r="O958" s="122" t="s">
        <v>3565</v>
      </c>
      <c r="P958" s="122" t="s">
        <v>4483</v>
      </c>
    </row>
    <row r="959" spans="1:16" ht="82.05" customHeight="1" x14ac:dyDescent="0.3">
      <c r="A959" s="50" t="s">
        <v>2373</v>
      </c>
      <c r="B959" s="50" t="s">
        <v>86</v>
      </c>
      <c r="C959" s="50" t="s">
        <v>28</v>
      </c>
      <c r="D959" s="50" t="s">
        <v>394</v>
      </c>
      <c r="E959" s="121">
        <v>542396</v>
      </c>
      <c r="F959" s="121">
        <v>542396</v>
      </c>
      <c r="G959" s="121" t="s">
        <v>2033</v>
      </c>
      <c r="H959" s="121">
        <f t="shared" si="30"/>
        <v>542.39599999999996</v>
      </c>
      <c r="I959" s="121">
        <f>DGKC!G102</f>
        <v>542.39599999999996</v>
      </c>
      <c r="J959" s="121">
        <f t="shared" si="31"/>
        <v>0</v>
      </c>
      <c r="K959" s="50" t="s">
        <v>2043</v>
      </c>
      <c r="L959" s="50">
        <v>155</v>
      </c>
      <c r="M959" s="50" t="s">
        <v>1106</v>
      </c>
      <c r="N959" s="68" t="s">
        <v>3564</v>
      </c>
      <c r="O959" s="68" t="s">
        <v>3565</v>
      </c>
      <c r="P959" s="68" t="s">
        <v>4484</v>
      </c>
    </row>
    <row r="960" spans="1:16" ht="82.05" customHeight="1" x14ac:dyDescent="0.3">
      <c r="A960" s="119" t="s">
        <v>2374</v>
      </c>
      <c r="B960" s="119" t="s">
        <v>86</v>
      </c>
      <c r="C960" s="119" t="s">
        <v>29</v>
      </c>
      <c r="D960" s="119" t="s">
        <v>394</v>
      </c>
      <c r="E960" s="120">
        <v>8675059</v>
      </c>
      <c r="F960" s="120">
        <v>8675059</v>
      </c>
      <c r="G960" s="120" t="s">
        <v>2033</v>
      </c>
      <c r="H960" s="120">
        <f t="shared" si="30"/>
        <v>8675.0589999999993</v>
      </c>
      <c r="I960" s="120">
        <f>DGKC!H102</f>
        <v>8675.0589999999993</v>
      </c>
      <c r="J960" s="120">
        <f t="shared" si="31"/>
        <v>0</v>
      </c>
      <c r="K960" s="119" t="s">
        <v>2043</v>
      </c>
      <c r="L960" s="119">
        <v>155</v>
      </c>
      <c r="M960" s="119" t="s">
        <v>1127</v>
      </c>
      <c r="N960" s="122" t="s">
        <v>3564</v>
      </c>
      <c r="O960" s="122" t="s">
        <v>3565</v>
      </c>
      <c r="P960" s="122" t="s">
        <v>4485</v>
      </c>
    </row>
    <row r="961" spans="1:16" ht="82.05" customHeight="1" x14ac:dyDescent="0.3">
      <c r="A961" s="50" t="s">
        <v>2375</v>
      </c>
      <c r="B961" s="50" t="s">
        <v>86</v>
      </c>
      <c r="C961" s="50" t="s">
        <v>20</v>
      </c>
      <c r="D961" s="50" t="s">
        <v>398</v>
      </c>
      <c r="E961" s="121">
        <v>34766</v>
      </c>
      <c r="F961" s="121">
        <v>34766</v>
      </c>
      <c r="G961" s="121" t="s">
        <v>2033</v>
      </c>
      <c r="H961" s="121">
        <f t="shared" si="30"/>
        <v>34.765999999999998</v>
      </c>
      <c r="I961" s="121">
        <f>DGKC!D105</f>
        <v>34.765999999999998</v>
      </c>
      <c r="J961" s="121">
        <f t="shared" si="31"/>
        <v>0</v>
      </c>
      <c r="K961" s="50" t="s">
        <v>2035</v>
      </c>
      <c r="L961" s="50">
        <v>177</v>
      </c>
      <c r="M961" s="50" t="s">
        <v>1106</v>
      </c>
      <c r="N961" s="68" t="s">
        <v>3602</v>
      </c>
      <c r="O961" s="68" t="s">
        <v>4486</v>
      </c>
      <c r="P961" s="68" t="s">
        <v>4487</v>
      </c>
    </row>
    <row r="962" spans="1:16" ht="82.05" customHeight="1" x14ac:dyDescent="0.3">
      <c r="A962" s="119" t="s">
        <v>2378</v>
      </c>
      <c r="B962" s="119" t="s">
        <v>86</v>
      </c>
      <c r="C962" s="119" t="s">
        <v>26</v>
      </c>
      <c r="D962" s="119" t="s">
        <v>398</v>
      </c>
      <c r="E962" s="120">
        <v>26530</v>
      </c>
      <c r="F962" s="120">
        <v>26530</v>
      </c>
      <c r="G962" s="120" t="s">
        <v>2033</v>
      </c>
      <c r="H962" s="120">
        <f t="shared" si="30"/>
        <v>26.53</v>
      </c>
      <c r="I962" s="120">
        <f>DGKC!E105</f>
        <v>26.53</v>
      </c>
      <c r="J962" s="120">
        <f t="shared" si="31"/>
        <v>0</v>
      </c>
      <c r="K962" s="119" t="s">
        <v>2038</v>
      </c>
      <c r="L962" s="119">
        <v>201</v>
      </c>
      <c r="M962" s="119" t="s">
        <v>1106</v>
      </c>
      <c r="N962" s="122" t="s">
        <v>3564</v>
      </c>
      <c r="O962" s="122" t="s">
        <v>4486</v>
      </c>
      <c r="P962" s="122" t="s">
        <v>4488</v>
      </c>
    </row>
    <row r="963" spans="1:16" ht="82.05" customHeight="1" x14ac:dyDescent="0.3">
      <c r="A963" s="50" t="s">
        <v>2381</v>
      </c>
      <c r="B963" s="50" t="s">
        <v>86</v>
      </c>
      <c r="C963" s="50" t="s">
        <v>27</v>
      </c>
      <c r="D963" s="50" t="s">
        <v>398</v>
      </c>
      <c r="E963" s="121">
        <v>38493</v>
      </c>
      <c r="F963" s="121">
        <v>38493</v>
      </c>
      <c r="G963" s="121" t="s">
        <v>2033</v>
      </c>
      <c r="H963" s="121">
        <f t="shared" si="30"/>
        <v>38.493000000000002</v>
      </c>
      <c r="I963" s="121">
        <f>DGKC!F105</f>
        <v>38.493000000000002</v>
      </c>
      <c r="J963" s="121">
        <f t="shared" si="31"/>
        <v>0</v>
      </c>
      <c r="K963" s="50" t="s">
        <v>2041</v>
      </c>
      <c r="L963" s="50">
        <v>204</v>
      </c>
      <c r="M963" s="50" t="s">
        <v>1106</v>
      </c>
      <c r="N963" s="68" t="s">
        <v>3564</v>
      </c>
      <c r="O963" s="68" t="s">
        <v>4486</v>
      </c>
      <c r="P963" s="68" t="s">
        <v>4489</v>
      </c>
    </row>
    <row r="964" spans="1:16" ht="82.05" customHeight="1" x14ac:dyDescent="0.3">
      <c r="A964" s="119" t="s">
        <v>2383</v>
      </c>
      <c r="B964" s="119" t="s">
        <v>86</v>
      </c>
      <c r="C964" s="119" t="s">
        <v>28</v>
      </c>
      <c r="D964" s="119" t="s">
        <v>398</v>
      </c>
      <c r="E964" s="120">
        <v>76127</v>
      </c>
      <c r="F964" s="120">
        <v>76127</v>
      </c>
      <c r="G964" s="120" t="s">
        <v>2033</v>
      </c>
      <c r="H964" s="120">
        <f t="shared" si="30"/>
        <v>76.126999999999995</v>
      </c>
      <c r="I964" s="120">
        <f>DGKC!G105</f>
        <v>76.126999999999995</v>
      </c>
      <c r="J964" s="120">
        <f t="shared" si="31"/>
        <v>0</v>
      </c>
      <c r="K964" s="119" t="s">
        <v>2043</v>
      </c>
      <c r="L964" s="119">
        <v>209</v>
      </c>
      <c r="M964" s="119" t="s">
        <v>1106</v>
      </c>
      <c r="N964" s="122" t="s">
        <v>3564</v>
      </c>
      <c r="O964" s="122" t="s">
        <v>4486</v>
      </c>
      <c r="P964" s="122" t="s">
        <v>4490</v>
      </c>
    </row>
    <row r="965" spans="1:16" ht="82.05" customHeight="1" x14ac:dyDescent="0.3">
      <c r="A965" s="50" t="s">
        <v>2386</v>
      </c>
      <c r="B965" s="50" t="s">
        <v>86</v>
      </c>
      <c r="C965" s="50" t="s">
        <v>29</v>
      </c>
      <c r="D965" s="50" t="s">
        <v>398</v>
      </c>
      <c r="E965" s="121">
        <v>53669</v>
      </c>
      <c r="F965" s="121">
        <v>53669</v>
      </c>
      <c r="G965" s="121" t="s">
        <v>2033</v>
      </c>
      <c r="H965" s="121">
        <f t="shared" si="30"/>
        <v>53.668999999999997</v>
      </c>
      <c r="I965" s="121">
        <f>DGKC!H105</f>
        <v>53.668999999999997</v>
      </c>
      <c r="J965" s="121">
        <f t="shared" si="31"/>
        <v>0</v>
      </c>
      <c r="K965" s="50" t="s">
        <v>2043</v>
      </c>
      <c r="L965" s="50">
        <v>209</v>
      </c>
      <c r="M965" s="50" t="s">
        <v>1127</v>
      </c>
      <c r="N965" s="68" t="s">
        <v>3564</v>
      </c>
      <c r="O965" s="68" t="s">
        <v>4486</v>
      </c>
      <c r="P965" s="68" t="s">
        <v>4490</v>
      </c>
    </row>
    <row r="966" spans="1:16" ht="82.05" customHeight="1" x14ac:dyDescent="0.3">
      <c r="A966" s="119" t="s">
        <v>2387</v>
      </c>
      <c r="B966" s="119" t="s">
        <v>86</v>
      </c>
      <c r="C966" s="119" t="s">
        <v>20</v>
      </c>
      <c r="D966" s="119" t="s">
        <v>402</v>
      </c>
      <c r="E966" s="120">
        <v>3580807</v>
      </c>
      <c r="F966" s="120">
        <v>3580807</v>
      </c>
      <c r="G966" s="120" t="s">
        <v>2033</v>
      </c>
      <c r="H966" s="120">
        <f t="shared" si="30"/>
        <v>3580.8069999999998</v>
      </c>
      <c r="I966" s="120">
        <f>DGKC!D107</f>
        <v>3580.8069999999998</v>
      </c>
      <c r="J966" s="120">
        <f t="shared" si="31"/>
        <v>0</v>
      </c>
      <c r="K966" s="119" t="s">
        <v>2035</v>
      </c>
      <c r="L966" s="119">
        <v>179</v>
      </c>
      <c r="M966" s="119" t="s">
        <v>1106</v>
      </c>
      <c r="N966" s="122" t="s">
        <v>3564</v>
      </c>
      <c r="O966" s="122" t="s">
        <v>3565</v>
      </c>
      <c r="P966" s="122" t="s">
        <v>4491</v>
      </c>
    </row>
    <row r="967" spans="1:16" ht="82.05" customHeight="1" x14ac:dyDescent="0.3">
      <c r="A967" s="50" t="s">
        <v>2390</v>
      </c>
      <c r="B967" s="50" t="s">
        <v>86</v>
      </c>
      <c r="C967" s="50" t="s">
        <v>26</v>
      </c>
      <c r="D967" s="50" t="s">
        <v>402</v>
      </c>
      <c r="E967" s="121">
        <v>3913288</v>
      </c>
      <c r="F967" s="121">
        <v>3913288</v>
      </c>
      <c r="G967" s="121" t="s">
        <v>2033</v>
      </c>
      <c r="H967" s="121">
        <f t="shared" si="30"/>
        <v>3913.288</v>
      </c>
      <c r="I967" s="121">
        <f>DGKC!E107</f>
        <v>3913.288</v>
      </c>
      <c r="J967" s="121">
        <f t="shared" si="31"/>
        <v>0</v>
      </c>
      <c r="K967" s="50" t="s">
        <v>2038</v>
      </c>
      <c r="L967" s="50">
        <v>204</v>
      </c>
      <c r="M967" s="50" t="s">
        <v>1106</v>
      </c>
      <c r="N967" s="68" t="s">
        <v>3602</v>
      </c>
      <c r="O967" s="68" t="s">
        <v>3603</v>
      </c>
      <c r="P967" s="68" t="s">
        <v>4492</v>
      </c>
    </row>
    <row r="968" spans="1:16" ht="82.05" customHeight="1" x14ac:dyDescent="0.3">
      <c r="A968" s="119" t="s">
        <v>2391</v>
      </c>
      <c r="B968" s="119" t="s">
        <v>86</v>
      </c>
      <c r="C968" s="119" t="s">
        <v>27</v>
      </c>
      <c r="D968" s="119" t="s">
        <v>402</v>
      </c>
      <c r="E968" s="120">
        <v>3944128</v>
      </c>
      <c r="F968" s="120">
        <v>3944128</v>
      </c>
      <c r="G968" s="120" t="s">
        <v>2033</v>
      </c>
      <c r="H968" s="120">
        <f t="shared" si="30"/>
        <v>3944.1280000000002</v>
      </c>
      <c r="I968" s="120">
        <f>DGKC!F107</f>
        <v>3944.1280000000002</v>
      </c>
      <c r="J968" s="120">
        <f t="shared" si="31"/>
        <v>0</v>
      </c>
      <c r="K968" s="119" t="s">
        <v>2041</v>
      </c>
      <c r="L968" s="119">
        <v>207</v>
      </c>
      <c r="M968" s="119" t="s">
        <v>1106</v>
      </c>
      <c r="N968" s="122" t="s">
        <v>3602</v>
      </c>
      <c r="O968" s="122" t="s">
        <v>3603</v>
      </c>
      <c r="P968" s="122" t="s">
        <v>4493</v>
      </c>
    </row>
    <row r="969" spans="1:16" ht="82.05" customHeight="1" x14ac:dyDescent="0.3">
      <c r="A969" s="50" t="s">
        <v>2393</v>
      </c>
      <c r="B969" s="50" t="s">
        <v>86</v>
      </c>
      <c r="C969" s="50" t="s">
        <v>28</v>
      </c>
      <c r="D969" s="50" t="s">
        <v>402</v>
      </c>
      <c r="E969" s="121">
        <v>3853452</v>
      </c>
      <c r="F969" s="121">
        <v>3853452</v>
      </c>
      <c r="G969" s="121" t="s">
        <v>2033</v>
      </c>
      <c r="H969" s="121">
        <f t="shared" si="30"/>
        <v>3853.4520000000002</v>
      </c>
      <c r="I969" s="121">
        <f>DGKC!G107</f>
        <v>3853.4520000000002</v>
      </c>
      <c r="J969" s="121">
        <f t="shared" si="31"/>
        <v>0</v>
      </c>
      <c r="K969" s="50" t="s">
        <v>2043</v>
      </c>
      <c r="L969" s="50">
        <v>212</v>
      </c>
      <c r="M969" s="50" t="s">
        <v>1106</v>
      </c>
      <c r="N969" s="68" t="s">
        <v>3602</v>
      </c>
      <c r="O969" s="68" t="s">
        <v>3603</v>
      </c>
      <c r="P969" s="68" t="s">
        <v>4494</v>
      </c>
    </row>
    <row r="970" spans="1:16" ht="82.05" customHeight="1" x14ac:dyDescent="0.3">
      <c r="A970" s="119" t="s">
        <v>2395</v>
      </c>
      <c r="B970" s="119" t="s">
        <v>86</v>
      </c>
      <c r="C970" s="119" t="s">
        <v>29</v>
      </c>
      <c r="D970" s="119" t="s">
        <v>402</v>
      </c>
      <c r="E970" s="120">
        <v>3832602</v>
      </c>
      <c r="F970" s="120">
        <v>3832602</v>
      </c>
      <c r="G970" s="120" t="s">
        <v>2033</v>
      </c>
      <c r="H970" s="120">
        <f t="shared" si="30"/>
        <v>3832.6019999999999</v>
      </c>
      <c r="I970" s="120">
        <f>DGKC!H107</f>
        <v>3832.6019999999999</v>
      </c>
      <c r="J970" s="120">
        <f t="shared" si="31"/>
        <v>0</v>
      </c>
      <c r="K970" s="119" t="s">
        <v>2043</v>
      </c>
      <c r="L970" s="119">
        <v>212</v>
      </c>
      <c r="M970" s="119" t="s">
        <v>1127</v>
      </c>
      <c r="N970" s="122" t="s">
        <v>3602</v>
      </c>
      <c r="O970" s="122" t="s">
        <v>3603</v>
      </c>
      <c r="P970" s="122" t="s">
        <v>4494</v>
      </c>
    </row>
    <row r="971" spans="1:16" ht="82.05" customHeight="1" x14ac:dyDescent="0.3">
      <c r="A971" s="50" t="s">
        <v>2396</v>
      </c>
      <c r="B971" s="50" t="s">
        <v>86</v>
      </c>
      <c r="C971" s="50" t="s">
        <v>20</v>
      </c>
      <c r="D971" s="50" t="s">
        <v>418</v>
      </c>
      <c r="E971" s="121">
        <v>10472429</v>
      </c>
      <c r="F971" s="121">
        <v>10472429</v>
      </c>
      <c r="G971" s="121" t="s">
        <v>2033</v>
      </c>
      <c r="H971" s="121">
        <f t="shared" si="30"/>
        <v>10472.429</v>
      </c>
      <c r="I971" s="121">
        <f>DGKC!D116</f>
        <v>10472.429</v>
      </c>
      <c r="J971" s="121">
        <f t="shared" si="31"/>
        <v>0</v>
      </c>
      <c r="K971" s="50" t="s">
        <v>2035</v>
      </c>
      <c r="L971" s="50">
        <v>129</v>
      </c>
      <c r="M971" s="50" t="s">
        <v>1106</v>
      </c>
      <c r="N971" s="68" t="s">
        <v>3564</v>
      </c>
      <c r="O971" s="68" t="s">
        <v>3565</v>
      </c>
      <c r="P971" s="68" t="s">
        <v>4495</v>
      </c>
    </row>
    <row r="972" spans="1:16" ht="82.05" customHeight="1" x14ac:dyDescent="0.3">
      <c r="A972" s="119" t="s">
        <v>2398</v>
      </c>
      <c r="B972" s="119" t="s">
        <v>86</v>
      </c>
      <c r="C972" s="119" t="s">
        <v>26</v>
      </c>
      <c r="D972" s="119" t="s">
        <v>418</v>
      </c>
      <c r="E972" s="120">
        <v>941866</v>
      </c>
      <c r="F972" s="120">
        <v>941866</v>
      </c>
      <c r="G972" s="120" t="s">
        <v>2033</v>
      </c>
      <c r="H972" s="120">
        <f t="shared" si="30"/>
        <v>941.86599999999999</v>
      </c>
      <c r="I972" s="120">
        <f>DGKC!E116</f>
        <v>941.86599999999999</v>
      </c>
      <c r="J972" s="120">
        <f t="shared" si="31"/>
        <v>0</v>
      </c>
      <c r="K972" s="119" t="s">
        <v>2038</v>
      </c>
      <c r="L972" s="119">
        <v>155</v>
      </c>
      <c r="M972" s="119" t="s">
        <v>1106</v>
      </c>
      <c r="N972" s="122" t="s">
        <v>3564</v>
      </c>
      <c r="O972" s="122" t="s">
        <v>3565</v>
      </c>
      <c r="P972" s="122" t="s">
        <v>4496</v>
      </c>
    </row>
    <row r="973" spans="1:16" ht="82.05" customHeight="1" x14ac:dyDescent="0.3">
      <c r="A973" s="50" t="s">
        <v>2399</v>
      </c>
      <c r="B973" s="50" t="s">
        <v>86</v>
      </c>
      <c r="C973" s="50" t="s">
        <v>27</v>
      </c>
      <c r="D973" s="50" t="s">
        <v>418</v>
      </c>
      <c r="E973" s="121">
        <v>13397298</v>
      </c>
      <c r="F973" s="121">
        <v>13397298</v>
      </c>
      <c r="G973" s="121" t="s">
        <v>2033</v>
      </c>
      <c r="H973" s="121">
        <f t="shared" si="30"/>
        <v>13397.298000000001</v>
      </c>
      <c r="I973" s="121">
        <f>DGKC!F116</f>
        <v>13397.298000000001</v>
      </c>
      <c r="J973" s="121">
        <f t="shared" si="31"/>
        <v>0</v>
      </c>
      <c r="K973" s="50" t="s">
        <v>2041</v>
      </c>
      <c r="L973" s="50">
        <v>155</v>
      </c>
      <c r="M973" s="50" t="s">
        <v>1106</v>
      </c>
      <c r="N973" s="68" t="s">
        <v>3564</v>
      </c>
      <c r="O973" s="68" t="s">
        <v>3565</v>
      </c>
      <c r="P973" s="68" t="s">
        <v>4497</v>
      </c>
    </row>
    <row r="974" spans="1:16" ht="82.05" customHeight="1" x14ac:dyDescent="0.3">
      <c r="A974" s="119" t="s">
        <v>2400</v>
      </c>
      <c r="B974" s="119" t="s">
        <v>86</v>
      </c>
      <c r="C974" s="119" t="s">
        <v>28</v>
      </c>
      <c r="D974" s="119" t="s">
        <v>418</v>
      </c>
      <c r="E974" s="120">
        <v>13222675</v>
      </c>
      <c r="F974" s="120">
        <v>13222675</v>
      </c>
      <c r="G974" s="120" t="s">
        <v>2033</v>
      </c>
      <c r="H974" s="120">
        <f t="shared" si="30"/>
        <v>13222.674999999999</v>
      </c>
      <c r="I974" s="120">
        <f>DGKC!G116</f>
        <v>13222.674999999999</v>
      </c>
      <c r="J974" s="120">
        <f t="shared" si="31"/>
        <v>0</v>
      </c>
      <c r="K974" s="119" t="s">
        <v>2043</v>
      </c>
      <c r="L974" s="119">
        <v>157</v>
      </c>
      <c r="M974" s="119" t="s">
        <v>1106</v>
      </c>
      <c r="N974" s="122" t="s">
        <v>3564</v>
      </c>
      <c r="O974" s="122" t="s">
        <v>3565</v>
      </c>
      <c r="P974" s="122" t="s">
        <v>4498</v>
      </c>
    </row>
    <row r="975" spans="1:16" ht="82.05" customHeight="1" x14ac:dyDescent="0.3">
      <c r="A975" s="50" t="s">
        <v>2401</v>
      </c>
      <c r="B975" s="50" t="s">
        <v>86</v>
      </c>
      <c r="C975" s="50" t="s">
        <v>29</v>
      </c>
      <c r="D975" s="50" t="s">
        <v>418</v>
      </c>
      <c r="E975" s="121">
        <v>15811428</v>
      </c>
      <c r="F975" s="121">
        <v>15811428</v>
      </c>
      <c r="G975" s="121" t="s">
        <v>2033</v>
      </c>
      <c r="H975" s="121">
        <f t="shared" si="30"/>
        <v>15811.428</v>
      </c>
      <c r="I975" s="121">
        <f>DGKC!H116</f>
        <v>15811.428</v>
      </c>
      <c r="J975" s="121">
        <f t="shared" si="31"/>
        <v>0</v>
      </c>
      <c r="K975" s="50" t="s">
        <v>2043</v>
      </c>
      <c r="L975" s="50">
        <v>157</v>
      </c>
      <c r="M975" s="50" t="s">
        <v>1127</v>
      </c>
      <c r="N975" s="68" t="s">
        <v>3564</v>
      </c>
      <c r="O975" s="68" t="s">
        <v>3565</v>
      </c>
      <c r="P975" s="68" t="s">
        <v>4499</v>
      </c>
    </row>
    <row r="976" spans="1:16" ht="82.05" customHeight="1" x14ac:dyDescent="0.3">
      <c r="A976" s="119" t="s">
        <v>2402</v>
      </c>
      <c r="B976" s="119" t="s">
        <v>86</v>
      </c>
      <c r="C976" s="119" t="s">
        <v>20</v>
      </c>
      <c r="D976" s="119" t="s">
        <v>420</v>
      </c>
      <c r="E976" s="120">
        <v>6161190</v>
      </c>
      <c r="F976" s="120">
        <v>6161190</v>
      </c>
      <c r="G976" s="120" t="s">
        <v>2033</v>
      </c>
      <c r="H976" s="120">
        <f t="shared" ref="H976:H985" si="32">F976/1000</f>
        <v>6161.19</v>
      </c>
      <c r="I976" s="120">
        <f>DGKC!D117</f>
        <v>6161.19</v>
      </c>
      <c r="J976" s="120">
        <f t="shared" ref="J976:J985" si="33">H976-I976</f>
        <v>0</v>
      </c>
      <c r="K976" s="119" t="s">
        <v>2035</v>
      </c>
      <c r="L976" s="119">
        <v>129</v>
      </c>
      <c r="M976" s="119" t="s">
        <v>1106</v>
      </c>
      <c r="N976" s="122" t="s">
        <v>3564</v>
      </c>
      <c r="O976" s="122" t="s">
        <v>3565</v>
      </c>
      <c r="P976" s="122" t="s">
        <v>4500</v>
      </c>
    </row>
    <row r="977" spans="1:16" ht="82.05" customHeight="1" x14ac:dyDescent="0.3">
      <c r="A977" s="50" t="s">
        <v>2404</v>
      </c>
      <c r="B977" s="50" t="s">
        <v>86</v>
      </c>
      <c r="C977" s="50" t="s">
        <v>26</v>
      </c>
      <c r="D977" s="50" t="s">
        <v>420</v>
      </c>
      <c r="E977" s="121">
        <v>-3932479</v>
      </c>
      <c r="F977" s="121">
        <v>-3932479</v>
      </c>
      <c r="G977" s="121" t="s">
        <v>2033</v>
      </c>
      <c r="H977" s="121">
        <f t="shared" si="32"/>
        <v>-3932.4789999999998</v>
      </c>
      <c r="I977" s="121">
        <f>DGKC!E117</f>
        <v>-3932.4789999999998</v>
      </c>
      <c r="J977" s="121">
        <f t="shared" si="33"/>
        <v>0</v>
      </c>
      <c r="K977" s="50" t="s">
        <v>2038</v>
      </c>
      <c r="L977" s="50">
        <v>155</v>
      </c>
      <c r="M977" s="50" t="s">
        <v>1106</v>
      </c>
      <c r="N977" s="68" t="s">
        <v>3564</v>
      </c>
      <c r="O977" s="68" t="s">
        <v>3565</v>
      </c>
      <c r="P977" s="68" t="s">
        <v>4501</v>
      </c>
    </row>
    <row r="978" spans="1:16" ht="82.05" customHeight="1" x14ac:dyDescent="0.3">
      <c r="A978" s="119" t="s">
        <v>2406</v>
      </c>
      <c r="B978" s="119" t="s">
        <v>86</v>
      </c>
      <c r="C978" s="119" t="s">
        <v>27</v>
      </c>
      <c r="D978" s="119" t="s">
        <v>420</v>
      </c>
      <c r="E978" s="120">
        <v>6504234</v>
      </c>
      <c r="F978" s="120">
        <v>6504234</v>
      </c>
      <c r="G978" s="120" t="s">
        <v>2033</v>
      </c>
      <c r="H978" s="120">
        <f t="shared" si="32"/>
        <v>6504.2340000000004</v>
      </c>
      <c r="I978" s="120">
        <f>DGKC!F117</f>
        <v>6504.2340000000004</v>
      </c>
      <c r="J978" s="120">
        <f t="shared" si="33"/>
        <v>0</v>
      </c>
      <c r="K978" s="119" t="s">
        <v>2041</v>
      </c>
      <c r="L978" s="119">
        <v>155</v>
      </c>
      <c r="M978" s="119" t="s">
        <v>1106</v>
      </c>
      <c r="N978" s="122" t="s">
        <v>3564</v>
      </c>
      <c r="O978" s="122" t="s">
        <v>3565</v>
      </c>
      <c r="P978" s="122" t="s">
        <v>4502</v>
      </c>
    </row>
    <row r="979" spans="1:16" ht="82.05" customHeight="1" x14ac:dyDescent="0.3">
      <c r="A979" s="50" t="s">
        <v>2408</v>
      </c>
      <c r="B979" s="50" t="s">
        <v>86</v>
      </c>
      <c r="C979" s="50" t="s">
        <v>28</v>
      </c>
      <c r="D979" s="50" t="s">
        <v>420</v>
      </c>
      <c r="E979" s="121">
        <v>6029545</v>
      </c>
      <c r="F979" s="121">
        <v>6029545</v>
      </c>
      <c r="G979" s="121" t="s">
        <v>2033</v>
      </c>
      <c r="H979" s="121">
        <f t="shared" si="32"/>
        <v>6029.5450000000001</v>
      </c>
      <c r="I979" s="121">
        <f>DGKC!G117</f>
        <v>6029.5450000000001</v>
      </c>
      <c r="J979" s="121">
        <f t="shared" si="33"/>
        <v>0</v>
      </c>
      <c r="K979" s="50" t="s">
        <v>2043</v>
      </c>
      <c r="L979" s="50">
        <v>157</v>
      </c>
      <c r="M979" s="50" t="s">
        <v>1106</v>
      </c>
      <c r="N979" s="68" t="s">
        <v>3564</v>
      </c>
      <c r="O979" s="68" t="s">
        <v>3565</v>
      </c>
      <c r="P979" s="68" t="s">
        <v>4503</v>
      </c>
    </row>
    <row r="980" spans="1:16" ht="82.05" customHeight="1" x14ac:dyDescent="0.3">
      <c r="A980" s="119" t="s">
        <v>2409</v>
      </c>
      <c r="B980" s="119" t="s">
        <v>86</v>
      </c>
      <c r="C980" s="119" t="s">
        <v>29</v>
      </c>
      <c r="D980" s="119" t="s">
        <v>420</v>
      </c>
      <c r="E980" s="120">
        <v>10034132</v>
      </c>
      <c r="F980" s="120">
        <v>10034132</v>
      </c>
      <c r="G980" s="120" t="s">
        <v>2033</v>
      </c>
      <c r="H980" s="120">
        <f t="shared" si="32"/>
        <v>10034.132</v>
      </c>
      <c r="I980" s="120">
        <f>DGKC!H117</f>
        <v>10034.132</v>
      </c>
      <c r="J980" s="120">
        <f t="shared" si="33"/>
        <v>0</v>
      </c>
      <c r="K980" s="119" t="s">
        <v>2043</v>
      </c>
      <c r="L980" s="119">
        <v>157</v>
      </c>
      <c r="M980" s="119" t="s">
        <v>1127</v>
      </c>
      <c r="N980" s="122" t="s">
        <v>3564</v>
      </c>
      <c r="O980" s="122" t="s">
        <v>3565</v>
      </c>
      <c r="P980" s="122" t="s">
        <v>4504</v>
      </c>
    </row>
    <row r="981" spans="1:16" ht="82.05" customHeight="1" x14ac:dyDescent="0.3">
      <c r="A981" s="50" t="s">
        <v>2410</v>
      </c>
      <c r="B981" s="50" t="s">
        <v>86</v>
      </c>
      <c r="C981" s="50" t="s">
        <v>20</v>
      </c>
      <c r="D981" s="50" t="s">
        <v>422</v>
      </c>
      <c r="E981" s="121">
        <v>-3125381</v>
      </c>
      <c r="F981" s="121">
        <v>-3125381</v>
      </c>
      <c r="G981" s="121" t="s">
        <v>2033</v>
      </c>
      <c r="H981" s="121">
        <f t="shared" si="32"/>
        <v>-3125.3809999999999</v>
      </c>
      <c r="I981" s="121">
        <f>DGKC!D118</f>
        <v>-3125.3809999999999</v>
      </c>
      <c r="J981" s="121">
        <f t="shared" si="33"/>
        <v>0</v>
      </c>
      <c r="K981" s="50" t="s">
        <v>2035</v>
      </c>
      <c r="L981" s="50">
        <v>129</v>
      </c>
      <c r="M981" s="50" t="s">
        <v>1106</v>
      </c>
      <c r="N981" s="68" t="s">
        <v>3564</v>
      </c>
      <c r="O981" s="68" t="s">
        <v>3565</v>
      </c>
      <c r="P981" s="68" t="s">
        <v>4505</v>
      </c>
    </row>
    <row r="982" spans="1:16" ht="82.05" customHeight="1" x14ac:dyDescent="0.3">
      <c r="A982" s="119" t="s">
        <v>2411</v>
      </c>
      <c r="B982" s="119" t="s">
        <v>86</v>
      </c>
      <c r="C982" s="119" t="s">
        <v>26</v>
      </c>
      <c r="D982" s="119" t="s">
        <v>422</v>
      </c>
      <c r="E982" s="120">
        <v>-3195727</v>
      </c>
      <c r="F982" s="120">
        <v>-3195727</v>
      </c>
      <c r="G982" s="120" t="s">
        <v>2033</v>
      </c>
      <c r="H982" s="120">
        <f t="shared" si="32"/>
        <v>-3195.7269999999999</v>
      </c>
      <c r="I982" s="120">
        <f>DGKC!E118</f>
        <v>-3195.7269999999999</v>
      </c>
      <c r="J982" s="120">
        <f t="shared" si="33"/>
        <v>0</v>
      </c>
      <c r="K982" s="119" t="s">
        <v>2038</v>
      </c>
      <c r="L982" s="119">
        <v>155</v>
      </c>
      <c r="M982" s="119" t="s">
        <v>1106</v>
      </c>
      <c r="N982" s="122" t="s">
        <v>3564</v>
      </c>
      <c r="O982" s="122" t="s">
        <v>3565</v>
      </c>
      <c r="P982" s="122" t="s">
        <v>4506</v>
      </c>
    </row>
    <row r="983" spans="1:16" ht="82.05" customHeight="1" x14ac:dyDescent="0.3">
      <c r="A983" s="50" t="s">
        <v>2412</v>
      </c>
      <c r="B983" s="50" t="s">
        <v>86</v>
      </c>
      <c r="C983" s="50" t="s">
        <v>27</v>
      </c>
      <c r="D983" s="50" t="s">
        <v>422</v>
      </c>
      <c r="E983" s="121">
        <v>-5998599</v>
      </c>
      <c r="F983" s="121">
        <v>-5998599</v>
      </c>
      <c r="G983" s="121" t="s">
        <v>2033</v>
      </c>
      <c r="H983" s="121">
        <f t="shared" si="32"/>
        <v>-5998.5990000000002</v>
      </c>
      <c r="I983" s="121">
        <f>DGKC!F118</f>
        <v>-5998.5990000000002</v>
      </c>
      <c r="J983" s="121">
        <f t="shared" si="33"/>
        <v>0</v>
      </c>
      <c r="K983" s="50" t="s">
        <v>2041</v>
      </c>
      <c r="L983" s="50">
        <v>155</v>
      </c>
      <c r="M983" s="50" t="s">
        <v>1106</v>
      </c>
      <c r="N983" s="68" t="s">
        <v>3564</v>
      </c>
      <c r="O983" s="68" t="s">
        <v>3565</v>
      </c>
      <c r="P983" s="68" t="s">
        <v>4507</v>
      </c>
    </row>
    <row r="984" spans="1:16" ht="82.05" customHeight="1" x14ac:dyDescent="0.3">
      <c r="A984" s="119" t="s">
        <v>2413</v>
      </c>
      <c r="B984" s="119" t="s">
        <v>86</v>
      </c>
      <c r="C984" s="119" t="s">
        <v>28</v>
      </c>
      <c r="D984" s="119" t="s">
        <v>422</v>
      </c>
      <c r="E984" s="120">
        <v>-8460206</v>
      </c>
      <c r="F984" s="120">
        <v>-8460206</v>
      </c>
      <c r="G984" s="120" t="s">
        <v>2033</v>
      </c>
      <c r="H984" s="120">
        <f t="shared" si="32"/>
        <v>-8460.2060000000001</v>
      </c>
      <c r="I984" s="120">
        <f>DGKC!G118</f>
        <v>-8460.2060000000001</v>
      </c>
      <c r="J984" s="120">
        <f t="shared" si="33"/>
        <v>0</v>
      </c>
      <c r="K984" s="119" t="s">
        <v>2043</v>
      </c>
      <c r="L984" s="119">
        <v>157</v>
      </c>
      <c r="M984" s="119" t="s">
        <v>1106</v>
      </c>
      <c r="N984" s="122" t="s">
        <v>3564</v>
      </c>
      <c r="O984" s="122" t="s">
        <v>3565</v>
      </c>
      <c r="P984" s="122" t="s">
        <v>4508</v>
      </c>
    </row>
    <row r="985" spans="1:16" ht="82.05" customHeight="1" x14ac:dyDescent="0.3">
      <c r="A985" s="50" t="s">
        <v>2414</v>
      </c>
      <c r="B985" s="50" t="s">
        <v>86</v>
      </c>
      <c r="C985" s="50" t="s">
        <v>29</v>
      </c>
      <c r="D985" s="50" t="s">
        <v>422</v>
      </c>
      <c r="E985" s="121">
        <v>-4921199</v>
      </c>
      <c r="F985" s="121">
        <v>-4921199</v>
      </c>
      <c r="G985" s="121" t="s">
        <v>2033</v>
      </c>
      <c r="H985" s="121">
        <f t="shared" si="32"/>
        <v>-4921.1989999999996</v>
      </c>
      <c r="I985" s="121">
        <f>DGKC!H118</f>
        <v>-4921.1989999999996</v>
      </c>
      <c r="J985" s="121">
        <f t="shared" si="33"/>
        <v>0</v>
      </c>
      <c r="K985" s="50" t="s">
        <v>2043</v>
      </c>
      <c r="L985" s="50">
        <v>157</v>
      </c>
      <c r="M985" s="50" t="s">
        <v>1127</v>
      </c>
      <c r="N985" s="68" t="s">
        <v>3564</v>
      </c>
      <c r="O985" s="68" t="s">
        <v>3565</v>
      </c>
      <c r="P985" s="68" t="s">
        <v>4509</v>
      </c>
    </row>
    <row r="986" spans="1:16" ht="82.05" customHeight="1" x14ac:dyDescent="0.3">
      <c r="A986" s="119" t="s">
        <v>2415</v>
      </c>
      <c r="B986" s="119" t="s">
        <v>86</v>
      </c>
      <c r="C986" s="119" t="s">
        <v>20</v>
      </c>
      <c r="D986" s="119" t="s">
        <v>424</v>
      </c>
      <c r="E986" s="120" t="s">
        <v>426</v>
      </c>
      <c r="F986" s="120" t="s">
        <v>426</v>
      </c>
      <c r="G986" s="120" t="s">
        <v>427</v>
      </c>
      <c r="H986" s="120" t="s">
        <v>426</v>
      </c>
      <c r="I986" s="120" t="str">
        <f>DGKC!D119</f>
        <v>Operating</v>
      </c>
      <c r="J986" s="120" t="s">
        <v>579</v>
      </c>
      <c r="K986" s="119" t="s">
        <v>2035</v>
      </c>
      <c r="L986" s="119">
        <v>129</v>
      </c>
      <c r="M986" s="119" t="s">
        <v>1106</v>
      </c>
      <c r="N986" s="122" t="s">
        <v>3864</v>
      </c>
      <c r="O986" s="122" t="s">
        <v>3865</v>
      </c>
      <c r="P986" s="122" t="s">
        <v>4510</v>
      </c>
    </row>
    <row r="987" spans="1:16" ht="82.05" customHeight="1" x14ac:dyDescent="0.3">
      <c r="A987" s="50" t="s">
        <v>2416</v>
      </c>
      <c r="B987" s="50" t="s">
        <v>86</v>
      </c>
      <c r="C987" s="50" t="s">
        <v>26</v>
      </c>
      <c r="D987" s="50" t="s">
        <v>424</v>
      </c>
      <c r="E987" s="121" t="s">
        <v>426</v>
      </c>
      <c r="F987" s="121" t="s">
        <v>426</v>
      </c>
      <c r="G987" s="121" t="s">
        <v>427</v>
      </c>
      <c r="H987" s="121" t="s">
        <v>426</v>
      </c>
      <c r="I987" s="121" t="str">
        <f>DGKC!E119</f>
        <v>Operating</v>
      </c>
      <c r="J987" s="121" t="s">
        <v>579</v>
      </c>
      <c r="K987" s="50" t="s">
        <v>2038</v>
      </c>
      <c r="L987" s="50">
        <v>155</v>
      </c>
      <c r="M987" s="50" t="s">
        <v>1106</v>
      </c>
      <c r="N987" s="68" t="s">
        <v>3864</v>
      </c>
      <c r="O987" s="68" t="s">
        <v>3865</v>
      </c>
      <c r="P987" s="68" t="s">
        <v>4511</v>
      </c>
    </row>
    <row r="988" spans="1:16" ht="82.05" customHeight="1" x14ac:dyDescent="0.3">
      <c r="A988" s="119" t="s">
        <v>2417</v>
      </c>
      <c r="B988" s="119" t="s">
        <v>86</v>
      </c>
      <c r="C988" s="119" t="s">
        <v>27</v>
      </c>
      <c r="D988" s="119" t="s">
        <v>424</v>
      </c>
      <c r="E988" s="120" t="s">
        <v>426</v>
      </c>
      <c r="F988" s="120" t="s">
        <v>426</v>
      </c>
      <c r="G988" s="120" t="s">
        <v>427</v>
      </c>
      <c r="H988" s="120" t="s">
        <v>426</v>
      </c>
      <c r="I988" s="120" t="str">
        <f>DGKC!F119</f>
        <v>Operating</v>
      </c>
      <c r="J988" s="120" t="s">
        <v>579</v>
      </c>
      <c r="K988" s="119" t="s">
        <v>2041</v>
      </c>
      <c r="L988" s="119">
        <v>155</v>
      </c>
      <c r="M988" s="119" t="s">
        <v>1106</v>
      </c>
      <c r="N988" s="122" t="s">
        <v>3864</v>
      </c>
      <c r="O988" s="122" t="s">
        <v>3865</v>
      </c>
      <c r="P988" s="122" t="s">
        <v>4512</v>
      </c>
    </row>
    <row r="989" spans="1:16" ht="82.05" customHeight="1" x14ac:dyDescent="0.3">
      <c r="A989" s="50" t="s">
        <v>2418</v>
      </c>
      <c r="B989" s="50" t="s">
        <v>86</v>
      </c>
      <c r="C989" s="50" t="s">
        <v>28</v>
      </c>
      <c r="D989" s="50" t="s">
        <v>424</v>
      </c>
      <c r="E989" s="121" t="s">
        <v>426</v>
      </c>
      <c r="F989" s="121" t="s">
        <v>426</v>
      </c>
      <c r="G989" s="121" t="s">
        <v>427</v>
      </c>
      <c r="H989" s="121" t="s">
        <v>426</v>
      </c>
      <c r="I989" s="121" t="str">
        <f>DGKC!G119</f>
        <v>Operating</v>
      </c>
      <c r="J989" s="121" t="s">
        <v>579</v>
      </c>
      <c r="K989" s="50" t="s">
        <v>2043</v>
      </c>
      <c r="L989" s="50">
        <v>157</v>
      </c>
      <c r="M989" s="50" t="s">
        <v>1106</v>
      </c>
      <c r="N989" s="68" t="s">
        <v>3864</v>
      </c>
      <c r="O989" s="68" t="s">
        <v>3865</v>
      </c>
      <c r="P989" s="68" t="s">
        <v>4513</v>
      </c>
    </row>
    <row r="990" spans="1:16" ht="82.05" customHeight="1" x14ac:dyDescent="0.3">
      <c r="A990" s="119" t="s">
        <v>2419</v>
      </c>
      <c r="B990" s="119" t="s">
        <v>86</v>
      </c>
      <c r="C990" s="119" t="s">
        <v>29</v>
      </c>
      <c r="D990" s="119" t="s">
        <v>424</v>
      </c>
      <c r="E990" s="120" t="s">
        <v>426</v>
      </c>
      <c r="F990" s="120" t="s">
        <v>426</v>
      </c>
      <c r="G990" s="120" t="s">
        <v>427</v>
      </c>
      <c r="H990" s="120" t="s">
        <v>426</v>
      </c>
      <c r="I990" s="120" t="str">
        <f>DGKC!H119</f>
        <v>Operating</v>
      </c>
      <c r="J990" s="120" t="s">
        <v>579</v>
      </c>
      <c r="K990" s="119" t="s">
        <v>2043</v>
      </c>
      <c r="L990" s="119">
        <v>157</v>
      </c>
      <c r="M990" s="119" t="s">
        <v>1127</v>
      </c>
      <c r="N990" s="122" t="s">
        <v>3864</v>
      </c>
      <c r="O990" s="122" t="s">
        <v>3865</v>
      </c>
      <c r="P990" s="122" t="s">
        <v>4513</v>
      </c>
    </row>
    <row r="991" spans="1:16" ht="82.05" customHeight="1" x14ac:dyDescent="0.3">
      <c r="A991" s="50" t="s">
        <v>2420</v>
      </c>
      <c r="B991" s="50" t="s">
        <v>86</v>
      </c>
      <c r="C991" s="50" t="s">
        <v>20</v>
      </c>
      <c r="D991" s="50" t="s">
        <v>430</v>
      </c>
      <c r="E991" s="121">
        <v>-5087104</v>
      </c>
      <c r="F991" s="121">
        <v>-5087104</v>
      </c>
      <c r="G991" s="121" t="s">
        <v>2033</v>
      </c>
      <c r="H991" s="121">
        <f t="shared" ref="H991:H1054" si="34">F991/1000</f>
        <v>-5087.1040000000003</v>
      </c>
      <c r="I991" s="121">
        <f>DGKC!D121</f>
        <v>-5087.1040000000003</v>
      </c>
      <c r="J991" s="121">
        <f t="shared" ref="J991:J1054" si="35">H991-I991</f>
        <v>0</v>
      </c>
      <c r="K991" s="50" t="s">
        <v>2035</v>
      </c>
      <c r="L991" s="50">
        <v>129</v>
      </c>
      <c r="M991" s="50" t="s">
        <v>1106</v>
      </c>
      <c r="N991" s="68" t="s">
        <v>3564</v>
      </c>
      <c r="O991" s="68" t="s">
        <v>3565</v>
      </c>
      <c r="P991" s="68" t="s">
        <v>4514</v>
      </c>
    </row>
    <row r="992" spans="1:16" ht="82.05" customHeight="1" x14ac:dyDescent="0.3">
      <c r="A992" s="119" t="s">
        <v>2422</v>
      </c>
      <c r="B992" s="119" t="s">
        <v>86</v>
      </c>
      <c r="C992" s="119" t="s">
        <v>26</v>
      </c>
      <c r="D992" s="119" t="s">
        <v>430</v>
      </c>
      <c r="E992" s="120">
        <v>-1739551</v>
      </c>
      <c r="F992" s="120">
        <v>-1739551</v>
      </c>
      <c r="G992" s="120" t="s">
        <v>2033</v>
      </c>
      <c r="H992" s="120">
        <f t="shared" si="34"/>
        <v>-1739.5509999999999</v>
      </c>
      <c r="I992" s="120">
        <f>DGKC!E121</f>
        <v>-1739.5509999999999</v>
      </c>
      <c r="J992" s="120">
        <f t="shared" si="35"/>
        <v>0</v>
      </c>
      <c r="K992" s="119" t="s">
        <v>2038</v>
      </c>
      <c r="L992" s="119">
        <v>155</v>
      </c>
      <c r="M992" s="119" t="s">
        <v>1106</v>
      </c>
      <c r="N992" s="122" t="s">
        <v>3564</v>
      </c>
      <c r="O992" s="122" t="s">
        <v>3565</v>
      </c>
      <c r="P992" s="122" t="s">
        <v>4515</v>
      </c>
    </row>
    <row r="993" spans="1:16" ht="82.05" customHeight="1" x14ac:dyDescent="0.3">
      <c r="A993" s="50" t="s">
        <v>2423</v>
      </c>
      <c r="B993" s="50" t="s">
        <v>86</v>
      </c>
      <c r="C993" s="50" t="s">
        <v>27</v>
      </c>
      <c r="D993" s="50" t="s">
        <v>430</v>
      </c>
      <c r="E993" s="121">
        <v>-3418069</v>
      </c>
      <c r="F993" s="121">
        <v>-3418069</v>
      </c>
      <c r="G993" s="121" t="s">
        <v>2033</v>
      </c>
      <c r="H993" s="121">
        <f t="shared" si="34"/>
        <v>-3418.069</v>
      </c>
      <c r="I993" s="121">
        <f>DGKC!F121</f>
        <v>-3418.069</v>
      </c>
      <c r="J993" s="121">
        <f t="shared" si="35"/>
        <v>0</v>
      </c>
      <c r="K993" s="50" t="s">
        <v>2041</v>
      </c>
      <c r="L993" s="50">
        <v>155</v>
      </c>
      <c r="M993" s="50" t="s">
        <v>1106</v>
      </c>
      <c r="N993" s="68" t="s">
        <v>3564</v>
      </c>
      <c r="O993" s="68" t="s">
        <v>3565</v>
      </c>
      <c r="P993" s="68" t="s">
        <v>4516</v>
      </c>
    </row>
    <row r="994" spans="1:16" ht="82.05" customHeight="1" x14ac:dyDescent="0.3">
      <c r="A994" s="119" t="s">
        <v>2424</v>
      </c>
      <c r="B994" s="119" t="s">
        <v>86</v>
      </c>
      <c r="C994" s="119" t="s">
        <v>28</v>
      </c>
      <c r="D994" s="119" t="s">
        <v>430</v>
      </c>
      <c r="E994" s="120">
        <v>-1620798</v>
      </c>
      <c r="F994" s="120">
        <v>-1620798</v>
      </c>
      <c r="G994" s="120" t="s">
        <v>2033</v>
      </c>
      <c r="H994" s="120">
        <f t="shared" si="34"/>
        <v>-1620.798</v>
      </c>
      <c r="I994" s="120">
        <f>DGKC!G121</f>
        <v>-1620.798</v>
      </c>
      <c r="J994" s="120">
        <f t="shared" si="35"/>
        <v>0</v>
      </c>
      <c r="K994" s="119" t="s">
        <v>2043</v>
      </c>
      <c r="L994" s="119">
        <v>157</v>
      </c>
      <c r="M994" s="119" t="s">
        <v>1106</v>
      </c>
      <c r="N994" s="122" t="s">
        <v>3564</v>
      </c>
      <c r="O994" s="122" t="s">
        <v>3565</v>
      </c>
      <c r="P994" s="122" t="s">
        <v>4517</v>
      </c>
    </row>
    <row r="995" spans="1:16" ht="82.05" customHeight="1" x14ac:dyDescent="0.3">
      <c r="A995" s="50" t="s">
        <v>2425</v>
      </c>
      <c r="B995" s="50" t="s">
        <v>86</v>
      </c>
      <c r="C995" s="50" t="s">
        <v>29</v>
      </c>
      <c r="D995" s="50" t="s">
        <v>430</v>
      </c>
      <c r="E995" s="121">
        <v>-1211491</v>
      </c>
      <c r="F995" s="121">
        <v>-1211491</v>
      </c>
      <c r="G995" s="121" t="s">
        <v>2033</v>
      </c>
      <c r="H995" s="121">
        <f t="shared" si="34"/>
        <v>-1211.491</v>
      </c>
      <c r="I995" s="121">
        <f>DGKC!H121</f>
        <v>-1211.491</v>
      </c>
      <c r="J995" s="121">
        <f t="shared" si="35"/>
        <v>0</v>
      </c>
      <c r="K995" s="50" t="s">
        <v>2043</v>
      </c>
      <c r="L995" s="50">
        <v>157</v>
      </c>
      <c r="M995" s="50" t="s">
        <v>1127</v>
      </c>
      <c r="N995" s="68" t="s">
        <v>3564</v>
      </c>
      <c r="O995" s="68" t="s">
        <v>3565</v>
      </c>
      <c r="P995" s="68" t="s">
        <v>4518</v>
      </c>
    </row>
    <row r="996" spans="1:16" ht="82.05" customHeight="1" x14ac:dyDescent="0.3">
      <c r="A996" s="119" t="s">
        <v>2426</v>
      </c>
      <c r="B996" s="119" t="s">
        <v>86</v>
      </c>
      <c r="C996" s="119" t="s">
        <v>20</v>
      </c>
      <c r="D996" s="119" t="s">
        <v>432</v>
      </c>
      <c r="E996" s="120">
        <v>-2962160</v>
      </c>
      <c r="F996" s="120">
        <v>-2962160</v>
      </c>
      <c r="G996" s="120" t="s">
        <v>2033</v>
      </c>
      <c r="H996" s="120">
        <f t="shared" si="34"/>
        <v>-2962.16</v>
      </c>
      <c r="I996" s="120">
        <f>DGKC!D122</f>
        <v>-2962.16</v>
      </c>
      <c r="J996" s="120">
        <f t="shared" si="35"/>
        <v>0</v>
      </c>
      <c r="K996" s="119" t="s">
        <v>2035</v>
      </c>
      <c r="L996" s="119">
        <v>129</v>
      </c>
      <c r="M996" s="119" t="s">
        <v>1106</v>
      </c>
      <c r="N996" s="122" t="s">
        <v>3564</v>
      </c>
      <c r="O996" s="122" t="s">
        <v>3565</v>
      </c>
      <c r="P996" s="122" t="s">
        <v>4519</v>
      </c>
    </row>
    <row r="997" spans="1:16" ht="82.05" customHeight="1" x14ac:dyDescent="0.3">
      <c r="A997" s="50" t="s">
        <v>2428</v>
      </c>
      <c r="B997" s="50" t="s">
        <v>86</v>
      </c>
      <c r="C997" s="50" t="s">
        <v>26</v>
      </c>
      <c r="D997" s="50" t="s">
        <v>432</v>
      </c>
      <c r="E997" s="121">
        <v>1461646</v>
      </c>
      <c r="F997" s="121">
        <v>1461646</v>
      </c>
      <c r="G997" s="121" t="s">
        <v>2033</v>
      </c>
      <c r="H997" s="121">
        <f t="shared" si="34"/>
        <v>1461.646</v>
      </c>
      <c r="I997" s="121">
        <f>DGKC!E122</f>
        <v>1461.646</v>
      </c>
      <c r="J997" s="121">
        <f t="shared" si="35"/>
        <v>0</v>
      </c>
      <c r="K997" s="50" t="s">
        <v>2038</v>
      </c>
      <c r="L997" s="50">
        <v>155</v>
      </c>
      <c r="M997" s="50" t="s">
        <v>1106</v>
      </c>
      <c r="N997" s="68" t="s">
        <v>3564</v>
      </c>
      <c r="O997" s="68" t="s">
        <v>3565</v>
      </c>
      <c r="P997" s="68" t="s">
        <v>4520</v>
      </c>
    </row>
    <row r="998" spans="1:16" ht="82.05" customHeight="1" x14ac:dyDescent="0.3">
      <c r="A998" s="119" t="s">
        <v>2430</v>
      </c>
      <c r="B998" s="119" t="s">
        <v>86</v>
      </c>
      <c r="C998" s="119" t="s">
        <v>27</v>
      </c>
      <c r="D998" s="119" t="s">
        <v>432</v>
      </c>
      <c r="E998" s="120">
        <v>-1747152</v>
      </c>
      <c r="F998" s="120">
        <v>-1747152</v>
      </c>
      <c r="G998" s="120" t="s">
        <v>2033</v>
      </c>
      <c r="H998" s="120">
        <f t="shared" si="34"/>
        <v>-1747.152</v>
      </c>
      <c r="I998" s="120">
        <f>DGKC!F122</f>
        <v>-1747.152</v>
      </c>
      <c r="J998" s="120">
        <f t="shared" si="35"/>
        <v>0</v>
      </c>
      <c r="K998" s="119" t="s">
        <v>2041</v>
      </c>
      <c r="L998" s="119">
        <v>155</v>
      </c>
      <c r="M998" s="119" t="s">
        <v>1106</v>
      </c>
      <c r="N998" s="122" t="s">
        <v>3564</v>
      </c>
      <c r="O998" s="122" t="s">
        <v>3565</v>
      </c>
      <c r="P998" s="122" t="s">
        <v>4521</v>
      </c>
    </row>
    <row r="999" spans="1:16" ht="82.05" customHeight="1" x14ac:dyDescent="0.3">
      <c r="A999" s="50" t="s">
        <v>2432</v>
      </c>
      <c r="B999" s="50" t="s">
        <v>86</v>
      </c>
      <c r="C999" s="50" t="s">
        <v>28</v>
      </c>
      <c r="D999" s="50" t="s">
        <v>432</v>
      </c>
      <c r="E999" s="121">
        <v>2277223</v>
      </c>
      <c r="F999" s="121">
        <v>2277223</v>
      </c>
      <c r="G999" s="121" t="s">
        <v>2033</v>
      </c>
      <c r="H999" s="121">
        <f t="shared" si="34"/>
        <v>2277.223</v>
      </c>
      <c r="I999" s="121">
        <f>DGKC!G122</f>
        <v>2277.223</v>
      </c>
      <c r="J999" s="121">
        <f t="shared" si="35"/>
        <v>0</v>
      </c>
      <c r="K999" s="50" t="s">
        <v>2043</v>
      </c>
      <c r="L999" s="50">
        <v>157</v>
      </c>
      <c r="M999" s="50" t="s">
        <v>1106</v>
      </c>
      <c r="N999" s="68" t="s">
        <v>3564</v>
      </c>
      <c r="O999" s="68" t="s">
        <v>3565</v>
      </c>
      <c r="P999" s="68" t="s">
        <v>4522</v>
      </c>
    </row>
    <row r="1000" spans="1:16" ht="82.05" customHeight="1" x14ac:dyDescent="0.3">
      <c r="A1000" s="119" t="s">
        <v>2434</v>
      </c>
      <c r="B1000" s="119" t="s">
        <v>86</v>
      </c>
      <c r="C1000" s="119" t="s">
        <v>29</v>
      </c>
      <c r="D1000" s="119" t="s">
        <v>432</v>
      </c>
      <c r="E1000" s="120">
        <v>3000535</v>
      </c>
      <c r="F1000" s="120">
        <v>3000535</v>
      </c>
      <c r="G1000" s="120" t="s">
        <v>2033</v>
      </c>
      <c r="H1000" s="120">
        <f t="shared" si="34"/>
        <v>3000.5349999999999</v>
      </c>
      <c r="I1000" s="120">
        <f>DGKC!H122</f>
        <v>3000.5349999999999</v>
      </c>
      <c r="J1000" s="120">
        <f t="shared" si="35"/>
        <v>0</v>
      </c>
      <c r="K1000" s="119" t="s">
        <v>2043</v>
      </c>
      <c r="L1000" s="119">
        <v>157</v>
      </c>
      <c r="M1000" s="119" t="s">
        <v>1127</v>
      </c>
      <c r="N1000" s="122" t="s">
        <v>3564</v>
      </c>
      <c r="O1000" s="122" t="s">
        <v>3565</v>
      </c>
      <c r="P1000" s="122" t="s">
        <v>4523</v>
      </c>
    </row>
    <row r="1001" spans="1:16" ht="82.05" customHeight="1" x14ac:dyDescent="0.3">
      <c r="A1001" s="50" t="s">
        <v>2435</v>
      </c>
      <c r="B1001" s="50" t="s">
        <v>86</v>
      </c>
      <c r="C1001" s="50" t="s">
        <v>20</v>
      </c>
      <c r="D1001" s="50" t="s">
        <v>434</v>
      </c>
      <c r="E1001" s="121">
        <v>2374853</v>
      </c>
      <c r="F1001" s="121">
        <v>2374853</v>
      </c>
      <c r="G1001" s="121" t="s">
        <v>2033</v>
      </c>
      <c r="H1001" s="121">
        <f t="shared" si="34"/>
        <v>2374.8530000000001</v>
      </c>
      <c r="I1001" s="121">
        <f>DGKC!D123</f>
        <v>2374.8530000000001</v>
      </c>
      <c r="J1001" s="121">
        <f t="shared" si="35"/>
        <v>0</v>
      </c>
      <c r="K1001" s="50" t="s">
        <v>2035</v>
      </c>
      <c r="L1001" s="50">
        <v>129</v>
      </c>
      <c r="M1001" s="50" t="s">
        <v>1106</v>
      </c>
      <c r="N1001" s="68" t="s">
        <v>3564</v>
      </c>
      <c r="O1001" s="68" t="s">
        <v>3565</v>
      </c>
      <c r="P1001" s="68" t="s">
        <v>4524</v>
      </c>
    </row>
    <row r="1002" spans="1:16" ht="82.05" customHeight="1" x14ac:dyDescent="0.3">
      <c r="A1002" s="119" t="s">
        <v>2437</v>
      </c>
      <c r="B1002" s="119" t="s">
        <v>86</v>
      </c>
      <c r="C1002" s="119" t="s">
        <v>26</v>
      </c>
      <c r="D1002" s="119" t="s">
        <v>434</v>
      </c>
      <c r="E1002" s="120">
        <v>-4864956</v>
      </c>
      <c r="F1002" s="120">
        <v>-4864956</v>
      </c>
      <c r="G1002" s="120" t="s">
        <v>2033</v>
      </c>
      <c r="H1002" s="120">
        <f t="shared" si="34"/>
        <v>-4864.9560000000001</v>
      </c>
      <c r="I1002" s="120">
        <f>DGKC!E123</f>
        <v>-4864.9560000000001</v>
      </c>
      <c r="J1002" s="120">
        <f t="shared" si="35"/>
        <v>0</v>
      </c>
      <c r="K1002" s="119" t="s">
        <v>2038</v>
      </c>
      <c r="L1002" s="119">
        <v>155</v>
      </c>
      <c r="M1002" s="119" t="s">
        <v>1106</v>
      </c>
      <c r="N1002" s="122" t="s">
        <v>3564</v>
      </c>
      <c r="O1002" s="122" t="s">
        <v>3565</v>
      </c>
      <c r="P1002" s="122" t="s">
        <v>4525</v>
      </c>
    </row>
    <row r="1003" spans="1:16" ht="82.05" customHeight="1" x14ac:dyDescent="0.3">
      <c r="A1003" s="50" t="s">
        <v>2439</v>
      </c>
      <c r="B1003" s="50" t="s">
        <v>86</v>
      </c>
      <c r="C1003" s="50" t="s">
        <v>27</v>
      </c>
      <c r="D1003" s="50" t="s">
        <v>434</v>
      </c>
      <c r="E1003" s="121">
        <v>-4883569</v>
      </c>
      <c r="F1003" s="121">
        <v>-4883569</v>
      </c>
      <c r="G1003" s="121" t="s">
        <v>2033</v>
      </c>
      <c r="H1003" s="121">
        <f t="shared" si="34"/>
        <v>-4883.5690000000004</v>
      </c>
      <c r="I1003" s="121">
        <f>DGKC!F123</f>
        <v>-4883.5690000000004</v>
      </c>
      <c r="J1003" s="121">
        <f t="shared" si="35"/>
        <v>0</v>
      </c>
      <c r="K1003" s="50" t="s">
        <v>2041</v>
      </c>
      <c r="L1003" s="50">
        <v>155</v>
      </c>
      <c r="M1003" s="50" t="s">
        <v>1106</v>
      </c>
      <c r="N1003" s="68" t="s">
        <v>3564</v>
      </c>
      <c r="O1003" s="68" t="s">
        <v>3565</v>
      </c>
      <c r="P1003" s="68" t="s">
        <v>4526</v>
      </c>
    </row>
    <row r="1004" spans="1:16" ht="82.05" customHeight="1" x14ac:dyDescent="0.3">
      <c r="A1004" s="119" t="s">
        <v>2441</v>
      </c>
      <c r="B1004" s="119" t="s">
        <v>86</v>
      </c>
      <c r="C1004" s="119" t="s">
        <v>28</v>
      </c>
      <c r="D1004" s="119" t="s">
        <v>434</v>
      </c>
      <c r="E1004" s="120">
        <v>4051021</v>
      </c>
      <c r="F1004" s="120">
        <v>4051021</v>
      </c>
      <c r="G1004" s="120" t="s">
        <v>2033</v>
      </c>
      <c r="H1004" s="120">
        <f t="shared" si="34"/>
        <v>4051.0210000000002</v>
      </c>
      <c r="I1004" s="120">
        <f>DGKC!G123</f>
        <v>4051.0210000000002</v>
      </c>
      <c r="J1004" s="120">
        <f t="shared" si="35"/>
        <v>0</v>
      </c>
      <c r="K1004" s="119" t="s">
        <v>2043</v>
      </c>
      <c r="L1004" s="119">
        <v>157</v>
      </c>
      <c r="M1004" s="119" t="s">
        <v>1106</v>
      </c>
      <c r="N1004" s="122" t="s">
        <v>3564</v>
      </c>
      <c r="O1004" s="122" t="s">
        <v>3565</v>
      </c>
      <c r="P1004" s="122" t="s">
        <v>4527</v>
      </c>
    </row>
    <row r="1005" spans="1:16" ht="82.05" customHeight="1" x14ac:dyDescent="0.3">
      <c r="A1005" s="50" t="s">
        <v>2443</v>
      </c>
      <c r="B1005" s="50" t="s">
        <v>86</v>
      </c>
      <c r="C1005" s="50" t="s">
        <v>29</v>
      </c>
      <c r="D1005" s="50" t="s">
        <v>434</v>
      </c>
      <c r="E1005" s="121">
        <v>-9357687</v>
      </c>
      <c r="F1005" s="121">
        <v>-9357687</v>
      </c>
      <c r="G1005" s="121" t="s">
        <v>2033</v>
      </c>
      <c r="H1005" s="121">
        <f t="shared" si="34"/>
        <v>-9357.6869999999999</v>
      </c>
      <c r="I1005" s="121">
        <f>DGKC!H123</f>
        <v>-9357.6869999999999</v>
      </c>
      <c r="J1005" s="121">
        <f t="shared" si="35"/>
        <v>0</v>
      </c>
      <c r="K1005" s="50" t="s">
        <v>2043</v>
      </c>
      <c r="L1005" s="50">
        <v>157</v>
      </c>
      <c r="M1005" s="50" t="s">
        <v>1127</v>
      </c>
      <c r="N1005" s="68" t="s">
        <v>3564</v>
      </c>
      <c r="O1005" s="68" t="s">
        <v>3565</v>
      </c>
      <c r="P1005" s="68" t="s">
        <v>4528</v>
      </c>
    </row>
    <row r="1006" spans="1:16" ht="82.05" customHeight="1" x14ac:dyDescent="0.3">
      <c r="A1006" s="119" t="s">
        <v>2444</v>
      </c>
      <c r="B1006" s="119" t="s">
        <v>86</v>
      </c>
      <c r="C1006" s="119" t="s">
        <v>20</v>
      </c>
      <c r="D1006" s="119" t="s">
        <v>436</v>
      </c>
      <c r="E1006" s="120">
        <v>-320</v>
      </c>
      <c r="F1006" s="120">
        <v>-320</v>
      </c>
      <c r="G1006" s="120" t="s">
        <v>2033</v>
      </c>
      <c r="H1006" s="120">
        <f t="shared" si="34"/>
        <v>-0.32</v>
      </c>
      <c r="I1006" s="120">
        <f>DGKC!D124</f>
        <v>-0.32</v>
      </c>
      <c r="J1006" s="120">
        <f t="shared" si="35"/>
        <v>0</v>
      </c>
      <c r="K1006" s="119" t="s">
        <v>2035</v>
      </c>
      <c r="L1006" s="119">
        <v>129</v>
      </c>
      <c r="M1006" s="119" t="s">
        <v>1106</v>
      </c>
      <c r="N1006" s="122" t="s">
        <v>3564</v>
      </c>
      <c r="O1006" s="122" t="s">
        <v>3565</v>
      </c>
      <c r="P1006" s="122" t="s">
        <v>4529</v>
      </c>
    </row>
    <row r="1007" spans="1:16" ht="82.05" customHeight="1" x14ac:dyDescent="0.3">
      <c r="A1007" s="50" t="s">
        <v>2445</v>
      </c>
      <c r="B1007" s="50" t="s">
        <v>86</v>
      </c>
      <c r="C1007" s="50" t="s">
        <v>26</v>
      </c>
      <c r="D1007" s="50" t="s">
        <v>436</v>
      </c>
      <c r="E1007" s="121">
        <v>-437124</v>
      </c>
      <c r="F1007" s="121">
        <v>-437124</v>
      </c>
      <c r="G1007" s="121" t="s">
        <v>2033</v>
      </c>
      <c r="H1007" s="121">
        <f t="shared" si="34"/>
        <v>-437.12400000000002</v>
      </c>
      <c r="I1007" s="121">
        <f>DGKC!E124</f>
        <v>-437.12400000000002</v>
      </c>
      <c r="J1007" s="121">
        <f t="shared" si="35"/>
        <v>0</v>
      </c>
      <c r="K1007" s="50" t="s">
        <v>2038</v>
      </c>
      <c r="L1007" s="50">
        <v>155</v>
      </c>
      <c r="M1007" s="50" t="s">
        <v>1106</v>
      </c>
      <c r="N1007" s="68" t="s">
        <v>3564</v>
      </c>
      <c r="O1007" s="68" t="s">
        <v>3565</v>
      </c>
      <c r="P1007" s="68" t="s">
        <v>4530</v>
      </c>
    </row>
    <row r="1008" spans="1:16" ht="82.05" customHeight="1" x14ac:dyDescent="0.3">
      <c r="A1008" s="119" t="s">
        <v>2446</v>
      </c>
      <c r="B1008" s="119" t="s">
        <v>86</v>
      </c>
      <c r="C1008" s="119" t="s">
        <v>27</v>
      </c>
      <c r="D1008" s="119" t="s">
        <v>436</v>
      </c>
      <c r="E1008" s="120">
        <v>-437927</v>
      </c>
      <c r="F1008" s="120">
        <v>-437927</v>
      </c>
      <c r="G1008" s="120" t="s">
        <v>2033</v>
      </c>
      <c r="H1008" s="120">
        <f t="shared" si="34"/>
        <v>-437.92700000000002</v>
      </c>
      <c r="I1008" s="120">
        <f>DGKC!F124</f>
        <v>-437.92700000000002</v>
      </c>
      <c r="J1008" s="120">
        <f t="shared" si="35"/>
        <v>0</v>
      </c>
      <c r="K1008" s="119" t="s">
        <v>2041</v>
      </c>
      <c r="L1008" s="119">
        <v>155</v>
      </c>
      <c r="M1008" s="119" t="s">
        <v>1106</v>
      </c>
      <c r="N1008" s="122" t="s">
        <v>3564</v>
      </c>
      <c r="O1008" s="122" t="s">
        <v>3565</v>
      </c>
      <c r="P1008" s="122" t="s">
        <v>4531</v>
      </c>
    </row>
    <row r="1009" spans="1:16" ht="82.05" customHeight="1" x14ac:dyDescent="0.3">
      <c r="A1009" s="50" t="s">
        <v>2447</v>
      </c>
      <c r="B1009" s="50" t="s">
        <v>86</v>
      </c>
      <c r="C1009" s="50" t="s">
        <v>28</v>
      </c>
      <c r="D1009" s="50" t="s">
        <v>436</v>
      </c>
      <c r="E1009" s="121">
        <v>-502</v>
      </c>
      <c r="F1009" s="121">
        <v>-502</v>
      </c>
      <c r="G1009" s="121" t="s">
        <v>2033</v>
      </c>
      <c r="H1009" s="121">
        <f t="shared" si="34"/>
        <v>-0.502</v>
      </c>
      <c r="I1009" s="121">
        <f>DGKC!G124</f>
        <v>-0.502</v>
      </c>
      <c r="J1009" s="121">
        <f t="shared" si="35"/>
        <v>0</v>
      </c>
      <c r="K1009" s="50" t="s">
        <v>2043</v>
      </c>
      <c r="L1009" s="50">
        <v>157</v>
      </c>
      <c r="M1009" s="50" t="s">
        <v>1106</v>
      </c>
      <c r="N1009" s="68" t="s">
        <v>3564</v>
      </c>
      <c r="O1009" s="68" t="s">
        <v>3565</v>
      </c>
      <c r="P1009" s="68" t="s">
        <v>4532</v>
      </c>
    </row>
    <row r="1010" spans="1:16" ht="82.05" customHeight="1" x14ac:dyDescent="0.3">
      <c r="A1010" s="119" t="s">
        <v>2448</v>
      </c>
      <c r="B1010" s="119" t="s">
        <v>86</v>
      </c>
      <c r="C1010" s="119" t="s">
        <v>29</v>
      </c>
      <c r="D1010" s="119" t="s">
        <v>436</v>
      </c>
      <c r="E1010" s="120">
        <v>-48</v>
      </c>
      <c r="F1010" s="120">
        <v>-48</v>
      </c>
      <c r="G1010" s="120" t="s">
        <v>2033</v>
      </c>
      <c r="H1010" s="120">
        <f t="shared" si="34"/>
        <v>-4.8000000000000001E-2</v>
      </c>
      <c r="I1010" s="120">
        <f>DGKC!H124</f>
        <v>-4.8000000000000001E-2</v>
      </c>
      <c r="J1010" s="120">
        <f t="shared" si="35"/>
        <v>0</v>
      </c>
      <c r="K1010" s="119" t="s">
        <v>2043</v>
      </c>
      <c r="L1010" s="119">
        <v>157</v>
      </c>
      <c r="M1010" s="119" t="s">
        <v>1127</v>
      </c>
      <c r="N1010" s="122" t="s">
        <v>3564</v>
      </c>
      <c r="O1010" s="122" t="s">
        <v>3565</v>
      </c>
      <c r="P1010" s="122" t="s">
        <v>4533</v>
      </c>
    </row>
    <row r="1011" spans="1:16" ht="82.05" customHeight="1" x14ac:dyDescent="0.3">
      <c r="A1011" s="50" t="s">
        <v>2483</v>
      </c>
      <c r="B1011" s="50" t="s">
        <v>106</v>
      </c>
      <c r="C1011" s="50" t="s">
        <v>965</v>
      </c>
      <c r="D1011" s="50" t="s">
        <v>243</v>
      </c>
      <c r="E1011" s="121">
        <v>44297941</v>
      </c>
      <c r="F1011" s="121">
        <v>44297941</v>
      </c>
      <c r="G1011" s="121" t="s">
        <v>2033</v>
      </c>
      <c r="H1011" s="121">
        <f t="shared" si="34"/>
        <v>44297.940999999999</v>
      </c>
      <c r="I1011" s="121">
        <f>MLCF!C20</f>
        <v>44297.940999999999</v>
      </c>
      <c r="J1011" s="121">
        <f t="shared" si="35"/>
        <v>0</v>
      </c>
      <c r="K1011" s="50" t="s">
        <v>1584</v>
      </c>
      <c r="L1011" s="50">
        <v>163</v>
      </c>
      <c r="M1011" s="50" t="s">
        <v>1106</v>
      </c>
      <c r="N1011" s="68" t="s">
        <v>3564</v>
      </c>
      <c r="O1011" s="68" t="s">
        <v>3565</v>
      </c>
      <c r="P1011" s="68" t="s">
        <v>4534</v>
      </c>
    </row>
    <row r="1012" spans="1:16" ht="82.05" customHeight="1" x14ac:dyDescent="0.3">
      <c r="A1012" s="119" t="s">
        <v>2485</v>
      </c>
      <c r="B1012" s="119" t="s">
        <v>106</v>
      </c>
      <c r="C1012" s="119" t="s">
        <v>20</v>
      </c>
      <c r="D1012" s="119" t="s">
        <v>243</v>
      </c>
      <c r="E1012" s="120">
        <v>44215539</v>
      </c>
      <c r="F1012" s="120">
        <v>44215539</v>
      </c>
      <c r="G1012" s="120" t="s">
        <v>2033</v>
      </c>
      <c r="H1012" s="120">
        <f t="shared" si="34"/>
        <v>44215.538999999997</v>
      </c>
      <c r="I1012" s="120">
        <f>MLCF!D20</f>
        <v>44215.538999999997</v>
      </c>
      <c r="J1012" s="120">
        <f t="shared" si="35"/>
        <v>0</v>
      </c>
      <c r="K1012" s="119" t="s">
        <v>1589</v>
      </c>
      <c r="L1012" s="119">
        <v>184</v>
      </c>
      <c r="M1012" s="119" t="s">
        <v>1106</v>
      </c>
      <c r="N1012" s="122" t="s">
        <v>3564</v>
      </c>
      <c r="O1012" s="122" t="s">
        <v>3565</v>
      </c>
      <c r="P1012" s="122" t="s">
        <v>4535</v>
      </c>
    </row>
    <row r="1013" spans="1:16" ht="82.05" customHeight="1" x14ac:dyDescent="0.3">
      <c r="A1013" s="50" t="s">
        <v>2486</v>
      </c>
      <c r="B1013" s="50" t="s">
        <v>106</v>
      </c>
      <c r="C1013" s="50" t="s">
        <v>26</v>
      </c>
      <c r="D1013" s="50" t="s">
        <v>243</v>
      </c>
      <c r="E1013" s="121">
        <v>56784840</v>
      </c>
      <c r="F1013" s="121">
        <v>56784840</v>
      </c>
      <c r="G1013" s="121" t="s">
        <v>2033</v>
      </c>
      <c r="H1013" s="121">
        <f t="shared" si="34"/>
        <v>56784.84</v>
      </c>
      <c r="I1013" s="121">
        <f>MLCF!E20</f>
        <v>56784.84</v>
      </c>
      <c r="J1013" s="121">
        <f t="shared" si="35"/>
        <v>0</v>
      </c>
      <c r="K1013" s="50" t="s">
        <v>1592</v>
      </c>
      <c r="L1013" s="50">
        <v>98</v>
      </c>
      <c r="M1013" s="50" t="s">
        <v>1106</v>
      </c>
      <c r="N1013" s="68" t="s">
        <v>3564</v>
      </c>
      <c r="O1013" s="68" t="s">
        <v>3565</v>
      </c>
      <c r="P1013" s="68" t="s">
        <v>4536</v>
      </c>
    </row>
    <row r="1014" spans="1:16" ht="82.05" customHeight="1" x14ac:dyDescent="0.3">
      <c r="A1014" s="119" t="s">
        <v>2488</v>
      </c>
      <c r="B1014" s="119" t="s">
        <v>106</v>
      </c>
      <c r="C1014" s="119" t="s">
        <v>27</v>
      </c>
      <c r="D1014" s="119" t="s">
        <v>243</v>
      </c>
      <c r="E1014" s="120">
        <v>62354608</v>
      </c>
      <c r="F1014" s="120">
        <v>62354608</v>
      </c>
      <c r="G1014" s="120" t="s">
        <v>2033</v>
      </c>
      <c r="H1014" s="120">
        <f t="shared" si="34"/>
        <v>62354.608</v>
      </c>
      <c r="I1014" s="120">
        <f>MLCF!F20</f>
        <v>62354.608</v>
      </c>
      <c r="J1014" s="120">
        <f t="shared" si="35"/>
        <v>0</v>
      </c>
      <c r="K1014" s="119" t="s">
        <v>1595</v>
      </c>
      <c r="L1014" s="119">
        <v>190</v>
      </c>
      <c r="M1014" s="119" t="s">
        <v>1106</v>
      </c>
      <c r="N1014" s="122" t="s">
        <v>3564</v>
      </c>
      <c r="O1014" s="122" t="s">
        <v>3565</v>
      </c>
      <c r="P1014" s="122" t="s">
        <v>4537</v>
      </c>
    </row>
    <row r="1015" spans="1:16" ht="82.05" customHeight="1" x14ac:dyDescent="0.3">
      <c r="A1015" s="50" t="s">
        <v>2490</v>
      </c>
      <c r="B1015" s="50" t="s">
        <v>106</v>
      </c>
      <c r="C1015" s="50" t="s">
        <v>28</v>
      </c>
      <c r="D1015" s="50" t="s">
        <v>243</v>
      </c>
      <c r="E1015" s="121">
        <v>65995598</v>
      </c>
      <c r="F1015" s="121">
        <v>65995598</v>
      </c>
      <c r="G1015" s="121" t="s">
        <v>2033</v>
      </c>
      <c r="H1015" s="121">
        <f t="shared" si="34"/>
        <v>65995.597999999998</v>
      </c>
      <c r="I1015" s="121">
        <f>MLCF!G20</f>
        <v>65995.597999999998</v>
      </c>
      <c r="J1015" s="121">
        <f t="shared" si="35"/>
        <v>0</v>
      </c>
      <c r="K1015" s="50" t="s">
        <v>1598</v>
      </c>
      <c r="L1015" s="50">
        <v>202</v>
      </c>
      <c r="M1015" s="50" t="s">
        <v>1106</v>
      </c>
      <c r="N1015" s="68" t="s">
        <v>3564</v>
      </c>
      <c r="O1015" s="68" t="s">
        <v>3565</v>
      </c>
      <c r="P1015" s="68" t="s">
        <v>4538</v>
      </c>
    </row>
    <row r="1016" spans="1:16" ht="82.05" customHeight="1" x14ac:dyDescent="0.3">
      <c r="A1016" s="119" t="s">
        <v>2491</v>
      </c>
      <c r="B1016" s="119" t="s">
        <v>106</v>
      </c>
      <c r="C1016" s="119" t="s">
        <v>29</v>
      </c>
      <c r="D1016" s="119" t="s">
        <v>243</v>
      </c>
      <c r="E1016" s="120">
        <v>62836212</v>
      </c>
      <c r="F1016" s="120">
        <v>62836212</v>
      </c>
      <c r="G1016" s="120" t="s">
        <v>2033</v>
      </c>
      <c r="H1016" s="120">
        <f t="shared" si="34"/>
        <v>62836.212</v>
      </c>
      <c r="I1016" s="120">
        <f>MLCF!H20</f>
        <v>62836.212</v>
      </c>
      <c r="J1016" s="120">
        <f t="shared" si="35"/>
        <v>0</v>
      </c>
      <c r="K1016" s="119" t="s">
        <v>1598</v>
      </c>
      <c r="L1016" s="119">
        <v>202</v>
      </c>
      <c r="M1016" s="119" t="s">
        <v>1127</v>
      </c>
      <c r="N1016" s="122" t="s">
        <v>3564</v>
      </c>
      <c r="O1016" s="122" t="s">
        <v>3565</v>
      </c>
      <c r="P1016" s="122" t="s">
        <v>4539</v>
      </c>
    </row>
    <row r="1017" spans="1:16" ht="82.05" customHeight="1" x14ac:dyDescent="0.3">
      <c r="A1017" s="50" t="s">
        <v>2492</v>
      </c>
      <c r="B1017" s="50" t="s">
        <v>106</v>
      </c>
      <c r="C1017" s="50" t="s">
        <v>965</v>
      </c>
      <c r="D1017" s="50" t="s">
        <v>1129</v>
      </c>
      <c r="E1017" s="121">
        <v>871386</v>
      </c>
      <c r="F1017" s="121">
        <v>871386</v>
      </c>
      <c r="G1017" s="121" t="s">
        <v>2033</v>
      </c>
      <c r="H1017" s="121">
        <f t="shared" si="34"/>
        <v>871.38599999999997</v>
      </c>
      <c r="I1017" s="121">
        <f>MLCF!C21</f>
        <v>871.38599999999997</v>
      </c>
      <c r="J1017" s="121">
        <f t="shared" si="35"/>
        <v>0</v>
      </c>
      <c r="K1017" s="50" t="s">
        <v>1584</v>
      </c>
      <c r="L1017" s="50">
        <v>203</v>
      </c>
      <c r="M1017" s="50" t="s">
        <v>1106</v>
      </c>
      <c r="N1017" s="68" t="s">
        <v>3564</v>
      </c>
      <c r="O1017" s="68" t="s">
        <v>3565</v>
      </c>
      <c r="P1017" s="68" t="s">
        <v>4540</v>
      </c>
    </row>
    <row r="1018" spans="1:16" ht="82.05" customHeight="1" x14ac:dyDescent="0.3">
      <c r="A1018" s="119" t="s">
        <v>2494</v>
      </c>
      <c r="B1018" s="119" t="s">
        <v>106</v>
      </c>
      <c r="C1018" s="119" t="s">
        <v>20</v>
      </c>
      <c r="D1018" s="119" t="s">
        <v>1129</v>
      </c>
      <c r="E1018" s="120">
        <v>2854293</v>
      </c>
      <c r="F1018" s="120">
        <v>2854293</v>
      </c>
      <c r="G1018" s="120" t="s">
        <v>2033</v>
      </c>
      <c r="H1018" s="120">
        <f t="shared" si="34"/>
        <v>2854.2930000000001</v>
      </c>
      <c r="I1018" s="120">
        <f>MLCF!D21</f>
        <v>2854.2930000000001</v>
      </c>
      <c r="J1018" s="120">
        <f t="shared" si="35"/>
        <v>0</v>
      </c>
      <c r="K1018" s="119" t="s">
        <v>1589</v>
      </c>
      <c r="L1018" s="119">
        <v>226</v>
      </c>
      <c r="M1018" s="119" t="s">
        <v>1106</v>
      </c>
      <c r="N1018" s="122" t="s">
        <v>3564</v>
      </c>
      <c r="O1018" s="122" t="s">
        <v>3565</v>
      </c>
      <c r="P1018" s="122" t="s">
        <v>4541</v>
      </c>
    </row>
    <row r="1019" spans="1:16" ht="82.05" customHeight="1" x14ac:dyDescent="0.3">
      <c r="A1019" s="50" t="s">
        <v>2495</v>
      </c>
      <c r="B1019" s="50" t="s">
        <v>106</v>
      </c>
      <c r="C1019" s="50" t="s">
        <v>26</v>
      </c>
      <c r="D1019" s="50" t="s">
        <v>1129</v>
      </c>
      <c r="E1019" s="121">
        <v>15352800</v>
      </c>
      <c r="F1019" s="121">
        <v>15352800</v>
      </c>
      <c r="G1019" s="121" t="s">
        <v>2033</v>
      </c>
      <c r="H1019" s="121">
        <f t="shared" si="34"/>
        <v>15352.8</v>
      </c>
      <c r="I1019" s="121">
        <f>MLCF!E21</f>
        <v>15352.8</v>
      </c>
      <c r="J1019" s="121">
        <f t="shared" si="35"/>
        <v>0</v>
      </c>
      <c r="K1019" s="50" t="s">
        <v>1589</v>
      </c>
      <c r="L1019" s="50">
        <v>226</v>
      </c>
      <c r="M1019" s="50" t="s">
        <v>1127</v>
      </c>
      <c r="N1019" s="68" t="s">
        <v>3564</v>
      </c>
      <c r="O1019" s="68" t="s">
        <v>3565</v>
      </c>
      <c r="P1019" s="68" t="s">
        <v>4542</v>
      </c>
    </row>
    <row r="1020" spans="1:16" ht="82.05" customHeight="1" x14ac:dyDescent="0.3">
      <c r="A1020" s="119" t="s">
        <v>2496</v>
      </c>
      <c r="B1020" s="119" t="s">
        <v>106</v>
      </c>
      <c r="C1020" s="119" t="s">
        <v>27</v>
      </c>
      <c r="D1020" s="119" t="s">
        <v>1129</v>
      </c>
      <c r="E1020" s="120">
        <v>1676796</v>
      </c>
      <c r="F1020" s="120">
        <v>1676796</v>
      </c>
      <c r="G1020" s="120" t="s">
        <v>2033</v>
      </c>
      <c r="H1020" s="120">
        <f t="shared" si="34"/>
        <v>1676.796</v>
      </c>
      <c r="I1020" s="120">
        <f>MLCF!F21</f>
        <v>1676.796</v>
      </c>
      <c r="J1020" s="120">
        <f t="shared" si="35"/>
        <v>0</v>
      </c>
      <c r="K1020" s="119" t="s">
        <v>1595</v>
      </c>
      <c r="L1020" s="119">
        <v>232</v>
      </c>
      <c r="M1020" s="119" t="s">
        <v>1106</v>
      </c>
      <c r="N1020" s="122" t="s">
        <v>3564</v>
      </c>
      <c r="O1020" s="122" t="s">
        <v>3565</v>
      </c>
      <c r="P1020" s="122" t="s">
        <v>4543</v>
      </c>
    </row>
    <row r="1021" spans="1:16" ht="82.05" customHeight="1" x14ac:dyDescent="0.3">
      <c r="A1021" s="50" t="s">
        <v>2498</v>
      </c>
      <c r="B1021" s="50" t="s">
        <v>106</v>
      </c>
      <c r="C1021" s="50" t="s">
        <v>28</v>
      </c>
      <c r="D1021" s="50" t="s">
        <v>1129</v>
      </c>
      <c r="E1021" s="121">
        <v>471174</v>
      </c>
      <c r="F1021" s="121">
        <v>471174</v>
      </c>
      <c r="G1021" s="121" t="s">
        <v>2033</v>
      </c>
      <c r="H1021" s="121">
        <f t="shared" si="34"/>
        <v>471.17399999999998</v>
      </c>
      <c r="I1021" s="121">
        <f>MLCF!G21</f>
        <v>471.17399999999998</v>
      </c>
      <c r="J1021" s="121">
        <f t="shared" si="35"/>
        <v>0</v>
      </c>
      <c r="K1021" s="50" t="s">
        <v>1598</v>
      </c>
      <c r="L1021" s="50">
        <v>246</v>
      </c>
      <c r="M1021" s="50" t="s">
        <v>1106</v>
      </c>
      <c r="N1021" s="68" t="s">
        <v>3564</v>
      </c>
      <c r="O1021" s="68" t="s">
        <v>3565</v>
      </c>
      <c r="P1021" s="68" t="s">
        <v>4544</v>
      </c>
    </row>
    <row r="1022" spans="1:16" ht="82.05" customHeight="1" x14ac:dyDescent="0.3">
      <c r="A1022" s="119" t="s">
        <v>2501</v>
      </c>
      <c r="B1022" s="119" t="s">
        <v>106</v>
      </c>
      <c r="C1022" s="119" t="s">
        <v>29</v>
      </c>
      <c r="D1022" s="119" t="s">
        <v>1129</v>
      </c>
      <c r="E1022" s="120">
        <v>125704</v>
      </c>
      <c r="F1022" s="120">
        <v>125704</v>
      </c>
      <c r="G1022" s="120" t="s">
        <v>2033</v>
      </c>
      <c r="H1022" s="120">
        <f t="shared" si="34"/>
        <v>125.70399999999999</v>
      </c>
      <c r="I1022" s="120">
        <f>MLCF!H21</f>
        <v>125.70399999999999</v>
      </c>
      <c r="J1022" s="120">
        <f t="shared" si="35"/>
        <v>0</v>
      </c>
      <c r="K1022" s="119" t="s">
        <v>1598</v>
      </c>
      <c r="L1022" s="119">
        <v>246</v>
      </c>
      <c r="M1022" s="119" t="s">
        <v>1127</v>
      </c>
      <c r="N1022" s="122" t="s">
        <v>3564</v>
      </c>
      <c r="O1022" s="122" t="s">
        <v>3565</v>
      </c>
      <c r="P1022" s="122" t="s">
        <v>4545</v>
      </c>
    </row>
    <row r="1023" spans="1:16" ht="82.05" customHeight="1" x14ac:dyDescent="0.3">
      <c r="A1023" s="50" t="s">
        <v>2502</v>
      </c>
      <c r="B1023" s="50" t="s">
        <v>106</v>
      </c>
      <c r="C1023" s="50" t="s">
        <v>965</v>
      </c>
      <c r="D1023" s="50" t="s">
        <v>250</v>
      </c>
      <c r="E1023" s="121">
        <v>0</v>
      </c>
      <c r="F1023" s="121">
        <v>0</v>
      </c>
      <c r="G1023" s="121" t="s">
        <v>2033</v>
      </c>
      <c r="H1023" s="121">
        <f t="shared" si="34"/>
        <v>0</v>
      </c>
      <c r="I1023" s="121">
        <f>MLCF!C23</f>
        <v>0</v>
      </c>
      <c r="J1023" s="121">
        <f t="shared" si="35"/>
        <v>0</v>
      </c>
      <c r="K1023" s="50" t="s">
        <v>1584</v>
      </c>
      <c r="L1023" s="50">
        <v>162</v>
      </c>
      <c r="M1023" s="50" t="s">
        <v>1106</v>
      </c>
      <c r="N1023" s="68" t="s">
        <v>3578</v>
      </c>
      <c r="O1023" s="68" t="s">
        <v>3579</v>
      </c>
      <c r="P1023" s="68" t="s">
        <v>4546</v>
      </c>
    </row>
    <row r="1024" spans="1:16" ht="82.05" customHeight="1" x14ac:dyDescent="0.3">
      <c r="A1024" s="119" t="s">
        <v>2504</v>
      </c>
      <c r="B1024" s="119" t="s">
        <v>106</v>
      </c>
      <c r="C1024" s="119" t="s">
        <v>20</v>
      </c>
      <c r="D1024" s="119" t="s">
        <v>250</v>
      </c>
      <c r="E1024" s="120">
        <v>0</v>
      </c>
      <c r="F1024" s="120">
        <v>0</v>
      </c>
      <c r="G1024" s="120" t="s">
        <v>2033</v>
      </c>
      <c r="H1024" s="120">
        <f t="shared" si="34"/>
        <v>0</v>
      </c>
      <c r="I1024" s="120">
        <f>MLCF!D23</f>
        <v>0</v>
      </c>
      <c r="J1024" s="120">
        <f t="shared" si="35"/>
        <v>0</v>
      </c>
      <c r="K1024" s="119" t="s">
        <v>1589</v>
      </c>
      <c r="L1024" s="119">
        <v>183</v>
      </c>
      <c r="M1024" s="119" t="s">
        <v>1106</v>
      </c>
      <c r="N1024" s="122" t="s">
        <v>3578</v>
      </c>
      <c r="O1024" s="122" t="s">
        <v>3579</v>
      </c>
      <c r="P1024" s="122" t="s">
        <v>4547</v>
      </c>
    </row>
    <row r="1025" spans="1:16" ht="82.05" customHeight="1" x14ac:dyDescent="0.3">
      <c r="A1025" s="50" t="s">
        <v>2505</v>
      </c>
      <c r="B1025" s="50" t="s">
        <v>106</v>
      </c>
      <c r="C1025" s="50" t="s">
        <v>26</v>
      </c>
      <c r="D1025" s="50" t="s">
        <v>250</v>
      </c>
      <c r="E1025" s="121">
        <v>0</v>
      </c>
      <c r="F1025" s="121">
        <v>0</v>
      </c>
      <c r="G1025" s="121" t="s">
        <v>2033</v>
      </c>
      <c r="H1025" s="121">
        <f t="shared" si="34"/>
        <v>0</v>
      </c>
      <c r="I1025" s="121">
        <f>MLCF!E23</f>
        <v>0</v>
      </c>
      <c r="J1025" s="121">
        <f t="shared" si="35"/>
        <v>0</v>
      </c>
      <c r="K1025" s="50" t="s">
        <v>1592</v>
      </c>
      <c r="L1025" s="50">
        <v>98</v>
      </c>
      <c r="M1025" s="50" t="s">
        <v>1106</v>
      </c>
      <c r="N1025" s="68" t="s">
        <v>3578</v>
      </c>
      <c r="O1025" s="68" t="s">
        <v>3579</v>
      </c>
      <c r="P1025" s="68" t="s">
        <v>4548</v>
      </c>
    </row>
    <row r="1026" spans="1:16" ht="82.05" customHeight="1" x14ac:dyDescent="0.3">
      <c r="A1026" s="119" t="s">
        <v>2506</v>
      </c>
      <c r="B1026" s="119" t="s">
        <v>106</v>
      </c>
      <c r="C1026" s="119" t="s">
        <v>27</v>
      </c>
      <c r="D1026" s="119" t="s">
        <v>250</v>
      </c>
      <c r="E1026" s="120">
        <v>0</v>
      </c>
      <c r="F1026" s="120">
        <v>0</v>
      </c>
      <c r="G1026" s="120" t="s">
        <v>2033</v>
      </c>
      <c r="H1026" s="120">
        <f t="shared" si="34"/>
        <v>0</v>
      </c>
      <c r="I1026" s="120">
        <f>MLCF!F23</f>
        <v>0</v>
      </c>
      <c r="J1026" s="120">
        <f t="shared" si="35"/>
        <v>0</v>
      </c>
      <c r="K1026" s="119" t="s">
        <v>1595</v>
      </c>
      <c r="L1026" s="119">
        <v>189</v>
      </c>
      <c r="M1026" s="119" t="s">
        <v>1106</v>
      </c>
      <c r="N1026" s="122" t="s">
        <v>3578</v>
      </c>
      <c r="O1026" s="122" t="s">
        <v>3579</v>
      </c>
      <c r="P1026" s="122" t="s">
        <v>4549</v>
      </c>
    </row>
    <row r="1027" spans="1:16" ht="82.05" customHeight="1" x14ac:dyDescent="0.3">
      <c r="A1027" s="50" t="s">
        <v>2507</v>
      </c>
      <c r="B1027" s="50" t="s">
        <v>106</v>
      </c>
      <c r="C1027" s="50" t="s">
        <v>28</v>
      </c>
      <c r="D1027" s="50" t="s">
        <v>250</v>
      </c>
      <c r="E1027" s="121">
        <v>0</v>
      </c>
      <c r="F1027" s="121">
        <v>0</v>
      </c>
      <c r="G1027" s="121" t="s">
        <v>2033</v>
      </c>
      <c r="H1027" s="121">
        <f t="shared" si="34"/>
        <v>0</v>
      </c>
      <c r="I1027" s="121">
        <f>MLCF!G23</f>
        <v>0</v>
      </c>
      <c r="J1027" s="121">
        <f t="shared" si="35"/>
        <v>0</v>
      </c>
      <c r="K1027" s="50" t="s">
        <v>1598</v>
      </c>
      <c r="L1027" s="50">
        <v>201</v>
      </c>
      <c r="M1027" s="50" t="s">
        <v>1106</v>
      </c>
      <c r="N1027" s="68" t="s">
        <v>3578</v>
      </c>
      <c r="O1027" s="68" t="s">
        <v>3579</v>
      </c>
      <c r="P1027" s="68" t="s">
        <v>4550</v>
      </c>
    </row>
    <row r="1028" spans="1:16" ht="82.05" customHeight="1" x14ac:dyDescent="0.3">
      <c r="A1028" s="119" t="s">
        <v>2508</v>
      </c>
      <c r="B1028" s="119" t="s">
        <v>106</v>
      </c>
      <c r="C1028" s="119" t="s">
        <v>29</v>
      </c>
      <c r="D1028" s="119" t="s">
        <v>250</v>
      </c>
      <c r="E1028" s="120">
        <v>0</v>
      </c>
      <c r="F1028" s="120">
        <v>0</v>
      </c>
      <c r="G1028" s="120" t="s">
        <v>2033</v>
      </c>
      <c r="H1028" s="120">
        <f t="shared" si="34"/>
        <v>0</v>
      </c>
      <c r="I1028" s="120">
        <f>MLCF!H23</f>
        <v>0</v>
      </c>
      <c r="J1028" s="120">
        <f t="shared" si="35"/>
        <v>0</v>
      </c>
      <c r="K1028" s="119" t="s">
        <v>1598</v>
      </c>
      <c r="L1028" s="119">
        <v>201</v>
      </c>
      <c r="M1028" s="119" t="s">
        <v>1127</v>
      </c>
      <c r="N1028" s="122" t="s">
        <v>3578</v>
      </c>
      <c r="O1028" s="122" t="s">
        <v>3579</v>
      </c>
      <c r="P1028" s="122" t="s">
        <v>4550</v>
      </c>
    </row>
    <row r="1029" spans="1:16" ht="82.05" customHeight="1" x14ac:dyDescent="0.3">
      <c r="A1029" s="50" t="s">
        <v>2509</v>
      </c>
      <c r="B1029" s="50" t="s">
        <v>106</v>
      </c>
      <c r="C1029" s="50" t="s">
        <v>965</v>
      </c>
      <c r="D1029" s="50" t="s">
        <v>252</v>
      </c>
      <c r="E1029" s="121">
        <v>9023</v>
      </c>
      <c r="F1029" s="121">
        <v>9023</v>
      </c>
      <c r="G1029" s="121" t="s">
        <v>2033</v>
      </c>
      <c r="H1029" s="121">
        <f t="shared" si="34"/>
        <v>9.0229999999999997</v>
      </c>
      <c r="I1029" s="121">
        <f>MLCF!C24</f>
        <v>9.0229999999999997</v>
      </c>
      <c r="J1029" s="121">
        <f t="shared" si="35"/>
        <v>0</v>
      </c>
      <c r="K1029" s="50" t="s">
        <v>1584</v>
      </c>
      <c r="L1029" s="50">
        <v>163</v>
      </c>
      <c r="M1029" s="50" t="s">
        <v>1106</v>
      </c>
      <c r="N1029" s="68" t="s">
        <v>3564</v>
      </c>
      <c r="O1029" s="68" t="s">
        <v>3565</v>
      </c>
      <c r="P1029" s="68" t="s">
        <v>4551</v>
      </c>
    </row>
    <row r="1030" spans="1:16" ht="82.05" customHeight="1" x14ac:dyDescent="0.3">
      <c r="A1030" s="119" t="s">
        <v>2510</v>
      </c>
      <c r="B1030" s="119" t="s">
        <v>106</v>
      </c>
      <c r="C1030" s="119" t="s">
        <v>20</v>
      </c>
      <c r="D1030" s="119" t="s">
        <v>252</v>
      </c>
      <c r="E1030" s="120">
        <v>6017</v>
      </c>
      <c r="F1030" s="120">
        <v>6017</v>
      </c>
      <c r="G1030" s="120" t="s">
        <v>2033</v>
      </c>
      <c r="H1030" s="120">
        <f t="shared" si="34"/>
        <v>6.0170000000000003</v>
      </c>
      <c r="I1030" s="120">
        <f>MLCF!D24</f>
        <v>6.0170000000000003</v>
      </c>
      <c r="J1030" s="120">
        <f t="shared" si="35"/>
        <v>0</v>
      </c>
      <c r="K1030" s="119" t="s">
        <v>1589</v>
      </c>
      <c r="L1030" s="119">
        <v>184</v>
      </c>
      <c r="M1030" s="119" t="s">
        <v>1106</v>
      </c>
      <c r="N1030" s="122" t="s">
        <v>3564</v>
      </c>
      <c r="O1030" s="122" t="s">
        <v>3565</v>
      </c>
      <c r="P1030" s="122" t="s">
        <v>4552</v>
      </c>
    </row>
    <row r="1031" spans="1:16" ht="82.05" customHeight="1" x14ac:dyDescent="0.3">
      <c r="A1031" s="50" t="s">
        <v>2511</v>
      </c>
      <c r="B1031" s="50" t="s">
        <v>106</v>
      </c>
      <c r="C1031" s="50" t="s">
        <v>26</v>
      </c>
      <c r="D1031" s="50" t="s">
        <v>252</v>
      </c>
      <c r="E1031" s="121">
        <v>10415</v>
      </c>
      <c r="F1031" s="121">
        <v>10415</v>
      </c>
      <c r="G1031" s="121" t="s">
        <v>2033</v>
      </c>
      <c r="H1031" s="121">
        <f t="shared" si="34"/>
        <v>10.414999999999999</v>
      </c>
      <c r="I1031" s="121">
        <f>MLCF!E24</f>
        <v>10.414999999999999</v>
      </c>
      <c r="J1031" s="121">
        <f t="shared" si="35"/>
        <v>0</v>
      </c>
      <c r="K1031" s="50" t="s">
        <v>1592</v>
      </c>
      <c r="L1031" s="50">
        <v>98</v>
      </c>
      <c r="M1031" s="50" t="s">
        <v>1106</v>
      </c>
      <c r="N1031" s="68" t="s">
        <v>3564</v>
      </c>
      <c r="O1031" s="68" t="s">
        <v>3565</v>
      </c>
      <c r="P1031" s="68" t="s">
        <v>4553</v>
      </c>
    </row>
    <row r="1032" spans="1:16" ht="82.05" customHeight="1" x14ac:dyDescent="0.3">
      <c r="A1032" s="119" t="s">
        <v>2512</v>
      </c>
      <c r="B1032" s="119" t="s">
        <v>106</v>
      </c>
      <c r="C1032" s="119" t="s">
        <v>27</v>
      </c>
      <c r="D1032" s="119" t="s">
        <v>252</v>
      </c>
      <c r="E1032" s="120">
        <v>6946</v>
      </c>
      <c r="F1032" s="120">
        <v>6946</v>
      </c>
      <c r="G1032" s="120" t="s">
        <v>2033</v>
      </c>
      <c r="H1032" s="120">
        <f t="shared" si="34"/>
        <v>6.9459999999999997</v>
      </c>
      <c r="I1032" s="120">
        <f>MLCF!F24</f>
        <v>6.9459999999999997</v>
      </c>
      <c r="J1032" s="120">
        <f t="shared" si="35"/>
        <v>0</v>
      </c>
      <c r="K1032" s="119" t="s">
        <v>1595</v>
      </c>
      <c r="L1032" s="119">
        <v>190</v>
      </c>
      <c r="M1032" s="119" t="s">
        <v>1106</v>
      </c>
      <c r="N1032" s="122" t="s">
        <v>3564</v>
      </c>
      <c r="O1032" s="122" t="s">
        <v>3565</v>
      </c>
      <c r="P1032" s="122" t="s">
        <v>4554</v>
      </c>
    </row>
    <row r="1033" spans="1:16" ht="82.05" customHeight="1" x14ac:dyDescent="0.3">
      <c r="A1033" s="50" t="s">
        <v>2513</v>
      </c>
      <c r="B1033" s="50" t="s">
        <v>106</v>
      </c>
      <c r="C1033" s="50" t="s">
        <v>28</v>
      </c>
      <c r="D1033" s="50" t="s">
        <v>252</v>
      </c>
      <c r="E1033" s="121">
        <v>84810</v>
      </c>
      <c r="F1033" s="121">
        <v>84810</v>
      </c>
      <c r="G1033" s="121" t="s">
        <v>2033</v>
      </c>
      <c r="H1033" s="121">
        <f t="shared" si="34"/>
        <v>84.81</v>
      </c>
      <c r="I1033" s="121">
        <f>MLCF!G24</f>
        <v>84.81</v>
      </c>
      <c r="J1033" s="121">
        <f t="shared" si="35"/>
        <v>0</v>
      </c>
      <c r="K1033" s="50" t="s">
        <v>1598</v>
      </c>
      <c r="L1033" s="50">
        <v>202</v>
      </c>
      <c r="M1033" s="50" t="s">
        <v>1106</v>
      </c>
      <c r="N1033" s="68" t="s">
        <v>3564</v>
      </c>
      <c r="O1033" s="68" t="s">
        <v>3565</v>
      </c>
      <c r="P1033" s="68" t="s">
        <v>4555</v>
      </c>
    </row>
    <row r="1034" spans="1:16" ht="82.05" customHeight="1" x14ac:dyDescent="0.3">
      <c r="A1034" s="119" t="s">
        <v>2514</v>
      </c>
      <c r="B1034" s="119" t="s">
        <v>106</v>
      </c>
      <c r="C1034" s="119" t="s">
        <v>29</v>
      </c>
      <c r="D1034" s="119" t="s">
        <v>252</v>
      </c>
      <c r="E1034" s="120">
        <v>62426</v>
      </c>
      <c r="F1034" s="120">
        <v>62426</v>
      </c>
      <c r="G1034" s="120" t="s">
        <v>2033</v>
      </c>
      <c r="H1034" s="120">
        <f t="shared" si="34"/>
        <v>62.426000000000002</v>
      </c>
      <c r="I1034" s="120">
        <f>MLCF!H24</f>
        <v>62.426000000000002</v>
      </c>
      <c r="J1034" s="120">
        <f t="shared" si="35"/>
        <v>0</v>
      </c>
      <c r="K1034" s="119" t="s">
        <v>1598</v>
      </c>
      <c r="L1034" s="119">
        <v>202</v>
      </c>
      <c r="M1034" s="119" t="s">
        <v>1127</v>
      </c>
      <c r="N1034" s="122" t="s">
        <v>3564</v>
      </c>
      <c r="O1034" s="122" t="s">
        <v>3565</v>
      </c>
      <c r="P1034" s="122" t="s">
        <v>4556</v>
      </c>
    </row>
    <row r="1035" spans="1:16" ht="82.05" customHeight="1" x14ac:dyDescent="0.3">
      <c r="A1035" s="50" t="s">
        <v>2515</v>
      </c>
      <c r="B1035" s="50" t="s">
        <v>106</v>
      </c>
      <c r="C1035" s="50" t="s">
        <v>965</v>
      </c>
      <c r="D1035" s="50" t="s">
        <v>254</v>
      </c>
      <c r="E1035" s="121">
        <v>0</v>
      </c>
      <c r="F1035" s="121">
        <v>0</v>
      </c>
      <c r="G1035" s="121" t="s">
        <v>2033</v>
      </c>
      <c r="H1035" s="121">
        <f t="shared" si="34"/>
        <v>0</v>
      </c>
      <c r="I1035" s="121">
        <f>MLCF!C25</f>
        <v>0</v>
      </c>
      <c r="J1035" s="121">
        <f t="shared" si="35"/>
        <v>0</v>
      </c>
      <c r="K1035" s="50" t="s">
        <v>1584</v>
      </c>
      <c r="L1035" s="50">
        <v>162</v>
      </c>
      <c r="M1035" s="50" t="s">
        <v>1106</v>
      </c>
      <c r="N1035" s="68" t="s">
        <v>3578</v>
      </c>
      <c r="O1035" s="68" t="s">
        <v>3579</v>
      </c>
      <c r="P1035" s="68" t="s">
        <v>4557</v>
      </c>
    </row>
    <row r="1036" spans="1:16" ht="82.05" customHeight="1" x14ac:dyDescent="0.3">
      <c r="A1036" s="119" t="s">
        <v>2516</v>
      </c>
      <c r="B1036" s="119" t="s">
        <v>106</v>
      </c>
      <c r="C1036" s="119" t="s">
        <v>20</v>
      </c>
      <c r="D1036" s="119" t="s">
        <v>254</v>
      </c>
      <c r="E1036" s="120">
        <v>0</v>
      </c>
      <c r="F1036" s="120">
        <v>0</v>
      </c>
      <c r="G1036" s="120" t="s">
        <v>2033</v>
      </c>
      <c r="H1036" s="120">
        <f t="shared" si="34"/>
        <v>0</v>
      </c>
      <c r="I1036" s="120">
        <f>MLCF!D25</f>
        <v>0</v>
      </c>
      <c r="J1036" s="120">
        <f t="shared" si="35"/>
        <v>0</v>
      </c>
      <c r="K1036" s="119" t="s">
        <v>1589</v>
      </c>
      <c r="L1036" s="119">
        <v>183</v>
      </c>
      <c r="M1036" s="119" t="s">
        <v>1106</v>
      </c>
      <c r="N1036" s="122" t="s">
        <v>3578</v>
      </c>
      <c r="O1036" s="122" t="s">
        <v>3579</v>
      </c>
      <c r="P1036" s="122" t="s">
        <v>4558</v>
      </c>
    </row>
    <row r="1037" spans="1:16" ht="82.05" customHeight="1" x14ac:dyDescent="0.3">
      <c r="A1037" s="50" t="s">
        <v>2517</v>
      </c>
      <c r="B1037" s="50" t="s">
        <v>106</v>
      </c>
      <c r="C1037" s="50" t="s">
        <v>26</v>
      </c>
      <c r="D1037" s="50" t="s">
        <v>254</v>
      </c>
      <c r="E1037" s="121">
        <v>0</v>
      </c>
      <c r="F1037" s="121">
        <v>0</v>
      </c>
      <c r="G1037" s="121" t="s">
        <v>2033</v>
      </c>
      <c r="H1037" s="121">
        <f t="shared" si="34"/>
        <v>0</v>
      </c>
      <c r="I1037" s="121">
        <f>MLCF!E25</f>
        <v>0</v>
      </c>
      <c r="J1037" s="121">
        <f t="shared" si="35"/>
        <v>0</v>
      </c>
      <c r="K1037" s="50" t="s">
        <v>1592</v>
      </c>
      <c r="L1037" s="50">
        <v>98</v>
      </c>
      <c r="M1037" s="50" t="s">
        <v>1106</v>
      </c>
      <c r="N1037" s="68" t="s">
        <v>3578</v>
      </c>
      <c r="O1037" s="68" t="s">
        <v>3579</v>
      </c>
      <c r="P1037" s="68" t="s">
        <v>4559</v>
      </c>
    </row>
    <row r="1038" spans="1:16" ht="82.05" customHeight="1" x14ac:dyDescent="0.3">
      <c r="A1038" s="119" t="s">
        <v>2518</v>
      </c>
      <c r="B1038" s="119" t="s">
        <v>106</v>
      </c>
      <c r="C1038" s="119" t="s">
        <v>27</v>
      </c>
      <c r="D1038" s="119" t="s">
        <v>254</v>
      </c>
      <c r="E1038" s="120">
        <v>0</v>
      </c>
      <c r="F1038" s="120">
        <v>0</v>
      </c>
      <c r="G1038" s="120" t="s">
        <v>2033</v>
      </c>
      <c r="H1038" s="120">
        <f t="shared" si="34"/>
        <v>0</v>
      </c>
      <c r="I1038" s="120">
        <f>MLCF!F25</f>
        <v>0</v>
      </c>
      <c r="J1038" s="120">
        <f t="shared" si="35"/>
        <v>0</v>
      </c>
      <c r="K1038" s="119" t="s">
        <v>1595</v>
      </c>
      <c r="L1038" s="119">
        <v>189</v>
      </c>
      <c r="M1038" s="119" t="s">
        <v>1106</v>
      </c>
      <c r="N1038" s="122" t="s">
        <v>3578</v>
      </c>
      <c r="O1038" s="122" t="s">
        <v>3579</v>
      </c>
      <c r="P1038" s="122" t="s">
        <v>4560</v>
      </c>
    </row>
    <row r="1039" spans="1:16" ht="82.05" customHeight="1" x14ac:dyDescent="0.3">
      <c r="A1039" s="50" t="s">
        <v>2519</v>
      </c>
      <c r="B1039" s="50" t="s">
        <v>106</v>
      </c>
      <c r="C1039" s="50" t="s">
        <v>28</v>
      </c>
      <c r="D1039" s="50" t="s">
        <v>254</v>
      </c>
      <c r="E1039" s="121">
        <v>0</v>
      </c>
      <c r="F1039" s="121">
        <v>0</v>
      </c>
      <c r="G1039" s="121" t="s">
        <v>2033</v>
      </c>
      <c r="H1039" s="121">
        <f t="shared" si="34"/>
        <v>0</v>
      </c>
      <c r="I1039" s="121">
        <f>MLCF!G25</f>
        <v>0</v>
      </c>
      <c r="J1039" s="121">
        <f t="shared" si="35"/>
        <v>0</v>
      </c>
      <c r="K1039" s="50" t="s">
        <v>1598</v>
      </c>
      <c r="L1039" s="50">
        <v>201</v>
      </c>
      <c r="M1039" s="50" t="s">
        <v>1106</v>
      </c>
      <c r="N1039" s="68" t="s">
        <v>3578</v>
      </c>
      <c r="O1039" s="68" t="s">
        <v>3579</v>
      </c>
      <c r="P1039" s="68" t="s">
        <v>4561</v>
      </c>
    </row>
    <row r="1040" spans="1:16" ht="82.05" customHeight="1" x14ac:dyDescent="0.3">
      <c r="A1040" s="119" t="s">
        <v>2520</v>
      </c>
      <c r="B1040" s="119" t="s">
        <v>106</v>
      </c>
      <c r="C1040" s="119" t="s">
        <v>29</v>
      </c>
      <c r="D1040" s="119" t="s">
        <v>254</v>
      </c>
      <c r="E1040" s="120">
        <v>0</v>
      </c>
      <c r="F1040" s="120">
        <v>0</v>
      </c>
      <c r="G1040" s="120" t="s">
        <v>2033</v>
      </c>
      <c r="H1040" s="120">
        <f t="shared" si="34"/>
        <v>0</v>
      </c>
      <c r="I1040" s="120">
        <f>MLCF!H25</f>
        <v>0</v>
      </c>
      <c r="J1040" s="120">
        <f t="shared" si="35"/>
        <v>0</v>
      </c>
      <c r="K1040" s="119" t="s">
        <v>1598</v>
      </c>
      <c r="L1040" s="119">
        <v>201</v>
      </c>
      <c r="M1040" s="119" t="s">
        <v>1127</v>
      </c>
      <c r="N1040" s="122" t="s">
        <v>3578</v>
      </c>
      <c r="O1040" s="122" t="s">
        <v>3579</v>
      </c>
      <c r="P1040" s="122" t="s">
        <v>4561</v>
      </c>
    </row>
    <row r="1041" spans="1:16" ht="82.05" customHeight="1" x14ac:dyDescent="0.3">
      <c r="A1041" s="50" t="s">
        <v>2521</v>
      </c>
      <c r="B1041" s="50" t="s">
        <v>106</v>
      </c>
      <c r="C1041" s="50" t="s">
        <v>965</v>
      </c>
      <c r="D1041" s="50" t="s">
        <v>256</v>
      </c>
      <c r="E1041" s="121">
        <v>5020000</v>
      </c>
      <c r="F1041" s="121">
        <v>5020000</v>
      </c>
      <c r="G1041" s="121" t="s">
        <v>2033</v>
      </c>
      <c r="H1041" s="121">
        <f t="shared" si="34"/>
        <v>5020</v>
      </c>
      <c r="I1041" s="121">
        <f>MLCF!C26</f>
        <v>5020</v>
      </c>
      <c r="J1041" s="121">
        <f t="shared" si="35"/>
        <v>0</v>
      </c>
      <c r="K1041" s="50" t="s">
        <v>1584</v>
      </c>
      <c r="L1041" s="50">
        <v>163</v>
      </c>
      <c r="M1041" s="50" t="s">
        <v>1106</v>
      </c>
      <c r="N1041" s="68" t="s">
        <v>3564</v>
      </c>
      <c r="O1041" s="68" t="s">
        <v>3565</v>
      </c>
      <c r="P1041" s="68" t="s">
        <v>4562</v>
      </c>
    </row>
    <row r="1042" spans="1:16" ht="82.05" customHeight="1" x14ac:dyDescent="0.3">
      <c r="A1042" s="119" t="s">
        <v>2523</v>
      </c>
      <c r="B1042" s="119" t="s">
        <v>106</v>
      </c>
      <c r="C1042" s="119" t="s">
        <v>20</v>
      </c>
      <c r="D1042" s="119" t="s">
        <v>256</v>
      </c>
      <c r="E1042" s="120">
        <v>5020000</v>
      </c>
      <c r="F1042" s="120">
        <v>5020000</v>
      </c>
      <c r="G1042" s="120" t="s">
        <v>2033</v>
      </c>
      <c r="H1042" s="120">
        <f t="shared" si="34"/>
        <v>5020</v>
      </c>
      <c r="I1042" s="120">
        <f>MLCF!D26</f>
        <v>5020</v>
      </c>
      <c r="J1042" s="120">
        <f t="shared" si="35"/>
        <v>0</v>
      </c>
      <c r="K1042" s="119" t="s">
        <v>1589</v>
      </c>
      <c r="L1042" s="119">
        <v>184</v>
      </c>
      <c r="M1042" s="119" t="s">
        <v>1106</v>
      </c>
      <c r="N1042" s="122" t="s">
        <v>3564</v>
      </c>
      <c r="O1042" s="122" t="s">
        <v>3565</v>
      </c>
      <c r="P1042" s="122" t="s">
        <v>4563</v>
      </c>
    </row>
    <row r="1043" spans="1:16" ht="82.05" customHeight="1" x14ac:dyDescent="0.3">
      <c r="A1043" s="50" t="s">
        <v>2524</v>
      </c>
      <c r="B1043" s="50" t="s">
        <v>106</v>
      </c>
      <c r="C1043" s="50" t="s">
        <v>26</v>
      </c>
      <c r="D1043" s="50" t="s">
        <v>256</v>
      </c>
      <c r="E1043" s="121">
        <v>5020000</v>
      </c>
      <c r="F1043" s="121">
        <v>5020000</v>
      </c>
      <c r="G1043" s="121" t="s">
        <v>2033</v>
      </c>
      <c r="H1043" s="121">
        <f t="shared" si="34"/>
        <v>5020</v>
      </c>
      <c r="I1043" s="121">
        <f>MLCF!E26</f>
        <v>5020</v>
      </c>
      <c r="J1043" s="121">
        <f t="shared" si="35"/>
        <v>0</v>
      </c>
      <c r="K1043" s="50" t="s">
        <v>1592</v>
      </c>
      <c r="L1043" s="50">
        <v>98</v>
      </c>
      <c r="M1043" s="50" t="s">
        <v>1106</v>
      </c>
      <c r="N1043" s="68" t="s">
        <v>3564</v>
      </c>
      <c r="O1043" s="68" t="s">
        <v>3565</v>
      </c>
      <c r="P1043" s="68" t="s">
        <v>4564</v>
      </c>
    </row>
    <row r="1044" spans="1:16" ht="82.05" customHeight="1" x14ac:dyDescent="0.3">
      <c r="A1044" s="119" t="s">
        <v>2525</v>
      </c>
      <c r="B1044" s="119" t="s">
        <v>106</v>
      </c>
      <c r="C1044" s="119" t="s">
        <v>27</v>
      </c>
      <c r="D1044" s="119" t="s">
        <v>256</v>
      </c>
      <c r="E1044" s="120">
        <v>5030000</v>
      </c>
      <c r="F1044" s="120">
        <v>5030000</v>
      </c>
      <c r="G1044" s="120" t="s">
        <v>2033</v>
      </c>
      <c r="H1044" s="120">
        <f t="shared" si="34"/>
        <v>5030</v>
      </c>
      <c r="I1044" s="120">
        <f>MLCF!F26</f>
        <v>5030</v>
      </c>
      <c r="J1044" s="120">
        <f t="shared" si="35"/>
        <v>0</v>
      </c>
      <c r="K1044" s="119" t="s">
        <v>1595</v>
      </c>
      <c r="L1044" s="119">
        <v>190</v>
      </c>
      <c r="M1044" s="119" t="s">
        <v>1106</v>
      </c>
      <c r="N1044" s="122" t="s">
        <v>3564</v>
      </c>
      <c r="O1044" s="122" t="s">
        <v>3565</v>
      </c>
      <c r="P1044" s="122" t="s">
        <v>4565</v>
      </c>
    </row>
    <row r="1045" spans="1:16" ht="82.05" customHeight="1" x14ac:dyDescent="0.3">
      <c r="A1045" s="50" t="s">
        <v>2526</v>
      </c>
      <c r="B1045" s="50" t="s">
        <v>106</v>
      </c>
      <c r="C1045" s="50" t="s">
        <v>28</v>
      </c>
      <c r="D1045" s="50" t="s">
        <v>256</v>
      </c>
      <c r="E1045" s="121">
        <v>6322000</v>
      </c>
      <c r="F1045" s="121">
        <v>6322000</v>
      </c>
      <c r="G1045" s="121" t="s">
        <v>2033</v>
      </c>
      <c r="H1045" s="121">
        <f t="shared" si="34"/>
        <v>6322</v>
      </c>
      <c r="I1045" s="121">
        <f>MLCF!G26</f>
        <v>6322</v>
      </c>
      <c r="J1045" s="121">
        <f t="shared" si="35"/>
        <v>0</v>
      </c>
      <c r="K1045" s="50" t="s">
        <v>1598</v>
      </c>
      <c r="L1045" s="50">
        <v>202</v>
      </c>
      <c r="M1045" s="50" t="s">
        <v>1106</v>
      </c>
      <c r="N1045" s="68" t="s">
        <v>3564</v>
      </c>
      <c r="O1045" s="68" t="s">
        <v>3565</v>
      </c>
      <c r="P1045" s="68" t="s">
        <v>4566</v>
      </c>
    </row>
    <row r="1046" spans="1:16" ht="82.05" customHeight="1" x14ac:dyDescent="0.3">
      <c r="A1046" s="119" t="s">
        <v>2527</v>
      </c>
      <c r="B1046" s="119" t="s">
        <v>106</v>
      </c>
      <c r="C1046" s="119" t="s">
        <v>29</v>
      </c>
      <c r="D1046" s="119" t="s">
        <v>256</v>
      </c>
      <c r="E1046" s="120">
        <v>20371110</v>
      </c>
      <c r="F1046" s="120">
        <v>20371110</v>
      </c>
      <c r="G1046" s="120" t="s">
        <v>2033</v>
      </c>
      <c r="H1046" s="120">
        <f t="shared" si="34"/>
        <v>20371.11</v>
      </c>
      <c r="I1046" s="120">
        <f>MLCF!H26</f>
        <v>20371.11</v>
      </c>
      <c r="J1046" s="120">
        <f t="shared" si="35"/>
        <v>0</v>
      </c>
      <c r="K1046" s="119" t="s">
        <v>1598</v>
      </c>
      <c r="L1046" s="119">
        <v>202</v>
      </c>
      <c r="M1046" s="119" t="s">
        <v>1127</v>
      </c>
      <c r="N1046" s="122" t="s">
        <v>3564</v>
      </c>
      <c r="O1046" s="122" t="s">
        <v>3565</v>
      </c>
      <c r="P1046" s="122" t="s">
        <v>4567</v>
      </c>
    </row>
    <row r="1047" spans="1:16" ht="82.05" customHeight="1" x14ac:dyDescent="0.3">
      <c r="A1047" s="50" t="s">
        <v>2528</v>
      </c>
      <c r="B1047" s="50" t="s">
        <v>106</v>
      </c>
      <c r="C1047" s="50" t="s">
        <v>965</v>
      </c>
      <c r="D1047" s="50" t="s">
        <v>258</v>
      </c>
      <c r="E1047" s="121">
        <v>75616</v>
      </c>
      <c r="F1047" s="121">
        <v>75616</v>
      </c>
      <c r="G1047" s="121" t="s">
        <v>2033</v>
      </c>
      <c r="H1047" s="121">
        <f t="shared" si="34"/>
        <v>75.616</v>
      </c>
      <c r="I1047" s="121">
        <f>MLCF!C27</f>
        <v>75.616</v>
      </c>
      <c r="J1047" s="121">
        <f t="shared" si="35"/>
        <v>0</v>
      </c>
      <c r="K1047" s="50" t="s">
        <v>1584</v>
      </c>
      <c r="L1047" s="50">
        <v>163</v>
      </c>
      <c r="M1047" s="50" t="s">
        <v>1106</v>
      </c>
      <c r="N1047" s="68" t="s">
        <v>3602</v>
      </c>
      <c r="O1047" s="68" t="s">
        <v>3603</v>
      </c>
      <c r="P1047" s="68" t="s">
        <v>4568</v>
      </c>
    </row>
    <row r="1048" spans="1:16" ht="82.05" customHeight="1" x14ac:dyDescent="0.3">
      <c r="A1048" s="119" t="s">
        <v>2530</v>
      </c>
      <c r="B1048" s="119" t="s">
        <v>106</v>
      </c>
      <c r="C1048" s="119" t="s">
        <v>20</v>
      </c>
      <c r="D1048" s="119" t="s">
        <v>258</v>
      </c>
      <c r="E1048" s="120">
        <v>74306</v>
      </c>
      <c r="F1048" s="120">
        <v>74306</v>
      </c>
      <c r="G1048" s="120" t="s">
        <v>2033</v>
      </c>
      <c r="H1048" s="120">
        <f t="shared" si="34"/>
        <v>74.305999999999997</v>
      </c>
      <c r="I1048" s="120">
        <f>MLCF!D27</f>
        <v>74.305999999999997</v>
      </c>
      <c r="J1048" s="120">
        <f t="shared" si="35"/>
        <v>0</v>
      </c>
      <c r="K1048" s="119" t="s">
        <v>1589</v>
      </c>
      <c r="L1048" s="119">
        <v>184</v>
      </c>
      <c r="M1048" s="119" t="s">
        <v>1106</v>
      </c>
      <c r="N1048" s="122" t="s">
        <v>3602</v>
      </c>
      <c r="O1048" s="122" t="s">
        <v>3603</v>
      </c>
      <c r="P1048" s="122" t="s">
        <v>4569</v>
      </c>
    </row>
    <row r="1049" spans="1:16" ht="82.05" customHeight="1" x14ac:dyDescent="0.3">
      <c r="A1049" s="50" t="s">
        <v>2531</v>
      </c>
      <c r="B1049" s="50" t="s">
        <v>106</v>
      </c>
      <c r="C1049" s="50" t="s">
        <v>26</v>
      </c>
      <c r="D1049" s="50" t="s">
        <v>258</v>
      </c>
      <c r="E1049" s="121">
        <v>76966</v>
      </c>
      <c r="F1049" s="121">
        <v>76966</v>
      </c>
      <c r="G1049" s="121" t="s">
        <v>2033</v>
      </c>
      <c r="H1049" s="121">
        <f t="shared" si="34"/>
        <v>76.965999999999994</v>
      </c>
      <c r="I1049" s="121">
        <f>MLCF!E27</f>
        <v>76.965999999999994</v>
      </c>
      <c r="J1049" s="121">
        <f t="shared" si="35"/>
        <v>0</v>
      </c>
      <c r="K1049" s="50" t="s">
        <v>1592</v>
      </c>
      <c r="L1049" s="50">
        <v>98</v>
      </c>
      <c r="M1049" s="50" t="s">
        <v>1106</v>
      </c>
      <c r="N1049" s="68" t="s">
        <v>3602</v>
      </c>
      <c r="O1049" s="68" t="s">
        <v>3603</v>
      </c>
      <c r="P1049" s="68" t="s">
        <v>4570</v>
      </c>
    </row>
    <row r="1050" spans="1:16" ht="82.05" customHeight="1" x14ac:dyDescent="0.3">
      <c r="A1050" s="119" t="s">
        <v>2532</v>
      </c>
      <c r="B1050" s="119" t="s">
        <v>106</v>
      </c>
      <c r="C1050" s="119" t="s">
        <v>27</v>
      </c>
      <c r="D1050" s="119" t="s">
        <v>258</v>
      </c>
      <c r="E1050" s="120">
        <v>76490</v>
      </c>
      <c r="F1050" s="120">
        <v>76490</v>
      </c>
      <c r="G1050" s="120" t="s">
        <v>2033</v>
      </c>
      <c r="H1050" s="120">
        <f t="shared" si="34"/>
        <v>76.489999999999995</v>
      </c>
      <c r="I1050" s="120">
        <f>MLCF!F27</f>
        <v>76.489999999999995</v>
      </c>
      <c r="J1050" s="120">
        <f t="shared" si="35"/>
        <v>0</v>
      </c>
      <c r="K1050" s="119" t="s">
        <v>1595</v>
      </c>
      <c r="L1050" s="119">
        <v>190</v>
      </c>
      <c r="M1050" s="119" t="s">
        <v>1106</v>
      </c>
      <c r="N1050" s="122" t="s">
        <v>3602</v>
      </c>
      <c r="O1050" s="122" t="s">
        <v>3603</v>
      </c>
      <c r="P1050" s="122" t="s">
        <v>4571</v>
      </c>
    </row>
    <row r="1051" spans="1:16" ht="82.05" customHeight="1" x14ac:dyDescent="0.3">
      <c r="A1051" s="50" t="s">
        <v>2533</v>
      </c>
      <c r="B1051" s="50" t="s">
        <v>106</v>
      </c>
      <c r="C1051" s="50" t="s">
        <v>28</v>
      </c>
      <c r="D1051" s="50" t="s">
        <v>258</v>
      </c>
      <c r="E1051" s="121">
        <v>95437</v>
      </c>
      <c r="F1051" s="121">
        <v>95437</v>
      </c>
      <c r="G1051" s="121" t="s">
        <v>2033</v>
      </c>
      <c r="H1051" s="121">
        <f t="shared" si="34"/>
        <v>95.436999999999998</v>
      </c>
      <c r="I1051" s="121">
        <f>MLCF!G27</f>
        <v>95.436999999999998</v>
      </c>
      <c r="J1051" s="121">
        <f t="shared" si="35"/>
        <v>0</v>
      </c>
      <c r="K1051" s="50" t="s">
        <v>1598</v>
      </c>
      <c r="L1051" s="50">
        <v>202</v>
      </c>
      <c r="M1051" s="50" t="s">
        <v>1106</v>
      </c>
      <c r="N1051" s="68" t="s">
        <v>3602</v>
      </c>
      <c r="O1051" s="68" t="s">
        <v>3603</v>
      </c>
      <c r="P1051" s="68" t="s">
        <v>4572</v>
      </c>
    </row>
    <row r="1052" spans="1:16" ht="82.05" customHeight="1" x14ac:dyDescent="0.3">
      <c r="A1052" s="119" t="s">
        <v>2534</v>
      </c>
      <c r="B1052" s="119" t="s">
        <v>106</v>
      </c>
      <c r="C1052" s="119" t="s">
        <v>29</v>
      </c>
      <c r="D1052" s="119" t="s">
        <v>258</v>
      </c>
      <c r="E1052" s="120">
        <v>83919</v>
      </c>
      <c r="F1052" s="120">
        <v>83919</v>
      </c>
      <c r="G1052" s="120" t="s">
        <v>2033</v>
      </c>
      <c r="H1052" s="120">
        <f t="shared" si="34"/>
        <v>83.918999999999997</v>
      </c>
      <c r="I1052" s="120">
        <f>MLCF!H27</f>
        <v>83.918999999999997</v>
      </c>
      <c r="J1052" s="120">
        <f t="shared" si="35"/>
        <v>0</v>
      </c>
      <c r="K1052" s="119" t="s">
        <v>1598</v>
      </c>
      <c r="L1052" s="119">
        <v>202</v>
      </c>
      <c r="M1052" s="119" t="s">
        <v>1127</v>
      </c>
      <c r="N1052" s="122" t="s">
        <v>3602</v>
      </c>
      <c r="O1052" s="122" t="s">
        <v>3603</v>
      </c>
      <c r="P1052" s="122" t="s">
        <v>4572</v>
      </c>
    </row>
    <row r="1053" spans="1:16" ht="82.05" customHeight="1" x14ac:dyDescent="0.3">
      <c r="A1053" s="50" t="s">
        <v>2535</v>
      </c>
      <c r="B1053" s="50" t="s">
        <v>106</v>
      </c>
      <c r="C1053" s="50" t="s">
        <v>965</v>
      </c>
      <c r="D1053" s="50" t="s">
        <v>263</v>
      </c>
      <c r="E1053" s="121">
        <v>8395610</v>
      </c>
      <c r="F1053" s="121">
        <v>8395610</v>
      </c>
      <c r="G1053" s="121" t="s">
        <v>2033</v>
      </c>
      <c r="H1053" s="121">
        <f t="shared" si="34"/>
        <v>8395.61</v>
      </c>
      <c r="I1053" s="121">
        <f>MLCF!C30</f>
        <v>8395.61</v>
      </c>
      <c r="J1053" s="121">
        <f t="shared" si="35"/>
        <v>0</v>
      </c>
      <c r="K1053" s="50" t="s">
        <v>1584</v>
      </c>
      <c r="L1053" s="50">
        <v>163</v>
      </c>
      <c r="M1053" s="50" t="s">
        <v>1106</v>
      </c>
      <c r="N1053" s="68" t="s">
        <v>3564</v>
      </c>
      <c r="O1053" s="68" t="s">
        <v>3565</v>
      </c>
      <c r="P1053" s="68" t="s">
        <v>4573</v>
      </c>
    </row>
    <row r="1054" spans="1:16" ht="82.05" customHeight="1" x14ac:dyDescent="0.3">
      <c r="A1054" s="119" t="s">
        <v>2536</v>
      </c>
      <c r="B1054" s="119" t="s">
        <v>106</v>
      </c>
      <c r="C1054" s="119" t="s">
        <v>20</v>
      </c>
      <c r="D1054" s="119" t="s">
        <v>263</v>
      </c>
      <c r="E1054" s="120">
        <v>9738717</v>
      </c>
      <c r="F1054" s="120">
        <v>9738717</v>
      </c>
      <c r="G1054" s="120" t="s">
        <v>2033</v>
      </c>
      <c r="H1054" s="120">
        <f t="shared" si="34"/>
        <v>9738.7170000000006</v>
      </c>
      <c r="I1054" s="120">
        <f>MLCF!D30</f>
        <v>9738.7170000000006</v>
      </c>
      <c r="J1054" s="120">
        <f t="shared" si="35"/>
        <v>0</v>
      </c>
      <c r="K1054" s="119" t="s">
        <v>1589</v>
      </c>
      <c r="L1054" s="119">
        <v>184</v>
      </c>
      <c r="M1054" s="119" t="s">
        <v>1106</v>
      </c>
      <c r="N1054" s="122" t="s">
        <v>3564</v>
      </c>
      <c r="O1054" s="122" t="s">
        <v>3565</v>
      </c>
      <c r="P1054" s="122" t="s">
        <v>4574</v>
      </c>
    </row>
    <row r="1055" spans="1:16" ht="82.05" customHeight="1" x14ac:dyDescent="0.3">
      <c r="A1055" s="50" t="s">
        <v>2537</v>
      </c>
      <c r="B1055" s="50" t="s">
        <v>106</v>
      </c>
      <c r="C1055" s="50" t="s">
        <v>26</v>
      </c>
      <c r="D1055" s="50" t="s">
        <v>263</v>
      </c>
      <c r="E1055" s="121">
        <v>12853605</v>
      </c>
      <c r="F1055" s="121">
        <v>12853605</v>
      </c>
      <c r="G1055" s="121" t="s">
        <v>2033</v>
      </c>
      <c r="H1055" s="121">
        <f t="shared" ref="H1055:H1118" si="36">F1055/1000</f>
        <v>12853.605</v>
      </c>
      <c r="I1055" s="121">
        <f>MLCF!E30</f>
        <v>12853.605</v>
      </c>
      <c r="J1055" s="121">
        <f t="shared" ref="J1055:J1118" si="37">H1055-I1055</f>
        <v>0</v>
      </c>
      <c r="K1055" s="50" t="s">
        <v>1592</v>
      </c>
      <c r="L1055" s="50">
        <v>98</v>
      </c>
      <c r="M1055" s="50" t="s">
        <v>1106</v>
      </c>
      <c r="N1055" s="68" t="s">
        <v>3564</v>
      </c>
      <c r="O1055" s="68" t="s">
        <v>3565</v>
      </c>
      <c r="P1055" s="68" t="s">
        <v>4575</v>
      </c>
    </row>
    <row r="1056" spans="1:16" ht="82.05" customHeight="1" x14ac:dyDescent="0.3">
      <c r="A1056" s="119" t="s">
        <v>2538</v>
      </c>
      <c r="B1056" s="119" t="s">
        <v>106</v>
      </c>
      <c r="C1056" s="119" t="s">
        <v>27</v>
      </c>
      <c r="D1056" s="119" t="s">
        <v>263</v>
      </c>
      <c r="E1056" s="120">
        <v>9925855</v>
      </c>
      <c r="F1056" s="120">
        <v>9925855</v>
      </c>
      <c r="G1056" s="120" t="s">
        <v>2033</v>
      </c>
      <c r="H1056" s="120">
        <f t="shared" si="36"/>
        <v>9925.8549999999996</v>
      </c>
      <c r="I1056" s="120">
        <f>MLCF!F30</f>
        <v>9925.8549999999996</v>
      </c>
      <c r="J1056" s="120">
        <f t="shared" si="37"/>
        <v>0</v>
      </c>
      <c r="K1056" s="119" t="s">
        <v>1595</v>
      </c>
      <c r="L1056" s="119">
        <v>190</v>
      </c>
      <c r="M1056" s="119" t="s">
        <v>1106</v>
      </c>
      <c r="N1056" s="122" t="s">
        <v>3564</v>
      </c>
      <c r="O1056" s="122" t="s">
        <v>3565</v>
      </c>
      <c r="P1056" s="122" t="s">
        <v>4576</v>
      </c>
    </row>
    <row r="1057" spans="1:16" ht="82.05" customHeight="1" x14ac:dyDescent="0.3">
      <c r="A1057" s="50" t="s">
        <v>2539</v>
      </c>
      <c r="B1057" s="50" t="s">
        <v>106</v>
      </c>
      <c r="C1057" s="50" t="s">
        <v>28</v>
      </c>
      <c r="D1057" s="50" t="s">
        <v>263</v>
      </c>
      <c r="E1057" s="121">
        <v>12277288</v>
      </c>
      <c r="F1057" s="121">
        <v>12277288</v>
      </c>
      <c r="G1057" s="121" t="s">
        <v>2033</v>
      </c>
      <c r="H1057" s="121">
        <f t="shared" si="36"/>
        <v>12277.288</v>
      </c>
      <c r="I1057" s="121">
        <f>MLCF!G30</f>
        <v>12277.288</v>
      </c>
      <c r="J1057" s="121">
        <f t="shared" si="37"/>
        <v>0</v>
      </c>
      <c r="K1057" s="50" t="s">
        <v>1598</v>
      </c>
      <c r="L1057" s="50">
        <v>202</v>
      </c>
      <c r="M1057" s="50" t="s">
        <v>1106</v>
      </c>
      <c r="N1057" s="68" t="s">
        <v>3564</v>
      </c>
      <c r="O1057" s="68" t="s">
        <v>3565</v>
      </c>
      <c r="P1057" s="68" t="s">
        <v>4577</v>
      </c>
    </row>
    <row r="1058" spans="1:16" ht="82.05" customHeight="1" x14ac:dyDescent="0.3">
      <c r="A1058" s="119" t="s">
        <v>2540</v>
      </c>
      <c r="B1058" s="119" t="s">
        <v>106</v>
      </c>
      <c r="C1058" s="119" t="s">
        <v>29</v>
      </c>
      <c r="D1058" s="119" t="s">
        <v>263</v>
      </c>
      <c r="E1058" s="120">
        <v>12461312</v>
      </c>
      <c r="F1058" s="120">
        <v>12461312</v>
      </c>
      <c r="G1058" s="120" t="s">
        <v>2033</v>
      </c>
      <c r="H1058" s="120">
        <f t="shared" si="36"/>
        <v>12461.312</v>
      </c>
      <c r="I1058" s="120">
        <f>MLCF!H30</f>
        <v>12461.312</v>
      </c>
      <c r="J1058" s="120">
        <f t="shared" si="37"/>
        <v>0</v>
      </c>
      <c r="K1058" s="119" t="s">
        <v>1598</v>
      </c>
      <c r="L1058" s="119">
        <v>202</v>
      </c>
      <c r="M1058" s="119" t="s">
        <v>1127</v>
      </c>
      <c r="N1058" s="122" t="s">
        <v>3564</v>
      </c>
      <c r="O1058" s="122" t="s">
        <v>3565</v>
      </c>
      <c r="P1058" s="122" t="s">
        <v>4578</v>
      </c>
    </row>
    <row r="1059" spans="1:16" ht="82.05" customHeight="1" x14ac:dyDescent="0.3">
      <c r="A1059" s="50" t="s">
        <v>2541</v>
      </c>
      <c r="B1059" s="50" t="s">
        <v>106</v>
      </c>
      <c r="C1059" s="50" t="s">
        <v>965</v>
      </c>
      <c r="D1059" s="50" t="s">
        <v>265</v>
      </c>
      <c r="E1059" s="121">
        <v>1779404</v>
      </c>
      <c r="F1059" s="121">
        <v>1779404</v>
      </c>
      <c r="G1059" s="121" t="s">
        <v>2033</v>
      </c>
      <c r="H1059" s="121">
        <f t="shared" si="36"/>
        <v>1779.404</v>
      </c>
      <c r="I1059" s="121">
        <f>MLCF!C31</f>
        <v>1779.404</v>
      </c>
      <c r="J1059" s="121">
        <f t="shared" si="37"/>
        <v>0</v>
      </c>
      <c r="K1059" s="50" t="s">
        <v>1584</v>
      </c>
      <c r="L1059" s="50">
        <v>163</v>
      </c>
      <c r="M1059" s="50" t="s">
        <v>1106</v>
      </c>
      <c r="N1059" s="68" t="s">
        <v>3564</v>
      </c>
      <c r="O1059" s="68" t="s">
        <v>3565</v>
      </c>
      <c r="P1059" s="68" t="s">
        <v>4579</v>
      </c>
    </row>
    <row r="1060" spans="1:16" ht="82.05" customHeight="1" x14ac:dyDescent="0.3">
      <c r="A1060" s="119" t="s">
        <v>2542</v>
      </c>
      <c r="B1060" s="119" t="s">
        <v>106</v>
      </c>
      <c r="C1060" s="119" t="s">
        <v>20</v>
      </c>
      <c r="D1060" s="119" t="s">
        <v>265</v>
      </c>
      <c r="E1060" s="120">
        <v>2150183</v>
      </c>
      <c r="F1060" s="120">
        <v>2150183</v>
      </c>
      <c r="G1060" s="120" t="s">
        <v>2033</v>
      </c>
      <c r="H1060" s="120">
        <f t="shared" si="36"/>
        <v>2150.183</v>
      </c>
      <c r="I1060" s="120">
        <f>MLCF!D31</f>
        <v>2150.183</v>
      </c>
      <c r="J1060" s="120">
        <f t="shared" si="37"/>
        <v>0</v>
      </c>
      <c r="K1060" s="119" t="s">
        <v>1589</v>
      </c>
      <c r="L1060" s="119">
        <v>184</v>
      </c>
      <c r="M1060" s="119" t="s">
        <v>1106</v>
      </c>
      <c r="N1060" s="122" t="s">
        <v>3564</v>
      </c>
      <c r="O1060" s="122" t="s">
        <v>3565</v>
      </c>
      <c r="P1060" s="122" t="s">
        <v>4580</v>
      </c>
    </row>
    <row r="1061" spans="1:16" ht="82.05" customHeight="1" x14ac:dyDescent="0.3">
      <c r="A1061" s="50" t="s">
        <v>2543</v>
      </c>
      <c r="B1061" s="50" t="s">
        <v>106</v>
      </c>
      <c r="C1061" s="50" t="s">
        <v>26</v>
      </c>
      <c r="D1061" s="50" t="s">
        <v>265</v>
      </c>
      <c r="E1061" s="121">
        <v>2695621</v>
      </c>
      <c r="F1061" s="121">
        <v>2695621</v>
      </c>
      <c r="G1061" s="121" t="s">
        <v>2033</v>
      </c>
      <c r="H1061" s="121">
        <f t="shared" si="36"/>
        <v>2695.6210000000001</v>
      </c>
      <c r="I1061" s="121">
        <f>MLCF!E31</f>
        <v>2695.6210000000001</v>
      </c>
      <c r="J1061" s="121">
        <f t="shared" si="37"/>
        <v>0</v>
      </c>
      <c r="K1061" s="50" t="s">
        <v>1592</v>
      </c>
      <c r="L1061" s="50">
        <v>98</v>
      </c>
      <c r="M1061" s="50" t="s">
        <v>1106</v>
      </c>
      <c r="N1061" s="68" t="s">
        <v>3564</v>
      </c>
      <c r="O1061" s="68" t="s">
        <v>3565</v>
      </c>
      <c r="P1061" s="68" t="s">
        <v>4581</v>
      </c>
    </row>
    <row r="1062" spans="1:16" ht="82.05" customHeight="1" x14ac:dyDescent="0.3">
      <c r="A1062" s="119" t="s">
        <v>2544</v>
      </c>
      <c r="B1062" s="119" t="s">
        <v>106</v>
      </c>
      <c r="C1062" s="119" t="s">
        <v>27</v>
      </c>
      <c r="D1062" s="119" t="s">
        <v>265</v>
      </c>
      <c r="E1062" s="120">
        <v>3874605</v>
      </c>
      <c r="F1062" s="120">
        <v>3874605</v>
      </c>
      <c r="G1062" s="120" t="s">
        <v>2033</v>
      </c>
      <c r="H1062" s="120">
        <f t="shared" si="36"/>
        <v>3874.605</v>
      </c>
      <c r="I1062" s="120">
        <f>MLCF!F31</f>
        <v>3874.605</v>
      </c>
      <c r="J1062" s="120">
        <f t="shared" si="37"/>
        <v>0</v>
      </c>
      <c r="K1062" s="119" t="s">
        <v>1595</v>
      </c>
      <c r="L1062" s="119">
        <v>190</v>
      </c>
      <c r="M1062" s="119" t="s">
        <v>1106</v>
      </c>
      <c r="N1062" s="122" t="s">
        <v>3564</v>
      </c>
      <c r="O1062" s="122" t="s">
        <v>3565</v>
      </c>
      <c r="P1062" s="122" t="s">
        <v>4582</v>
      </c>
    </row>
    <row r="1063" spans="1:16" ht="82.05" customHeight="1" x14ac:dyDescent="0.3">
      <c r="A1063" s="50" t="s">
        <v>2545</v>
      </c>
      <c r="B1063" s="50" t="s">
        <v>106</v>
      </c>
      <c r="C1063" s="50" t="s">
        <v>28</v>
      </c>
      <c r="D1063" s="50" t="s">
        <v>265</v>
      </c>
      <c r="E1063" s="121">
        <v>3256553</v>
      </c>
      <c r="F1063" s="121">
        <v>3256553</v>
      </c>
      <c r="G1063" s="121" t="s">
        <v>2033</v>
      </c>
      <c r="H1063" s="121">
        <f t="shared" si="36"/>
        <v>3256.5529999999999</v>
      </c>
      <c r="I1063" s="121">
        <f>MLCF!G31</f>
        <v>3256.5529999999999</v>
      </c>
      <c r="J1063" s="121">
        <f t="shared" si="37"/>
        <v>0</v>
      </c>
      <c r="K1063" s="50" t="s">
        <v>1598</v>
      </c>
      <c r="L1063" s="50">
        <v>202</v>
      </c>
      <c r="M1063" s="50" t="s">
        <v>1106</v>
      </c>
      <c r="N1063" s="68" t="s">
        <v>3564</v>
      </c>
      <c r="O1063" s="68" t="s">
        <v>3565</v>
      </c>
      <c r="P1063" s="68" t="s">
        <v>4583</v>
      </c>
    </row>
    <row r="1064" spans="1:16" ht="82.05" customHeight="1" x14ac:dyDescent="0.3">
      <c r="A1064" s="119" t="s">
        <v>2546</v>
      </c>
      <c r="B1064" s="119" t="s">
        <v>106</v>
      </c>
      <c r="C1064" s="119" t="s">
        <v>29</v>
      </c>
      <c r="D1064" s="119" t="s">
        <v>265</v>
      </c>
      <c r="E1064" s="120">
        <v>4442989</v>
      </c>
      <c r="F1064" s="120">
        <v>4442989</v>
      </c>
      <c r="G1064" s="120" t="s">
        <v>2033</v>
      </c>
      <c r="H1064" s="120">
        <f t="shared" si="36"/>
        <v>4442.9889999999996</v>
      </c>
      <c r="I1064" s="120">
        <f>MLCF!H31</f>
        <v>4442.9889999999996</v>
      </c>
      <c r="J1064" s="120">
        <f t="shared" si="37"/>
        <v>0</v>
      </c>
      <c r="K1064" s="119" t="s">
        <v>1598</v>
      </c>
      <c r="L1064" s="119">
        <v>202</v>
      </c>
      <c r="M1064" s="119" t="s">
        <v>1127</v>
      </c>
      <c r="N1064" s="122" t="s">
        <v>3564</v>
      </c>
      <c r="O1064" s="122" t="s">
        <v>3565</v>
      </c>
      <c r="P1064" s="122" t="s">
        <v>4584</v>
      </c>
    </row>
    <row r="1065" spans="1:16" ht="82.05" customHeight="1" x14ac:dyDescent="0.3">
      <c r="A1065" s="50" t="s">
        <v>2547</v>
      </c>
      <c r="B1065" s="50" t="s">
        <v>106</v>
      </c>
      <c r="C1065" s="50" t="s">
        <v>965</v>
      </c>
      <c r="D1065" s="50" t="s">
        <v>267</v>
      </c>
      <c r="E1065" s="121">
        <v>3052130</v>
      </c>
      <c r="F1065" s="121">
        <v>3052130</v>
      </c>
      <c r="G1065" s="121" t="s">
        <v>2033</v>
      </c>
      <c r="H1065" s="121">
        <f t="shared" si="36"/>
        <v>3052.13</v>
      </c>
      <c r="I1065" s="121">
        <f>MLCF!C32</f>
        <v>3052.13</v>
      </c>
      <c r="J1065" s="121">
        <f t="shared" si="37"/>
        <v>0</v>
      </c>
      <c r="K1065" s="50" t="s">
        <v>1584</v>
      </c>
      <c r="L1065" s="50">
        <v>163</v>
      </c>
      <c r="M1065" s="50" t="s">
        <v>1106</v>
      </c>
      <c r="N1065" s="68" t="s">
        <v>3564</v>
      </c>
      <c r="O1065" s="68" t="s">
        <v>3565</v>
      </c>
      <c r="P1065" s="68" t="s">
        <v>4585</v>
      </c>
    </row>
    <row r="1066" spans="1:16" ht="82.05" customHeight="1" x14ac:dyDescent="0.3">
      <c r="A1066" s="119" t="s">
        <v>2548</v>
      </c>
      <c r="B1066" s="119" t="s">
        <v>106</v>
      </c>
      <c r="C1066" s="119" t="s">
        <v>20</v>
      </c>
      <c r="D1066" s="119" t="s">
        <v>267</v>
      </c>
      <c r="E1066" s="120">
        <v>1679704</v>
      </c>
      <c r="F1066" s="120">
        <v>1679704</v>
      </c>
      <c r="G1066" s="120" t="s">
        <v>2033</v>
      </c>
      <c r="H1066" s="120">
        <f t="shared" si="36"/>
        <v>1679.704</v>
      </c>
      <c r="I1066" s="120">
        <f>MLCF!D32</f>
        <v>1679.704</v>
      </c>
      <c r="J1066" s="120">
        <f t="shared" si="37"/>
        <v>0</v>
      </c>
      <c r="K1066" s="119" t="s">
        <v>1589</v>
      </c>
      <c r="L1066" s="119">
        <v>184</v>
      </c>
      <c r="M1066" s="119" t="s">
        <v>1106</v>
      </c>
      <c r="N1066" s="122" t="s">
        <v>3564</v>
      </c>
      <c r="O1066" s="122" t="s">
        <v>3565</v>
      </c>
      <c r="P1066" s="122" t="s">
        <v>4586</v>
      </c>
    </row>
    <row r="1067" spans="1:16" ht="82.05" customHeight="1" x14ac:dyDescent="0.3">
      <c r="A1067" s="50" t="s">
        <v>2549</v>
      </c>
      <c r="B1067" s="50" t="s">
        <v>106</v>
      </c>
      <c r="C1067" s="50" t="s">
        <v>26</v>
      </c>
      <c r="D1067" s="50" t="s">
        <v>267</v>
      </c>
      <c r="E1067" s="121">
        <v>2066212</v>
      </c>
      <c r="F1067" s="121">
        <v>2066212</v>
      </c>
      <c r="G1067" s="121" t="s">
        <v>2033</v>
      </c>
      <c r="H1067" s="121">
        <f t="shared" si="36"/>
        <v>2066.212</v>
      </c>
      <c r="I1067" s="121">
        <f>MLCF!E32</f>
        <v>2066.212</v>
      </c>
      <c r="J1067" s="121">
        <f t="shared" si="37"/>
        <v>0</v>
      </c>
      <c r="K1067" s="50" t="s">
        <v>1592</v>
      </c>
      <c r="L1067" s="50">
        <v>98</v>
      </c>
      <c r="M1067" s="50" t="s">
        <v>1106</v>
      </c>
      <c r="N1067" s="68" t="s">
        <v>3564</v>
      </c>
      <c r="O1067" s="68" t="s">
        <v>3565</v>
      </c>
      <c r="P1067" s="68" t="s">
        <v>4587</v>
      </c>
    </row>
    <row r="1068" spans="1:16" ht="82.05" customHeight="1" x14ac:dyDescent="0.3">
      <c r="A1068" s="119" t="s">
        <v>2550</v>
      </c>
      <c r="B1068" s="119" t="s">
        <v>106</v>
      </c>
      <c r="C1068" s="119" t="s">
        <v>27</v>
      </c>
      <c r="D1068" s="119" t="s">
        <v>267</v>
      </c>
      <c r="E1068" s="120">
        <v>2600985</v>
      </c>
      <c r="F1068" s="120">
        <v>2600985</v>
      </c>
      <c r="G1068" s="120" t="s">
        <v>2033</v>
      </c>
      <c r="H1068" s="120">
        <f t="shared" si="36"/>
        <v>2600.9850000000001</v>
      </c>
      <c r="I1068" s="120">
        <f>MLCF!F32</f>
        <v>2600.9850000000001</v>
      </c>
      <c r="J1068" s="120">
        <f t="shared" si="37"/>
        <v>0</v>
      </c>
      <c r="K1068" s="119" t="s">
        <v>1595</v>
      </c>
      <c r="L1068" s="119">
        <v>190</v>
      </c>
      <c r="M1068" s="119" t="s">
        <v>1106</v>
      </c>
      <c r="N1068" s="122" t="s">
        <v>3564</v>
      </c>
      <c r="O1068" s="122" t="s">
        <v>3565</v>
      </c>
      <c r="P1068" s="122" t="s">
        <v>4588</v>
      </c>
    </row>
    <row r="1069" spans="1:16" ht="82.05" customHeight="1" x14ac:dyDescent="0.3">
      <c r="A1069" s="50" t="s">
        <v>2551</v>
      </c>
      <c r="B1069" s="50" t="s">
        <v>106</v>
      </c>
      <c r="C1069" s="50" t="s">
        <v>28</v>
      </c>
      <c r="D1069" s="50" t="s">
        <v>267</v>
      </c>
      <c r="E1069" s="121">
        <v>4188745</v>
      </c>
      <c r="F1069" s="121">
        <v>4188745</v>
      </c>
      <c r="G1069" s="121" t="s">
        <v>2033</v>
      </c>
      <c r="H1069" s="121">
        <f t="shared" si="36"/>
        <v>4188.7449999999999</v>
      </c>
      <c r="I1069" s="121">
        <f>MLCF!G32</f>
        <v>4188.7449999999999</v>
      </c>
      <c r="J1069" s="121">
        <f t="shared" si="37"/>
        <v>0</v>
      </c>
      <c r="K1069" s="50" t="s">
        <v>1598</v>
      </c>
      <c r="L1069" s="50">
        <v>202</v>
      </c>
      <c r="M1069" s="50" t="s">
        <v>1106</v>
      </c>
      <c r="N1069" s="68" t="s">
        <v>3564</v>
      </c>
      <c r="O1069" s="68" t="s">
        <v>3565</v>
      </c>
      <c r="P1069" s="68" t="s">
        <v>4589</v>
      </c>
    </row>
    <row r="1070" spans="1:16" ht="82.05" customHeight="1" x14ac:dyDescent="0.3">
      <c r="A1070" s="119" t="s">
        <v>2552</v>
      </c>
      <c r="B1070" s="119" t="s">
        <v>106</v>
      </c>
      <c r="C1070" s="119" t="s">
        <v>29</v>
      </c>
      <c r="D1070" s="119" t="s">
        <v>267</v>
      </c>
      <c r="E1070" s="120">
        <v>4610182</v>
      </c>
      <c r="F1070" s="120">
        <v>4610182</v>
      </c>
      <c r="G1070" s="120" t="s">
        <v>2033</v>
      </c>
      <c r="H1070" s="120">
        <f t="shared" si="36"/>
        <v>4610.1819999999998</v>
      </c>
      <c r="I1070" s="120">
        <f>MLCF!H32</f>
        <v>4610.1819999999998</v>
      </c>
      <c r="J1070" s="120">
        <f t="shared" si="37"/>
        <v>0</v>
      </c>
      <c r="K1070" s="119" t="s">
        <v>1598</v>
      </c>
      <c r="L1070" s="119">
        <v>202</v>
      </c>
      <c r="M1070" s="119" t="s">
        <v>1127</v>
      </c>
      <c r="N1070" s="122" t="s">
        <v>3564</v>
      </c>
      <c r="O1070" s="122" t="s">
        <v>3565</v>
      </c>
      <c r="P1070" s="122" t="s">
        <v>4590</v>
      </c>
    </row>
    <row r="1071" spans="1:16" ht="82.05" customHeight="1" x14ac:dyDescent="0.3">
      <c r="A1071" s="50" t="s">
        <v>2553</v>
      </c>
      <c r="B1071" s="50" t="s">
        <v>106</v>
      </c>
      <c r="C1071" s="50" t="s">
        <v>965</v>
      </c>
      <c r="D1071" s="50" t="s">
        <v>269</v>
      </c>
      <c r="E1071" s="121">
        <v>75245</v>
      </c>
      <c r="F1071" s="121">
        <v>75245</v>
      </c>
      <c r="G1071" s="121" t="s">
        <v>2033</v>
      </c>
      <c r="H1071" s="121">
        <f t="shared" si="36"/>
        <v>75.245000000000005</v>
      </c>
      <c r="I1071" s="121">
        <f>MLCF!C33</f>
        <v>75.245000000000005</v>
      </c>
      <c r="J1071" s="121">
        <f t="shared" si="37"/>
        <v>0</v>
      </c>
      <c r="K1071" s="50" t="s">
        <v>1584</v>
      </c>
      <c r="L1071" s="50">
        <v>163</v>
      </c>
      <c r="M1071" s="50" t="s">
        <v>1106</v>
      </c>
      <c r="N1071" s="68" t="s">
        <v>3564</v>
      </c>
      <c r="O1071" s="68" t="s">
        <v>3565</v>
      </c>
      <c r="P1071" s="68" t="s">
        <v>4591</v>
      </c>
    </row>
    <row r="1072" spans="1:16" ht="82.05" customHeight="1" x14ac:dyDescent="0.3">
      <c r="A1072" s="119" t="s">
        <v>2556</v>
      </c>
      <c r="B1072" s="119" t="s">
        <v>106</v>
      </c>
      <c r="C1072" s="119" t="s">
        <v>20</v>
      </c>
      <c r="D1072" s="119" t="s">
        <v>269</v>
      </c>
      <c r="E1072" s="120">
        <v>149148</v>
      </c>
      <c r="F1072" s="120">
        <v>149148</v>
      </c>
      <c r="G1072" s="120" t="s">
        <v>2033</v>
      </c>
      <c r="H1072" s="120">
        <f t="shared" si="36"/>
        <v>149.148</v>
      </c>
      <c r="I1072" s="120">
        <f>MLCF!D33</f>
        <v>149.148</v>
      </c>
      <c r="J1072" s="120">
        <f t="shared" si="37"/>
        <v>0</v>
      </c>
      <c r="K1072" s="119" t="s">
        <v>1589</v>
      </c>
      <c r="L1072" s="119">
        <v>184</v>
      </c>
      <c r="M1072" s="119" t="s">
        <v>1106</v>
      </c>
      <c r="N1072" s="122" t="s">
        <v>3564</v>
      </c>
      <c r="O1072" s="122" t="s">
        <v>3565</v>
      </c>
      <c r="P1072" s="122" t="s">
        <v>4592</v>
      </c>
    </row>
    <row r="1073" spans="1:16" ht="82.05" customHeight="1" x14ac:dyDescent="0.3">
      <c r="A1073" s="50" t="s">
        <v>2557</v>
      </c>
      <c r="B1073" s="50" t="s">
        <v>106</v>
      </c>
      <c r="C1073" s="50" t="s">
        <v>26</v>
      </c>
      <c r="D1073" s="50" t="s">
        <v>269</v>
      </c>
      <c r="E1073" s="121">
        <v>198346</v>
      </c>
      <c r="F1073" s="121">
        <v>198346</v>
      </c>
      <c r="G1073" s="121" t="s">
        <v>2033</v>
      </c>
      <c r="H1073" s="121">
        <f t="shared" si="36"/>
        <v>198.346</v>
      </c>
      <c r="I1073" s="121">
        <f>MLCF!E33</f>
        <v>198.346</v>
      </c>
      <c r="J1073" s="121">
        <f t="shared" si="37"/>
        <v>0</v>
      </c>
      <c r="K1073" s="50" t="s">
        <v>1592</v>
      </c>
      <c r="L1073" s="50">
        <v>98</v>
      </c>
      <c r="M1073" s="50" t="s">
        <v>1106</v>
      </c>
      <c r="N1073" s="68" t="s">
        <v>3564</v>
      </c>
      <c r="O1073" s="68" t="s">
        <v>3565</v>
      </c>
      <c r="P1073" s="68" t="s">
        <v>4593</v>
      </c>
    </row>
    <row r="1074" spans="1:16" ht="82.05" customHeight="1" x14ac:dyDescent="0.3">
      <c r="A1074" s="119" t="s">
        <v>2558</v>
      </c>
      <c r="B1074" s="119" t="s">
        <v>106</v>
      </c>
      <c r="C1074" s="119" t="s">
        <v>27</v>
      </c>
      <c r="D1074" s="119" t="s">
        <v>269</v>
      </c>
      <c r="E1074" s="120">
        <v>3689556</v>
      </c>
      <c r="F1074" s="120">
        <v>3689556</v>
      </c>
      <c r="G1074" s="120" t="s">
        <v>2033</v>
      </c>
      <c r="H1074" s="120">
        <f t="shared" si="36"/>
        <v>3689.556</v>
      </c>
      <c r="I1074" s="120">
        <f>MLCF!F33</f>
        <v>3689.556</v>
      </c>
      <c r="J1074" s="120">
        <f t="shared" si="37"/>
        <v>0</v>
      </c>
      <c r="K1074" s="119" t="s">
        <v>1595</v>
      </c>
      <c r="L1074" s="119">
        <v>190</v>
      </c>
      <c r="M1074" s="119" t="s">
        <v>1106</v>
      </c>
      <c r="N1074" s="122" t="s">
        <v>3564</v>
      </c>
      <c r="O1074" s="122" t="s">
        <v>3565</v>
      </c>
      <c r="P1074" s="122" t="s">
        <v>4594</v>
      </c>
    </row>
    <row r="1075" spans="1:16" ht="82.05" customHeight="1" x14ac:dyDescent="0.3">
      <c r="A1075" s="50" t="s">
        <v>2559</v>
      </c>
      <c r="B1075" s="50" t="s">
        <v>106</v>
      </c>
      <c r="C1075" s="50" t="s">
        <v>28</v>
      </c>
      <c r="D1075" s="50" t="s">
        <v>269</v>
      </c>
      <c r="E1075" s="121">
        <v>4220262</v>
      </c>
      <c r="F1075" s="121">
        <v>4220262</v>
      </c>
      <c r="G1075" s="121" t="s">
        <v>2033</v>
      </c>
      <c r="H1075" s="121">
        <f t="shared" si="36"/>
        <v>4220.2619999999997</v>
      </c>
      <c r="I1075" s="121">
        <f>MLCF!G33</f>
        <v>4220.2619999999997</v>
      </c>
      <c r="J1075" s="121">
        <f t="shared" si="37"/>
        <v>0</v>
      </c>
      <c r="K1075" s="50" t="s">
        <v>1598</v>
      </c>
      <c r="L1075" s="50">
        <v>202</v>
      </c>
      <c r="M1075" s="50" t="s">
        <v>1106</v>
      </c>
      <c r="N1075" s="68" t="s">
        <v>3564</v>
      </c>
      <c r="O1075" s="68" t="s">
        <v>3565</v>
      </c>
      <c r="P1075" s="68" t="s">
        <v>4595</v>
      </c>
    </row>
    <row r="1076" spans="1:16" ht="82.05" customHeight="1" x14ac:dyDescent="0.3">
      <c r="A1076" s="119" t="s">
        <v>2561</v>
      </c>
      <c r="B1076" s="119" t="s">
        <v>106</v>
      </c>
      <c r="C1076" s="119" t="s">
        <v>29</v>
      </c>
      <c r="D1076" s="119" t="s">
        <v>269</v>
      </c>
      <c r="E1076" s="120">
        <v>11102413</v>
      </c>
      <c r="F1076" s="120">
        <v>11102413</v>
      </c>
      <c r="G1076" s="120" t="s">
        <v>2033</v>
      </c>
      <c r="H1076" s="120">
        <f t="shared" si="36"/>
        <v>11102.413</v>
      </c>
      <c r="I1076" s="120">
        <f>MLCF!H33</f>
        <v>11102.413</v>
      </c>
      <c r="J1076" s="120">
        <f t="shared" si="37"/>
        <v>0</v>
      </c>
      <c r="K1076" s="119" t="s">
        <v>1598</v>
      </c>
      <c r="L1076" s="119">
        <v>202</v>
      </c>
      <c r="M1076" s="119" t="s">
        <v>1127</v>
      </c>
      <c r="N1076" s="122" t="s">
        <v>3564</v>
      </c>
      <c r="O1076" s="122" t="s">
        <v>3565</v>
      </c>
      <c r="P1076" s="122" t="s">
        <v>4596</v>
      </c>
    </row>
    <row r="1077" spans="1:16" ht="82.05" customHeight="1" x14ac:dyDescent="0.3">
      <c r="A1077" s="50" t="s">
        <v>2562</v>
      </c>
      <c r="B1077" s="50" t="s">
        <v>106</v>
      </c>
      <c r="C1077" s="50" t="s">
        <v>965</v>
      </c>
      <c r="D1077" s="50" t="s">
        <v>271</v>
      </c>
      <c r="E1077" s="121">
        <v>1046267</v>
      </c>
      <c r="F1077" s="121">
        <v>1046267</v>
      </c>
      <c r="G1077" s="121" t="s">
        <v>2033</v>
      </c>
      <c r="H1077" s="121">
        <f t="shared" si="36"/>
        <v>1046.2670000000001</v>
      </c>
      <c r="I1077" s="121">
        <f>MLCF!C34</f>
        <v>1046.2670000000001</v>
      </c>
      <c r="J1077" s="121">
        <f t="shared" si="37"/>
        <v>0</v>
      </c>
      <c r="K1077" s="50" t="s">
        <v>1584</v>
      </c>
      <c r="L1077" s="50">
        <v>163</v>
      </c>
      <c r="M1077" s="50" t="s">
        <v>1106</v>
      </c>
      <c r="N1077" s="68" t="s">
        <v>3564</v>
      </c>
      <c r="O1077" s="68" t="s">
        <v>3565</v>
      </c>
      <c r="P1077" s="68" t="s">
        <v>4597</v>
      </c>
    </row>
    <row r="1078" spans="1:16" ht="82.05" customHeight="1" x14ac:dyDescent="0.3">
      <c r="A1078" s="119" t="s">
        <v>2564</v>
      </c>
      <c r="B1078" s="119" t="s">
        <v>106</v>
      </c>
      <c r="C1078" s="119" t="s">
        <v>20</v>
      </c>
      <c r="D1078" s="119" t="s">
        <v>271</v>
      </c>
      <c r="E1078" s="120">
        <v>490329</v>
      </c>
      <c r="F1078" s="120">
        <v>490329</v>
      </c>
      <c r="G1078" s="120" t="s">
        <v>2033</v>
      </c>
      <c r="H1078" s="120">
        <f t="shared" si="36"/>
        <v>490.32900000000001</v>
      </c>
      <c r="I1078" s="120">
        <f>MLCF!D34</f>
        <v>490.32900000000001</v>
      </c>
      <c r="J1078" s="120">
        <f t="shared" si="37"/>
        <v>0</v>
      </c>
      <c r="K1078" s="119" t="s">
        <v>1589</v>
      </c>
      <c r="L1078" s="119">
        <v>184</v>
      </c>
      <c r="M1078" s="119" t="s">
        <v>1106</v>
      </c>
      <c r="N1078" s="122" t="s">
        <v>3564</v>
      </c>
      <c r="O1078" s="122" t="s">
        <v>3565</v>
      </c>
      <c r="P1078" s="122" t="s">
        <v>4598</v>
      </c>
    </row>
    <row r="1079" spans="1:16" ht="82.05" customHeight="1" x14ac:dyDescent="0.3">
      <c r="A1079" s="50" t="s">
        <v>2565</v>
      </c>
      <c r="B1079" s="50" t="s">
        <v>106</v>
      </c>
      <c r="C1079" s="50" t="s">
        <v>26</v>
      </c>
      <c r="D1079" s="50" t="s">
        <v>271</v>
      </c>
      <c r="E1079" s="121">
        <v>793576</v>
      </c>
      <c r="F1079" s="121">
        <v>793576</v>
      </c>
      <c r="G1079" s="121" t="s">
        <v>2033</v>
      </c>
      <c r="H1079" s="121">
        <f t="shared" si="36"/>
        <v>793.57600000000002</v>
      </c>
      <c r="I1079" s="121">
        <f>MLCF!E34</f>
        <v>793.57600000000002</v>
      </c>
      <c r="J1079" s="121">
        <f t="shared" si="37"/>
        <v>0</v>
      </c>
      <c r="K1079" s="50" t="s">
        <v>1592</v>
      </c>
      <c r="L1079" s="50">
        <v>98</v>
      </c>
      <c r="M1079" s="50" t="s">
        <v>1106</v>
      </c>
      <c r="N1079" s="68" t="s">
        <v>3564</v>
      </c>
      <c r="O1079" s="68" t="s">
        <v>3565</v>
      </c>
      <c r="P1079" s="68" t="s">
        <v>4599</v>
      </c>
    </row>
    <row r="1080" spans="1:16" ht="82.05" customHeight="1" x14ac:dyDescent="0.3">
      <c r="A1080" s="119" t="s">
        <v>2566</v>
      </c>
      <c r="B1080" s="119" t="s">
        <v>106</v>
      </c>
      <c r="C1080" s="119" t="s">
        <v>27</v>
      </c>
      <c r="D1080" s="119" t="s">
        <v>271</v>
      </c>
      <c r="E1080" s="120">
        <v>740707</v>
      </c>
      <c r="F1080" s="120">
        <v>740707</v>
      </c>
      <c r="G1080" s="120" t="s">
        <v>2033</v>
      </c>
      <c r="H1080" s="120">
        <f t="shared" si="36"/>
        <v>740.70699999999999</v>
      </c>
      <c r="I1080" s="120">
        <f>MLCF!F34</f>
        <v>740.70699999999999</v>
      </c>
      <c r="J1080" s="120">
        <f t="shared" si="37"/>
        <v>0</v>
      </c>
      <c r="K1080" s="119" t="s">
        <v>1595</v>
      </c>
      <c r="L1080" s="119">
        <v>190</v>
      </c>
      <c r="M1080" s="119" t="s">
        <v>1106</v>
      </c>
      <c r="N1080" s="122" t="s">
        <v>3564</v>
      </c>
      <c r="O1080" s="122" t="s">
        <v>3565</v>
      </c>
      <c r="P1080" s="122" t="s">
        <v>4600</v>
      </c>
    </row>
    <row r="1081" spans="1:16" ht="82.05" customHeight="1" x14ac:dyDescent="0.3">
      <c r="A1081" s="50" t="s">
        <v>2567</v>
      </c>
      <c r="B1081" s="50" t="s">
        <v>106</v>
      </c>
      <c r="C1081" s="50" t="s">
        <v>28</v>
      </c>
      <c r="D1081" s="50" t="s">
        <v>271</v>
      </c>
      <c r="E1081" s="121">
        <v>1133412</v>
      </c>
      <c r="F1081" s="121">
        <v>1133412</v>
      </c>
      <c r="G1081" s="121" t="s">
        <v>2033</v>
      </c>
      <c r="H1081" s="121">
        <f t="shared" si="36"/>
        <v>1133.412</v>
      </c>
      <c r="I1081" s="121">
        <f>MLCF!G34</f>
        <v>1133.412</v>
      </c>
      <c r="J1081" s="121">
        <f t="shared" si="37"/>
        <v>0</v>
      </c>
      <c r="K1081" s="50" t="s">
        <v>1598</v>
      </c>
      <c r="L1081" s="50">
        <v>202</v>
      </c>
      <c r="M1081" s="50" t="s">
        <v>1106</v>
      </c>
      <c r="N1081" s="68" t="s">
        <v>3564</v>
      </c>
      <c r="O1081" s="68" t="s">
        <v>3565</v>
      </c>
      <c r="P1081" s="68" t="s">
        <v>4601</v>
      </c>
    </row>
    <row r="1082" spans="1:16" ht="82.05" customHeight="1" x14ac:dyDescent="0.3">
      <c r="A1082" s="119" t="s">
        <v>2569</v>
      </c>
      <c r="B1082" s="119" t="s">
        <v>106</v>
      </c>
      <c r="C1082" s="119" t="s">
        <v>29</v>
      </c>
      <c r="D1082" s="119" t="s">
        <v>271</v>
      </c>
      <c r="E1082" s="120">
        <v>1615481</v>
      </c>
      <c r="F1082" s="120">
        <v>1615481</v>
      </c>
      <c r="G1082" s="120" t="s">
        <v>2033</v>
      </c>
      <c r="H1082" s="120">
        <f t="shared" si="36"/>
        <v>1615.481</v>
      </c>
      <c r="I1082" s="120">
        <f>MLCF!H34</f>
        <v>1615.481</v>
      </c>
      <c r="J1082" s="120">
        <f t="shared" si="37"/>
        <v>0</v>
      </c>
      <c r="K1082" s="119" t="s">
        <v>1598</v>
      </c>
      <c r="L1082" s="119">
        <v>202</v>
      </c>
      <c r="M1082" s="119" t="s">
        <v>1127</v>
      </c>
      <c r="N1082" s="122" t="s">
        <v>3564</v>
      </c>
      <c r="O1082" s="122" t="s">
        <v>3565</v>
      </c>
      <c r="P1082" s="122" t="s">
        <v>4602</v>
      </c>
    </row>
    <row r="1083" spans="1:16" ht="82.05" customHeight="1" x14ac:dyDescent="0.3">
      <c r="A1083" s="50" t="s">
        <v>2570</v>
      </c>
      <c r="B1083" s="50" t="s">
        <v>106</v>
      </c>
      <c r="C1083" s="50" t="s">
        <v>965</v>
      </c>
      <c r="D1083" s="50" t="s">
        <v>273</v>
      </c>
      <c r="E1083" s="121">
        <v>2258535</v>
      </c>
      <c r="F1083" s="121">
        <v>2258535</v>
      </c>
      <c r="G1083" s="121" t="s">
        <v>2033</v>
      </c>
      <c r="H1083" s="121">
        <f t="shared" si="36"/>
        <v>2258.5349999999999</v>
      </c>
      <c r="I1083" s="121">
        <f>MLCF!C35</f>
        <v>2258.5349999999999</v>
      </c>
      <c r="J1083" s="121">
        <f t="shared" si="37"/>
        <v>0</v>
      </c>
      <c r="K1083" s="50" t="s">
        <v>1584</v>
      </c>
      <c r="L1083" s="50">
        <v>163</v>
      </c>
      <c r="M1083" s="50" t="s">
        <v>1106</v>
      </c>
      <c r="N1083" s="68" t="s">
        <v>3602</v>
      </c>
      <c r="O1083" s="68" t="s">
        <v>3603</v>
      </c>
      <c r="P1083" s="68" t="s">
        <v>4603</v>
      </c>
    </row>
    <row r="1084" spans="1:16" ht="82.05" customHeight="1" x14ac:dyDescent="0.3">
      <c r="A1084" s="119" t="s">
        <v>2573</v>
      </c>
      <c r="B1084" s="119" t="s">
        <v>106</v>
      </c>
      <c r="C1084" s="119" t="s">
        <v>20</v>
      </c>
      <c r="D1084" s="119" t="s">
        <v>273</v>
      </c>
      <c r="E1084" s="120">
        <v>2715335</v>
      </c>
      <c r="F1084" s="120">
        <v>2715335</v>
      </c>
      <c r="G1084" s="120" t="s">
        <v>2033</v>
      </c>
      <c r="H1084" s="120">
        <f t="shared" si="36"/>
        <v>2715.335</v>
      </c>
      <c r="I1084" s="120">
        <f>MLCF!D35</f>
        <v>2715.335</v>
      </c>
      <c r="J1084" s="120">
        <f t="shared" si="37"/>
        <v>0</v>
      </c>
      <c r="K1084" s="119" t="s">
        <v>1589</v>
      </c>
      <c r="L1084" s="119">
        <v>184</v>
      </c>
      <c r="M1084" s="119" t="s">
        <v>1106</v>
      </c>
      <c r="N1084" s="122" t="s">
        <v>3602</v>
      </c>
      <c r="O1084" s="122" t="s">
        <v>3603</v>
      </c>
      <c r="P1084" s="122" t="s">
        <v>4604</v>
      </c>
    </row>
    <row r="1085" spans="1:16" ht="82.05" customHeight="1" x14ac:dyDescent="0.3">
      <c r="A1085" s="50" t="s">
        <v>2574</v>
      </c>
      <c r="B1085" s="50" t="s">
        <v>106</v>
      </c>
      <c r="C1085" s="50" t="s">
        <v>26</v>
      </c>
      <c r="D1085" s="50" t="s">
        <v>273</v>
      </c>
      <c r="E1085" s="121">
        <v>1714629</v>
      </c>
      <c r="F1085" s="121">
        <v>1714629</v>
      </c>
      <c r="G1085" s="121" t="s">
        <v>2033</v>
      </c>
      <c r="H1085" s="121">
        <f t="shared" si="36"/>
        <v>1714.6289999999999</v>
      </c>
      <c r="I1085" s="121">
        <f>MLCF!E35</f>
        <v>1714.6289999999999</v>
      </c>
      <c r="J1085" s="121">
        <f t="shared" si="37"/>
        <v>0</v>
      </c>
      <c r="K1085" s="50" t="s">
        <v>1592</v>
      </c>
      <c r="L1085" s="50">
        <v>98</v>
      </c>
      <c r="M1085" s="50" t="s">
        <v>1106</v>
      </c>
      <c r="N1085" s="68" t="s">
        <v>3602</v>
      </c>
      <c r="O1085" s="68" t="s">
        <v>3603</v>
      </c>
      <c r="P1085" s="68" t="s">
        <v>4605</v>
      </c>
    </row>
    <row r="1086" spans="1:16" ht="82.05" customHeight="1" x14ac:dyDescent="0.3">
      <c r="A1086" s="119" t="s">
        <v>2575</v>
      </c>
      <c r="B1086" s="119" t="s">
        <v>106</v>
      </c>
      <c r="C1086" s="119" t="s">
        <v>27</v>
      </c>
      <c r="D1086" s="119" t="s">
        <v>273</v>
      </c>
      <c r="E1086" s="120">
        <v>1407959</v>
      </c>
      <c r="F1086" s="120">
        <v>1407959</v>
      </c>
      <c r="G1086" s="120" t="s">
        <v>2033</v>
      </c>
      <c r="H1086" s="120">
        <f t="shared" si="36"/>
        <v>1407.9590000000001</v>
      </c>
      <c r="I1086" s="120">
        <f>MLCF!F35</f>
        <v>1407.9590000000001</v>
      </c>
      <c r="J1086" s="120">
        <f t="shared" si="37"/>
        <v>0</v>
      </c>
      <c r="K1086" s="119" t="s">
        <v>1595</v>
      </c>
      <c r="L1086" s="119">
        <v>190</v>
      </c>
      <c r="M1086" s="119" t="s">
        <v>1106</v>
      </c>
      <c r="N1086" s="122" t="s">
        <v>3602</v>
      </c>
      <c r="O1086" s="122" t="s">
        <v>3603</v>
      </c>
      <c r="P1086" s="122" t="s">
        <v>4606</v>
      </c>
    </row>
    <row r="1087" spans="1:16" ht="82.05" customHeight="1" x14ac:dyDescent="0.3">
      <c r="A1087" s="50" t="s">
        <v>2577</v>
      </c>
      <c r="B1087" s="50" t="s">
        <v>106</v>
      </c>
      <c r="C1087" s="50" t="s">
        <v>28</v>
      </c>
      <c r="D1087" s="50" t="s">
        <v>273</v>
      </c>
      <c r="E1087" s="121">
        <v>1791577</v>
      </c>
      <c r="F1087" s="121">
        <v>1791577</v>
      </c>
      <c r="G1087" s="121" t="s">
        <v>2033</v>
      </c>
      <c r="H1087" s="121">
        <f t="shared" si="36"/>
        <v>1791.577</v>
      </c>
      <c r="I1087" s="121">
        <f>MLCF!G35</f>
        <v>1791.577</v>
      </c>
      <c r="J1087" s="121">
        <f t="shared" si="37"/>
        <v>0</v>
      </c>
      <c r="K1087" s="50" t="s">
        <v>1598</v>
      </c>
      <c r="L1087" s="50">
        <v>202</v>
      </c>
      <c r="M1087" s="50" t="s">
        <v>1106</v>
      </c>
      <c r="N1087" s="68" t="s">
        <v>3602</v>
      </c>
      <c r="O1087" s="68" t="s">
        <v>3603</v>
      </c>
      <c r="P1087" s="68" t="s">
        <v>4607</v>
      </c>
    </row>
    <row r="1088" spans="1:16" ht="82.05" customHeight="1" x14ac:dyDescent="0.3">
      <c r="A1088" s="119" t="s">
        <v>2578</v>
      </c>
      <c r="B1088" s="119" t="s">
        <v>106</v>
      </c>
      <c r="C1088" s="119" t="s">
        <v>29</v>
      </c>
      <c r="D1088" s="119" t="s">
        <v>273</v>
      </c>
      <c r="E1088" s="120">
        <v>1520227</v>
      </c>
      <c r="F1088" s="120">
        <v>1520227</v>
      </c>
      <c r="G1088" s="120" t="s">
        <v>2033</v>
      </c>
      <c r="H1088" s="120">
        <f t="shared" si="36"/>
        <v>1520.2270000000001</v>
      </c>
      <c r="I1088" s="120">
        <f>MLCF!H35</f>
        <v>1520.2270000000001</v>
      </c>
      <c r="J1088" s="120">
        <f t="shared" si="37"/>
        <v>0</v>
      </c>
      <c r="K1088" s="119" t="s">
        <v>1598</v>
      </c>
      <c r="L1088" s="119">
        <v>202</v>
      </c>
      <c r="M1088" s="119" t="s">
        <v>1127</v>
      </c>
      <c r="N1088" s="122" t="s">
        <v>3602</v>
      </c>
      <c r="O1088" s="122" t="s">
        <v>3603</v>
      </c>
      <c r="P1088" s="122" t="s">
        <v>4607</v>
      </c>
    </row>
    <row r="1089" spans="1:16" ht="82.05" customHeight="1" x14ac:dyDescent="0.3">
      <c r="A1089" s="50" t="s">
        <v>2579</v>
      </c>
      <c r="B1089" s="50" t="s">
        <v>106</v>
      </c>
      <c r="C1089" s="50" t="s">
        <v>965</v>
      </c>
      <c r="D1089" s="50" t="s">
        <v>280</v>
      </c>
      <c r="E1089" s="121">
        <v>10983462</v>
      </c>
      <c r="F1089" s="121">
        <v>10983462</v>
      </c>
      <c r="G1089" s="121" t="s">
        <v>2033</v>
      </c>
      <c r="H1089" s="121">
        <f t="shared" si="36"/>
        <v>10983.462</v>
      </c>
      <c r="I1089" s="121">
        <f>MLCF!C39</f>
        <v>10983.462</v>
      </c>
      <c r="J1089" s="121">
        <f t="shared" si="37"/>
        <v>0</v>
      </c>
      <c r="K1089" s="50" t="s">
        <v>1584</v>
      </c>
      <c r="L1089" s="50">
        <v>162</v>
      </c>
      <c r="M1089" s="50" t="s">
        <v>1106</v>
      </c>
      <c r="N1089" s="68" t="s">
        <v>3564</v>
      </c>
      <c r="O1089" s="68" t="s">
        <v>3565</v>
      </c>
      <c r="P1089" s="68" t="s">
        <v>4608</v>
      </c>
    </row>
    <row r="1090" spans="1:16" ht="82.05" customHeight="1" x14ac:dyDescent="0.3">
      <c r="A1090" s="119" t="s">
        <v>2580</v>
      </c>
      <c r="B1090" s="119" t="s">
        <v>106</v>
      </c>
      <c r="C1090" s="119" t="s">
        <v>20</v>
      </c>
      <c r="D1090" s="119" t="s">
        <v>280</v>
      </c>
      <c r="E1090" s="120">
        <v>10983462</v>
      </c>
      <c r="F1090" s="120">
        <v>10983462</v>
      </c>
      <c r="G1090" s="120" t="s">
        <v>2033</v>
      </c>
      <c r="H1090" s="120">
        <f t="shared" si="36"/>
        <v>10983.462</v>
      </c>
      <c r="I1090" s="120">
        <f>MLCF!D39</f>
        <v>10983.462</v>
      </c>
      <c r="J1090" s="120">
        <f t="shared" si="37"/>
        <v>0</v>
      </c>
      <c r="K1090" s="119" t="s">
        <v>1589</v>
      </c>
      <c r="L1090" s="119">
        <v>183</v>
      </c>
      <c r="M1090" s="119" t="s">
        <v>1106</v>
      </c>
      <c r="N1090" s="122" t="s">
        <v>3564</v>
      </c>
      <c r="O1090" s="122" t="s">
        <v>3565</v>
      </c>
      <c r="P1090" s="122" t="s">
        <v>4609</v>
      </c>
    </row>
    <row r="1091" spans="1:16" ht="82.05" customHeight="1" x14ac:dyDescent="0.3">
      <c r="A1091" s="50" t="s">
        <v>2581</v>
      </c>
      <c r="B1091" s="50" t="s">
        <v>106</v>
      </c>
      <c r="C1091" s="50" t="s">
        <v>26</v>
      </c>
      <c r="D1091" s="50" t="s">
        <v>280</v>
      </c>
      <c r="E1091" s="121">
        <v>10983462</v>
      </c>
      <c r="F1091" s="121">
        <v>10983462</v>
      </c>
      <c r="G1091" s="121" t="s">
        <v>2033</v>
      </c>
      <c r="H1091" s="121">
        <f t="shared" si="36"/>
        <v>10983.462</v>
      </c>
      <c r="I1091" s="121">
        <f>MLCF!E39</f>
        <v>10983.462</v>
      </c>
      <c r="J1091" s="121">
        <f t="shared" si="37"/>
        <v>0</v>
      </c>
      <c r="K1091" s="50" t="s">
        <v>1592</v>
      </c>
      <c r="L1091" s="50">
        <v>98</v>
      </c>
      <c r="M1091" s="50" t="s">
        <v>1106</v>
      </c>
      <c r="N1091" s="68" t="s">
        <v>3564</v>
      </c>
      <c r="O1091" s="68" t="s">
        <v>3565</v>
      </c>
      <c r="P1091" s="68" t="s">
        <v>4610</v>
      </c>
    </row>
    <row r="1092" spans="1:16" ht="82.05" customHeight="1" x14ac:dyDescent="0.3">
      <c r="A1092" s="119" t="s">
        <v>2582</v>
      </c>
      <c r="B1092" s="119" t="s">
        <v>106</v>
      </c>
      <c r="C1092" s="119" t="s">
        <v>27</v>
      </c>
      <c r="D1092" s="119" t="s">
        <v>280</v>
      </c>
      <c r="E1092" s="120">
        <v>10733462</v>
      </c>
      <c r="F1092" s="120">
        <v>10733462</v>
      </c>
      <c r="G1092" s="120" t="s">
        <v>2033</v>
      </c>
      <c r="H1092" s="120">
        <f t="shared" si="36"/>
        <v>10733.462</v>
      </c>
      <c r="I1092" s="120">
        <f>MLCF!F39</f>
        <v>10733.462</v>
      </c>
      <c r="J1092" s="120">
        <f t="shared" si="37"/>
        <v>0</v>
      </c>
      <c r="K1092" s="119" t="s">
        <v>1595</v>
      </c>
      <c r="L1092" s="119">
        <v>189</v>
      </c>
      <c r="M1092" s="119" t="s">
        <v>1106</v>
      </c>
      <c r="N1092" s="122" t="s">
        <v>3564</v>
      </c>
      <c r="O1092" s="122" t="s">
        <v>3565</v>
      </c>
      <c r="P1092" s="122" t="s">
        <v>4611</v>
      </c>
    </row>
    <row r="1093" spans="1:16" ht="82.05" customHeight="1" x14ac:dyDescent="0.3">
      <c r="A1093" s="50" t="s">
        <v>2584</v>
      </c>
      <c r="B1093" s="50" t="s">
        <v>106</v>
      </c>
      <c r="C1093" s="50" t="s">
        <v>28</v>
      </c>
      <c r="D1093" s="50" t="s">
        <v>280</v>
      </c>
      <c r="E1093" s="121">
        <v>10475626</v>
      </c>
      <c r="F1093" s="121">
        <v>10475626</v>
      </c>
      <c r="G1093" s="121" t="s">
        <v>2033</v>
      </c>
      <c r="H1093" s="121">
        <f t="shared" si="36"/>
        <v>10475.626</v>
      </c>
      <c r="I1093" s="121">
        <f>MLCF!G39</f>
        <v>10475.626</v>
      </c>
      <c r="J1093" s="121">
        <f t="shared" si="37"/>
        <v>0</v>
      </c>
      <c r="K1093" s="50" t="s">
        <v>1598</v>
      </c>
      <c r="L1093" s="50">
        <v>201</v>
      </c>
      <c r="M1093" s="50" t="s">
        <v>1106</v>
      </c>
      <c r="N1093" s="68" t="s">
        <v>3564</v>
      </c>
      <c r="O1093" s="68" t="s">
        <v>3565</v>
      </c>
      <c r="P1093" s="68" t="s">
        <v>4612</v>
      </c>
    </row>
    <row r="1094" spans="1:16" ht="82.05" customHeight="1" x14ac:dyDescent="0.3">
      <c r="A1094" s="119" t="s">
        <v>2585</v>
      </c>
      <c r="B1094" s="119" t="s">
        <v>106</v>
      </c>
      <c r="C1094" s="119" t="s">
        <v>29</v>
      </c>
      <c r="D1094" s="119" t="s">
        <v>280</v>
      </c>
      <c r="E1094" s="120">
        <v>10475626</v>
      </c>
      <c r="F1094" s="120">
        <v>10475626</v>
      </c>
      <c r="G1094" s="120" t="s">
        <v>2033</v>
      </c>
      <c r="H1094" s="120">
        <f t="shared" si="36"/>
        <v>10475.626</v>
      </c>
      <c r="I1094" s="120">
        <f>MLCF!H39</f>
        <v>10475.626</v>
      </c>
      <c r="J1094" s="120">
        <f t="shared" si="37"/>
        <v>0</v>
      </c>
      <c r="K1094" s="119" t="s">
        <v>1598</v>
      </c>
      <c r="L1094" s="119">
        <v>201</v>
      </c>
      <c r="M1094" s="119" t="s">
        <v>1127</v>
      </c>
      <c r="N1094" s="122" t="s">
        <v>3564</v>
      </c>
      <c r="O1094" s="122" t="s">
        <v>3565</v>
      </c>
      <c r="P1094" s="122" t="s">
        <v>4612</v>
      </c>
    </row>
    <row r="1095" spans="1:16" ht="82.05" customHeight="1" x14ac:dyDescent="0.3">
      <c r="A1095" s="50" t="s">
        <v>2586</v>
      </c>
      <c r="B1095" s="50" t="s">
        <v>106</v>
      </c>
      <c r="C1095" s="50" t="s">
        <v>965</v>
      </c>
      <c r="D1095" s="50" t="s">
        <v>282</v>
      </c>
      <c r="E1095" s="121">
        <v>20337369</v>
      </c>
      <c r="F1095" s="121">
        <v>20337369</v>
      </c>
      <c r="G1095" s="121" t="s">
        <v>2033</v>
      </c>
      <c r="H1095" s="121">
        <f t="shared" si="36"/>
        <v>20337.368999999999</v>
      </c>
      <c r="I1095" s="121">
        <f>MLCF!C40</f>
        <v>20337.368999999999</v>
      </c>
      <c r="J1095" s="121">
        <f t="shared" si="37"/>
        <v>0</v>
      </c>
      <c r="K1095" s="50" t="s">
        <v>1584</v>
      </c>
      <c r="L1095" s="50">
        <v>162</v>
      </c>
      <c r="M1095" s="50" t="s">
        <v>1106</v>
      </c>
      <c r="N1095" s="68" t="s">
        <v>3602</v>
      </c>
      <c r="O1095" s="68" t="s">
        <v>3603</v>
      </c>
      <c r="P1095" s="68" t="s">
        <v>4613</v>
      </c>
    </row>
    <row r="1096" spans="1:16" ht="82.05" customHeight="1" x14ac:dyDescent="0.3">
      <c r="A1096" s="119" t="s">
        <v>2588</v>
      </c>
      <c r="B1096" s="119" t="s">
        <v>106</v>
      </c>
      <c r="C1096" s="119" t="s">
        <v>20</v>
      </c>
      <c r="D1096" s="119" t="s">
        <v>282</v>
      </c>
      <c r="E1096" s="120">
        <v>26559079</v>
      </c>
      <c r="F1096" s="120">
        <v>26559079</v>
      </c>
      <c r="G1096" s="120" t="s">
        <v>2033</v>
      </c>
      <c r="H1096" s="120">
        <f t="shared" si="36"/>
        <v>26559.079000000002</v>
      </c>
      <c r="I1096" s="120">
        <f>MLCF!D40</f>
        <v>26559.079000000002</v>
      </c>
      <c r="J1096" s="120">
        <f t="shared" si="37"/>
        <v>0</v>
      </c>
      <c r="K1096" s="119" t="s">
        <v>1589</v>
      </c>
      <c r="L1096" s="119">
        <v>183</v>
      </c>
      <c r="M1096" s="119" t="s">
        <v>1106</v>
      </c>
      <c r="N1096" s="122" t="s">
        <v>3602</v>
      </c>
      <c r="O1096" s="122" t="s">
        <v>3603</v>
      </c>
      <c r="P1096" s="122" t="s">
        <v>4614</v>
      </c>
    </row>
    <row r="1097" spans="1:16" ht="82.05" customHeight="1" x14ac:dyDescent="0.3">
      <c r="A1097" s="50" t="s">
        <v>2589</v>
      </c>
      <c r="B1097" s="50" t="s">
        <v>106</v>
      </c>
      <c r="C1097" s="50" t="s">
        <v>26</v>
      </c>
      <c r="D1097" s="50" t="s">
        <v>282</v>
      </c>
      <c r="E1097" s="121">
        <v>29575553</v>
      </c>
      <c r="F1097" s="121">
        <v>29575553</v>
      </c>
      <c r="G1097" s="121" t="s">
        <v>2033</v>
      </c>
      <c r="H1097" s="121">
        <f t="shared" si="36"/>
        <v>29575.553</v>
      </c>
      <c r="I1097" s="121">
        <f>MLCF!E40</f>
        <v>29575.553</v>
      </c>
      <c r="J1097" s="121">
        <f t="shared" si="37"/>
        <v>0</v>
      </c>
      <c r="K1097" s="50" t="s">
        <v>1592</v>
      </c>
      <c r="L1097" s="50">
        <v>98</v>
      </c>
      <c r="M1097" s="50" t="s">
        <v>1106</v>
      </c>
      <c r="N1097" s="68" t="s">
        <v>3602</v>
      </c>
      <c r="O1097" s="68" t="s">
        <v>3603</v>
      </c>
      <c r="P1097" s="68" t="s">
        <v>4615</v>
      </c>
    </row>
    <row r="1098" spans="1:16" ht="82.05" customHeight="1" x14ac:dyDescent="0.3">
      <c r="A1098" s="119" t="s">
        <v>2590</v>
      </c>
      <c r="B1098" s="119" t="s">
        <v>106</v>
      </c>
      <c r="C1098" s="119" t="s">
        <v>27</v>
      </c>
      <c r="D1098" s="119" t="s">
        <v>282</v>
      </c>
      <c r="E1098" s="120">
        <v>34179652</v>
      </c>
      <c r="F1098" s="120">
        <v>34179652</v>
      </c>
      <c r="G1098" s="120" t="s">
        <v>2033</v>
      </c>
      <c r="H1098" s="120">
        <f t="shared" si="36"/>
        <v>34179.652000000002</v>
      </c>
      <c r="I1098" s="120">
        <f>MLCF!F40</f>
        <v>34179.652000000002</v>
      </c>
      <c r="J1098" s="120">
        <f t="shared" si="37"/>
        <v>0</v>
      </c>
      <c r="K1098" s="119" t="s">
        <v>1595</v>
      </c>
      <c r="L1098" s="119">
        <v>189</v>
      </c>
      <c r="M1098" s="119" t="s">
        <v>1106</v>
      </c>
      <c r="N1098" s="122" t="s">
        <v>3602</v>
      </c>
      <c r="O1098" s="122" t="s">
        <v>3603</v>
      </c>
      <c r="P1098" s="122" t="s">
        <v>4616</v>
      </c>
    </row>
    <row r="1099" spans="1:16" ht="82.05" customHeight="1" x14ac:dyDescent="0.3">
      <c r="A1099" s="50" t="s">
        <v>2592</v>
      </c>
      <c r="B1099" s="50" t="s">
        <v>106</v>
      </c>
      <c r="C1099" s="50" t="s">
        <v>28</v>
      </c>
      <c r="D1099" s="50" t="s">
        <v>282</v>
      </c>
      <c r="E1099" s="121">
        <v>42140282</v>
      </c>
      <c r="F1099" s="121">
        <v>42140282</v>
      </c>
      <c r="G1099" s="121" t="s">
        <v>2033</v>
      </c>
      <c r="H1099" s="121">
        <f t="shared" si="36"/>
        <v>42140.281999999999</v>
      </c>
      <c r="I1099" s="121">
        <f>MLCF!G40</f>
        <v>42140.281999999999</v>
      </c>
      <c r="J1099" s="121">
        <f t="shared" si="37"/>
        <v>0</v>
      </c>
      <c r="K1099" s="50" t="s">
        <v>1598</v>
      </c>
      <c r="L1099" s="50">
        <v>201</v>
      </c>
      <c r="M1099" s="50" t="s">
        <v>1106</v>
      </c>
      <c r="N1099" s="68" t="s">
        <v>3602</v>
      </c>
      <c r="O1099" s="68" t="s">
        <v>3603</v>
      </c>
      <c r="P1099" s="68" t="s">
        <v>4617</v>
      </c>
    </row>
    <row r="1100" spans="1:16" ht="82.05" customHeight="1" x14ac:dyDescent="0.3">
      <c r="A1100" s="119" t="s">
        <v>2593</v>
      </c>
      <c r="B1100" s="119" t="s">
        <v>106</v>
      </c>
      <c r="C1100" s="119" t="s">
        <v>29</v>
      </c>
      <c r="D1100" s="119" t="s">
        <v>282</v>
      </c>
      <c r="E1100" s="120">
        <v>60985966</v>
      </c>
      <c r="F1100" s="120">
        <v>60985966</v>
      </c>
      <c r="G1100" s="120" t="s">
        <v>2033</v>
      </c>
      <c r="H1100" s="120">
        <f t="shared" si="36"/>
        <v>60985.966</v>
      </c>
      <c r="I1100" s="120">
        <f>MLCF!H40</f>
        <v>60985.966</v>
      </c>
      <c r="J1100" s="120">
        <f t="shared" si="37"/>
        <v>0</v>
      </c>
      <c r="K1100" s="119" t="s">
        <v>1598</v>
      </c>
      <c r="L1100" s="119">
        <v>201</v>
      </c>
      <c r="M1100" s="119" t="s">
        <v>1127</v>
      </c>
      <c r="N1100" s="122" t="s">
        <v>3602</v>
      </c>
      <c r="O1100" s="122" t="s">
        <v>3603</v>
      </c>
      <c r="P1100" s="122" t="s">
        <v>4617</v>
      </c>
    </row>
    <row r="1101" spans="1:16" ht="82.05" customHeight="1" x14ac:dyDescent="0.3">
      <c r="A1101" s="50" t="s">
        <v>2594</v>
      </c>
      <c r="B1101" s="50" t="s">
        <v>106</v>
      </c>
      <c r="C1101" s="50" t="s">
        <v>965</v>
      </c>
      <c r="D1101" s="50" t="s">
        <v>287</v>
      </c>
      <c r="E1101" s="121">
        <v>15173102</v>
      </c>
      <c r="F1101" s="121">
        <v>15173102</v>
      </c>
      <c r="G1101" s="121" t="s">
        <v>2033</v>
      </c>
      <c r="H1101" s="121">
        <f t="shared" si="36"/>
        <v>15173.102000000001</v>
      </c>
      <c r="I1101" s="121">
        <f>MLCF!C43</f>
        <v>15173.102000000001</v>
      </c>
      <c r="J1101" s="121">
        <f t="shared" si="37"/>
        <v>0</v>
      </c>
      <c r="K1101" s="50" t="s">
        <v>1584</v>
      </c>
      <c r="L1101" s="50">
        <v>162</v>
      </c>
      <c r="M1101" s="50" t="s">
        <v>1106</v>
      </c>
      <c r="N1101" s="68" t="s">
        <v>3602</v>
      </c>
      <c r="O1101" s="68" t="s">
        <v>3603</v>
      </c>
      <c r="P1101" s="68" t="s">
        <v>4618</v>
      </c>
    </row>
    <row r="1102" spans="1:16" ht="82.05" customHeight="1" x14ac:dyDescent="0.3">
      <c r="A1102" s="119" t="s">
        <v>2596</v>
      </c>
      <c r="B1102" s="119" t="s">
        <v>106</v>
      </c>
      <c r="C1102" s="119" t="s">
        <v>20</v>
      </c>
      <c r="D1102" s="119" t="s">
        <v>287</v>
      </c>
      <c r="E1102" s="120">
        <v>12636749</v>
      </c>
      <c r="F1102" s="120">
        <v>12636749</v>
      </c>
      <c r="G1102" s="120" t="s">
        <v>2033</v>
      </c>
      <c r="H1102" s="120">
        <f t="shared" si="36"/>
        <v>12636.749</v>
      </c>
      <c r="I1102" s="120">
        <f>MLCF!D43</f>
        <v>12636.749</v>
      </c>
      <c r="J1102" s="120">
        <f t="shared" si="37"/>
        <v>0</v>
      </c>
      <c r="K1102" s="119" t="s">
        <v>1589</v>
      </c>
      <c r="L1102" s="119">
        <v>183</v>
      </c>
      <c r="M1102" s="119" t="s">
        <v>1106</v>
      </c>
      <c r="N1102" s="122" t="s">
        <v>3602</v>
      </c>
      <c r="O1102" s="122" t="s">
        <v>3603</v>
      </c>
      <c r="P1102" s="122" t="s">
        <v>4619</v>
      </c>
    </row>
    <row r="1103" spans="1:16" ht="82.05" customHeight="1" x14ac:dyDescent="0.3">
      <c r="A1103" s="50" t="s">
        <v>2598</v>
      </c>
      <c r="B1103" s="50" t="s">
        <v>106</v>
      </c>
      <c r="C1103" s="50" t="s">
        <v>26</v>
      </c>
      <c r="D1103" s="50" t="s">
        <v>287</v>
      </c>
      <c r="E1103" s="121">
        <v>18747868</v>
      </c>
      <c r="F1103" s="121">
        <v>18747868</v>
      </c>
      <c r="G1103" s="121" t="s">
        <v>2033</v>
      </c>
      <c r="H1103" s="121">
        <f t="shared" si="36"/>
        <v>18747.867999999999</v>
      </c>
      <c r="I1103" s="121">
        <f>MLCF!E43</f>
        <v>18747.867999999999</v>
      </c>
      <c r="J1103" s="121">
        <f t="shared" si="37"/>
        <v>0</v>
      </c>
      <c r="K1103" s="50" t="s">
        <v>1592</v>
      </c>
      <c r="L1103" s="50">
        <v>98</v>
      </c>
      <c r="M1103" s="50" t="s">
        <v>1106</v>
      </c>
      <c r="N1103" s="68" t="s">
        <v>3602</v>
      </c>
      <c r="O1103" s="68" t="s">
        <v>3603</v>
      </c>
      <c r="P1103" s="68" t="s">
        <v>4620</v>
      </c>
    </row>
    <row r="1104" spans="1:16" ht="82.05" customHeight="1" x14ac:dyDescent="0.3">
      <c r="A1104" s="119" t="s">
        <v>2599</v>
      </c>
      <c r="B1104" s="119" t="s">
        <v>106</v>
      </c>
      <c r="C1104" s="119" t="s">
        <v>27</v>
      </c>
      <c r="D1104" s="119" t="s">
        <v>287</v>
      </c>
      <c r="E1104" s="120">
        <v>17233337</v>
      </c>
      <c r="F1104" s="120">
        <v>17233337</v>
      </c>
      <c r="G1104" s="120" t="s">
        <v>2033</v>
      </c>
      <c r="H1104" s="120">
        <f t="shared" si="36"/>
        <v>17233.337</v>
      </c>
      <c r="I1104" s="120">
        <f>MLCF!F43</f>
        <v>17233.337</v>
      </c>
      <c r="J1104" s="120">
        <f t="shared" si="37"/>
        <v>0</v>
      </c>
      <c r="K1104" s="119" t="s">
        <v>1595</v>
      </c>
      <c r="L1104" s="119">
        <v>189</v>
      </c>
      <c r="M1104" s="119" t="s">
        <v>1106</v>
      </c>
      <c r="N1104" s="122" t="s">
        <v>3602</v>
      </c>
      <c r="O1104" s="122" t="s">
        <v>3603</v>
      </c>
      <c r="P1104" s="122" t="s">
        <v>4621</v>
      </c>
    </row>
    <row r="1105" spans="1:16" ht="82.05" customHeight="1" x14ac:dyDescent="0.3">
      <c r="A1105" s="50" t="s">
        <v>2601</v>
      </c>
      <c r="B1105" s="50" t="s">
        <v>106</v>
      </c>
      <c r="C1105" s="50" t="s">
        <v>28</v>
      </c>
      <c r="D1105" s="50" t="s">
        <v>287</v>
      </c>
      <c r="E1105" s="121">
        <v>14285786</v>
      </c>
      <c r="F1105" s="121">
        <v>14285786</v>
      </c>
      <c r="G1105" s="121" t="s">
        <v>2033</v>
      </c>
      <c r="H1105" s="121">
        <f t="shared" si="36"/>
        <v>14285.786</v>
      </c>
      <c r="I1105" s="121">
        <f>MLCF!G43</f>
        <v>14285.786</v>
      </c>
      <c r="J1105" s="121">
        <f t="shared" si="37"/>
        <v>0</v>
      </c>
      <c r="K1105" s="50" t="s">
        <v>1598</v>
      </c>
      <c r="L1105" s="50">
        <v>201</v>
      </c>
      <c r="M1105" s="50" t="s">
        <v>1106</v>
      </c>
      <c r="N1105" s="68" t="s">
        <v>3602</v>
      </c>
      <c r="O1105" s="68" t="s">
        <v>3603</v>
      </c>
      <c r="P1105" s="68" t="s">
        <v>4622</v>
      </c>
    </row>
    <row r="1106" spans="1:16" ht="82.05" customHeight="1" x14ac:dyDescent="0.3">
      <c r="A1106" s="119" t="s">
        <v>2602</v>
      </c>
      <c r="B1106" s="119" t="s">
        <v>106</v>
      </c>
      <c r="C1106" s="119" t="s">
        <v>29</v>
      </c>
      <c r="D1106" s="119" t="s">
        <v>287</v>
      </c>
      <c r="E1106" s="120">
        <v>9781639</v>
      </c>
      <c r="F1106" s="120">
        <v>9781639</v>
      </c>
      <c r="G1106" s="120" t="s">
        <v>2033</v>
      </c>
      <c r="H1106" s="120">
        <f t="shared" si="36"/>
        <v>9781.6389999999992</v>
      </c>
      <c r="I1106" s="120">
        <f>MLCF!H43</f>
        <v>9781.6389999999992</v>
      </c>
      <c r="J1106" s="120">
        <f t="shared" si="37"/>
        <v>0</v>
      </c>
      <c r="K1106" s="119" t="s">
        <v>1598</v>
      </c>
      <c r="L1106" s="119">
        <v>201</v>
      </c>
      <c r="M1106" s="119" t="s">
        <v>1127</v>
      </c>
      <c r="N1106" s="122" t="s">
        <v>3564</v>
      </c>
      <c r="O1106" s="122" t="s">
        <v>3565</v>
      </c>
      <c r="P1106" s="122" t="s">
        <v>4623</v>
      </c>
    </row>
    <row r="1107" spans="1:16" ht="82.05" customHeight="1" x14ac:dyDescent="0.3">
      <c r="A1107" s="50" t="s">
        <v>2603</v>
      </c>
      <c r="B1107" s="50" t="s">
        <v>106</v>
      </c>
      <c r="C1107" s="50" t="s">
        <v>965</v>
      </c>
      <c r="D1107" s="50" t="s">
        <v>289</v>
      </c>
      <c r="E1107" s="121">
        <v>0</v>
      </c>
      <c r="F1107" s="121">
        <v>0</v>
      </c>
      <c r="G1107" s="121" t="s">
        <v>2033</v>
      </c>
      <c r="H1107" s="121">
        <f t="shared" si="36"/>
        <v>0</v>
      </c>
      <c r="I1107" s="121">
        <f>MLCF!C44</f>
        <v>0</v>
      </c>
      <c r="J1107" s="121">
        <f t="shared" si="37"/>
        <v>0</v>
      </c>
      <c r="K1107" s="50" t="s">
        <v>1584</v>
      </c>
      <c r="L1107" s="50">
        <v>162</v>
      </c>
      <c r="M1107" s="50" t="s">
        <v>1106</v>
      </c>
      <c r="N1107" s="68" t="s">
        <v>3578</v>
      </c>
      <c r="O1107" s="68" t="s">
        <v>3579</v>
      </c>
      <c r="P1107" s="68" t="s">
        <v>4624</v>
      </c>
    </row>
    <row r="1108" spans="1:16" ht="82.05" customHeight="1" x14ac:dyDescent="0.3">
      <c r="A1108" s="119" t="s">
        <v>2604</v>
      </c>
      <c r="B1108" s="119" t="s">
        <v>106</v>
      </c>
      <c r="C1108" s="119" t="s">
        <v>20</v>
      </c>
      <c r="D1108" s="119" t="s">
        <v>289</v>
      </c>
      <c r="E1108" s="120">
        <v>0</v>
      </c>
      <c r="F1108" s="120">
        <v>0</v>
      </c>
      <c r="G1108" s="120" t="s">
        <v>2033</v>
      </c>
      <c r="H1108" s="120">
        <f t="shared" si="36"/>
        <v>0</v>
      </c>
      <c r="I1108" s="120">
        <f>MLCF!D44</f>
        <v>0</v>
      </c>
      <c r="J1108" s="120">
        <f t="shared" si="37"/>
        <v>0</v>
      </c>
      <c r="K1108" s="119" t="s">
        <v>1589</v>
      </c>
      <c r="L1108" s="119">
        <v>183</v>
      </c>
      <c r="M1108" s="119" t="s">
        <v>1106</v>
      </c>
      <c r="N1108" s="122" t="s">
        <v>3578</v>
      </c>
      <c r="O1108" s="122" t="s">
        <v>3579</v>
      </c>
      <c r="P1108" s="122" t="s">
        <v>4625</v>
      </c>
    </row>
    <row r="1109" spans="1:16" ht="82.05" customHeight="1" x14ac:dyDescent="0.3">
      <c r="A1109" s="50" t="s">
        <v>2606</v>
      </c>
      <c r="B1109" s="50" t="s">
        <v>106</v>
      </c>
      <c r="C1109" s="50" t="s">
        <v>26</v>
      </c>
      <c r="D1109" s="50" t="s">
        <v>289</v>
      </c>
      <c r="E1109" s="121">
        <v>27136</v>
      </c>
      <c r="F1109" s="121">
        <v>27136</v>
      </c>
      <c r="G1109" s="121" t="s">
        <v>2033</v>
      </c>
      <c r="H1109" s="121">
        <f t="shared" si="36"/>
        <v>27.135999999999999</v>
      </c>
      <c r="I1109" s="121">
        <f>MLCF!E44</f>
        <v>27.135999999999999</v>
      </c>
      <c r="J1109" s="121">
        <f t="shared" si="37"/>
        <v>0</v>
      </c>
      <c r="K1109" s="50" t="s">
        <v>1592</v>
      </c>
      <c r="L1109" s="50">
        <v>98</v>
      </c>
      <c r="M1109" s="50" t="s">
        <v>1106</v>
      </c>
      <c r="N1109" s="68" t="s">
        <v>3564</v>
      </c>
      <c r="O1109" s="68" t="s">
        <v>3565</v>
      </c>
      <c r="P1109" s="68" t="s">
        <v>4626</v>
      </c>
    </row>
    <row r="1110" spans="1:16" ht="82.05" customHeight="1" x14ac:dyDescent="0.3">
      <c r="A1110" s="119" t="s">
        <v>2607</v>
      </c>
      <c r="B1110" s="119" t="s">
        <v>106</v>
      </c>
      <c r="C1110" s="119" t="s">
        <v>27</v>
      </c>
      <c r="D1110" s="119" t="s">
        <v>289</v>
      </c>
      <c r="E1110" s="120">
        <v>31408</v>
      </c>
      <c r="F1110" s="120">
        <v>31408</v>
      </c>
      <c r="G1110" s="120" t="s">
        <v>2033</v>
      </c>
      <c r="H1110" s="120">
        <f t="shared" si="36"/>
        <v>31.408000000000001</v>
      </c>
      <c r="I1110" s="120">
        <f>MLCF!F44</f>
        <v>31.408000000000001</v>
      </c>
      <c r="J1110" s="120">
        <f t="shared" si="37"/>
        <v>0</v>
      </c>
      <c r="K1110" s="119" t="s">
        <v>1595</v>
      </c>
      <c r="L1110" s="119">
        <v>189</v>
      </c>
      <c r="M1110" s="119" t="s">
        <v>1106</v>
      </c>
      <c r="N1110" s="122" t="s">
        <v>3564</v>
      </c>
      <c r="O1110" s="122" t="s">
        <v>3565</v>
      </c>
      <c r="P1110" s="122" t="s">
        <v>4627</v>
      </c>
    </row>
    <row r="1111" spans="1:16" ht="82.05" customHeight="1" x14ac:dyDescent="0.3">
      <c r="A1111" s="50" t="s">
        <v>2609</v>
      </c>
      <c r="B1111" s="50" t="s">
        <v>106</v>
      </c>
      <c r="C1111" s="50" t="s">
        <v>28</v>
      </c>
      <c r="D1111" s="50" t="s">
        <v>289</v>
      </c>
      <c r="E1111" s="121">
        <v>34670</v>
      </c>
      <c r="F1111" s="121">
        <v>34670</v>
      </c>
      <c r="G1111" s="121" t="s">
        <v>2033</v>
      </c>
      <c r="H1111" s="121">
        <f t="shared" si="36"/>
        <v>34.67</v>
      </c>
      <c r="I1111" s="121">
        <f>MLCF!G44</f>
        <v>34.67</v>
      </c>
      <c r="J1111" s="121">
        <f t="shared" si="37"/>
        <v>0</v>
      </c>
      <c r="K1111" s="50" t="s">
        <v>1598</v>
      </c>
      <c r="L1111" s="50">
        <v>201</v>
      </c>
      <c r="M1111" s="50" t="s">
        <v>1106</v>
      </c>
      <c r="N1111" s="68" t="s">
        <v>3564</v>
      </c>
      <c r="O1111" s="68" t="s">
        <v>3565</v>
      </c>
      <c r="P1111" s="68" t="s">
        <v>4628</v>
      </c>
    </row>
    <row r="1112" spans="1:16" ht="82.05" customHeight="1" x14ac:dyDescent="0.3">
      <c r="A1112" s="119" t="s">
        <v>2610</v>
      </c>
      <c r="B1112" s="119" t="s">
        <v>106</v>
      </c>
      <c r="C1112" s="119" t="s">
        <v>29</v>
      </c>
      <c r="D1112" s="119" t="s">
        <v>289</v>
      </c>
      <c r="E1112" s="120">
        <v>28495</v>
      </c>
      <c r="F1112" s="120">
        <v>28495</v>
      </c>
      <c r="G1112" s="120" t="s">
        <v>2033</v>
      </c>
      <c r="H1112" s="120">
        <f t="shared" si="36"/>
        <v>28.495000000000001</v>
      </c>
      <c r="I1112" s="120">
        <f>MLCF!H44</f>
        <v>28.495000000000001</v>
      </c>
      <c r="J1112" s="120">
        <f t="shared" si="37"/>
        <v>0</v>
      </c>
      <c r="K1112" s="119" t="s">
        <v>1598</v>
      </c>
      <c r="L1112" s="119">
        <v>201</v>
      </c>
      <c r="M1112" s="119" t="s">
        <v>1127</v>
      </c>
      <c r="N1112" s="122" t="s">
        <v>3564</v>
      </c>
      <c r="O1112" s="122" t="s">
        <v>3565</v>
      </c>
      <c r="P1112" s="122" t="s">
        <v>4629</v>
      </c>
    </row>
    <row r="1113" spans="1:16" ht="82.05" customHeight="1" x14ac:dyDescent="0.3">
      <c r="A1113" s="50" t="s">
        <v>2611</v>
      </c>
      <c r="B1113" s="50" t="s">
        <v>106</v>
      </c>
      <c r="C1113" s="50" t="s">
        <v>965</v>
      </c>
      <c r="D1113" s="50" t="s">
        <v>291</v>
      </c>
      <c r="E1113" s="121">
        <v>0</v>
      </c>
      <c r="F1113" s="121">
        <v>0</v>
      </c>
      <c r="G1113" s="121" t="s">
        <v>2033</v>
      </c>
      <c r="H1113" s="121">
        <f t="shared" si="36"/>
        <v>0</v>
      </c>
      <c r="I1113" s="121">
        <f>MLCF!C45</f>
        <v>0</v>
      </c>
      <c r="J1113" s="121">
        <f t="shared" si="37"/>
        <v>0</v>
      </c>
      <c r="K1113" s="50" t="s">
        <v>1584</v>
      </c>
      <c r="L1113" s="50">
        <v>162</v>
      </c>
      <c r="M1113" s="50" t="s">
        <v>1106</v>
      </c>
      <c r="N1113" s="68" t="s">
        <v>3578</v>
      </c>
      <c r="O1113" s="68" t="s">
        <v>3579</v>
      </c>
      <c r="P1113" s="68" t="s">
        <v>4630</v>
      </c>
    </row>
    <row r="1114" spans="1:16" ht="82.05" customHeight="1" x14ac:dyDescent="0.3">
      <c r="A1114" s="119" t="s">
        <v>2612</v>
      </c>
      <c r="B1114" s="119" t="s">
        <v>106</v>
      </c>
      <c r="C1114" s="119" t="s">
        <v>20</v>
      </c>
      <c r="D1114" s="119" t="s">
        <v>291</v>
      </c>
      <c r="E1114" s="120">
        <v>49569</v>
      </c>
      <c r="F1114" s="120">
        <v>49569</v>
      </c>
      <c r="G1114" s="120" t="s">
        <v>2033</v>
      </c>
      <c r="H1114" s="120">
        <f t="shared" si="36"/>
        <v>49.569000000000003</v>
      </c>
      <c r="I1114" s="120">
        <f>MLCF!D45</f>
        <v>49.569000000000003</v>
      </c>
      <c r="J1114" s="120">
        <f t="shared" si="37"/>
        <v>0</v>
      </c>
      <c r="K1114" s="119" t="s">
        <v>1589</v>
      </c>
      <c r="L1114" s="119">
        <v>183</v>
      </c>
      <c r="M1114" s="119" t="s">
        <v>1106</v>
      </c>
      <c r="N1114" s="122" t="s">
        <v>3564</v>
      </c>
      <c r="O1114" s="122" t="s">
        <v>3565</v>
      </c>
      <c r="P1114" s="122" t="s">
        <v>4631</v>
      </c>
    </row>
    <row r="1115" spans="1:16" ht="82.05" customHeight="1" x14ac:dyDescent="0.3">
      <c r="A1115" s="50" t="s">
        <v>2613</v>
      </c>
      <c r="B1115" s="50" t="s">
        <v>106</v>
      </c>
      <c r="C1115" s="50" t="s">
        <v>26</v>
      </c>
      <c r="D1115" s="50" t="s">
        <v>291</v>
      </c>
      <c r="E1115" s="121">
        <v>786758</v>
      </c>
      <c r="F1115" s="121">
        <v>786758</v>
      </c>
      <c r="G1115" s="121" t="s">
        <v>2033</v>
      </c>
      <c r="H1115" s="121">
        <f t="shared" si="36"/>
        <v>786.75800000000004</v>
      </c>
      <c r="I1115" s="121">
        <f>MLCF!E45</f>
        <v>786.75800000000004</v>
      </c>
      <c r="J1115" s="121">
        <f t="shared" si="37"/>
        <v>0</v>
      </c>
      <c r="K1115" s="50" t="s">
        <v>1592</v>
      </c>
      <c r="L1115" s="50">
        <v>98</v>
      </c>
      <c r="M1115" s="50" t="s">
        <v>1106</v>
      </c>
      <c r="N1115" s="68" t="s">
        <v>3564</v>
      </c>
      <c r="O1115" s="68" t="s">
        <v>3565</v>
      </c>
      <c r="P1115" s="68" t="s">
        <v>4632</v>
      </c>
    </row>
    <row r="1116" spans="1:16" ht="82.05" customHeight="1" x14ac:dyDescent="0.3">
      <c r="A1116" s="119" t="s">
        <v>2614</v>
      </c>
      <c r="B1116" s="119" t="s">
        <v>106</v>
      </c>
      <c r="C1116" s="119" t="s">
        <v>27</v>
      </c>
      <c r="D1116" s="119" t="s">
        <v>291</v>
      </c>
      <c r="E1116" s="120">
        <v>605926</v>
      </c>
      <c r="F1116" s="120">
        <v>605926</v>
      </c>
      <c r="G1116" s="120" t="s">
        <v>2033</v>
      </c>
      <c r="H1116" s="120">
        <f t="shared" si="36"/>
        <v>605.92600000000004</v>
      </c>
      <c r="I1116" s="120">
        <f>MLCF!F45</f>
        <v>605.92600000000004</v>
      </c>
      <c r="J1116" s="120">
        <f t="shared" si="37"/>
        <v>0</v>
      </c>
      <c r="K1116" s="119" t="s">
        <v>1595</v>
      </c>
      <c r="L1116" s="119">
        <v>189</v>
      </c>
      <c r="M1116" s="119" t="s">
        <v>1106</v>
      </c>
      <c r="N1116" s="122" t="s">
        <v>3564</v>
      </c>
      <c r="O1116" s="122" t="s">
        <v>3565</v>
      </c>
      <c r="P1116" s="122" t="s">
        <v>4633</v>
      </c>
    </row>
    <row r="1117" spans="1:16" ht="82.05" customHeight="1" x14ac:dyDescent="0.3">
      <c r="A1117" s="50" t="s">
        <v>2615</v>
      </c>
      <c r="B1117" s="50" t="s">
        <v>106</v>
      </c>
      <c r="C1117" s="50" t="s">
        <v>28</v>
      </c>
      <c r="D1117" s="50" t="s">
        <v>291</v>
      </c>
      <c r="E1117" s="121">
        <v>450487</v>
      </c>
      <c r="F1117" s="121">
        <v>450487</v>
      </c>
      <c r="G1117" s="121" t="s">
        <v>2033</v>
      </c>
      <c r="H1117" s="121">
        <f t="shared" si="36"/>
        <v>450.48700000000002</v>
      </c>
      <c r="I1117" s="121">
        <f>MLCF!G45</f>
        <v>450.48700000000002</v>
      </c>
      <c r="J1117" s="121">
        <f t="shared" si="37"/>
        <v>0</v>
      </c>
      <c r="K1117" s="50" t="s">
        <v>1598</v>
      </c>
      <c r="L1117" s="50">
        <v>201</v>
      </c>
      <c r="M1117" s="50" t="s">
        <v>1106</v>
      </c>
      <c r="N1117" s="68" t="s">
        <v>3564</v>
      </c>
      <c r="O1117" s="68" t="s">
        <v>3565</v>
      </c>
      <c r="P1117" s="68" t="s">
        <v>4634</v>
      </c>
    </row>
    <row r="1118" spans="1:16" ht="82.05" customHeight="1" x14ac:dyDescent="0.3">
      <c r="A1118" s="119" t="s">
        <v>2616</v>
      </c>
      <c r="B1118" s="119" t="s">
        <v>106</v>
      </c>
      <c r="C1118" s="119" t="s">
        <v>29</v>
      </c>
      <c r="D1118" s="119" t="s">
        <v>291</v>
      </c>
      <c r="E1118" s="120">
        <v>322304</v>
      </c>
      <c r="F1118" s="120">
        <v>322304</v>
      </c>
      <c r="G1118" s="120" t="s">
        <v>2033</v>
      </c>
      <c r="H1118" s="120">
        <f t="shared" si="36"/>
        <v>322.30399999999997</v>
      </c>
      <c r="I1118" s="120">
        <f>MLCF!H45</f>
        <v>322.30399999999997</v>
      </c>
      <c r="J1118" s="120">
        <f t="shared" si="37"/>
        <v>0</v>
      </c>
      <c r="K1118" s="119" t="s">
        <v>1598</v>
      </c>
      <c r="L1118" s="119">
        <v>201</v>
      </c>
      <c r="M1118" s="119" t="s">
        <v>1127</v>
      </c>
      <c r="N1118" s="122" t="s">
        <v>3564</v>
      </c>
      <c r="O1118" s="122" t="s">
        <v>3565</v>
      </c>
      <c r="P1118" s="122" t="s">
        <v>4635</v>
      </c>
    </row>
    <row r="1119" spans="1:16" ht="82.05" customHeight="1" x14ac:dyDescent="0.3">
      <c r="A1119" s="50" t="s">
        <v>2617</v>
      </c>
      <c r="B1119" s="50" t="s">
        <v>106</v>
      </c>
      <c r="C1119" s="50" t="s">
        <v>965</v>
      </c>
      <c r="D1119" s="50" t="s">
        <v>293</v>
      </c>
      <c r="E1119" s="121">
        <v>3379440</v>
      </c>
      <c r="F1119" s="121">
        <v>3379440</v>
      </c>
      <c r="G1119" s="121" t="s">
        <v>2033</v>
      </c>
      <c r="H1119" s="121">
        <f t="shared" ref="H1119:H1182" si="38">F1119/1000</f>
        <v>3379.44</v>
      </c>
      <c r="I1119" s="121">
        <f>MLCF!C46</f>
        <v>3379.44</v>
      </c>
      <c r="J1119" s="121">
        <f t="shared" ref="J1119:J1182" si="39">H1119-I1119</f>
        <v>0</v>
      </c>
      <c r="K1119" s="50" t="s">
        <v>1584</v>
      </c>
      <c r="L1119" s="50">
        <v>162</v>
      </c>
      <c r="M1119" s="50" t="s">
        <v>1106</v>
      </c>
      <c r="N1119" s="68" t="s">
        <v>3564</v>
      </c>
      <c r="O1119" s="68" t="s">
        <v>3565</v>
      </c>
      <c r="P1119" s="68" t="s">
        <v>4636</v>
      </c>
    </row>
    <row r="1120" spans="1:16" ht="82.05" customHeight="1" x14ac:dyDescent="0.3">
      <c r="A1120" s="119" t="s">
        <v>2618</v>
      </c>
      <c r="B1120" s="119" t="s">
        <v>106</v>
      </c>
      <c r="C1120" s="119" t="s">
        <v>20</v>
      </c>
      <c r="D1120" s="119" t="s">
        <v>293</v>
      </c>
      <c r="E1120" s="120">
        <v>3889907</v>
      </c>
      <c r="F1120" s="120">
        <v>3889907</v>
      </c>
      <c r="G1120" s="120" t="s">
        <v>2033</v>
      </c>
      <c r="H1120" s="120">
        <f t="shared" si="38"/>
        <v>3889.9070000000002</v>
      </c>
      <c r="I1120" s="120">
        <f>MLCF!D46</f>
        <v>3889.9070000000002</v>
      </c>
      <c r="J1120" s="120">
        <f t="shared" si="39"/>
        <v>0</v>
      </c>
      <c r="K1120" s="119" t="s">
        <v>1589</v>
      </c>
      <c r="L1120" s="119">
        <v>183</v>
      </c>
      <c r="M1120" s="119" t="s">
        <v>1106</v>
      </c>
      <c r="N1120" s="122" t="s">
        <v>3564</v>
      </c>
      <c r="O1120" s="122" t="s">
        <v>3565</v>
      </c>
      <c r="P1120" s="122" t="s">
        <v>4637</v>
      </c>
    </row>
    <row r="1121" spans="1:16" ht="82.05" customHeight="1" x14ac:dyDescent="0.3">
      <c r="A1121" s="50" t="s">
        <v>2619</v>
      </c>
      <c r="B1121" s="50" t="s">
        <v>106</v>
      </c>
      <c r="C1121" s="50" t="s">
        <v>26</v>
      </c>
      <c r="D1121" s="50" t="s">
        <v>293</v>
      </c>
      <c r="E1121" s="121">
        <v>5656499</v>
      </c>
      <c r="F1121" s="121">
        <v>5656499</v>
      </c>
      <c r="G1121" s="121" t="s">
        <v>2033</v>
      </c>
      <c r="H1121" s="121">
        <f t="shared" si="38"/>
        <v>5656.4989999999998</v>
      </c>
      <c r="I1121" s="121">
        <f>MLCF!E46</f>
        <v>5656.4989999999998</v>
      </c>
      <c r="J1121" s="121">
        <f t="shared" si="39"/>
        <v>0</v>
      </c>
      <c r="K1121" s="50" t="s">
        <v>1592</v>
      </c>
      <c r="L1121" s="50">
        <v>98</v>
      </c>
      <c r="M1121" s="50" t="s">
        <v>1106</v>
      </c>
      <c r="N1121" s="68" t="s">
        <v>3564</v>
      </c>
      <c r="O1121" s="68" t="s">
        <v>3565</v>
      </c>
      <c r="P1121" s="68" t="s">
        <v>4638</v>
      </c>
    </row>
    <row r="1122" spans="1:16" ht="82.05" customHeight="1" x14ac:dyDescent="0.3">
      <c r="A1122" s="119" t="s">
        <v>2620</v>
      </c>
      <c r="B1122" s="119" t="s">
        <v>106</v>
      </c>
      <c r="C1122" s="119" t="s">
        <v>27</v>
      </c>
      <c r="D1122" s="119" t="s">
        <v>293</v>
      </c>
      <c r="E1122" s="120">
        <v>8669211</v>
      </c>
      <c r="F1122" s="120">
        <v>8669211</v>
      </c>
      <c r="G1122" s="120" t="s">
        <v>2033</v>
      </c>
      <c r="H1122" s="120">
        <f t="shared" si="38"/>
        <v>8669.2109999999993</v>
      </c>
      <c r="I1122" s="120">
        <f>MLCF!F46</f>
        <v>8669.2109999999993</v>
      </c>
      <c r="J1122" s="120">
        <f t="shared" si="39"/>
        <v>0</v>
      </c>
      <c r="K1122" s="119" t="s">
        <v>1595</v>
      </c>
      <c r="L1122" s="119">
        <v>189</v>
      </c>
      <c r="M1122" s="119" t="s">
        <v>1106</v>
      </c>
      <c r="N1122" s="122" t="s">
        <v>3564</v>
      </c>
      <c r="O1122" s="122" t="s">
        <v>3565</v>
      </c>
      <c r="P1122" s="122" t="s">
        <v>4639</v>
      </c>
    </row>
    <row r="1123" spans="1:16" ht="82.05" customHeight="1" x14ac:dyDescent="0.3">
      <c r="A1123" s="50" t="s">
        <v>2621</v>
      </c>
      <c r="B1123" s="50" t="s">
        <v>106</v>
      </c>
      <c r="C1123" s="50" t="s">
        <v>28</v>
      </c>
      <c r="D1123" s="50" t="s">
        <v>293</v>
      </c>
      <c r="E1123" s="121">
        <v>13044290</v>
      </c>
      <c r="F1123" s="121">
        <v>13044290</v>
      </c>
      <c r="G1123" s="121" t="s">
        <v>2033</v>
      </c>
      <c r="H1123" s="121">
        <f t="shared" si="38"/>
        <v>13044.29</v>
      </c>
      <c r="I1123" s="121">
        <f>MLCF!G46</f>
        <v>13044.29</v>
      </c>
      <c r="J1123" s="121">
        <f t="shared" si="39"/>
        <v>0</v>
      </c>
      <c r="K1123" s="50" t="s">
        <v>1598</v>
      </c>
      <c r="L1123" s="50">
        <v>201</v>
      </c>
      <c r="M1123" s="50" t="s">
        <v>1106</v>
      </c>
      <c r="N1123" s="68" t="s">
        <v>3564</v>
      </c>
      <c r="O1123" s="68" t="s">
        <v>3565</v>
      </c>
      <c r="P1123" s="68" t="s">
        <v>4640</v>
      </c>
    </row>
    <row r="1124" spans="1:16" ht="82.05" customHeight="1" x14ac:dyDescent="0.3">
      <c r="A1124" s="119" t="s">
        <v>2623</v>
      </c>
      <c r="B1124" s="119" t="s">
        <v>106</v>
      </c>
      <c r="C1124" s="119" t="s">
        <v>29</v>
      </c>
      <c r="D1124" s="119" t="s">
        <v>293</v>
      </c>
      <c r="E1124" s="120">
        <v>13822898</v>
      </c>
      <c r="F1124" s="120">
        <v>13822898</v>
      </c>
      <c r="G1124" s="120" t="s">
        <v>2033</v>
      </c>
      <c r="H1124" s="120">
        <f t="shared" si="38"/>
        <v>13822.897999999999</v>
      </c>
      <c r="I1124" s="120">
        <f>MLCF!H46</f>
        <v>13822.897999999999</v>
      </c>
      <c r="J1124" s="120">
        <f t="shared" si="39"/>
        <v>0</v>
      </c>
      <c r="K1124" s="119" t="s">
        <v>1598</v>
      </c>
      <c r="L1124" s="119">
        <v>201</v>
      </c>
      <c r="M1124" s="119" t="s">
        <v>1127</v>
      </c>
      <c r="N1124" s="122" t="s">
        <v>3564</v>
      </c>
      <c r="O1124" s="122" t="s">
        <v>3565</v>
      </c>
      <c r="P1124" s="122" t="s">
        <v>4641</v>
      </c>
    </row>
    <row r="1125" spans="1:16" ht="82.05" customHeight="1" x14ac:dyDescent="0.3">
      <c r="A1125" s="50" t="s">
        <v>2624</v>
      </c>
      <c r="B1125" s="50" t="s">
        <v>106</v>
      </c>
      <c r="C1125" s="50" t="s">
        <v>965</v>
      </c>
      <c r="D1125" s="50" t="s">
        <v>295</v>
      </c>
      <c r="E1125" s="121">
        <v>822623</v>
      </c>
      <c r="F1125" s="121">
        <v>822623</v>
      </c>
      <c r="G1125" s="121" t="s">
        <v>2033</v>
      </c>
      <c r="H1125" s="121">
        <f t="shared" si="38"/>
        <v>822.62300000000005</v>
      </c>
      <c r="I1125" s="121">
        <f>MLCF!C47</f>
        <v>822.62300000000005</v>
      </c>
      <c r="J1125" s="121">
        <f t="shared" si="39"/>
        <v>0</v>
      </c>
      <c r="K1125" s="50" t="s">
        <v>1584</v>
      </c>
      <c r="L1125" s="50">
        <v>162</v>
      </c>
      <c r="M1125" s="50" t="s">
        <v>1106</v>
      </c>
      <c r="N1125" s="68" t="s">
        <v>3602</v>
      </c>
      <c r="O1125" s="68" t="s">
        <v>3603</v>
      </c>
      <c r="P1125" s="68" t="s">
        <v>4642</v>
      </c>
    </row>
    <row r="1126" spans="1:16" ht="82.05" customHeight="1" x14ac:dyDescent="0.3">
      <c r="A1126" s="119" t="s">
        <v>2626</v>
      </c>
      <c r="B1126" s="119" t="s">
        <v>106</v>
      </c>
      <c r="C1126" s="119" t="s">
        <v>20</v>
      </c>
      <c r="D1126" s="119" t="s">
        <v>295</v>
      </c>
      <c r="E1126" s="120">
        <v>671064</v>
      </c>
      <c r="F1126" s="120">
        <v>671064</v>
      </c>
      <c r="G1126" s="120" t="s">
        <v>2033</v>
      </c>
      <c r="H1126" s="120">
        <f t="shared" si="38"/>
        <v>671.06399999999996</v>
      </c>
      <c r="I1126" s="120">
        <f>MLCF!D47</f>
        <v>671.06399999999996</v>
      </c>
      <c r="J1126" s="120">
        <f t="shared" si="39"/>
        <v>0</v>
      </c>
      <c r="K1126" s="119" t="s">
        <v>1589</v>
      </c>
      <c r="L1126" s="119">
        <v>183</v>
      </c>
      <c r="M1126" s="119" t="s">
        <v>1106</v>
      </c>
      <c r="N1126" s="122" t="s">
        <v>3602</v>
      </c>
      <c r="O1126" s="122" t="s">
        <v>3603</v>
      </c>
      <c r="P1126" s="122" t="s">
        <v>4643</v>
      </c>
    </row>
    <row r="1127" spans="1:16" ht="82.05" customHeight="1" x14ac:dyDescent="0.3">
      <c r="A1127" s="50" t="s">
        <v>2627</v>
      </c>
      <c r="B1127" s="50" t="s">
        <v>106</v>
      </c>
      <c r="C1127" s="50" t="s">
        <v>26</v>
      </c>
      <c r="D1127" s="50" t="s">
        <v>295</v>
      </c>
      <c r="E1127" s="121">
        <v>243543</v>
      </c>
      <c r="F1127" s="121">
        <v>243543</v>
      </c>
      <c r="G1127" s="121" t="s">
        <v>2033</v>
      </c>
      <c r="H1127" s="121">
        <f t="shared" si="38"/>
        <v>243.54300000000001</v>
      </c>
      <c r="I1127" s="121">
        <f>MLCF!E47</f>
        <v>243.54300000000001</v>
      </c>
      <c r="J1127" s="121">
        <f t="shared" si="39"/>
        <v>0</v>
      </c>
      <c r="K1127" s="50" t="s">
        <v>1592</v>
      </c>
      <c r="L1127" s="50">
        <v>98</v>
      </c>
      <c r="M1127" s="50" t="s">
        <v>1106</v>
      </c>
      <c r="N1127" s="68" t="s">
        <v>3602</v>
      </c>
      <c r="O1127" s="68" t="s">
        <v>3603</v>
      </c>
      <c r="P1127" s="68" t="s">
        <v>4644</v>
      </c>
    </row>
    <row r="1128" spans="1:16" ht="82.05" customHeight="1" x14ac:dyDescent="0.3">
      <c r="A1128" s="119" t="s">
        <v>2629</v>
      </c>
      <c r="B1128" s="119" t="s">
        <v>106</v>
      </c>
      <c r="C1128" s="119" t="s">
        <v>27</v>
      </c>
      <c r="D1128" s="119" t="s">
        <v>295</v>
      </c>
      <c r="E1128" s="120">
        <v>2039694</v>
      </c>
      <c r="F1128" s="120">
        <v>2039694</v>
      </c>
      <c r="G1128" s="120" t="s">
        <v>2033</v>
      </c>
      <c r="H1128" s="120">
        <f t="shared" si="38"/>
        <v>2039.694</v>
      </c>
      <c r="I1128" s="120">
        <f>MLCF!F47</f>
        <v>2039.694</v>
      </c>
      <c r="J1128" s="120">
        <f t="shared" si="39"/>
        <v>0</v>
      </c>
      <c r="K1128" s="119" t="s">
        <v>1595</v>
      </c>
      <c r="L1128" s="119">
        <v>189</v>
      </c>
      <c r="M1128" s="119" t="s">
        <v>1106</v>
      </c>
      <c r="N1128" s="122" t="s">
        <v>3602</v>
      </c>
      <c r="O1128" s="122" t="s">
        <v>3603</v>
      </c>
      <c r="P1128" s="122" t="s">
        <v>4645</v>
      </c>
    </row>
    <row r="1129" spans="1:16" ht="82.05" customHeight="1" x14ac:dyDescent="0.3">
      <c r="A1129" s="50" t="s">
        <v>2631</v>
      </c>
      <c r="B1129" s="50" t="s">
        <v>106</v>
      </c>
      <c r="C1129" s="50" t="s">
        <v>28</v>
      </c>
      <c r="D1129" s="50" t="s">
        <v>295</v>
      </c>
      <c r="E1129" s="121">
        <v>336741</v>
      </c>
      <c r="F1129" s="121">
        <v>336741</v>
      </c>
      <c r="G1129" s="121" t="s">
        <v>2033</v>
      </c>
      <c r="H1129" s="121">
        <f t="shared" si="38"/>
        <v>336.74099999999999</v>
      </c>
      <c r="I1129" s="121">
        <f>MLCF!G47</f>
        <v>336.74099999999999</v>
      </c>
      <c r="J1129" s="121">
        <f t="shared" si="39"/>
        <v>0</v>
      </c>
      <c r="K1129" s="50" t="s">
        <v>1598</v>
      </c>
      <c r="L1129" s="50">
        <v>201</v>
      </c>
      <c r="M1129" s="50" t="s">
        <v>1106</v>
      </c>
      <c r="N1129" s="68" t="s">
        <v>3602</v>
      </c>
      <c r="O1129" s="68" t="s">
        <v>3603</v>
      </c>
      <c r="P1129" s="68" t="s">
        <v>4646</v>
      </c>
    </row>
    <row r="1130" spans="1:16" ht="82.05" customHeight="1" x14ac:dyDescent="0.3">
      <c r="A1130" s="119" t="s">
        <v>2632</v>
      </c>
      <c r="B1130" s="119" t="s">
        <v>106</v>
      </c>
      <c r="C1130" s="119" t="s">
        <v>29</v>
      </c>
      <c r="D1130" s="119" t="s">
        <v>295</v>
      </c>
      <c r="E1130" s="120">
        <v>358852</v>
      </c>
      <c r="F1130" s="120">
        <v>358852</v>
      </c>
      <c r="G1130" s="120" t="s">
        <v>2033</v>
      </c>
      <c r="H1130" s="120">
        <f t="shared" si="38"/>
        <v>358.85199999999998</v>
      </c>
      <c r="I1130" s="120">
        <f>MLCF!H47</f>
        <v>358.85199999999998</v>
      </c>
      <c r="J1130" s="120">
        <f t="shared" si="39"/>
        <v>0</v>
      </c>
      <c r="K1130" s="119" t="s">
        <v>1598</v>
      </c>
      <c r="L1130" s="119">
        <v>201</v>
      </c>
      <c r="M1130" s="119" t="s">
        <v>1127</v>
      </c>
      <c r="N1130" s="122" t="s">
        <v>3602</v>
      </c>
      <c r="O1130" s="122" t="s">
        <v>3603</v>
      </c>
      <c r="P1130" s="122" t="s">
        <v>4646</v>
      </c>
    </row>
    <row r="1131" spans="1:16" ht="82.05" customHeight="1" x14ac:dyDescent="0.3">
      <c r="A1131" s="50" t="s">
        <v>2633</v>
      </c>
      <c r="B1131" s="50" t="s">
        <v>106</v>
      </c>
      <c r="C1131" s="50" t="s">
        <v>965</v>
      </c>
      <c r="D1131" s="50" t="s">
        <v>300</v>
      </c>
      <c r="E1131" s="121">
        <v>7951221</v>
      </c>
      <c r="F1131" s="121">
        <v>7951221</v>
      </c>
      <c r="G1131" s="121" t="s">
        <v>2033</v>
      </c>
      <c r="H1131" s="121">
        <f t="shared" si="38"/>
        <v>7951.2209999999995</v>
      </c>
      <c r="I1131" s="121">
        <f>MLCF!C50</f>
        <v>7951.2209999999995</v>
      </c>
      <c r="J1131" s="121">
        <f t="shared" si="39"/>
        <v>0</v>
      </c>
      <c r="K1131" s="50" t="s">
        <v>1584</v>
      </c>
      <c r="L1131" s="50">
        <v>162</v>
      </c>
      <c r="M1131" s="50" t="s">
        <v>1106</v>
      </c>
      <c r="N1131" s="68" t="s">
        <v>3564</v>
      </c>
      <c r="O1131" s="68" t="s">
        <v>3565</v>
      </c>
      <c r="P1131" s="68" t="s">
        <v>4647</v>
      </c>
    </row>
    <row r="1132" spans="1:16" ht="82.05" customHeight="1" x14ac:dyDescent="0.3">
      <c r="A1132" s="119" t="s">
        <v>2634</v>
      </c>
      <c r="B1132" s="119" t="s">
        <v>106</v>
      </c>
      <c r="C1132" s="119" t="s">
        <v>20</v>
      </c>
      <c r="D1132" s="119" t="s">
        <v>300</v>
      </c>
      <c r="E1132" s="120">
        <v>7511637</v>
      </c>
      <c r="F1132" s="120">
        <v>7511637</v>
      </c>
      <c r="G1132" s="120" t="s">
        <v>2033</v>
      </c>
      <c r="H1132" s="120">
        <f t="shared" si="38"/>
        <v>7511.6369999999997</v>
      </c>
      <c r="I1132" s="120">
        <f>MLCF!D50</f>
        <v>7511.6369999999997</v>
      </c>
      <c r="J1132" s="120">
        <f t="shared" si="39"/>
        <v>0</v>
      </c>
      <c r="K1132" s="119" t="s">
        <v>1589</v>
      </c>
      <c r="L1132" s="119">
        <v>183</v>
      </c>
      <c r="M1132" s="119" t="s">
        <v>1106</v>
      </c>
      <c r="N1132" s="122" t="s">
        <v>3564</v>
      </c>
      <c r="O1132" s="122" t="s">
        <v>3565</v>
      </c>
      <c r="P1132" s="122" t="s">
        <v>4648</v>
      </c>
    </row>
    <row r="1133" spans="1:16" ht="82.05" customHeight="1" x14ac:dyDescent="0.3">
      <c r="A1133" s="50" t="s">
        <v>2635</v>
      </c>
      <c r="B1133" s="50" t="s">
        <v>106</v>
      </c>
      <c r="C1133" s="50" t="s">
        <v>26</v>
      </c>
      <c r="D1133" s="50" t="s">
        <v>300</v>
      </c>
      <c r="E1133" s="121">
        <v>9117414</v>
      </c>
      <c r="F1133" s="121">
        <v>9117414</v>
      </c>
      <c r="G1133" s="121" t="s">
        <v>2033</v>
      </c>
      <c r="H1133" s="121">
        <f t="shared" si="38"/>
        <v>9117.4140000000007</v>
      </c>
      <c r="I1133" s="121">
        <f>MLCF!E50</f>
        <v>9117.4140000000007</v>
      </c>
      <c r="J1133" s="121">
        <f t="shared" si="39"/>
        <v>0</v>
      </c>
      <c r="K1133" s="50" t="s">
        <v>1592</v>
      </c>
      <c r="L1133" s="50">
        <v>98</v>
      </c>
      <c r="M1133" s="50" t="s">
        <v>1106</v>
      </c>
      <c r="N1133" s="68" t="s">
        <v>3564</v>
      </c>
      <c r="O1133" s="68" t="s">
        <v>3565</v>
      </c>
      <c r="P1133" s="68" t="s">
        <v>4649</v>
      </c>
    </row>
    <row r="1134" spans="1:16" ht="82.05" customHeight="1" x14ac:dyDescent="0.3">
      <c r="A1134" s="119" t="s">
        <v>2636</v>
      </c>
      <c r="B1134" s="119" t="s">
        <v>106</v>
      </c>
      <c r="C1134" s="119" t="s">
        <v>27</v>
      </c>
      <c r="D1134" s="119" t="s">
        <v>300</v>
      </c>
      <c r="E1134" s="120">
        <v>12518180</v>
      </c>
      <c r="F1134" s="120">
        <v>12518180</v>
      </c>
      <c r="G1134" s="120" t="s">
        <v>2033</v>
      </c>
      <c r="H1134" s="120">
        <f t="shared" si="38"/>
        <v>12518.18</v>
      </c>
      <c r="I1134" s="120">
        <f>MLCF!F50</f>
        <v>12518.18</v>
      </c>
      <c r="J1134" s="120">
        <f t="shared" si="39"/>
        <v>0</v>
      </c>
      <c r="K1134" s="119" t="s">
        <v>1595</v>
      </c>
      <c r="L1134" s="119">
        <v>189</v>
      </c>
      <c r="M1134" s="119" t="s">
        <v>1106</v>
      </c>
      <c r="N1134" s="122" t="s">
        <v>3564</v>
      </c>
      <c r="O1134" s="122" t="s">
        <v>3565</v>
      </c>
      <c r="P1134" s="122" t="s">
        <v>4650</v>
      </c>
    </row>
    <row r="1135" spans="1:16" ht="82.05" customHeight="1" x14ac:dyDescent="0.3">
      <c r="A1135" s="50" t="s">
        <v>2637</v>
      </c>
      <c r="B1135" s="50" t="s">
        <v>106</v>
      </c>
      <c r="C1135" s="50" t="s">
        <v>28</v>
      </c>
      <c r="D1135" s="50" t="s">
        <v>300</v>
      </c>
      <c r="E1135" s="121">
        <v>12482233</v>
      </c>
      <c r="F1135" s="121">
        <v>12482233</v>
      </c>
      <c r="G1135" s="121" t="s">
        <v>2033</v>
      </c>
      <c r="H1135" s="121">
        <f t="shared" si="38"/>
        <v>12482.233</v>
      </c>
      <c r="I1135" s="121">
        <f>MLCF!G50</f>
        <v>12482.233</v>
      </c>
      <c r="J1135" s="121">
        <f t="shared" si="39"/>
        <v>0</v>
      </c>
      <c r="K1135" s="50" t="s">
        <v>1598</v>
      </c>
      <c r="L1135" s="50">
        <v>201</v>
      </c>
      <c r="M1135" s="50" t="s">
        <v>1106</v>
      </c>
      <c r="N1135" s="68" t="s">
        <v>3564</v>
      </c>
      <c r="O1135" s="68" t="s">
        <v>3565</v>
      </c>
      <c r="P1135" s="68" t="s">
        <v>4651</v>
      </c>
    </row>
    <row r="1136" spans="1:16" ht="82.05" customHeight="1" x14ac:dyDescent="0.3">
      <c r="A1136" s="119" t="s">
        <v>2638</v>
      </c>
      <c r="B1136" s="119" t="s">
        <v>106</v>
      </c>
      <c r="C1136" s="119" t="s">
        <v>29</v>
      </c>
      <c r="D1136" s="119" t="s">
        <v>300</v>
      </c>
      <c r="E1136" s="120">
        <v>17926267</v>
      </c>
      <c r="F1136" s="120">
        <v>17926267</v>
      </c>
      <c r="G1136" s="120" t="s">
        <v>2033</v>
      </c>
      <c r="H1136" s="120">
        <f t="shared" si="38"/>
        <v>17926.267</v>
      </c>
      <c r="I1136" s="120">
        <f>MLCF!H50</f>
        <v>17926.267</v>
      </c>
      <c r="J1136" s="120">
        <f t="shared" si="39"/>
        <v>0</v>
      </c>
      <c r="K1136" s="119" t="s">
        <v>1598</v>
      </c>
      <c r="L1136" s="119">
        <v>201</v>
      </c>
      <c r="M1136" s="119" t="s">
        <v>1127</v>
      </c>
      <c r="N1136" s="122" t="s">
        <v>3564</v>
      </c>
      <c r="O1136" s="122" t="s">
        <v>3565</v>
      </c>
      <c r="P1136" s="122" t="s">
        <v>4652</v>
      </c>
    </row>
    <row r="1137" spans="1:16" ht="82.05" customHeight="1" x14ac:dyDescent="0.3">
      <c r="A1137" s="50" t="s">
        <v>2639</v>
      </c>
      <c r="B1137" s="50" t="s">
        <v>106</v>
      </c>
      <c r="C1137" s="50" t="s">
        <v>965</v>
      </c>
      <c r="D1137" s="50" t="s">
        <v>1284</v>
      </c>
      <c r="E1137" s="121">
        <v>3886684</v>
      </c>
      <c r="F1137" s="121">
        <v>4173943</v>
      </c>
      <c r="G1137" s="121" t="s">
        <v>2033</v>
      </c>
      <c r="H1137" s="121">
        <f t="shared" si="38"/>
        <v>4173.9430000000002</v>
      </c>
      <c r="I1137" s="121">
        <f>MLCF!C51</f>
        <v>4173.9430000000002</v>
      </c>
      <c r="J1137" s="121">
        <f t="shared" si="39"/>
        <v>0</v>
      </c>
      <c r="K1137" s="50" t="s">
        <v>1584</v>
      </c>
      <c r="L1137" s="50">
        <v>198</v>
      </c>
      <c r="M1137" s="50" t="s">
        <v>1106</v>
      </c>
      <c r="N1137" s="68" t="s">
        <v>3602</v>
      </c>
      <c r="O1137" s="68" t="s">
        <v>4653</v>
      </c>
      <c r="P1137" s="68" t="s">
        <v>4654</v>
      </c>
    </row>
    <row r="1138" spans="1:16" ht="82.05" customHeight="1" x14ac:dyDescent="0.3">
      <c r="A1138" s="119" t="s">
        <v>2643</v>
      </c>
      <c r="B1138" s="119" t="s">
        <v>106</v>
      </c>
      <c r="C1138" s="119" t="s">
        <v>20</v>
      </c>
      <c r="D1138" s="119" t="s">
        <v>1284</v>
      </c>
      <c r="E1138" s="120">
        <v>3515408</v>
      </c>
      <c r="F1138" s="120">
        <v>3576632</v>
      </c>
      <c r="G1138" s="120" t="s">
        <v>2033</v>
      </c>
      <c r="H1138" s="120">
        <f t="shared" si="38"/>
        <v>3576.6320000000001</v>
      </c>
      <c r="I1138" s="120">
        <f>MLCF!D51</f>
        <v>3576.6320000000001</v>
      </c>
      <c r="J1138" s="120">
        <f t="shared" si="39"/>
        <v>0</v>
      </c>
      <c r="K1138" s="119" t="s">
        <v>1589</v>
      </c>
      <c r="L1138" s="119">
        <v>220</v>
      </c>
      <c r="M1138" s="119" t="s">
        <v>1106</v>
      </c>
      <c r="N1138" s="122" t="s">
        <v>3602</v>
      </c>
      <c r="O1138" s="122" t="s">
        <v>4653</v>
      </c>
      <c r="P1138" s="122" t="s">
        <v>4655</v>
      </c>
    </row>
    <row r="1139" spans="1:16" ht="82.05" customHeight="1" x14ac:dyDescent="0.3">
      <c r="A1139" s="50" t="s">
        <v>2645</v>
      </c>
      <c r="B1139" s="50" t="s">
        <v>106</v>
      </c>
      <c r="C1139" s="50" t="s">
        <v>26</v>
      </c>
      <c r="D1139" s="50" t="s">
        <v>1284</v>
      </c>
      <c r="E1139" s="121">
        <v>3975712</v>
      </c>
      <c r="F1139" s="121">
        <v>4108307</v>
      </c>
      <c r="G1139" s="121" t="s">
        <v>2033</v>
      </c>
      <c r="H1139" s="121">
        <f t="shared" si="38"/>
        <v>4108.3069999999998</v>
      </c>
      <c r="I1139" s="121">
        <f>MLCF!E51</f>
        <v>4108.3069999999998</v>
      </c>
      <c r="J1139" s="121">
        <f t="shared" si="39"/>
        <v>0</v>
      </c>
      <c r="K1139" s="50" t="s">
        <v>1592</v>
      </c>
      <c r="L1139" s="50">
        <v>116</v>
      </c>
      <c r="M1139" s="50" t="s">
        <v>1106</v>
      </c>
      <c r="N1139" s="68" t="s">
        <v>3602</v>
      </c>
      <c r="O1139" s="68" t="s">
        <v>4653</v>
      </c>
      <c r="P1139" s="68" t="s">
        <v>4656</v>
      </c>
    </row>
    <row r="1140" spans="1:16" ht="82.05" customHeight="1" x14ac:dyDescent="0.3">
      <c r="A1140" s="119" t="s">
        <v>2646</v>
      </c>
      <c r="B1140" s="119" t="s">
        <v>106</v>
      </c>
      <c r="C1140" s="119" t="s">
        <v>27</v>
      </c>
      <c r="D1140" s="119" t="s">
        <v>1284</v>
      </c>
      <c r="E1140" s="120">
        <v>4804356</v>
      </c>
      <c r="F1140" s="120">
        <v>6676221</v>
      </c>
      <c r="G1140" s="120" t="s">
        <v>2033</v>
      </c>
      <c r="H1140" s="120">
        <f t="shared" si="38"/>
        <v>6676.2209999999995</v>
      </c>
      <c r="I1140" s="120">
        <f>MLCF!F51</f>
        <v>6676.2209999999995</v>
      </c>
      <c r="J1140" s="120">
        <f t="shared" si="39"/>
        <v>0</v>
      </c>
      <c r="K1140" s="119" t="s">
        <v>1595</v>
      </c>
      <c r="L1140" s="119">
        <v>226</v>
      </c>
      <c r="M1140" s="119" t="s">
        <v>1106</v>
      </c>
      <c r="N1140" s="122" t="s">
        <v>3602</v>
      </c>
      <c r="O1140" s="122" t="s">
        <v>4653</v>
      </c>
      <c r="P1140" s="122" t="s">
        <v>4657</v>
      </c>
    </row>
    <row r="1141" spans="1:16" ht="82.05" customHeight="1" x14ac:dyDescent="0.3">
      <c r="A1141" s="50" t="s">
        <v>2647</v>
      </c>
      <c r="B1141" s="50" t="s">
        <v>106</v>
      </c>
      <c r="C1141" s="50" t="s">
        <v>28</v>
      </c>
      <c r="D1141" s="50" t="s">
        <v>1284</v>
      </c>
      <c r="E1141" s="121">
        <v>4575180</v>
      </c>
      <c r="F1141" s="121">
        <v>5396605</v>
      </c>
      <c r="G1141" s="121" t="s">
        <v>2033</v>
      </c>
      <c r="H1141" s="121">
        <f t="shared" si="38"/>
        <v>5396.6049999999996</v>
      </c>
      <c r="I1141" s="121">
        <f>MLCF!G51</f>
        <v>5396.6050000000005</v>
      </c>
      <c r="J1141" s="121">
        <f t="shared" si="39"/>
        <v>0</v>
      </c>
      <c r="K1141" s="50" t="s">
        <v>1598</v>
      </c>
      <c r="L1141" s="50">
        <v>240</v>
      </c>
      <c r="M1141" s="50" t="s">
        <v>1106</v>
      </c>
      <c r="N1141" s="68" t="s">
        <v>3602</v>
      </c>
      <c r="O1141" s="68" t="s">
        <v>4653</v>
      </c>
      <c r="P1141" s="68" t="s">
        <v>4658</v>
      </c>
    </row>
    <row r="1142" spans="1:16" ht="82.05" customHeight="1" x14ac:dyDescent="0.3">
      <c r="A1142" s="119" t="s">
        <v>2648</v>
      </c>
      <c r="B1142" s="119" t="s">
        <v>106</v>
      </c>
      <c r="C1142" s="119" t="s">
        <v>29</v>
      </c>
      <c r="D1142" s="119" t="s">
        <v>1284</v>
      </c>
      <c r="E1142" s="120">
        <v>5869802</v>
      </c>
      <c r="F1142" s="120">
        <v>7322783</v>
      </c>
      <c r="G1142" s="120" t="s">
        <v>2033</v>
      </c>
      <c r="H1142" s="120">
        <f t="shared" si="38"/>
        <v>7322.7830000000004</v>
      </c>
      <c r="I1142" s="120">
        <f>MLCF!H51</f>
        <v>7322.7829999999994</v>
      </c>
      <c r="J1142" s="120">
        <f t="shared" si="39"/>
        <v>0</v>
      </c>
      <c r="K1142" s="119" t="s">
        <v>1598</v>
      </c>
      <c r="L1142" s="119">
        <v>240</v>
      </c>
      <c r="M1142" s="119" t="s">
        <v>1127</v>
      </c>
      <c r="N1142" s="122" t="s">
        <v>3602</v>
      </c>
      <c r="O1142" s="122" t="s">
        <v>4653</v>
      </c>
      <c r="P1142" s="122" t="s">
        <v>4659</v>
      </c>
    </row>
    <row r="1143" spans="1:16" ht="82.05" customHeight="1" x14ac:dyDescent="0.3">
      <c r="A1143" s="50" t="s">
        <v>2649</v>
      </c>
      <c r="B1143" s="50" t="s">
        <v>106</v>
      </c>
      <c r="C1143" s="50" t="s">
        <v>965</v>
      </c>
      <c r="D1143" s="50" t="s">
        <v>304</v>
      </c>
      <c r="E1143" s="121">
        <v>0</v>
      </c>
      <c r="F1143" s="121">
        <v>0</v>
      </c>
      <c r="G1143" s="121" t="s">
        <v>2033</v>
      </c>
      <c r="H1143" s="121">
        <f t="shared" si="38"/>
        <v>0</v>
      </c>
      <c r="I1143" s="121">
        <f>MLCF!C52</f>
        <v>0</v>
      </c>
      <c r="J1143" s="121">
        <f t="shared" si="39"/>
        <v>0</v>
      </c>
      <c r="K1143" s="50" t="s">
        <v>1584</v>
      </c>
      <c r="L1143" s="50">
        <v>162</v>
      </c>
      <c r="M1143" s="50" t="s">
        <v>1106</v>
      </c>
      <c r="N1143" s="68" t="s">
        <v>3578</v>
      </c>
      <c r="O1143" s="68" t="s">
        <v>3579</v>
      </c>
      <c r="P1143" s="68" t="s">
        <v>4660</v>
      </c>
    </row>
    <row r="1144" spans="1:16" ht="82.05" customHeight="1" x14ac:dyDescent="0.3">
      <c r="A1144" s="119" t="s">
        <v>2650</v>
      </c>
      <c r="B1144" s="119" t="s">
        <v>106</v>
      </c>
      <c r="C1144" s="119" t="s">
        <v>20</v>
      </c>
      <c r="D1144" s="119" t="s">
        <v>304</v>
      </c>
      <c r="E1144" s="120">
        <v>0</v>
      </c>
      <c r="F1144" s="120">
        <v>0</v>
      </c>
      <c r="G1144" s="120" t="s">
        <v>2033</v>
      </c>
      <c r="H1144" s="120">
        <f t="shared" si="38"/>
        <v>0</v>
      </c>
      <c r="I1144" s="120">
        <f>MLCF!D52</f>
        <v>0</v>
      </c>
      <c r="J1144" s="120">
        <f t="shared" si="39"/>
        <v>0</v>
      </c>
      <c r="K1144" s="119" t="s">
        <v>1589</v>
      </c>
      <c r="L1144" s="119">
        <v>183</v>
      </c>
      <c r="M1144" s="119" t="s">
        <v>1106</v>
      </c>
      <c r="N1144" s="122" t="s">
        <v>3578</v>
      </c>
      <c r="O1144" s="122" t="s">
        <v>3579</v>
      </c>
      <c r="P1144" s="122" t="s">
        <v>4661</v>
      </c>
    </row>
    <row r="1145" spans="1:16" ht="82.05" customHeight="1" x14ac:dyDescent="0.3">
      <c r="A1145" s="50" t="s">
        <v>2651</v>
      </c>
      <c r="B1145" s="50" t="s">
        <v>106</v>
      </c>
      <c r="C1145" s="50" t="s">
        <v>26</v>
      </c>
      <c r="D1145" s="50" t="s">
        <v>304</v>
      </c>
      <c r="E1145" s="121">
        <v>0</v>
      </c>
      <c r="F1145" s="121">
        <v>0</v>
      </c>
      <c r="G1145" s="121" t="s">
        <v>2033</v>
      </c>
      <c r="H1145" s="121">
        <f t="shared" si="38"/>
        <v>0</v>
      </c>
      <c r="I1145" s="121">
        <f>MLCF!E52</f>
        <v>0</v>
      </c>
      <c r="J1145" s="121">
        <f t="shared" si="39"/>
        <v>0</v>
      </c>
      <c r="K1145" s="50" t="s">
        <v>1592</v>
      </c>
      <c r="L1145" s="50">
        <v>98</v>
      </c>
      <c r="M1145" s="50" t="s">
        <v>1106</v>
      </c>
      <c r="N1145" s="68" t="s">
        <v>3578</v>
      </c>
      <c r="O1145" s="68" t="s">
        <v>3579</v>
      </c>
      <c r="P1145" s="68" t="s">
        <v>4662</v>
      </c>
    </row>
    <row r="1146" spans="1:16" ht="82.05" customHeight="1" x14ac:dyDescent="0.3">
      <c r="A1146" s="119" t="s">
        <v>2652</v>
      </c>
      <c r="B1146" s="119" t="s">
        <v>106</v>
      </c>
      <c r="C1146" s="119" t="s">
        <v>27</v>
      </c>
      <c r="D1146" s="119" t="s">
        <v>304</v>
      </c>
      <c r="E1146" s="120">
        <v>0</v>
      </c>
      <c r="F1146" s="120">
        <v>0</v>
      </c>
      <c r="G1146" s="120" t="s">
        <v>2033</v>
      </c>
      <c r="H1146" s="120">
        <f t="shared" si="38"/>
        <v>0</v>
      </c>
      <c r="I1146" s="120">
        <f>MLCF!F52</f>
        <v>0</v>
      </c>
      <c r="J1146" s="120">
        <f t="shared" si="39"/>
        <v>0</v>
      </c>
      <c r="K1146" s="119" t="s">
        <v>1595</v>
      </c>
      <c r="L1146" s="119">
        <v>189</v>
      </c>
      <c r="M1146" s="119" t="s">
        <v>1106</v>
      </c>
      <c r="N1146" s="122" t="s">
        <v>3578</v>
      </c>
      <c r="O1146" s="122" t="s">
        <v>3579</v>
      </c>
      <c r="P1146" s="122" t="s">
        <v>4663</v>
      </c>
    </row>
    <row r="1147" spans="1:16" ht="82.05" customHeight="1" x14ac:dyDescent="0.3">
      <c r="A1147" s="50" t="s">
        <v>2653</v>
      </c>
      <c r="B1147" s="50" t="s">
        <v>106</v>
      </c>
      <c r="C1147" s="50" t="s">
        <v>28</v>
      </c>
      <c r="D1147" s="50" t="s">
        <v>304</v>
      </c>
      <c r="E1147" s="121">
        <v>0</v>
      </c>
      <c r="F1147" s="121">
        <v>0</v>
      </c>
      <c r="G1147" s="121" t="s">
        <v>2033</v>
      </c>
      <c r="H1147" s="121">
        <f t="shared" si="38"/>
        <v>0</v>
      </c>
      <c r="I1147" s="121">
        <f>MLCF!G52</f>
        <v>0</v>
      </c>
      <c r="J1147" s="121">
        <f t="shared" si="39"/>
        <v>0</v>
      </c>
      <c r="K1147" s="50" t="s">
        <v>1598</v>
      </c>
      <c r="L1147" s="50">
        <v>201</v>
      </c>
      <c r="M1147" s="50" t="s">
        <v>1106</v>
      </c>
      <c r="N1147" s="68" t="s">
        <v>3578</v>
      </c>
      <c r="O1147" s="68" t="s">
        <v>3579</v>
      </c>
      <c r="P1147" s="68" t="s">
        <v>4664</v>
      </c>
    </row>
    <row r="1148" spans="1:16" ht="82.05" customHeight="1" x14ac:dyDescent="0.3">
      <c r="A1148" s="119" t="s">
        <v>2654</v>
      </c>
      <c r="B1148" s="119" t="s">
        <v>106</v>
      </c>
      <c r="C1148" s="119" t="s">
        <v>29</v>
      </c>
      <c r="D1148" s="119" t="s">
        <v>304</v>
      </c>
      <c r="E1148" s="120">
        <v>0</v>
      </c>
      <c r="F1148" s="120">
        <v>0</v>
      </c>
      <c r="G1148" s="120" t="s">
        <v>2033</v>
      </c>
      <c r="H1148" s="120">
        <f t="shared" si="38"/>
        <v>0</v>
      </c>
      <c r="I1148" s="120">
        <f>MLCF!H52</f>
        <v>0</v>
      </c>
      <c r="J1148" s="120">
        <f t="shared" si="39"/>
        <v>0</v>
      </c>
      <c r="K1148" s="119" t="s">
        <v>1598</v>
      </c>
      <c r="L1148" s="119">
        <v>201</v>
      </c>
      <c r="M1148" s="119" t="s">
        <v>1127</v>
      </c>
      <c r="N1148" s="122" t="s">
        <v>3578</v>
      </c>
      <c r="O1148" s="122" t="s">
        <v>3579</v>
      </c>
      <c r="P1148" s="122" t="s">
        <v>4664</v>
      </c>
    </row>
    <row r="1149" spans="1:16" ht="82.05" customHeight="1" x14ac:dyDescent="0.3">
      <c r="A1149" s="50" t="s">
        <v>2655</v>
      </c>
      <c r="B1149" s="50" t="s">
        <v>106</v>
      </c>
      <c r="C1149" s="50" t="s">
        <v>965</v>
      </c>
      <c r="D1149" s="50" t="s">
        <v>306</v>
      </c>
      <c r="E1149" s="121">
        <v>547189</v>
      </c>
      <c r="F1149" s="121">
        <v>547189</v>
      </c>
      <c r="G1149" s="121" t="s">
        <v>2033</v>
      </c>
      <c r="H1149" s="121">
        <f t="shared" si="38"/>
        <v>547.18899999999996</v>
      </c>
      <c r="I1149" s="121">
        <f>MLCF!C53</f>
        <v>547.18899999999996</v>
      </c>
      <c r="J1149" s="121">
        <f t="shared" si="39"/>
        <v>0</v>
      </c>
      <c r="K1149" s="50" t="s">
        <v>1584</v>
      </c>
      <c r="L1149" s="50">
        <v>162</v>
      </c>
      <c r="M1149" s="50" t="s">
        <v>1106</v>
      </c>
      <c r="N1149" s="68" t="s">
        <v>3564</v>
      </c>
      <c r="O1149" s="68" t="s">
        <v>3565</v>
      </c>
      <c r="P1149" s="68" t="s">
        <v>4665</v>
      </c>
    </row>
    <row r="1150" spans="1:16" ht="82.05" customHeight="1" x14ac:dyDescent="0.3">
      <c r="A1150" s="119" t="s">
        <v>2656</v>
      </c>
      <c r="B1150" s="119" t="s">
        <v>106</v>
      </c>
      <c r="C1150" s="119" t="s">
        <v>20</v>
      </c>
      <c r="D1150" s="119" t="s">
        <v>306</v>
      </c>
      <c r="E1150" s="120">
        <v>260953</v>
      </c>
      <c r="F1150" s="120">
        <v>260953</v>
      </c>
      <c r="G1150" s="120" t="s">
        <v>2033</v>
      </c>
      <c r="H1150" s="120">
        <f t="shared" si="38"/>
        <v>260.95299999999997</v>
      </c>
      <c r="I1150" s="120">
        <f>MLCF!D53</f>
        <v>260.95299999999997</v>
      </c>
      <c r="J1150" s="120">
        <f t="shared" si="39"/>
        <v>0</v>
      </c>
      <c r="K1150" s="119" t="s">
        <v>1589</v>
      </c>
      <c r="L1150" s="119">
        <v>183</v>
      </c>
      <c r="M1150" s="119" t="s">
        <v>1106</v>
      </c>
      <c r="N1150" s="122" t="s">
        <v>3564</v>
      </c>
      <c r="O1150" s="122" t="s">
        <v>3565</v>
      </c>
      <c r="P1150" s="122" t="s">
        <v>4666</v>
      </c>
    </row>
    <row r="1151" spans="1:16" ht="82.05" customHeight="1" x14ac:dyDescent="0.3">
      <c r="A1151" s="50" t="s">
        <v>2657</v>
      </c>
      <c r="B1151" s="50" t="s">
        <v>106</v>
      </c>
      <c r="C1151" s="50" t="s">
        <v>26</v>
      </c>
      <c r="D1151" s="50" t="s">
        <v>306</v>
      </c>
      <c r="E1151" s="121">
        <v>665122</v>
      </c>
      <c r="F1151" s="121">
        <v>665122</v>
      </c>
      <c r="G1151" s="121" t="s">
        <v>2033</v>
      </c>
      <c r="H1151" s="121">
        <f t="shared" si="38"/>
        <v>665.12199999999996</v>
      </c>
      <c r="I1151" s="121">
        <f>MLCF!E53</f>
        <v>665.12199999999996</v>
      </c>
      <c r="J1151" s="121">
        <f t="shared" si="39"/>
        <v>0</v>
      </c>
      <c r="K1151" s="50" t="s">
        <v>1592</v>
      </c>
      <c r="L1151" s="50">
        <v>98</v>
      </c>
      <c r="M1151" s="50" t="s">
        <v>1106</v>
      </c>
      <c r="N1151" s="68" t="s">
        <v>3564</v>
      </c>
      <c r="O1151" s="68" t="s">
        <v>3565</v>
      </c>
      <c r="P1151" s="68" t="s">
        <v>4667</v>
      </c>
    </row>
    <row r="1152" spans="1:16" ht="82.05" customHeight="1" x14ac:dyDescent="0.3">
      <c r="A1152" s="119" t="s">
        <v>2658</v>
      </c>
      <c r="B1152" s="119" t="s">
        <v>106</v>
      </c>
      <c r="C1152" s="119" t="s">
        <v>27</v>
      </c>
      <c r="D1152" s="119" t="s">
        <v>306</v>
      </c>
      <c r="E1152" s="120">
        <v>880039</v>
      </c>
      <c r="F1152" s="120">
        <v>880039</v>
      </c>
      <c r="G1152" s="120" t="s">
        <v>2033</v>
      </c>
      <c r="H1152" s="120">
        <f t="shared" si="38"/>
        <v>880.03899999999999</v>
      </c>
      <c r="I1152" s="120">
        <f>MLCF!F53</f>
        <v>880.03899999999999</v>
      </c>
      <c r="J1152" s="120">
        <f t="shared" si="39"/>
        <v>0</v>
      </c>
      <c r="K1152" s="119" t="s">
        <v>1595</v>
      </c>
      <c r="L1152" s="119">
        <v>189</v>
      </c>
      <c r="M1152" s="119" t="s">
        <v>1106</v>
      </c>
      <c r="N1152" s="122" t="s">
        <v>3564</v>
      </c>
      <c r="O1152" s="122" t="s">
        <v>3565</v>
      </c>
      <c r="P1152" s="122" t="s">
        <v>4668</v>
      </c>
    </row>
    <row r="1153" spans="1:16" ht="82.05" customHeight="1" x14ac:dyDescent="0.3">
      <c r="A1153" s="50" t="s">
        <v>2659</v>
      </c>
      <c r="B1153" s="50" t="s">
        <v>106</v>
      </c>
      <c r="C1153" s="50" t="s">
        <v>28</v>
      </c>
      <c r="D1153" s="50" t="s">
        <v>306</v>
      </c>
      <c r="E1153" s="121">
        <v>865945</v>
      </c>
      <c r="F1153" s="121">
        <v>865945</v>
      </c>
      <c r="G1153" s="121" t="s">
        <v>2033</v>
      </c>
      <c r="H1153" s="121">
        <f t="shared" si="38"/>
        <v>865.94500000000005</v>
      </c>
      <c r="I1153" s="121">
        <f>MLCF!G53</f>
        <v>865.94500000000005</v>
      </c>
      <c r="J1153" s="121">
        <f t="shared" si="39"/>
        <v>0</v>
      </c>
      <c r="K1153" s="50" t="s">
        <v>1598</v>
      </c>
      <c r="L1153" s="50">
        <v>201</v>
      </c>
      <c r="M1153" s="50" t="s">
        <v>1106</v>
      </c>
      <c r="N1153" s="68" t="s">
        <v>3564</v>
      </c>
      <c r="O1153" s="68" t="s">
        <v>3565</v>
      </c>
      <c r="P1153" s="68" t="s">
        <v>4669</v>
      </c>
    </row>
    <row r="1154" spans="1:16" ht="82.05" customHeight="1" x14ac:dyDescent="0.3">
      <c r="A1154" s="119" t="s">
        <v>2660</v>
      </c>
      <c r="B1154" s="119" t="s">
        <v>106</v>
      </c>
      <c r="C1154" s="119" t="s">
        <v>29</v>
      </c>
      <c r="D1154" s="119" t="s">
        <v>306</v>
      </c>
      <c r="E1154" s="120">
        <v>320434</v>
      </c>
      <c r="F1154" s="120">
        <v>320434</v>
      </c>
      <c r="G1154" s="120" t="s">
        <v>2033</v>
      </c>
      <c r="H1154" s="120">
        <f t="shared" si="38"/>
        <v>320.43400000000003</v>
      </c>
      <c r="I1154" s="120">
        <f>MLCF!H53</f>
        <v>320.43400000000003</v>
      </c>
      <c r="J1154" s="120">
        <f t="shared" si="39"/>
        <v>0</v>
      </c>
      <c r="K1154" s="119" t="s">
        <v>1598</v>
      </c>
      <c r="L1154" s="119">
        <v>201</v>
      </c>
      <c r="M1154" s="119" t="s">
        <v>1127</v>
      </c>
      <c r="N1154" s="122" t="s">
        <v>3564</v>
      </c>
      <c r="O1154" s="122" t="s">
        <v>3565</v>
      </c>
      <c r="P1154" s="122" t="s">
        <v>4670</v>
      </c>
    </row>
    <row r="1155" spans="1:16" ht="82.05" customHeight="1" x14ac:dyDescent="0.3">
      <c r="A1155" s="50" t="s">
        <v>2661</v>
      </c>
      <c r="B1155" s="50" t="s">
        <v>106</v>
      </c>
      <c r="C1155" s="50" t="s">
        <v>965</v>
      </c>
      <c r="D1155" s="50" t="s">
        <v>308</v>
      </c>
      <c r="E1155" s="121">
        <v>6642312</v>
      </c>
      <c r="F1155" s="121">
        <v>6642312</v>
      </c>
      <c r="G1155" s="121" t="s">
        <v>2033</v>
      </c>
      <c r="H1155" s="121">
        <f t="shared" si="38"/>
        <v>6642.3119999999999</v>
      </c>
      <c r="I1155" s="121">
        <f>MLCF!C54</f>
        <v>6642.3119999999999</v>
      </c>
      <c r="J1155" s="121">
        <f t="shared" si="39"/>
        <v>0</v>
      </c>
      <c r="K1155" s="50" t="s">
        <v>1584</v>
      </c>
      <c r="L1155" s="50">
        <v>162</v>
      </c>
      <c r="M1155" s="50" t="s">
        <v>1106</v>
      </c>
      <c r="N1155" s="68" t="s">
        <v>3564</v>
      </c>
      <c r="O1155" s="68" t="s">
        <v>3565</v>
      </c>
      <c r="P1155" s="68" t="s">
        <v>4671</v>
      </c>
    </row>
    <row r="1156" spans="1:16" ht="82.05" customHeight="1" x14ac:dyDescent="0.3">
      <c r="A1156" s="119" t="s">
        <v>2662</v>
      </c>
      <c r="B1156" s="119" t="s">
        <v>106</v>
      </c>
      <c r="C1156" s="119" t="s">
        <v>20</v>
      </c>
      <c r="D1156" s="119" t="s">
        <v>308</v>
      </c>
      <c r="E1156" s="120">
        <v>1894115</v>
      </c>
      <c r="F1156" s="120">
        <v>1894115</v>
      </c>
      <c r="G1156" s="120" t="s">
        <v>2033</v>
      </c>
      <c r="H1156" s="120">
        <f t="shared" si="38"/>
        <v>1894.115</v>
      </c>
      <c r="I1156" s="120">
        <f>MLCF!D54</f>
        <v>1894.115</v>
      </c>
      <c r="J1156" s="120">
        <f t="shared" si="39"/>
        <v>0</v>
      </c>
      <c r="K1156" s="119" t="s">
        <v>1589</v>
      </c>
      <c r="L1156" s="119">
        <v>183</v>
      </c>
      <c r="M1156" s="119" t="s">
        <v>1106</v>
      </c>
      <c r="N1156" s="122" t="s">
        <v>3564</v>
      </c>
      <c r="O1156" s="122" t="s">
        <v>3565</v>
      </c>
      <c r="P1156" s="122" t="s">
        <v>4672</v>
      </c>
    </row>
    <row r="1157" spans="1:16" ht="82.05" customHeight="1" x14ac:dyDescent="0.3">
      <c r="A1157" s="50" t="s">
        <v>2663</v>
      </c>
      <c r="B1157" s="50" t="s">
        <v>106</v>
      </c>
      <c r="C1157" s="50" t="s">
        <v>26</v>
      </c>
      <c r="D1157" s="50" t="s">
        <v>308</v>
      </c>
      <c r="E1157" s="121">
        <v>3572073</v>
      </c>
      <c r="F1157" s="121">
        <v>3572073</v>
      </c>
      <c r="G1157" s="121" t="s">
        <v>2033</v>
      </c>
      <c r="H1157" s="121">
        <f t="shared" si="38"/>
        <v>3572.0729999999999</v>
      </c>
      <c r="I1157" s="121">
        <f>MLCF!E54</f>
        <v>3572.0729999999999</v>
      </c>
      <c r="J1157" s="121">
        <f t="shared" si="39"/>
        <v>0</v>
      </c>
      <c r="K1157" s="50" t="s">
        <v>1592</v>
      </c>
      <c r="L1157" s="50">
        <v>98</v>
      </c>
      <c r="M1157" s="50" t="s">
        <v>1106</v>
      </c>
      <c r="N1157" s="68" t="s">
        <v>3564</v>
      </c>
      <c r="O1157" s="68" t="s">
        <v>3565</v>
      </c>
      <c r="P1157" s="68" t="s">
        <v>4673</v>
      </c>
    </row>
    <row r="1158" spans="1:16" ht="82.05" customHeight="1" x14ac:dyDescent="0.3">
      <c r="A1158" s="119" t="s">
        <v>2664</v>
      </c>
      <c r="B1158" s="119" t="s">
        <v>106</v>
      </c>
      <c r="C1158" s="119" t="s">
        <v>27</v>
      </c>
      <c r="D1158" s="119" t="s">
        <v>308</v>
      </c>
      <c r="E1158" s="120">
        <v>0</v>
      </c>
      <c r="F1158" s="120">
        <v>0</v>
      </c>
      <c r="G1158" s="120" t="s">
        <v>2033</v>
      </c>
      <c r="H1158" s="120">
        <f t="shared" si="38"/>
        <v>0</v>
      </c>
      <c r="I1158" s="120">
        <f>MLCF!F54</f>
        <v>0</v>
      </c>
      <c r="J1158" s="120">
        <f t="shared" si="39"/>
        <v>0</v>
      </c>
      <c r="K1158" s="119" t="s">
        <v>1595</v>
      </c>
      <c r="L1158" s="119">
        <v>189</v>
      </c>
      <c r="M1158" s="119" t="s">
        <v>1106</v>
      </c>
      <c r="N1158" s="122" t="s">
        <v>3578</v>
      </c>
      <c r="O1158" s="122" t="s">
        <v>3579</v>
      </c>
      <c r="P1158" s="122" t="s">
        <v>4674</v>
      </c>
    </row>
    <row r="1159" spans="1:16" ht="82.05" customHeight="1" x14ac:dyDescent="0.3">
      <c r="A1159" s="50" t="s">
        <v>2665</v>
      </c>
      <c r="B1159" s="50" t="s">
        <v>106</v>
      </c>
      <c r="C1159" s="50" t="s">
        <v>28</v>
      </c>
      <c r="D1159" s="50" t="s">
        <v>308</v>
      </c>
      <c r="E1159" s="121">
        <v>1645316</v>
      </c>
      <c r="F1159" s="121">
        <v>1645316</v>
      </c>
      <c r="G1159" s="121" t="s">
        <v>2033</v>
      </c>
      <c r="H1159" s="121">
        <f t="shared" si="38"/>
        <v>1645.316</v>
      </c>
      <c r="I1159" s="121">
        <f>MLCF!G54</f>
        <v>1645.316</v>
      </c>
      <c r="J1159" s="121">
        <f t="shared" si="39"/>
        <v>0</v>
      </c>
      <c r="K1159" s="50" t="s">
        <v>1598</v>
      </c>
      <c r="L1159" s="50">
        <v>201</v>
      </c>
      <c r="M1159" s="50" t="s">
        <v>1106</v>
      </c>
      <c r="N1159" s="68" t="s">
        <v>3564</v>
      </c>
      <c r="O1159" s="68" t="s">
        <v>3565</v>
      </c>
      <c r="P1159" s="68" t="s">
        <v>4675</v>
      </c>
    </row>
    <row r="1160" spans="1:16" ht="82.05" customHeight="1" x14ac:dyDescent="0.3">
      <c r="A1160" s="119" t="s">
        <v>2666</v>
      </c>
      <c r="B1160" s="119" t="s">
        <v>106</v>
      </c>
      <c r="C1160" s="119" t="s">
        <v>29</v>
      </c>
      <c r="D1160" s="119" t="s">
        <v>308</v>
      </c>
      <c r="E1160" s="120">
        <v>822285</v>
      </c>
      <c r="F1160" s="120">
        <v>822285</v>
      </c>
      <c r="G1160" s="120" t="s">
        <v>2033</v>
      </c>
      <c r="H1160" s="120">
        <f t="shared" si="38"/>
        <v>822.28499999999997</v>
      </c>
      <c r="I1160" s="120">
        <f>MLCF!H54</f>
        <v>822.28499999999997</v>
      </c>
      <c r="J1160" s="120">
        <f t="shared" si="39"/>
        <v>0</v>
      </c>
      <c r="K1160" s="119" t="s">
        <v>1598</v>
      </c>
      <c r="L1160" s="119">
        <v>201</v>
      </c>
      <c r="M1160" s="119" t="s">
        <v>1127</v>
      </c>
      <c r="N1160" s="122" t="s">
        <v>3564</v>
      </c>
      <c r="O1160" s="122" t="s">
        <v>3565</v>
      </c>
      <c r="P1160" s="122" t="s">
        <v>4676</v>
      </c>
    </row>
    <row r="1161" spans="1:16" ht="82.05" customHeight="1" x14ac:dyDescent="0.3">
      <c r="A1161" s="50" t="s">
        <v>2667</v>
      </c>
      <c r="B1161" s="50" t="s">
        <v>106</v>
      </c>
      <c r="C1161" s="50" t="s">
        <v>965</v>
      </c>
      <c r="D1161" s="50" t="s">
        <v>310</v>
      </c>
      <c r="E1161" s="121">
        <v>125000</v>
      </c>
      <c r="F1161" s="121">
        <v>125000</v>
      </c>
      <c r="G1161" s="121" t="s">
        <v>2033</v>
      </c>
      <c r="H1161" s="121">
        <f t="shared" si="38"/>
        <v>125</v>
      </c>
      <c r="I1161" s="121">
        <f>MLCF!C55</f>
        <v>125</v>
      </c>
      <c r="J1161" s="121">
        <f t="shared" si="39"/>
        <v>0</v>
      </c>
      <c r="K1161" s="50" t="s">
        <v>1584</v>
      </c>
      <c r="L1161" s="50">
        <v>162</v>
      </c>
      <c r="M1161" s="50" t="s">
        <v>1106</v>
      </c>
      <c r="N1161" s="68" t="s">
        <v>3564</v>
      </c>
      <c r="O1161" s="68" t="s">
        <v>3565</v>
      </c>
      <c r="P1161" s="68" t="s">
        <v>4677</v>
      </c>
    </row>
    <row r="1162" spans="1:16" ht="82.05" customHeight="1" x14ac:dyDescent="0.3">
      <c r="A1162" s="119" t="s">
        <v>2669</v>
      </c>
      <c r="B1162" s="119" t="s">
        <v>106</v>
      </c>
      <c r="C1162" s="119" t="s">
        <v>20</v>
      </c>
      <c r="D1162" s="119" t="s">
        <v>310</v>
      </c>
      <c r="E1162" s="120">
        <v>1704612</v>
      </c>
      <c r="F1162" s="120">
        <v>1704612</v>
      </c>
      <c r="G1162" s="120" t="s">
        <v>2033</v>
      </c>
      <c r="H1162" s="120">
        <f t="shared" si="38"/>
        <v>1704.6120000000001</v>
      </c>
      <c r="I1162" s="120">
        <f>MLCF!D55</f>
        <v>1704.6120000000001</v>
      </c>
      <c r="J1162" s="120">
        <f t="shared" si="39"/>
        <v>0</v>
      </c>
      <c r="K1162" s="119" t="s">
        <v>1589</v>
      </c>
      <c r="L1162" s="119">
        <v>183</v>
      </c>
      <c r="M1162" s="119" t="s">
        <v>1106</v>
      </c>
      <c r="N1162" s="122" t="s">
        <v>3564</v>
      </c>
      <c r="O1162" s="122" t="s">
        <v>3565</v>
      </c>
      <c r="P1162" s="122" t="s">
        <v>4678</v>
      </c>
    </row>
    <row r="1163" spans="1:16" ht="82.05" customHeight="1" x14ac:dyDescent="0.3">
      <c r="A1163" s="50" t="s">
        <v>2670</v>
      </c>
      <c r="B1163" s="50" t="s">
        <v>106</v>
      </c>
      <c r="C1163" s="50" t="s">
        <v>26</v>
      </c>
      <c r="D1163" s="50" t="s">
        <v>310</v>
      </c>
      <c r="E1163" s="121">
        <v>2619800</v>
      </c>
      <c r="F1163" s="121">
        <v>2619800</v>
      </c>
      <c r="G1163" s="121" t="s">
        <v>2033</v>
      </c>
      <c r="H1163" s="121">
        <f t="shared" si="38"/>
        <v>2619.8000000000002</v>
      </c>
      <c r="I1163" s="121">
        <f>MLCF!E55</f>
        <v>2619.8000000000002</v>
      </c>
      <c r="J1163" s="121">
        <f t="shared" si="39"/>
        <v>0</v>
      </c>
      <c r="K1163" s="50" t="s">
        <v>1592</v>
      </c>
      <c r="L1163" s="50">
        <v>98</v>
      </c>
      <c r="M1163" s="50" t="s">
        <v>1106</v>
      </c>
      <c r="N1163" s="68" t="s">
        <v>3564</v>
      </c>
      <c r="O1163" s="68" t="s">
        <v>3565</v>
      </c>
      <c r="P1163" s="68" t="s">
        <v>4679</v>
      </c>
    </row>
    <row r="1164" spans="1:16" ht="82.05" customHeight="1" x14ac:dyDescent="0.3">
      <c r="A1164" s="119" t="s">
        <v>2671</v>
      </c>
      <c r="B1164" s="119" t="s">
        <v>106</v>
      </c>
      <c r="C1164" s="119" t="s">
        <v>27</v>
      </c>
      <c r="D1164" s="119" t="s">
        <v>310</v>
      </c>
      <c r="E1164" s="120">
        <v>2599401</v>
      </c>
      <c r="F1164" s="120">
        <v>2599401</v>
      </c>
      <c r="G1164" s="120" t="s">
        <v>2033</v>
      </c>
      <c r="H1164" s="120">
        <f t="shared" si="38"/>
        <v>2599.4009999999998</v>
      </c>
      <c r="I1164" s="120">
        <f>MLCF!F55</f>
        <v>2599.4009999999998</v>
      </c>
      <c r="J1164" s="120">
        <f t="shared" si="39"/>
        <v>0</v>
      </c>
      <c r="K1164" s="119" t="s">
        <v>1595</v>
      </c>
      <c r="L1164" s="119">
        <v>189</v>
      </c>
      <c r="M1164" s="119" t="s">
        <v>1106</v>
      </c>
      <c r="N1164" s="122" t="s">
        <v>3564</v>
      </c>
      <c r="O1164" s="122" t="s">
        <v>3565</v>
      </c>
      <c r="P1164" s="122" t="s">
        <v>4680</v>
      </c>
    </row>
    <row r="1165" spans="1:16" ht="82.05" customHeight="1" x14ac:dyDescent="0.3">
      <c r="A1165" s="50" t="s">
        <v>2672</v>
      </c>
      <c r="B1165" s="50" t="s">
        <v>106</v>
      </c>
      <c r="C1165" s="50" t="s">
        <v>28</v>
      </c>
      <c r="D1165" s="50" t="s">
        <v>310</v>
      </c>
      <c r="E1165" s="121">
        <v>3407702</v>
      </c>
      <c r="F1165" s="121">
        <v>3407702</v>
      </c>
      <c r="G1165" s="121" t="s">
        <v>2033</v>
      </c>
      <c r="H1165" s="121">
        <f t="shared" si="38"/>
        <v>3407.7020000000002</v>
      </c>
      <c r="I1165" s="121">
        <f>MLCF!G55</f>
        <v>3407.7020000000002</v>
      </c>
      <c r="J1165" s="121">
        <f t="shared" si="39"/>
        <v>0</v>
      </c>
      <c r="K1165" s="50" t="s">
        <v>1598</v>
      </c>
      <c r="L1165" s="50">
        <v>201</v>
      </c>
      <c r="M1165" s="50" t="s">
        <v>1106</v>
      </c>
      <c r="N1165" s="68" t="s">
        <v>3564</v>
      </c>
      <c r="O1165" s="68" t="s">
        <v>3565</v>
      </c>
      <c r="P1165" s="68" t="s">
        <v>4681</v>
      </c>
    </row>
    <row r="1166" spans="1:16" ht="82.05" customHeight="1" x14ac:dyDescent="0.3">
      <c r="A1166" s="119" t="s">
        <v>2673</v>
      </c>
      <c r="B1166" s="119" t="s">
        <v>106</v>
      </c>
      <c r="C1166" s="119" t="s">
        <v>29</v>
      </c>
      <c r="D1166" s="119" t="s">
        <v>310</v>
      </c>
      <c r="E1166" s="120">
        <v>3933328</v>
      </c>
      <c r="F1166" s="120">
        <v>3933328</v>
      </c>
      <c r="G1166" s="120" t="s">
        <v>2033</v>
      </c>
      <c r="H1166" s="120">
        <f t="shared" si="38"/>
        <v>3933.328</v>
      </c>
      <c r="I1166" s="120">
        <f>MLCF!H55</f>
        <v>3933.328</v>
      </c>
      <c r="J1166" s="120">
        <f t="shared" si="39"/>
        <v>0</v>
      </c>
      <c r="K1166" s="119" t="s">
        <v>1598</v>
      </c>
      <c r="L1166" s="119">
        <v>201</v>
      </c>
      <c r="M1166" s="119" t="s">
        <v>1127</v>
      </c>
      <c r="N1166" s="122" t="s">
        <v>3564</v>
      </c>
      <c r="O1166" s="122" t="s">
        <v>3565</v>
      </c>
      <c r="P1166" s="122" t="s">
        <v>4682</v>
      </c>
    </row>
    <row r="1167" spans="1:16" ht="82.05" customHeight="1" x14ac:dyDescent="0.3">
      <c r="A1167" s="50" t="s">
        <v>2674</v>
      </c>
      <c r="B1167" s="50" t="s">
        <v>106</v>
      </c>
      <c r="C1167" s="50" t="s">
        <v>965</v>
      </c>
      <c r="D1167" s="50" t="s">
        <v>312</v>
      </c>
      <c r="E1167" s="121">
        <v>0</v>
      </c>
      <c r="F1167" s="121">
        <v>0</v>
      </c>
      <c r="G1167" s="121" t="s">
        <v>2033</v>
      </c>
      <c r="H1167" s="121">
        <f t="shared" si="38"/>
        <v>0</v>
      </c>
      <c r="I1167" s="121">
        <f>MLCF!C56</f>
        <v>0</v>
      </c>
      <c r="J1167" s="121">
        <f t="shared" si="39"/>
        <v>0</v>
      </c>
      <c r="K1167" s="50" t="s">
        <v>1584</v>
      </c>
      <c r="L1167" s="50">
        <v>162</v>
      </c>
      <c r="M1167" s="50" t="s">
        <v>1106</v>
      </c>
      <c r="N1167" s="68" t="s">
        <v>3578</v>
      </c>
      <c r="O1167" s="68" t="s">
        <v>3579</v>
      </c>
      <c r="P1167" s="68" t="s">
        <v>4683</v>
      </c>
    </row>
    <row r="1168" spans="1:16" ht="82.05" customHeight="1" x14ac:dyDescent="0.3">
      <c r="A1168" s="119" t="s">
        <v>2675</v>
      </c>
      <c r="B1168" s="119" t="s">
        <v>106</v>
      </c>
      <c r="C1168" s="119" t="s">
        <v>20</v>
      </c>
      <c r="D1168" s="119" t="s">
        <v>312</v>
      </c>
      <c r="E1168" s="120">
        <v>0</v>
      </c>
      <c r="F1168" s="120">
        <v>0</v>
      </c>
      <c r="G1168" s="120" t="s">
        <v>2033</v>
      </c>
      <c r="H1168" s="120">
        <f t="shared" si="38"/>
        <v>0</v>
      </c>
      <c r="I1168" s="120">
        <f>MLCF!D56</f>
        <v>0</v>
      </c>
      <c r="J1168" s="120">
        <f t="shared" si="39"/>
        <v>0</v>
      </c>
      <c r="K1168" s="119" t="s">
        <v>1589</v>
      </c>
      <c r="L1168" s="119">
        <v>183</v>
      </c>
      <c r="M1168" s="119" t="s">
        <v>1106</v>
      </c>
      <c r="N1168" s="122" t="s">
        <v>3578</v>
      </c>
      <c r="O1168" s="122" t="s">
        <v>3579</v>
      </c>
      <c r="P1168" s="122" t="s">
        <v>4684</v>
      </c>
    </row>
    <row r="1169" spans="1:16" ht="82.05" customHeight="1" x14ac:dyDescent="0.3">
      <c r="A1169" s="50" t="s">
        <v>2677</v>
      </c>
      <c r="B1169" s="50" t="s">
        <v>106</v>
      </c>
      <c r="C1169" s="50" t="s">
        <v>26</v>
      </c>
      <c r="D1169" s="50" t="s">
        <v>312</v>
      </c>
      <c r="E1169" s="121">
        <v>6837</v>
      </c>
      <c r="F1169" s="121">
        <v>6837</v>
      </c>
      <c r="G1169" s="121" t="s">
        <v>2033</v>
      </c>
      <c r="H1169" s="121">
        <f t="shared" si="38"/>
        <v>6.8369999999999997</v>
      </c>
      <c r="I1169" s="121">
        <f>MLCF!E56</f>
        <v>6.8369999999999997</v>
      </c>
      <c r="J1169" s="121">
        <f t="shared" si="39"/>
        <v>0</v>
      </c>
      <c r="K1169" s="50" t="s">
        <v>1592</v>
      </c>
      <c r="L1169" s="50">
        <v>98</v>
      </c>
      <c r="M1169" s="50" t="s">
        <v>1106</v>
      </c>
      <c r="N1169" s="68" t="s">
        <v>3564</v>
      </c>
      <c r="O1169" s="68" t="s">
        <v>3565</v>
      </c>
      <c r="P1169" s="68" t="s">
        <v>4685</v>
      </c>
    </row>
    <row r="1170" spans="1:16" ht="82.05" customHeight="1" x14ac:dyDescent="0.3">
      <c r="A1170" s="119" t="s">
        <v>2678</v>
      </c>
      <c r="B1170" s="119" t="s">
        <v>106</v>
      </c>
      <c r="C1170" s="119" t="s">
        <v>27</v>
      </c>
      <c r="D1170" s="119" t="s">
        <v>312</v>
      </c>
      <c r="E1170" s="120">
        <v>10257</v>
      </c>
      <c r="F1170" s="120">
        <v>10257</v>
      </c>
      <c r="G1170" s="120" t="s">
        <v>2033</v>
      </c>
      <c r="H1170" s="120">
        <f t="shared" si="38"/>
        <v>10.257</v>
      </c>
      <c r="I1170" s="120">
        <f>MLCF!F56</f>
        <v>10.257</v>
      </c>
      <c r="J1170" s="120">
        <f t="shared" si="39"/>
        <v>0</v>
      </c>
      <c r="K1170" s="119" t="s">
        <v>1595</v>
      </c>
      <c r="L1170" s="119">
        <v>189</v>
      </c>
      <c r="M1170" s="119" t="s">
        <v>1106</v>
      </c>
      <c r="N1170" s="122" t="s">
        <v>3564</v>
      </c>
      <c r="O1170" s="122" t="s">
        <v>3565</v>
      </c>
      <c r="P1170" s="122" t="s">
        <v>4686</v>
      </c>
    </row>
    <row r="1171" spans="1:16" ht="82.05" customHeight="1" x14ac:dyDescent="0.3">
      <c r="A1171" s="50" t="s">
        <v>2680</v>
      </c>
      <c r="B1171" s="50" t="s">
        <v>106</v>
      </c>
      <c r="C1171" s="50" t="s">
        <v>28</v>
      </c>
      <c r="D1171" s="50" t="s">
        <v>312</v>
      </c>
      <c r="E1171" s="121">
        <v>13909</v>
      </c>
      <c r="F1171" s="121">
        <v>13909</v>
      </c>
      <c r="G1171" s="121" t="s">
        <v>2033</v>
      </c>
      <c r="H1171" s="121">
        <f t="shared" si="38"/>
        <v>13.909000000000001</v>
      </c>
      <c r="I1171" s="121">
        <f>MLCF!G56</f>
        <v>13.909000000000001</v>
      </c>
      <c r="J1171" s="121">
        <f t="shared" si="39"/>
        <v>0</v>
      </c>
      <c r="K1171" s="50" t="s">
        <v>1598</v>
      </c>
      <c r="L1171" s="50">
        <v>201</v>
      </c>
      <c r="M1171" s="50" t="s">
        <v>1106</v>
      </c>
      <c r="N1171" s="68" t="s">
        <v>3564</v>
      </c>
      <c r="O1171" s="68" t="s">
        <v>3565</v>
      </c>
      <c r="P1171" s="68" t="s">
        <v>4687</v>
      </c>
    </row>
    <row r="1172" spans="1:16" ht="82.05" customHeight="1" x14ac:dyDescent="0.3">
      <c r="A1172" s="119" t="s">
        <v>2681</v>
      </c>
      <c r="B1172" s="119" t="s">
        <v>106</v>
      </c>
      <c r="C1172" s="119" t="s">
        <v>29</v>
      </c>
      <c r="D1172" s="119" t="s">
        <v>312</v>
      </c>
      <c r="E1172" s="120">
        <v>14323</v>
      </c>
      <c r="F1172" s="120">
        <v>14323</v>
      </c>
      <c r="G1172" s="120" t="s">
        <v>2033</v>
      </c>
      <c r="H1172" s="120">
        <f t="shared" si="38"/>
        <v>14.323</v>
      </c>
      <c r="I1172" s="120">
        <f>MLCF!H56</f>
        <v>14.323</v>
      </c>
      <c r="J1172" s="120">
        <f t="shared" si="39"/>
        <v>0</v>
      </c>
      <c r="K1172" s="119" t="s">
        <v>1598</v>
      </c>
      <c r="L1172" s="119">
        <v>201</v>
      </c>
      <c r="M1172" s="119" t="s">
        <v>1127</v>
      </c>
      <c r="N1172" s="122" t="s">
        <v>3564</v>
      </c>
      <c r="O1172" s="122" t="s">
        <v>3565</v>
      </c>
      <c r="P1172" s="122" t="s">
        <v>4688</v>
      </c>
    </row>
    <row r="1173" spans="1:16" ht="82.05" customHeight="1" x14ac:dyDescent="0.3">
      <c r="A1173" s="50" t="s">
        <v>2682</v>
      </c>
      <c r="B1173" s="50" t="s">
        <v>106</v>
      </c>
      <c r="C1173" s="50" t="s">
        <v>965</v>
      </c>
      <c r="D1173" s="50" t="s">
        <v>314</v>
      </c>
      <c r="E1173" s="121">
        <v>0</v>
      </c>
      <c r="F1173" s="121">
        <v>0</v>
      </c>
      <c r="G1173" s="121" t="s">
        <v>2033</v>
      </c>
      <c r="H1173" s="121">
        <f t="shared" si="38"/>
        <v>0</v>
      </c>
      <c r="I1173" s="121">
        <f>MLCF!C57</f>
        <v>0</v>
      </c>
      <c r="J1173" s="121">
        <f t="shared" si="39"/>
        <v>0</v>
      </c>
      <c r="K1173" s="50" t="s">
        <v>1584</v>
      </c>
      <c r="L1173" s="50">
        <v>162</v>
      </c>
      <c r="M1173" s="50" t="s">
        <v>1106</v>
      </c>
      <c r="N1173" s="68" t="s">
        <v>3578</v>
      </c>
      <c r="O1173" s="68" t="s">
        <v>3579</v>
      </c>
      <c r="P1173" s="68" t="s">
        <v>4689</v>
      </c>
    </row>
    <row r="1174" spans="1:16" ht="82.05" customHeight="1" x14ac:dyDescent="0.3">
      <c r="A1174" s="119" t="s">
        <v>2684</v>
      </c>
      <c r="B1174" s="119" t="s">
        <v>106</v>
      </c>
      <c r="C1174" s="119" t="s">
        <v>20</v>
      </c>
      <c r="D1174" s="119" t="s">
        <v>314</v>
      </c>
      <c r="E1174" s="120">
        <v>49997</v>
      </c>
      <c r="F1174" s="120">
        <v>49997</v>
      </c>
      <c r="G1174" s="120" t="s">
        <v>2033</v>
      </c>
      <c r="H1174" s="120">
        <f t="shared" si="38"/>
        <v>49.997</v>
      </c>
      <c r="I1174" s="120">
        <f>MLCF!D57</f>
        <v>49.997</v>
      </c>
      <c r="J1174" s="120">
        <f t="shared" si="39"/>
        <v>0</v>
      </c>
      <c r="K1174" s="119" t="s">
        <v>1589</v>
      </c>
      <c r="L1174" s="119">
        <v>183</v>
      </c>
      <c r="M1174" s="119" t="s">
        <v>1106</v>
      </c>
      <c r="N1174" s="122" t="s">
        <v>3564</v>
      </c>
      <c r="O1174" s="122" t="s">
        <v>3565</v>
      </c>
      <c r="P1174" s="122" t="s">
        <v>4690</v>
      </c>
    </row>
    <row r="1175" spans="1:16" ht="82.05" customHeight="1" x14ac:dyDescent="0.3">
      <c r="A1175" s="50" t="s">
        <v>2685</v>
      </c>
      <c r="B1175" s="50" t="s">
        <v>106</v>
      </c>
      <c r="C1175" s="50" t="s">
        <v>26</v>
      </c>
      <c r="D1175" s="50" t="s">
        <v>314</v>
      </c>
      <c r="E1175" s="121">
        <v>184576</v>
      </c>
      <c r="F1175" s="121">
        <v>184576</v>
      </c>
      <c r="G1175" s="121" t="s">
        <v>2033</v>
      </c>
      <c r="H1175" s="121">
        <f t="shared" si="38"/>
        <v>184.57599999999999</v>
      </c>
      <c r="I1175" s="121">
        <f>MLCF!E57</f>
        <v>184.57599999999999</v>
      </c>
      <c r="J1175" s="121">
        <f t="shared" si="39"/>
        <v>0</v>
      </c>
      <c r="K1175" s="50" t="s">
        <v>1592</v>
      </c>
      <c r="L1175" s="50">
        <v>98</v>
      </c>
      <c r="M1175" s="50" t="s">
        <v>1106</v>
      </c>
      <c r="N1175" s="68" t="s">
        <v>3564</v>
      </c>
      <c r="O1175" s="68" t="s">
        <v>3565</v>
      </c>
      <c r="P1175" s="68" t="s">
        <v>4691</v>
      </c>
    </row>
    <row r="1176" spans="1:16" ht="82.05" customHeight="1" x14ac:dyDescent="0.3">
      <c r="A1176" s="119" t="s">
        <v>2686</v>
      </c>
      <c r="B1176" s="119" t="s">
        <v>106</v>
      </c>
      <c r="C1176" s="119" t="s">
        <v>27</v>
      </c>
      <c r="D1176" s="119" t="s">
        <v>314</v>
      </c>
      <c r="E1176" s="120">
        <v>179766</v>
      </c>
      <c r="F1176" s="120">
        <v>179766</v>
      </c>
      <c r="G1176" s="120" t="s">
        <v>2033</v>
      </c>
      <c r="H1176" s="120">
        <f t="shared" si="38"/>
        <v>179.76599999999999</v>
      </c>
      <c r="I1176" s="120">
        <f>MLCF!F57</f>
        <v>179.76599999999999</v>
      </c>
      <c r="J1176" s="120">
        <f t="shared" si="39"/>
        <v>0</v>
      </c>
      <c r="K1176" s="119" t="s">
        <v>1595</v>
      </c>
      <c r="L1176" s="119">
        <v>189</v>
      </c>
      <c r="M1176" s="119" t="s">
        <v>1106</v>
      </c>
      <c r="N1176" s="122" t="s">
        <v>3564</v>
      </c>
      <c r="O1176" s="122" t="s">
        <v>3565</v>
      </c>
      <c r="P1176" s="122" t="s">
        <v>4692</v>
      </c>
    </row>
    <row r="1177" spans="1:16" ht="82.05" customHeight="1" x14ac:dyDescent="0.3">
      <c r="A1177" s="50" t="s">
        <v>2688</v>
      </c>
      <c r="B1177" s="50" t="s">
        <v>106</v>
      </c>
      <c r="C1177" s="50" t="s">
        <v>28</v>
      </c>
      <c r="D1177" s="50" t="s">
        <v>314</v>
      </c>
      <c r="E1177" s="121">
        <v>155439</v>
      </c>
      <c r="F1177" s="121">
        <v>155439</v>
      </c>
      <c r="G1177" s="121" t="s">
        <v>2033</v>
      </c>
      <c r="H1177" s="121">
        <f t="shared" si="38"/>
        <v>155.43899999999999</v>
      </c>
      <c r="I1177" s="121">
        <f>MLCF!G57</f>
        <v>155.43899999999999</v>
      </c>
      <c r="J1177" s="121">
        <f t="shared" si="39"/>
        <v>0</v>
      </c>
      <c r="K1177" s="50" t="s">
        <v>1598</v>
      </c>
      <c r="L1177" s="50">
        <v>201</v>
      </c>
      <c r="M1177" s="50" t="s">
        <v>1106</v>
      </c>
      <c r="N1177" s="68" t="s">
        <v>3564</v>
      </c>
      <c r="O1177" s="68" t="s">
        <v>3565</v>
      </c>
      <c r="P1177" s="68" t="s">
        <v>4693</v>
      </c>
    </row>
    <row r="1178" spans="1:16" ht="82.05" customHeight="1" x14ac:dyDescent="0.3">
      <c r="A1178" s="119" t="s">
        <v>2689</v>
      </c>
      <c r="B1178" s="119" t="s">
        <v>106</v>
      </c>
      <c r="C1178" s="119" t="s">
        <v>29</v>
      </c>
      <c r="D1178" s="119" t="s">
        <v>314</v>
      </c>
      <c r="E1178" s="120">
        <v>128183</v>
      </c>
      <c r="F1178" s="120">
        <v>128183</v>
      </c>
      <c r="G1178" s="120" t="s">
        <v>2033</v>
      </c>
      <c r="H1178" s="120">
        <f t="shared" si="38"/>
        <v>128.18299999999999</v>
      </c>
      <c r="I1178" s="120">
        <f>MLCF!H57</f>
        <v>128.18299999999999</v>
      </c>
      <c r="J1178" s="120">
        <f t="shared" si="39"/>
        <v>0</v>
      </c>
      <c r="K1178" s="119" t="s">
        <v>1598</v>
      </c>
      <c r="L1178" s="119">
        <v>201</v>
      </c>
      <c r="M1178" s="119" t="s">
        <v>1127</v>
      </c>
      <c r="N1178" s="122" t="s">
        <v>3564</v>
      </c>
      <c r="O1178" s="122" t="s">
        <v>3565</v>
      </c>
      <c r="P1178" s="122" t="s">
        <v>4694</v>
      </c>
    </row>
    <row r="1179" spans="1:16" ht="82.05" customHeight="1" x14ac:dyDescent="0.3">
      <c r="A1179" s="50" t="s">
        <v>2690</v>
      </c>
      <c r="B1179" s="50" t="s">
        <v>106</v>
      </c>
      <c r="C1179" s="50" t="s">
        <v>965</v>
      </c>
      <c r="D1179" s="50" t="s">
        <v>316</v>
      </c>
      <c r="E1179" s="121">
        <v>48053</v>
      </c>
      <c r="F1179" s="121">
        <v>48053</v>
      </c>
      <c r="G1179" s="121" t="s">
        <v>2033</v>
      </c>
      <c r="H1179" s="121">
        <f t="shared" si="38"/>
        <v>48.052999999999997</v>
      </c>
      <c r="I1179" s="121">
        <f>MLCF!C58</f>
        <v>48.052999999999997</v>
      </c>
      <c r="J1179" s="121">
        <f t="shared" si="39"/>
        <v>0</v>
      </c>
      <c r="K1179" s="50" t="s">
        <v>1584</v>
      </c>
      <c r="L1179" s="50">
        <v>162</v>
      </c>
      <c r="M1179" s="50" t="s">
        <v>1106</v>
      </c>
      <c r="N1179" s="68" t="s">
        <v>3564</v>
      </c>
      <c r="O1179" s="68" t="s">
        <v>3565</v>
      </c>
      <c r="P1179" s="68" t="s">
        <v>4695</v>
      </c>
    </row>
    <row r="1180" spans="1:16" ht="82.05" customHeight="1" x14ac:dyDescent="0.3">
      <c r="A1180" s="119" t="s">
        <v>2691</v>
      </c>
      <c r="B1180" s="119" t="s">
        <v>106</v>
      </c>
      <c r="C1180" s="119" t="s">
        <v>20</v>
      </c>
      <c r="D1180" s="119" t="s">
        <v>316</v>
      </c>
      <c r="E1180" s="120">
        <v>28134</v>
      </c>
      <c r="F1180" s="120">
        <v>28134</v>
      </c>
      <c r="G1180" s="120" t="s">
        <v>2033</v>
      </c>
      <c r="H1180" s="120">
        <f t="shared" si="38"/>
        <v>28.134</v>
      </c>
      <c r="I1180" s="120">
        <f>MLCF!D58</f>
        <v>28.134</v>
      </c>
      <c r="J1180" s="120">
        <f t="shared" si="39"/>
        <v>0</v>
      </c>
      <c r="K1180" s="119" t="s">
        <v>1589</v>
      </c>
      <c r="L1180" s="119">
        <v>183</v>
      </c>
      <c r="M1180" s="119" t="s">
        <v>1106</v>
      </c>
      <c r="N1180" s="122" t="s">
        <v>3564</v>
      </c>
      <c r="O1180" s="122" t="s">
        <v>3565</v>
      </c>
      <c r="P1180" s="122" t="s">
        <v>4696</v>
      </c>
    </row>
    <row r="1181" spans="1:16" ht="82.05" customHeight="1" x14ac:dyDescent="0.3">
      <c r="A1181" s="50" t="s">
        <v>2692</v>
      </c>
      <c r="B1181" s="50" t="s">
        <v>106</v>
      </c>
      <c r="C1181" s="50" t="s">
        <v>26</v>
      </c>
      <c r="D1181" s="50" t="s">
        <v>316</v>
      </c>
      <c r="E1181" s="121">
        <v>27569</v>
      </c>
      <c r="F1181" s="121">
        <v>27569</v>
      </c>
      <c r="G1181" s="121" t="s">
        <v>2033</v>
      </c>
      <c r="H1181" s="121">
        <f t="shared" si="38"/>
        <v>27.568999999999999</v>
      </c>
      <c r="I1181" s="121">
        <f>MLCF!E58</f>
        <v>27.568999999999999</v>
      </c>
      <c r="J1181" s="121">
        <f t="shared" si="39"/>
        <v>0</v>
      </c>
      <c r="K1181" s="50" t="s">
        <v>1592</v>
      </c>
      <c r="L1181" s="50">
        <v>98</v>
      </c>
      <c r="M1181" s="50" t="s">
        <v>1106</v>
      </c>
      <c r="N1181" s="68" t="s">
        <v>3564</v>
      </c>
      <c r="O1181" s="68" t="s">
        <v>3565</v>
      </c>
      <c r="P1181" s="68" t="s">
        <v>4697</v>
      </c>
    </row>
    <row r="1182" spans="1:16" ht="82.05" customHeight="1" x14ac:dyDescent="0.3">
      <c r="A1182" s="119" t="s">
        <v>2693</v>
      </c>
      <c r="B1182" s="119" t="s">
        <v>106</v>
      </c>
      <c r="C1182" s="119" t="s">
        <v>27</v>
      </c>
      <c r="D1182" s="119" t="s">
        <v>316</v>
      </c>
      <c r="E1182" s="120">
        <v>27378</v>
      </c>
      <c r="F1182" s="120">
        <v>27378</v>
      </c>
      <c r="G1182" s="120" t="s">
        <v>2033</v>
      </c>
      <c r="H1182" s="120">
        <f t="shared" si="38"/>
        <v>27.378</v>
      </c>
      <c r="I1182" s="120">
        <f>MLCF!F58</f>
        <v>27.378</v>
      </c>
      <c r="J1182" s="120">
        <f t="shared" si="39"/>
        <v>0</v>
      </c>
      <c r="K1182" s="119" t="s">
        <v>1595</v>
      </c>
      <c r="L1182" s="119">
        <v>189</v>
      </c>
      <c r="M1182" s="119" t="s">
        <v>1106</v>
      </c>
      <c r="N1182" s="122" t="s">
        <v>3564</v>
      </c>
      <c r="O1182" s="122" t="s">
        <v>3565</v>
      </c>
      <c r="P1182" s="122" t="s">
        <v>4698</v>
      </c>
    </row>
    <row r="1183" spans="1:16" ht="82.05" customHeight="1" x14ac:dyDescent="0.3">
      <c r="A1183" s="50" t="s">
        <v>2694</v>
      </c>
      <c r="B1183" s="50" t="s">
        <v>106</v>
      </c>
      <c r="C1183" s="50" t="s">
        <v>28</v>
      </c>
      <c r="D1183" s="50" t="s">
        <v>316</v>
      </c>
      <c r="E1183" s="121">
        <v>27256</v>
      </c>
      <c r="F1183" s="121">
        <v>27256</v>
      </c>
      <c r="G1183" s="121" t="s">
        <v>2033</v>
      </c>
      <c r="H1183" s="121">
        <f t="shared" ref="H1183:H1246" si="40">F1183/1000</f>
        <v>27.256</v>
      </c>
      <c r="I1183" s="121">
        <f>MLCF!G58</f>
        <v>27.256</v>
      </c>
      <c r="J1183" s="121">
        <f t="shared" ref="J1183:J1246" si="41">H1183-I1183</f>
        <v>0</v>
      </c>
      <c r="K1183" s="50" t="s">
        <v>1598</v>
      </c>
      <c r="L1183" s="50">
        <v>201</v>
      </c>
      <c r="M1183" s="50" t="s">
        <v>1106</v>
      </c>
      <c r="N1183" s="68" t="s">
        <v>3564</v>
      </c>
      <c r="O1183" s="68" t="s">
        <v>3565</v>
      </c>
      <c r="P1183" s="68" t="s">
        <v>4699</v>
      </c>
    </row>
    <row r="1184" spans="1:16" ht="82.05" customHeight="1" x14ac:dyDescent="0.3">
      <c r="A1184" s="119" t="s">
        <v>2695</v>
      </c>
      <c r="B1184" s="119" t="s">
        <v>106</v>
      </c>
      <c r="C1184" s="119" t="s">
        <v>29</v>
      </c>
      <c r="D1184" s="119" t="s">
        <v>316</v>
      </c>
      <c r="E1184" s="120">
        <v>26877</v>
      </c>
      <c r="F1184" s="120">
        <v>26877</v>
      </c>
      <c r="G1184" s="120" t="s">
        <v>2033</v>
      </c>
      <c r="H1184" s="120">
        <f t="shared" si="40"/>
        <v>26.876999999999999</v>
      </c>
      <c r="I1184" s="120">
        <f>MLCF!H58</f>
        <v>26.876999999999999</v>
      </c>
      <c r="J1184" s="120">
        <f t="shared" si="41"/>
        <v>0</v>
      </c>
      <c r="K1184" s="119" t="s">
        <v>1598</v>
      </c>
      <c r="L1184" s="119">
        <v>201</v>
      </c>
      <c r="M1184" s="119" t="s">
        <v>1127</v>
      </c>
      <c r="N1184" s="122" t="s">
        <v>3564</v>
      </c>
      <c r="O1184" s="122" t="s">
        <v>3565</v>
      </c>
      <c r="P1184" s="122" t="s">
        <v>4700</v>
      </c>
    </row>
    <row r="1185" spans="1:16" ht="82.05" customHeight="1" x14ac:dyDescent="0.3">
      <c r="A1185" s="50" t="s">
        <v>2696</v>
      </c>
      <c r="B1185" s="50" t="s">
        <v>106</v>
      </c>
      <c r="C1185" s="50" t="s">
        <v>965</v>
      </c>
      <c r="D1185" s="50" t="s">
        <v>318</v>
      </c>
      <c r="E1185" s="121">
        <v>0</v>
      </c>
      <c r="F1185" s="121">
        <v>0</v>
      </c>
      <c r="G1185" s="121" t="s">
        <v>2033</v>
      </c>
      <c r="H1185" s="121">
        <f t="shared" si="40"/>
        <v>0</v>
      </c>
      <c r="I1185" s="121">
        <f>MLCF!C59</f>
        <v>0</v>
      </c>
      <c r="J1185" s="121">
        <f t="shared" si="41"/>
        <v>0</v>
      </c>
      <c r="K1185" s="50" t="s">
        <v>1584</v>
      </c>
      <c r="L1185" s="50">
        <v>162</v>
      </c>
      <c r="M1185" s="50" t="s">
        <v>1106</v>
      </c>
      <c r="N1185" s="68" t="s">
        <v>3578</v>
      </c>
      <c r="O1185" s="68" t="s">
        <v>3579</v>
      </c>
      <c r="P1185" s="68" t="s">
        <v>4701</v>
      </c>
    </row>
    <row r="1186" spans="1:16" ht="82.05" customHeight="1" x14ac:dyDescent="0.3">
      <c r="A1186" s="119" t="s">
        <v>2697</v>
      </c>
      <c r="B1186" s="119" t="s">
        <v>106</v>
      </c>
      <c r="C1186" s="119" t="s">
        <v>20</v>
      </c>
      <c r="D1186" s="119" t="s">
        <v>318</v>
      </c>
      <c r="E1186" s="120">
        <v>0</v>
      </c>
      <c r="F1186" s="120">
        <v>0</v>
      </c>
      <c r="G1186" s="120" t="s">
        <v>2033</v>
      </c>
      <c r="H1186" s="120">
        <f t="shared" si="40"/>
        <v>0</v>
      </c>
      <c r="I1186" s="120">
        <f>MLCF!D59</f>
        <v>0</v>
      </c>
      <c r="J1186" s="120">
        <f t="shared" si="41"/>
        <v>0</v>
      </c>
      <c r="K1186" s="119" t="s">
        <v>1589</v>
      </c>
      <c r="L1186" s="119">
        <v>183</v>
      </c>
      <c r="M1186" s="119" t="s">
        <v>1106</v>
      </c>
      <c r="N1186" s="122" t="s">
        <v>3578</v>
      </c>
      <c r="O1186" s="122" t="s">
        <v>3579</v>
      </c>
      <c r="P1186" s="122" t="s">
        <v>4702</v>
      </c>
    </row>
    <row r="1187" spans="1:16" ht="82.05" customHeight="1" x14ac:dyDescent="0.3">
      <c r="A1187" s="50" t="s">
        <v>2698</v>
      </c>
      <c r="B1187" s="50" t="s">
        <v>106</v>
      </c>
      <c r="C1187" s="50" t="s">
        <v>26</v>
      </c>
      <c r="D1187" s="50" t="s">
        <v>318</v>
      </c>
      <c r="E1187" s="121">
        <v>0</v>
      </c>
      <c r="F1187" s="121">
        <v>0</v>
      </c>
      <c r="G1187" s="121" t="s">
        <v>2033</v>
      </c>
      <c r="H1187" s="121">
        <f t="shared" si="40"/>
        <v>0</v>
      </c>
      <c r="I1187" s="121">
        <f>MLCF!E59</f>
        <v>0</v>
      </c>
      <c r="J1187" s="121">
        <f t="shared" si="41"/>
        <v>0</v>
      </c>
      <c r="K1187" s="50" t="s">
        <v>1592</v>
      </c>
      <c r="L1187" s="50">
        <v>98</v>
      </c>
      <c r="M1187" s="50" t="s">
        <v>1106</v>
      </c>
      <c r="N1187" s="68" t="s">
        <v>3578</v>
      </c>
      <c r="O1187" s="68" t="s">
        <v>3579</v>
      </c>
      <c r="P1187" s="68" t="s">
        <v>4703</v>
      </c>
    </row>
    <row r="1188" spans="1:16" ht="82.05" customHeight="1" x14ac:dyDescent="0.3">
      <c r="A1188" s="119" t="s">
        <v>2699</v>
      </c>
      <c r="B1188" s="119" t="s">
        <v>106</v>
      </c>
      <c r="C1188" s="119" t="s">
        <v>27</v>
      </c>
      <c r="D1188" s="119" t="s">
        <v>318</v>
      </c>
      <c r="E1188" s="120">
        <v>0</v>
      </c>
      <c r="F1188" s="120">
        <v>0</v>
      </c>
      <c r="G1188" s="120" t="s">
        <v>2033</v>
      </c>
      <c r="H1188" s="120">
        <f t="shared" si="40"/>
        <v>0</v>
      </c>
      <c r="I1188" s="120">
        <f>MLCF!F59</f>
        <v>0</v>
      </c>
      <c r="J1188" s="120">
        <f t="shared" si="41"/>
        <v>0</v>
      </c>
      <c r="K1188" s="119" t="s">
        <v>1595</v>
      </c>
      <c r="L1188" s="119">
        <v>189</v>
      </c>
      <c r="M1188" s="119" t="s">
        <v>1106</v>
      </c>
      <c r="N1188" s="122" t="s">
        <v>3578</v>
      </c>
      <c r="O1188" s="122" t="s">
        <v>3579</v>
      </c>
      <c r="P1188" s="122" t="s">
        <v>4704</v>
      </c>
    </row>
    <row r="1189" spans="1:16" ht="82.05" customHeight="1" x14ac:dyDescent="0.3">
      <c r="A1189" s="50" t="s">
        <v>2700</v>
      </c>
      <c r="B1189" s="50" t="s">
        <v>106</v>
      </c>
      <c r="C1189" s="50" t="s">
        <v>28</v>
      </c>
      <c r="D1189" s="50" t="s">
        <v>318</v>
      </c>
      <c r="E1189" s="121">
        <v>0</v>
      </c>
      <c r="F1189" s="121">
        <v>0</v>
      </c>
      <c r="G1189" s="121" t="s">
        <v>2033</v>
      </c>
      <c r="H1189" s="121">
        <f t="shared" si="40"/>
        <v>0</v>
      </c>
      <c r="I1189" s="121">
        <f>MLCF!G59</f>
        <v>0</v>
      </c>
      <c r="J1189" s="121">
        <f t="shared" si="41"/>
        <v>0</v>
      </c>
      <c r="K1189" s="50" t="s">
        <v>1598</v>
      </c>
      <c r="L1189" s="50">
        <v>201</v>
      </c>
      <c r="M1189" s="50" t="s">
        <v>1106</v>
      </c>
      <c r="N1189" s="68" t="s">
        <v>3578</v>
      </c>
      <c r="O1189" s="68" t="s">
        <v>3579</v>
      </c>
      <c r="P1189" s="68" t="s">
        <v>4705</v>
      </c>
    </row>
    <row r="1190" spans="1:16" ht="82.05" customHeight="1" x14ac:dyDescent="0.3">
      <c r="A1190" s="119" t="s">
        <v>2703</v>
      </c>
      <c r="B1190" s="119" t="s">
        <v>106</v>
      </c>
      <c r="C1190" s="119" t="s">
        <v>29</v>
      </c>
      <c r="D1190" s="119" t="s">
        <v>318</v>
      </c>
      <c r="E1190" s="120">
        <v>158794</v>
      </c>
      <c r="F1190" s="120">
        <v>158794</v>
      </c>
      <c r="G1190" s="120" t="s">
        <v>2033</v>
      </c>
      <c r="H1190" s="120">
        <f t="shared" si="40"/>
        <v>158.79400000000001</v>
      </c>
      <c r="I1190" s="120">
        <f>MLCF!H59</f>
        <v>158.79400000000001</v>
      </c>
      <c r="J1190" s="120">
        <f t="shared" si="41"/>
        <v>0</v>
      </c>
      <c r="K1190" s="119" t="s">
        <v>1598</v>
      </c>
      <c r="L1190" s="119">
        <v>201</v>
      </c>
      <c r="M1190" s="119" t="s">
        <v>1127</v>
      </c>
      <c r="N1190" s="122" t="s">
        <v>3564</v>
      </c>
      <c r="O1190" s="122" t="s">
        <v>3565</v>
      </c>
      <c r="P1190" s="122" t="s">
        <v>4706</v>
      </c>
    </row>
    <row r="1191" spans="1:16" ht="82.05" customHeight="1" x14ac:dyDescent="0.3">
      <c r="A1191" s="50" t="s">
        <v>2704</v>
      </c>
      <c r="B1191" s="50" t="s">
        <v>106</v>
      </c>
      <c r="C1191" s="50" t="s">
        <v>965</v>
      </c>
      <c r="D1191" s="50" t="s">
        <v>320</v>
      </c>
      <c r="E1191" s="121">
        <v>0</v>
      </c>
      <c r="F1191" s="121">
        <v>0</v>
      </c>
      <c r="G1191" s="121" t="s">
        <v>2033</v>
      </c>
      <c r="H1191" s="121">
        <f t="shared" si="40"/>
        <v>0</v>
      </c>
      <c r="I1191" s="121">
        <f>MLCF!C60</f>
        <v>0</v>
      </c>
      <c r="J1191" s="121">
        <f t="shared" si="41"/>
        <v>0</v>
      </c>
      <c r="K1191" s="50" t="s">
        <v>1584</v>
      </c>
      <c r="L1191" s="50">
        <v>162</v>
      </c>
      <c r="M1191" s="50" t="s">
        <v>1106</v>
      </c>
      <c r="N1191" s="68" t="s">
        <v>3578</v>
      </c>
      <c r="O1191" s="68" t="s">
        <v>3579</v>
      </c>
      <c r="P1191" s="68" t="s">
        <v>4707</v>
      </c>
    </row>
    <row r="1192" spans="1:16" ht="82.05" customHeight="1" x14ac:dyDescent="0.3">
      <c r="A1192" s="119" t="s">
        <v>2705</v>
      </c>
      <c r="B1192" s="119" t="s">
        <v>106</v>
      </c>
      <c r="C1192" s="119" t="s">
        <v>20</v>
      </c>
      <c r="D1192" s="119" t="s">
        <v>320</v>
      </c>
      <c r="E1192" s="120">
        <v>0</v>
      </c>
      <c r="F1192" s="120">
        <v>0</v>
      </c>
      <c r="G1192" s="120" t="s">
        <v>2033</v>
      </c>
      <c r="H1192" s="120">
        <f t="shared" si="40"/>
        <v>0</v>
      </c>
      <c r="I1192" s="120">
        <f>MLCF!D60</f>
        <v>0</v>
      </c>
      <c r="J1192" s="120">
        <f t="shared" si="41"/>
        <v>0</v>
      </c>
      <c r="K1192" s="119" t="s">
        <v>1589</v>
      </c>
      <c r="L1192" s="119">
        <v>183</v>
      </c>
      <c r="M1192" s="119" t="s">
        <v>1106</v>
      </c>
      <c r="N1192" s="122" t="s">
        <v>3578</v>
      </c>
      <c r="O1192" s="122" t="s">
        <v>3579</v>
      </c>
      <c r="P1192" s="122" t="s">
        <v>4708</v>
      </c>
    </row>
    <row r="1193" spans="1:16" ht="82.05" customHeight="1" x14ac:dyDescent="0.3">
      <c r="A1193" s="50" t="s">
        <v>2706</v>
      </c>
      <c r="B1193" s="50" t="s">
        <v>106</v>
      </c>
      <c r="C1193" s="50" t="s">
        <v>26</v>
      </c>
      <c r="D1193" s="50" t="s">
        <v>320</v>
      </c>
      <c r="E1193" s="121">
        <v>0</v>
      </c>
      <c r="F1193" s="121">
        <v>0</v>
      </c>
      <c r="G1193" s="121" t="s">
        <v>2033</v>
      </c>
      <c r="H1193" s="121">
        <f t="shared" si="40"/>
        <v>0</v>
      </c>
      <c r="I1193" s="121">
        <f>MLCF!E60</f>
        <v>0</v>
      </c>
      <c r="J1193" s="121">
        <f t="shared" si="41"/>
        <v>0</v>
      </c>
      <c r="K1193" s="50" t="s">
        <v>1592</v>
      </c>
      <c r="L1193" s="50">
        <v>98</v>
      </c>
      <c r="M1193" s="50" t="s">
        <v>1106</v>
      </c>
      <c r="N1193" s="68" t="s">
        <v>3578</v>
      </c>
      <c r="O1193" s="68" t="s">
        <v>3579</v>
      </c>
      <c r="P1193" s="68" t="s">
        <v>4709</v>
      </c>
    </row>
    <row r="1194" spans="1:16" ht="82.05" customHeight="1" x14ac:dyDescent="0.3">
      <c r="A1194" s="119" t="s">
        <v>2707</v>
      </c>
      <c r="B1194" s="119" t="s">
        <v>106</v>
      </c>
      <c r="C1194" s="119" t="s">
        <v>27</v>
      </c>
      <c r="D1194" s="119" t="s">
        <v>320</v>
      </c>
      <c r="E1194" s="120">
        <v>0</v>
      </c>
      <c r="F1194" s="120">
        <v>0</v>
      </c>
      <c r="G1194" s="120" t="s">
        <v>2033</v>
      </c>
      <c r="H1194" s="120">
        <f t="shared" si="40"/>
        <v>0</v>
      </c>
      <c r="I1194" s="120">
        <f>MLCF!F60</f>
        <v>0</v>
      </c>
      <c r="J1194" s="120">
        <f t="shared" si="41"/>
        <v>0</v>
      </c>
      <c r="K1194" s="119" t="s">
        <v>1595</v>
      </c>
      <c r="L1194" s="119">
        <v>189</v>
      </c>
      <c r="M1194" s="119" t="s">
        <v>1106</v>
      </c>
      <c r="N1194" s="122" t="s">
        <v>3578</v>
      </c>
      <c r="O1194" s="122" t="s">
        <v>3579</v>
      </c>
      <c r="P1194" s="122" t="s">
        <v>4710</v>
      </c>
    </row>
    <row r="1195" spans="1:16" ht="82.05" customHeight="1" x14ac:dyDescent="0.3">
      <c r="A1195" s="50" t="s">
        <v>2708</v>
      </c>
      <c r="B1195" s="50" t="s">
        <v>106</v>
      </c>
      <c r="C1195" s="50" t="s">
        <v>28</v>
      </c>
      <c r="D1195" s="50" t="s">
        <v>320</v>
      </c>
      <c r="E1195" s="121">
        <v>0</v>
      </c>
      <c r="F1195" s="121">
        <v>0</v>
      </c>
      <c r="G1195" s="121" t="s">
        <v>2033</v>
      </c>
      <c r="H1195" s="121">
        <f t="shared" si="40"/>
        <v>0</v>
      </c>
      <c r="I1195" s="121">
        <f>MLCF!G60</f>
        <v>0</v>
      </c>
      <c r="J1195" s="121">
        <f t="shared" si="41"/>
        <v>0</v>
      </c>
      <c r="K1195" s="50" t="s">
        <v>1598</v>
      </c>
      <c r="L1195" s="50">
        <v>201</v>
      </c>
      <c r="M1195" s="50" t="s">
        <v>1106</v>
      </c>
      <c r="N1195" s="68" t="s">
        <v>3578</v>
      </c>
      <c r="O1195" s="68" t="s">
        <v>3579</v>
      </c>
      <c r="P1195" s="68" t="s">
        <v>4711</v>
      </c>
    </row>
    <row r="1196" spans="1:16" ht="82.05" customHeight="1" x14ac:dyDescent="0.3">
      <c r="A1196" s="119" t="s">
        <v>2709</v>
      </c>
      <c r="B1196" s="119" t="s">
        <v>106</v>
      </c>
      <c r="C1196" s="119" t="s">
        <v>29</v>
      </c>
      <c r="D1196" s="119" t="s">
        <v>320</v>
      </c>
      <c r="E1196" s="120">
        <v>0</v>
      </c>
      <c r="F1196" s="120">
        <v>0</v>
      </c>
      <c r="G1196" s="120" t="s">
        <v>2033</v>
      </c>
      <c r="H1196" s="120">
        <f t="shared" si="40"/>
        <v>0</v>
      </c>
      <c r="I1196" s="120">
        <f>MLCF!H60</f>
        <v>0</v>
      </c>
      <c r="J1196" s="120">
        <f t="shared" si="41"/>
        <v>0</v>
      </c>
      <c r="K1196" s="119" t="s">
        <v>1598</v>
      </c>
      <c r="L1196" s="119">
        <v>201</v>
      </c>
      <c r="M1196" s="119" t="s">
        <v>1127</v>
      </c>
      <c r="N1196" s="122" t="s">
        <v>3578</v>
      </c>
      <c r="O1196" s="122" t="s">
        <v>3579</v>
      </c>
      <c r="P1196" s="122" t="s">
        <v>4711</v>
      </c>
    </row>
    <row r="1197" spans="1:16" ht="82.05" customHeight="1" x14ac:dyDescent="0.3">
      <c r="A1197" s="50" t="s">
        <v>2710</v>
      </c>
      <c r="B1197" s="50" t="s">
        <v>106</v>
      </c>
      <c r="C1197" s="50" t="s">
        <v>965</v>
      </c>
      <c r="D1197" s="50" t="s">
        <v>345</v>
      </c>
      <c r="E1197" s="121">
        <v>66009771</v>
      </c>
      <c r="F1197" s="121">
        <v>66009771</v>
      </c>
      <c r="G1197" s="121" t="s">
        <v>2033</v>
      </c>
      <c r="H1197" s="121">
        <f t="shared" si="40"/>
        <v>66009.770999999993</v>
      </c>
      <c r="I1197" s="121">
        <f>MLCF!C75</f>
        <v>66009.770999999993</v>
      </c>
      <c r="J1197" s="121">
        <f t="shared" si="41"/>
        <v>0</v>
      </c>
      <c r="K1197" s="50" t="s">
        <v>1584</v>
      </c>
      <c r="L1197" s="50">
        <v>163</v>
      </c>
      <c r="M1197" s="50" t="s">
        <v>1106</v>
      </c>
      <c r="N1197" s="68" t="s">
        <v>3564</v>
      </c>
      <c r="O1197" s="68" t="s">
        <v>3565</v>
      </c>
      <c r="P1197" s="68" t="s">
        <v>4712</v>
      </c>
    </row>
    <row r="1198" spans="1:16" ht="82.05" customHeight="1" x14ac:dyDescent="0.3">
      <c r="A1198" s="119" t="s">
        <v>2711</v>
      </c>
      <c r="B1198" s="119" t="s">
        <v>106</v>
      </c>
      <c r="C1198" s="119" t="s">
        <v>20</v>
      </c>
      <c r="D1198" s="119" t="s">
        <v>345</v>
      </c>
      <c r="E1198" s="120">
        <v>66239278</v>
      </c>
      <c r="F1198" s="120">
        <v>66239278</v>
      </c>
      <c r="G1198" s="120" t="s">
        <v>2033</v>
      </c>
      <c r="H1198" s="120">
        <f t="shared" si="40"/>
        <v>66239.278000000006</v>
      </c>
      <c r="I1198" s="120">
        <f>MLCF!D75</f>
        <v>66239.278000000006</v>
      </c>
      <c r="J1198" s="120">
        <f t="shared" si="41"/>
        <v>0</v>
      </c>
      <c r="K1198" s="119" t="s">
        <v>1589</v>
      </c>
      <c r="L1198" s="119">
        <v>184</v>
      </c>
      <c r="M1198" s="119" t="s">
        <v>1106</v>
      </c>
      <c r="N1198" s="122" t="s">
        <v>3564</v>
      </c>
      <c r="O1198" s="122" t="s">
        <v>3565</v>
      </c>
      <c r="P1198" s="122" t="s">
        <v>4713</v>
      </c>
    </row>
    <row r="1199" spans="1:16" ht="82.05" customHeight="1" x14ac:dyDescent="0.3">
      <c r="A1199" s="50" t="s">
        <v>2712</v>
      </c>
      <c r="B1199" s="50" t="s">
        <v>106</v>
      </c>
      <c r="C1199" s="50" t="s">
        <v>26</v>
      </c>
      <c r="D1199" s="50" t="s">
        <v>345</v>
      </c>
      <c r="E1199" s="121">
        <v>82214210</v>
      </c>
      <c r="F1199" s="121">
        <v>82214210</v>
      </c>
      <c r="G1199" s="121" t="s">
        <v>2033</v>
      </c>
      <c r="H1199" s="121">
        <f t="shared" si="40"/>
        <v>82214.210000000006</v>
      </c>
      <c r="I1199" s="121">
        <f>MLCF!E75</f>
        <v>82214.210000000006</v>
      </c>
      <c r="J1199" s="121">
        <f t="shared" si="41"/>
        <v>0</v>
      </c>
      <c r="K1199" s="50" t="s">
        <v>1592</v>
      </c>
      <c r="L1199" s="50">
        <v>98</v>
      </c>
      <c r="M1199" s="50" t="s">
        <v>1106</v>
      </c>
      <c r="N1199" s="68" t="s">
        <v>3564</v>
      </c>
      <c r="O1199" s="68" t="s">
        <v>3565</v>
      </c>
      <c r="P1199" s="68" t="s">
        <v>4714</v>
      </c>
    </row>
    <row r="1200" spans="1:16" ht="82.05" customHeight="1" x14ac:dyDescent="0.3">
      <c r="A1200" s="119" t="s">
        <v>2713</v>
      </c>
      <c r="B1200" s="119" t="s">
        <v>106</v>
      </c>
      <c r="C1200" s="119" t="s">
        <v>27</v>
      </c>
      <c r="D1200" s="119" t="s">
        <v>345</v>
      </c>
      <c r="E1200" s="120">
        <v>89707711</v>
      </c>
      <c r="F1200" s="120">
        <v>89707711</v>
      </c>
      <c r="G1200" s="120" t="s">
        <v>2033</v>
      </c>
      <c r="H1200" s="120">
        <f t="shared" si="40"/>
        <v>89707.710999999996</v>
      </c>
      <c r="I1200" s="120">
        <f>MLCF!F75</f>
        <v>89707.710999999996</v>
      </c>
      <c r="J1200" s="120">
        <f t="shared" si="41"/>
        <v>0</v>
      </c>
      <c r="K1200" s="119" t="s">
        <v>1595</v>
      </c>
      <c r="L1200" s="119">
        <v>190</v>
      </c>
      <c r="M1200" s="119" t="s">
        <v>1106</v>
      </c>
      <c r="N1200" s="122" t="s">
        <v>3564</v>
      </c>
      <c r="O1200" s="122" t="s">
        <v>3565</v>
      </c>
      <c r="P1200" s="122" t="s">
        <v>4715</v>
      </c>
    </row>
    <row r="1201" spans="1:16" ht="82.05" customHeight="1" x14ac:dyDescent="0.3">
      <c r="A1201" s="50" t="s">
        <v>2714</v>
      </c>
      <c r="B1201" s="50" t="s">
        <v>106</v>
      </c>
      <c r="C1201" s="50" t="s">
        <v>28</v>
      </c>
      <c r="D1201" s="50" t="s">
        <v>345</v>
      </c>
      <c r="E1201" s="121">
        <v>99365682</v>
      </c>
      <c r="F1201" s="121">
        <v>99365682</v>
      </c>
      <c r="G1201" s="121" t="s">
        <v>2033</v>
      </c>
      <c r="H1201" s="121">
        <f t="shared" si="40"/>
        <v>99365.682000000001</v>
      </c>
      <c r="I1201" s="121">
        <f>MLCF!G75</f>
        <v>99365.682000000001</v>
      </c>
      <c r="J1201" s="121">
        <f t="shared" si="41"/>
        <v>0</v>
      </c>
      <c r="K1201" s="50" t="s">
        <v>1598</v>
      </c>
      <c r="L1201" s="50">
        <v>202</v>
      </c>
      <c r="M1201" s="50" t="s">
        <v>1106</v>
      </c>
      <c r="N1201" s="68" t="s">
        <v>3564</v>
      </c>
      <c r="O1201" s="68" t="s">
        <v>3565</v>
      </c>
      <c r="P1201" s="68" t="s">
        <v>4716</v>
      </c>
    </row>
    <row r="1202" spans="1:16" ht="82.05" customHeight="1" x14ac:dyDescent="0.3">
      <c r="A1202" s="119" t="s">
        <v>2715</v>
      </c>
      <c r="B1202" s="119" t="s">
        <v>106</v>
      </c>
      <c r="C1202" s="119" t="s">
        <v>29</v>
      </c>
      <c r="D1202" s="119" t="s">
        <v>345</v>
      </c>
      <c r="E1202" s="120">
        <v>119106271</v>
      </c>
      <c r="F1202" s="120">
        <v>119106271</v>
      </c>
      <c r="G1202" s="120" t="s">
        <v>2033</v>
      </c>
      <c r="H1202" s="120">
        <f t="shared" si="40"/>
        <v>119106.27099999999</v>
      </c>
      <c r="I1202" s="120">
        <f>MLCF!H75</f>
        <v>119106.27099999999</v>
      </c>
      <c r="J1202" s="120">
        <f t="shared" si="41"/>
        <v>0</v>
      </c>
      <c r="K1202" s="119" t="s">
        <v>1598</v>
      </c>
      <c r="L1202" s="119">
        <v>202</v>
      </c>
      <c r="M1202" s="119" t="s">
        <v>1127</v>
      </c>
      <c r="N1202" s="122" t="s">
        <v>3564</v>
      </c>
      <c r="O1202" s="122" t="s">
        <v>3565</v>
      </c>
      <c r="P1202" s="122" t="s">
        <v>4717</v>
      </c>
    </row>
    <row r="1203" spans="1:16" ht="82.05" customHeight="1" x14ac:dyDescent="0.3">
      <c r="A1203" s="50" t="s">
        <v>2716</v>
      </c>
      <c r="B1203" s="50" t="s">
        <v>106</v>
      </c>
      <c r="C1203" s="50" t="s">
        <v>965</v>
      </c>
      <c r="D1203" s="50" t="s">
        <v>347</v>
      </c>
      <c r="E1203" s="121">
        <v>31320831</v>
      </c>
      <c r="F1203" s="121">
        <v>31320831</v>
      </c>
      <c r="G1203" s="121" t="s">
        <v>2033</v>
      </c>
      <c r="H1203" s="121">
        <f t="shared" si="40"/>
        <v>31320.830999999998</v>
      </c>
      <c r="I1203" s="121">
        <f>MLCF!C76</f>
        <v>31320.830999999998</v>
      </c>
      <c r="J1203" s="121">
        <f t="shared" si="41"/>
        <v>0</v>
      </c>
      <c r="K1203" s="50" t="s">
        <v>1584</v>
      </c>
      <c r="L1203" s="50">
        <v>162</v>
      </c>
      <c r="M1203" s="50" t="s">
        <v>1106</v>
      </c>
      <c r="N1203" s="68" t="s">
        <v>3564</v>
      </c>
      <c r="O1203" s="68" t="s">
        <v>3565</v>
      </c>
      <c r="P1203" s="68" t="s">
        <v>4718</v>
      </c>
    </row>
    <row r="1204" spans="1:16" ht="82.05" customHeight="1" x14ac:dyDescent="0.3">
      <c r="A1204" s="119" t="s">
        <v>2717</v>
      </c>
      <c r="B1204" s="119" t="s">
        <v>106</v>
      </c>
      <c r="C1204" s="119" t="s">
        <v>20</v>
      </c>
      <c r="D1204" s="119" t="s">
        <v>347</v>
      </c>
      <c r="E1204" s="120">
        <v>37542541</v>
      </c>
      <c r="F1204" s="120">
        <v>37542541</v>
      </c>
      <c r="G1204" s="120" t="s">
        <v>2033</v>
      </c>
      <c r="H1204" s="120">
        <f t="shared" si="40"/>
        <v>37542.540999999997</v>
      </c>
      <c r="I1204" s="120">
        <f>MLCF!D76</f>
        <v>37542.540999999997</v>
      </c>
      <c r="J1204" s="120">
        <f t="shared" si="41"/>
        <v>0</v>
      </c>
      <c r="K1204" s="119" t="s">
        <v>1589</v>
      </c>
      <c r="L1204" s="119">
        <v>183</v>
      </c>
      <c r="M1204" s="119" t="s">
        <v>1106</v>
      </c>
      <c r="N1204" s="122" t="s">
        <v>3564</v>
      </c>
      <c r="O1204" s="122" t="s">
        <v>3565</v>
      </c>
      <c r="P1204" s="122" t="s">
        <v>4719</v>
      </c>
    </row>
    <row r="1205" spans="1:16" ht="82.05" customHeight="1" x14ac:dyDescent="0.3">
      <c r="A1205" s="50" t="s">
        <v>2718</v>
      </c>
      <c r="B1205" s="50" t="s">
        <v>106</v>
      </c>
      <c r="C1205" s="50" t="s">
        <v>26</v>
      </c>
      <c r="D1205" s="50" t="s">
        <v>347</v>
      </c>
      <c r="E1205" s="121">
        <v>40559015</v>
      </c>
      <c r="F1205" s="121">
        <v>40559015</v>
      </c>
      <c r="G1205" s="121" t="s">
        <v>2033</v>
      </c>
      <c r="H1205" s="121">
        <f t="shared" si="40"/>
        <v>40559.014999999999</v>
      </c>
      <c r="I1205" s="121">
        <f>MLCF!E76</f>
        <v>40559.014999999999</v>
      </c>
      <c r="J1205" s="121">
        <f t="shared" si="41"/>
        <v>0</v>
      </c>
      <c r="K1205" s="50" t="s">
        <v>1592</v>
      </c>
      <c r="L1205" s="50">
        <v>98</v>
      </c>
      <c r="M1205" s="50" t="s">
        <v>1106</v>
      </c>
      <c r="N1205" s="68" t="s">
        <v>3564</v>
      </c>
      <c r="O1205" s="68" t="s">
        <v>3565</v>
      </c>
      <c r="P1205" s="68" t="s">
        <v>4720</v>
      </c>
    </row>
    <row r="1206" spans="1:16" ht="82.05" customHeight="1" x14ac:dyDescent="0.3">
      <c r="A1206" s="119" t="s">
        <v>2719</v>
      </c>
      <c r="B1206" s="119" t="s">
        <v>106</v>
      </c>
      <c r="C1206" s="119" t="s">
        <v>27</v>
      </c>
      <c r="D1206" s="119" t="s">
        <v>347</v>
      </c>
      <c r="E1206" s="120">
        <v>44913114</v>
      </c>
      <c r="F1206" s="120">
        <v>44913114</v>
      </c>
      <c r="G1206" s="120" t="s">
        <v>2033</v>
      </c>
      <c r="H1206" s="120">
        <f t="shared" si="40"/>
        <v>44913.114000000001</v>
      </c>
      <c r="I1206" s="120">
        <f>MLCF!F76</f>
        <v>44913.114000000001</v>
      </c>
      <c r="J1206" s="120">
        <f t="shared" si="41"/>
        <v>0</v>
      </c>
      <c r="K1206" s="119" t="s">
        <v>1595</v>
      </c>
      <c r="L1206" s="119">
        <v>189</v>
      </c>
      <c r="M1206" s="119" t="s">
        <v>1106</v>
      </c>
      <c r="N1206" s="122" t="s">
        <v>3564</v>
      </c>
      <c r="O1206" s="122" t="s">
        <v>3565</v>
      </c>
      <c r="P1206" s="122" t="s">
        <v>4721</v>
      </c>
    </row>
    <row r="1207" spans="1:16" ht="82.05" customHeight="1" x14ac:dyDescent="0.3">
      <c r="A1207" s="50" t="s">
        <v>2720</v>
      </c>
      <c r="B1207" s="50" t="s">
        <v>106</v>
      </c>
      <c r="C1207" s="50" t="s">
        <v>28</v>
      </c>
      <c r="D1207" s="50" t="s">
        <v>347</v>
      </c>
      <c r="E1207" s="121">
        <v>52615908</v>
      </c>
      <c r="F1207" s="121">
        <v>52615908</v>
      </c>
      <c r="G1207" s="121" t="s">
        <v>2033</v>
      </c>
      <c r="H1207" s="121">
        <f t="shared" si="40"/>
        <v>52615.908000000003</v>
      </c>
      <c r="I1207" s="121">
        <f>MLCF!G76</f>
        <v>52615.908000000003</v>
      </c>
      <c r="J1207" s="121">
        <f t="shared" si="41"/>
        <v>0</v>
      </c>
      <c r="K1207" s="50" t="s">
        <v>1598</v>
      </c>
      <c r="L1207" s="50">
        <v>201</v>
      </c>
      <c r="M1207" s="50" t="s">
        <v>1106</v>
      </c>
      <c r="N1207" s="68" t="s">
        <v>3564</v>
      </c>
      <c r="O1207" s="68" t="s">
        <v>3565</v>
      </c>
      <c r="P1207" s="68" t="s">
        <v>4722</v>
      </c>
    </row>
    <row r="1208" spans="1:16" ht="82.05" customHeight="1" x14ac:dyDescent="0.3">
      <c r="A1208" s="119" t="s">
        <v>2721</v>
      </c>
      <c r="B1208" s="119" t="s">
        <v>106</v>
      </c>
      <c r="C1208" s="119" t="s">
        <v>29</v>
      </c>
      <c r="D1208" s="119" t="s">
        <v>347</v>
      </c>
      <c r="E1208" s="120">
        <v>71461592</v>
      </c>
      <c r="F1208" s="120">
        <v>71461592</v>
      </c>
      <c r="G1208" s="120" t="s">
        <v>2033</v>
      </c>
      <c r="H1208" s="120">
        <f t="shared" si="40"/>
        <v>71461.592000000004</v>
      </c>
      <c r="I1208" s="120">
        <f>MLCF!H76</f>
        <v>71461.592000000004</v>
      </c>
      <c r="J1208" s="120">
        <f t="shared" si="41"/>
        <v>0</v>
      </c>
      <c r="K1208" s="119" t="s">
        <v>1598</v>
      </c>
      <c r="L1208" s="119">
        <v>201</v>
      </c>
      <c r="M1208" s="119" t="s">
        <v>1127</v>
      </c>
      <c r="N1208" s="122" t="s">
        <v>3564</v>
      </c>
      <c r="O1208" s="122" t="s">
        <v>3565</v>
      </c>
      <c r="P1208" s="122" t="s">
        <v>4723</v>
      </c>
    </row>
    <row r="1209" spans="1:16" ht="82.05" customHeight="1" x14ac:dyDescent="0.3">
      <c r="A1209" s="50" t="s">
        <v>2722</v>
      </c>
      <c r="B1209" s="50" t="s">
        <v>106</v>
      </c>
      <c r="C1209" s="50" t="s">
        <v>965</v>
      </c>
      <c r="D1209" s="50" t="s">
        <v>349</v>
      </c>
      <c r="E1209" s="121">
        <v>16607191</v>
      </c>
      <c r="F1209" s="121">
        <v>16607191</v>
      </c>
      <c r="G1209" s="121" t="s">
        <v>2033</v>
      </c>
      <c r="H1209" s="121">
        <f t="shared" si="40"/>
        <v>16607.190999999999</v>
      </c>
      <c r="I1209" s="121">
        <f>MLCF!C77</f>
        <v>16607.190999999999</v>
      </c>
      <c r="J1209" s="121">
        <f t="shared" si="41"/>
        <v>0</v>
      </c>
      <c r="K1209" s="50" t="s">
        <v>1584</v>
      </c>
      <c r="L1209" s="50">
        <v>163</v>
      </c>
      <c r="M1209" s="50" t="s">
        <v>1106</v>
      </c>
      <c r="N1209" s="68" t="s">
        <v>3564</v>
      </c>
      <c r="O1209" s="68" t="s">
        <v>3565</v>
      </c>
      <c r="P1209" s="68" t="s">
        <v>4724</v>
      </c>
    </row>
    <row r="1210" spans="1:16" ht="82.05" customHeight="1" x14ac:dyDescent="0.3">
      <c r="A1210" s="119" t="s">
        <v>2723</v>
      </c>
      <c r="B1210" s="119" t="s">
        <v>106</v>
      </c>
      <c r="C1210" s="119" t="s">
        <v>20</v>
      </c>
      <c r="D1210" s="119" t="s">
        <v>349</v>
      </c>
      <c r="E1210" s="120">
        <v>16923416</v>
      </c>
      <c r="F1210" s="120">
        <v>16923416</v>
      </c>
      <c r="G1210" s="120" t="s">
        <v>2033</v>
      </c>
      <c r="H1210" s="120">
        <f t="shared" si="40"/>
        <v>16923.416000000001</v>
      </c>
      <c r="I1210" s="120">
        <f>MLCF!D77</f>
        <v>16923.416000000001</v>
      </c>
      <c r="J1210" s="120">
        <f t="shared" si="41"/>
        <v>0</v>
      </c>
      <c r="K1210" s="119" t="s">
        <v>1589</v>
      </c>
      <c r="L1210" s="119">
        <v>184</v>
      </c>
      <c r="M1210" s="119" t="s">
        <v>1106</v>
      </c>
      <c r="N1210" s="122" t="s">
        <v>3564</v>
      </c>
      <c r="O1210" s="122" t="s">
        <v>3565</v>
      </c>
      <c r="P1210" s="122" t="s">
        <v>4725</v>
      </c>
    </row>
    <row r="1211" spans="1:16" ht="82.05" customHeight="1" x14ac:dyDescent="0.3">
      <c r="A1211" s="50" t="s">
        <v>2724</v>
      </c>
      <c r="B1211" s="50" t="s">
        <v>106</v>
      </c>
      <c r="C1211" s="50" t="s">
        <v>26</v>
      </c>
      <c r="D1211" s="50" t="s">
        <v>349</v>
      </c>
      <c r="E1211" s="121">
        <v>20321989</v>
      </c>
      <c r="F1211" s="121">
        <v>20321989</v>
      </c>
      <c r="G1211" s="121" t="s">
        <v>2033</v>
      </c>
      <c r="H1211" s="121">
        <f t="shared" si="40"/>
        <v>20321.989000000001</v>
      </c>
      <c r="I1211" s="121">
        <f>MLCF!E77</f>
        <v>20321.989000000001</v>
      </c>
      <c r="J1211" s="121">
        <f t="shared" si="41"/>
        <v>0</v>
      </c>
      <c r="K1211" s="50" t="s">
        <v>1592</v>
      </c>
      <c r="L1211" s="50">
        <v>98</v>
      </c>
      <c r="M1211" s="50" t="s">
        <v>1106</v>
      </c>
      <c r="N1211" s="68" t="s">
        <v>3564</v>
      </c>
      <c r="O1211" s="68" t="s">
        <v>3565</v>
      </c>
      <c r="P1211" s="68" t="s">
        <v>4726</v>
      </c>
    </row>
    <row r="1212" spans="1:16" ht="82.05" customHeight="1" x14ac:dyDescent="0.3">
      <c r="A1212" s="119" t="s">
        <v>2725</v>
      </c>
      <c r="B1212" s="119" t="s">
        <v>106</v>
      </c>
      <c r="C1212" s="119" t="s">
        <v>27</v>
      </c>
      <c r="D1212" s="119" t="s">
        <v>349</v>
      </c>
      <c r="E1212" s="120">
        <v>22239667</v>
      </c>
      <c r="F1212" s="120">
        <v>22239667</v>
      </c>
      <c r="G1212" s="120" t="s">
        <v>2033</v>
      </c>
      <c r="H1212" s="120">
        <f t="shared" si="40"/>
        <v>22239.667000000001</v>
      </c>
      <c r="I1212" s="120">
        <f>MLCF!F77</f>
        <v>22239.667000000001</v>
      </c>
      <c r="J1212" s="120">
        <f t="shared" si="41"/>
        <v>0</v>
      </c>
      <c r="K1212" s="119" t="s">
        <v>1595</v>
      </c>
      <c r="L1212" s="119">
        <v>190</v>
      </c>
      <c r="M1212" s="119" t="s">
        <v>1106</v>
      </c>
      <c r="N1212" s="122" t="s">
        <v>3564</v>
      </c>
      <c r="O1212" s="122" t="s">
        <v>3565</v>
      </c>
      <c r="P1212" s="122" t="s">
        <v>4727</v>
      </c>
    </row>
    <row r="1213" spans="1:16" ht="82.05" customHeight="1" x14ac:dyDescent="0.3">
      <c r="A1213" s="50" t="s">
        <v>2726</v>
      </c>
      <c r="B1213" s="50" t="s">
        <v>106</v>
      </c>
      <c r="C1213" s="50" t="s">
        <v>28</v>
      </c>
      <c r="D1213" s="50" t="s">
        <v>349</v>
      </c>
      <c r="E1213" s="121">
        <v>26867837</v>
      </c>
      <c r="F1213" s="121">
        <v>26867837</v>
      </c>
      <c r="G1213" s="121" t="s">
        <v>2033</v>
      </c>
      <c r="H1213" s="121">
        <f t="shared" si="40"/>
        <v>26867.837</v>
      </c>
      <c r="I1213" s="121">
        <f>MLCF!G77</f>
        <v>26867.837</v>
      </c>
      <c r="J1213" s="121">
        <f t="shared" si="41"/>
        <v>0</v>
      </c>
      <c r="K1213" s="50" t="s">
        <v>1598</v>
      </c>
      <c r="L1213" s="50">
        <v>202</v>
      </c>
      <c r="M1213" s="50" t="s">
        <v>1106</v>
      </c>
      <c r="N1213" s="68" t="s">
        <v>3564</v>
      </c>
      <c r="O1213" s="68" t="s">
        <v>3565</v>
      </c>
      <c r="P1213" s="68" t="s">
        <v>4728</v>
      </c>
    </row>
    <row r="1214" spans="1:16" ht="82.05" customHeight="1" x14ac:dyDescent="0.3">
      <c r="A1214" s="119" t="s">
        <v>2727</v>
      </c>
      <c r="B1214" s="119" t="s">
        <v>106</v>
      </c>
      <c r="C1214" s="119" t="s">
        <v>29</v>
      </c>
      <c r="D1214" s="119" t="s">
        <v>349</v>
      </c>
      <c r="E1214" s="120">
        <v>35752604</v>
      </c>
      <c r="F1214" s="120">
        <v>35752604</v>
      </c>
      <c r="G1214" s="120" t="s">
        <v>2033</v>
      </c>
      <c r="H1214" s="120">
        <f t="shared" si="40"/>
        <v>35752.603999999999</v>
      </c>
      <c r="I1214" s="120">
        <f>MLCF!H77</f>
        <v>35752.603999999999</v>
      </c>
      <c r="J1214" s="120">
        <f t="shared" si="41"/>
        <v>0</v>
      </c>
      <c r="K1214" s="119" t="s">
        <v>1598</v>
      </c>
      <c r="L1214" s="119">
        <v>202</v>
      </c>
      <c r="M1214" s="119" t="s">
        <v>1127</v>
      </c>
      <c r="N1214" s="122" t="s">
        <v>3564</v>
      </c>
      <c r="O1214" s="122" t="s">
        <v>3565</v>
      </c>
      <c r="P1214" s="122" t="s">
        <v>4729</v>
      </c>
    </row>
    <row r="1215" spans="1:16" ht="82.05" customHeight="1" x14ac:dyDescent="0.3">
      <c r="A1215" s="50" t="s">
        <v>2728</v>
      </c>
      <c r="B1215" s="50" t="s">
        <v>106</v>
      </c>
      <c r="C1215" s="50" t="s">
        <v>965</v>
      </c>
      <c r="D1215" s="50" t="s">
        <v>351</v>
      </c>
      <c r="E1215" s="121">
        <v>15313775</v>
      </c>
      <c r="F1215" s="121">
        <v>15313775</v>
      </c>
      <c r="G1215" s="121" t="s">
        <v>2033</v>
      </c>
      <c r="H1215" s="121">
        <f t="shared" si="40"/>
        <v>15313.775</v>
      </c>
      <c r="I1215" s="121">
        <f>MLCF!C78</f>
        <v>15313.775</v>
      </c>
      <c r="J1215" s="121">
        <f t="shared" si="41"/>
        <v>0</v>
      </c>
      <c r="K1215" s="50" t="s">
        <v>1584</v>
      </c>
      <c r="L1215" s="50">
        <v>162</v>
      </c>
      <c r="M1215" s="50" t="s">
        <v>1106</v>
      </c>
      <c r="N1215" s="68" t="s">
        <v>3564</v>
      </c>
      <c r="O1215" s="68" t="s">
        <v>3565</v>
      </c>
      <c r="P1215" s="68" t="s">
        <v>4730</v>
      </c>
    </row>
    <row r="1216" spans="1:16" ht="82.05" customHeight="1" x14ac:dyDescent="0.3">
      <c r="A1216" s="119" t="s">
        <v>2729</v>
      </c>
      <c r="B1216" s="119" t="s">
        <v>106</v>
      </c>
      <c r="C1216" s="119" t="s">
        <v>20</v>
      </c>
      <c r="D1216" s="119" t="s">
        <v>351</v>
      </c>
      <c r="E1216" s="120">
        <v>11449448</v>
      </c>
      <c r="F1216" s="120">
        <v>11449448</v>
      </c>
      <c r="G1216" s="120" t="s">
        <v>2033</v>
      </c>
      <c r="H1216" s="120">
        <f t="shared" si="40"/>
        <v>11449.448</v>
      </c>
      <c r="I1216" s="120">
        <f>MLCF!D78</f>
        <v>11449.448</v>
      </c>
      <c r="J1216" s="120">
        <f t="shared" si="41"/>
        <v>0</v>
      </c>
      <c r="K1216" s="119" t="s">
        <v>1589</v>
      </c>
      <c r="L1216" s="119">
        <v>183</v>
      </c>
      <c r="M1216" s="119" t="s">
        <v>1106</v>
      </c>
      <c r="N1216" s="122" t="s">
        <v>3564</v>
      </c>
      <c r="O1216" s="122" t="s">
        <v>3565</v>
      </c>
      <c r="P1216" s="122" t="s">
        <v>4731</v>
      </c>
    </row>
    <row r="1217" spans="1:16" ht="82.05" customHeight="1" x14ac:dyDescent="0.3">
      <c r="A1217" s="50" t="s">
        <v>2730</v>
      </c>
      <c r="B1217" s="50" t="s">
        <v>106</v>
      </c>
      <c r="C1217" s="50" t="s">
        <v>26</v>
      </c>
      <c r="D1217" s="50" t="s">
        <v>351</v>
      </c>
      <c r="E1217" s="121">
        <v>16193391</v>
      </c>
      <c r="F1217" s="121">
        <v>16193391</v>
      </c>
      <c r="G1217" s="121" t="s">
        <v>2033</v>
      </c>
      <c r="H1217" s="121">
        <f t="shared" si="40"/>
        <v>16193.391</v>
      </c>
      <c r="I1217" s="121">
        <f>MLCF!E78</f>
        <v>16193.391</v>
      </c>
      <c r="J1217" s="121">
        <f t="shared" si="41"/>
        <v>0</v>
      </c>
      <c r="K1217" s="50" t="s">
        <v>1592</v>
      </c>
      <c r="L1217" s="50">
        <v>98</v>
      </c>
      <c r="M1217" s="50" t="s">
        <v>1106</v>
      </c>
      <c r="N1217" s="68" t="s">
        <v>3564</v>
      </c>
      <c r="O1217" s="68" t="s">
        <v>3565</v>
      </c>
      <c r="P1217" s="68" t="s">
        <v>4732</v>
      </c>
    </row>
    <row r="1218" spans="1:16" ht="82.05" customHeight="1" x14ac:dyDescent="0.3">
      <c r="A1218" s="119" t="s">
        <v>2731</v>
      </c>
      <c r="B1218" s="119" t="s">
        <v>106</v>
      </c>
      <c r="C1218" s="119" t="s">
        <v>27</v>
      </c>
      <c r="D1218" s="119" t="s">
        <v>351</v>
      </c>
      <c r="E1218" s="120">
        <v>16215021</v>
      </c>
      <c r="F1218" s="120">
        <v>16215021</v>
      </c>
      <c r="G1218" s="120" t="s">
        <v>2033</v>
      </c>
      <c r="H1218" s="120">
        <f t="shared" si="40"/>
        <v>16215.021000000001</v>
      </c>
      <c r="I1218" s="120">
        <f>MLCF!F78</f>
        <v>16215.021000000001</v>
      </c>
      <c r="J1218" s="120">
        <f t="shared" si="41"/>
        <v>0</v>
      </c>
      <c r="K1218" s="119" t="s">
        <v>1595</v>
      </c>
      <c r="L1218" s="119">
        <v>189</v>
      </c>
      <c r="M1218" s="119" t="s">
        <v>1106</v>
      </c>
      <c r="N1218" s="122" t="s">
        <v>3564</v>
      </c>
      <c r="O1218" s="122" t="s">
        <v>3565</v>
      </c>
      <c r="P1218" s="122" t="s">
        <v>4733</v>
      </c>
    </row>
    <row r="1219" spans="1:16" ht="82.05" customHeight="1" x14ac:dyDescent="0.3">
      <c r="A1219" s="50" t="s">
        <v>2732</v>
      </c>
      <c r="B1219" s="50" t="s">
        <v>106</v>
      </c>
      <c r="C1219" s="50" t="s">
        <v>28</v>
      </c>
      <c r="D1219" s="50" t="s">
        <v>351</v>
      </c>
      <c r="E1219" s="121">
        <v>18597800</v>
      </c>
      <c r="F1219" s="121">
        <v>18597800</v>
      </c>
      <c r="G1219" s="121" t="s">
        <v>2033</v>
      </c>
      <c r="H1219" s="121">
        <f t="shared" si="40"/>
        <v>18597.8</v>
      </c>
      <c r="I1219" s="121">
        <f>MLCF!G78</f>
        <v>18597.8</v>
      </c>
      <c r="J1219" s="121">
        <f t="shared" si="41"/>
        <v>0</v>
      </c>
      <c r="K1219" s="50" t="s">
        <v>1598</v>
      </c>
      <c r="L1219" s="50">
        <v>201</v>
      </c>
      <c r="M1219" s="50" t="s">
        <v>1106</v>
      </c>
      <c r="N1219" s="68" t="s">
        <v>3564</v>
      </c>
      <c r="O1219" s="68" t="s">
        <v>3565</v>
      </c>
      <c r="P1219" s="68" t="s">
        <v>4734</v>
      </c>
    </row>
    <row r="1220" spans="1:16" ht="82.05" customHeight="1" x14ac:dyDescent="0.3">
      <c r="A1220" s="119" t="s">
        <v>2733</v>
      </c>
      <c r="B1220" s="119" t="s">
        <v>106</v>
      </c>
      <c r="C1220" s="119" t="s">
        <v>29</v>
      </c>
      <c r="D1220" s="119" t="s">
        <v>351</v>
      </c>
      <c r="E1220" s="120">
        <v>23330491</v>
      </c>
      <c r="F1220" s="120">
        <v>23330491</v>
      </c>
      <c r="G1220" s="120" t="s">
        <v>2033</v>
      </c>
      <c r="H1220" s="120">
        <f t="shared" si="40"/>
        <v>23330.491000000002</v>
      </c>
      <c r="I1220" s="120">
        <f>MLCF!H78</f>
        <v>23330.491000000002</v>
      </c>
      <c r="J1220" s="120">
        <f t="shared" si="41"/>
        <v>0</v>
      </c>
      <c r="K1220" s="119" t="s">
        <v>1598</v>
      </c>
      <c r="L1220" s="119">
        <v>201</v>
      </c>
      <c r="M1220" s="119" t="s">
        <v>1127</v>
      </c>
      <c r="N1220" s="122" t="s">
        <v>3564</v>
      </c>
      <c r="O1220" s="122" t="s">
        <v>3565</v>
      </c>
      <c r="P1220" s="122" t="s">
        <v>4735</v>
      </c>
    </row>
    <row r="1221" spans="1:16" ht="82.05" customHeight="1" x14ac:dyDescent="0.3">
      <c r="A1221" s="50" t="s">
        <v>2734</v>
      </c>
      <c r="B1221" s="50" t="s">
        <v>106</v>
      </c>
      <c r="C1221" s="50" t="s">
        <v>20</v>
      </c>
      <c r="D1221" s="50" t="s">
        <v>358</v>
      </c>
      <c r="E1221" s="121">
        <v>35538301</v>
      </c>
      <c r="F1221" s="121">
        <v>35538301</v>
      </c>
      <c r="G1221" s="121" t="s">
        <v>2033</v>
      </c>
      <c r="H1221" s="121">
        <f t="shared" si="40"/>
        <v>35538.300999999999</v>
      </c>
      <c r="I1221" s="121">
        <f>MLCF!D84</f>
        <v>35538.300999999999</v>
      </c>
      <c r="J1221" s="121">
        <f t="shared" si="41"/>
        <v>0</v>
      </c>
      <c r="K1221" s="50" t="s">
        <v>1589</v>
      </c>
      <c r="L1221" s="50">
        <v>185</v>
      </c>
      <c r="M1221" s="50" t="s">
        <v>1106</v>
      </c>
      <c r="N1221" s="68" t="s">
        <v>3564</v>
      </c>
      <c r="O1221" s="68" t="s">
        <v>3565</v>
      </c>
      <c r="P1221" s="68" t="s">
        <v>4736</v>
      </c>
    </row>
    <row r="1222" spans="1:16" ht="82.05" customHeight="1" x14ac:dyDescent="0.3">
      <c r="A1222" s="119" t="s">
        <v>2736</v>
      </c>
      <c r="B1222" s="119" t="s">
        <v>106</v>
      </c>
      <c r="C1222" s="119" t="s">
        <v>26</v>
      </c>
      <c r="D1222" s="119" t="s">
        <v>358</v>
      </c>
      <c r="E1222" s="120">
        <v>48519622</v>
      </c>
      <c r="F1222" s="120">
        <v>48519622</v>
      </c>
      <c r="G1222" s="120" t="s">
        <v>2033</v>
      </c>
      <c r="H1222" s="120">
        <f t="shared" si="40"/>
        <v>48519.622000000003</v>
      </c>
      <c r="I1222" s="120">
        <f>MLCF!E84</f>
        <v>48519.622000000003</v>
      </c>
      <c r="J1222" s="120">
        <f t="shared" si="41"/>
        <v>0</v>
      </c>
      <c r="K1222" s="119" t="s">
        <v>1592</v>
      </c>
      <c r="L1222" s="119">
        <v>99</v>
      </c>
      <c r="M1222" s="119" t="s">
        <v>1106</v>
      </c>
      <c r="N1222" s="122" t="s">
        <v>3564</v>
      </c>
      <c r="O1222" s="122" t="s">
        <v>3565</v>
      </c>
      <c r="P1222" s="122" t="s">
        <v>4737</v>
      </c>
    </row>
    <row r="1223" spans="1:16" ht="82.05" customHeight="1" x14ac:dyDescent="0.3">
      <c r="A1223" s="50" t="s">
        <v>2738</v>
      </c>
      <c r="B1223" s="50" t="s">
        <v>106</v>
      </c>
      <c r="C1223" s="50" t="s">
        <v>27</v>
      </c>
      <c r="D1223" s="50" t="s">
        <v>358</v>
      </c>
      <c r="E1223" s="121">
        <v>62075259</v>
      </c>
      <c r="F1223" s="121">
        <v>62075259</v>
      </c>
      <c r="G1223" s="121" t="s">
        <v>2033</v>
      </c>
      <c r="H1223" s="121">
        <f t="shared" si="40"/>
        <v>62075.258999999998</v>
      </c>
      <c r="I1223" s="121">
        <f>MLCF!F84</f>
        <v>62075.258999999998</v>
      </c>
      <c r="J1223" s="121">
        <f t="shared" si="41"/>
        <v>0</v>
      </c>
      <c r="K1223" s="50" t="s">
        <v>1595</v>
      </c>
      <c r="L1223" s="50">
        <v>191</v>
      </c>
      <c r="M1223" s="50" t="s">
        <v>1106</v>
      </c>
      <c r="N1223" s="68" t="s">
        <v>3564</v>
      </c>
      <c r="O1223" s="68" t="s">
        <v>3565</v>
      </c>
      <c r="P1223" s="68" t="s">
        <v>4738</v>
      </c>
    </row>
    <row r="1224" spans="1:16" ht="82.05" customHeight="1" x14ac:dyDescent="0.3">
      <c r="A1224" s="119" t="s">
        <v>2740</v>
      </c>
      <c r="B1224" s="119" t="s">
        <v>106</v>
      </c>
      <c r="C1224" s="119" t="s">
        <v>28</v>
      </c>
      <c r="D1224" s="119" t="s">
        <v>358</v>
      </c>
      <c r="E1224" s="120">
        <v>66452348</v>
      </c>
      <c r="F1224" s="120">
        <v>66452348</v>
      </c>
      <c r="G1224" s="120" t="s">
        <v>2033</v>
      </c>
      <c r="H1224" s="120">
        <f t="shared" si="40"/>
        <v>66452.347999999998</v>
      </c>
      <c r="I1224" s="120">
        <f>MLCF!G84</f>
        <v>66452.347999999998</v>
      </c>
      <c r="J1224" s="120">
        <f t="shared" si="41"/>
        <v>0</v>
      </c>
      <c r="K1224" s="119" t="s">
        <v>1598</v>
      </c>
      <c r="L1224" s="119">
        <v>203</v>
      </c>
      <c r="M1224" s="119" t="s">
        <v>1106</v>
      </c>
      <c r="N1224" s="122" t="s">
        <v>3564</v>
      </c>
      <c r="O1224" s="122" t="s">
        <v>3565</v>
      </c>
      <c r="P1224" s="122" t="s">
        <v>4739</v>
      </c>
    </row>
    <row r="1225" spans="1:16" ht="82.05" customHeight="1" x14ac:dyDescent="0.3">
      <c r="A1225" s="50" t="s">
        <v>2742</v>
      </c>
      <c r="B1225" s="50" t="s">
        <v>106</v>
      </c>
      <c r="C1225" s="50" t="s">
        <v>29</v>
      </c>
      <c r="D1225" s="50" t="s">
        <v>358</v>
      </c>
      <c r="E1225" s="121">
        <v>68942446</v>
      </c>
      <c r="F1225" s="121">
        <v>68942446</v>
      </c>
      <c r="G1225" s="121" t="s">
        <v>2033</v>
      </c>
      <c r="H1225" s="121">
        <f t="shared" si="40"/>
        <v>68942.445999999996</v>
      </c>
      <c r="I1225" s="121">
        <f>MLCF!H84</f>
        <v>68942.445999999996</v>
      </c>
      <c r="J1225" s="121">
        <f t="shared" si="41"/>
        <v>0</v>
      </c>
      <c r="K1225" s="50" t="s">
        <v>1598</v>
      </c>
      <c r="L1225" s="50">
        <v>203</v>
      </c>
      <c r="M1225" s="50" t="s">
        <v>1127</v>
      </c>
      <c r="N1225" s="68" t="s">
        <v>3564</v>
      </c>
      <c r="O1225" s="68" t="s">
        <v>3565</v>
      </c>
      <c r="P1225" s="68" t="s">
        <v>4740</v>
      </c>
    </row>
    <row r="1226" spans="1:16" ht="82.05" customHeight="1" x14ac:dyDescent="0.3">
      <c r="A1226" s="119" t="s">
        <v>2743</v>
      </c>
      <c r="B1226" s="119" t="s">
        <v>106</v>
      </c>
      <c r="C1226" s="119" t="s">
        <v>20</v>
      </c>
      <c r="D1226" s="119" t="s">
        <v>360</v>
      </c>
      <c r="E1226" s="120">
        <v>-28135419</v>
      </c>
      <c r="F1226" s="120">
        <v>-28135419</v>
      </c>
      <c r="G1226" s="120" t="s">
        <v>2033</v>
      </c>
      <c r="H1226" s="120">
        <f t="shared" si="40"/>
        <v>-28135.419000000002</v>
      </c>
      <c r="I1226" s="120">
        <f>MLCF!D85</f>
        <v>-28135.419000000002</v>
      </c>
      <c r="J1226" s="120">
        <f t="shared" si="41"/>
        <v>0</v>
      </c>
      <c r="K1226" s="119" t="s">
        <v>1589</v>
      </c>
      <c r="L1226" s="119">
        <v>185</v>
      </c>
      <c r="M1226" s="119" t="s">
        <v>1106</v>
      </c>
      <c r="N1226" s="122" t="s">
        <v>3564</v>
      </c>
      <c r="O1226" s="122" t="s">
        <v>3565</v>
      </c>
      <c r="P1226" s="122" t="s">
        <v>4741</v>
      </c>
    </row>
    <row r="1227" spans="1:16" ht="82.05" customHeight="1" x14ac:dyDescent="0.3">
      <c r="A1227" s="50" t="s">
        <v>2744</v>
      </c>
      <c r="B1227" s="50" t="s">
        <v>106</v>
      </c>
      <c r="C1227" s="50" t="s">
        <v>26</v>
      </c>
      <c r="D1227" s="50" t="s">
        <v>360</v>
      </c>
      <c r="E1227" s="121">
        <v>-36244156</v>
      </c>
      <c r="F1227" s="121">
        <v>-36244156</v>
      </c>
      <c r="G1227" s="121" t="s">
        <v>2033</v>
      </c>
      <c r="H1227" s="121">
        <f t="shared" si="40"/>
        <v>-36244.156000000003</v>
      </c>
      <c r="I1227" s="121">
        <f>MLCF!E85</f>
        <v>-36244.156000000003</v>
      </c>
      <c r="J1227" s="121">
        <f t="shared" si="41"/>
        <v>0</v>
      </c>
      <c r="K1227" s="50" t="s">
        <v>1592</v>
      </c>
      <c r="L1227" s="50">
        <v>99</v>
      </c>
      <c r="M1227" s="50" t="s">
        <v>1106</v>
      </c>
      <c r="N1227" s="68" t="s">
        <v>3564</v>
      </c>
      <c r="O1227" s="68" t="s">
        <v>3565</v>
      </c>
      <c r="P1227" s="68" t="s">
        <v>4742</v>
      </c>
    </row>
    <row r="1228" spans="1:16" ht="82.05" customHeight="1" x14ac:dyDescent="0.3">
      <c r="A1228" s="119" t="s">
        <v>2745</v>
      </c>
      <c r="B1228" s="119" t="s">
        <v>106</v>
      </c>
      <c r="C1228" s="119" t="s">
        <v>27</v>
      </c>
      <c r="D1228" s="119" t="s">
        <v>360</v>
      </c>
      <c r="E1228" s="120">
        <v>-43901906</v>
      </c>
      <c r="F1228" s="120">
        <v>-43901906</v>
      </c>
      <c r="G1228" s="120" t="s">
        <v>2033</v>
      </c>
      <c r="H1228" s="120">
        <f t="shared" si="40"/>
        <v>-43901.906000000003</v>
      </c>
      <c r="I1228" s="120">
        <f>MLCF!F85</f>
        <v>-43901.906000000003</v>
      </c>
      <c r="J1228" s="120">
        <f t="shared" si="41"/>
        <v>0</v>
      </c>
      <c r="K1228" s="119" t="s">
        <v>1595</v>
      </c>
      <c r="L1228" s="119">
        <v>191</v>
      </c>
      <c r="M1228" s="119" t="s">
        <v>1106</v>
      </c>
      <c r="N1228" s="122" t="s">
        <v>3564</v>
      </c>
      <c r="O1228" s="122" t="s">
        <v>3565</v>
      </c>
      <c r="P1228" s="122" t="s">
        <v>4743</v>
      </c>
    </row>
    <row r="1229" spans="1:16" ht="82.05" customHeight="1" x14ac:dyDescent="0.3">
      <c r="A1229" s="50" t="s">
        <v>2746</v>
      </c>
      <c r="B1229" s="50" t="s">
        <v>106</v>
      </c>
      <c r="C1229" s="50" t="s">
        <v>28</v>
      </c>
      <c r="D1229" s="50" t="s">
        <v>360</v>
      </c>
      <c r="E1229" s="121">
        <v>-45488064</v>
      </c>
      <c r="F1229" s="121">
        <v>-45488064</v>
      </c>
      <c r="G1229" s="121" t="s">
        <v>2033</v>
      </c>
      <c r="H1229" s="121">
        <f t="shared" si="40"/>
        <v>-45488.063999999998</v>
      </c>
      <c r="I1229" s="121">
        <f>MLCF!G85</f>
        <v>-45488.063999999998</v>
      </c>
      <c r="J1229" s="121">
        <f t="shared" si="41"/>
        <v>0</v>
      </c>
      <c r="K1229" s="50" t="s">
        <v>1598</v>
      </c>
      <c r="L1229" s="50">
        <v>203</v>
      </c>
      <c r="M1229" s="50" t="s">
        <v>1106</v>
      </c>
      <c r="N1229" s="68" t="s">
        <v>3564</v>
      </c>
      <c r="O1229" s="68" t="s">
        <v>3565</v>
      </c>
      <c r="P1229" s="68" t="s">
        <v>4744</v>
      </c>
    </row>
    <row r="1230" spans="1:16" ht="82.05" customHeight="1" x14ac:dyDescent="0.3">
      <c r="A1230" s="119" t="s">
        <v>2747</v>
      </c>
      <c r="B1230" s="119" t="s">
        <v>106</v>
      </c>
      <c r="C1230" s="119" t="s">
        <v>29</v>
      </c>
      <c r="D1230" s="119" t="s">
        <v>360</v>
      </c>
      <c r="E1230" s="120">
        <v>-45195630</v>
      </c>
      <c r="F1230" s="120">
        <v>-45195630</v>
      </c>
      <c r="G1230" s="120" t="s">
        <v>2033</v>
      </c>
      <c r="H1230" s="120">
        <f t="shared" si="40"/>
        <v>-45195.63</v>
      </c>
      <c r="I1230" s="120">
        <f>MLCF!H85</f>
        <v>-45195.63</v>
      </c>
      <c r="J1230" s="120">
        <f t="shared" si="41"/>
        <v>0</v>
      </c>
      <c r="K1230" s="119" t="s">
        <v>1598</v>
      </c>
      <c r="L1230" s="119">
        <v>203</v>
      </c>
      <c r="M1230" s="119" t="s">
        <v>1127</v>
      </c>
      <c r="N1230" s="122" t="s">
        <v>3564</v>
      </c>
      <c r="O1230" s="122" t="s">
        <v>3565</v>
      </c>
      <c r="P1230" s="122" t="s">
        <v>4745</v>
      </c>
    </row>
    <row r="1231" spans="1:16" ht="82.05" customHeight="1" x14ac:dyDescent="0.3">
      <c r="A1231" s="50" t="s">
        <v>2748</v>
      </c>
      <c r="B1231" s="50" t="s">
        <v>106</v>
      </c>
      <c r="C1231" s="50" t="s">
        <v>20</v>
      </c>
      <c r="D1231" s="50" t="s">
        <v>364</v>
      </c>
      <c r="E1231" s="121">
        <v>-1013852</v>
      </c>
      <c r="F1231" s="121">
        <v>-1013852</v>
      </c>
      <c r="G1231" s="121" t="s">
        <v>2033</v>
      </c>
      <c r="H1231" s="121">
        <f t="shared" si="40"/>
        <v>-1013.852</v>
      </c>
      <c r="I1231" s="121">
        <f>MLCF!D87</f>
        <v>-1013.852</v>
      </c>
      <c r="J1231" s="121">
        <f t="shared" si="41"/>
        <v>0</v>
      </c>
      <c r="K1231" s="50" t="s">
        <v>1589</v>
      </c>
      <c r="L1231" s="50">
        <v>185</v>
      </c>
      <c r="M1231" s="50" t="s">
        <v>1106</v>
      </c>
      <c r="N1231" s="68" t="s">
        <v>3564</v>
      </c>
      <c r="O1231" s="68" t="s">
        <v>3565</v>
      </c>
      <c r="P1231" s="68" t="s">
        <v>4746</v>
      </c>
    </row>
    <row r="1232" spans="1:16" ht="82.05" customHeight="1" x14ac:dyDescent="0.3">
      <c r="A1232" s="119" t="s">
        <v>2749</v>
      </c>
      <c r="B1232" s="119" t="s">
        <v>106</v>
      </c>
      <c r="C1232" s="119" t="s">
        <v>26</v>
      </c>
      <c r="D1232" s="119" t="s">
        <v>364</v>
      </c>
      <c r="E1232" s="120">
        <v>-1483876</v>
      </c>
      <c r="F1232" s="120">
        <v>-1483876</v>
      </c>
      <c r="G1232" s="120" t="s">
        <v>2033</v>
      </c>
      <c r="H1232" s="120">
        <f t="shared" si="40"/>
        <v>-1483.876</v>
      </c>
      <c r="I1232" s="120">
        <f>MLCF!E87</f>
        <v>-1483.876</v>
      </c>
      <c r="J1232" s="120">
        <f t="shared" si="41"/>
        <v>0</v>
      </c>
      <c r="K1232" s="119" t="s">
        <v>1592</v>
      </c>
      <c r="L1232" s="119">
        <v>99</v>
      </c>
      <c r="M1232" s="119" t="s">
        <v>1106</v>
      </c>
      <c r="N1232" s="122" t="s">
        <v>3564</v>
      </c>
      <c r="O1232" s="122" t="s">
        <v>3565</v>
      </c>
      <c r="P1232" s="122" t="s">
        <v>4747</v>
      </c>
    </row>
    <row r="1233" spans="1:16" ht="82.05" customHeight="1" x14ac:dyDescent="0.3">
      <c r="A1233" s="50" t="s">
        <v>2750</v>
      </c>
      <c r="B1233" s="50" t="s">
        <v>106</v>
      </c>
      <c r="C1233" s="50" t="s">
        <v>27</v>
      </c>
      <c r="D1233" s="50" t="s">
        <v>364</v>
      </c>
      <c r="E1233" s="121">
        <v>-3751096</v>
      </c>
      <c r="F1233" s="121">
        <v>-3751096</v>
      </c>
      <c r="G1233" s="121" t="s">
        <v>2033</v>
      </c>
      <c r="H1233" s="121">
        <f t="shared" si="40"/>
        <v>-3751.096</v>
      </c>
      <c r="I1233" s="121">
        <f>MLCF!F87</f>
        <v>-3751.096</v>
      </c>
      <c r="J1233" s="121">
        <f t="shared" si="41"/>
        <v>0</v>
      </c>
      <c r="K1233" s="50" t="s">
        <v>1595</v>
      </c>
      <c r="L1233" s="50">
        <v>191</v>
      </c>
      <c r="M1233" s="50" t="s">
        <v>1106</v>
      </c>
      <c r="N1233" s="68" t="s">
        <v>3564</v>
      </c>
      <c r="O1233" s="68" t="s">
        <v>3565</v>
      </c>
      <c r="P1233" s="68" t="s">
        <v>4748</v>
      </c>
    </row>
    <row r="1234" spans="1:16" ht="82.05" customHeight="1" x14ac:dyDescent="0.3">
      <c r="A1234" s="119" t="s">
        <v>2751</v>
      </c>
      <c r="B1234" s="119" t="s">
        <v>106</v>
      </c>
      <c r="C1234" s="119" t="s">
        <v>28</v>
      </c>
      <c r="D1234" s="119" t="s">
        <v>364</v>
      </c>
      <c r="E1234" s="120">
        <v>-5471808</v>
      </c>
      <c r="F1234" s="120">
        <v>-5471808</v>
      </c>
      <c r="G1234" s="120" t="s">
        <v>2033</v>
      </c>
      <c r="H1234" s="120">
        <f t="shared" si="40"/>
        <v>-5471.808</v>
      </c>
      <c r="I1234" s="120">
        <f>MLCF!G87</f>
        <v>-5471.808</v>
      </c>
      <c r="J1234" s="120">
        <f t="shared" si="41"/>
        <v>0</v>
      </c>
      <c r="K1234" s="119" t="s">
        <v>1598</v>
      </c>
      <c r="L1234" s="119">
        <v>203</v>
      </c>
      <c r="M1234" s="119" t="s">
        <v>1106</v>
      </c>
      <c r="N1234" s="122" t="s">
        <v>3564</v>
      </c>
      <c r="O1234" s="122" t="s">
        <v>3565</v>
      </c>
      <c r="P1234" s="122" t="s">
        <v>4749</v>
      </c>
    </row>
    <row r="1235" spans="1:16" ht="82.05" customHeight="1" x14ac:dyDescent="0.3">
      <c r="A1235" s="50" t="s">
        <v>2752</v>
      </c>
      <c r="B1235" s="50" t="s">
        <v>106</v>
      </c>
      <c r="C1235" s="50" t="s">
        <v>29</v>
      </c>
      <c r="D1235" s="50" t="s">
        <v>364</v>
      </c>
      <c r="E1235" s="121">
        <v>-4123754</v>
      </c>
      <c r="F1235" s="121">
        <v>-4123754</v>
      </c>
      <c r="G1235" s="121" t="s">
        <v>2033</v>
      </c>
      <c r="H1235" s="121">
        <f t="shared" si="40"/>
        <v>-4123.7539999999999</v>
      </c>
      <c r="I1235" s="121">
        <f>MLCF!H87</f>
        <v>-4123.7539999999999</v>
      </c>
      <c r="J1235" s="121">
        <f t="shared" si="41"/>
        <v>0</v>
      </c>
      <c r="K1235" s="50" t="s">
        <v>1598</v>
      </c>
      <c r="L1235" s="50">
        <v>203</v>
      </c>
      <c r="M1235" s="50" t="s">
        <v>1127</v>
      </c>
      <c r="N1235" s="68" t="s">
        <v>3564</v>
      </c>
      <c r="O1235" s="68" t="s">
        <v>3565</v>
      </c>
      <c r="P1235" s="68" t="s">
        <v>4750</v>
      </c>
    </row>
    <row r="1236" spans="1:16" ht="82.05" customHeight="1" x14ac:dyDescent="0.3">
      <c r="A1236" s="119" t="s">
        <v>2753</v>
      </c>
      <c r="B1236" s="119" t="s">
        <v>106</v>
      </c>
      <c r="C1236" s="119" t="s">
        <v>20</v>
      </c>
      <c r="D1236" s="119" t="s">
        <v>366</v>
      </c>
      <c r="E1236" s="120">
        <v>-813489</v>
      </c>
      <c r="F1236" s="120">
        <v>-813489</v>
      </c>
      <c r="G1236" s="120" t="s">
        <v>2033</v>
      </c>
      <c r="H1236" s="120">
        <f t="shared" si="40"/>
        <v>-813.48900000000003</v>
      </c>
      <c r="I1236" s="120">
        <f>MLCF!D88</f>
        <v>-813.48900000000003</v>
      </c>
      <c r="J1236" s="120">
        <f t="shared" si="41"/>
        <v>0</v>
      </c>
      <c r="K1236" s="119" t="s">
        <v>1589</v>
      </c>
      <c r="L1236" s="119">
        <v>185</v>
      </c>
      <c r="M1236" s="119" t="s">
        <v>1106</v>
      </c>
      <c r="N1236" s="122" t="s">
        <v>3564</v>
      </c>
      <c r="O1236" s="122" t="s">
        <v>3565</v>
      </c>
      <c r="P1236" s="122" t="s">
        <v>4751</v>
      </c>
    </row>
    <row r="1237" spans="1:16" ht="82.05" customHeight="1" x14ac:dyDescent="0.3">
      <c r="A1237" s="50" t="s">
        <v>2754</v>
      </c>
      <c r="B1237" s="50" t="s">
        <v>106</v>
      </c>
      <c r="C1237" s="50" t="s">
        <v>26</v>
      </c>
      <c r="D1237" s="50" t="s">
        <v>366</v>
      </c>
      <c r="E1237" s="121">
        <v>-971453</v>
      </c>
      <c r="F1237" s="121">
        <v>-971453</v>
      </c>
      <c r="G1237" s="121" t="s">
        <v>2033</v>
      </c>
      <c r="H1237" s="121">
        <f t="shared" si="40"/>
        <v>-971.45299999999997</v>
      </c>
      <c r="I1237" s="121">
        <f>MLCF!E88</f>
        <v>-971.45299999999997</v>
      </c>
      <c r="J1237" s="121">
        <f t="shared" si="41"/>
        <v>0</v>
      </c>
      <c r="K1237" s="50" t="s">
        <v>1592</v>
      </c>
      <c r="L1237" s="50">
        <v>99</v>
      </c>
      <c r="M1237" s="50" t="s">
        <v>1106</v>
      </c>
      <c r="N1237" s="68" t="s">
        <v>3564</v>
      </c>
      <c r="O1237" s="68" t="s">
        <v>3565</v>
      </c>
      <c r="P1237" s="68" t="s">
        <v>4752</v>
      </c>
    </row>
    <row r="1238" spans="1:16" ht="82.05" customHeight="1" x14ac:dyDescent="0.3">
      <c r="A1238" s="119" t="s">
        <v>2755</v>
      </c>
      <c r="B1238" s="119" t="s">
        <v>106</v>
      </c>
      <c r="C1238" s="119" t="s">
        <v>27</v>
      </c>
      <c r="D1238" s="119" t="s">
        <v>366</v>
      </c>
      <c r="E1238" s="120">
        <v>-1380607</v>
      </c>
      <c r="F1238" s="120">
        <v>-1380607</v>
      </c>
      <c r="G1238" s="120" t="s">
        <v>2033</v>
      </c>
      <c r="H1238" s="120">
        <f t="shared" si="40"/>
        <v>-1380.607</v>
      </c>
      <c r="I1238" s="120">
        <f>MLCF!F88</f>
        <v>-1380.607</v>
      </c>
      <c r="J1238" s="120">
        <f t="shared" si="41"/>
        <v>0</v>
      </c>
      <c r="K1238" s="119" t="s">
        <v>1595</v>
      </c>
      <c r="L1238" s="119">
        <v>191</v>
      </c>
      <c r="M1238" s="119" t="s">
        <v>1106</v>
      </c>
      <c r="N1238" s="122" t="s">
        <v>3564</v>
      </c>
      <c r="O1238" s="122" t="s">
        <v>3565</v>
      </c>
      <c r="P1238" s="122" t="s">
        <v>4753</v>
      </c>
    </row>
    <row r="1239" spans="1:16" ht="82.05" customHeight="1" x14ac:dyDescent="0.3">
      <c r="A1239" s="50" t="s">
        <v>2756</v>
      </c>
      <c r="B1239" s="50" t="s">
        <v>106</v>
      </c>
      <c r="C1239" s="50" t="s">
        <v>28</v>
      </c>
      <c r="D1239" s="50" t="s">
        <v>366</v>
      </c>
      <c r="E1239" s="121">
        <v>-1852148</v>
      </c>
      <c r="F1239" s="121">
        <v>-1852148</v>
      </c>
      <c r="G1239" s="121" t="s">
        <v>2033</v>
      </c>
      <c r="H1239" s="121">
        <f t="shared" si="40"/>
        <v>-1852.1479999999999</v>
      </c>
      <c r="I1239" s="121">
        <f>MLCF!G88</f>
        <v>-1852.1479999999999</v>
      </c>
      <c r="J1239" s="121">
        <f t="shared" si="41"/>
        <v>0</v>
      </c>
      <c r="K1239" s="50" t="s">
        <v>1598</v>
      </c>
      <c r="L1239" s="50">
        <v>203</v>
      </c>
      <c r="M1239" s="50" t="s">
        <v>1106</v>
      </c>
      <c r="N1239" s="68" t="s">
        <v>3564</v>
      </c>
      <c r="O1239" s="68" t="s">
        <v>3565</v>
      </c>
      <c r="P1239" s="68" t="s">
        <v>4754</v>
      </c>
    </row>
    <row r="1240" spans="1:16" ht="82.05" customHeight="1" x14ac:dyDescent="0.3">
      <c r="A1240" s="119" t="s">
        <v>2757</v>
      </c>
      <c r="B1240" s="119" t="s">
        <v>106</v>
      </c>
      <c r="C1240" s="119" t="s">
        <v>29</v>
      </c>
      <c r="D1240" s="119" t="s">
        <v>366</v>
      </c>
      <c r="E1240" s="120">
        <v>-2176320</v>
      </c>
      <c r="F1240" s="120">
        <v>-2176320</v>
      </c>
      <c r="G1240" s="120" t="s">
        <v>2033</v>
      </c>
      <c r="H1240" s="120">
        <f t="shared" si="40"/>
        <v>-2176.3200000000002</v>
      </c>
      <c r="I1240" s="120">
        <f>MLCF!H88</f>
        <v>-2176.3200000000002</v>
      </c>
      <c r="J1240" s="120">
        <f t="shared" si="41"/>
        <v>0</v>
      </c>
      <c r="K1240" s="119" t="s">
        <v>1598</v>
      </c>
      <c r="L1240" s="119">
        <v>203</v>
      </c>
      <c r="M1240" s="119" t="s">
        <v>1127</v>
      </c>
      <c r="N1240" s="122" t="s">
        <v>3564</v>
      </c>
      <c r="O1240" s="122" t="s">
        <v>3565</v>
      </c>
      <c r="P1240" s="122" t="s">
        <v>4755</v>
      </c>
    </row>
    <row r="1241" spans="1:16" ht="82.05" customHeight="1" x14ac:dyDescent="0.3">
      <c r="A1241" s="50" t="s">
        <v>2758</v>
      </c>
      <c r="B1241" s="50" t="s">
        <v>106</v>
      </c>
      <c r="C1241" s="50" t="s">
        <v>20</v>
      </c>
      <c r="D1241" s="50" t="s">
        <v>368</v>
      </c>
      <c r="E1241" s="121">
        <v>0</v>
      </c>
      <c r="F1241" s="121">
        <v>0</v>
      </c>
      <c r="G1241" s="121" t="s">
        <v>2033</v>
      </c>
      <c r="H1241" s="121">
        <f t="shared" si="40"/>
        <v>0</v>
      </c>
      <c r="I1241" s="121">
        <f>MLCF!D89</f>
        <v>0</v>
      </c>
      <c r="J1241" s="121">
        <f t="shared" si="41"/>
        <v>0</v>
      </c>
      <c r="K1241" s="50" t="s">
        <v>1589</v>
      </c>
      <c r="L1241" s="50">
        <v>185</v>
      </c>
      <c r="M1241" s="50" t="s">
        <v>1106</v>
      </c>
      <c r="N1241" s="68" t="s">
        <v>3578</v>
      </c>
      <c r="O1241" s="68" t="s">
        <v>3579</v>
      </c>
      <c r="P1241" s="68" t="s">
        <v>4756</v>
      </c>
    </row>
    <row r="1242" spans="1:16" ht="82.05" customHeight="1" x14ac:dyDescent="0.3">
      <c r="A1242" s="119" t="s">
        <v>2759</v>
      </c>
      <c r="B1242" s="119" t="s">
        <v>106</v>
      </c>
      <c r="C1242" s="119" t="s">
        <v>26</v>
      </c>
      <c r="D1242" s="119" t="s">
        <v>368</v>
      </c>
      <c r="E1242" s="120">
        <v>-209920</v>
      </c>
      <c r="F1242" s="120">
        <v>-209920</v>
      </c>
      <c r="G1242" s="120" t="s">
        <v>2033</v>
      </c>
      <c r="H1242" s="120">
        <f t="shared" si="40"/>
        <v>-209.92</v>
      </c>
      <c r="I1242" s="120">
        <f>MLCF!E89</f>
        <v>-209.92</v>
      </c>
      <c r="J1242" s="120">
        <f t="shared" si="41"/>
        <v>0</v>
      </c>
      <c r="K1242" s="119" t="s">
        <v>1592</v>
      </c>
      <c r="L1242" s="119">
        <v>99</v>
      </c>
      <c r="M1242" s="119" t="s">
        <v>1106</v>
      </c>
      <c r="N1242" s="122" t="s">
        <v>3564</v>
      </c>
      <c r="O1242" s="122" t="s">
        <v>3565</v>
      </c>
      <c r="P1242" s="122" t="s">
        <v>4757</v>
      </c>
    </row>
    <row r="1243" spans="1:16" ht="82.05" customHeight="1" x14ac:dyDescent="0.3">
      <c r="A1243" s="50" t="s">
        <v>2760</v>
      </c>
      <c r="B1243" s="50" t="s">
        <v>106</v>
      </c>
      <c r="C1243" s="50" t="s">
        <v>27</v>
      </c>
      <c r="D1243" s="50" t="s">
        <v>368</v>
      </c>
      <c r="E1243" s="121">
        <v>-191421</v>
      </c>
      <c r="F1243" s="121">
        <v>-191421</v>
      </c>
      <c r="G1243" s="121" t="s">
        <v>2033</v>
      </c>
      <c r="H1243" s="121">
        <f t="shared" si="40"/>
        <v>-191.42099999999999</v>
      </c>
      <c r="I1243" s="121">
        <f>MLCF!F89</f>
        <v>-191.42099999999999</v>
      </c>
      <c r="J1243" s="121">
        <f t="shared" si="41"/>
        <v>0</v>
      </c>
      <c r="K1243" s="50" t="s">
        <v>1595</v>
      </c>
      <c r="L1243" s="50">
        <v>191</v>
      </c>
      <c r="M1243" s="50" t="s">
        <v>1106</v>
      </c>
      <c r="N1243" s="68" t="s">
        <v>3564</v>
      </c>
      <c r="O1243" s="68" t="s">
        <v>3565</v>
      </c>
      <c r="P1243" s="68" t="s">
        <v>4758</v>
      </c>
    </row>
    <row r="1244" spans="1:16" ht="82.05" customHeight="1" x14ac:dyDescent="0.3">
      <c r="A1244" s="119" t="s">
        <v>2761</v>
      </c>
      <c r="B1244" s="119" t="s">
        <v>106</v>
      </c>
      <c r="C1244" s="119" t="s">
        <v>28</v>
      </c>
      <c r="D1244" s="119" t="s">
        <v>368</v>
      </c>
      <c r="E1244" s="120">
        <v>-357191</v>
      </c>
      <c r="F1244" s="120">
        <v>-357191</v>
      </c>
      <c r="G1244" s="120" t="s">
        <v>2033</v>
      </c>
      <c r="H1244" s="120">
        <f t="shared" si="40"/>
        <v>-357.19099999999997</v>
      </c>
      <c r="I1244" s="120">
        <f>MLCF!G89</f>
        <v>-357.19099999999997</v>
      </c>
      <c r="J1244" s="120">
        <f t="shared" si="41"/>
        <v>0</v>
      </c>
      <c r="K1244" s="119" t="s">
        <v>1598</v>
      </c>
      <c r="L1244" s="119">
        <v>203</v>
      </c>
      <c r="M1244" s="119" t="s">
        <v>1106</v>
      </c>
      <c r="N1244" s="122" t="s">
        <v>3564</v>
      </c>
      <c r="O1244" s="122" t="s">
        <v>3565</v>
      </c>
      <c r="P1244" s="122" t="s">
        <v>4759</v>
      </c>
    </row>
    <row r="1245" spans="1:16" ht="82.05" customHeight="1" x14ac:dyDescent="0.3">
      <c r="A1245" s="50" t="s">
        <v>2762</v>
      </c>
      <c r="B1245" s="50" t="s">
        <v>106</v>
      </c>
      <c r="C1245" s="50" t="s">
        <v>29</v>
      </c>
      <c r="D1245" s="50" t="s">
        <v>368</v>
      </c>
      <c r="E1245" s="121">
        <v>-514430</v>
      </c>
      <c r="F1245" s="121">
        <v>-514430</v>
      </c>
      <c r="G1245" s="121" t="s">
        <v>2033</v>
      </c>
      <c r="H1245" s="121">
        <f t="shared" si="40"/>
        <v>-514.42999999999995</v>
      </c>
      <c r="I1245" s="121">
        <f>MLCF!H89</f>
        <v>-514.42999999999995</v>
      </c>
      <c r="J1245" s="121">
        <f t="shared" si="41"/>
        <v>0</v>
      </c>
      <c r="K1245" s="50" t="s">
        <v>1598</v>
      </c>
      <c r="L1245" s="50">
        <v>203</v>
      </c>
      <c r="M1245" s="50" t="s">
        <v>1127</v>
      </c>
      <c r="N1245" s="68" t="s">
        <v>3564</v>
      </c>
      <c r="O1245" s="68" t="s">
        <v>3565</v>
      </c>
      <c r="P1245" s="68" t="s">
        <v>4760</v>
      </c>
    </row>
    <row r="1246" spans="1:16" ht="82.05" customHeight="1" x14ac:dyDescent="0.3">
      <c r="A1246" s="119" t="s">
        <v>2763</v>
      </c>
      <c r="B1246" s="119" t="s">
        <v>106</v>
      </c>
      <c r="C1246" s="119" t="s">
        <v>20</v>
      </c>
      <c r="D1246" s="119" t="s">
        <v>370</v>
      </c>
      <c r="E1246" s="120">
        <v>-524142</v>
      </c>
      <c r="F1246" s="120">
        <v>-524142</v>
      </c>
      <c r="G1246" s="120" t="s">
        <v>2033</v>
      </c>
      <c r="H1246" s="120">
        <f t="shared" si="40"/>
        <v>-524.14200000000005</v>
      </c>
      <c r="I1246" s="120">
        <f>MLCF!D90</f>
        <v>-524.14200000000005</v>
      </c>
      <c r="J1246" s="120">
        <f t="shared" si="41"/>
        <v>0</v>
      </c>
      <c r="K1246" s="119" t="s">
        <v>1589</v>
      </c>
      <c r="L1246" s="119">
        <v>185</v>
      </c>
      <c r="M1246" s="119" t="s">
        <v>1106</v>
      </c>
      <c r="N1246" s="122" t="s">
        <v>3564</v>
      </c>
      <c r="O1246" s="122" t="s">
        <v>3565</v>
      </c>
      <c r="P1246" s="122" t="s">
        <v>4761</v>
      </c>
    </row>
    <row r="1247" spans="1:16" ht="82.05" customHeight="1" x14ac:dyDescent="0.3">
      <c r="A1247" s="50" t="s">
        <v>2765</v>
      </c>
      <c r="B1247" s="50" t="s">
        <v>106</v>
      </c>
      <c r="C1247" s="50" t="s">
        <v>26</v>
      </c>
      <c r="D1247" s="50" t="s">
        <v>370</v>
      </c>
      <c r="E1247" s="121">
        <v>-742280</v>
      </c>
      <c r="F1247" s="121">
        <v>-742280</v>
      </c>
      <c r="G1247" s="121" t="s">
        <v>2033</v>
      </c>
      <c r="H1247" s="121">
        <f t="shared" ref="H1247:H1310" si="42">F1247/1000</f>
        <v>-742.28</v>
      </c>
      <c r="I1247" s="121">
        <f>MLCF!E90</f>
        <v>-742.28</v>
      </c>
      <c r="J1247" s="121">
        <f t="shared" ref="J1247:J1310" si="43">H1247-I1247</f>
        <v>0</v>
      </c>
      <c r="K1247" s="50" t="s">
        <v>1592</v>
      </c>
      <c r="L1247" s="50">
        <v>99</v>
      </c>
      <c r="M1247" s="50" t="s">
        <v>1106</v>
      </c>
      <c r="N1247" s="68" t="s">
        <v>3564</v>
      </c>
      <c r="O1247" s="68" t="s">
        <v>3565</v>
      </c>
      <c r="P1247" s="68" t="s">
        <v>4762</v>
      </c>
    </row>
    <row r="1248" spans="1:16" ht="82.05" customHeight="1" x14ac:dyDescent="0.3">
      <c r="A1248" s="119" t="s">
        <v>2766</v>
      </c>
      <c r="B1248" s="119" t="s">
        <v>106</v>
      </c>
      <c r="C1248" s="119" t="s">
        <v>27</v>
      </c>
      <c r="D1248" s="119" t="s">
        <v>370</v>
      </c>
      <c r="E1248" s="120">
        <v>-995460</v>
      </c>
      <c r="F1248" s="120">
        <v>-995460</v>
      </c>
      <c r="G1248" s="120" t="s">
        <v>2033</v>
      </c>
      <c r="H1248" s="120">
        <f t="shared" si="42"/>
        <v>-995.46</v>
      </c>
      <c r="I1248" s="120">
        <f>MLCF!F90</f>
        <v>-995.46</v>
      </c>
      <c r="J1248" s="120">
        <f t="shared" si="43"/>
        <v>0</v>
      </c>
      <c r="K1248" s="119" t="s">
        <v>1595</v>
      </c>
      <c r="L1248" s="119">
        <v>191</v>
      </c>
      <c r="M1248" s="119" t="s">
        <v>1106</v>
      </c>
      <c r="N1248" s="122" t="s">
        <v>3564</v>
      </c>
      <c r="O1248" s="122" t="s">
        <v>3565</v>
      </c>
      <c r="P1248" s="122" t="s">
        <v>4763</v>
      </c>
    </row>
    <row r="1249" spans="1:16" ht="82.05" customHeight="1" x14ac:dyDescent="0.3">
      <c r="A1249" s="50" t="s">
        <v>2767</v>
      </c>
      <c r="B1249" s="50" t="s">
        <v>106</v>
      </c>
      <c r="C1249" s="50" t="s">
        <v>28</v>
      </c>
      <c r="D1249" s="50" t="s">
        <v>370</v>
      </c>
      <c r="E1249" s="121">
        <v>-569545</v>
      </c>
      <c r="F1249" s="121">
        <v>-569545</v>
      </c>
      <c r="G1249" s="121" t="s">
        <v>2033</v>
      </c>
      <c r="H1249" s="121">
        <f t="shared" si="42"/>
        <v>-569.54499999999996</v>
      </c>
      <c r="I1249" s="121">
        <f>MLCF!G90</f>
        <v>-569.54499999999996</v>
      </c>
      <c r="J1249" s="121">
        <f t="shared" si="43"/>
        <v>0</v>
      </c>
      <c r="K1249" s="50" t="s">
        <v>1598</v>
      </c>
      <c r="L1249" s="50">
        <v>203</v>
      </c>
      <c r="M1249" s="50" t="s">
        <v>1106</v>
      </c>
      <c r="N1249" s="68" t="s">
        <v>3564</v>
      </c>
      <c r="O1249" s="68" t="s">
        <v>3565</v>
      </c>
      <c r="P1249" s="68" t="s">
        <v>4764</v>
      </c>
    </row>
    <row r="1250" spans="1:16" ht="82.05" customHeight="1" x14ac:dyDescent="0.3">
      <c r="A1250" s="119" t="s">
        <v>2768</v>
      </c>
      <c r="B1250" s="119" t="s">
        <v>106</v>
      </c>
      <c r="C1250" s="119" t="s">
        <v>29</v>
      </c>
      <c r="D1250" s="119" t="s">
        <v>370</v>
      </c>
      <c r="E1250" s="120">
        <v>-1207018</v>
      </c>
      <c r="F1250" s="120">
        <v>-1207018</v>
      </c>
      <c r="G1250" s="120" t="s">
        <v>2033</v>
      </c>
      <c r="H1250" s="120">
        <f t="shared" si="42"/>
        <v>-1207.018</v>
      </c>
      <c r="I1250" s="120">
        <f>MLCF!H90</f>
        <v>-1207.018</v>
      </c>
      <c r="J1250" s="120">
        <f t="shared" si="43"/>
        <v>0</v>
      </c>
      <c r="K1250" s="119" t="s">
        <v>1598</v>
      </c>
      <c r="L1250" s="119">
        <v>203</v>
      </c>
      <c r="M1250" s="119" t="s">
        <v>1127</v>
      </c>
      <c r="N1250" s="122" t="s">
        <v>3564</v>
      </c>
      <c r="O1250" s="122" t="s">
        <v>3565</v>
      </c>
      <c r="P1250" s="122" t="s">
        <v>4765</v>
      </c>
    </row>
    <row r="1251" spans="1:16" ht="82.05" customHeight="1" x14ac:dyDescent="0.3">
      <c r="A1251" s="50" t="s">
        <v>2769</v>
      </c>
      <c r="B1251" s="50" t="s">
        <v>106</v>
      </c>
      <c r="C1251" s="50" t="s">
        <v>20</v>
      </c>
      <c r="D1251" s="50" t="s">
        <v>374</v>
      </c>
      <c r="E1251" s="121">
        <v>3732132</v>
      </c>
      <c r="F1251" s="121">
        <v>3732132</v>
      </c>
      <c r="G1251" s="121" t="s">
        <v>2033</v>
      </c>
      <c r="H1251" s="121">
        <f t="shared" si="42"/>
        <v>3732.1320000000001</v>
      </c>
      <c r="I1251" s="121">
        <f>MLCF!D92</f>
        <v>3732.1320000000001</v>
      </c>
      <c r="J1251" s="121">
        <f t="shared" si="43"/>
        <v>0</v>
      </c>
      <c r="K1251" s="50" t="s">
        <v>1589</v>
      </c>
      <c r="L1251" s="50">
        <v>185</v>
      </c>
      <c r="M1251" s="50" t="s">
        <v>1106</v>
      </c>
      <c r="N1251" s="68" t="s">
        <v>3564</v>
      </c>
      <c r="O1251" s="68" t="s">
        <v>3565</v>
      </c>
      <c r="P1251" s="68" t="s">
        <v>4766</v>
      </c>
    </row>
    <row r="1252" spans="1:16" ht="82.05" customHeight="1" x14ac:dyDescent="0.3">
      <c r="A1252" s="119" t="s">
        <v>2770</v>
      </c>
      <c r="B1252" s="119" t="s">
        <v>106</v>
      </c>
      <c r="C1252" s="119" t="s">
        <v>26</v>
      </c>
      <c r="D1252" s="119" t="s">
        <v>374</v>
      </c>
      <c r="E1252" s="120">
        <v>56601</v>
      </c>
      <c r="F1252" s="120">
        <v>56601</v>
      </c>
      <c r="G1252" s="120" t="s">
        <v>2033</v>
      </c>
      <c r="H1252" s="120">
        <f t="shared" si="42"/>
        <v>56.600999999999999</v>
      </c>
      <c r="I1252" s="120">
        <f>MLCF!E92</f>
        <v>56.600999999999999</v>
      </c>
      <c r="J1252" s="120">
        <f t="shared" si="43"/>
        <v>0</v>
      </c>
      <c r="K1252" s="119" t="s">
        <v>1592</v>
      </c>
      <c r="L1252" s="119">
        <v>99</v>
      </c>
      <c r="M1252" s="119" t="s">
        <v>1106</v>
      </c>
      <c r="N1252" s="122" t="s">
        <v>3564</v>
      </c>
      <c r="O1252" s="122" t="s">
        <v>3565</v>
      </c>
      <c r="P1252" s="122" t="s">
        <v>4767</v>
      </c>
    </row>
    <row r="1253" spans="1:16" ht="82.05" customHeight="1" x14ac:dyDescent="0.3">
      <c r="A1253" s="50" t="s">
        <v>2771</v>
      </c>
      <c r="B1253" s="50" t="s">
        <v>106</v>
      </c>
      <c r="C1253" s="50" t="s">
        <v>27</v>
      </c>
      <c r="D1253" s="50" t="s">
        <v>374</v>
      </c>
      <c r="E1253" s="121">
        <v>146646</v>
      </c>
      <c r="F1253" s="121">
        <v>146646</v>
      </c>
      <c r="G1253" s="121" t="s">
        <v>2033</v>
      </c>
      <c r="H1253" s="121">
        <f t="shared" si="42"/>
        <v>146.64599999999999</v>
      </c>
      <c r="I1253" s="121">
        <f>MLCF!F92</f>
        <v>146.64599999999999</v>
      </c>
      <c r="J1253" s="121">
        <f t="shared" si="43"/>
        <v>0</v>
      </c>
      <c r="K1253" s="50" t="s">
        <v>1595</v>
      </c>
      <c r="L1253" s="50">
        <v>191</v>
      </c>
      <c r="M1253" s="50" t="s">
        <v>1106</v>
      </c>
      <c r="N1253" s="68" t="s">
        <v>3564</v>
      </c>
      <c r="O1253" s="68" t="s">
        <v>3565</v>
      </c>
      <c r="P1253" s="68" t="s">
        <v>4768</v>
      </c>
    </row>
    <row r="1254" spans="1:16" ht="82.05" customHeight="1" x14ac:dyDescent="0.3">
      <c r="A1254" s="119" t="s">
        <v>2772</v>
      </c>
      <c r="B1254" s="119" t="s">
        <v>106</v>
      </c>
      <c r="C1254" s="119" t="s">
        <v>28</v>
      </c>
      <c r="D1254" s="119" t="s">
        <v>374</v>
      </c>
      <c r="E1254" s="120">
        <v>238451</v>
      </c>
      <c r="F1254" s="120">
        <v>238451</v>
      </c>
      <c r="G1254" s="120" t="s">
        <v>2033</v>
      </c>
      <c r="H1254" s="120">
        <f t="shared" si="42"/>
        <v>238.45099999999999</v>
      </c>
      <c r="I1254" s="120">
        <f>MLCF!G92</f>
        <v>238.45099999999999</v>
      </c>
      <c r="J1254" s="120">
        <f t="shared" si="43"/>
        <v>0</v>
      </c>
      <c r="K1254" s="119" t="s">
        <v>1598</v>
      </c>
      <c r="L1254" s="119">
        <v>203</v>
      </c>
      <c r="M1254" s="119" t="s">
        <v>1106</v>
      </c>
      <c r="N1254" s="122" t="s">
        <v>3564</v>
      </c>
      <c r="O1254" s="122" t="s">
        <v>3565</v>
      </c>
      <c r="P1254" s="122" t="s">
        <v>4769</v>
      </c>
    </row>
    <row r="1255" spans="1:16" ht="82.05" customHeight="1" x14ac:dyDescent="0.3">
      <c r="A1255" s="50" t="s">
        <v>2773</v>
      </c>
      <c r="B1255" s="50" t="s">
        <v>106</v>
      </c>
      <c r="C1255" s="50" t="s">
        <v>29</v>
      </c>
      <c r="D1255" s="50" t="s">
        <v>374</v>
      </c>
      <c r="E1255" s="121">
        <v>8462656</v>
      </c>
      <c r="F1255" s="121">
        <v>8462656</v>
      </c>
      <c r="G1255" s="121" t="s">
        <v>2033</v>
      </c>
      <c r="H1255" s="121">
        <f t="shared" si="42"/>
        <v>8462.6560000000009</v>
      </c>
      <c r="I1255" s="121">
        <f>MLCF!H92</f>
        <v>8462.6560000000009</v>
      </c>
      <c r="J1255" s="121">
        <f t="shared" si="43"/>
        <v>0</v>
      </c>
      <c r="K1255" s="50" t="s">
        <v>1598</v>
      </c>
      <c r="L1255" s="50">
        <v>203</v>
      </c>
      <c r="M1255" s="50" t="s">
        <v>1127</v>
      </c>
      <c r="N1255" s="68" t="s">
        <v>3564</v>
      </c>
      <c r="O1255" s="68" t="s">
        <v>3565</v>
      </c>
      <c r="P1255" s="68" t="s">
        <v>4770</v>
      </c>
    </row>
    <row r="1256" spans="1:16" ht="82.05" customHeight="1" x14ac:dyDescent="0.3">
      <c r="A1256" s="119" t="s">
        <v>2774</v>
      </c>
      <c r="B1256" s="119" t="s">
        <v>106</v>
      </c>
      <c r="C1256" s="119" t="s">
        <v>20</v>
      </c>
      <c r="D1256" s="119" t="s">
        <v>376</v>
      </c>
      <c r="E1256" s="120">
        <v>0</v>
      </c>
      <c r="F1256" s="120">
        <v>0</v>
      </c>
      <c r="G1256" s="120" t="s">
        <v>2033</v>
      </c>
      <c r="H1256" s="120">
        <f t="shared" si="42"/>
        <v>0</v>
      </c>
      <c r="I1256" s="120">
        <f>MLCF!D93</f>
        <v>0</v>
      </c>
      <c r="J1256" s="120">
        <f t="shared" si="43"/>
        <v>0</v>
      </c>
      <c r="K1256" s="119" t="s">
        <v>1589</v>
      </c>
      <c r="L1256" s="119">
        <v>185</v>
      </c>
      <c r="M1256" s="119" t="s">
        <v>1106</v>
      </c>
      <c r="N1256" s="122" t="s">
        <v>3578</v>
      </c>
      <c r="O1256" s="122" t="s">
        <v>3579</v>
      </c>
      <c r="P1256" s="122" t="s">
        <v>4771</v>
      </c>
    </row>
    <row r="1257" spans="1:16" ht="82.05" customHeight="1" x14ac:dyDescent="0.3">
      <c r="A1257" s="50" t="s">
        <v>2775</v>
      </c>
      <c r="B1257" s="50" t="s">
        <v>106</v>
      </c>
      <c r="C1257" s="50" t="s">
        <v>26</v>
      </c>
      <c r="D1257" s="50" t="s">
        <v>376</v>
      </c>
      <c r="E1257" s="121">
        <v>0</v>
      </c>
      <c r="F1257" s="121">
        <v>0</v>
      </c>
      <c r="G1257" s="121" t="s">
        <v>2033</v>
      </c>
      <c r="H1257" s="121">
        <f t="shared" si="42"/>
        <v>0</v>
      </c>
      <c r="I1257" s="121">
        <f>MLCF!E93</f>
        <v>0</v>
      </c>
      <c r="J1257" s="121">
        <f t="shared" si="43"/>
        <v>0</v>
      </c>
      <c r="K1257" s="50" t="s">
        <v>1592</v>
      </c>
      <c r="L1257" s="50">
        <v>99</v>
      </c>
      <c r="M1257" s="50" t="s">
        <v>1106</v>
      </c>
      <c r="N1257" s="68" t="s">
        <v>3578</v>
      </c>
      <c r="O1257" s="68" t="s">
        <v>3579</v>
      </c>
      <c r="P1257" s="68" t="s">
        <v>4772</v>
      </c>
    </row>
    <row r="1258" spans="1:16" ht="82.05" customHeight="1" x14ac:dyDescent="0.3">
      <c r="A1258" s="119" t="s">
        <v>2776</v>
      </c>
      <c r="B1258" s="119" t="s">
        <v>106</v>
      </c>
      <c r="C1258" s="119" t="s">
        <v>27</v>
      </c>
      <c r="D1258" s="119" t="s">
        <v>376</v>
      </c>
      <c r="E1258" s="120">
        <v>0</v>
      </c>
      <c r="F1258" s="120">
        <v>0</v>
      </c>
      <c r="G1258" s="120" t="s">
        <v>2033</v>
      </c>
      <c r="H1258" s="120">
        <f t="shared" si="42"/>
        <v>0</v>
      </c>
      <c r="I1258" s="120">
        <f>MLCF!F93</f>
        <v>0</v>
      </c>
      <c r="J1258" s="120">
        <f t="shared" si="43"/>
        <v>0</v>
      </c>
      <c r="K1258" s="119" t="s">
        <v>1595</v>
      </c>
      <c r="L1258" s="119">
        <v>191</v>
      </c>
      <c r="M1258" s="119" t="s">
        <v>1106</v>
      </c>
      <c r="N1258" s="122" t="s">
        <v>3578</v>
      </c>
      <c r="O1258" s="122" t="s">
        <v>3579</v>
      </c>
      <c r="P1258" s="122" t="s">
        <v>4773</v>
      </c>
    </row>
    <row r="1259" spans="1:16" ht="82.05" customHeight="1" x14ac:dyDescent="0.3">
      <c r="A1259" s="50" t="s">
        <v>2777</v>
      </c>
      <c r="B1259" s="50" t="s">
        <v>106</v>
      </c>
      <c r="C1259" s="50" t="s">
        <v>28</v>
      </c>
      <c r="D1259" s="50" t="s">
        <v>376</v>
      </c>
      <c r="E1259" s="121">
        <v>117691</v>
      </c>
      <c r="F1259" s="121">
        <v>117691</v>
      </c>
      <c r="G1259" s="121" t="s">
        <v>2033</v>
      </c>
      <c r="H1259" s="121">
        <f t="shared" si="42"/>
        <v>117.691</v>
      </c>
      <c r="I1259" s="121">
        <f>MLCF!G93</f>
        <v>117.691</v>
      </c>
      <c r="J1259" s="121">
        <f t="shared" si="43"/>
        <v>0</v>
      </c>
      <c r="K1259" s="50" t="s">
        <v>1598</v>
      </c>
      <c r="L1259" s="50">
        <v>203</v>
      </c>
      <c r="M1259" s="50" t="s">
        <v>1106</v>
      </c>
      <c r="N1259" s="68" t="s">
        <v>3564</v>
      </c>
      <c r="O1259" s="68" t="s">
        <v>3565</v>
      </c>
      <c r="P1259" s="68" t="s">
        <v>4774</v>
      </c>
    </row>
    <row r="1260" spans="1:16" ht="82.05" customHeight="1" x14ac:dyDescent="0.3">
      <c r="A1260" s="119" t="s">
        <v>2779</v>
      </c>
      <c r="B1260" s="119" t="s">
        <v>106</v>
      </c>
      <c r="C1260" s="119" t="s">
        <v>29</v>
      </c>
      <c r="D1260" s="119" t="s">
        <v>376</v>
      </c>
      <c r="E1260" s="120">
        <v>1031075</v>
      </c>
      <c r="F1260" s="120">
        <v>1031075</v>
      </c>
      <c r="G1260" s="120" t="s">
        <v>2033</v>
      </c>
      <c r="H1260" s="120">
        <f t="shared" si="42"/>
        <v>1031.075</v>
      </c>
      <c r="I1260" s="120">
        <f>MLCF!H93</f>
        <v>1031.075</v>
      </c>
      <c r="J1260" s="120">
        <f t="shared" si="43"/>
        <v>0</v>
      </c>
      <c r="K1260" s="119" t="s">
        <v>1598</v>
      </c>
      <c r="L1260" s="119">
        <v>203</v>
      </c>
      <c r="M1260" s="119" t="s">
        <v>1127</v>
      </c>
      <c r="N1260" s="122" t="s">
        <v>3564</v>
      </c>
      <c r="O1260" s="122" t="s">
        <v>3565</v>
      </c>
      <c r="P1260" s="122" t="s">
        <v>4775</v>
      </c>
    </row>
    <row r="1261" spans="1:16" ht="82.05" customHeight="1" x14ac:dyDescent="0.3">
      <c r="A1261" s="50" t="s">
        <v>2780</v>
      </c>
      <c r="B1261" s="50" t="s">
        <v>106</v>
      </c>
      <c r="C1261" s="50" t="s">
        <v>20</v>
      </c>
      <c r="D1261" s="50" t="s">
        <v>378</v>
      </c>
      <c r="E1261" s="121">
        <v>0</v>
      </c>
      <c r="F1261" s="121">
        <v>0</v>
      </c>
      <c r="G1261" s="121" t="s">
        <v>2033</v>
      </c>
      <c r="H1261" s="121">
        <f t="shared" si="42"/>
        <v>0</v>
      </c>
      <c r="I1261" s="121">
        <f>MLCF!D94</f>
        <v>0</v>
      </c>
      <c r="J1261" s="121">
        <f t="shared" si="43"/>
        <v>0</v>
      </c>
      <c r="K1261" s="50" t="s">
        <v>1589</v>
      </c>
      <c r="L1261" s="50">
        <v>185</v>
      </c>
      <c r="M1261" s="50" t="s">
        <v>1106</v>
      </c>
      <c r="N1261" s="68" t="s">
        <v>3578</v>
      </c>
      <c r="O1261" s="68" t="s">
        <v>3579</v>
      </c>
      <c r="P1261" s="68" t="s">
        <v>4776</v>
      </c>
    </row>
    <row r="1262" spans="1:16" ht="82.05" customHeight="1" x14ac:dyDescent="0.3">
      <c r="A1262" s="119" t="s">
        <v>2781</v>
      </c>
      <c r="B1262" s="119" t="s">
        <v>106</v>
      </c>
      <c r="C1262" s="119" t="s">
        <v>26</v>
      </c>
      <c r="D1262" s="119" t="s">
        <v>378</v>
      </c>
      <c r="E1262" s="120">
        <v>0</v>
      </c>
      <c r="F1262" s="120">
        <v>0</v>
      </c>
      <c r="G1262" s="120" t="s">
        <v>2033</v>
      </c>
      <c r="H1262" s="120">
        <f t="shared" si="42"/>
        <v>0</v>
      </c>
      <c r="I1262" s="120">
        <f>MLCF!E94</f>
        <v>0</v>
      </c>
      <c r="J1262" s="120">
        <f t="shared" si="43"/>
        <v>0</v>
      </c>
      <c r="K1262" s="119" t="s">
        <v>1592</v>
      </c>
      <c r="L1262" s="119">
        <v>99</v>
      </c>
      <c r="M1262" s="119" t="s">
        <v>1106</v>
      </c>
      <c r="N1262" s="122" t="s">
        <v>3578</v>
      </c>
      <c r="O1262" s="122" t="s">
        <v>3579</v>
      </c>
      <c r="P1262" s="122" t="s">
        <v>4777</v>
      </c>
    </row>
    <row r="1263" spans="1:16" ht="82.05" customHeight="1" x14ac:dyDescent="0.3">
      <c r="A1263" s="50" t="s">
        <v>2782</v>
      </c>
      <c r="B1263" s="50" t="s">
        <v>106</v>
      </c>
      <c r="C1263" s="50" t="s">
        <v>27</v>
      </c>
      <c r="D1263" s="50" t="s">
        <v>378</v>
      </c>
      <c r="E1263" s="121">
        <v>0</v>
      </c>
      <c r="F1263" s="121">
        <v>0</v>
      </c>
      <c r="G1263" s="121" t="s">
        <v>2033</v>
      </c>
      <c r="H1263" s="121">
        <f t="shared" si="42"/>
        <v>0</v>
      </c>
      <c r="I1263" s="121">
        <f>MLCF!F94</f>
        <v>0</v>
      </c>
      <c r="J1263" s="121">
        <f t="shared" si="43"/>
        <v>0</v>
      </c>
      <c r="K1263" s="50" t="s">
        <v>1595</v>
      </c>
      <c r="L1263" s="50">
        <v>191</v>
      </c>
      <c r="M1263" s="50" t="s">
        <v>1106</v>
      </c>
      <c r="N1263" s="68" t="s">
        <v>3578</v>
      </c>
      <c r="O1263" s="68" t="s">
        <v>3579</v>
      </c>
      <c r="P1263" s="68" t="s">
        <v>4778</v>
      </c>
    </row>
    <row r="1264" spans="1:16" ht="82.05" customHeight="1" x14ac:dyDescent="0.3">
      <c r="A1264" s="119" t="s">
        <v>2783</v>
      </c>
      <c r="B1264" s="119" t="s">
        <v>106</v>
      </c>
      <c r="C1264" s="119" t="s">
        <v>28</v>
      </c>
      <c r="D1264" s="119" t="s">
        <v>378</v>
      </c>
      <c r="E1264" s="120">
        <v>0</v>
      </c>
      <c r="F1264" s="120">
        <v>0</v>
      </c>
      <c r="G1264" s="120" t="s">
        <v>2033</v>
      </c>
      <c r="H1264" s="120">
        <f t="shared" si="42"/>
        <v>0</v>
      </c>
      <c r="I1264" s="120">
        <f>MLCF!G94</f>
        <v>0</v>
      </c>
      <c r="J1264" s="120">
        <f t="shared" si="43"/>
        <v>0</v>
      </c>
      <c r="K1264" s="119" t="s">
        <v>1598</v>
      </c>
      <c r="L1264" s="119">
        <v>203</v>
      </c>
      <c r="M1264" s="119" t="s">
        <v>1106</v>
      </c>
      <c r="N1264" s="122" t="s">
        <v>3578</v>
      </c>
      <c r="O1264" s="122" t="s">
        <v>3579</v>
      </c>
      <c r="P1264" s="122" t="s">
        <v>4779</v>
      </c>
    </row>
    <row r="1265" spans="1:16" ht="82.05" customHeight="1" x14ac:dyDescent="0.3">
      <c r="A1265" s="50" t="s">
        <v>2784</v>
      </c>
      <c r="B1265" s="50" t="s">
        <v>106</v>
      </c>
      <c r="C1265" s="50" t="s">
        <v>29</v>
      </c>
      <c r="D1265" s="50" t="s">
        <v>378</v>
      </c>
      <c r="E1265" s="121">
        <v>0</v>
      </c>
      <c r="F1265" s="121">
        <v>0</v>
      </c>
      <c r="G1265" s="121" t="s">
        <v>2033</v>
      </c>
      <c r="H1265" s="121">
        <f t="shared" si="42"/>
        <v>0</v>
      </c>
      <c r="I1265" s="121">
        <f>MLCF!H94</f>
        <v>0</v>
      </c>
      <c r="J1265" s="121">
        <f t="shared" si="43"/>
        <v>0</v>
      </c>
      <c r="K1265" s="50" t="s">
        <v>1598</v>
      </c>
      <c r="L1265" s="50">
        <v>203</v>
      </c>
      <c r="M1265" s="50" t="s">
        <v>1127</v>
      </c>
      <c r="N1265" s="68" t="s">
        <v>3578</v>
      </c>
      <c r="O1265" s="68" t="s">
        <v>3579</v>
      </c>
      <c r="P1265" s="68" t="s">
        <v>4779</v>
      </c>
    </row>
    <row r="1266" spans="1:16" ht="82.05" customHeight="1" x14ac:dyDescent="0.3">
      <c r="A1266" s="119" t="s">
        <v>2785</v>
      </c>
      <c r="B1266" s="119" t="s">
        <v>106</v>
      </c>
      <c r="C1266" s="119" t="s">
        <v>20</v>
      </c>
      <c r="D1266" s="119" t="s">
        <v>380</v>
      </c>
      <c r="E1266" s="120">
        <v>-1493930</v>
      </c>
      <c r="F1266" s="120">
        <v>-1493930</v>
      </c>
      <c r="G1266" s="120" t="s">
        <v>2033</v>
      </c>
      <c r="H1266" s="120">
        <f t="shared" si="42"/>
        <v>-1493.93</v>
      </c>
      <c r="I1266" s="120">
        <f>MLCF!D95</f>
        <v>-1493.93</v>
      </c>
      <c r="J1266" s="120">
        <f t="shared" si="43"/>
        <v>0</v>
      </c>
      <c r="K1266" s="119" t="s">
        <v>1589</v>
      </c>
      <c r="L1266" s="119">
        <v>185</v>
      </c>
      <c r="M1266" s="119" t="s">
        <v>1106</v>
      </c>
      <c r="N1266" s="122" t="s">
        <v>3564</v>
      </c>
      <c r="O1266" s="122" t="s">
        <v>3565</v>
      </c>
      <c r="P1266" s="122" t="s">
        <v>4780</v>
      </c>
    </row>
    <row r="1267" spans="1:16" ht="82.05" customHeight="1" x14ac:dyDescent="0.3">
      <c r="A1267" s="50" t="s">
        <v>2786</v>
      </c>
      <c r="B1267" s="50" t="s">
        <v>106</v>
      </c>
      <c r="C1267" s="50" t="s">
        <v>26</v>
      </c>
      <c r="D1267" s="50" t="s">
        <v>380</v>
      </c>
      <c r="E1267" s="121">
        <v>-1741026</v>
      </c>
      <c r="F1267" s="121">
        <v>-1741026</v>
      </c>
      <c r="G1267" s="121" t="s">
        <v>2033</v>
      </c>
      <c r="H1267" s="121">
        <f t="shared" si="42"/>
        <v>-1741.0260000000001</v>
      </c>
      <c r="I1267" s="121">
        <f>MLCF!E95</f>
        <v>-1741.0260000000001</v>
      </c>
      <c r="J1267" s="121">
        <f t="shared" si="43"/>
        <v>0</v>
      </c>
      <c r="K1267" s="50" t="s">
        <v>1592</v>
      </c>
      <c r="L1267" s="50">
        <v>99</v>
      </c>
      <c r="M1267" s="50" t="s">
        <v>1106</v>
      </c>
      <c r="N1267" s="68" t="s">
        <v>3564</v>
      </c>
      <c r="O1267" s="68" t="s">
        <v>3565</v>
      </c>
      <c r="P1267" s="68" t="s">
        <v>4781</v>
      </c>
    </row>
    <row r="1268" spans="1:16" ht="82.05" customHeight="1" x14ac:dyDescent="0.3">
      <c r="A1268" s="119" t="s">
        <v>2787</v>
      </c>
      <c r="B1268" s="119" t="s">
        <v>106</v>
      </c>
      <c r="C1268" s="119" t="s">
        <v>27</v>
      </c>
      <c r="D1268" s="119" t="s">
        <v>380</v>
      </c>
      <c r="E1268" s="120">
        <v>-2750748</v>
      </c>
      <c r="F1268" s="120">
        <v>-2750748</v>
      </c>
      <c r="G1268" s="120" t="s">
        <v>2033</v>
      </c>
      <c r="H1268" s="120">
        <f t="shared" si="42"/>
        <v>-2750.748</v>
      </c>
      <c r="I1268" s="120">
        <f>MLCF!F95</f>
        <v>-2750.748</v>
      </c>
      <c r="J1268" s="120">
        <f t="shared" si="43"/>
        <v>0</v>
      </c>
      <c r="K1268" s="119" t="s">
        <v>1595</v>
      </c>
      <c r="L1268" s="119">
        <v>191</v>
      </c>
      <c r="M1268" s="119" t="s">
        <v>1106</v>
      </c>
      <c r="N1268" s="122" t="s">
        <v>3564</v>
      </c>
      <c r="O1268" s="122" t="s">
        <v>3565</v>
      </c>
      <c r="P1268" s="122" t="s">
        <v>4782</v>
      </c>
    </row>
    <row r="1269" spans="1:16" ht="82.05" customHeight="1" x14ac:dyDescent="0.3">
      <c r="A1269" s="50" t="s">
        <v>2788</v>
      </c>
      <c r="B1269" s="50" t="s">
        <v>106</v>
      </c>
      <c r="C1269" s="50" t="s">
        <v>28</v>
      </c>
      <c r="D1269" s="50" t="s">
        <v>380</v>
      </c>
      <c r="E1269" s="121">
        <v>-4138286</v>
      </c>
      <c r="F1269" s="121">
        <v>-4138286</v>
      </c>
      <c r="G1269" s="121" t="s">
        <v>2033</v>
      </c>
      <c r="H1269" s="121">
        <f t="shared" si="42"/>
        <v>-4138.2860000000001</v>
      </c>
      <c r="I1269" s="121">
        <f>MLCF!G95</f>
        <v>-4138.2860000000001</v>
      </c>
      <c r="J1269" s="121">
        <f t="shared" si="43"/>
        <v>0</v>
      </c>
      <c r="K1269" s="50" t="s">
        <v>1598</v>
      </c>
      <c r="L1269" s="50">
        <v>203</v>
      </c>
      <c r="M1269" s="50" t="s">
        <v>1106</v>
      </c>
      <c r="N1269" s="68" t="s">
        <v>3564</v>
      </c>
      <c r="O1269" s="68" t="s">
        <v>3565</v>
      </c>
      <c r="P1269" s="68" t="s">
        <v>4783</v>
      </c>
    </row>
    <row r="1270" spans="1:16" ht="82.05" customHeight="1" x14ac:dyDescent="0.3">
      <c r="A1270" s="119" t="s">
        <v>2789</v>
      </c>
      <c r="B1270" s="119" t="s">
        <v>106</v>
      </c>
      <c r="C1270" s="119" t="s">
        <v>29</v>
      </c>
      <c r="D1270" s="119" t="s">
        <v>380</v>
      </c>
      <c r="E1270" s="120">
        <v>-3554788</v>
      </c>
      <c r="F1270" s="120">
        <v>-3554788</v>
      </c>
      <c r="G1270" s="120" t="s">
        <v>2033</v>
      </c>
      <c r="H1270" s="120">
        <f t="shared" si="42"/>
        <v>-3554.788</v>
      </c>
      <c r="I1270" s="120">
        <f>MLCF!H95</f>
        <v>-3554.788</v>
      </c>
      <c r="J1270" s="120">
        <f t="shared" si="43"/>
        <v>0</v>
      </c>
      <c r="K1270" s="119" t="s">
        <v>1598</v>
      </c>
      <c r="L1270" s="119">
        <v>203</v>
      </c>
      <c r="M1270" s="119" t="s">
        <v>1127</v>
      </c>
      <c r="N1270" s="122" t="s">
        <v>3564</v>
      </c>
      <c r="O1270" s="122" t="s">
        <v>3565</v>
      </c>
      <c r="P1270" s="122" t="s">
        <v>4784</v>
      </c>
    </row>
    <row r="1271" spans="1:16" ht="82.05" customHeight="1" x14ac:dyDescent="0.3">
      <c r="A1271" s="50" t="s">
        <v>2790</v>
      </c>
      <c r="B1271" s="50" t="s">
        <v>106</v>
      </c>
      <c r="C1271" s="50" t="s">
        <v>20</v>
      </c>
      <c r="D1271" s="50" t="s">
        <v>384</v>
      </c>
      <c r="E1271" s="121">
        <v>0</v>
      </c>
      <c r="F1271" s="121">
        <v>0</v>
      </c>
      <c r="G1271" s="121" t="s">
        <v>2033</v>
      </c>
      <c r="H1271" s="121">
        <f t="shared" si="42"/>
        <v>0</v>
      </c>
      <c r="I1271" s="121">
        <f>MLCF!D97</f>
        <v>0</v>
      </c>
      <c r="J1271" s="121">
        <f t="shared" si="43"/>
        <v>0</v>
      </c>
      <c r="K1271" s="50" t="s">
        <v>1589</v>
      </c>
      <c r="L1271" s="50">
        <v>185</v>
      </c>
      <c r="M1271" s="50" t="s">
        <v>1106</v>
      </c>
      <c r="N1271" s="68" t="s">
        <v>3578</v>
      </c>
      <c r="O1271" s="68" t="s">
        <v>3579</v>
      </c>
      <c r="P1271" s="68" t="s">
        <v>4785</v>
      </c>
    </row>
    <row r="1272" spans="1:16" ht="82.05" customHeight="1" x14ac:dyDescent="0.3">
      <c r="A1272" s="119" t="s">
        <v>2791</v>
      </c>
      <c r="B1272" s="119" t="s">
        <v>106</v>
      </c>
      <c r="C1272" s="119" t="s">
        <v>26</v>
      </c>
      <c r="D1272" s="119" t="s">
        <v>384</v>
      </c>
      <c r="E1272" s="120">
        <v>0</v>
      </c>
      <c r="F1272" s="120">
        <v>0</v>
      </c>
      <c r="G1272" s="120" t="s">
        <v>2033</v>
      </c>
      <c r="H1272" s="120">
        <f t="shared" si="42"/>
        <v>0</v>
      </c>
      <c r="I1272" s="120">
        <f>MLCF!E97</f>
        <v>0</v>
      </c>
      <c r="J1272" s="120">
        <f t="shared" si="43"/>
        <v>0</v>
      </c>
      <c r="K1272" s="119" t="s">
        <v>1592</v>
      </c>
      <c r="L1272" s="119">
        <v>99</v>
      </c>
      <c r="M1272" s="119" t="s">
        <v>1106</v>
      </c>
      <c r="N1272" s="122" t="s">
        <v>3578</v>
      </c>
      <c r="O1272" s="122" t="s">
        <v>3579</v>
      </c>
      <c r="P1272" s="122" t="s">
        <v>4786</v>
      </c>
    </row>
    <row r="1273" spans="1:16" ht="82.05" customHeight="1" x14ac:dyDescent="0.3">
      <c r="A1273" s="50" t="s">
        <v>2792</v>
      </c>
      <c r="B1273" s="50" t="s">
        <v>106</v>
      </c>
      <c r="C1273" s="50" t="s">
        <v>27</v>
      </c>
      <c r="D1273" s="50" t="s">
        <v>384</v>
      </c>
      <c r="E1273" s="121">
        <v>-12192</v>
      </c>
      <c r="F1273" s="121">
        <v>-12192</v>
      </c>
      <c r="G1273" s="121" t="s">
        <v>2033</v>
      </c>
      <c r="H1273" s="121">
        <f t="shared" si="42"/>
        <v>-12.192</v>
      </c>
      <c r="I1273" s="121">
        <f>MLCF!F97</f>
        <v>-12.192</v>
      </c>
      <c r="J1273" s="121">
        <f t="shared" si="43"/>
        <v>0</v>
      </c>
      <c r="K1273" s="50" t="s">
        <v>1595</v>
      </c>
      <c r="L1273" s="50">
        <v>191</v>
      </c>
      <c r="M1273" s="50" t="s">
        <v>1106</v>
      </c>
      <c r="N1273" s="68" t="s">
        <v>3564</v>
      </c>
      <c r="O1273" s="68" t="s">
        <v>3565</v>
      </c>
      <c r="P1273" s="68" t="s">
        <v>4787</v>
      </c>
    </row>
    <row r="1274" spans="1:16" ht="82.05" customHeight="1" x14ac:dyDescent="0.3">
      <c r="A1274" s="119" t="s">
        <v>2794</v>
      </c>
      <c r="B1274" s="119" t="s">
        <v>106</v>
      </c>
      <c r="C1274" s="119" t="s">
        <v>28</v>
      </c>
      <c r="D1274" s="119" t="s">
        <v>384</v>
      </c>
      <c r="E1274" s="120">
        <v>-45804</v>
      </c>
      <c r="F1274" s="120">
        <v>-45804</v>
      </c>
      <c r="G1274" s="120" t="s">
        <v>2033</v>
      </c>
      <c r="H1274" s="120">
        <f t="shared" si="42"/>
        <v>-45.804000000000002</v>
      </c>
      <c r="I1274" s="120">
        <f>MLCF!G97</f>
        <v>-45.804000000000002</v>
      </c>
      <c r="J1274" s="120">
        <f t="shared" si="43"/>
        <v>0</v>
      </c>
      <c r="K1274" s="119" t="s">
        <v>1598</v>
      </c>
      <c r="L1274" s="119">
        <v>203</v>
      </c>
      <c r="M1274" s="119" t="s">
        <v>1106</v>
      </c>
      <c r="N1274" s="122" t="s">
        <v>3564</v>
      </c>
      <c r="O1274" s="122" t="s">
        <v>3565</v>
      </c>
      <c r="P1274" s="122" t="s">
        <v>4788</v>
      </c>
    </row>
    <row r="1275" spans="1:16" ht="82.05" customHeight="1" x14ac:dyDescent="0.3">
      <c r="A1275" s="50" t="s">
        <v>2796</v>
      </c>
      <c r="B1275" s="50" t="s">
        <v>106</v>
      </c>
      <c r="C1275" s="50" t="s">
        <v>29</v>
      </c>
      <c r="D1275" s="50" t="s">
        <v>384</v>
      </c>
      <c r="E1275" s="121">
        <v>-38972</v>
      </c>
      <c r="F1275" s="121">
        <v>-38972</v>
      </c>
      <c r="G1275" s="121" t="s">
        <v>2033</v>
      </c>
      <c r="H1275" s="121">
        <f t="shared" si="42"/>
        <v>-38.972000000000001</v>
      </c>
      <c r="I1275" s="121">
        <f>MLCF!H97</f>
        <v>-38.972000000000001</v>
      </c>
      <c r="J1275" s="121">
        <f t="shared" si="43"/>
        <v>0</v>
      </c>
      <c r="K1275" s="50" t="s">
        <v>1598</v>
      </c>
      <c r="L1275" s="50">
        <v>203</v>
      </c>
      <c r="M1275" s="50" t="s">
        <v>1127</v>
      </c>
      <c r="N1275" s="68" t="s">
        <v>3564</v>
      </c>
      <c r="O1275" s="68" t="s">
        <v>3565</v>
      </c>
      <c r="P1275" s="68" t="s">
        <v>4789</v>
      </c>
    </row>
    <row r="1276" spans="1:16" ht="82.05" customHeight="1" x14ac:dyDescent="0.3">
      <c r="A1276" s="119" t="s">
        <v>2797</v>
      </c>
      <c r="B1276" s="119" t="s">
        <v>106</v>
      </c>
      <c r="C1276" s="119" t="s">
        <v>20</v>
      </c>
      <c r="D1276" s="119" t="s">
        <v>386</v>
      </c>
      <c r="E1276" s="120">
        <v>-1035492</v>
      </c>
      <c r="F1276" s="120">
        <v>-1035492</v>
      </c>
      <c r="G1276" s="120" t="s">
        <v>2033</v>
      </c>
      <c r="H1276" s="120">
        <f t="shared" si="42"/>
        <v>-1035.492</v>
      </c>
      <c r="I1276" s="120">
        <f>MLCF!D98</f>
        <v>-1035.492</v>
      </c>
      <c r="J1276" s="120">
        <f t="shared" si="43"/>
        <v>0</v>
      </c>
      <c r="K1276" s="119" t="s">
        <v>1589</v>
      </c>
      <c r="L1276" s="119">
        <v>185</v>
      </c>
      <c r="M1276" s="119" t="s">
        <v>1106</v>
      </c>
      <c r="N1276" s="122" t="s">
        <v>3564</v>
      </c>
      <c r="O1276" s="122" t="s">
        <v>3565</v>
      </c>
      <c r="P1276" s="122" t="s">
        <v>4790</v>
      </c>
    </row>
    <row r="1277" spans="1:16" ht="82.05" customHeight="1" x14ac:dyDescent="0.3">
      <c r="A1277" s="50" t="s">
        <v>2798</v>
      </c>
      <c r="B1277" s="50" t="s">
        <v>106</v>
      </c>
      <c r="C1277" s="50" t="s">
        <v>26</v>
      </c>
      <c r="D1277" s="50" t="s">
        <v>386</v>
      </c>
      <c r="E1277" s="121">
        <v>-3557172</v>
      </c>
      <c r="F1277" s="121">
        <v>-3557172</v>
      </c>
      <c r="G1277" s="121" t="s">
        <v>2033</v>
      </c>
      <c r="H1277" s="121">
        <f t="shared" si="42"/>
        <v>-3557.172</v>
      </c>
      <c r="I1277" s="121">
        <f>MLCF!E98</f>
        <v>-3557.172</v>
      </c>
      <c r="J1277" s="121">
        <f t="shared" si="43"/>
        <v>0</v>
      </c>
      <c r="K1277" s="50" t="s">
        <v>1592</v>
      </c>
      <c r="L1277" s="50">
        <v>99</v>
      </c>
      <c r="M1277" s="50" t="s">
        <v>1106</v>
      </c>
      <c r="N1277" s="68" t="s">
        <v>3564</v>
      </c>
      <c r="O1277" s="68" t="s">
        <v>3565</v>
      </c>
      <c r="P1277" s="68" t="s">
        <v>4791</v>
      </c>
    </row>
    <row r="1278" spans="1:16" ht="82.05" customHeight="1" x14ac:dyDescent="0.3">
      <c r="A1278" s="119" t="s">
        <v>2799</v>
      </c>
      <c r="B1278" s="119" t="s">
        <v>106</v>
      </c>
      <c r="C1278" s="119" t="s">
        <v>27</v>
      </c>
      <c r="D1278" s="119" t="s">
        <v>386</v>
      </c>
      <c r="E1278" s="120">
        <v>-4746806</v>
      </c>
      <c r="F1278" s="120">
        <v>-4746806</v>
      </c>
      <c r="G1278" s="120" t="s">
        <v>2033</v>
      </c>
      <c r="H1278" s="120">
        <f t="shared" si="42"/>
        <v>-4746.8059999999996</v>
      </c>
      <c r="I1278" s="120">
        <f>MLCF!F98</f>
        <v>-4746.8059999999996</v>
      </c>
      <c r="J1278" s="120">
        <f t="shared" si="43"/>
        <v>0</v>
      </c>
      <c r="K1278" s="119" t="s">
        <v>1595</v>
      </c>
      <c r="L1278" s="119">
        <v>191</v>
      </c>
      <c r="M1278" s="119" t="s">
        <v>1106</v>
      </c>
      <c r="N1278" s="122" t="s">
        <v>3564</v>
      </c>
      <c r="O1278" s="122" t="s">
        <v>3565</v>
      </c>
      <c r="P1278" s="122" t="s">
        <v>4792</v>
      </c>
    </row>
    <row r="1279" spans="1:16" ht="82.05" customHeight="1" x14ac:dyDescent="0.3">
      <c r="A1279" s="50" t="s">
        <v>2800</v>
      </c>
      <c r="B1279" s="50" t="s">
        <v>106</v>
      </c>
      <c r="C1279" s="50" t="s">
        <v>28</v>
      </c>
      <c r="D1279" s="50" t="s">
        <v>386</v>
      </c>
      <c r="E1279" s="121">
        <v>-3613117</v>
      </c>
      <c r="F1279" s="121">
        <v>-3613117</v>
      </c>
      <c r="G1279" s="121" t="s">
        <v>2033</v>
      </c>
      <c r="H1279" s="121">
        <f t="shared" si="42"/>
        <v>-3613.1170000000002</v>
      </c>
      <c r="I1279" s="121">
        <f>MLCF!G98</f>
        <v>-3613.1170000000002</v>
      </c>
      <c r="J1279" s="121">
        <f t="shared" si="43"/>
        <v>0</v>
      </c>
      <c r="K1279" s="50" t="s">
        <v>1598</v>
      </c>
      <c r="L1279" s="50">
        <v>203</v>
      </c>
      <c r="M1279" s="50" t="s">
        <v>1106</v>
      </c>
      <c r="N1279" s="68" t="s">
        <v>3564</v>
      </c>
      <c r="O1279" s="68" t="s">
        <v>3565</v>
      </c>
      <c r="P1279" s="68" t="s">
        <v>4793</v>
      </c>
    </row>
    <row r="1280" spans="1:16" ht="82.05" customHeight="1" x14ac:dyDescent="0.3">
      <c r="A1280" s="119" t="s">
        <v>2801</v>
      </c>
      <c r="B1280" s="119" t="s">
        <v>106</v>
      </c>
      <c r="C1280" s="119" t="s">
        <v>29</v>
      </c>
      <c r="D1280" s="119" t="s">
        <v>386</v>
      </c>
      <c r="E1280" s="120">
        <v>-4588891</v>
      </c>
      <c r="F1280" s="120">
        <v>-4588891</v>
      </c>
      <c r="G1280" s="120" t="s">
        <v>2033</v>
      </c>
      <c r="H1280" s="120">
        <f t="shared" si="42"/>
        <v>-4588.8909999999996</v>
      </c>
      <c r="I1280" s="120">
        <f>MLCF!H98</f>
        <v>-4588.8909999999996</v>
      </c>
      <c r="J1280" s="120">
        <f t="shared" si="43"/>
        <v>0</v>
      </c>
      <c r="K1280" s="119" t="s">
        <v>1598</v>
      </c>
      <c r="L1280" s="119">
        <v>203</v>
      </c>
      <c r="M1280" s="119" t="s">
        <v>1127</v>
      </c>
      <c r="N1280" s="122" t="s">
        <v>3564</v>
      </c>
      <c r="O1280" s="122" t="s">
        <v>3565</v>
      </c>
      <c r="P1280" s="122" t="s">
        <v>4794</v>
      </c>
    </row>
    <row r="1281" spans="1:16" ht="82.05" customHeight="1" x14ac:dyDescent="0.3">
      <c r="A1281" s="50" t="s">
        <v>2802</v>
      </c>
      <c r="B1281" s="50" t="s">
        <v>106</v>
      </c>
      <c r="C1281" s="50" t="s">
        <v>20</v>
      </c>
      <c r="D1281" s="50" t="s">
        <v>390</v>
      </c>
      <c r="E1281" s="121">
        <v>7402882</v>
      </c>
      <c r="F1281" s="121">
        <v>7402882</v>
      </c>
      <c r="G1281" s="121" t="s">
        <v>2033</v>
      </c>
      <c r="H1281" s="121">
        <f t="shared" si="42"/>
        <v>7402.8819999999996</v>
      </c>
      <c r="I1281" s="121">
        <f>MLCF!D100</f>
        <v>7402.8819999999996</v>
      </c>
      <c r="J1281" s="121">
        <f t="shared" si="43"/>
        <v>0</v>
      </c>
      <c r="K1281" s="50" t="s">
        <v>1589</v>
      </c>
      <c r="L1281" s="50">
        <v>185</v>
      </c>
      <c r="M1281" s="50" t="s">
        <v>1106</v>
      </c>
      <c r="N1281" s="68" t="s">
        <v>3564</v>
      </c>
      <c r="O1281" s="68" t="s">
        <v>3565</v>
      </c>
      <c r="P1281" s="68" t="s">
        <v>4795</v>
      </c>
    </row>
    <row r="1282" spans="1:16" ht="82.05" customHeight="1" x14ac:dyDescent="0.3">
      <c r="A1282" s="119" t="s">
        <v>2803</v>
      </c>
      <c r="B1282" s="119" t="s">
        <v>106</v>
      </c>
      <c r="C1282" s="119" t="s">
        <v>26</v>
      </c>
      <c r="D1282" s="119" t="s">
        <v>390</v>
      </c>
      <c r="E1282" s="120">
        <v>12275466</v>
      </c>
      <c r="F1282" s="120">
        <v>12275466</v>
      </c>
      <c r="G1282" s="120" t="s">
        <v>2033</v>
      </c>
      <c r="H1282" s="120">
        <f t="shared" si="42"/>
        <v>12275.466</v>
      </c>
      <c r="I1282" s="120">
        <f>MLCF!E100</f>
        <v>12275.466</v>
      </c>
      <c r="J1282" s="120">
        <f t="shared" si="43"/>
        <v>0</v>
      </c>
      <c r="K1282" s="119" t="s">
        <v>1592</v>
      </c>
      <c r="L1282" s="119">
        <v>99</v>
      </c>
      <c r="M1282" s="119" t="s">
        <v>1106</v>
      </c>
      <c r="N1282" s="122" t="s">
        <v>3564</v>
      </c>
      <c r="O1282" s="122" t="s">
        <v>3565</v>
      </c>
      <c r="P1282" s="122" t="s">
        <v>4796</v>
      </c>
    </row>
    <row r="1283" spans="1:16" ht="82.05" customHeight="1" x14ac:dyDescent="0.3">
      <c r="A1283" s="50" t="s">
        <v>2804</v>
      </c>
      <c r="B1283" s="50" t="s">
        <v>106</v>
      </c>
      <c r="C1283" s="50" t="s">
        <v>27</v>
      </c>
      <c r="D1283" s="50" t="s">
        <v>390</v>
      </c>
      <c r="E1283" s="121">
        <v>18173353</v>
      </c>
      <c r="F1283" s="121">
        <v>18173353</v>
      </c>
      <c r="G1283" s="121" t="s">
        <v>2033</v>
      </c>
      <c r="H1283" s="121">
        <f t="shared" si="42"/>
        <v>18173.352999999999</v>
      </c>
      <c r="I1283" s="121">
        <f>MLCF!F100</f>
        <v>18173.352999999999</v>
      </c>
      <c r="J1283" s="121">
        <f t="shared" si="43"/>
        <v>0</v>
      </c>
      <c r="K1283" s="50" t="s">
        <v>1595</v>
      </c>
      <c r="L1283" s="50">
        <v>191</v>
      </c>
      <c r="M1283" s="50" t="s">
        <v>1106</v>
      </c>
      <c r="N1283" s="68" t="s">
        <v>3564</v>
      </c>
      <c r="O1283" s="68" t="s">
        <v>3565</v>
      </c>
      <c r="P1283" s="68" t="s">
        <v>4797</v>
      </c>
    </row>
    <row r="1284" spans="1:16" ht="82.05" customHeight="1" x14ac:dyDescent="0.3">
      <c r="A1284" s="119" t="s">
        <v>2805</v>
      </c>
      <c r="B1284" s="119" t="s">
        <v>106</v>
      </c>
      <c r="C1284" s="119" t="s">
        <v>28</v>
      </c>
      <c r="D1284" s="119" t="s">
        <v>390</v>
      </c>
      <c r="E1284" s="120">
        <v>20964284</v>
      </c>
      <c r="F1284" s="120">
        <v>20964284</v>
      </c>
      <c r="G1284" s="120" t="s">
        <v>2033</v>
      </c>
      <c r="H1284" s="120">
        <f t="shared" si="42"/>
        <v>20964.284</v>
      </c>
      <c r="I1284" s="120">
        <f>MLCF!G100</f>
        <v>20964.284</v>
      </c>
      <c r="J1284" s="120">
        <f t="shared" si="43"/>
        <v>0</v>
      </c>
      <c r="K1284" s="119" t="s">
        <v>1598</v>
      </c>
      <c r="L1284" s="119">
        <v>203</v>
      </c>
      <c r="M1284" s="119" t="s">
        <v>1106</v>
      </c>
      <c r="N1284" s="122" t="s">
        <v>3564</v>
      </c>
      <c r="O1284" s="122" t="s">
        <v>3565</v>
      </c>
      <c r="P1284" s="122" t="s">
        <v>4798</v>
      </c>
    </row>
    <row r="1285" spans="1:16" ht="82.05" customHeight="1" x14ac:dyDescent="0.3">
      <c r="A1285" s="50" t="s">
        <v>2806</v>
      </c>
      <c r="B1285" s="50" t="s">
        <v>106</v>
      </c>
      <c r="C1285" s="50" t="s">
        <v>29</v>
      </c>
      <c r="D1285" s="50" t="s">
        <v>390</v>
      </c>
      <c r="E1285" s="121">
        <v>23746816</v>
      </c>
      <c r="F1285" s="121">
        <v>23746816</v>
      </c>
      <c r="G1285" s="121" t="s">
        <v>2033</v>
      </c>
      <c r="H1285" s="121">
        <f t="shared" si="42"/>
        <v>23746.815999999999</v>
      </c>
      <c r="I1285" s="121">
        <f>MLCF!H100</f>
        <v>23746.815999999999</v>
      </c>
      <c r="J1285" s="121">
        <f t="shared" si="43"/>
        <v>0</v>
      </c>
      <c r="K1285" s="50" t="s">
        <v>1598</v>
      </c>
      <c r="L1285" s="50">
        <v>203</v>
      </c>
      <c r="M1285" s="50" t="s">
        <v>1127</v>
      </c>
      <c r="N1285" s="68" t="s">
        <v>3564</v>
      </c>
      <c r="O1285" s="68" t="s">
        <v>3565</v>
      </c>
      <c r="P1285" s="68" t="s">
        <v>4799</v>
      </c>
    </row>
    <row r="1286" spans="1:16" ht="82.05" customHeight="1" x14ac:dyDescent="0.3">
      <c r="A1286" s="119" t="s">
        <v>2807</v>
      </c>
      <c r="B1286" s="119" t="s">
        <v>106</v>
      </c>
      <c r="C1286" s="119" t="s">
        <v>20</v>
      </c>
      <c r="D1286" s="119" t="s">
        <v>392</v>
      </c>
      <c r="E1286" s="120">
        <v>7289601</v>
      </c>
      <c r="F1286" s="120">
        <v>7289601</v>
      </c>
      <c r="G1286" s="120" t="s">
        <v>2033</v>
      </c>
      <c r="H1286" s="120">
        <f t="shared" si="42"/>
        <v>7289.6009999999997</v>
      </c>
      <c r="I1286" s="120">
        <f>MLCF!D101</f>
        <v>7289.6009999999997</v>
      </c>
      <c r="J1286" s="120">
        <f t="shared" si="43"/>
        <v>0</v>
      </c>
      <c r="K1286" s="119" t="s">
        <v>1589</v>
      </c>
      <c r="L1286" s="119">
        <v>185</v>
      </c>
      <c r="M1286" s="119" t="s">
        <v>1106</v>
      </c>
      <c r="N1286" s="122" t="s">
        <v>3564</v>
      </c>
      <c r="O1286" s="122" t="s">
        <v>3565</v>
      </c>
      <c r="P1286" s="122" t="s">
        <v>4800</v>
      </c>
    </row>
    <row r="1287" spans="1:16" ht="82.05" customHeight="1" x14ac:dyDescent="0.3">
      <c r="A1287" s="50" t="s">
        <v>2808</v>
      </c>
      <c r="B1287" s="50" t="s">
        <v>106</v>
      </c>
      <c r="C1287" s="50" t="s">
        <v>26</v>
      </c>
      <c r="D1287" s="50" t="s">
        <v>392</v>
      </c>
      <c r="E1287" s="121">
        <v>7183512</v>
      </c>
      <c r="F1287" s="121">
        <v>7183512</v>
      </c>
      <c r="G1287" s="121" t="s">
        <v>2033</v>
      </c>
      <c r="H1287" s="121">
        <f t="shared" si="42"/>
        <v>7183.5119999999997</v>
      </c>
      <c r="I1287" s="121">
        <f>MLCF!E101</f>
        <v>7183.5119999999997</v>
      </c>
      <c r="J1287" s="121">
        <f t="shared" si="43"/>
        <v>0</v>
      </c>
      <c r="K1287" s="50" t="s">
        <v>1592</v>
      </c>
      <c r="L1287" s="50">
        <v>99</v>
      </c>
      <c r="M1287" s="50" t="s">
        <v>1106</v>
      </c>
      <c r="N1287" s="68" t="s">
        <v>3564</v>
      </c>
      <c r="O1287" s="68" t="s">
        <v>3565</v>
      </c>
      <c r="P1287" s="68" t="s">
        <v>4801</v>
      </c>
    </row>
    <row r="1288" spans="1:16" ht="82.05" customHeight="1" x14ac:dyDescent="0.3">
      <c r="A1288" s="119" t="s">
        <v>2809</v>
      </c>
      <c r="B1288" s="119" t="s">
        <v>106</v>
      </c>
      <c r="C1288" s="119" t="s">
        <v>27</v>
      </c>
      <c r="D1288" s="119" t="s">
        <v>392</v>
      </c>
      <c r="E1288" s="120">
        <v>9250667</v>
      </c>
      <c r="F1288" s="120">
        <v>9250667</v>
      </c>
      <c r="G1288" s="120" t="s">
        <v>2033</v>
      </c>
      <c r="H1288" s="120">
        <f t="shared" si="42"/>
        <v>9250.6669999999995</v>
      </c>
      <c r="I1288" s="120">
        <f>MLCF!F101</f>
        <v>9250.6669999999995</v>
      </c>
      <c r="J1288" s="120">
        <f t="shared" si="43"/>
        <v>0</v>
      </c>
      <c r="K1288" s="119" t="s">
        <v>1595</v>
      </c>
      <c r="L1288" s="119">
        <v>191</v>
      </c>
      <c r="M1288" s="119" t="s">
        <v>1106</v>
      </c>
      <c r="N1288" s="122" t="s">
        <v>3564</v>
      </c>
      <c r="O1288" s="122" t="s">
        <v>3565</v>
      </c>
      <c r="P1288" s="122" t="s">
        <v>4802</v>
      </c>
    </row>
    <row r="1289" spans="1:16" ht="82.05" customHeight="1" x14ac:dyDescent="0.3">
      <c r="A1289" s="50" t="s">
        <v>2811</v>
      </c>
      <c r="B1289" s="50" t="s">
        <v>106</v>
      </c>
      <c r="C1289" s="50" t="s">
        <v>28</v>
      </c>
      <c r="D1289" s="50" t="s">
        <v>392</v>
      </c>
      <c r="E1289" s="121">
        <v>8931448</v>
      </c>
      <c r="F1289" s="121">
        <v>8931448</v>
      </c>
      <c r="G1289" s="121" t="s">
        <v>2033</v>
      </c>
      <c r="H1289" s="121">
        <f t="shared" si="42"/>
        <v>8931.4480000000003</v>
      </c>
      <c r="I1289" s="121">
        <f>MLCF!G101</f>
        <v>8931.4480000000003</v>
      </c>
      <c r="J1289" s="121">
        <f t="shared" si="43"/>
        <v>0</v>
      </c>
      <c r="K1289" s="50" t="s">
        <v>1598</v>
      </c>
      <c r="L1289" s="50">
        <v>203</v>
      </c>
      <c r="M1289" s="50" t="s">
        <v>1106</v>
      </c>
      <c r="N1289" s="68" t="s">
        <v>3564</v>
      </c>
      <c r="O1289" s="68" t="s">
        <v>3565</v>
      </c>
      <c r="P1289" s="68" t="s">
        <v>4803</v>
      </c>
    </row>
    <row r="1290" spans="1:16" ht="82.05" customHeight="1" x14ac:dyDescent="0.3">
      <c r="A1290" s="119" t="s">
        <v>2812</v>
      </c>
      <c r="B1290" s="119" t="s">
        <v>106</v>
      </c>
      <c r="C1290" s="119" t="s">
        <v>29</v>
      </c>
      <c r="D1290" s="119" t="s">
        <v>392</v>
      </c>
      <c r="E1290" s="120">
        <v>21664237</v>
      </c>
      <c r="F1290" s="120">
        <v>21664237</v>
      </c>
      <c r="G1290" s="120" t="s">
        <v>2033</v>
      </c>
      <c r="H1290" s="120">
        <f t="shared" si="42"/>
        <v>21664.237000000001</v>
      </c>
      <c r="I1290" s="120">
        <f>MLCF!H101</f>
        <v>21664.237000000001</v>
      </c>
      <c r="J1290" s="120">
        <f t="shared" si="43"/>
        <v>0</v>
      </c>
      <c r="K1290" s="119" t="s">
        <v>1598</v>
      </c>
      <c r="L1290" s="119">
        <v>203</v>
      </c>
      <c r="M1290" s="119" t="s">
        <v>1127</v>
      </c>
      <c r="N1290" s="122" t="s">
        <v>3564</v>
      </c>
      <c r="O1290" s="122" t="s">
        <v>3565</v>
      </c>
      <c r="P1290" s="122" t="s">
        <v>4804</v>
      </c>
    </row>
    <row r="1291" spans="1:16" ht="82.05" customHeight="1" x14ac:dyDescent="0.3">
      <c r="A1291" s="50" t="s">
        <v>2813</v>
      </c>
      <c r="B1291" s="50" t="s">
        <v>106</v>
      </c>
      <c r="C1291" s="50" t="s">
        <v>20</v>
      </c>
      <c r="D1291" s="50" t="s">
        <v>394</v>
      </c>
      <c r="E1291" s="121">
        <v>6254109</v>
      </c>
      <c r="F1291" s="121">
        <v>6254109</v>
      </c>
      <c r="G1291" s="121" t="s">
        <v>2033</v>
      </c>
      <c r="H1291" s="121">
        <f t="shared" si="42"/>
        <v>6254.1090000000004</v>
      </c>
      <c r="I1291" s="121">
        <f>MLCF!D102</f>
        <v>6254.1090000000004</v>
      </c>
      <c r="J1291" s="121">
        <f t="shared" si="43"/>
        <v>0</v>
      </c>
      <c r="K1291" s="50" t="s">
        <v>1589</v>
      </c>
      <c r="L1291" s="50">
        <v>185</v>
      </c>
      <c r="M1291" s="50" t="s">
        <v>1106</v>
      </c>
      <c r="N1291" s="68" t="s">
        <v>3564</v>
      </c>
      <c r="O1291" s="68" t="s">
        <v>3565</v>
      </c>
      <c r="P1291" s="68" t="s">
        <v>4805</v>
      </c>
    </row>
    <row r="1292" spans="1:16" ht="82.05" customHeight="1" x14ac:dyDescent="0.3">
      <c r="A1292" s="119" t="s">
        <v>2814</v>
      </c>
      <c r="B1292" s="119" t="s">
        <v>106</v>
      </c>
      <c r="C1292" s="119" t="s">
        <v>26</v>
      </c>
      <c r="D1292" s="119" t="s">
        <v>394</v>
      </c>
      <c r="E1292" s="120">
        <v>3626340</v>
      </c>
      <c r="F1292" s="120">
        <v>3626340</v>
      </c>
      <c r="G1292" s="120" t="s">
        <v>2033</v>
      </c>
      <c r="H1292" s="120">
        <f t="shared" si="42"/>
        <v>3626.34</v>
      </c>
      <c r="I1292" s="120">
        <f>MLCF!E102</f>
        <v>3626.34</v>
      </c>
      <c r="J1292" s="120">
        <f t="shared" si="43"/>
        <v>0</v>
      </c>
      <c r="K1292" s="119" t="s">
        <v>1592</v>
      </c>
      <c r="L1292" s="119">
        <v>99</v>
      </c>
      <c r="M1292" s="119" t="s">
        <v>1106</v>
      </c>
      <c r="N1292" s="122" t="s">
        <v>3564</v>
      </c>
      <c r="O1292" s="122" t="s">
        <v>3565</v>
      </c>
      <c r="P1292" s="122" t="s">
        <v>4806</v>
      </c>
    </row>
    <row r="1293" spans="1:16" ht="82.05" customHeight="1" x14ac:dyDescent="0.3">
      <c r="A1293" s="50" t="s">
        <v>2815</v>
      </c>
      <c r="B1293" s="50" t="s">
        <v>106</v>
      </c>
      <c r="C1293" s="50" t="s">
        <v>27</v>
      </c>
      <c r="D1293" s="50" t="s">
        <v>394</v>
      </c>
      <c r="E1293" s="121">
        <v>4491669</v>
      </c>
      <c r="F1293" s="121">
        <v>4491669</v>
      </c>
      <c r="G1293" s="121" t="s">
        <v>2033</v>
      </c>
      <c r="H1293" s="121">
        <f t="shared" si="42"/>
        <v>4491.6689999999999</v>
      </c>
      <c r="I1293" s="121">
        <f>MLCF!F102</f>
        <v>4491.6689999999999</v>
      </c>
      <c r="J1293" s="121">
        <f t="shared" si="43"/>
        <v>0</v>
      </c>
      <c r="K1293" s="50" t="s">
        <v>1595</v>
      </c>
      <c r="L1293" s="50">
        <v>191</v>
      </c>
      <c r="M1293" s="50" t="s">
        <v>1106</v>
      </c>
      <c r="N1293" s="68" t="s">
        <v>3564</v>
      </c>
      <c r="O1293" s="68" t="s">
        <v>3565</v>
      </c>
      <c r="P1293" s="68" t="s">
        <v>4807</v>
      </c>
    </row>
    <row r="1294" spans="1:16" ht="82.05" customHeight="1" x14ac:dyDescent="0.3">
      <c r="A1294" s="119" t="s">
        <v>2816</v>
      </c>
      <c r="B1294" s="119" t="s">
        <v>106</v>
      </c>
      <c r="C1294" s="119" t="s">
        <v>28</v>
      </c>
      <c r="D1294" s="119" t="s">
        <v>394</v>
      </c>
      <c r="E1294" s="120">
        <v>5272527</v>
      </c>
      <c r="F1294" s="120">
        <v>5272527</v>
      </c>
      <c r="G1294" s="120" t="s">
        <v>2033</v>
      </c>
      <c r="H1294" s="120">
        <f t="shared" si="42"/>
        <v>5272.527</v>
      </c>
      <c r="I1294" s="120">
        <f>MLCF!G102</f>
        <v>5272.527</v>
      </c>
      <c r="J1294" s="120">
        <f t="shared" si="43"/>
        <v>0</v>
      </c>
      <c r="K1294" s="119" t="s">
        <v>1598</v>
      </c>
      <c r="L1294" s="119">
        <v>203</v>
      </c>
      <c r="M1294" s="119" t="s">
        <v>1106</v>
      </c>
      <c r="N1294" s="122" t="s">
        <v>3564</v>
      </c>
      <c r="O1294" s="122" t="s">
        <v>3565</v>
      </c>
      <c r="P1294" s="122" t="s">
        <v>4808</v>
      </c>
    </row>
    <row r="1295" spans="1:16" ht="82.05" customHeight="1" x14ac:dyDescent="0.3">
      <c r="A1295" s="50" t="s">
        <v>2817</v>
      </c>
      <c r="B1295" s="50" t="s">
        <v>106</v>
      </c>
      <c r="C1295" s="50" t="s">
        <v>29</v>
      </c>
      <c r="D1295" s="50" t="s">
        <v>394</v>
      </c>
      <c r="E1295" s="121">
        <v>17036374</v>
      </c>
      <c r="F1295" s="121">
        <v>17036374</v>
      </c>
      <c r="G1295" s="121" t="s">
        <v>2033</v>
      </c>
      <c r="H1295" s="121">
        <f t="shared" si="42"/>
        <v>17036.374</v>
      </c>
      <c r="I1295" s="121">
        <f>MLCF!H102</f>
        <v>17036.374</v>
      </c>
      <c r="J1295" s="121">
        <f t="shared" si="43"/>
        <v>0</v>
      </c>
      <c r="K1295" s="50" t="s">
        <v>1598</v>
      </c>
      <c r="L1295" s="50">
        <v>203</v>
      </c>
      <c r="M1295" s="50" t="s">
        <v>1127</v>
      </c>
      <c r="N1295" s="68" t="s">
        <v>3564</v>
      </c>
      <c r="O1295" s="68" t="s">
        <v>3565</v>
      </c>
      <c r="P1295" s="68" t="s">
        <v>4809</v>
      </c>
    </row>
    <row r="1296" spans="1:16" ht="82.05" customHeight="1" x14ac:dyDescent="0.3">
      <c r="A1296" s="119" t="s">
        <v>2818</v>
      </c>
      <c r="B1296" s="119" t="s">
        <v>106</v>
      </c>
      <c r="C1296" s="119" t="s">
        <v>20</v>
      </c>
      <c r="D1296" s="119" t="s">
        <v>398</v>
      </c>
      <c r="E1296" s="120">
        <v>46652</v>
      </c>
      <c r="F1296" s="120">
        <v>46652</v>
      </c>
      <c r="G1296" s="120" t="s">
        <v>2033</v>
      </c>
      <c r="H1296" s="120">
        <f t="shared" si="42"/>
        <v>46.652000000000001</v>
      </c>
      <c r="I1296" s="120">
        <f>MLCF!D105</f>
        <v>46.652000000000001</v>
      </c>
      <c r="J1296" s="120">
        <f t="shared" si="43"/>
        <v>0</v>
      </c>
      <c r="K1296" s="119" t="s">
        <v>1589</v>
      </c>
      <c r="L1296" s="119">
        <v>242</v>
      </c>
      <c r="M1296" s="119" t="s">
        <v>1106</v>
      </c>
      <c r="N1296" s="122" t="s">
        <v>3564</v>
      </c>
      <c r="O1296" s="122" t="s">
        <v>3565</v>
      </c>
      <c r="P1296" s="122" t="s">
        <v>4810</v>
      </c>
    </row>
    <row r="1297" spans="1:16" ht="82.05" customHeight="1" x14ac:dyDescent="0.3">
      <c r="A1297" s="50" t="s">
        <v>2821</v>
      </c>
      <c r="B1297" s="50" t="s">
        <v>106</v>
      </c>
      <c r="C1297" s="50" t="s">
        <v>26</v>
      </c>
      <c r="D1297" s="50" t="s">
        <v>398</v>
      </c>
      <c r="E1297" s="121">
        <v>51001</v>
      </c>
      <c r="F1297" s="121">
        <v>51001</v>
      </c>
      <c r="G1297" s="121" t="s">
        <v>2033</v>
      </c>
      <c r="H1297" s="121">
        <f t="shared" si="42"/>
        <v>51.000999999999998</v>
      </c>
      <c r="I1297" s="121">
        <f>MLCF!E105</f>
        <v>51.000999999999998</v>
      </c>
      <c r="J1297" s="121">
        <f t="shared" si="43"/>
        <v>0</v>
      </c>
      <c r="K1297" s="50" t="s">
        <v>1589</v>
      </c>
      <c r="L1297" s="50">
        <v>242</v>
      </c>
      <c r="M1297" s="50" t="s">
        <v>1127</v>
      </c>
      <c r="N1297" s="68" t="s">
        <v>3564</v>
      </c>
      <c r="O1297" s="68" t="s">
        <v>3565</v>
      </c>
      <c r="P1297" s="68" t="s">
        <v>4811</v>
      </c>
    </row>
    <row r="1298" spans="1:16" ht="82.05" customHeight="1" x14ac:dyDescent="0.3">
      <c r="A1298" s="119" t="s">
        <v>2822</v>
      </c>
      <c r="B1298" s="119" t="s">
        <v>106</v>
      </c>
      <c r="C1298" s="119" t="s">
        <v>27</v>
      </c>
      <c r="D1298" s="119" t="s">
        <v>398</v>
      </c>
      <c r="E1298" s="120">
        <v>67573</v>
      </c>
      <c r="F1298" s="120">
        <v>67573</v>
      </c>
      <c r="G1298" s="120" t="s">
        <v>2033</v>
      </c>
      <c r="H1298" s="120">
        <f t="shared" si="42"/>
        <v>67.572999999999993</v>
      </c>
      <c r="I1298" s="120">
        <f>MLCF!F105</f>
        <v>67.572999999999993</v>
      </c>
      <c r="J1298" s="120">
        <f t="shared" si="43"/>
        <v>0</v>
      </c>
      <c r="K1298" s="119" t="s">
        <v>1595</v>
      </c>
      <c r="L1298" s="119">
        <v>250</v>
      </c>
      <c r="M1298" s="119" t="s">
        <v>1106</v>
      </c>
      <c r="N1298" s="122" t="s">
        <v>3564</v>
      </c>
      <c r="O1298" s="122" t="s">
        <v>3565</v>
      </c>
      <c r="P1298" s="122" t="s">
        <v>4812</v>
      </c>
    </row>
    <row r="1299" spans="1:16" ht="82.05" customHeight="1" x14ac:dyDescent="0.3">
      <c r="A1299" s="50" t="s">
        <v>2824</v>
      </c>
      <c r="B1299" s="50" t="s">
        <v>106</v>
      </c>
      <c r="C1299" s="50" t="s">
        <v>28</v>
      </c>
      <c r="D1299" s="50" t="s">
        <v>398</v>
      </c>
      <c r="E1299" s="121">
        <v>82866</v>
      </c>
      <c r="F1299" s="121">
        <v>82866</v>
      </c>
      <c r="G1299" s="121" t="s">
        <v>2033</v>
      </c>
      <c r="H1299" s="121">
        <f t="shared" si="42"/>
        <v>82.866</v>
      </c>
      <c r="I1299" s="121">
        <f>MLCF!G105</f>
        <v>82.866</v>
      </c>
      <c r="J1299" s="121">
        <f t="shared" si="43"/>
        <v>0</v>
      </c>
      <c r="K1299" s="50" t="s">
        <v>1598</v>
      </c>
      <c r="L1299" s="50">
        <v>265</v>
      </c>
      <c r="M1299" s="50" t="s">
        <v>1106</v>
      </c>
      <c r="N1299" s="68" t="s">
        <v>3564</v>
      </c>
      <c r="O1299" s="68" t="s">
        <v>3565</v>
      </c>
      <c r="P1299" s="68" t="s">
        <v>4813</v>
      </c>
    </row>
    <row r="1300" spans="1:16" ht="82.05" customHeight="1" x14ac:dyDescent="0.3">
      <c r="A1300" s="119" t="s">
        <v>2825</v>
      </c>
      <c r="B1300" s="119" t="s">
        <v>106</v>
      </c>
      <c r="C1300" s="119" t="s">
        <v>29</v>
      </c>
      <c r="D1300" s="119" t="s">
        <v>398</v>
      </c>
      <c r="E1300" s="120">
        <v>140834</v>
      </c>
      <c r="F1300" s="120">
        <v>140834</v>
      </c>
      <c r="G1300" s="120" t="s">
        <v>2033</v>
      </c>
      <c r="H1300" s="120">
        <f t="shared" si="42"/>
        <v>140.834</v>
      </c>
      <c r="I1300" s="120">
        <f>MLCF!H105</f>
        <v>140.834</v>
      </c>
      <c r="J1300" s="120">
        <f t="shared" si="43"/>
        <v>0</v>
      </c>
      <c r="K1300" s="119" t="s">
        <v>1598</v>
      </c>
      <c r="L1300" s="119">
        <v>265</v>
      </c>
      <c r="M1300" s="119" t="s">
        <v>1127</v>
      </c>
      <c r="N1300" s="122" t="s">
        <v>3564</v>
      </c>
      <c r="O1300" s="122" t="s">
        <v>3565</v>
      </c>
      <c r="P1300" s="122" t="s">
        <v>4814</v>
      </c>
    </row>
    <row r="1301" spans="1:16" ht="82.05" customHeight="1" x14ac:dyDescent="0.3">
      <c r="A1301" s="50" t="s">
        <v>2826</v>
      </c>
      <c r="B1301" s="50" t="s">
        <v>106</v>
      </c>
      <c r="C1301" s="50" t="s">
        <v>20</v>
      </c>
      <c r="D1301" s="50" t="s">
        <v>402</v>
      </c>
      <c r="E1301" s="121">
        <v>3287702</v>
      </c>
      <c r="F1301" s="121">
        <v>3287702</v>
      </c>
      <c r="G1301" s="121" t="s">
        <v>2033</v>
      </c>
      <c r="H1301" s="121">
        <f t="shared" si="42"/>
        <v>3287.7020000000002</v>
      </c>
      <c r="I1301" s="121">
        <f>MLCF!D107</f>
        <v>3287.7020000000002</v>
      </c>
      <c r="J1301" s="121">
        <f t="shared" si="43"/>
        <v>0</v>
      </c>
      <c r="K1301" s="50" t="s">
        <v>1589</v>
      </c>
      <c r="L1301" s="50">
        <v>187</v>
      </c>
      <c r="M1301" s="50" t="s">
        <v>1106</v>
      </c>
      <c r="N1301" s="68" t="s">
        <v>3602</v>
      </c>
      <c r="O1301" s="68" t="s">
        <v>3603</v>
      </c>
      <c r="P1301" s="68" t="s">
        <v>4815</v>
      </c>
    </row>
    <row r="1302" spans="1:16" ht="82.05" customHeight="1" x14ac:dyDescent="0.3">
      <c r="A1302" s="119" t="s">
        <v>2828</v>
      </c>
      <c r="B1302" s="119" t="s">
        <v>106</v>
      </c>
      <c r="C1302" s="119" t="s">
        <v>26</v>
      </c>
      <c r="D1302" s="119" t="s">
        <v>402</v>
      </c>
      <c r="E1302" s="120">
        <v>3233977</v>
      </c>
      <c r="F1302" s="120">
        <v>3233977</v>
      </c>
      <c r="G1302" s="120" t="s">
        <v>2033</v>
      </c>
      <c r="H1302" s="120">
        <f t="shared" si="42"/>
        <v>3233.9769999999999</v>
      </c>
      <c r="I1302" s="120">
        <f>MLCF!E107</f>
        <v>3233.9769999999999</v>
      </c>
      <c r="J1302" s="120">
        <f t="shared" si="43"/>
        <v>0</v>
      </c>
      <c r="K1302" s="119" t="s">
        <v>1589</v>
      </c>
      <c r="L1302" s="119">
        <v>187</v>
      </c>
      <c r="M1302" s="119" t="s">
        <v>1127</v>
      </c>
      <c r="N1302" s="122" t="s">
        <v>3602</v>
      </c>
      <c r="O1302" s="122" t="s">
        <v>3603</v>
      </c>
      <c r="P1302" s="122" t="s">
        <v>4815</v>
      </c>
    </row>
    <row r="1303" spans="1:16" ht="82.05" customHeight="1" x14ac:dyDescent="0.3">
      <c r="A1303" s="50" t="s">
        <v>2829</v>
      </c>
      <c r="B1303" s="50" t="s">
        <v>106</v>
      </c>
      <c r="C1303" s="50" t="s">
        <v>27</v>
      </c>
      <c r="D1303" s="50" t="s">
        <v>402</v>
      </c>
      <c r="E1303" s="121">
        <v>3475349</v>
      </c>
      <c r="F1303" s="121">
        <v>3475349</v>
      </c>
      <c r="G1303" s="121" t="s">
        <v>2033</v>
      </c>
      <c r="H1303" s="121">
        <f t="shared" si="42"/>
        <v>3475.3490000000002</v>
      </c>
      <c r="I1303" s="121">
        <f>MLCF!F107</f>
        <v>3475.3490000000002</v>
      </c>
      <c r="J1303" s="121">
        <f t="shared" si="43"/>
        <v>0</v>
      </c>
      <c r="K1303" s="50" t="s">
        <v>1595</v>
      </c>
      <c r="L1303" s="50">
        <v>252</v>
      </c>
      <c r="M1303" s="50" t="s">
        <v>1106</v>
      </c>
      <c r="N1303" s="68" t="s">
        <v>3602</v>
      </c>
      <c r="O1303" s="68" t="s">
        <v>3603</v>
      </c>
      <c r="P1303" s="68" t="s">
        <v>4816</v>
      </c>
    </row>
    <row r="1304" spans="1:16" ht="82.05" customHeight="1" x14ac:dyDescent="0.3">
      <c r="A1304" s="119" t="s">
        <v>2832</v>
      </c>
      <c r="B1304" s="119" t="s">
        <v>106</v>
      </c>
      <c r="C1304" s="119" t="s">
        <v>28</v>
      </c>
      <c r="D1304" s="119" t="s">
        <v>402</v>
      </c>
      <c r="E1304" s="120">
        <v>4520347</v>
      </c>
      <c r="F1304" s="120">
        <v>4520347</v>
      </c>
      <c r="G1304" s="120" t="s">
        <v>2033</v>
      </c>
      <c r="H1304" s="120">
        <f t="shared" si="42"/>
        <v>4520.3469999999998</v>
      </c>
      <c r="I1304" s="120">
        <f>MLCF!G107</f>
        <v>4520.3469999999998</v>
      </c>
      <c r="J1304" s="120">
        <f t="shared" si="43"/>
        <v>0</v>
      </c>
      <c r="K1304" s="119" t="s">
        <v>1598</v>
      </c>
      <c r="L1304" s="119">
        <v>268</v>
      </c>
      <c r="M1304" s="119" t="s">
        <v>1106</v>
      </c>
      <c r="N1304" s="122" t="s">
        <v>3602</v>
      </c>
      <c r="O1304" s="122" t="s">
        <v>3603</v>
      </c>
      <c r="P1304" s="122" t="s">
        <v>4817</v>
      </c>
    </row>
    <row r="1305" spans="1:16" ht="82.05" customHeight="1" x14ac:dyDescent="0.3">
      <c r="A1305" s="50" t="s">
        <v>2834</v>
      </c>
      <c r="B1305" s="50" t="s">
        <v>106</v>
      </c>
      <c r="C1305" s="50" t="s">
        <v>29</v>
      </c>
      <c r="D1305" s="50" t="s">
        <v>402</v>
      </c>
      <c r="E1305" s="121">
        <v>4413300</v>
      </c>
      <c r="F1305" s="121">
        <v>4413300</v>
      </c>
      <c r="G1305" s="121" t="s">
        <v>2033</v>
      </c>
      <c r="H1305" s="121">
        <f t="shared" si="42"/>
        <v>4413.3</v>
      </c>
      <c r="I1305" s="121">
        <f>MLCF!H107</f>
        <v>4413.3</v>
      </c>
      <c r="J1305" s="121">
        <f t="shared" si="43"/>
        <v>0</v>
      </c>
      <c r="K1305" s="50" t="s">
        <v>1598</v>
      </c>
      <c r="L1305" s="50">
        <v>268</v>
      </c>
      <c r="M1305" s="50" t="s">
        <v>1127</v>
      </c>
      <c r="N1305" s="68" t="s">
        <v>3602</v>
      </c>
      <c r="O1305" s="68" t="s">
        <v>3603</v>
      </c>
      <c r="P1305" s="68" t="s">
        <v>4817</v>
      </c>
    </row>
    <row r="1306" spans="1:16" ht="82.05" customHeight="1" x14ac:dyDescent="0.3">
      <c r="A1306" s="119" t="s">
        <v>2835</v>
      </c>
      <c r="B1306" s="119" t="s">
        <v>106</v>
      </c>
      <c r="C1306" s="119" t="s">
        <v>20</v>
      </c>
      <c r="D1306" s="119" t="s">
        <v>418</v>
      </c>
      <c r="E1306" s="120">
        <v>9013169</v>
      </c>
      <c r="F1306" s="120">
        <v>9013169</v>
      </c>
      <c r="G1306" s="120" t="s">
        <v>2033</v>
      </c>
      <c r="H1306" s="120">
        <f t="shared" si="42"/>
        <v>9013.1689999999999</v>
      </c>
      <c r="I1306" s="120">
        <f>MLCF!D116</f>
        <v>9013.1689999999999</v>
      </c>
      <c r="J1306" s="120">
        <f t="shared" si="43"/>
        <v>0</v>
      </c>
      <c r="K1306" s="119" t="s">
        <v>1589</v>
      </c>
      <c r="L1306" s="119">
        <v>187</v>
      </c>
      <c r="M1306" s="119" t="s">
        <v>1106</v>
      </c>
      <c r="N1306" s="122" t="s">
        <v>3564</v>
      </c>
      <c r="O1306" s="122" t="s">
        <v>3565</v>
      </c>
      <c r="P1306" s="122" t="s">
        <v>4818</v>
      </c>
    </row>
    <row r="1307" spans="1:16" ht="82.05" customHeight="1" x14ac:dyDescent="0.3">
      <c r="A1307" s="50" t="s">
        <v>2837</v>
      </c>
      <c r="B1307" s="50" t="s">
        <v>106</v>
      </c>
      <c r="C1307" s="50" t="s">
        <v>26</v>
      </c>
      <c r="D1307" s="50" t="s">
        <v>418</v>
      </c>
      <c r="E1307" s="121">
        <v>12905198</v>
      </c>
      <c r="F1307" s="121">
        <v>12905198</v>
      </c>
      <c r="G1307" s="121" t="s">
        <v>2033</v>
      </c>
      <c r="H1307" s="121">
        <f t="shared" si="42"/>
        <v>12905.198</v>
      </c>
      <c r="I1307" s="121">
        <f>MLCF!E116</f>
        <v>12905.198</v>
      </c>
      <c r="J1307" s="121">
        <f t="shared" si="43"/>
        <v>0</v>
      </c>
      <c r="K1307" s="50" t="s">
        <v>1592</v>
      </c>
      <c r="L1307" s="50">
        <v>100</v>
      </c>
      <c r="M1307" s="50" t="s">
        <v>1106</v>
      </c>
      <c r="N1307" s="68" t="s">
        <v>3564</v>
      </c>
      <c r="O1307" s="68" t="s">
        <v>3565</v>
      </c>
      <c r="P1307" s="68" t="s">
        <v>4819</v>
      </c>
    </row>
    <row r="1308" spans="1:16" ht="82.05" customHeight="1" x14ac:dyDescent="0.3">
      <c r="A1308" s="119" t="s">
        <v>2838</v>
      </c>
      <c r="B1308" s="119" t="s">
        <v>106</v>
      </c>
      <c r="C1308" s="119" t="s">
        <v>27</v>
      </c>
      <c r="D1308" s="119" t="s">
        <v>418</v>
      </c>
      <c r="E1308" s="120">
        <v>19906827</v>
      </c>
      <c r="F1308" s="120">
        <v>19906827</v>
      </c>
      <c r="G1308" s="120" t="s">
        <v>2033</v>
      </c>
      <c r="H1308" s="120">
        <f t="shared" si="42"/>
        <v>19906.827000000001</v>
      </c>
      <c r="I1308" s="120">
        <f>MLCF!F116</f>
        <v>19906.827000000001</v>
      </c>
      <c r="J1308" s="120">
        <f t="shared" si="43"/>
        <v>0</v>
      </c>
      <c r="K1308" s="119" t="s">
        <v>1595</v>
      </c>
      <c r="L1308" s="119">
        <v>193</v>
      </c>
      <c r="M1308" s="119" t="s">
        <v>1106</v>
      </c>
      <c r="N1308" s="122" t="s">
        <v>3564</v>
      </c>
      <c r="O1308" s="122" t="s">
        <v>3565</v>
      </c>
      <c r="P1308" s="122" t="s">
        <v>4820</v>
      </c>
    </row>
    <row r="1309" spans="1:16" ht="82.05" customHeight="1" x14ac:dyDescent="0.3">
      <c r="A1309" s="50" t="s">
        <v>2840</v>
      </c>
      <c r="B1309" s="50" t="s">
        <v>106</v>
      </c>
      <c r="C1309" s="50" t="s">
        <v>28</v>
      </c>
      <c r="D1309" s="50" t="s">
        <v>418</v>
      </c>
      <c r="E1309" s="121">
        <v>12810292</v>
      </c>
      <c r="F1309" s="121">
        <v>12810292</v>
      </c>
      <c r="G1309" s="121" t="s">
        <v>2033</v>
      </c>
      <c r="H1309" s="121">
        <f t="shared" si="42"/>
        <v>12810.291999999999</v>
      </c>
      <c r="I1309" s="121">
        <f>MLCF!G116</f>
        <v>12810.291999999999</v>
      </c>
      <c r="J1309" s="121">
        <f t="shared" si="43"/>
        <v>0</v>
      </c>
      <c r="K1309" s="50" t="s">
        <v>1598</v>
      </c>
      <c r="L1309" s="50">
        <v>205</v>
      </c>
      <c r="M1309" s="50" t="s">
        <v>1106</v>
      </c>
      <c r="N1309" s="68" t="s">
        <v>3564</v>
      </c>
      <c r="O1309" s="68" t="s">
        <v>3565</v>
      </c>
      <c r="P1309" s="68" t="s">
        <v>4821</v>
      </c>
    </row>
    <row r="1310" spans="1:16" ht="82.05" customHeight="1" x14ac:dyDescent="0.3">
      <c r="A1310" s="119" t="s">
        <v>2841</v>
      </c>
      <c r="B1310" s="119" t="s">
        <v>106</v>
      </c>
      <c r="C1310" s="119" t="s">
        <v>29</v>
      </c>
      <c r="D1310" s="119" t="s">
        <v>418</v>
      </c>
      <c r="E1310" s="120">
        <v>23320309</v>
      </c>
      <c r="F1310" s="120">
        <v>23320309</v>
      </c>
      <c r="G1310" s="120" t="s">
        <v>2033</v>
      </c>
      <c r="H1310" s="120">
        <f t="shared" si="42"/>
        <v>23320.309000000001</v>
      </c>
      <c r="I1310" s="120">
        <f>MLCF!H116</f>
        <v>23320.309000000001</v>
      </c>
      <c r="J1310" s="120">
        <f t="shared" si="43"/>
        <v>0</v>
      </c>
      <c r="K1310" s="119" t="s">
        <v>1598</v>
      </c>
      <c r="L1310" s="119">
        <v>205</v>
      </c>
      <c r="M1310" s="119" t="s">
        <v>1127</v>
      </c>
      <c r="N1310" s="122" t="s">
        <v>3564</v>
      </c>
      <c r="O1310" s="122" t="s">
        <v>3565</v>
      </c>
      <c r="P1310" s="122" t="s">
        <v>4822</v>
      </c>
    </row>
    <row r="1311" spans="1:16" ht="82.05" customHeight="1" x14ac:dyDescent="0.3">
      <c r="A1311" s="50" t="s">
        <v>2842</v>
      </c>
      <c r="B1311" s="50" t="s">
        <v>106</v>
      </c>
      <c r="C1311" s="50" t="s">
        <v>20</v>
      </c>
      <c r="D1311" s="50" t="s">
        <v>420</v>
      </c>
      <c r="E1311" s="121">
        <v>6551967</v>
      </c>
      <c r="F1311" s="121">
        <v>6551967</v>
      </c>
      <c r="G1311" s="121" t="s">
        <v>2033</v>
      </c>
      <c r="H1311" s="121">
        <f t="shared" ref="H1311:H1320" si="44">F1311/1000</f>
        <v>6551.9669999999996</v>
      </c>
      <c r="I1311" s="121">
        <f>MLCF!D117</f>
        <v>6551.9669999999996</v>
      </c>
      <c r="J1311" s="121">
        <f t="shared" ref="J1311:J1320" si="45">H1311-I1311</f>
        <v>0</v>
      </c>
      <c r="K1311" s="50" t="s">
        <v>1589</v>
      </c>
      <c r="L1311" s="50">
        <v>187</v>
      </c>
      <c r="M1311" s="50" t="s">
        <v>1106</v>
      </c>
      <c r="N1311" s="68" t="s">
        <v>3564</v>
      </c>
      <c r="O1311" s="68" t="s">
        <v>3565</v>
      </c>
      <c r="P1311" s="68" t="s">
        <v>4823</v>
      </c>
    </row>
    <row r="1312" spans="1:16" ht="82.05" customHeight="1" x14ac:dyDescent="0.3">
      <c r="A1312" s="119" t="s">
        <v>2843</v>
      </c>
      <c r="B1312" s="119" t="s">
        <v>106</v>
      </c>
      <c r="C1312" s="119" t="s">
        <v>26</v>
      </c>
      <c r="D1312" s="119" t="s">
        <v>420</v>
      </c>
      <c r="E1312" s="120">
        <v>8330107</v>
      </c>
      <c r="F1312" s="120">
        <v>8330107</v>
      </c>
      <c r="G1312" s="120" t="s">
        <v>2033</v>
      </c>
      <c r="H1312" s="120">
        <f t="shared" si="44"/>
        <v>8330.107</v>
      </c>
      <c r="I1312" s="120">
        <f>MLCF!E117</f>
        <v>8330.107</v>
      </c>
      <c r="J1312" s="120">
        <f t="shared" si="45"/>
        <v>0</v>
      </c>
      <c r="K1312" s="119" t="s">
        <v>1592</v>
      </c>
      <c r="L1312" s="119">
        <v>100</v>
      </c>
      <c r="M1312" s="119" t="s">
        <v>1106</v>
      </c>
      <c r="N1312" s="122" t="s">
        <v>3564</v>
      </c>
      <c r="O1312" s="122" t="s">
        <v>3565</v>
      </c>
      <c r="P1312" s="122" t="s">
        <v>4824</v>
      </c>
    </row>
    <row r="1313" spans="1:16" ht="82.05" customHeight="1" x14ac:dyDescent="0.3">
      <c r="A1313" s="50" t="s">
        <v>2844</v>
      </c>
      <c r="B1313" s="50" t="s">
        <v>106</v>
      </c>
      <c r="C1313" s="50" t="s">
        <v>27</v>
      </c>
      <c r="D1313" s="50" t="s">
        <v>420</v>
      </c>
      <c r="E1313" s="121">
        <v>20143665</v>
      </c>
      <c r="F1313" s="121">
        <v>20143665</v>
      </c>
      <c r="G1313" s="121" t="s">
        <v>2033</v>
      </c>
      <c r="H1313" s="121">
        <f t="shared" si="44"/>
        <v>20143.665000000001</v>
      </c>
      <c r="I1313" s="121">
        <f>MLCF!F117</f>
        <v>20143.665000000001</v>
      </c>
      <c r="J1313" s="121">
        <f t="shared" si="45"/>
        <v>0</v>
      </c>
      <c r="K1313" s="50" t="s">
        <v>1595</v>
      </c>
      <c r="L1313" s="50">
        <v>193</v>
      </c>
      <c r="M1313" s="50" t="s">
        <v>1106</v>
      </c>
      <c r="N1313" s="68" t="s">
        <v>3564</v>
      </c>
      <c r="O1313" s="68" t="s">
        <v>3565</v>
      </c>
      <c r="P1313" s="68" t="s">
        <v>4825</v>
      </c>
    </row>
    <row r="1314" spans="1:16" ht="82.05" customHeight="1" x14ac:dyDescent="0.3">
      <c r="A1314" s="119" t="s">
        <v>2845</v>
      </c>
      <c r="B1314" s="119" t="s">
        <v>106</v>
      </c>
      <c r="C1314" s="119" t="s">
        <v>28</v>
      </c>
      <c r="D1314" s="119" t="s">
        <v>420</v>
      </c>
      <c r="E1314" s="120">
        <v>9496243</v>
      </c>
      <c r="F1314" s="120">
        <v>9496243</v>
      </c>
      <c r="G1314" s="120" t="s">
        <v>2033</v>
      </c>
      <c r="H1314" s="120">
        <f t="shared" si="44"/>
        <v>9496.2430000000004</v>
      </c>
      <c r="I1314" s="120">
        <f>MLCF!G117</f>
        <v>9496.2430000000004</v>
      </c>
      <c r="J1314" s="120">
        <f t="shared" si="45"/>
        <v>0</v>
      </c>
      <c r="K1314" s="119" t="s">
        <v>1598</v>
      </c>
      <c r="L1314" s="119">
        <v>205</v>
      </c>
      <c r="M1314" s="119" t="s">
        <v>1106</v>
      </c>
      <c r="N1314" s="122" t="s">
        <v>3564</v>
      </c>
      <c r="O1314" s="122" t="s">
        <v>3565</v>
      </c>
      <c r="P1314" s="122" t="s">
        <v>4826</v>
      </c>
    </row>
    <row r="1315" spans="1:16" ht="82.05" customHeight="1" x14ac:dyDescent="0.3">
      <c r="A1315" s="50" t="s">
        <v>2846</v>
      </c>
      <c r="B1315" s="50" t="s">
        <v>106</v>
      </c>
      <c r="C1315" s="50" t="s">
        <v>29</v>
      </c>
      <c r="D1315" s="50" t="s">
        <v>420</v>
      </c>
      <c r="E1315" s="121">
        <v>19316637</v>
      </c>
      <c r="F1315" s="121">
        <v>19316637</v>
      </c>
      <c r="G1315" s="121" t="s">
        <v>2033</v>
      </c>
      <c r="H1315" s="121">
        <f t="shared" si="44"/>
        <v>19316.636999999999</v>
      </c>
      <c r="I1315" s="121">
        <f>MLCF!H117</f>
        <v>19316.636999999999</v>
      </c>
      <c r="J1315" s="121">
        <f t="shared" si="45"/>
        <v>0</v>
      </c>
      <c r="K1315" s="50" t="s">
        <v>1598</v>
      </c>
      <c r="L1315" s="50">
        <v>205</v>
      </c>
      <c r="M1315" s="50" t="s">
        <v>1127</v>
      </c>
      <c r="N1315" s="68" t="s">
        <v>3564</v>
      </c>
      <c r="O1315" s="68" t="s">
        <v>3565</v>
      </c>
      <c r="P1315" s="68" t="s">
        <v>4827</v>
      </c>
    </row>
    <row r="1316" spans="1:16" ht="82.05" customHeight="1" x14ac:dyDescent="0.3">
      <c r="A1316" s="119" t="s">
        <v>2847</v>
      </c>
      <c r="B1316" s="119" t="s">
        <v>106</v>
      </c>
      <c r="C1316" s="119" t="s">
        <v>20</v>
      </c>
      <c r="D1316" s="119" t="s">
        <v>422</v>
      </c>
      <c r="E1316" s="120">
        <v>-1733621</v>
      </c>
      <c r="F1316" s="120">
        <v>-1733621</v>
      </c>
      <c r="G1316" s="120" t="s">
        <v>2033</v>
      </c>
      <c r="H1316" s="120">
        <f t="shared" si="44"/>
        <v>-1733.6210000000001</v>
      </c>
      <c r="I1316" s="120">
        <f>MLCF!D118</f>
        <v>-1733.6210000000001</v>
      </c>
      <c r="J1316" s="120">
        <f t="shared" si="45"/>
        <v>0</v>
      </c>
      <c r="K1316" s="119" t="s">
        <v>1589</v>
      </c>
      <c r="L1316" s="119">
        <v>187</v>
      </c>
      <c r="M1316" s="119" t="s">
        <v>1106</v>
      </c>
      <c r="N1316" s="122" t="s">
        <v>3564</v>
      </c>
      <c r="O1316" s="122" t="s">
        <v>3565</v>
      </c>
      <c r="P1316" s="122" t="s">
        <v>4828</v>
      </c>
    </row>
    <row r="1317" spans="1:16" ht="82.05" customHeight="1" x14ac:dyDescent="0.3">
      <c r="A1317" s="50" t="s">
        <v>2848</v>
      </c>
      <c r="B1317" s="50" t="s">
        <v>106</v>
      </c>
      <c r="C1317" s="50" t="s">
        <v>26</v>
      </c>
      <c r="D1317" s="50" t="s">
        <v>422</v>
      </c>
      <c r="E1317" s="121">
        <v>-1296781</v>
      </c>
      <c r="F1317" s="121">
        <v>-1296781</v>
      </c>
      <c r="G1317" s="121" t="s">
        <v>2033</v>
      </c>
      <c r="H1317" s="121">
        <f t="shared" si="44"/>
        <v>-1296.7809999999999</v>
      </c>
      <c r="I1317" s="121">
        <f>MLCF!E118</f>
        <v>-1296.7809999999999</v>
      </c>
      <c r="J1317" s="121">
        <f t="shared" si="45"/>
        <v>0</v>
      </c>
      <c r="K1317" s="50" t="s">
        <v>1592</v>
      </c>
      <c r="L1317" s="50">
        <v>100</v>
      </c>
      <c r="M1317" s="50" t="s">
        <v>1106</v>
      </c>
      <c r="N1317" s="68" t="s">
        <v>3564</v>
      </c>
      <c r="O1317" s="68" t="s">
        <v>3565</v>
      </c>
      <c r="P1317" s="68" t="s">
        <v>4829</v>
      </c>
    </row>
    <row r="1318" spans="1:16" ht="82.05" customHeight="1" x14ac:dyDescent="0.3">
      <c r="A1318" s="119" t="s">
        <v>2849</v>
      </c>
      <c r="B1318" s="119" t="s">
        <v>106</v>
      </c>
      <c r="C1318" s="119" t="s">
        <v>27</v>
      </c>
      <c r="D1318" s="119" t="s">
        <v>422</v>
      </c>
      <c r="E1318" s="120">
        <v>-2527786</v>
      </c>
      <c r="F1318" s="120">
        <v>-2527786</v>
      </c>
      <c r="G1318" s="120" t="s">
        <v>2033</v>
      </c>
      <c r="H1318" s="120">
        <f t="shared" si="44"/>
        <v>-2527.7860000000001</v>
      </c>
      <c r="I1318" s="120">
        <f>MLCF!F118</f>
        <v>-2527.7860000000001</v>
      </c>
      <c r="J1318" s="120">
        <f t="shared" si="45"/>
        <v>0</v>
      </c>
      <c r="K1318" s="119" t="s">
        <v>1595</v>
      </c>
      <c r="L1318" s="119">
        <v>193</v>
      </c>
      <c r="M1318" s="119" t="s">
        <v>1106</v>
      </c>
      <c r="N1318" s="122" t="s">
        <v>3564</v>
      </c>
      <c r="O1318" s="122" t="s">
        <v>3565</v>
      </c>
      <c r="P1318" s="122" t="s">
        <v>4830</v>
      </c>
    </row>
    <row r="1319" spans="1:16" ht="82.05" customHeight="1" x14ac:dyDescent="0.3">
      <c r="A1319" s="50" t="s">
        <v>2850</v>
      </c>
      <c r="B1319" s="50" t="s">
        <v>106</v>
      </c>
      <c r="C1319" s="50" t="s">
        <v>28</v>
      </c>
      <c r="D1319" s="50" t="s">
        <v>422</v>
      </c>
      <c r="E1319" s="121">
        <v>-4145538</v>
      </c>
      <c r="F1319" s="121">
        <v>-4145538</v>
      </c>
      <c r="G1319" s="121" t="s">
        <v>2033</v>
      </c>
      <c r="H1319" s="121">
        <f t="shared" si="44"/>
        <v>-4145.5379999999996</v>
      </c>
      <c r="I1319" s="121">
        <f>MLCF!G118</f>
        <v>-4145.5379999999996</v>
      </c>
      <c r="J1319" s="121">
        <f t="shared" si="45"/>
        <v>0</v>
      </c>
      <c r="K1319" s="50" t="s">
        <v>1598</v>
      </c>
      <c r="L1319" s="50">
        <v>205</v>
      </c>
      <c r="M1319" s="50" t="s">
        <v>1106</v>
      </c>
      <c r="N1319" s="68" t="s">
        <v>3564</v>
      </c>
      <c r="O1319" s="68" t="s">
        <v>3565</v>
      </c>
      <c r="P1319" s="68" t="s">
        <v>4831</v>
      </c>
    </row>
    <row r="1320" spans="1:16" ht="82.05" customHeight="1" x14ac:dyDescent="0.3">
      <c r="A1320" s="119" t="s">
        <v>2851</v>
      </c>
      <c r="B1320" s="119" t="s">
        <v>106</v>
      </c>
      <c r="C1320" s="119" t="s">
        <v>29</v>
      </c>
      <c r="D1320" s="119" t="s">
        <v>422</v>
      </c>
      <c r="E1320" s="120">
        <v>-4093012</v>
      </c>
      <c r="F1320" s="120">
        <v>-4093012</v>
      </c>
      <c r="G1320" s="120" t="s">
        <v>2033</v>
      </c>
      <c r="H1320" s="120">
        <f t="shared" si="44"/>
        <v>-4093.0120000000002</v>
      </c>
      <c r="I1320" s="120">
        <f>MLCF!H118</f>
        <v>-4093.0120000000002</v>
      </c>
      <c r="J1320" s="120">
        <f t="shared" si="45"/>
        <v>0</v>
      </c>
      <c r="K1320" s="119" t="s">
        <v>1598</v>
      </c>
      <c r="L1320" s="119">
        <v>205</v>
      </c>
      <c r="M1320" s="119" t="s">
        <v>1127</v>
      </c>
      <c r="N1320" s="122" t="s">
        <v>3564</v>
      </c>
      <c r="O1320" s="122" t="s">
        <v>3565</v>
      </c>
      <c r="P1320" s="122" t="s">
        <v>4832</v>
      </c>
    </row>
    <row r="1321" spans="1:16" ht="82.05" customHeight="1" x14ac:dyDescent="0.3">
      <c r="A1321" s="50" t="s">
        <v>2852</v>
      </c>
      <c r="B1321" s="50" t="s">
        <v>106</v>
      </c>
      <c r="C1321" s="50" t="s">
        <v>20</v>
      </c>
      <c r="D1321" s="50" t="s">
        <v>424</v>
      </c>
      <c r="E1321" s="121" t="s">
        <v>823</v>
      </c>
      <c r="F1321" s="121" t="s">
        <v>823</v>
      </c>
      <c r="G1321" s="121" t="s">
        <v>427</v>
      </c>
      <c r="H1321" s="121" t="s">
        <v>823</v>
      </c>
      <c r="I1321" s="121" t="str">
        <f>MLCF!D119</f>
        <v>Financing</v>
      </c>
      <c r="J1321" s="121" t="s">
        <v>579</v>
      </c>
      <c r="K1321" s="50" t="s">
        <v>1589</v>
      </c>
      <c r="L1321" s="50">
        <v>187</v>
      </c>
      <c r="M1321" s="50" t="s">
        <v>1106</v>
      </c>
      <c r="N1321" s="68" t="s">
        <v>3864</v>
      </c>
      <c r="O1321" s="68" t="s">
        <v>3865</v>
      </c>
      <c r="P1321" s="68" t="s">
        <v>4833</v>
      </c>
    </row>
    <row r="1322" spans="1:16" ht="82.05" customHeight="1" x14ac:dyDescent="0.3">
      <c r="A1322" s="119" t="s">
        <v>2853</v>
      </c>
      <c r="B1322" s="119" t="s">
        <v>106</v>
      </c>
      <c r="C1322" s="119" t="s">
        <v>26</v>
      </c>
      <c r="D1322" s="119" t="s">
        <v>424</v>
      </c>
      <c r="E1322" s="120" t="s">
        <v>823</v>
      </c>
      <c r="F1322" s="120" t="s">
        <v>823</v>
      </c>
      <c r="G1322" s="120" t="s">
        <v>427</v>
      </c>
      <c r="H1322" s="120" t="s">
        <v>823</v>
      </c>
      <c r="I1322" s="120" t="str">
        <f>MLCF!E119</f>
        <v>Financing</v>
      </c>
      <c r="J1322" s="120" t="s">
        <v>579</v>
      </c>
      <c r="K1322" s="119" t="s">
        <v>1592</v>
      </c>
      <c r="L1322" s="119">
        <v>196</v>
      </c>
      <c r="M1322" s="119" t="s">
        <v>1106</v>
      </c>
      <c r="N1322" s="122" t="s">
        <v>3864</v>
      </c>
      <c r="O1322" s="122" t="s">
        <v>3865</v>
      </c>
      <c r="P1322" s="122"/>
    </row>
    <row r="1323" spans="1:16" ht="82.05" customHeight="1" x14ac:dyDescent="0.3">
      <c r="A1323" s="50" t="s">
        <v>2854</v>
      </c>
      <c r="B1323" s="50" t="s">
        <v>106</v>
      </c>
      <c r="C1323" s="50" t="s">
        <v>27</v>
      </c>
      <c r="D1323" s="50" t="s">
        <v>424</v>
      </c>
      <c r="E1323" s="121" t="s">
        <v>823</v>
      </c>
      <c r="F1323" s="121" t="s">
        <v>823</v>
      </c>
      <c r="G1323" s="121" t="s">
        <v>427</v>
      </c>
      <c r="H1323" s="121" t="s">
        <v>823</v>
      </c>
      <c r="I1323" s="121" t="str">
        <f>MLCF!F119</f>
        <v>Financing</v>
      </c>
      <c r="J1323" s="121" t="s">
        <v>579</v>
      </c>
      <c r="K1323" s="50" t="s">
        <v>1595</v>
      </c>
      <c r="L1323" s="50">
        <v>193</v>
      </c>
      <c r="M1323" s="50" t="s">
        <v>1106</v>
      </c>
      <c r="N1323" s="68" t="s">
        <v>3864</v>
      </c>
      <c r="O1323" s="68" t="s">
        <v>3865</v>
      </c>
      <c r="P1323" s="68" t="s">
        <v>4834</v>
      </c>
    </row>
    <row r="1324" spans="1:16" ht="82.05" customHeight="1" x14ac:dyDescent="0.3">
      <c r="A1324" s="119" t="s">
        <v>2855</v>
      </c>
      <c r="B1324" s="119" t="s">
        <v>106</v>
      </c>
      <c r="C1324" s="119" t="s">
        <v>28</v>
      </c>
      <c r="D1324" s="119" t="s">
        <v>424</v>
      </c>
      <c r="E1324" s="120" t="s">
        <v>823</v>
      </c>
      <c r="F1324" s="120" t="s">
        <v>823</v>
      </c>
      <c r="G1324" s="120" t="s">
        <v>427</v>
      </c>
      <c r="H1324" s="120" t="s">
        <v>823</v>
      </c>
      <c r="I1324" s="120" t="str">
        <f>MLCF!G119</f>
        <v>Financing</v>
      </c>
      <c r="J1324" s="120" t="s">
        <v>579</v>
      </c>
      <c r="K1324" s="119" t="s">
        <v>1598</v>
      </c>
      <c r="L1324" s="119">
        <v>205</v>
      </c>
      <c r="M1324" s="119" t="s">
        <v>1106</v>
      </c>
      <c r="N1324" s="122" t="s">
        <v>3864</v>
      </c>
      <c r="O1324" s="122" t="s">
        <v>3865</v>
      </c>
      <c r="P1324" s="122" t="s">
        <v>4835</v>
      </c>
    </row>
    <row r="1325" spans="1:16" ht="82.05" customHeight="1" x14ac:dyDescent="0.3">
      <c r="A1325" s="50" t="s">
        <v>2856</v>
      </c>
      <c r="B1325" s="50" t="s">
        <v>106</v>
      </c>
      <c r="C1325" s="50" t="s">
        <v>29</v>
      </c>
      <c r="D1325" s="50" t="s">
        <v>424</v>
      </c>
      <c r="E1325" s="121" t="s">
        <v>823</v>
      </c>
      <c r="F1325" s="121" t="s">
        <v>823</v>
      </c>
      <c r="G1325" s="121" t="s">
        <v>427</v>
      </c>
      <c r="H1325" s="121" t="s">
        <v>823</v>
      </c>
      <c r="I1325" s="121" t="str">
        <f>MLCF!H119</f>
        <v>Financing</v>
      </c>
      <c r="J1325" s="121" t="s">
        <v>579</v>
      </c>
      <c r="K1325" s="50" t="s">
        <v>1598</v>
      </c>
      <c r="L1325" s="50">
        <v>205</v>
      </c>
      <c r="M1325" s="50" t="s">
        <v>1127</v>
      </c>
      <c r="N1325" s="68" t="s">
        <v>3864</v>
      </c>
      <c r="O1325" s="68" t="s">
        <v>3865</v>
      </c>
      <c r="P1325" s="68" t="s">
        <v>4835</v>
      </c>
    </row>
    <row r="1326" spans="1:16" ht="82.05" customHeight="1" x14ac:dyDescent="0.3">
      <c r="A1326" s="119" t="s">
        <v>2857</v>
      </c>
      <c r="B1326" s="119" t="s">
        <v>106</v>
      </c>
      <c r="C1326" s="119" t="s">
        <v>20</v>
      </c>
      <c r="D1326" s="119" t="s">
        <v>430</v>
      </c>
      <c r="E1326" s="120">
        <v>-3285300</v>
      </c>
      <c r="F1326" s="120">
        <v>-3285300</v>
      </c>
      <c r="G1326" s="120" t="s">
        <v>2033</v>
      </c>
      <c r="H1326" s="120">
        <f t="shared" ref="H1326:H1389" si="46">F1326/1000</f>
        <v>-3285.3</v>
      </c>
      <c r="I1326" s="120">
        <f>MLCF!D121</f>
        <v>-3285.3</v>
      </c>
      <c r="J1326" s="120">
        <f t="shared" ref="J1326:J1389" si="47">H1326-I1326</f>
        <v>0</v>
      </c>
      <c r="K1326" s="119" t="s">
        <v>1589</v>
      </c>
      <c r="L1326" s="119">
        <v>187</v>
      </c>
      <c r="M1326" s="119" t="s">
        <v>1106</v>
      </c>
      <c r="N1326" s="122" t="s">
        <v>3564</v>
      </c>
      <c r="O1326" s="122" t="s">
        <v>3565</v>
      </c>
      <c r="P1326" s="122" t="s">
        <v>4836</v>
      </c>
    </row>
    <row r="1327" spans="1:16" ht="82.05" customHeight="1" x14ac:dyDescent="0.3">
      <c r="A1327" s="50" t="s">
        <v>2859</v>
      </c>
      <c r="B1327" s="50" t="s">
        <v>106</v>
      </c>
      <c r="C1327" s="50" t="s">
        <v>26</v>
      </c>
      <c r="D1327" s="50" t="s">
        <v>430</v>
      </c>
      <c r="E1327" s="121">
        <v>-15790494</v>
      </c>
      <c r="F1327" s="121">
        <v>-15790494</v>
      </c>
      <c r="G1327" s="121" t="s">
        <v>2033</v>
      </c>
      <c r="H1327" s="121">
        <f t="shared" si="46"/>
        <v>-15790.494000000001</v>
      </c>
      <c r="I1327" s="121">
        <f>MLCF!E121</f>
        <v>-15790.494000000001</v>
      </c>
      <c r="J1327" s="121">
        <f t="shared" si="47"/>
        <v>0</v>
      </c>
      <c r="K1327" s="50" t="s">
        <v>1592</v>
      </c>
      <c r="L1327" s="50">
        <v>100</v>
      </c>
      <c r="M1327" s="50" t="s">
        <v>1106</v>
      </c>
      <c r="N1327" s="68" t="s">
        <v>3564</v>
      </c>
      <c r="O1327" s="68" t="s">
        <v>3565</v>
      </c>
      <c r="P1327" s="68" t="s">
        <v>4837</v>
      </c>
    </row>
    <row r="1328" spans="1:16" ht="82.05" customHeight="1" x14ac:dyDescent="0.3">
      <c r="A1328" s="119" t="s">
        <v>2860</v>
      </c>
      <c r="B1328" s="119" t="s">
        <v>106</v>
      </c>
      <c r="C1328" s="119" t="s">
        <v>27</v>
      </c>
      <c r="D1328" s="119" t="s">
        <v>430</v>
      </c>
      <c r="E1328" s="120">
        <v>-9071126</v>
      </c>
      <c r="F1328" s="120">
        <v>-9071126</v>
      </c>
      <c r="G1328" s="120" t="s">
        <v>2033</v>
      </c>
      <c r="H1328" s="120">
        <f t="shared" si="46"/>
        <v>-9071.1260000000002</v>
      </c>
      <c r="I1328" s="120">
        <f>MLCF!F121</f>
        <v>-9071.1260000000002</v>
      </c>
      <c r="J1328" s="120">
        <f t="shared" si="47"/>
        <v>0</v>
      </c>
      <c r="K1328" s="119" t="s">
        <v>1595</v>
      </c>
      <c r="L1328" s="119">
        <v>193</v>
      </c>
      <c r="M1328" s="119" t="s">
        <v>1106</v>
      </c>
      <c r="N1328" s="122" t="s">
        <v>3564</v>
      </c>
      <c r="O1328" s="122" t="s">
        <v>3565</v>
      </c>
      <c r="P1328" s="122" t="s">
        <v>4838</v>
      </c>
    </row>
    <row r="1329" spans="1:16" ht="82.05" customHeight="1" x14ac:dyDescent="0.3">
      <c r="A1329" s="50" t="s">
        <v>2861</v>
      </c>
      <c r="B1329" s="50" t="s">
        <v>106</v>
      </c>
      <c r="C1329" s="50" t="s">
        <v>28</v>
      </c>
      <c r="D1329" s="50" t="s">
        <v>430</v>
      </c>
      <c r="E1329" s="121">
        <v>-3099319</v>
      </c>
      <c r="F1329" s="121">
        <v>-3099319</v>
      </c>
      <c r="G1329" s="121" t="s">
        <v>2033</v>
      </c>
      <c r="H1329" s="121">
        <f t="shared" si="46"/>
        <v>-3099.319</v>
      </c>
      <c r="I1329" s="121">
        <f>MLCF!G121</f>
        <v>-3099.319</v>
      </c>
      <c r="J1329" s="121">
        <f t="shared" si="47"/>
        <v>0</v>
      </c>
      <c r="K1329" s="50" t="s">
        <v>1598</v>
      </c>
      <c r="L1329" s="50">
        <v>205</v>
      </c>
      <c r="M1329" s="50" t="s">
        <v>1106</v>
      </c>
      <c r="N1329" s="68" t="s">
        <v>3564</v>
      </c>
      <c r="O1329" s="68" t="s">
        <v>3565</v>
      </c>
      <c r="P1329" s="68" t="s">
        <v>4839</v>
      </c>
    </row>
    <row r="1330" spans="1:16" ht="82.05" customHeight="1" x14ac:dyDescent="0.3">
      <c r="A1330" s="119" t="s">
        <v>2862</v>
      </c>
      <c r="B1330" s="119" t="s">
        <v>106</v>
      </c>
      <c r="C1330" s="119" t="s">
        <v>29</v>
      </c>
      <c r="D1330" s="119" t="s">
        <v>430</v>
      </c>
      <c r="E1330" s="120">
        <v>-423781</v>
      </c>
      <c r="F1330" s="120">
        <v>-423781</v>
      </c>
      <c r="G1330" s="120" t="s">
        <v>2033</v>
      </c>
      <c r="H1330" s="120">
        <f t="shared" si="46"/>
        <v>-423.78100000000001</v>
      </c>
      <c r="I1330" s="120">
        <f>MLCF!H121</f>
        <v>-423.78100000000001</v>
      </c>
      <c r="J1330" s="120">
        <f t="shared" si="47"/>
        <v>0</v>
      </c>
      <c r="K1330" s="119" t="s">
        <v>1598</v>
      </c>
      <c r="L1330" s="119">
        <v>205</v>
      </c>
      <c r="M1330" s="119" t="s">
        <v>1127</v>
      </c>
      <c r="N1330" s="122" t="s">
        <v>3564</v>
      </c>
      <c r="O1330" s="122" t="s">
        <v>3565</v>
      </c>
      <c r="P1330" s="122" t="s">
        <v>4840</v>
      </c>
    </row>
    <row r="1331" spans="1:16" ht="82.05" customHeight="1" x14ac:dyDescent="0.3">
      <c r="A1331" s="50" t="s">
        <v>2863</v>
      </c>
      <c r="B1331" s="50" t="s">
        <v>106</v>
      </c>
      <c r="C1331" s="50" t="s">
        <v>20</v>
      </c>
      <c r="D1331" s="50" t="s">
        <v>432</v>
      </c>
      <c r="E1331" s="121">
        <v>251007</v>
      </c>
      <c r="F1331" s="121">
        <v>251007</v>
      </c>
      <c r="G1331" s="121" t="s">
        <v>2033</v>
      </c>
      <c r="H1331" s="121">
        <f t="shared" si="46"/>
        <v>251.00700000000001</v>
      </c>
      <c r="I1331" s="121">
        <f>MLCF!D122</f>
        <v>251.00700000000001</v>
      </c>
      <c r="J1331" s="121">
        <f t="shared" si="47"/>
        <v>0</v>
      </c>
      <c r="K1331" s="50" t="s">
        <v>1589</v>
      </c>
      <c r="L1331" s="50">
        <v>187</v>
      </c>
      <c r="M1331" s="50" t="s">
        <v>1106</v>
      </c>
      <c r="N1331" s="68" t="s">
        <v>3564</v>
      </c>
      <c r="O1331" s="68" t="s">
        <v>3565</v>
      </c>
      <c r="P1331" s="68" t="s">
        <v>4841</v>
      </c>
    </row>
    <row r="1332" spans="1:16" ht="82.05" customHeight="1" x14ac:dyDescent="0.3">
      <c r="A1332" s="119" t="s">
        <v>2865</v>
      </c>
      <c r="B1332" s="119" t="s">
        <v>106</v>
      </c>
      <c r="C1332" s="119" t="s">
        <v>26</v>
      </c>
      <c r="D1332" s="119" t="s">
        <v>432</v>
      </c>
      <c r="E1332" s="120">
        <v>-15819320</v>
      </c>
      <c r="F1332" s="120">
        <v>-15819320</v>
      </c>
      <c r="G1332" s="120" t="s">
        <v>2033</v>
      </c>
      <c r="H1332" s="120">
        <f t="shared" si="46"/>
        <v>-15819.32</v>
      </c>
      <c r="I1332" s="120">
        <f>MLCF!E122</f>
        <v>-15819.32</v>
      </c>
      <c r="J1332" s="120">
        <f t="shared" si="47"/>
        <v>0</v>
      </c>
      <c r="K1332" s="119" t="s">
        <v>1592</v>
      </c>
      <c r="L1332" s="119">
        <v>100</v>
      </c>
      <c r="M1332" s="119" t="s">
        <v>1106</v>
      </c>
      <c r="N1332" s="122" t="s">
        <v>3564</v>
      </c>
      <c r="O1332" s="122" t="s">
        <v>3565</v>
      </c>
      <c r="P1332" s="122" t="s">
        <v>4842</v>
      </c>
    </row>
    <row r="1333" spans="1:16" ht="82.05" customHeight="1" x14ac:dyDescent="0.3">
      <c r="A1333" s="50" t="s">
        <v>2866</v>
      </c>
      <c r="B1333" s="50" t="s">
        <v>106</v>
      </c>
      <c r="C1333" s="50" t="s">
        <v>27</v>
      </c>
      <c r="D1333" s="50" t="s">
        <v>432</v>
      </c>
      <c r="E1333" s="121">
        <v>-12174483</v>
      </c>
      <c r="F1333" s="121">
        <v>-12174483</v>
      </c>
      <c r="G1333" s="121" t="s">
        <v>2033</v>
      </c>
      <c r="H1333" s="121">
        <f t="shared" si="46"/>
        <v>-12174.483</v>
      </c>
      <c r="I1333" s="121">
        <f>MLCF!F122</f>
        <v>-12174.483</v>
      </c>
      <c r="J1333" s="121">
        <f t="shared" si="47"/>
        <v>0</v>
      </c>
      <c r="K1333" s="50" t="s">
        <v>1595</v>
      </c>
      <c r="L1333" s="50">
        <v>193</v>
      </c>
      <c r="M1333" s="50" t="s">
        <v>1106</v>
      </c>
      <c r="N1333" s="68" t="s">
        <v>3564</v>
      </c>
      <c r="O1333" s="68" t="s">
        <v>3565</v>
      </c>
      <c r="P1333" s="68" t="s">
        <v>4843</v>
      </c>
    </row>
    <row r="1334" spans="1:16" ht="82.05" customHeight="1" x14ac:dyDescent="0.3">
      <c r="A1334" s="119" t="s">
        <v>2868</v>
      </c>
      <c r="B1334" s="119" t="s">
        <v>106</v>
      </c>
      <c r="C1334" s="119" t="s">
        <v>28</v>
      </c>
      <c r="D1334" s="119" t="s">
        <v>432</v>
      </c>
      <c r="E1334" s="120">
        <v>-3030885</v>
      </c>
      <c r="F1334" s="120">
        <v>-3030885</v>
      </c>
      <c r="G1334" s="120" t="s">
        <v>2033</v>
      </c>
      <c r="H1334" s="120">
        <f t="shared" si="46"/>
        <v>-3030.8850000000002</v>
      </c>
      <c r="I1334" s="120">
        <f>MLCF!G122</f>
        <v>-3030.8850000000002</v>
      </c>
      <c r="J1334" s="120">
        <f t="shared" si="47"/>
        <v>0</v>
      </c>
      <c r="K1334" s="119" t="s">
        <v>1598</v>
      </c>
      <c r="L1334" s="119">
        <v>205</v>
      </c>
      <c r="M1334" s="119" t="s">
        <v>1106</v>
      </c>
      <c r="N1334" s="122" t="s">
        <v>3564</v>
      </c>
      <c r="O1334" s="122" t="s">
        <v>3565</v>
      </c>
      <c r="P1334" s="122" t="s">
        <v>4844</v>
      </c>
    </row>
    <row r="1335" spans="1:16" ht="82.05" customHeight="1" x14ac:dyDescent="0.3">
      <c r="A1335" s="50" t="s">
        <v>2869</v>
      </c>
      <c r="B1335" s="50" t="s">
        <v>106</v>
      </c>
      <c r="C1335" s="50" t="s">
        <v>29</v>
      </c>
      <c r="D1335" s="50" t="s">
        <v>432</v>
      </c>
      <c r="E1335" s="121">
        <v>-9999040</v>
      </c>
      <c r="F1335" s="121">
        <v>-9999040</v>
      </c>
      <c r="G1335" s="121" t="s">
        <v>2033</v>
      </c>
      <c r="H1335" s="121">
        <f t="shared" si="46"/>
        <v>-9999.0400000000009</v>
      </c>
      <c r="I1335" s="121">
        <f>MLCF!H122</f>
        <v>-9999.0400000000009</v>
      </c>
      <c r="J1335" s="121">
        <f t="shared" si="47"/>
        <v>0</v>
      </c>
      <c r="K1335" s="50" t="s">
        <v>1598</v>
      </c>
      <c r="L1335" s="50">
        <v>205</v>
      </c>
      <c r="M1335" s="50" t="s">
        <v>1127</v>
      </c>
      <c r="N1335" s="68" t="s">
        <v>3564</v>
      </c>
      <c r="O1335" s="68" t="s">
        <v>3565</v>
      </c>
      <c r="P1335" s="68" t="s">
        <v>4845</v>
      </c>
    </row>
    <row r="1336" spans="1:16" ht="82.05" customHeight="1" x14ac:dyDescent="0.3">
      <c r="A1336" s="119" t="s">
        <v>2870</v>
      </c>
      <c r="B1336" s="119" t="s">
        <v>106</v>
      </c>
      <c r="C1336" s="119" t="s">
        <v>20</v>
      </c>
      <c r="D1336" s="119" t="s">
        <v>434</v>
      </c>
      <c r="E1336" s="120">
        <v>-6732688</v>
      </c>
      <c r="F1336" s="120">
        <v>-6732688</v>
      </c>
      <c r="G1336" s="120" t="s">
        <v>2033</v>
      </c>
      <c r="H1336" s="120">
        <f t="shared" si="46"/>
        <v>-6732.6880000000001</v>
      </c>
      <c r="I1336" s="120">
        <f>MLCF!D123</f>
        <v>-6732.6880000000001</v>
      </c>
      <c r="J1336" s="120">
        <f t="shared" si="47"/>
        <v>0</v>
      </c>
      <c r="K1336" s="119" t="s">
        <v>1589</v>
      </c>
      <c r="L1336" s="119">
        <v>187</v>
      </c>
      <c r="M1336" s="119" t="s">
        <v>1106</v>
      </c>
      <c r="N1336" s="122" t="s">
        <v>3564</v>
      </c>
      <c r="O1336" s="122" t="s">
        <v>3565</v>
      </c>
      <c r="P1336" s="122" t="s">
        <v>4846</v>
      </c>
    </row>
    <row r="1337" spans="1:16" ht="82.05" customHeight="1" x14ac:dyDescent="0.3">
      <c r="A1337" s="50" t="s">
        <v>2872</v>
      </c>
      <c r="B1337" s="50" t="s">
        <v>106</v>
      </c>
      <c r="C1337" s="50" t="s">
        <v>26</v>
      </c>
      <c r="D1337" s="50" t="s">
        <v>434</v>
      </c>
      <c r="E1337" s="121">
        <v>6601516</v>
      </c>
      <c r="F1337" s="121">
        <v>6601516</v>
      </c>
      <c r="G1337" s="121" t="s">
        <v>2033</v>
      </c>
      <c r="H1337" s="121">
        <f t="shared" si="46"/>
        <v>6601.5159999999996</v>
      </c>
      <c r="I1337" s="121">
        <f>MLCF!E123</f>
        <v>6601.5159999999996</v>
      </c>
      <c r="J1337" s="121">
        <f t="shared" si="47"/>
        <v>0</v>
      </c>
      <c r="K1337" s="50" t="s">
        <v>1592</v>
      </c>
      <c r="L1337" s="50">
        <v>100</v>
      </c>
      <c r="M1337" s="50" t="s">
        <v>1106</v>
      </c>
      <c r="N1337" s="68" t="s">
        <v>3564</v>
      </c>
      <c r="O1337" s="68" t="s">
        <v>3565</v>
      </c>
      <c r="P1337" s="68" t="s">
        <v>4847</v>
      </c>
    </row>
    <row r="1338" spans="1:16" ht="82.05" customHeight="1" x14ac:dyDescent="0.3">
      <c r="A1338" s="119" t="s">
        <v>2873</v>
      </c>
      <c r="B1338" s="119" t="s">
        <v>106</v>
      </c>
      <c r="C1338" s="119" t="s">
        <v>27</v>
      </c>
      <c r="D1338" s="119" t="s">
        <v>434</v>
      </c>
      <c r="E1338" s="120">
        <v>-6632403</v>
      </c>
      <c r="F1338" s="120">
        <v>-6632403</v>
      </c>
      <c r="G1338" s="120" t="s">
        <v>2033</v>
      </c>
      <c r="H1338" s="120">
        <f t="shared" si="46"/>
        <v>-6632.4030000000002</v>
      </c>
      <c r="I1338" s="120">
        <f>MLCF!F123</f>
        <v>-6632.4030000000002</v>
      </c>
      <c r="J1338" s="120">
        <f t="shared" si="47"/>
        <v>0</v>
      </c>
      <c r="K1338" s="119" t="s">
        <v>1595</v>
      </c>
      <c r="L1338" s="119">
        <v>193</v>
      </c>
      <c r="M1338" s="119" t="s">
        <v>1106</v>
      </c>
      <c r="N1338" s="122" t="s">
        <v>3564</v>
      </c>
      <c r="O1338" s="122" t="s">
        <v>3565</v>
      </c>
      <c r="P1338" s="122" t="s">
        <v>4848</v>
      </c>
    </row>
    <row r="1339" spans="1:16" ht="82.05" customHeight="1" x14ac:dyDescent="0.3">
      <c r="A1339" s="50" t="s">
        <v>2874</v>
      </c>
      <c r="B1339" s="50" t="s">
        <v>106</v>
      </c>
      <c r="C1339" s="50" t="s">
        <v>28</v>
      </c>
      <c r="D1339" s="50" t="s">
        <v>434</v>
      </c>
      <c r="E1339" s="121">
        <v>-7482362</v>
      </c>
      <c r="F1339" s="121">
        <v>-7482362</v>
      </c>
      <c r="G1339" s="121" t="s">
        <v>2033</v>
      </c>
      <c r="H1339" s="121">
        <f t="shared" si="46"/>
        <v>-7482.3620000000001</v>
      </c>
      <c r="I1339" s="121">
        <f>MLCF!G123</f>
        <v>-7482.3620000000001</v>
      </c>
      <c r="J1339" s="121">
        <f t="shared" si="47"/>
        <v>0</v>
      </c>
      <c r="K1339" s="50" t="s">
        <v>1598</v>
      </c>
      <c r="L1339" s="50">
        <v>205</v>
      </c>
      <c r="M1339" s="50" t="s">
        <v>1106</v>
      </c>
      <c r="N1339" s="68" t="s">
        <v>3564</v>
      </c>
      <c r="O1339" s="68" t="s">
        <v>3565</v>
      </c>
      <c r="P1339" s="68" t="s">
        <v>4849</v>
      </c>
    </row>
    <row r="1340" spans="1:16" ht="82.05" customHeight="1" x14ac:dyDescent="0.3">
      <c r="A1340" s="119" t="s">
        <v>2875</v>
      </c>
      <c r="B1340" s="119" t="s">
        <v>106</v>
      </c>
      <c r="C1340" s="119" t="s">
        <v>29</v>
      </c>
      <c r="D1340" s="119" t="s">
        <v>434</v>
      </c>
      <c r="E1340" s="120">
        <v>-7569161</v>
      </c>
      <c r="F1340" s="120">
        <v>-7569161</v>
      </c>
      <c r="G1340" s="120" t="s">
        <v>2033</v>
      </c>
      <c r="H1340" s="120">
        <f t="shared" si="46"/>
        <v>-7569.1610000000001</v>
      </c>
      <c r="I1340" s="120">
        <f>MLCF!H123</f>
        <v>-7569.1610000000001</v>
      </c>
      <c r="J1340" s="120">
        <f t="shared" si="47"/>
        <v>0</v>
      </c>
      <c r="K1340" s="119" t="s">
        <v>1598</v>
      </c>
      <c r="L1340" s="119">
        <v>205</v>
      </c>
      <c r="M1340" s="119" t="s">
        <v>1127</v>
      </c>
      <c r="N1340" s="122" t="s">
        <v>3564</v>
      </c>
      <c r="O1340" s="122" t="s">
        <v>3565</v>
      </c>
      <c r="P1340" s="122" t="s">
        <v>4850</v>
      </c>
    </row>
    <row r="1341" spans="1:16" ht="82.05" customHeight="1" x14ac:dyDescent="0.3">
      <c r="A1341" s="50" t="s">
        <v>2876</v>
      </c>
      <c r="B1341" s="50" t="s">
        <v>106</v>
      </c>
      <c r="C1341" s="50" t="s">
        <v>20</v>
      </c>
      <c r="D1341" s="50" t="s">
        <v>436</v>
      </c>
      <c r="E1341" s="121">
        <v>-19919</v>
      </c>
      <c r="F1341" s="121">
        <v>-19919</v>
      </c>
      <c r="G1341" s="121" t="s">
        <v>2033</v>
      </c>
      <c r="H1341" s="121">
        <f t="shared" si="46"/>
        <v>-19.919</v>
      </c>
      <c r="I1341" s="121">
        <f>MLCF!D124</f>
        <v>-19.919</v>
      </c>
      <c r="J1341" s="121">
        <f t="shared" si="47"/>
        <v>0</v>
      </c>
      <c r="K1341" s="50" t="s">
        <v>1589</v>
      </c>
      <c r="L1341" s="50">
        <v>187</v>
      </c>
      <c r="M1341" s="50" t="s">
        <v>1106</v>
      </c>
      <c r="N1341" s="68" t="s">
        <v>3564</v>
      </c>
      <c r="O1341" s="68" t="s">
        <v>3565</v>
      </c>
      <c r="P1341" s="68" t="s">
        <v>4851</v>
      </c>
    </row>
    <row r="1342" spans="1:16" ht="82.05" customHeight="1" x14ac:dyDescent="0.3">
      <c r="A1342" s="119" t="s">
        <v>2877</v>
      </c>
      <c r="B1342" s="119" t="s">
        <v>106</v>
      </c>
      <c r="C1342" s="119" t="s">
        <v>26</v>
      </c>
      <c r="D1342" s="119" t="s">
        <v>436</v>
      </c>
      <c r="E1342" s="120">
        <v>-565</v>
      </c>
      <c r="F1342" s="120">
        <v>-565</v>
      </c>
      <c r="G1342" s="120" t="s">
        <v>2033</v>
      </c>
      <c r="H1342" s="120">
        <f t="shared" si="46"/>
        <v>-0.56499999999999995</v>
      </c>
      <c r="I1342" s="120">
        <f>MLCF!E124</f>
        <v>-0.56499999999999995</v>
      </c>
      <c r="J1342" s="120">
        <f t="shared" si="47"/>
        <v>0</v>
      </c>
      <c r="K1342" s="119" t="s">
        <v>1592</v>
      </c>
      <c r="L1342" s="119">
        <v>100</v>
      </c>
      <c r="M1342" s="119" t="s">
        <v>1106</v>
      </c>
      <c r="N1342" s="122" t="s">
        <v>3564</v>
      </c>
      <c r="O1342" s="122" t="s">
        <v>3565</v>
      </c>
      <c r="P1342" s="122" t="s">
        <v>4852</v>
      </c>
    </row>
    <row r="1343" spans="1:16" ht="82.05" customHeight="1" x14ac:dyDescent="0.3">
      <c r="A1343" s="50" t="s">
        <v>2878</v>
      </c>
      <c r="B1343" s="50" t="s">
        <v>106</v>
      </c>
      <c r="C1343" s="50" t="s">
        <v>27</v>
      </c>
      <c r="D1343" s="50" t="s">
        <v>436</v>
      </c>
      <c r="E1343" s="121">
        <v>-191</v>
      </c>
      <c r="F1343" s="121">
        <v>-191</v>
      </c>
      <c r="G1343" s="121" t="s">
        <v>2033</v>
      </c>
      <c r="H1343" s="121">
        <f t="shared" si="46"/>
        <v>-0.191</v>
      </c>
      <c r="I1343" s="121">
        <f>MLCF!F124</f>
        <v>-0.191</v>
      </c>
      <c r="J1343" s="121">
        <f t="shared" si="47"/>
        <v>0</v>
      </c>
      <c r="K1343" s="50" t="s">
        <v>1595</v>
      </c>
      <c r="L1343" s="50">
        <v>193</v>
      </c>
      <c r="M1343" s="50" t="s">
        <v>1106</v>
      </c>
      <c r="N1343" s="68" t="s">
        <v>3564</v>
      </c>
      <c r="O1343" s="68" t="s">
        <v>3565</v>
      </c>
      <c r="P1343" s="68" t="s">
        <v>4853</v>
      </c>
    </row>
    <row r="1344" spans="1:16" ht="82.05" customHeight="1" x14ac:dyDescent="0.3">
      <c r="A1344" s="119" t="s">
        <v>2879</v>
      </c>
      <c r="B1344" s="119" t="s">
        <v>106</v>
      </c>
      <c r="C1344" s="119" t="s">
        <v>28</v>
      </c>
      <c r="D1344" s="119" t="s">
        <v>436</v>
      </c>
      <c r="E1344" s="120">
        <v>-122</v>
      </c>
      <c r="F1344" s="120">
        <v>-122</v>
      </c>
      <c r="G1344" s="120" t="s">
        <v>2033</v>
      </c>
      <c r="H1344" s="120">
        <f t="shared" si="46"/>
        <v>-0.122</v>
      </c>
      <c r="I1344" s="120">
        <f>MLCF!G124</f>
        <v>-0.122</v>
      </c>
      <c r="J1344" s="120">
        <f t="shared" si="47"/>
        <v>0</v>
      </c>
      <c r="K1344" s="119" t="s">
        <v>1598</v>
      </c>
      <c r="L1344" s="119">
        <v>205</v>
      </c>
      <c r="M1344" s="119" t="s">
        <v>1106</v>
      </c>
      <c r="N1344" s="122" t="s">
        <v>3564</v>
      </c>
      <c r="O1344" s="122" t="s">
        <v>3565</v>
      </c>
      <c r="P1344" s="122" t="s">
        <v>4854</v>
      </c>
    </row>
    <row r="1345" spans="1:16" ht="82.05" customHeight="1" x14ac:dyDescent="0.3">
      <c r="A1345" s="50" t="s">
        <v>2880</v>
      </c>
      <c r="B1345" s="50" t="s">
        <v>106</v>
      </c>
      <c r="C1345" s="50" t="s">
        <v>29</v>
      </c>
      <c r="D1345" s="50" t="s">
        <v>436</v>
      </c>
      <c r="E1345" s="121">
        <v>-379</v>
      </c>
      <c r="F1345" s="121">
        <v>-379</v>
      </c>
      <c r="G1345" s="121" t="s">
        <v>2033</v>
      </c>
      <c r="H1345" s="121">
        <f t="shared" si="46"/>
        <v>-0.379</v>
      </c>
      <c r="I1345" s="121">
        <f>MLCF!H124</f>
        <v>-0.379</v>
      </c>
      <c r="J1345" s="121">
        <f t="shared" si="47"/>
        <v>0</v>
      </c>
      <c r="K1345" s="50" t="s">
        <v>1598</v>
      </c>
      <c r="L1345" s="50">
        <v>205</v>
      </c>
      <c r="M1345" s="50" t="s">
        <v>1127</v>
      </c>
      <c r="N1345" s="68" t="s">
        <v>3564</v>
      </c>
      <c r="O1345" s="68" t="s">
        <v>3565</v>
      </c>
      <c r="P1345" s="68" t="s">
        <v>4855</v>
      </c>
    </row>
    <row r="1346" spans="1:16" ht="82.05" customHeight="1" x14ac:dyDescent="0.3">
      <c r="A1346" s="119" t="s">
        <v>2915</v>
      </c>
      <c r="B1346" s="119" t="s">
        <v>114</v>
      </c>
      <c r="C1346" s="119" t="s">
        <v>965</v>
      </c>
      <c r="D1346" s="119" t="s">
        <v>243</v>
      </c>
      <c r="E1346" s="120">
        <v>22065172</v>
      </c>
      <c r="F1346" s="120">
        <v>22065172</v>
      </c>
      <c r="G1346" s="120" t="s">
        <v>2033</v>
      </c>
      <c r="H1346" s="120">
        <f t="shared" si="46"/>
        <v>22065.171999999999</v>
      </c>
      <c r="I1346" s="120">
        <f>FCCL!C20</f>
        <v>22065.171999999999</v>
      </c>
      <c r="J1346" s="120">
        <f t="shared" si="47"/>
        <v>0</v>
      </c>
      <c r="K1346" s="119" t="s">
        <v>2916</v>
      </c>
      <c r="L1346" s="119">
        <v>165</v>
      </c>
      <c r="M1346" s="119" t="s">
        <v>1106</v>
      </c>
      <c r="N1346" s="122" t="s">
        <v>3564</v>
      </c>
      <c r="O1346" s="122" t="s">
        <v>3565</v>
      </c>
      <c r="P1346" s="122" t="s">
        <v>4856</v>
      </c>
    </row>
    <row r="1347" spans="1:16" ht="82.05" customHeight="1" x14ac:dyDescent="0.3">
      <c r="A1347" s="50" t="s">
        <v>2917</v>
      </c>
      <c r="B1347" s="50" t="s">
        <v>114</v>
      </c>
      <c r="C1347" s="50" t="s">
        <v>20</v>
      </c>
      <c r="D1347" s="50" t="s">
        <v>243</v>
      </c>
      <c r="E1347" s="121">
        <v>21422215</v>
      </c>
      <c r="F1347" s="121">
        <v>21422215</v>
      </c>
      <c r="G1347" s="121" t="s">
        <v>2033</v>
      </c>
      <c r="H1347" s="121">
        <f t="shared" si="46"/>
        <v>21422.215</v>
      </c>
      <c r="I1347" s="121">
        <f>FCCL!D20</f>
        <v>21422.215</v>
      </c>
      <c r="J1347" s="121">
        <f t="shared" si="47"/>
        <v>0</v>
      </c>
      <c r="K1347" s="50" t="s">
        <v>2918</v>
      </c>
      <c r="L1347" s="50">
        <v>187</v>
      </c>
      <c r="M1347" s="50" t="s">
        <v>1106</v>
      </c>
      <c r="N1347" s="68" t="s">
        <v>3564</v>
      </c>
      <c r="O1347" s="68" t="s">
        <v>3565</v>
      </c>
      <c r="P1347" s="68" t="s">
        <v>4857</v>
      </c>
    </row>
    <row r="1348" spans="1:16" ht="82.05" customHeight="1" x14ac:dyDescent="0.3">
      <c r="A1348" s="119" t="s">
        <v>2919</v>
      </c>
      <c r="B1348" s="119" t="s">
        <v>114</v>
      </c>
      <c r="C1348" s="119" t="s">
        <v>26</v>
      </c>
      <c r="D1348" s="119" t="s">
        <v>243</v>
      </c>
      <c r="E1348" s="120">
        <v>74126315</v>
      </c>
      <c r="F1348" s="120">
        <v>74126315</v>
      </c>
      <c r="G1348" s="120" t="s">
        <v>2033</v>
      </c>
      <c r="H1348" s="120">
        <f t="shared" si="46"/>
        <v>74126.315000000002</v>
      </c>
      <c r="I1348" s="120">
        <f>FCCL!E20</f>
        <v>74126.315000000002</v>
      </c>
      <c r="J1348" s="120">
        <f t="shared" si="47"/>
        <v>0</v>
      </c>
      <c r="K1348" s="119" t="s">
        <v>2920</v>
      </c>
      <c r="L1348" s="119">
        <v>209</v>
      </c>
      <c r="M1348" s="119" t="s">
        <v>1106</v>
      </c>
      <c r="N1348" s="122" t="s">
        <v>3564</v>
      </c>
      <c r="O1348" s="122" t="s">
        <v>3565</v>
      </c>
      <c r="P1348" s="122" t="s">
        <v>4858</v>
      </c>
    </row>
    <row r="1349" spans="1:16" ht="82.05" customHeight="1" x14ac:dyDescent="0.3">
      <c r="A1349" s="50" t="s">
        <v>2922</v>
      </c>
      <c r="B1349" s="50" t="s">
        <v>114</v>
      </c>
      <c r="C1349" s="50" t="s">
        <v>27</v>
      </c>
      <c r="D1349" s="50" t="s">
        <v>243</v>
      </c>
      <c r="E1349" s="121">
        <v>104425181</v>
      </c>
      <c r="F1349" s="121">
        <v>104425181</v>
      </c>
      <c r="G1349" s="121" t="s">
        <v>2033</v>
      </c>
      <c r="H1349" s="121">
        <f t="shared" si="46"/>
        <v>104425.181</v>
      </c>
      <c r="I1349" s="121">
        <f>FCCL!F20</f>
        <v>104425.181</v>
      </c>
      <c r="J1349" s="121">
        <f t="shared" si="47"/>
        <v>0</v>
      </c>
      <c r="K1349" s="50" t="s">
        <v>2923</v>
      </c>
      <c r="L1349" s="50">
        <v>191</v>
      </c>
      <c r="M1349" s="50" t="s">
        <v>1106</v>
      </c>
      <c r="N1349" s="68" t="s">
        <v>3564</v>
      </c>
      <c r="O1349" s="68" t="s">
        <v>3565</v>
      </c>
      <c r="P1349" s="68" t="s">
        <v>4859</v>
      </c>
    </row>
    <row r="1350" spans="1:16" ht="82.05" customHeight="1" x14ac:dyDescent="0.3">
      <c r="A1350" s="119" t="s">
        <v>2924</v>
      </c>
      <c r="B1350" s="119" t="s">
        <v>114</v>
      </c>
      <c r="C1350" s="119" t="s">
        <v>28</v>
      </c>
      <c r="D1350" s="119" t="s">
        <v>243</v>
      </c>
      <c r="E1350" s="120">
        <v>110845663</v>
      </c>
      <c r="F1350" s="120">
        <v>110845663</v>
      </c>
      <c r="G1350" s="120" t="s">
        <v>2033</v>
      </c>
      <c r="H1350" s="120">
        <f t="shared" si="46"/>
        <v>110845.663</v>
      </c>
      <c r="I1350" s="120">
        <f>FCCL!G20</f>
        <v>110845.663</v>
      </c>
      <c r="J1350" s="120">
        <f t="shared" si="47"/>
        <v>0</v>
      </c>
      <c r="K1350" s="119" t="s">
        <v>2925</v>
      </c>
      <c r="L1350" s="119">
        <v>245</v>
      </c>
      <c r="M1350" s="119" t="s">
        <v>1106</v>
      </c>
      <c r="N1350" s="122" t="s">
        <v>3564</v>
      </c>
      <c r="O1350" s="122" t="s">
        <v>3565</v>
      </c>
      <c r="P1350" s="122" t="s">
        <v>4860</v>
      </c>
    </row>
    <row r="1351" spans="1:16" ht="82.05" customHeight="1" x14ac:dyDescent="0.3">
      <c r="A1351" s="50" t="s">
        <v>2926</v>
      </c>
      <c r="B1351" s="50" t="s">
        <v>114</v>
      </c>
      <c r="C1351" s="50" t="s">
        <v>29</v>
      </c>
      <c r="D1351" s="50" t="s">
        <v>243</v>
      </c>
      <c r="E1351" s="121">
        <v>109579089</v>
      </c>
      <c r="F1351" s="121">
        <v>109579089</v>
      </c>
      <c r="G1351" s="121" t="s">
        <v>2033</v>
      </c>
      <c r="H1351" s="121">
        <f t="shared" si="46"/>
        <v>109579.08900000001</v>
      </c>
      <c r="I1351" s="121">
        <f>FCCL!H20</f>
        <v>109579.08900000001</v>
      </c>
      <c r="J1351" s="121">
        <f t="shared" si="47"/>
        <v>0</v>
      </c>
      <c r="K1351" s="50" t="s">
        <v>2925</v>
      </c>
      <c r="L1351" s="50">
        <v>245</v>
      </c>
      <c r="M1351" s="50" t="s">
        <v>1127</v>
      </c>
      <c r="N1351" s="68" t="s">
        <v>3564</v>
      </c>
      <c r="O1351" s="68" t="s">
        <v>3565</v>
      </c>
      <c r="P1351" s="68" t="s">
        <v>4861</v>
      </c>
    </row>
    <row r="1352" spans="1:16" ht="82.05" customHeight="1" x14ac:dyDescent="0.3">
      <c r="A1352" s="119" t="s">
        <v>2927</v>
      </c>
      <c r="B1352" s="119" t="s">
        <v>114</v>
      </c>
      <c r="C1352" s="119" t="s">
        <v>965</v>
      </c>
      <c r="D1352" s="119" t="s">
        <v>1129</v>
      </c>
      <c r="E1352" s="120">
        <v>2808</v>
      </c>
      <c r="F1352" s="120">
        <v>2808</v>
      </c>
      <c r="G1352" s="120" t="s">
        <v>2033</v>
      </c>
      <c r="H1352" s="120">
        <f t="shared" si="46"/>
        <v>2.8079999999999998</v>
      </c>
      <c r="I1352" s="120">
        <f>FCCL!C21</f>
        <v>2.8079999999999998</v>
      </c>
      <c r="J1352" s="120">
        <f t="shared" si="47"/>
        <v>0</v>
      </c>
      <c r="K1352" s="119" t="s">
        <v>2916</v>
      </c>
      <c r="L1352" s="119">
        <v>193</v>
      </c>
      <c r="M1352" s="119" t="s">
        <v>1106</v>
      </c>
      <c r="N1352" s="122" t="s">
        <v>3564</v>
      </c>
      <c r="O1352" s="122" t="s">
        <v>3565</v>
      </c>
      <c r="P1352" s="122" t="s">
        <v>4862</v>
      </c>
    </row>
    <row r="1353" spans="1:16" ht="82.05" customHeight="1" x14ac:dyDescent="0.3">
      <c r="A1353" s="50" t="s">
        <v>2930</v>
      </c>
      <c r="B1353" s="50" t="s">
        <v>114</v>
      </c>
      <c r="C1353" s="50" t="s">
        <v>20</v>
      </c>
      <c r="D1353" s="50" t="s">
        <v>1129</v>
      </c>
      <c r="E1353" s="121">
        <v>202087</v>
      </c>
      <c r="F1353" s="121">
        <v>202087</v>
      </c>
      <c r="G1353" s="121" t="s">
        <v>2033</v>
      </c>
      <c r="H1353" s="121">
        <f t="shared" si="46"/>
        <v>202.08699999999999</v>
      </c>
      <c r="I1353" s="121">
        <f>FCCL!D21</f>
        <v>202.08699999999999</v>
      </c>
      <c r="J1353" s="121">
        <f t="shared" si="47"/>
        <v>0</v>
      </c>
      <c r="K1353" s="50" t="s">
        <v>2920</v>
      </c>
      <c r="L1353" s="50">
        <v>239</v>
      </c>
      <c r="M1353" s="50" t="s">
        <v>1106</v>
      </c>
      <c r="N1353" s="68" t="s">
        <v>3564</v>
      </c>
      <c r="O1353" s="68" t="s">
        <v>3565</v>
      </c>
      <c r="P1353" s="68" t="s">
        <v>4863</v>
      </c>
    </row>
    <row r="1354" spans="1:16" ht="82.05" customHeight="1" x14ac:dyDescent="0.3">
      <c r="A1354" s="119" t="s">
        <v>2931</v>
      </c>
      <c r="B1354" s="119" t="s">
        <v>114</v>
      </c>
      <c r="C1354" s="119" t="s">
        <v>26</v>
      </c>
      <c r="D1354" s="119" t="s">
        <v>1129</v>
      </c>
      <c r="E1354" s="120">
        <v>29802170</v>
      </c>
      <c r="F1354" s="120">
        <v>29802170</v>
      </c>
      <c r="G1354" s="120" t="s">
        <v>2033</v>
      </c>
      <c r="H1354" s="120">
        <f t="shared" si="46"/>
        <v>29802.17</v>
      </c>
      <c r="I1354" s="120">
        <f>FCCL!E21</f>
        <v>29802.17</v>
      </c>
      <c r="J1354" s="120">
        <f t="shared" si="47"/>
        <v>0</v>
      </c>
      <c r="K1354" s="119" t="s">
        <v>2920</v>
      </c>
      <c r="L1354" s="119">
        <v>241</v>
      </c>
      <c r="M1354" s="119" t="s">
        <v>1106</v>
      </c>
      <c r="N1354" s="122" t="s">
        <v>3564</v>
      </c>
      <c r="O1354" s="122" t="s">
        <v>3565</v>
      </c>
      <c r="P1354" s="122" t="s">
        <v>4864</v>
      </c>
    </row>
    <row r="1355" spans="1:16" ht="82.05" customHeight="1" x14ac:dyDescent="0.3">
      <c r="A1355" s="50" t="s">
        <v>2932</v>
      </c>
      <c r="B1355" s="50" t="s">
        <v>114</v>
      </c>
      <c r="C1355" s="50" t="s">
        <v>27</v>
      </c>
      <c r="D1355" s="50" t="s">
        <v>1129</v>
      </c>
      <c r="E1355" s="121">
        <v>34531172</v>
      </c>
      <c r="F1355" s="121">
        <v>34531172</v>
      </c>
      <c r="G1355" s="121" t="s">
        <v>2033</v>
      </c>
      <c r="H1355" s="121">
        <f t="shared" si="46"/>
        <v>34531.171999999999</v>
      </c>
      <c r="I1355" s="121">
        <f>FCCL!F21</f>
        <v>34531.171999999999</v>
      </c>
      <c r="J1355" s="121">
        <f t="shared" si="47"/>
        <v>0</v>
      </c>
      <c r="K1355" s="50" t="s">
        <v>2923</v>
      </c>
      <c r="L1355" s="50">
        <v>219</v>
      </c>
      <c r="M1355" s="50" t="s">
        <v>1106</v>
      </c>
      <c r="N1355" s="68" t="s">
        <v>3564</v>
      </c>
      <c r="O1355" s="68" t="s">
        <v>3565</v>
      </c>
      <c r="P1355" s="68" t="s">
        <v>4865</v>
      </c>
    </row>
    <row r="1356" spans="1:16" ht="82.05" customHeight="1" x14ac:dyDescent="0.3">
      <c r="A1356" s="119" t="s">
        <v>2934</v>
      </c>
      <c r="B1356" s="119" t="s">
        <v>114</v>
      </c>
      <c r="C1356" s="119" t="s">
        <v>28</v>
      </c>
      <c r="D1356" s="119" t="s">
        <v>1129</v>
      </c>
      <c r="E1356" s="120">
        <v>700153</v>
      </c>
      <c r="F1356" s="120">
        <v>700153</v>
      </c>
      <c r="G1356" s="120" t="s">
        <v>2033</v>
      </c>
      <c r="H1356" s="120">
        <f t="shared" si="46"/>
        <v>700.15300000000002</v>
      </c>
      <c r="I1356" s="120">
        <f>FCCL!G21</f>
        <v>700.15300000000002</v>
      </c>
      <c r="J1356" s="120">
        <f t="shared" si="47"/>
        <v>0</v>
      </c>
      <c r="K1356" s="119" t="s">
        <v>2925</v>
      </c>
      <c r="L1356" s="119">
        <v>273</v>
      </c>
      <c r="M1356" s="119" t="s">
        <v>1106</v>
      </c>
      <c r="N1356" s="122" t="s">
        <v>3564</v>
      </c>
      <c r="O1356" s="122" t="s">
        <v>3565</v>
      </c>
      <c r="P1356" s="122" t="s">
        <v>4866</v>
      </c>
    </row>
    <row r="1357" spans="1:16" ht="82.05" customHeight="1" x14ac:dyDescent="0.3">
      <c r="A1357" s="50" t="s">
        <v>2935</v>
      </c>
      <c r="B1357" s="50" t="s">
        <v>114</v>
      </c>
      <c r="C1357" s="50" t="s">
        <v>29</v>
      </c>
      <c r="D1357" s="50" t="s">
        <v>1129</v>
      </c>
      <c r="E1357" s="121">
        <v>296574</v>
      </c>
      <c r="F1357" s="121">
        <v>296574</v>
      </c>
      <c r="G1357" s="121" t="s">
        <v>2033</v>
      </c>
      <c r="H1357" s="121">
        <f t="shared" si="46"/>
        <v>296.57400000000001</v>
      </c>
      <c r="I1357" s="121">
        <f>FCCL!H21</f>
        <v>296.57400000000001</v>
      </c>
      <c r="J1357" s="121">
        <f t="shared" si="47"/>
        <v>0</v>
      </c>
      <c r="K1357" s="50" t="s">
        <v>2925</v>
      </c>
      <c r="L1357" s="50">
        <v>274</v>
      </c>
      <c r="M1357" s="50" t="s">
        <v>1127</v>
      </c>
      <c r="N1357" s="68" t="s">
        <v>3564</v>
      </c>
      <c r="O1357" s="68" t="s">
        <v>3565</v>
      </c>
      <c r="P1357" s="68" t="s">
        <v>4867</v>
      </c>
    </row>
    <row r="1358" spans="1:16" ht="82.05" customHeight="1" x14ac:dyDescent="0.3">
      <c r="A1358" s="119" t="s">
        <v>2937</v>
      </c>
      <c r="B1358" s="119" t="s">
        <v>114</v>
      </c>
      <c r="C1358" s="119" t="s">
        <v>965</v>
      </c>
      <c r="D1358" s="119" t="s">
        <v>250</v>
      </c>
      <c r="E1358" s="120">
        <v>60322</v>
      </c>
      <c r="F1358" s="120">
        <v>60322</v>
      </c>
      <c r="G1358" s="120" t="s">
        <v>2033</v>
      </c>
      <c r="H1358" s="120">
        <f t="shared" si="46"/>
        <v>60.322000000000003</v>
      </c>
      <c r="I1358" s="120">
        <f>FCCL!C23</f>
        <v>60.322000000000003</v>
      </c>
      <c r="J1358" s="120">
        <f t="shared" si="47"/>
        <v>0</v>
      </c>
      <c r="K1358" s="119" t="s">
        <v>2916</v>
      </c>
      <c r="L1358" s="119">
        <v>165</v>
      </c>
      <c r="M1358" s="119" t="s">
        <v>1106</v>
      </c>
      <c r="N1358" s="122" t="s">
        <v>3564</v>
      </c>
      <c r="O1358" s="122" t="s">
        <v>3565</v>
      </c>
      <c r="P1358" s="122" t="s">
        <v>4868</v>
      </c>
    </row>
    <row r="1359" spans="1:16" ht="82.05" customHeight="1" x14ac:dyDescent="0.3">
      <c r="A1359" s="50" t="s">
        <v>2939</v>
      </c>
      <c r="B1359" s="50" t="s">
        <v>114</v>
      </c>
      <c r="C1359" s="50" t="s">
        <v>20</v>
      </c>
      <c r="D1359" s="50" t="s">
        <v>250</v>
      </c>
      <c r="E1359" s="121">
        <v>89334</v>
      </c>
      <c r="F1359" s="121">
        <v>89334</v>
      </c>
      <c r="G1359" s="121" t="s">
        <v>2033</v>
      </c>
      <c r="H1359" s="121">
        <f t="shared" si="46"/>
        <v>89.334000000000003</v>
      </c>
      <c r="I1359" s="121">
        <f>FCCL!D23</f>
        <v>89.334000000000003</v>
      </c>
      <c r="J1359" s="121">
        <f t="shared" si="47"/>
        <v>0</v>
      </c>
      <c r="K1359" s="50" t="s">
        <v>2918</v>
      </c>
      <c r="L1359" s="50">
        <v>187</v>
      </c>
      <c r="M1359" s="50" t="s">
        <v>1106</v>
      </c>
      <c r="N1359" s="68" t="s">
        <v>3564</v>
      </c>
      <c r="O1359" s="68" t="s">
        <v>3565</v>
      </c>
      <c r="P1359" s="68" t="s">
        <v>4869</v>
      </c>
    </row>
    <row r="1360" spans="1:16" ht="82.05" customHeight="1" x14ac:dyDescent="0.3">
      <c r="A1360" s="119" t="s">
        <v>2940</v>
      </c>
      <c r="B1360" s="119" t="s">
        <v>114</v>
      </c>
      <c r="C1360" s="119" t="s">
        <v>26</v>
      </c>
      <c r="D1360" s="119" t="s">
        <v>250</v>
      </c>
      <c r="E1360" s="120">
        <v>132263</v>
      </c>
      <c r="F1360" s="120">
        <v>132263</v>
      </c>
      <c r="G1360" s="120" t="s">
        <v>2033</v>
      </c>
      <c r="H1360" s="120">
        <f t="shared" si="46"/>
        <v>132.26300000000001</v>
      </c>
      <c r="I1360" s="120">
        <f>FCCL!E23</f>
        <v>132.26300000000001</v>
      </c>
      <c r="J1360" s="120">
        <f t="shared" si="47"/>
        <v>0</v>
      </c>
      <c r="K1360" s="119" t="s">
        <v>2920</v>
      </c>
      <c r="L1360" s="119">
        <v>209</v>
      </c>
      <c r="M1360" s="119" t="s">
        <v>1106</v>
      </c>
      <c r="N1360" s="122" t="s">
        <v>3564</v>
      </c>
      <c r="O1360" s="122" t="s">
        <v>3565</v>
      </c>
      <c r="P1360" s="122" t="s">
        <v>4870</v>
      </c>
    </row>
    <row r="1361" spans="1:16" ht="82.05" customHeight="1" x14ac:dyDescent="0.3">
      <c r="A1361" s="50" t="s">
        <v>2941</v>
      </c>
      <c r="B1361" s="50" t="s">
        <v>114</v>
      </c>
      <c r="C1361" s="50" t="s">
        <v>27</v>
      </c>
      <c r="D1361" s="50" t="s">
        <v>250</v>
      </c>
      <c r="E1361" s="121">
        <v>181380</v>
      </c>
      <c r="F1361" s="121">
        <v>181380</v>
      </c>
      <c r="G1361" s="121" t="s">
        <v>2033</v>
      </c>
      <c r="H1361" s="121">
        <f t="shared" si="46"/>
        <v>181.38</v>
      </c>
      <c r="I1361" s="121">
        <f>FCCL!F23</f>
        <v>181.38</v>
      </c>
      <c r="J1361" s="121">
        <f t="shared" si="47"/>
        <v>0</v>
      </c>
      <c r="K1361" s="50" t="s">
        <v>2923</v>
      </c>
      <c r="L1361" s="50">
        <v>191</v>
      </c>
      <c r="M1361" s="50" t="s">
        <v>1106</v>
      </c>
      <c r="N1361" s="68" t="s">
        <v>3564</v>
      </c>
      <c r="O1361" s="68" t="s">
        <v>3565</v>
      </c>
      <c r="P1361" s="68" t="s">
        <v>4871</v>
      </c>
    </row>
    <row r="1362" spans="1:16" ht="82.05" customHeight="1" x14ac:dyDescent="0.3">
      <c r="A1362" s="119" t="s">
        <v>2942</v>
      </c>
      <c r="B1362" s="119" t="s">
        <v>114</v>
      </c>
      <c r="C1362" s="119" t="s">
        <v>28</v>
      </c>
      <c r="D1362" s="119" t="s">
        <v>250</v>
      </c>
      <c r="E1362" s="120">
        <v>131165</v>
      </c>
      <c r="F1362" s="120">
        <v>131165</v>
      </c>
      <c r="G1362" s="120" t="s">
        <v>2033</v>
      </c>
      <c r="H1362" s="120">
        <f t="shared" si="46"/>
        <v>131.16499999999999</v>
      </c>
      <c r="I1362" s="120">
        <f>FCCL!G23</f>
        <v>131.16499999999999</v>
      </c>
      <c r="J1362" s="120">
        <f t="shared" si="47"/>
        <v>0</v>
      </c>
      <c r="K1362" s="119" t="s">
        <v>2925</v>
      </c>
      <c r="L1362" s="119">
        <v>245</v>
      </c>
      <c r="M1362" s="119" t="s">
        <v>1106</v>
      </c>
      <c r="N1362" s="122" t="s">
        <v>3564</v>
      </c>
      <c r="O1362" s="122" t="s">
        <v>3565</v>
      </c>
      <c r="P1362" s="122" t="s">
        <v>4872</v>
      </c>
    </row>
    <row r="1363" spans="1:16" ht="82.05" customHeight="1" x14ac:dyDescent="0.3">
      <c r="A1363" s="50" t="s">
        <v>2943</v>
      </c>
      <c r="B1363" s="50" t="s">
        <v>114</v>
      </c>
      <c r="C1363" s="50" t="s">
        <v>29</v>
      </c>
      <c r="D1363" s="50" t="s">
        <v>250</v>
      </c>
      <c r="E1363" s="121">
        <v>126445</v>
      </c>
      <c r="F1363" s="121">
        <v>126445</v>
      </c>
      <c r="G1363" s="121" t="s">
        <v>2033</v>
      </c>
      <c r="H1363" s="121">
        <f t="shared" si="46"/>
        <v>126.44499999999999</v>
      </c>
      <c r="I1363" s="121">
        <f>FCCL!H23</f>
        <v>126.44499999999999</v>
      </c>
      <c r="J1363" s="121">
        <f t="shared" si="47"/>
        <v>0</v>
      </c>
      <c r="K1363" s="50" t="s">
        <v>2925</v>
      </c>
      <c r="L1363" s="50">
        <v>245</v>
      </c>
      <c r="M1363" s="50" t="s">
        <v>1127</v>
      </c>
      <c r="N1363" s="68" t="s">
        <v>3564</v>
      </c>
      <c r="O1363" s="68" t="s">
        <v>3565</v>
      </c>
      <c r="P1363" s="68" t="s">
        <v>4873</v>
      </c>
    </row>
    <row r="1364" spans="1:16" ht="82.05" customHeight="1" x14ac:dyDescent="0.3">
      <c r="A1364" s="119" t="s">
        <v>2944</v>
      </c>
      <c r="B1364" s="119" t="s">
        <v>114</v>
      </c>
      <c r="C1364" s="119" t="s">
        <v>965</v>
      </c>
      <c r="D1364" s="119" t="s">
        <v>252</v>
      </c>
      <c r="E1364" s="120">
        <v>0</v>
      </c>
      <c r="F1364" s="120">
        <v>0</v>
      </c>
      <c r="G1364" s="120" t="s">
        <v>2033</v>
      </c>
      <c r="H1364" s="120">
        <f t="shared" si="46"/>
        <v>0</v>
      </c>
      <c r="I1364" s="120">
        <f>FCCL!C24</f>
        <v>0</v>
      </c>
      <c r="J1364" s="120">
        <f t="shared" si="47"/>
        <v>0</v>
      </c>
      <c r="K1364" s="119" t="s">
        <v>2916</v>
      </c>
      <c r="L1364" s="119">
        <v>164</v>
      </c>
      <c r="M1364" s="119" t="s">
        <v>1106</v>
      </c>
      <c r="N1364" s="122" t="s">
        <v>3578</v>
      </c>
      <c r="O1364" s="122" t="s">
        <v>3579</v>
      </c>
      <c r="P1364" s="122" t="s">
        <v>4874</v>
      </c>
    </row>
    <row r="1365" spans="1:16" ht="82.05" customHeight="1" x14ac:dyDescent="0.3">
      <c r="A1365" s="50" t="s">
        <v>2945</v>
      </c>
      <c r="B1365" s="50" t="s">
        <v>114</v>
      </c>
      <c r="C1365" s="50" t="s">
        <v>20</v>
      </c>
      <c r="D1365" s="50" t="s">
        <v>252</v>
      </c>
      <c r="E1365" s="121">
        <v>0</v>
      </c>
      <c r="F1365" s="121">
        <v>0</v>
      </c>
      <c r="G1365" s="121" t="s">
        <v>2033</v>
      </c>
      <c r="H1365" s="121">
        <f t="shared" si="46"/>
        <v>0</v>
      </c>
      <c r="I1365" s="121">
        <f>FCCL!D24</f>
        <v>0</v>
      </c>
      <c r="J1365" s="121">
        <f t="shared" si="47"/>
        <v>0</v>
      </c>
      <c r="K1365" s="50" t="s">
        <v>2918</v>
      </c>
      <c r="L1365" s="50">
        <v>187</v>
      </c>
      <c r="M1365" s="50" t="s">
        <v>1106</v>
      </c>
      <c r="N1365" s="68" t="s">
        <v>3578</v>
      </c>
      <c r="O1365" s="68" t="s">
        <v>3579</v>
      </c>
      <c r="P1365" s="68" t="s">
        <v>4875</v>
      </c>
    </row>
    <row r="1366" spans="1:16" ht="82.05" customHeight="1" x14ac:dyDescent="0.3">
      <c r="A1366" s="119" t="s">
        <v>2946</v>
      </c>
      <c r="B1366" s="119" t="s">
        <v>114</v>
      </c>
      <c r="C1366" s="119" t="s">
        <v>26</v>
      </c>
      <c r="D1366" s="119" t="s">
        <v>252</v>
      </c>
      <c r="E1366" s="120">
        <v>11029756</v>
      </c>
      <c r="F1366" s="120">
        <v>11029756</v>
      </c>
      <c r="G1366" s="120" t="s">
        <v>2033</v>
      </c>
      <c r="H1366" s="120">
        <f t="shared" si="46"/>
        <v>11029.755999999999</v>
      </c>
      <c r="I1366" s="120">
        <f>FCCL!E24</f>
        <v>11029.755999999999</v>
      </c>
      <c r="J1366" s="120">
        <f t="shared" si="47"/>
        <v>0</v>
      </c>
      <c r="K1366" s="119" t="s">
        <v>2920</v>
      </c>
      <c r="L1366" s="119">
        <v>209</v>
      </c>
      <c r="M1366" s="119" t="s">
        <v>1106</v>
      </c>
      <c r="N1366" s="122" t="s">
        <v>3564</v>
      </c>
      <c r="O1366" s="122" t="s">
        <v>3565</v>
      </c>
      <c r="P1366" s="122" t="s">
        <v>4876</v>
      </c>
    </row>
    <row r="1367" spans="1:16" ht="82.05" customHeight="1" x14ac:dyDescent="0.3">
      <c r="A1367" s="50" t="s">
        <v>2948</v>
      </c>
      <c r="B1367" s="50" t="s">
        <v>114</v>
      </c>
      <c r="C1367" s="50" t="s">
        <v>27</v>
      </c>
      <c r="D1367" s="50" t="s">
        <v>252</v>
      </c>
      <c r="E1367" s="121">
        <v>10957737</v>
      </c>
      <c r="F1367" s="121">
        <v>10957737</v>
      </c>
      <c r="G1367" s="121" t="s">
        <v>2033</v>
      </c>
      <c r="H1367" s="121">
        <f t="shared" si="46"/>
        <v>10957.736999999999</v>
      </c>
      <c r="I1367" s="121">
        <f>FCCL!F24</f>
        <v>10957.736999999999</v>
      </c>
      <c r="J1367" s="121">
        <f t="shared" si="47"/>
        <v>0</v>
      </c>
      <c r="K1367" s="50" t="s">
        <v>2923</v>
      </c>
      <c r="L1367" s="50">
        <v>191</v>
      </c>
      <c r="M1367" s="50" t="s">
        <v>1106</v>
      </c>
      <c r="N1367" s="68" t="s">
        <v>3564</v>
      </c>
      <c r="O1367" s="68" t="s">
        <v>3565</v>
      </c>
      <c r="P1367" s="68" t="s">
        <v>4877</v>
      </c>
    </row>
    <row r="1368" spans="1:16" ht="82.05" customHeight="1" x14ac:dyDescent="0.3">
      <c r="A1368" s="119" t="s">
        <v>2949</v>
      </c>
      <c r="B1368" s="119" t="s">
        <v>114</v>
      </c>
      <c r="C1368" s="119" t="s">
        <v>28</v>
      </c>
      <c r="D1368" s="119" t="s">
        <v>252</v>
      </c>
      <c r="E1368" s="120">
        <v>10745700</v>
      </c>
      <c r="F1368" s="120">
        <v>10745700</v>
      </c>
      <c r="G1368" s="120" t="s">
        <v>2033</v>
      </c>
      <c r="H1368" s="120">
        <f t="shared" si="46"/>
        <v>10745.7</v>
      </c>
      <c r="I1368" s="120">
        <f>FCCL!G24</f>
        <v>10745.7</v>
      </c>
      <c r="J1368" s="120">
        <f t="shared" si="47"/>
        <v>0</v>
      </c>
      <c r="K1368" s="119" t="s">
        <v>2925</v>
      </c>
      <c r="L1368" s="119">
        <v>245</v>
      </c>
      <c r="M1368" s="119" t="s">
        <v>1106</v>
      </c>
      <c r="N1368" s="122" t="s">
        <v>3564</v>
      </c>
      <c r="O1368" s="122" t="s">
        <v>3565</v>
      </c>
      <c r="P1368" s="122" t="s">
        <v>4878</v>
      </c>
    </row>
    <row r="1369" spans="1:16" ht="82.05" customHeight="1" x14ac:dyDescent="0.3">
      <c r="A1369" s="50" t="s">
        <v>2950</v>
      </c>
      <c r="B1369" s="50" t="s">
        <v>114</v>
      </c>
      <c r="C1369" s="50" t="s">
        <v>29</v>
      </c>
      <c r="D1369" s="50" t="s">
        <v>252</v>
      </c>
      <c r="E1369" s="121">
        <v>10533667</v>
      </c>
      <c r="F1369" s="121">
        <v>10533667</v>
      </c>
      <c r="G1369" s="121" t="s">
        <v>2033</v>
      </c>
      <c r="H1369" s="121">
        <f t="shared" si="46"/>
        <v>10533.666999999999</v>
      </c>
      <c r="I1369" s="121">
        <f>FCCL!H24</f>
        <v>10533.666999999999</v>
      </c>
      <c r="J1369" s="121">
        <f t="shared" si="47"/>
        <v>0</v>
      </c>
      <c r="K1369" s="50" t="s">
        <v>2925</v>
      </c>
      <c r="L1369" s="50">
        <v>245</v>
      </c>
      <c r="M1369" s="50" t="s">
        <v>1127</v>
      </c>
      <c r="N1369" s="68" t="s">
        <v>3564</v>
      </c>
      <c r="O1369" s="68" t="s">
        <v>3565</v>
      </c>
      <c r="P1369" s="68" t="s">
        <v>4879</v>
      </c>
    </row>
    <row r="1370" spans="1:16" ht="82.05" customHeight="1" x14ac:dyDescent="0.3">
      <c r="A1370" s="119" t="s">
        <v>2951</v>
      </c>
      <c r="B1370" s="119" t="s">
        <v>114</v>
      </c>
      <c r="C1370" s="119" t="s">
        <v>965</v>
      </c>
      <c r="D1370" s="119" t="s">
        <v>254</v>
      </c>
      <c r="E1370" s="120">
        <v>0</v>
      </c>
      <c r="F1370" s="120">
        <v>0</v>
      </c>
      <c r="G1370" s="120" t="s">
        <v>2033</v>
      </c>
      <c r="H1370" s="120">
        <f t="shared" si="46"/>
        <v>0</v>
      </c>
      <c r="I1370" s="120">
        <f>FCCL!C25</f>
        <v>0</v>
      </c>
      <c r="J1370" s="120">
        <f t="shared" si="47"/>
        <v>0</v>
      </c>
      <c r="K1370" s="119" t="s">
        <v>2916</v>
      </c>
      <c r="L1370" s="119">
        <v>164</v>
      </c>
      <c r="M1370" s="119" t="s">
        <v>1106</v>
      </c>
      <c r="N1370" s="122" t="s">
        <v>3578</v>
      </c>
      <c r="O1370" s="122" t="s">
        <v>3579</v>
      </c>
      <c r="P1370" s="122" t="s">
        <v>4880</v>
      </c>
    </row>
    <row r="1371" spans="1:16" ht="82.05" customHeight="1" x14ac:dyDescent="0.3">
      <c r="A1371" s="50" t="s">
        <v>2952</v>
      </c>
      <c r="B1371" s="50" t="s">
        <v>114</v>
      </c>
      <c r="C1371" s="50" t="s">
        <v>20</v>
      </c>
      <c r="D1371" s="50" t="s">
        <v>254</v>
      </c>
      <c r="E1371" s="121">
        <v>0</v>
      </c>
      <c r="F1371" s="121">
        <v>0</v>
      </c>
      <c r="G1371" s="121" t="s">
        <v>2033</v>
      </c>
      <c r="H1371" s="121">
        <f t="shared" si="46"/>
        <v>0</v>
      </c>
      <c r="I1371" s="121">
        <f>FCCL!D25</f>
        <v>0</v>
      </c>
      <c r="J1371" s="121">
        <f t="shared" si="47"/>
        <v>0</v>
      </c>
      <c r="K1371" s="50" t="s">
        <v>2918</v>
      </c>
      <c r="L1371" s="50">
        <v>186</v>
      </c>
      <c r="M1371" s="50" t="s">
        <v>1106</v>
      </c>
      <c r="N1371" s="68" t="s">
        <v>3578</v>
      </c>
      <c r="O1371" s="68" t="s">
        <v>3579</v>
      </c>
      <c r="P1371" s="68" t="s">
        <v>4881</v>
      </c>
    </row>
    <row r="1372" spans="1:16" ht="82.05" customHeight="1" x14ac:dyDescent="0.3">
      <c r="A1372" s="119" t="s">
        <v>2953</v>
      </c>
      <c r="B1372" s="119" t="s">
        <v>114</v>
      </c>
      <c r="C1372" s="119" t="s">
        <v>26</v>
      </c>
      <c r="D1372" s="119" t="s">
        <v>254</v>
      </c>
      <c r="E1372" s="120">
        <v>0</v>
      </c>
      <c r="F1372" s="120">
        <v>0</v>
      </c>
      <c r="G1372" s="120" t="s">
        <v>2033</v>
      </c>
      <c r="H1372" s="120">
        <f t="shared" si="46"/>
        <v>0</v>
      </c>
      <c r="I1372" s="120">
        <f>FCCL!E25</f>
        <v>0</v>
      </c>
      <c r="J1372" s="120">
        <f t="shared" si="47"/>
        <v>0</v>
      </c>
      <c r="K1372" s="119" t="s">
        <v>2920</v>
      </c>
      <c r="L1372" s="119">
        <v>208</v>
      </c>
      <c r="M1372" s="119" t="s">
        <v>1106</v>
      </c>
      <c r="N1372" s="122" t="s">
        <v>3578</v>
      </c>
      <c r="O1372" s="122" t="s">
        <v>3579</v>
      </c>
      <c r="P1372" s="122" t="s">
        <v>4882</v>
      </c>
    </row>
    <row r="1373" spans="1:16" ht="82.05" customHeight="1" x14ac:dyDescent="0.3">
      <c r="A1373" s="50" t="s">
        <v>2954</v>
      </c>
      <c r="B1373" s="50" t="s">
        <v>114</v>
      </c>
      <c r="C1373" s="50" t="s">
        <v>27</v>
      </c>
      <c r="D1373" s="50" t="s">
        <v>254</v>
      </c>
      <c r="E1373" s="121">
        <v>0</v>
      </c>
      <c r="F1373" s="121">
        <v>0</v>
      </c>
      <c r="G1373" s="121" t="s">
        <v>2033</v>
      </c>
      <c r="H1373" s="121">
        <f t="shared" si="46"/>
        <v>0</v>
      </c>
      <c r="I1373" s="121">
        <f>FCCL!F25</f>
        <v>0</v>
      </c>
      <c r="J1373" s="121">
        <f t="shared" si="47"/>
        <v>0</v>
      </c>
      <c r="K1373" s="50" t="s">
        <v>2923</v>
      </c>
      <c r="L1373" s="50">
        <v>190</v>
      </c>
      <c r="M1373" s="50" t="s">
        <v>1106</v>
      </c>
      <c r="N1373" s="68" t="s">
        <v>3578</v>
      </c>
      <c r="O1373" s="68" t="s">
        <v>3579</v>
      </c>
      <c r="P1373" s="68" t="s">
        <v>4883</v>
      </c>
    </row>
    <row r="1374" spans="1:16" ht="82.05" customHeight="1" x14ac:dyDescent="0.3">
      <c r="A1374" s="119" t="s">
        <v>2955</v>
      </c>
      <c r="B1374" s="119" t="s">
        <v>114</v>
      </c>
      <c r="C1374" s="119" t="s">
        <v>28</v>
      </c>
      <c r="D1374" s="119" t="s">
        <v>254</v>
      </c>
      <c r="E1374" s="120">
        <v>0</v>
      </c>
      <c r="F1374" s="120">
        <v>0</v>
      </c>
      <c r="G1374" s="120" t="s">
        <v>2033</v>
      </c>
      <c r="H1374" s="120">
        <f t="shared" si="46"/>
        <v>0</v>
      </c>
      <c r="I1374" s="120">
        <f>FCCL!G25</f>
        <v>0</v>
      </c>
      <c r="J1374" s="120">
        <f t="shared" si="47"/>
        <v>0</v>
      </c>
      <c r="K1374" s="119" t="s">
        <v>2925</v>
      </c>
      <c r="L1374" s="119">
        <v>244</v>
      </c>
      <c r="M1374" s="119" t="s">
        <v>1106</v>
      </c>
      <c r="N1374" s="122" t="s">
        <v>3578</v>
      </c>
      <c r="O1374" s="122" t="s">
        <v>3579</v>
      </c>
      <c r="P1374" s="122" t="s">
        <v>4884</v>
      </c>
    </row>
    <row r="1375" spans="1:16" ht="82.05" customHeight="1" x14ac:dyDescent="0.3">
      <c r="A1375" s="50" t="s">
        <v>2956</v>
      </c>
      <c r="B1375" s="50" t="s">
        <v>114</v>
      </c>
      <c r="C1375" s="50" t="s">
        <v>29</v>
      </c>
      <c r="D1375" s="50" t="s">
        <v>254</v>
      </c>
      <c r="E1375" s="121">
        <v>0</v>
      </c>
      <c r="F1375" s="121">
        <v>0</v>
      </c>
      <c r="G1375" s="121" t="s">
        <v>2033</v>
      </c>
      <c r="H1375" s="121">
        <f t="shared" si="46"/>
        <v>0</v>
      </c>
      <c r="I1375" s="121">
        <f>FCCL!H25</f>
        <v>0</v>
      </c>
      <c r="J1375" s="121">
        <f t="shared" si="47"/>
        <v>0</v>
      </c>
      <c r="K1375" s="50" t="s">
        <v>2925</v>
      </c>
      <c r="L1375" s="50">
        <v>244</v>
      </c>
      <c r="M1375" s="50" t="s">
        <v>1127</v>
      </c>
      <c r="N1375" s="68" t="s">
        <v>3578</v>
      </c>
      <c r="O1375" s="68" t="s">
        <v>3579</v>
      </c>
      <c r="P1375" s="68" t="s">
        <v>4884</v>
      </c>
    </row>
    <row r="1376" spans="1:16" ht="82.05" customHeight="1" x14ac:dyDescent="0.3">
      <c r="A1376" s="119" t="s">
        <v>2957</v>
      </c>
      <c r="B1376" s="119" t="s">
        <v>114</v>
      </c>
      <c r="C1376" s="119" t="s">
        <v>965</v>
      </c>
      <c r="D1376" s="119" t="s">
        <v>256</v>
      </c>
      <c r="E1376" s="120">
        <v>0</v>
      </c>
      <c r="F1376" s="120">
        <v>0</v>
      </c>
      <c r="G1376" s="120" t="s">
        <v>2033</v>
      </c>
      <c r="H1376" s="120">
        <f t="shared" si="46"/>
        <v>0</v>
      </c>
      <c r="I1376" s="120">
        <f>FCCL!C26</f>
        <v>0</v>
      </c>
      <c r="J1376" s="120">
        <f t="shared" si="47"/>
        <v>0</v>
      </c>
      <c r="K1376" s="119" t="s">
        <v>2916</v>
      </c>
      <c r="L1376" s="119">
        <v>165</v>
      </c>
      <c r="M1376" s="119" t="s">
        <v>1106</v>
      </c>
      <c r="N1376" s="122" t="s">
        <v>3578</v>
      </c>
      <c r="O1376" s="122" t="s">
        <v>3579</v>
      </c>
      <c r="P1376" s="122" t="s">
        <v>4885</v>
      </c>
    </row>
    <row r="1377" spans="1:16" ht="82.05" customHeight="1" x14ac:dyDescent="0.3">
      <c r="A1377" s="50" t="s">
        <v>2958</v>
      </c>
      <c r="B1377" s="50" t="s">
        <v>114</v>
      </c>
      <c r="C1377" s="50" t="s">
        <v>20</v>
      </c>
      <c r="D1377" s="50" t="s">
        <v>256</v>
      </c>
      <c r="E1377" s="121">
        <v>15349</v>
      </c>
      <c r="F1377" s="121">
        <v>15349</v>
      </c>
      <c r="G1377" s="121" t="s">
        <v>2033</v>
      </c>
      <c r="H1377" s="121">
        <f t="shared" si="46"/>
        <v>15.349</v>
      </c>
      <c r="I1377" s="121">
        <f>FCCL!D26</f>
        <v>15.349</v>
      </c>
      <c r="J1377" s="121">
        <f t="shared" si="47"/>
        <v>0</v>
      </c>
      <c r="K1377" s="50" t="s">
        <v>2918</v>
      </c>
      <c r="L1377" s="50">
        <v>187</v>
      </c>
      <c r="M1377" s="50" t="s">
        <v>1106</v>
      </c>
      <c r="N1377" s="68" t="s">
        <v>3564</v>
      </c>
      <c r="O1377" s="68" t="s">
        <v>3565</v>
      </c>
      <c r="P1377" s="68" t="s">
        <v>4886</v>
      </c>
    </row>
    <row r="1378" spans="1:16" ht="82.05" customHeight="1" x14ac:dyDescent="0.3">
      <c r="A1378" s="119" t="s">
        <v>2960</v>
      </c>
      <c r="B1378" s="119" t="s">
        <v>114</v>
      </c>
      <c r="C1378" s="119" t="s">
        <v>26</v>
      </c>
      <c r="D1378" s="119" t="s">
        <v>256</v>
      </c>
      <c r="E1378" s="120">
        <v>66657</v>
      </c>
      <c r="F1378" s="120">
        <v>66657</v>
      </c>
      <c r="G1378" s="120" t="s">
        <v>2033</v>
      </c>
      <c r="H1378" s="120">
        <f t="shared" si="46"/>
        <v>66.656999999999996</v>
      </c>
      <c r="I1378" s="120">
        <f>FCCL!E26</f>
        <v>66.656999999999996</v>
      </c>
      <c r="J1378" s="120">
        <f t="shared" si="47"/>
        <v>0</v>
      </c>
      <c r="K1378" s="119" t="s">
        <v>2920</v>
      </c>
      <c r="L1378" s="119">
        <v>209</v>
      </c>
      <c r="M1378" s="119" t="s">
        <v>1106</v>
      </c>
      <c r="N1378" s="122" t="s">
        <v>3564</v>
      </c>
      <c r="O1378" s="122" t="s">
        <v>3565</v>
      </c>
      <c r="P1378" s="122" t="s">
        <v>4887</v>
      </c>
    </row>
    <row r="1379" spans="1:16" ht="82.05" customHeight="1" x14ac:dyDescent="0.3">
      <c r="A1379" s="50" t="s">
        <v>2961</v>
      </c>
      <c r="B1379" s="50" t="s">
        <v>114</v>
      </c>
      <c r="C1379" s="50" t="s">
        <v>27</v>
      </c>
      <c r="D1379" s="50" t="s">
        <v>256</v>
      </c>
      <c r="E1379" s="121">
        <v>0</v>
      </c>
      <c r="F1379" s="121">
        <v>0</v>
      </c>
      <c r="G1379" s="121" t="s">
        <v>2033</v>
      </c>
      <c r="H1379" s="121">
        <f t="shared" si="46"/>
        <v>0</v>
      </c>
      <c r="I1379" s="121">
        <f>FCCL!F26</f>
        <v>0</v>
      </c>
      <c r="J1379" s="121">
        <f t="shared" si="47"/>
        <v>0</v>
      </c>
      <c r="K1379" s="50" t="s">
        <v>2923</v>
      </c>
      <c r="L1379" s="50">
        <v>190</v>
      </c>
      <c r="M1379" s="50" t="s">
        <v>1106</v>
      </c>
      <c r="N1379" s="68" t="s">
        <v>3578</v>
      </c>
      <c r="O1379" s="68" t="s">
        <v>3579</v>
      </c>
      <c r="P1379" s="68" t="s">
        <v>4888</v>
      </c>
    </row>
    <row r="1380" spans="1:16" ht="82.05" customHeight="1" x14ac:dyDescent="0.3">
      <c r="A1380" s="119" t="s">
        <v>2962</v>
      </c>
      <c r="B1380" s="119" t="s">
        <v>114</v>
      </c>
      <c r="C1380" s="119" t="s">
        <v>28</v>
      </c>
      <c r="D1380" s="119" t="s">
        <v>256</v>
      </c>
      <c r="E1380" s="120">
        <v>0</v>
      </c>
      <c r="F1380" s="120">
        <v>0</v>
      </c>
      <c r="G1380" s="120" t="s">
        <v>2033</v>
      </c>
      <c r="H1380" s="120">
        <f t="shared" si="46"/>
        <v>0</v>
      </c>
      <c r="I1380" s="120">
        <f>FCCL!G26</f>
        <v>0</v>
      </c>
      <c r="J1380" s="120">
        <f t="shared" si="47"/>
        <v>0</v>
      </c>
      <c r="K1380" s="119" t="s">
        <v>2925</v>
      </c>
      <c r="L1380" s="119">
        <v>244</v>
      </c>
      <c r="M1380" s="119" t="s">
        <v>1106</v>
      </c>
      <c r="N1380" s="122" t="s">
        <v>3578</v>
      </c>
      <c r="O1380" s="122" t="s">
        <v>3579</v>
      </c>
      <c r="P1380" s="122" t="s">
        <v>4889</v>
      </c>
    </row>
    <row r="1381" spans="1:16" ht="82.05" customHeight="1" x14ac:dyDescent="0.3">
      <c r="A1381" s="50" t="s">
        <v>2963</v>
      </c>
      <c r="B1381" s="50" t="s">
        <v>114</v>
      </c>
      <c r="C1381" s="50" t="s">
        <v>29</v>
      </c>
      <c r="D1381" s="50" t="s">
        <v>256</v>
      </c>
      <c r="E1381" s="121">
        <v>0</v>
      </c>
      <c r="F1381" s="121">
        <v>0</v>
      </c>
      <c r="G1381" s="121" t="s">
        <v>2033</v>
      </c>
      <c r="H1381" s="121">
        <f t="shared" si="46"/>
        <v>0</v>
      </c>
      <c r="I1381" s="121">
        <f>FCCL!H26</f>
        <v>0</v>
      </c>
      <c r="J1381" s="121">
        <f t="shared" si="47"/>
        <v>0</v>
      </c>
      <c r="K1381" s="50" t="s">
        <v>2925</v>
      </c>
      <c r="L1381" s="50">
        <v>244</v>
      </c>
      <c r="M1381" s="50" t="s">
        <v>1127</v>
      </c>
      <c r="N1381" s="68" t="s">
        <v>3578</v>
      </c>
      <c r="O1381" s="68" t="s">
        <v>3579</v>
      </c>
      <c r="P1381" s="68" t="s">
        <v>4889</v>
      </c>
    </row>
    <row r="1382" spans="1:16" ht="82.05" customHeight="1" x14ac:dyDescent="0.3">
      <c r="A1382" s="119" t="s">
        <v>2964</v>
      </c>
      <c r="B1382" s="119" t="s">
        <v>114</v>
      </c>
      <c r="C1382" s="119" t="s">
        <v>965</v>
      </c>
      <c r="D1382" s="119" t="s">
        <v>258</v>
      </c>
      <c r="E1382" s="120">
        <v>99101</v>
      </c>
      <c r="F1382" s="120">
        <v>99101</v>
      </c>
      <c r="G1382" s="120" t="s">
        <v>2033</v>
      </c>
      <c r="H1382" s="120">
        <f t="shared" si="46"/>
        <v>99.100999999999999</v>
      </c>
      <c r="I1382" s="120">
        <f>FCCL!C27</f>
        <v>99.100999999999999</v>
      </c>
      <c r="J1382" s="120">
        <f t="shared" si="47"/>
        <v>0</v>
      </c>
      <c r="K1382" s="119" t="s">
        <v>2916</v>
      </c>
      <c r="L1382" s="119">
        <v>165</v>
      </c>
      <c r="M1382" s="119" t="s">
        <v>1106</v>
      </c>
      <c r="N1382" s="122" t="s">
        <v>3602</v>
      </c>
      <c r="O1382" s="122" t="s">
        <v>3603</v>
      </c>
      <c r="P1382" s="122" t="s">
        <v>4890</v>
      </c>
    </row>
    <row r="1383" spans="1:16" ht="82.05" customHeight="1" x14ac:dyDescent="0.3">
      <c r="A1383" s="50" t="s">
        <v>2966</v>
      </c>
      <c r="B1383" s="50" t="s">
        <v>114</v>
      </c>
      <c r="C1383" s="50" t="s">
        <v>20</v>
      </c>
      <c r="D1383" s="50" t="s">
        <v>258</v>
      </c>
      <c r="E1383" s="121">
        <v>86601</v>
      </c>
      <c r="F1383" s="121">
        <v>86601</v>
      </c>
      <c r="G1383" s="121" t="s">
        <v>2033</v>
      </c>
      <c r="H1383" s="121">
        <f t="shared" si="46"/>
        <v>86.600999999999999</v>
      </c>
      <c r="I1383" s="121">
        <f>FCCL!D27</f>
        <v>86.600999999999999</v>
      </c>
      <c r="J1383" s="121">
        <f t="shared" si="47"/>
        <v>0</v>
      </c>
      <c r="K1383" s="50" t="s">
        <v>2918</v>
      </c>
      <c r="L1383" s="50">
        <v>187</v>
      </c>
      <c r="M1383" s="50" t="s">
        <v>1106</v>
      </c>
      <c r="N1383" s="68" t="s">
        <v>3564</v>
      </c>
      <c r="O1383" s="68" t="s">
        <v>3565</v>
      </c>
      <c r="P1383" s="68" t="s">
        <v>4891</v>
      </c>
    </row>
    <row r="1384" spans="1:16" ht="82.05" customHeight="1" x14ac:dyDescent="0.3">
      <c r="A1384" s="119" t="s">
        <v>2967</v>
      </c>
      <c r="B1384" s="119" t="s">
        <v>114</v>
      </c>
      <c r="C1384" s="119" t="s">
        <v>26</v>
      </c>
      <c r="D1384" s="119" t="s">
        <v>258</v>
      </c>
      <c r="E1384" s="120">
        <v>126274</v>
      </c>
      <c r="F1384" s="120">
        <v>126274</v>
      </c>
      <c r="G1384" s="120" t="s">
        <v>2033</v>
      </c>
      <c r="H1384" s="120">
        <f t="shared" si="46"/>
        <v>126.274</v>
      </c>
      <c r="I1384" s="120">
        <f>FCCL!E27</f>
        <v>126.274</v>
      </c>
      <c r="J1384" s="120">
        <f t="shared" si="47"/>
        <v>0</v>
      </c>
      <c r="K1384" s="119" t="s">
        <v>2920</v>
      </c>
      <c r="L1384" s="119">
        <v>209</v>
      </c>
      <c r="M1384" s="119" t="s">
        <v>1106</v>
      </c>
      <c r="N1384" s="122" t="s">
        <v>3564</v>
      </c>
      <c r="O1384" s="122" t="s">
        <v>3565</v>
      </c>
      <c r="P1384" s="122" t="s">
        <v>4892</v>
      </c>
    </row>
    <row r="1385" spans="1:16" ht="82.05" customHeight="1" x14ac:dyDescent="0.3">
      <c r="A1385" s="50" t="s">
        <v>2968</v>
      </c>
      <c r="B1385" s="50" t="s">
        <v>114</v>
      </c>
      <c r="C1385" s="50" t="s">
        <v>27</v>
      </c>
      <c r="D1385" s="50" t="s">
        <v>258</v>
      </c>
      <c r="E1385" s="121">
        <v>129700</v>
      </c>
      <c r="F1385" s="121">
        <v>129700</v>
      </c>
      <c r="G1385" s="121" t="s">
        <v>2033</v>
      </c>
      <c r="H1385" s="121">
        <f t="shared" si="46"/>
        <v>129.69999999999999</v>
      </c>
      <c r="I1385" s="121">
        <f>FCCL!F27</f>
        <v>129.69999999999999</v>
      </c>
      <c r="J1385" s="121">
        <f t="shared" si="47"/>
        <v>0</v>
      </c>
      <c r="K1385" s="50" t="s">
        <v>2923</v>
      </c>
      <c r="L1385" s="50">
        <v>191</v>
      </c>
      <c r="M1385" s="50" t="s">
        <v>1106</v>
      </c>
      <c r="N1385" s="68" t="s">
        <v>3564</v>
      </c>
      <c r="O1385" s="68" t="s">
        <v>3565</v>
      </c>
      <c r="P1385" s="68" t="s">
        <v>4893</v>
      </c>
    </row>
    <row r="1386" spans="1:16" ht="82.05" customHeight="1" x14ac:dyDescent="0.3">
      <c r="A1386" s="119" t="s">
        <v>2969</v>
      </c>
      <c r="B1386" s="119" t="s">
        <v>114</v>
      </c>
      <c r="C1386" s="119" t="s">
        <v>28</v>
      </c>
      <c r="D1386" s="119" t="s">
        <v>258</v>
      </c>
      <c r="E1386" s="120">
        <v>129700</v>
      </c>
      <c r="F1386" s="120">
        <v>129700</v>
      </c>
      <c r="G1386" s="120" t="s">
        <v>2033</v>
      </c>
      <c r="H1386" s="120">
        <f t="shared" si="46"/>
        <v>129.69999999999999</v>
      </c>
      <c r="I1386" s="120">
        <f>FCCL!G27</f>
        <v>129.69999999999999</v>
      </c>
      <c r="J1386" s="120">
        <f t="shared" si="47"/>
        <v>0</v>
      </c>
      <c r="K1386" s="119" t="s">
        <v>2925</v>
      </c>
      <c r="L1386" s="119">
        <v>245</v>
      </c>
      <c r="M1386" s="119" t="s">
        <v>1106</v>
      </c>
      <c r="N1386" s="122" t="s">
        <v>3564</v>
      </c>
      <c r="O1386" s="122" t="s">
        <v>3565</v>
      </c>
      <c r="P1386" s="122" t="s">
        <v>4894</v>
      </c>
    </row>
    <row r="1387" spans="1:16" ht="82.05" customHeight="1" x14ac:dyDescent="0.3">
      <c r="A1387" s="50" t="s">
        <v>2970</v>
      </c>
      <c r="B1387" s="50" t="s">
        <v>114</v>
      </c>
      <c r="C1387" s="50" t="s">
        <v>29</v>
      </c>
      <c r="D1387" s="50" t="s">
        <v>258</v>
      </c>
      <c r="E1387" s="121">
        <v>133425</v>
      </c>
      <c r="F1387" s="121">
        <v>133425</v>
      </c>
      <c r="G1387" s="121" t="s">
        <v>2033</v>
      </c>
      <c r="H1387" s="121">
        <f t="shared" si="46"/>
        <v>133.42500000000001</v>
      </c>
      <c r="I1387" s="121">
        <f>FCCL!H27</f>
        <v>133.42500000000001</v>
      </c>
      <c r="J1387" s="121">
        <f t="shared" si="47"/>
        <v>0</v>
      </c>
      <c r="K1387" s="50" t="s">
        <v>2925</v>
      </c>
      <c r="L1387" s="50">
        <v>245</v>
      </c>
      <c r="M1387" s="50" t="s">
        <v>1127</v>
      </c>
      <c r="N1387" s="68" t="s">
        <v>3564</v>
      </c>
      <c r="O1387" s="68" t="s">
        <v>3565</v>
      </c>
      <c r="P1387" s="68" t="s">
        <v>4895</v>
      </c>
    </row>
    <row r="1388" spans="1:16" ht="82.05" customHeight="1" x14ac:dyDescent="0.3">
      <c r="A1388" s="119" t="s">
        <v>2971</v>
      </c>
      <c r="B1388" s="119" t="s">
        <v>114</v>
      </c>
      <c r="C1388" s="119" t="s">
        <v>965</v>
      </c>
      <c r="D1388" s="119" t="s">
        <v>263</v>
      </c>
      <c r="E1388" s="120">
        <v>3505809</v>
      </c>
      <c r="F1388" s="120">
        <v>3505809</v>
      </c>
      <c r="G1388" s="120" t="s">
        <v>2033</v>
      </c>
      <c r="H1388" s="120">
        <f t="shared" si="46"/>
        <v>3505.8090000000002</v>
      </c>
      <c r="I1388" s="120">
        <f>FCCL!C30</f>
        <v>3505.8090000000002</v>
      </c>
      <c r="J1388" s="120">
        <f t="shared" si="47"/>
        <v>0</v>
      </c>
      <c r="K1388" s="119" t="s">
        <v>2916</v>
      </c>
      <c r="L1388" s="119">
        <v>165</v>
      </c>
      <c r="M1388" s="119" t="s">
        <v>1106</v>
      </c>
      <c r="N1388" s="122" t="s">
        <v>3564</v>
      </c>
      <c r="O1388" s="122" t="s">
        <v>3565</v>
      </c>
      <c r="P1388" s="122" t="s">
        <v>4896</v>
      </c>
    </row>
    <row r="1389" spans="1:16" ht="82.05" customHeight="1" x14ac:dyDescent="0.3">
      <c r="A1389" s="50" t="s">
        <v>2972</v>
      </c>
      <c r="B1389" s="50" t="s">
        <v>114</v>
      </c>
      <c r="C1389" s="50" t="s">
        <v>20</v>
      </c>
      <c r="D1389" s="50" t="s">
        <v>263</v>
      </c>
      <c r="E1389" s="121">
        <v>4250754</v>
      </c>
      <c r="F1389" s="121">
        <v>4250754</v>
      </c>
      <c r="G1389" s="121" t="s">
        <v>2033</v>
      </c>
      <c r="H1389" s="121">
        <f t="shared" si="46"/>
        <v>4250.7539999999999</v>
      </c>
      <c r="I1389" s="121">
        <f>FCCL!D30</f>
        <v>4250.7539999999999</v>
      </c>
      <c r="J1389" s="121">
        <f t="shared" si="47"/>
        <v>0</v>
      </c>
      <c r="K1389" s="50" t="s">
        <v>2918</v>
      </c>
      <c r="L1389" s="50">
        <v>187</v>
      </c>
      <c r="M1389" s="50" t="s">
        <v>1106</v>
      </c>
      <c r="N1389" s="68" t="s">
        <v>3564</v>
      </c>
      <c r="O1389" s="68" t="s">
        <v>3565</v>
      </c>
      <c r="P1389" s="68" t="s">
        <v>4897</v>
      </c>
    </row>
    <row r="1390" spans="1:16" ht="82.05" customHeight="1" x14ac:dyDescent="0.3">
      <c r="A1390" s="119" t="s">
        <v>2974</v>
      </c>
      <c r="B1390" s="119" t="s">
        <v>114</v>
      </c>
      <c r="C1390" s="119" t="s">
        <v>26</v>
      </c>
      <c r="D1390" s="119" t="s">
        <v>263</v>
      </c>
      <c r="E1390" s="120">
        <v>11939147</v>
      </c>
      <c r="F1390" s="120">
        <v>11939147</v>
      </c>
      <c r="G1390" s="120" t="s">
        <v>2033</v>
      </c>
      <c r="H1390" s="120">
        <f t="shared" ref="H1390:H1453" si="48">F1390/1000</f>
        <v>11939.147000000001</v>
      </c>
      <c r="I1390" s="120">
        <f>FCCL!E30</f>
        <v>11939.147000000001</v>
      </c>
      <c r="J1390" s="120">
        <f t="shared" ref="J1390:J1453" si="49">H1390-I1390</f>
        <v>0</v>
      </c>
      <c r="K1390" s="119" t="s">
        <v>2920</v>
      </c>
      <c r="L1390" s="119">
        <v>209</v>
      </c>
      <c r="M1390" s="119" t="s">
        <v>1106</v>
      </c>
      <c r="N1390" s="122" t="s">
        <v>3564</v>
      </c>
      <c r="O1390" s="122" t="s">
        <v>3565</v>
      </c>
      <c r="P1390" s="122" t="s">
        <v>4898</v>
      </c>
    </row>
    <row r="1391" spans="1:16" ht="82.05" customHeight="1" x14ac:dyDescent="0.3">
      <c r="A1391" s="50" t="s">
        <v>2975</v>
      </c>
      <c r="B1391" s="50" t="s">
        <v>114</v>
      </c>
      <c r="C1391" s="50" t="s">
        <v>27</v>
      </c>
      <c r="D1391" s="50" t="s">
        <v>263</v>
      </c>
      <c r="E1391" s="121">
        <v>8011181</v>
      </c>
      <c r="F1391" s="121">
        <v>8011181</v>
      </c>
      <c r="G1391" s="121" t="s">
        <v>2033</v>
      </c>
      <c r="H1391" s="121">
        <f t="shared" si="48"/>
        <v>8011.1809999999996</v>
      </c>
      <c r="I1391" s="121">
        <f>FCCL!F30</f>
        <v>8011.1809999999996</v>
      </c>
      <c r="J1391" s="121">
        <f t="shared" si="49"/>
        <v>0</v>
      </c>
      <c r="K1391" s="50" t="s">
        <v>2923</v>
      </c>
      <c r="L1391" s="50">
        <v>191</v>
      </c>
      <c r="M1391" s="50" t="s">
        <v>1106</v>
      </c>
      <c r="N1391" s="68" t="s">
        <v>3564</v>
      </c>
      <c r="O1391" s="68" t="s">
        <v>3565</v>
      </c>
      <c r="P1391" s="68" t="s">
        <v>4899</v>
      </c>
    </row>
    <row r="1392" spans="1:16" ht="82.05" customHeight="1" x14ac:dyDescent="0.3">
      <c r="A1392" s="119" t="s">
        <v>2976</v>
      </c>
      <c r="B1392" s="119" t="s">
        <v>114</v>
      </c>
      <c r="C1392" s="119" t="s">
        <v>28</v>
      </c>
      <c r="D1392" s="119" t="s">
        <v>263</v>
      </c>
      <c r="E1392" s="120">
        <v>9099130</v>
      </c>
      <c r="F1392" s="120">
        <v>9099130</v>
      </c>
      <c r="G1392" s="120" t="s">
        <v>2033</v>
      </c>
      <c r="H1392" s="120">
        <f t="shared" si="48"/>
        <v>9099.1299999999992</v>
      </c>
      <c r="I1392" s="120">
        <f>FCCL!G30</f>
        <v>9099.1299999999992</v>
      </c>
      <c r="J1392" s="120">
        <f t="shared" si="49"/>
        <v>0</v>
      </c>
      <c r="K1392" s="119" t="s">
        <v>2925</v>
      </c>
      <c r="L1392" s="119">
        <v>245</v>
      </c>
      <c r="M1392" s="119" t="s">
        <v>1106</v>
      </c>
      <c r="N1392" s="122" t="s">
        <v>3564</v>
      </c>
      <c r="O1392" s="122" t="s">
        <v>3565</v>
      </c>
      <c r="P1392" s="122" t="s">
        <v>4900</v>
      </c>
    </row>
    <row r="1393" spans="1:16" ht="82.05" customHeight="1" x14ac:dyDescent="0.3">
      <c r="A1393" s="50" t="s">
        <v>2977</v>
      </c>
      <c r="B1393" s="50" t="s">
        <v>114</v>
      </c>
      <c r="C1393" s="50" t="s">
        <v>29</v>
      </c>
      <c r="D1393" s="50" t="s">
        <v>263</v>
      </c>
      <c r="E1393" s="121">
        <v>10377008</v>
      </c>
      <c r="F1393" s="121">
        <v>10377008</v>
      </c>
      <c r="G1393" s="121" t="s">
        <v>2033</v>
      </c>
      <c r="H1393" s="121">
        <f t="shared" si="48"/>
        <v>10377.008</v>
      </c>
      <c r="I1393" s="121">
        <f>FCCL!H30</f>
        <v>10377.008</v>
      </c>
      <c r="J1393" s="121">
        <f t="shared" si="49"/>
        <v>0</v>
      </c>
      <c r="K1393" s="50" t="s">
        <v>2925</v>
      </c>
      <c r="L1393" s="50">
        <v>245</v>
      </c>
      <c r="M1393" s="50" t="s">
        <v>1127</v>
      </c>
      <c r="N1393" s="68" t="s">
        <v>3564</v>
      </c>
      <c r="O1393" s="68" t="s">
        <v>3565</v>
      </c>
      <c r="P1393" s="68" t="s">
        <v>4901</v>
      </c>
    </row>
    <row r="1394" spans="1:16" ht="82.05" customHeight="1" x14ac:dyDescent="0.3">
      <c r="A1394" s="119" t="s">
        <v>2978</v>
      </c>
      <c r="B1394" s="119" t="s">
        <v>114</v>
      </c>
      <c r="C1394" s="119" t="s">
        <v>965</v>
      </c>
      <c r="D1394" s="119" t="s">
        <v>265</v>
      </c>
      <c r="E1394" s="120">
        <v>1187752</v>
      </c>
      <c r="F1394" s="120">
        <v>1187752</v>
      </c>
      <c r="G1394" s="120" t="s">
        <v>2033</v>
      </c>
      <c r="H1394" s="120">
        <f t="shared" si="48"/>
        <v>1187.752</v>
      </c>
      <c r="I1394" s="120">
        <f>FCCL!C31</f>
        <v>1187.752</v>
      </c>
      <c r="J1394" s="120">
        <f t="shared" si="49"/>
        <v>0</v>
      </c>
      <c r="K1394" s="119" t="s">
        <v>2916</v>
      </c>
      <c r="L1394" s="119">
        <v>165</v>
      </c>
      <c r="M1394" s="119" t="s">
        <v>1106</v>
      </c>
      <c r="N1394" s="122" t="s">
        <v>3564</v>
      </c>
      <c r="O1394" s="122" t="s">
        <v>3565</v>
      </c>
      <c r="P1394" s="122" t="s">
        <v>4902</v>
      </c>
    </row>
    <row r="1395" spans="1:16" ht="82.05" customHeight="1" x14ac:dyDescent="0.3">
      <c r="A1395" s="50" t="s">
        <v>2980</v>
      </c>
      <c r="B1395" s="50" t="s">
        <v>114</v>
      </c>
      <c r="C1395" s="50" t="s">
        <v>20</v>
      </c>
      <c r="D1395" s="50" t="s">
        <v>265</v>
      </c>
      <c r="E1395" s="121">
        <v>1189198</v>
      </c>
      <c r="F1395" s="121">
        <v>1189198</v>
      </c>
      <c r="G1395" s="121" t="s">
        <v>2033</v>
      </c>
      <c r="H1395" s="121">
        <f t="shared" si="48"/>
        <v>1189.1980000000001</v>
      </c>
      <c r="I1395" s="121">
        <f>FCCL!D31</f>
        <v>1189.1980000000001</v>
      </c>
      <c r="J1395" s="121">
        <f t="shared" si="49"/>
        <v>0</v>
      </c>
      <c r="K1395" s="50" t="s">
        <v>2918</v>
      </c>
      <c r="L1395" s="50">
        <v>187</v>
      </c>
      <c r="M1395" s="50" t="s">
        <v>1106</v>
      </c>
      <c r="N1395" s="68" t="s">
        <v>3564</v>
      </c>
      <c r="O1395" s="68" t="s">
        <v>3565</v>
      </c>
      <c r="P1395" s="68" t="s">
        <v>4903</v>
      </c>
    </row>
    <row r="1396" spans="1:16" ht="82.05" customHeight="1" x14ac:dyDescent="0.3">
      <c r="A1396" s="119" t="s">
        <v>2981</v>
      </c>
      <c r="B1396" s="119" t="s">
        <v>114</v>
      </c>
      <c r="C1396" s="119" t="s">
        <v>26</v>
      </c>
      <c r="D1396" s="119" t="s">
        <v>265</v>
      </c>
      <c r="E1396" s="120">
        <v>3697721</v>
      </c>
      <c r="F1396" s="120">
        <v>3697721</v>
      </c>
      <c r="G1396" s="120" t="s">
        <v>2033</v>
      </c>
      <c r="H1396" s="120">
        <f t="shared" si="48"/>
        <v>3697.721</v>
      </c>
      <c r="I1396" s="120">
        <f>FCCL!E31</f>
        <v>3697.721</v>
      </c>
      <c r="J1396" s="120">
        <f t="shared" si="49"/>
        <v>0</v>
      </c>
      <c r="K1396" s="119" t="s">
        <v>2920</v>
      </c>
      <c r="L1396" s="119">
        <v>209</v>
      </c>
      <c r="M1396" s="119" t="s">
        <v>1106</v>
      </c>
      <c r="N1396" s="122" t="s">
        <v>3564</v>
      </c>
      <c r="O1396" s="122" t="s">
        <v>3565</v>
      </c>
      <c r="P1396" s="122" t="s">
        <v>4904</v>
      </c>
    </row>
    <row r="1397" spans="1:16" ht="82.05" customHeight="1" x14ac:dyDescent="0.3">
      <c r="A1397" s="50" t="s">
        <v>2982</v>
      </c>
      <c r="B1397" s="50" t="s">
        <v>114</v>
      </c>
      <c r="C1397" s="50" t="s">
        <v>27</v>
      </c>
      <c r="D1397" s="50" t="s">
        <v>265</v>
      </c>
      <c r="E1397" s="121">
        <v>7112327</v>
      </c>
      <c r="F1397" s="121">
        <v>7112327</v>
      </c>
      <c r="G1397" s="121" t="s">
        <v>2033</v>
      </c>
      <c r="H1397" s="121">
        <f t="shared" si="48"/>
        <v>7112.3270000000002</v>
      </c>
      <c r="I1397" s="121">
        <f>FCCL!F31</f>
        <v>7112.3270000000002</v>
      </c>
      <c r="J1397" s="121">
        <f t="shared" si="49"/>
        <v>0</v>
      </c>
      <c r="K1397" s="50" t="s">
        <v>2923</v>
      </c>
      <c r="L1397" s="50">
        <v>191</v>
      </c>
      <c r="M1397" s="50" t="s">
        <v>1106</v>
      </c>
      <c r="N1397" s="68" t="s">
        <v>3564</v>
      </c>
      <c r="O1397" s="68" t="s">
        <v>3565</v>
      </c>
      <c r="P1397" s="68" t="s">
        <v>4905</v>
      </c>
    </row>
    <row r="1398" spans="1:16" ht="82.05" customHeight="1" x14ac:dyDescent="0.3">
      <c r="A1398" s="119" t="s">
        <v>2983</v>
      </c>
      <c r="B1398" s="119" t="s">
        <v>114</v>
      </c>
      <c r="C1398" s="119" t="s">
        <v>28</v>
      </c>
      <c r="D1398" s="119" t="s">
        <v>265</v>
      </c>
      <c r="E1398" s="120">
        <v>7495705</v>
      </c>
      <c r="F1398" s="120">
        <v>7495705</v>
      </c>
      <c r="G1398" s="120" t="s">
        <v>2033</v>
      </c>
      <c r="H1398" s="120">
        <f t="shared" si="48"/>
        <v>7495.7049999999999</v>
      </c>
      <c r="I1398" s="120">
        <f>FCCL!G31</f>
        <v>7495.7049999999999</v>
      </c>
      <c r="J1398" s="120">
        <f t="shared" si="49"/>
        <v>0</v>
      </c>
      <c r="K1398" s="119" t="s">
        <v>2925</v>
      </c>
      <c r="L1398" s="119">
        <v>245</v>
      </c>
      <c r="M1398" s="119" t="s">
        <v>1106</v>
      </c>
      <c r="N1398" s="122" t="s">
        <v>3564</v>
      </c>
      <c r="O1398" s="122" t="s">
        <v>3565</v>
      </c>
      <c r="P1398" s="122" t="s">
        <v>4906</v>
      </c>
    </row>
    <row r="1399" spans="1:16" ht="82.05" customHeight="1" x14ac:dyDescent="0.3">
      <c r="A1399" s="50" t="s">
        <v>2984</v>
      </c>
      <c r="B1399" s="50" t="s">
        <v>114</v>
      </c>
      <c r="C1399" s="50" t="s">
        <v>29</v>
      </c>
      <c r="D1399" s="50" t="s">
        <v>265</v>
      </c>
      <c r="E1399" s="121">
        <v>9337617</v>
      </c>
      <c r="F1399" s="121">
        <v>9337617</v>
      </c>
      <c r="G1399" s="121" t="s">
        <v>2033</v>
      </c>
      <c r="H1399" s="121">
        <f t="shared" si="48"/>
        <v>9337.6170000000002</v>
      </c>
      <c r="I1399" s="121">
        <f>FCCL!H31</f>
        <v>9337.6170000000002</v>
      </c>
      <c r="J1399" s="121">
        <f t="shared" si="49"/>
        <v>0</v>
      </c>
      <c r="K1399" s="50" t="s">
        <v>2925</v>
      </c>
      <c r="L1399" s="50">
        <v>245</v>
      </c>
      <c r="M1399" s="50" t="s">
        <v>1127</v>
      </c>
      <c r="N1399" s="68" t="s">
        <v>3564</v>
      </c>
      <c r="O1399" s="68" t="s">
        <v>3565</v>
      </c>
      <c r="P1399" s="68" t="s">
        <v>4907</v>
      </c>
    </row>
    <row r="1400" spans="1:16" ht="82.05" customHeight="1" x14ac:dyDescent="0.3">
      <c r="A1400" s="119" t="s">
        <v>2985</v>
      </c>
      <c r="B1400" s="119" t="s">
        <v>114</v>
      </c>
      <c r="C1400" s="119" t="s">
        <v>965</v>
      </c>
      <c r="D1400" s="119" t="s">
        <v>267</v>
      </c>
      <c r="E1400" s="120">
        <v>1050640</v>
      </c>
      <c r="F1400" s="120">
        <v>1050640</v>
      </c>
      <c r="G1400" s="120" t="s">
        <v>2033</v>
      </c>
      <c r="H1400" s="120">
        <f t="shared" si="48"/>
        <v>1050.6400000000001</v>
      </c>
      <c r="I1400" s="120">
        <f>FCCL!C32</f>
        <v>1050.6400000000001</v>
      </c>
      <c r="J1400" s="120">
        <f t="shared" si="49"/>
        <v>0</v>
      </c>
      <c r="K1400" s="119" t="s">
        <v>2916</v>
      </c>
      <c r="L1400" s="119">
        <v>165</v>
      </c>
      <c r="M1400" s="119" t="s">
        <v>1106</v>
      </c>
      <c r="N1400" s="122" t="s">
        <v>3564</v>
      </c>
      <c r="O1400" s="122" t="s">
        <v>3565</v>
      </c>
      <c r="P1400" s="122" t="s">
        <v>4908</v>
      </c>
    </row>
    <row r="1401" spans="1:16" ht="82.05" customHeight="1" x14ac:dyDescent="0.3">
      <c r="A1401" s="50" t="s">
        <v>2986</v>
      </c>
      <c r="B1401" s="50" t="s">
        <v>114</v>
      </c>
      <c r="C1401" s="50" t="s">
        <v>20</v>
      </c>
      <c r="D1401" s="50" t="s">
        <v>267</v>
      </c>
      <c r="E1401" s="121">
        <v>1449600</v>
      </c>
      <c r="F1401" s="121">
        <v>1449600</v>
      </c>
      <c r="G1401" s="121" t="s">
        <v>2033</v>
      </c>
      <c r="H1401" s="121">
        <f t="shared" si="48"/>
        <v>1449.6</v>
      </c>
      <c r="I1401" s="121">
        <f>FCCL!D32</f>
        <v>1449.6</v>
      </c>
      <c r="J1401" s="121">
        <f t="shared" si="49"/>
        <v>0</v>
      </c>
      <c r="K1401" s="50" t="s">
        <v>2918</v>
      </c>
      <c r="L1401" s="50">
        <v>187</v>
      </c>
      <c r="M1401" s="50" t="s">
        <v>1106</v>
      </c>
      <c r="N1401" s="68" t="s">
        <v>3564</v>
      </c>
      <c r="O1401" s="68" t="s">
        <v>3565</v>
      </c>
      <c r="P1401" s="68" t="s">
        <v>4909</v>
      </c>
    </row>
    <row r="1402" spans="1:16" ht="82.05" customHeight="1" x14ac:dyDescent="0.3">
      <c r="A1402" s="119" t="s">
        <v>2988</v>
      </c>
      <c r="B1402" s="119" t="s">
        <v>114</v>
      </c>
      <c r="C1402" s="119" t="s">
        <v>26</v>
      </c>
      <c r="D1402" s="119" t="s">
        <v>267</v>
      </c>
      <c r="E1402" s="120">
        <v>2412758</v>
      </c>
      <c r="F1402" s="120">
        <v>2412758</v>
      </c>
      <c r="G1402" s="120" t="s">
        <v>2033</v>
      </c>
      <c r="H1402" s="120">
        <f t="shared" si="48"/>
        <v>2412.7579999999998</v>
      </c>
      <c r="I1402" s="120">
        <f>FCCL!E32</f>
        <v>2412.7579999999998</v>
      </c>
      <c r="J1402" s="120">
        <f t="shared" si="49"/>
        <v>0</v>
      </c>
      <c r="K1402" s="119" t="s">
        <v>2920</v>
      </c>
      <c r="L1402" s="119">
        <v>209</v>
      </c>
      <c r="M1402" s="119" t="s">
        <v>1106</v>
      </c>
      <c r="N1402" s="122" t="s">
        <v>3564</v>
      </c>
      <c r="O1402" s="122" t="s">
        <v>3565</v>
      </c>
      <c r="P1402" s="122" t="s">
        <v>4910</v>
      </c>
    </row>
    <row r="1403" spans="1:16" ht="82.05" customHeight="1" x14ac:dyDescent="0.3">
      <c r="A1403" s="50" t="s">
        <v>2989</v>
      </c>
      <c r="B1403" s="50" t="s">
        <v>114</v>
      </c>
      <c r="C1403" s="50" t="s">
        <v>27</v>
      </c>
      <c r="D1403" s="50" t="s">
        <v>267</v>
      </c>
      <c r="E1403" s="121">
        <v>3572445</v>
      </c>
      <c r="F1403" s="121">
        <v>3572445</v>
      </c>
      <c r="G1403" s="121" t="s">
        <v>2033</v>
      </c>
      <c r="H1403" s="121">
        <f t="shared" si="48"/>
        <v>3572.4450000000002</v>
      </c>
      <c r="I1403" s="121">
        <f>FCCL!F32</f>
        <v>3572.4450000000002</v>
      </c>
      <c r="J1403" s="121">
        <f t="shared" si="49"/>
        <v>0</v>
      </c>
      <c r="K1403" s="50" t="s">
        <v>2923</v>
      </c>
      <c r="L1403" s="50">
        <v>191</v>
      </c>
      <c r="M1403" s="50" t="s">
        <v>1106</v>
      </c>
      <c r="N1403" s="68" t="s">
        <v>3564</v>
      </c>
      <c r="O1403" s="68" t="s">
        <v>3565</v>
      </c>
      <c r="P1403" s="68" t="s">
        <v>4911</v>
      </c>
    </row>
    <row r="1404" spans="1:16" ht="82.05" customHeight="1" x14ac:dyDescent="0.3">
      <c r="A1404" s="119" t="s">
        <v>2990</v>
      </c>
      <c r="B1404" s="119" t="s">
        <v>114</v>
      </c>
      <c r="C1404" s="119" t="s">
        <v>28</v>
      </c>
      <c r="D1404" s="119" t="s">
        <v>267</v>
      </c>
      <c r="E1404" s="120">
        <v>5545241</v>
      </c>
      <c r="F1404" s="120">
        <v>5545241</v>
      </c>
      <c r="G1404" s="120" t="s">
        <v>2033</v>
      </c>
      <c r="H1404" s="120">
        <f t="shared" si="48"/>
        <v>5545.241</v>
      </c>
      <c r="I1404" s="120">
        <f>FCCL!G32</f>
        <v>5545.241</v>
      </c>
      <c r="J1404" s="120">
        <f t="shared" si="49"/>
        <v>0</v>
      </c>
      <c r="K1404" s="119" t="s">
        <v>2925</v>
      </c>
      <c r="L1404" s="119">
        <v>245</v>
      </c>
      <c r="M1404" s="119" t="s">
        <v>1106</v>
      </c>
      <c r="N1404" s="122" t="s">
        <v>3564</v>
      </c>
      <c r="O1404" s="122" t="s">
        <v>3565</v>
      </c>
      <c r="P1404" s="122" t="s">
        <v>4912</v>
      </c>
    </row>
    <row r="1405" spans="1:16" ht="82.05" customHeight="1" x14ac:dyDescent="0.3">
      <c r="A1405" s="50" t="s">
        <v>2991</v>
      </c>
      <c r="B1405" s="50" t="s">
        <v>114</v>
      </c>
      <c r="C1405" s="50" t="s">
        <v>29</v>
      </c>
      <c r="D1405" s="50" t="s">
        <v>267</v>
      </c>
      <c r="E1405" s="121">
        <v>6911322</v>
      </c>
      <c r="F1405" s="121">
        <v>6911322</v>
      </c>
      <c r="G1405" s="121" t="s">
        <v>2033</v>
      </c>
      <c r="H1405" s="121">
        <f t="shared" si="48"/>
        <v>6911.3220000000001</v>
      </c>
      <c r="I1405" s="121">
        <f>FCCL!H32</f>
        <v>6911.3220000000001</v>
      </c>
      <c r="J1405" s="121">
        <f t="shared" si="49"/>
        <v>0</v>
      </c>
      <c r="K1405" s="50" t="s">
        <v>2925</v>
      </c>
      <c r="L1405" s="50">
        <v>245</v>
      </c>
      <c r="M1405" s="50" t="s">
        <v>1127</v>
      </c>
      <c r="N1405" s="68" t="s">
        <v>3564</v>
      </c>
      <c r="O1405" s="68" t="s">
        <v>3565</v>
      </c>
      <c r="P1405" s="68" t="s">
        <v>4913</v>
      </c>
    </row>
    <row r="1406" spans="1:16" ht="82.05" customHeight="1" x14ac:dyDescent="0.3">
      <c r="A1406" s="119" t="s">
        <v>2992</v>
      </c>
      <c r="B1406" s="119" t="s">
        <v>114</v>
      </c>
      <c r="C1406" s="119" t="s">
        <v>965</v>
      </c>
      <c r="D1406" s="119" t="s">
        <v>269</v>
      </c>
      <c r="E1406" s="120">
        <v>0</v>
      </c>
      <c r="F1406" s="120">
        <v>0</v>
      </c>
      <c r="G1406" s="120" t="s">
        <v>2033</v>
      </c>
      <c r="H1406" s="120">
        <f t="shared" si="48"/>
        <v>0</v>
      </c>
      <c r="I1406" s="120">
        <f>FCCL!C33</f>
        <v>0</v>
      </c>
      <c r="J1406" s="120">
        <f t="shared" si="49"/>
        <v>0</v>
      </c>
      <c r="K1406" s="119" t="s">
        <v>2916</v>
      </c>
      <c r="L1406" s="119">
        <v>165</v>
      </c>
      <c r="M1406" s="119" t="s">
        <v>1106</v>
      </c>
      <c r="N1406" s="122" t="s">
        <v>3578</v>
      </c>
      <c r="O1406" s="122" t="s">
        <v>3579</v>
      </c>
      <c r="P1406" s="122" t="s">
        <v>4914</v>
      </c>
    </row>
    <row r="1407" spans="1:16" ht="82.05" customHeight="1" x14ac:dyDescent="0.3">
      <c r="A1407" s="50" t="s">
        <v>2993</v>
      </c>
      <c r="B1407" s="50" t="s">
        <v>114</v>
      </c>
      <c r="C1407" s="50" t="s">
        <v>20</v>
      </c>
      <c r="D1407" s="50" t="s">
        <v>269</v>
      </c>
      <c r="E1407" s="121">
        <v>4397699</v>
      </c>
      <c r="F1407" s="121">
        <v>4397699</v>
      </c>
      <c r="G1407" s="121" t="s">
        <v>2033</v>
      </c>
      <c r="H1407" s="121">
        <f t="shared" si="48"/>
        <v>4397.6989999999996</v>
      </c>
      <c r="I1407" s="121">
        <f>FCCL!D33</f>
        <v>4397.6989999999996</v>
      </c>
      <c r="J1407" s="121">
        <f t="shared" si="49"/>
        <v>0</v>
      </c>
      <c r="K1407" s="50" t="s">
        <v>2918</v>
      </c>
      <c r="L1407" s="50">
        <v>187</v>
      </c>
      <c r="M1407" s="50" t="s">
        <v>1106</v>
      </c>
      <c r="N1407" s="68" t="s">
        <v>3564</v>
      </c>
      <c r="O1407" s="68" t="s">
        <v>3565</v>
      </c>
      <c r="P1407" s="68" t="s">
        <v>4915</v>
      </c>
    </row>
    <row r="1408" spans="1:16" ht="82.05" customHeight="1" x14ac:dyDescent="0.3">
      <c r="A1408" s="119" t="s">
        <v>2994</v>
      </c>
      <c r="B1408" s="119" t="s">
        <v>114</v>
      </c>
      <c r="C1408" s="119" t="s">
        <v>26</v>
      </c>
      <c r="D1408" s="119" t="s">
        <v>269</v>
      </c>
      <c r="E1408" s="120">
        <v>3843010</v>
      </c>
      <c r="F1408" s="120">
        <v>3843010</v>
      </c>
      <c r="G1408" s="120" t="s">
        <v>2033</v>
      </c>
      <c r="H1408" s="120">
        <f t="shared" si="48"/>
        <v>3843.01</v>
      </c>
      <c r="I1408" s="120">
        <f>FCCL!E33</f>
        <v>3843.01</v>
      </c>
      <c r="J1408" s="120">
        <f t="shared" si="49"/>
        <v>0</v>
      </c>
      <c r="K1408" s="119" t="s">
        <v>2920</v>
      </c>
      <c r="L1408" s="119">
        <v>209</v>
      </c>
      <c r="M1408" s="119" t="s">
        <v>1106</v>
      </c>
      <c r="N1408" s="122" t="s">
        <v>3564</v>
      </c>
      <c r="O1408" s="122" t="s">
        <v>3565</v>
      </c>
      <c r="P1408" s="122" t="s">
        <v>4916</v>
      </c>
    </row>
    <row r="1409" spans="1:16" ht="82.05" customHeight="1" x14ac:dyDescent="0.3">
      <c r="A1409" s="50" t="s">
        <v>2995</v>
      </c>
      <c r="B1409" s="50" t="s">
        <v>114</v>
      </c>
      <c r="C1409" s="50" t="s">
        <v>27</v>
      </c>
      <c r="D1409" s="50" t="s">
        <v>269</v>
      </c>
      <c r="E1409" s="121">
        <v>250000</v>
      </c>
      <c r="F1409" s="121">
        <v>250000</v>
      </c>
      <c r="G1409" s="121" t="s">
        <v>2033</v>
      </c>
      <c r="H1409" s="121">
        <f t="shared" si="48"/>
        <v>250</v>
      </c>
      <c r="I1409" s="121">
        <f>FCCL!F33</f>
        <v>250</v>
      </c>
      <c r="J1409" s="121">
        <f t="shared" si="49"/>
        <v>0</v>
      </c>
      <c r="K1409" s="50" t="s">
        <v>2923</v>
      </c>
      <c r="L1409" s="50">
        <v>191</v>
      </c>
      <c r="M1409" s="50" t="s">
        <v>1106</v>
      </c>
      <c r="N1409" s="68" t="s">
        <v>3564</v>
      </c>
      <c r="O1409" s="68" t="s">
        <v>3565</v>
      </c>
      <c r="P1409" s="68" t="s">
        <v>4917</v>
      </c>
    </row>
    <row r="1410" spans="1:16" ht="82.05" customHeight="1" x14ac:dyDescent="0.3">
      <c r="A1410" s="119" t="s">
        <v>2996</v>
      </c>
      <c r="B1410" s="119" t="s">
        <v>114</v>
      </c>
      <c r="C1410" s="119" t="s">
        <v>28</v>
      </c>
      <c r="D1410" s="119" t="s">
        <v>269</v>
      </c>
      <c r="E1410" s="120">
        <v>250000</v>
      </c>
      <c r="F1410" s="120">
        <v>250000</v>
      </c>
      <c r="G1410" s="120" t="s">
        <v>2033</v>
      </c>
      <c r="H1410" s="120">
        <f t="shared" si="48"/>
        <v>250</v>
      </c>
      <c r="I1410" s="120">
        <f>FCCL!G33</f>
        <v>250</v>
      </c>
      <c r="J1410" s="120">
        <f t="shared" si="49"/>
        <v>0</v>
      </c>
      <c r="K1410" s="119" t="s">
        <v>2925</v>
      </c>
      <c r="L1410" s="119">
        <v>245</v>
      </c>
      <c r="M1410" s="119" t="s">
        <v>1106</v>
      </c>
      <c r="N1410" s="122" t="s">
        <v>3564</v>
      </c>
      <c r="O1410" s="122" t="s">
        <v>3565</v>
      </c>
      <c r="P1410" s="122" t="s">
        <v>4918</v>
      </c>
    </row>
    <row r="1411" spans="1:16" ht="82.05" customHeight="1" x14ac:dyDescent="0.3">
      <c r="A1411" s="50" t="s">
        <v>2997</v>
      </c>
      <c r="B1411" s="50" t="s">
        <v>114</v>
      </c>
      <c r="C1411" s="50" t="s">
        <v>29</v>
      </c>
      <c r="D1411" s="50" t="s">
        <v>269</v>
      </c>
      <c r="E1411" s="121">
        <v>9210100</v>
      </c>
      <c r="F1411" s="121">
        <v>9210100</v>
      </c>
      <c r="G1411" s="121" t="s">
        <v>2033</v>
      </c>
      <c r="H1411" s="121">
        <f t="shared" si="48"/>
        <v>9210.1</v>
      </c>
      <c r="I1411" s="121">
        <f>FCCL!H33</f>
        <v>9210.1</v>
      </c>
      <c r="J1411" s="121">
        <f t="shared" si="49"/>
        <v>0</v>
      </c>
      <c r="K1411" s="50" t="s">
        <v>2925</v>
      </c>
      <c r="L1411" s="50">
        <v>245</v>
      </c>
      <c r="M1411" s="50" t="s">
        <v>1127</v>
      </c>
      <c r="N1411" s="68" t="s">
        <v>3564</v>
      </c>
      <c r="O1411" s="68" t="s">
        <v>3565</v>
      </c>
      <c r="P1411" s="68" t="s">
        <v>4919</v>
      </c>
    </row>
    <row r="1412" spans="1:16" ht="82.05" customHeight="1" x14ac:dyDescent="0.3">
      <c r="A1412" s="119" t="s">
        <v>2998</v>
      </c>
      <c r="B1412" s="119" t="s">
        <v>114</v>
      </c>
      <c r="C1412" s="119" t="s">
        <v>965</v>
      </c>
      <c r="D1412" s="119" t="s">
        <v>271</v>
      </c>
      <c r="E1412" s="120">
        <v>561174</v>
      </c>
      <c r="F1412" s="120">
        <v>561174</v>
      </c>
      <c r="G1412" s="120" t="s">
        <v>2033</v>
      </c>
      <c r="H1412" s="120">
        <f t="shared" si="48"/>
        <v>561.17399999999998</v>
      </c>
      <c r="I1412" s="120">
        <f>FCCL!C34</f>
        <v>561.17399999999998</v>
      </c>
      <c r="J1412" s="120">
        <f t="shared" si="49"/>
        <v>0</v>
      </c>
      <c r="K1412" s="119" t="s">
        <v>2916</v>
      </c>
      <c r="L1412" s="119">
        <v>165</v>
      </c>
      <c r="M1412" s="119" t="s">
        <v>1106</v>
      </c>
      <c r="N1412" s="122" t="s">
        <v>3564</v>
      </c>
      <c r="O1412" s="122" t="s">
        <v>3565</v>
      </c>
      <c r="P1412" s="122" t="s">
        <v>4920</v>
      </c>
    </row>
    <row r="1413" spans="1:16" ht="82.05" customHeight="1" x14ac:dyDescent="0.3">
      <c r="A1413" s="50" t="s">
        <v>2999</v>
      </c>
      <c r="B1413" s="50" t="s">
        <v>114</v>
      </c>
      <c r="C1413" s="50" t="s">
        <v>20</v>
      </c>
      <c r="D1413" s="50" t="s">
        <v>271</v>
      </c>
      <c r="E1413" s="121">
        <v>900778</v>
      </c>
      <c r="F1413" s="121">
        <v>900778</v>
      </c>
      <c r="G1413" s="121" t="s">
        <v>2033</v>
      </c>
      <c r="H1413" s="121">
        <f t="shared" si="48"/>
        <v>900.77800000000002</v>
      </c>
      <c r="I1413" s="121">
        <f>FCCL!D34</f>
        <v>900.77800000000002</v>
      </c>
      <c r="J1413" s="121">
        <f t="shared" si="49"/>
        <v>0</v>
      </c>
      <c r="K1413" s="50" t="s">
        <v>2918</v>
      </c>
      <c r="L1413" s="50">
        <v>187</v>
      </c>
      <c r="M1413" s="50" t="s">
        <v>1106</v>
      </c>
      <c r="N1413" s="68" t="s">
        <v>3564</v>
      </c>
      <c r="O1413" s="68" t="s">
        <v>3565</v>
      </c>
      <c r="P1413" s="68" t="s">
        <v>4921</v>
      </c>
    </row>
    <row r="1414" spans="1:16" ht="82.05" customHeight="1" x14ac:dyDescent="0.3">
      <c r="A1414" s="119" t="s">
        <v>3000</v>
      </c>
      <c r="B1414" s="119" t="s">
        <v>114</v>
      </c>
      <c r="C1414" s="119" t="s">
        <v>26</v>
      </c>
      <c r="D1414" s="119" t="s">
        <v>271</v>
      </c>
      <c r="E1414" s="120">
        <v>2306633</v>
      </c>
      <c r="F1414" s="120">
        <v>2306633</v>
      </c>
      <c r="G1414" s="120" t="s">
        <v>2033</v>
      </c>
      <c r="H1414" s="120">
        <f t="shared" si="48"/>
        <v>2306.6329999999998</v>
      </c>
      <c r="I1414" s="120">
        <f>FCCL!E34</f>
        <v>2306.6329999999998</v>
      </c>
      <c r="J1414" s="120">
        <f t="shared" si="49"/>
        <v>0</v>
      </c>
      <c r="K1414" s="119" t="s">
        <v>2920</v>
      </c>
      <c r="L1414" s="119">
        <v>209</v>
      </c>
      <c r="M1414" s="119" t="s">
        <v>1106</v>
      </c>
      <c r="N1414" s="122" t="s">
        <v>3564</v>
      </c>
      <c r="O1414" s="122" t="s">
        <v>3565</v>
      </c>
      <c r="P1414" s="122" t="s">
        <v>4922</v>
      </c>
    </row>
    <row r="1415" spans="1:16" ht="82.05" customHeight="1" x14ac:dyDescent="0.3">
      <c r="A1415" s="50" t="s">
        <v>3001</v>
      </c>
      <c r="B1415" s="50" t="s">
        <v>114</v>
      </c>
      <c r="C1415" s="50" t="s">
        <v>27</v>
      </c>
      <c r="D1415" s="50" t="s">
        <v>271</v>
      </c>
      <c r="E1415" s="121">
        <v>970457</v>
      </c>
      <c r="F1415" s="121">
        <v>970457</v>
      </c>
      <c r="G1415" s="121" t="s">
        <v>2033</v>
      </c>
      <c r="H1415" s="121">
        <f t="shared" si="48"/>
        <v>970.45699999999999</v>
      </c>
      <c r="I1415" s="121">
        <f>FCCL!F34</f>
        <v>970.45699999999999</v>
      </c>
      <c r="J1415" s="121">
        <f t="shared" si="49"/>
        <v>0</v>
      </c>
      <c r="K1415" s="50" t="s">
        <v>2923</v>
      </c>
      <c r="L1415" s="50">
        <v>191</v>
      </c>
      <c r="M1415" s="50" t="s">
        <v>1106</v>
      </c>
      <c r="N1415" s="68" t="s">
        <v>3564</v>
      </c>
      <c r="O1415" s="68" t="s">
        <v>3565</v>
      </c>
      <c r="P1415" s="68" t="s">
        <v>4923</v>
      </c>
    </row>
    <row r="1416" spans="1:16" ht="82.05" customHeight="1" x14ac:dyDescent="0.3">
      <c r="A1416" s="119" t="s">
        <v>3002</v>
      </c>
      <c r="B1416" s="119" t="s">
        <v>114</v>
      </c>
      <c r="C1416" s="119" t="s">
        <v>28</v>
      </c>
      <c r="D1416" s="119" t="s">
        <v>271</v>
      </c>
      <c r="E1416" s="120">
        <v>2932984</v>
      </c>
      <c r="F1416" s="120">
        <v>2932984</v>
      </c>
      <c r="G1416" s="120" t="s">
        <v>2033</v>
      </c>
      <c r="H1416" s="120">
        <f t="shared" si="48"/>
        <v>2932.9839999999999</v>
      </c>
      <c r="I1416" s="120">
        <f>FCCL!G34</f>
        <v>2932.9839999999999</v>
      </c>
      <c r="J1416" s="120">
        <f t="shared" si="49"/>
        <v>0</v>
      </c>
      <c r="K1416" s="119" t="s">
        <v>2925</v>
      </c>
      <c r="L1416" s="119">
        <v>245</v>
      </c>
      <c r="M1416" s="119" t="s">
        <v>1106</v>
      </c>
      <c r="N1416" s="122" t="s">
        <v>3564</v>
      </c>
      <c r="O1416" s="122" t="s">
        <v>3565</v>
      </c>
      <c r="P1416" s="122" t="s">
        <v>4924</v>
      </c>
    </row>
    <row r="1417" spans="1:16" ht="82.05" customHeight="1" x14ac:dyDescent="0.3">
      <c r="A1417" s="50" t="s">
        <v>3003</v>
      </c>
      <c r="B1417" s="50" t="s">
        <v>114</v>
      </c>
      <c r="C1417" s="50" t="s">
        <v>29</v>
      </c>
      <c r="D1417" s="50" t="s">
        <v>271</v>
      </c>
      <c r="E1417" s="121">
        <v>2665338</v>
      </c>
      <c r="F1417" s="121">
        <v>2665338</v>
      </c>
      <c r="G1417" s="121" t="s">
        <v>2033</v>
      </c>
      <c r="H1417" s="121">
        <f t="shared" si="48"/>
        <v>2665.3380000000002</v>
      </c>
      <c r="I1417" s="121">
        <f>FCCL!H34</f>
        <v>2665.3380000000002</v>
      </c>
      <c r="J1417" s="121">
        <f t="shared" si="49"/>
        <v>0</v>
      </c>
      <c r="K1417" s="50" t="s">
        <v>2925</v>
      </c>
      <c r="L1417" s="50">
        <v>245</v>
      </c>
      <c r="M1417" s="50" t="s">
        <v>1127</v>
      </c>
      <c r="N1417" s="68" t="s">
        <v>3564</v>
      </c>
      <c r="O1417" s="68" t="s">
        <v>3565</v>
      </c>
      <c r="P1417" s="68" t="s">
        <v>4925</v>
      </c>
    </row>
    <row r="1418" spans="1:16" ht="82.05" customHeight="1" x14ac:dyDescent="0.3">
      <c r="A1418" s="119" t="s">
        <v>3004</v>
      </c>
      <c r="B1418" s="119" t="s">
        <v>114</v>
      </c>
      <c r="C1418" s="119" t="s">
        <v>965</v>
      </c>
      <c r="D1418" s="119" t="s">
        <v>273</v>
      </c>
      <c r="E1418" s="120">
        <v>677946</v>
      </c>
      <c r="F1418" s="120">
        <v>677946</v>
      </c>
      <c r="G1418" s="120" t="s">
        <v>2033</v>
      </c>
      <c r="H1418" s="120">
        <f t="shared" si="48"/>
        <v>677.94600000000003</v>
      </c>
      <c r="I1418" s="120">
        <f>FCCL!C35</f>
        <v>677.94600000000003</v>
      </c>
      <c r="J1418" s="120">
        <f t="shared" si="49"/>
        <v>0</v>
      </c>
      <c r="K1418" s="119" t="s">
        <v>2916</v>
      </c>
      <c r="L1418" s="119">
        <v>165</v>
      </c>
      <c r="M1418" s="119" t="s">
        <v>1106</v>
      </c>
      <c r="N1418" s="122" t="s">
        <v>3602</v>
      </c>
      <c r="O1418" s="122" t="s">
        <v>3603</v>
      </c>
      <c r="P1418" s="122" t="s">
        <v>4926</v>
      </c>
    </row>
    <row r="1419" spans="1:16" ht="82.05" customHeight="1" x14ac:dyDescent="0.3">
      <c r="A1419" s="50" t="s">
        <v>3006</v>
      </c>
      <c r="B1419" s="50" t="s">
        <v>114</v>
      </c>
      <c r="C1419" s="50" t="s">
        <v>20</v>
      </c>
      <c r="D1419" s="50" t="s">
        <v>273</v>
      </c>
      <c r="E1419" s="121">
        <v>250703</v>
      </c>
      <c r="F1419" s="121">
        <v>250703</v>
      </c>
      <c r="G1419" s="121" t="s">
        <v>2033</v>
      </c>
      <c r="H1419" s="121">
        <f t="shared" si="48"/>
        <v>250.703</v>
      </c>
      <c r="I1419" s="121">
        <f>FCCL!D35</f>
        <v>250.703</v>
      </c>
      <c r="J1419" s="121">
        <f t="shared" si="49"/>
        <v>0</v>
      </c>
      <c r="K1419" s="50" t="s">
        <v>2918</v>
      </c>
      <c r="L1419" s="50">
        <v>187</v>
      </c>
      <c r="M1419" s="50" t="s">
        <v>1106</v>
      </c>
      <c r="N1419" s="68" t="s">
        <v>3602</v>
      </c>
      <c r="O1419" s="68" t="s">
        <v>3603</v>
      </c>
      <c r="P1419" s="68" t="s">
        <v>4927</v>
      </c>
    </row>
    <row r="1420" spans="1:16" ht="82.05" customHeight="1" x14ac:dyDescent="0.3">
      <c r="A1420" s="119" t="s">
        <v>3008</v>
      </c>
      <c r="B1420" s="119" t="s">
        <v>114</v>
      </c>
      <c r="C1420" s="119" t="s">
        <v>26</v>
      </c>
      <c r="D1420" s="119" t="s">
        <v>273</v>
      </c>
      <c r="E1420" s="120">
        <v>4017543</v>
      </c>
      <c r="F1420" s="120">
        <v>4017543</v>
      </c>
      <c r="G1420" s="120" t="s">
        <v>2033</v>
      </c>
      <c r="H1420" s="120">
        <f t="shared" si="48"/>
        <v>4017.5430000000001</v>
      </c>
      <c r="I1420" s="120">
        <f>FCCL!E35</f>
        <v>4017.5430000000001</v>
      </c>
      <c r="J1420" s="120">
        <f t="shared" si="49"/>
        <v>0</v>
      </c>
      <c r="K1420" s="119" t="s">
        <v>2920</v>
      </c>
      <c r="L1420" s="119">
        <v>209</v>
      </c>
      <c r="M1420" s="119" t="s">
        <v>1106</v>
      </c>
      <c r="N1420" s="122" t="s">
        <v>3602</v>
      </c>
      <c r="O1420" s="122" t="s">
        <v>3603</v>
      </c>
      <c r="P1420" s="122" t="s">
        <v>4928</v>
      </c>
    </row>
    <row r="1421" spans="1:16" ht="82.05" customHeight="1" x14ac:dyDescent="0.3">
      <c r="A1421" s="50" t="s">
        <v>3009</v>
      </c>
      <c r="B1421" s="50" t="s">
        <v>114</v>
      </c>
      <c r="C1421" s="50" t="s">
        <v>27</v>
      </c>
      <c r="D1421" s="50" t="s">
        <v>273</v>
      </c>
      <c r="E1421" s="121">
        <v>3218089</v>
      </c>
      <c r="F1421" s="121">
        <v>3218089</v>
      </c>
      <c r="G1421" s="121" t="s">
        <v>2033</v>
      </c>
      <c r="H1421" s="121">
        <f t="shared" si="48"/>
        <v>3218.0889999999999</v>
      </c>
      <c r="I1421" s="121">
        <f>FCCL!F35</f>
        <v>3218.0889999999999</v>
      </c>
      <c r="J1421" s="121">
        <f t="shared" si="49"/>
        <v>0</v>
      </c>
      <c r="K1421" s="50" t="s">
        <v>2923</v>
      </c>
      <c r="L1421" s="50">
        <v>191</v>
      </c>
      <c r="M1421" s="50" t="s">
        <v>1106</v>
      </c>
      <c r="N1421" s="68" t="s">
        <v>3602</v>
      </c>
      <c r="O1421" s="68" t="s">
        <v>3603</v>
      </c>
      <c r="P1421" s="68" t="s">
        <v>4929</v>
      </c>
    </row>
    <row r="1422" spans="1:16" ht="82.05" customHeight="1" x14ac:dyDescent="0.3">
      <c r="A1422" s="119" t="s">
        <v>3010</v>
      </c>
      <c r="B1422" s="119" t="s">
        <v>114</v>
      </c>
      <c r="C1422" s="119" t="s">
        <v>28</v>
      </c>
      <c r="D1422" s="119" t="s">
        <v>273</v>
      </c>
      <c r="E1422" s="120">
        <v>461011</v>
      </c>
      <c r="F1422" s="120">
        <v>461011</v>
      </c>
      <c r="G1422" s="120" t="s">
        <v>2033</v>
      </c>
      <c r="H1422" s="120">
        <f t="shared" si="48"/>
        <v>461.01100000000002</v>
      </c>
      <c r="I1422" s="120">
        <f>FCCL!G35</f>
        <v>461.01100000000002</v>
      </c>
      <c r="J1422" s="120">
        <f t="shared" si="49"/>
        <v>0</v>
      </c>
      <c r="K1422" s="119" t="s">
        <v>2925</v>
      </c>
      <c r="L1422" s="119">
        <v>245</v>
      </c>
      <c r="M1422" s="119" t="s">
        <v>1106</v>
      </c>
      <c r="N1422" s="122" t="s">
        <v>3602</v>
      </c>
      <c r="O1422" s="122" t="s">
        <v>3603</v>
      </c>
      <c r="P1422" s="122" t="s">
        <v>4930</v>
      </c>
    </row>
    <row r="1423" spans="1:16" ht="82.05" customHeight="1" x14ac:dyDescent="0.3">
      <c r="A1423" s="50" t="s">
        <v>3012</v>
      </c>
      <c r="B1423" s="50" t="s">
        <v>114</v>
      </c>
      <c r="C1423" s="50" t="s">
        <v>29</v>
      </c>
      <c r="D1423" s="50" t="s">
        <v>273</v>
      </c>
      <c r="E1423" s="121">
        <v>1971180</v>
      </c>
      <c r="F1423" s="121">
        <v>1971180</v>
      </c>
      <c r="G1423" s="121" t="s">
        <v>2033</v>
      </c>
      <c r="H1423" s="121">
        <f t="shared" si="48"/>
        <v>1971.18</v>
      </c>
      <c r="I1423" s="121">
        <f>FCCL!H35</f>
        <v>1971.18</v>
      </c>
      <c r="J1423" s="121">
        <f t="shared" si="49"/>
        <v>0</v>
      </c>
      <c r="K1423" s="50" t="s">
        <v>2925</v>
      </c>
      <c r="L1423" s="50">
        <v>245</v>
      </c>
      <c r="M1423" s="50" t="s">
        <v>1127</v>
      </c>
      <c r="N1423" s="68" t="s">
        <v>3602</v>
      </c>
      <c r="O1423" s="68" t="s">
        <v>3603</v>
      </c>
      <c r="P1423" s="68" t="s">
        <v>4930</v>
      </c>
    </row>
    <row r="1424" spans="1:16" ht="82.05" customHeight="1" x14ac:dyDescent="0.3">
      <c r="A1424" s="119" t="s">
        <v>3013</v>
      </c>
      <c r="B1424" s="119" t="s">
        <v>114</v>
      </c>
      <c r="C1424" s="119" t="s">
        <v>965</v>
      </c>
      <c r="D1424" s="119" t="s">
        <v>280</v>
      </c>
      <c r="E1424" s="120">
        <v>13798150</v>
      </c>
      <c r="F1424" s="120">
        <v>13798150</v>
      </c>
      <c r="G1424" s="120" t="s">
        <v>2033</v>
      </c>
      <c r="H1424" s="120">
        <f t="shared" si="48"/>
        <v>13798.15</v>
      </c>
      <c r="I1424" s="120">
        <f>FCCL!C39</f>
        <v>13798.15</v>
      </c>
      <c r="J1424" s="120">
        <f t="shared" si="49"/>
        <v>0</v>
      </c>
      <c r="K1424" s="119" t="s">
        <v>2916</v>
      </c>
      <c r="L1424" s="119">
        <v>164</v>
      </c>
      <c r="M1424" s="119" t="s">
        <v>1106</v>
      </c>
      <c r="N1424" s="122" t="s">
        <v>3564</v>
      </c>
      <c r="O1424" s="122" t="s">
        <v>3565</v>
      </c>
      <c r="P1424" s="122" t="s">
        <v>4931</v>
      </c>
    </row>
    <row r="1425" spans="1:16" ht="82.05" customHeight="1" x14ac:dyDescent="0.3">
      <c r="A1425" s="50" t="s">
        <v>3014</v>
      </c>
      <c r="B1425" s="50" t="s">
        <v>114</v>
      </c>
      <c r="C1425" s="50" t="s">
        <v>20</v>
      </c>
      <c r="D1425" s="50" t="s">
        <v>280</v>
      </c>
      <c r="E1425" s="121">
        <v>13798150</v>
      </c>
      <c r="F1425" s="121">
        <v>13798150</v>
      </c>
      <c r="G1425" s="121" t="s">
        <v>2033</v>
      </c>
      <c r="H1425" s="121">
        <f t="shared" si="48"/>
        <v>13798.15</v>
      </c>
      <c r="I1425" s="121">
        <f>FCCL!D39</f>
        <v>13798.15</v>
      </c>
      <c r="J1425" s="121">
        <f t="shared" si="49"/>
        <v>0</v>
      </c>
      <c r="K1425" s="50" t="s">
        <v>2918</v>
      </c>
      <c r="L1425" s="50">
        <v>186</v>
      </c>
      <c r="M1425" s="50" t="s">
        <v>1106</v>
      </c>
      <c r="N1425" s="68" t="s">
        <v>3564</v>
      </c>
      <c r="O1425" s="68" t="s">
        <v>3565</v>
      </c>
      <c r="P1425" s="68" t="s">
        <v>4932</v>
      </c>
    </row>
    <row r="1426" spans="1:16" ht="82.05" customHeight="1" x14ac:dyDescent="0.3">
      <c r="A1426" s="119" t="s">
        <v>3015</v>
      </c>
      <c r="B1426" s="119" t="s">
        <v>114</v>
      </c>
      <c r="C1426" s="119" t="s">
        <v>26</v>
      </c>
      <c r="D1426" s="119" t="s">
        <v>280</v>
      </c>
      <c r="E1426" s="120">
        <v>21803090</v>
      </c>
      <c r="F1426" s="120">
        <v>21803090</v>
      </c>
      <c r="G1426" s="120" t="s">
        <v>2033</v>
      </c>
      <c r="H1426" s="120">
        <f t="shared" si="48"/>
        <v>21803.09</v>
      </c>
      <c r="I1426" s="120">
        <f>FCCL!E39</f>
        <v>21803.09</v>
      </c>
      <c r="J1426" s="120">
        <f t="shared" si="49"/>
        <v>0</v>
      </c>
      <c r="K1426" s="119" t="s">
        <v>2920</v>
      </c>
      <c r="L1426" s="119">
        <v>208</v>
      </c>
      <c r="M1426" s="119" t="s">
        <v>1106</v>
      </c>
      <c r="N1426" s="122" t="s">
        <v>3564</v>
      </c>
      <c r="O1426" s="122" t="s">
        <v>3565</v>
      </c>
      <c r="P1426" s="122" t="s">
        <v>4933</v>
      </c>
    </row>
    <row r="1427" spans="1:16" ht="82.05" customHeight="1" x14ac:dyDescent="0.3">
      <c r="A1427" s="50" t="s">
        <v>3016</v>
      </c>
      <c r="B1427" s="50" t="s">
        <v>114</v>
      </c>
      <c r="C1427" s="50" t="s">
        <v>27</v>
      </c>
      <c r="D1427" s="50" t="s">
        <v>280</v>
      </c>
      <c r="E1427" s="121">
        <v>24528476</v>
      </c>
      <c r="F1427" s="121">
        <v>24528476</v>
      </c>
      <c r="G1427" s="121" t="s">
        <v>2033</v>
      </c>
      <c r="H1427" s="121">
        <f t="shared" si="48"/>
        <v>24528.475999999999</v>
      </c>
      <c r="I1427" s="121">
        <f>FCCL!F39</f>
        <v>24528.475999999999</v>
      </c>
      <c r="J1427" s="121">
        <f t="shared" si="49"/>
        <v>0</v>
      </c>
      <c r="K1427" s="50" t="s">
        <v>2923</v>
      </c>
      <c r="L1427" s="50">
        <v>190</v>
      </c>
      <c r="M1427" s="50" t="s">
        <v>1106</v>
      </c>
      <c r="N1427" s="68" t="s">
        <v>3564</v>
      </c>
      <c r="O1427" s="68" t="s">
        <v>3565</v>
      </c>
      <c r="P1427" s="68" t="s">
        <v>4934</v>
      </c>
    </row>
    <row r="1428" spans="1:16" ht="82.05" customHeight="1" x14ac:dyDescent="0.3">
      <c r="A1428" s="119" t="s">
        <v>3017</v>
      </c>
      <c r="B1428" s="119" t="s">
        <v>114</v>
      </c>
      <c r="C1428" s="119" t="s">
        <v>28</v>
      </c>
      <c r="D1428" s="119" t="s">
        <v>280</v>
      </c>
      <c r="E1428" s="120">
        <v>24528476</v>
      </c>
      <c r="F1428" s="120">
        <v>24528476</v>
      </c>
      <c r="G1428" s="120" t="s">
        <v>2033</v>
      </c>
      <c r="H1428" s="120">
        <f t="shared" si="48"/>
        <v>24528.475999999999</v>
      </c>
      <c r="I1428" s="120">
        <f>FCCL!G39</f>
        <v>24528.475999999999</v>
      </c>
      <c r="J1428" s="120">
        <f t="shared" si="49"/>
        <v>0</v>
      </c>
      <c r="K1428" s="119" t="s">
        <v>2925</v>
      </c>
      <c r="L1428" s="119">
        <v>244</v>
      </c>
      <c r="M1428" s="119" t="s">
        <v>1106</v>
      </c>
      <c r="N1428" s="122" t="s">
        <v>3564</v>
      </c>
      <c r="O1428" s="122" t="s">
        <v>3565</v>
      </c>
      <c r="P1428" s="122" t="s">
        <v>4935</v>
      </c>
    </row>
    <row r="1429" spans="1:16" ht="82.05" customHeight="1" x14ac:dyDescent="0.3">
      <c r="A1429" s="50" t="s">
        <v>3018</v>
      </c>
      <c r="B1429" s="50" t="s">
        <v>114</v>
      </c>
      <c r="C1429" s="50" t="s">
        <v>29</v>
      </c>
      <c r="D1429" s="50" t="s">
        <v>280</v>
      </c>
      <c r="E1429" s="121">
        <v>24528476</v>
      </c>
      <c r="F1429" s="121">
        <v>24528476</v>
      </c>
      <c r="G1429" s="121" t="s">
        <v>2033</v>
      </c>
      <c r="H1429" s="121">
        <f t="shared" si="48"/>
        <v>24528.475999999999</v>
      </c>
      <c r="I1429" s="121">
        <f>FCCL!H39</f>
        <v>24528.475999999999</v>
      </c>
      <c r="J1429" s="121">
        <f t="shared" si="49"/>
        <v>0</v>
      </c>
      <c r="K1429" s="50" t="s">
        <v>2925</v>
      </c>
      <c r="L1429" s="50">
        <v>244</v>
      </c>
      <c r="M1429" s="50" t="s">
        <v>1127</v>
      </c>
      <c r="N1429" s="68" t="s">
        <v>3564</v>
      </c>
      <c r="O1429" s="68" t="s">
        <v>3565</v>
      </c>
      <c r="P1429" s="68" t="s">
        <v>4935</v>
      </c>
    </row>
    <row r="1430" spans="1:16" ht="82.05" customHeight="1" x14ac:dyDescent="0.3">
      <c r="A1430" s="119" t="s">
        <v>3019</v>
      </c>
      <c r="B1430" s="119" t="s">
        <v>114</v>
      </c>
      <c r="C1430" s="119" t="s">
        <v>965</v>
      </c>
      <c r="D1430" s="119" t="s">
        <v>282</v>
      </c>
      <c r="E1430" s="120">
        <v>6006170</v>
      </c>
      <c r="F1430" s="120">
        <v>6006170</v>
      </c>
      <c r="G1430" s="120" t="s">
        <v>2033</v>
      </c>
      <c r="H1430" s="120">
        <f t="shared" si="48"/>
        <v>6006.17</v>
      </c>
      <c r="I1430" s="120">
        <f>FCCL!C40</f>
        <v>6006.17</v>
      </c>
      <c r="J1430" s="120">
        <f t="shared" si="49"/>
        <v>0</v>
      </c>
      <c r="K1430" s="119" t="s">
        <v>2916</v>
      </c>
      <c r="L1430" s="119">
        <v>164</v>
      </c>
      <c r="M1430" s="119" t="s">
        <v>1106</v>
      </c>
      <c r="N1430" s="122" t="s">
        <v>3602</v>
      </c>
      <c r="O1430" s="122" t="s">
        <v>3603</v>
      </c>
      <c r="P1430" s="122" t="s">
        <v>4936</v>
      </c>
    </row>
    <row r="1431" spans="1:16" ht="82.05" customHeight="1" x14ac:dyDescent="0.3">
      <c r="A1431" s="50" t="s">
        <v>3021</v>
      </c>
      <c r="B1431" s="50" t="s">
        <v>114</v>
      </c>
      <c r="C1431" s="50" t="s">
        <v>20</v>
      </c>
      <c r="D1431" s="50" t="s">
        <v>282</v>
      </c>
      <c r="E1431" s="121">
        <v>9477521</v>
      </c>
      <c r="F1431" s="121">
        <v>9477521</v>
      </c>
      <c r="G1431" s="121" t="s">
        <v>2033</v>
      </c>
      <c r="H1431" s="121">
        <f t="shared" si="48"/>
        <v>9477.5210000000006</v>
      </c>
      <c r="I1431" s="121">
        <f>FCCL!D40</f>
        <v>9477.5210000000006</v>
      </c>
      <c r="J1431" s="121">
        <f t="shared" si="49"/>
        <v>0</v>
      </c>
      <c r="K1431" s="50" t="s">
        <v>2918</v>
      </c>
      <c r="L1431" s="50">
        <v>186</v>
      </c>
      <c r="M1431" s="50" t="s">
        <v>1106</v>
      </c>
      <c r="N1431" s="68" t="s">
        <v>3602</v>
      </c>
      <c r="O1431" s="68" t="s">
        <v>3603</v>
      </c>
      <c r="P1431" s="68" t="s">
        <v>4937</v>
      </c>
    </row>
    <row r="1432" spans="1:16" ht="82.05" customHeight="1" x14ac:dyDescent="0.3">
      <c r="A1432" s="119" t="s">
        <v>3023</v>
      </c>
      <c r="B1432" s="119" t="s">
        <v>114</v>
      </c>
      <c r="C1432" s="119" t="s">
        <v>26</v>
      </c>
      <c r="D1432" s="119" t="s">
        <v>282</v>
      </c>
      <c r="E1432" s="120">
        <v>35932966</v>
      </c>
      <c r="F1432" s="120">
        <v>35932966</v>
      </c>
      <c r="G1432" s="120" t="s">
        <v>2033</v>
      </c>
      <c r="H1432" s="120">
        <f t="shared" si="48"/>
        <v>35932.966</v>
      </c>
      <c r="I1432" s="120">
        <f>FCCL!E40</f>
        <v>35932.966</v>
      </c>
      <c r="J1432" s="120">
        <f t="shared" si="49"/>
        <v>0</v>
      </c>
      <c r="K1432" s="119" t="s">
        <v>2920</v>
      </c>
      <c r="L1432" s="119">
        <v>208</v>
      </c>
      <c r="M1432" s="119" t="s">
        <v>1106</v>
      </c>
      <c r="N1432" s="122" t="s">
        <v>3602</v>
      </c>
      <c r="O1432" s="122" t="s">
        <v>3603</v>
      </c>
      <c r="P1432" s="122" t="s">
        <v>4938</v>
      </c>
    </row>
    <row r="1433" spans="1:16" ht="82.05" customHeight="1" x14ac:dyDescent="0.3">
      <c r="A1433" s="50" t="s">
        <v>3025</v>
      </c>
      <c r="B1433" s="50" t="s">
        <v>114</v>
      </c>
      <c r="C1433" s="50" t="s">
        <v>27</v>
      </c>
      <c r="D1433" s="50" t="s">
        <v>282</v>
      </c>
      <c r="E1433" s="121">
        <v>40647261</v>
      </c>
      <c r="F1433" s="121">
        <v>40647261</v>
      </c>
      <c r="G1433" s="121" t="s">
        <v>2033</v>
      </c>
      <c r="H1433" s="121">
        <f t="shared" si="48"/>
        <v>40647.260999999999</v>
      </c>
      <c r="I1433" s="121">
        <f>FCCL!F40</f>
        <v>40647.260999999999</v>
      </c>
      <c r="J1433" s="121">
        <f t="shared" si="49"/>
        <v>0</v>
      </c>
      <c r="K1433" s="50" t="s">
        <v>2923</v>
      </c>
      <c r="L1433" s="50">
        <v>190</v>
      </c>
      <c r="M1433" s="50" t="s">
        <v>1106</v>
      </c>
      <c r="N1433" s="68" t="s">
        <v>3602</v>
      </c>
      <c r="O1433" s="68" t="s">
        <v>3603</v>
      </c>
      <c r="P1433" s="68" t="s">
        <v>4939</v>
      </c>
    </row>
    <row r="1434" spans="1:16" ht="82.05" customHeight="1" x14ac:dyDescent="0.3">
      <c r="A1434" s="119" t="s">
        <v>3027</v>
      </c>
      <c r="B1434" s="119" t="s">
        <v>114</v>
      </c>
      <c r="C1434" s="119" t="s">
        <v>28</v>
      </c>
      <c r="D1434" s="119" t="s">
        <v>282</v>
      </c>
      <c r="E1434" s="120">
        <v>48870377</v>
      </c>
      <c r="F1434" s="120">
        <v>48870377</v>
      </c>
      <c r="G1434" s="120" t="s">
        <v>2033</v>
      </c>
      <c r="H1434" s="120">
        <f t="shared" si="48"/>
        <v>48870.377</v>
      </c>
      <c r="I1434" s="120">
        <f>FCCL!G40</f>
        <v>48870.377</v>
      </c>
      <c r="J1434" s="120">
        <f t="shared" si="49"/>
        <v>0</v>
      </c>
      <c r="K1434" s="119" t="s">
        <v>2925</v>
      </c>
      <c r="L1434" s="119">
        <v>244</v>
      </c>
      <c r="M1434" s="119" t="s">
        <v>1106</v>
      </c>
      <c r="N1434" s="122" t="s">
        <v>3602</v>
      </c>
      <c r="O1434" s="122" t="s">
        <v>3603</v>
      </c>
      <c r="P1434" s="122" t="s">
        <v>4940</v>
      </c>
    </row>
    <row r="1435" spans="1:16" ht="82.05" customHeight="1" x14ac:dyDescent="0.3">
      <c r="A1435" s="50" t="s">
        <v>3028</v>
      </c>
      <c r="B1435" s="50" t="s">
        <v>114</v>
      </c>
      <c r="C1435" s="50" t="s">
        <v>29</v>
      </c>
      <c r="D1435" s="50" t="s">
        <v>282</v>
      </c>
      <c r="E1435" s="121">
        <v>59743732</v>
      </c>
      <c r="F1435" s="121">
        <v>59743732</v>
      </c>
      <c r="G1435" s="121" t="s">
        <v>2033</v>
      </c>
      <c r="H1435" s="121">
        <f t="shared" si="48"/>
        <v>59743.732000000004</v>
      </c>
      <c r="I1435" s="121">
        <f>FCCL!H40</f>
        <v>59743.732000000004</v>
      </c>
      <c r="J1435" s="121">
        <f t="shared" si="49"/>
        <v>0</v>
      </c>
      <c r="K1435" s="50" t="s">
        <v>2925</v>
      </c>
      <c r="L1435" s="50">
        <v>244</v>
      </c>
      <c r="M1435" s="50" t="s">
        <v>1127</v>
      </c>
      <c r="N1435" s="68" t="s">
        <v>3602</v>
      </c>
      <c r="O1435" s="68" t="s">
        <v>3603</v>
      </c>
      <c r="P1435" s="68" t="s">
        <v>4940</v>
      </c>
    </row>
    <row r="1436" spans="1:16" ht="82.05" customHeight="1" x14ac:dyDescent="0.3">
      <c r="A1436" s="119" t="s">
        <v>3029</v>
      </c>
      <c r="B1436" s="119" t="s">
        <v>114</v>
      </c>
      <c r="C1436" s="119" t="s">
        <v>965</v>
      </c>
      <c r="D1436" s="119" t="s">
        <v>287</v>
      </c>
      <c r="E1436" s="120">
        <v>447327</v>
      </c>
      <c r="F1436" s="120">
        <v>447327</v>
      </c>
      <c r="G1436" s="120" t="s">
        <v>2033</v>
      </c>
      <c r="H1436" s="120">
        <f t="shared" si="48"/>
        <v>447.327</v>
      </c>
      <c r="I1436" s="120">
        <f>FCCL!C43</f>
        <v>447.327</v>
      </c>
      <c r="J1436" s="120">
        <f t="shared" si="49"/>
        <v>0</v>
      </c>
      <c r="K1436" s="119" t="s">
        <v>2916</v>
      </c>
      <c r="L1436" s="119">
        <v>164</v>
      </c>
      <c r="M1436" s="119" t="s">
        <v>1106</v>
      </c>
      <c r="N1436" s="122" t="s">
        <v>3564</v>
      </c>
      <c r="O1436" s="122" t="s">
        <v>3565</v>
      </c>
      <c r="P1436" s="122" t="s">
        <v>4941</v>
      </c>
    </row>
    <row r="1437" spans="1:16" ht="82.05" customHeight="1" x14ac:dyDescent="0.3">
      <c r="A1437" s="50" t="s">
        <v>3031</v>
      </c>
      <c r="B1437" s="50" t="s">
        <v>114</v>
      </c>
      <c r="C1437" s="50" t="s">
        <v>20</v>
      </c>
      <c r="D1437" s="50" t="s">
        <v>287</v>
      </c>
      <c r="E1437" s="121">
        <v>491502</v>
      </c>
      <c r="F1437" s="121">
        <v>491502</v>
      </c>
      <c r="G1437" s="121" t="s">
        <v>2033</v>
      </c>
      <c r="H1437" s="121">
        <f t="shared" si="48"/>
        <v>491.50200000000001</v>
      </c>
      <c r="I1437" s="121">
        <f>FCCL!D43</f>
        <v>491.50200000000001</v>
      </c>
      <c r="J1437" s="121">
        <f t="shared" si="49"/>
        <v>0</v>
      </c>
      <c r="K1437" s="50" t="s">
        <v>2918</v>
      </c>
      <c r="L1437" s="50">
        <v>186</v>
      </c>
      <c r="M1437" s="50" t="s">
        <v>1106</v>
      </c>
      <c r="N1437" s="68" t="s">
        <v>3564</v>
      </c>
      <c r="O1437" s="68" t="s">
        <v>3565</v>
      </c>
      <c r="P1437" s="68" t="s">
        <v>4942</v>
      </c>
    </row>
    <row r="1438" spans="1:16" ht="82.05" customHeight="1" x14ac:dyDescent="0.3">
      <c r="A1438" s="119" t="s">
        <v>3032</v>
      </c>
      <c r="B1438" s="119" t="s">
        <v>114</v>
      </c>
      <c r="C1438" s="119" t="s">
        <v>26</v>
      </c>
      <c r="D1438" s="119" t="s">
        <v>287</v>
      </c>
      <c r="E1438" s="120">
        <v>19555997</v>
      </c>
      <c r="F1438" s="120">
        <v>19555997</v>
      </c>
      <c r="G1438" s="120" t="s">
        <v>2033</v>
      </c>
      <c r="H1438" s="120">
        <f t="shared" si="48"/>
        <v>19555.996999999999</v>
      </c>
      <c r="I1438" s="120">
        <f>FCCL!E43</f>
        <v>19555.996999999999</v>
      </c>
      <c r="J1438" s="120">
        <f t="shared" si="49"/>
        <v>0</v>
      </c>
      <c r="K1438" s="119" t="s">
        <v>2920</v>
      </c>
      <c r="L1438" s="119">
        <v>208</v>
      </c>
      <c r="M1438" s="119" t="s">
        <v>1106</v>
      </c>
      <c r="N1438" s="122" t="s">
        <v>3564</v>
      </c>
      <c r="O1438" s="122" t="s">
        <v>3565</v>
      </c>
      <c r="P1438" s="122" t="s">
        <v>4943</v>
      </c>
    </row>
    <row r="1439" spans="1:16" ht="82.05" customHeight="1" x14ac:dyDescent="0.3">
      <c r="A1439" s="50" t="s">
        <v>3033</v>
      </c>
      <c r="B1439" s="50" t="s">
        <v>114</v>
      </c>
      <c r="C1439" s="50" t="s">
        <v>27</v>
      </c>
      <c r="D1439" s="50" t="s">
        <v>287</v>
      </c>
      <c r="E1439" s="121">
        <v>31777087</v>
      </c>
      <c r="F1439" s="121">
        <v>31777087</v>
      </c>
      <c r="G1439" s="121" t="s">
        <v>2033</v>
      </c>
      <c r="H1439" s="121">
        <f t="shared" si="48"/>
        <v>31777.087</v>
      </c>
      <c r="I1439" s="121">
        <f>FCCL!F43</f>
        <v>31777.087</v>
      </c>
      <c r="J1439" s="121">
        <f t="shared" si="49"/>
        <v>0</v>
      </c>
      <c r="K1439" s="50" t="s">
        <v>2923</v>
      </c>
      <c r="L1439" s="50">
        <v>190</v>
      </c>
      <c r="M1439" s="50" t="s">
        <v>1106</v>
      </c>
      <c r="N1439" s="68" t="s">
        <v>3564</v>
      </c>
      <c r="O1439" s="68" t="s">
        <v>3565</v>
      </c>
      <c r="P1439" s="68" t="s">
        <v>4944</v>
      </c>
    </row>
    <row r="1440" spans="1:16" ht="82.05" customHeight="1" x14ac:dyDescent="0.3">
      <c r="A1440" s="119" t="s">
        <v>3034</v>
      </c>
      <c r="B1440" s="119" t="s">
        <v>114</v>
      </c>
      <c r="C1440" s="119" t="s">
        <v>28</v>
      </c>
      <c r="D1440" s="119" t="s">
        <v>287</v>
      </c>
      <c r="E1440" s="120">
        <v>29908287</v>
      </c>
      <c r="F1440" s="120">
        <v>29908287</v>
      </c>
      <c r="G1440" s="120" t="s">
        <v>2033</v>
      </c>
      <c r="H1440" s="120">
        <f t="shared" si="48"/>
        <v>29908.287</v>
      </c>
      <c r="I1440" s="120">
        <f>FCCL!G43</f>
        <v>29908.287</v>
      </c>
      <c r="J1440" s="120">
        <f t="shared" si="49"/>
        <v>0</v>
      </c>
      <c r="K1440" s="119" t="s">
        <v>2925</v>
      </c>
      <c r="L1440" s="119">
        <v>244</v>
      </c>
      <c r="M1440" s="119" t="s">
        <v>1106</v>
      </c>
      <c r="N1440" s="122" t="s">
        <v>3564</v>
      </c>
      <c r="O1440" s="122" t="s">
        <v>3565</v>
      </c>
      <c r="P1440" s="122" t="s">
        <v>4945</v>
      </c>
    </row>
    <row r="1441" spans="1:16" ht="82.05" customHeight="1" x14ac:dyDescent="0.3">
      <c r="A1441" s="50" t="s">
        <v>3035</v>
      </c>
      <c r="B1441" s="50" t="s">
        <v>114</v>
      </c>
      <c r="C1441" s="50" t="s">
        <v>29</v>
      </c>
      <c r="D1441" s="50" t="s">
        <v>287</v>
      </c>
      <c r="E1441" s="121">
        <v>24208633</v>
      </c>
      <c r="F1441" s="121">
        <v>24208633</v>
      </c>
      <c r="G1441" s="121" t="s">
        <v>2033</v>
      </c>
      <c r="H1441" s="121">
        <f t="shared" si="48"/>
        <v>24208.633000000002</v>
      </c>
      <c r="I1441" s="121">
        <f>FCCL!H43</f>
        <v>24208.633000000002</v>
      </c>
      <c r="J1441" s="121">
        <f t="shared" si="49"/>
        <v>0</v>
      </c>
      <c r="K1441" s="50" t="s">
        <v>2925</v>
      </c>
      <c r="L1441" s="50">
        <v>244</v>
      </c>
      <c r="M1441" s="50" t="s">
        <v>1127</v>
      </c>
      <c r="N1441" s="68" t="s">
        <v>3564</v>
      </c>
      <c r="O1441" s="68" t="s">
        <v>3565</v>
      </c>
      <c r="P1441" s="68" t="s">
        <v>4946</v>
      </c>
    </row>
    <row r="1442" spans="1:16" ht="82.05" customHeight="1" x14ac:dyDescent="0.3">
      <c r="A1442" s="119" t="s">
        <v>3036</v>
      </c>
      <c r="B1442" s="119" t="s">
        <v>114</v>
      </c>
      <c r="C1442" s="119" t="s">
        <v>965</v>
      </c>
      <c r="D1442" s="119" t="s">
        <v>289</v>
      </c>
      <c r="E1442" s="120">
        <v>57656</v>
      </c>
      <c r="F1442" s="120">
        <v>57656</v>
      </c>
      <c r="G1442" s="120" t="s">
        <v>2033</v>
      </c>
      <c r="H1442" s="120">
        <f t="shared" si="48"/>
        <v>57.655999999999999</v>
      </c>
      <c r="I1442" s="120">
        <f>FCCL!C44</f>
        <v>57.655999999999999</v>
      </c>
      <c r="J1442" s="120">
        <f t="shared" si="49"/>
        <v>0</v>
      </c>
      <c r="K1442" s="119" t="s">
        <v>2916</v>
      </c>
      <c r="L1442" s="119">
        <v>164</v>
      </c>
      <c r="M1442" s="119" t="s">
        <v>1106</v>
      </c>
      <c r="N1442" s="122" t="s">
        <v>3564</v>
      </c>
      <c r="O1442" s="122" t="s">
        <v>3565</v>
      </c>
      <c r="P1442" s="122" t="s">
        <v>4947</v>
      </c>
    </row>
    <row r="1443" spans="1:16" ht="82.05" customHeight="1" x14ac:dyDescent="0.3">
      <c r="A1443" s="50" t="s">
        <v>3038</v>
      </c>
      <c r="B1443" s="50" t="s">
        <v>114</v>
      </c>
      <c r="C1443" s="50" t="s">
        <v>20</v>
      </c>
      <c r="D1443" s="50" t="s">
        <v>289</v>
      </c>
      <c r="E1443" s="121">
        <v>73593</v>
      </c>
      <c r="F1443" s="121">
        <v>73593</v>
      </c>
      <c r="G1443" s="121" t="s">
        <v>2033</v>
      </c>
      <c r="H1443" s="121">
        <f t="shared" si="48"/>
        <v>73.593000000000004</v>
      </c>
      <c r="I1443" s="121">
        <f>FCCL!D44</f>
        <v>73.593000000000004</v>
      </c>
      <c r="J1443" s="121">
        <f t="shared" si="49"/>
        <v>0</v>
      </c>
      <c r="K1443" s="50" t="s">
        <v>2918</v>
      </c>
      <c r="L1443" s="50">
        <v>186</v>
      </c>
      <c r="M1443" s="50" t="s">
        <v>1106</v>
      </c>
      <c r="N1443" s="68" t="s">
        <v>3564</v>
      </c>
      <c r="O1443" s="68" t="s">
        <v>3565</v>
      </c>
      <c r="P1443" s="68" t="s">
        <v>4948</v>
      </c>
    </row>
    <row r="1444" spans="1:16" ht="82.05" customHeight="1" x14ac:dyDescent="0.3">
      <c r="A1444" s="119" t="s">
        <v>3039</v>
      </c>
      <c r="B1444" s="119" t="s">
        <v>114</v>
      </c>
      <c r="C1444" s="119" t="s">
        <v>26</v>
      </c>
      <c r="D1444" s="119" t="s">
        <v>289</v>
      </c>
      <c r="E1444" s="120">
        <v>89965</v>
      </c>
      <c r="F1444" s="120">
        <v>89965</v>
      </c>
      <c r="G1444" s="120" t="s">
        <v>2033</v>
      </c>
      <c r="H1444" s="120">
        <f t="shared" si="48"/>
        <v>89.965000000000003</v>
      </c>
      <c r="I1444" s="120">
        <f>FCCL!E44</f>
        <v>89.965000000000003</v>
      </c>
      <c r="J1444" s="120">
        <f t="shared" si="49"/>
        <v>0</v>
      </c>
      <c r="K1444" s="119" t="s">
        <v>2920</v>
      </c>
      <c r="L1444" s="119">
        <v>208</v>
      </c>
      <c r="M1444" s="119" t="s">
        <v>1106</v>
      </c>
      <c r="N1444" s="122" t="s">
        <v>3564</v>
      </c>
      <c r="O1444" s="122" t="s">
        <v>3565</v>
      </c>
      <c r="P1444" s="122" t="s">
        <v>4949</v>
      </c>
    </row>
    <row r="1445" spans="1:16" ht="82.05" customHeight="1" x14ac:dyDescent="0.3">
      <c r="A1445" s="50" t="s">
        <v>3040</v>
      </c>
      <c r="B1445" s="50" t="s">
        <v>114</v>
      </c>
      <c r="C1445" s="50" t="s">
        <v>27</v>
      </c>
      <c r="D1445" s="50" t="s">
        <v>289</v>
      </c>
      <c r="E1445" s="121">
        <v>118972</v>
      </c>
      <c r="F1445" s="121">
        <v>118972</v>
      </c>
      <c r="G1445" s="121" t="s">
        <v>2033</v>
      </c>
      <c r="H1445" s="121">
        <f t="shared" si="48"/>
        <v>118.97199999999999</v>
      </c>
      <c r="I1445" s="121">
        <f>FCCL!F44</f>
        <v>118.97199999999999</v>
      </c>
      <c r="J1445" s="121">
        <f t="shared" si="49"/>
        <v>0</v>
      </c>
      <c r="K1445" s="50" t="s">
        <v>2923</v>
      </c>
      <c r="L1445" s="50">
        <v>190</v>
      </c>
      <c r="M1445" s="50" t="s">
        <v>1106</v>
      </c>
      <c r="N1445" s="68" t="s">
        <v>3564</v>
      </c>
      <c r="O1445" s="68" t="s">
        <v>3565</v>
      </c>
      <c r="P1445" s="68" t="s">
        <v>4950</v>
      </c>
    </row>
    <row r="1446" spans="1:16" ht="82.05" customHeight="1" x14ac:dyDescent="0.3">
      <c r="A1446" s="119" t="s">
        <v>3041</v>
      </c>
      <c r="B1446" s="119" t="s">
        <v>114</v>
      </c>
      <c r="C1446" s="119" t="s">
        <v>28</v>
      </c>
      <c r="D1446" s="119" t="s">
        <v>289</v>
      </c>
      <c r="E1446" s="120">
        <v>117454</v>
      </c>
      <c r="F1446" s="120">
        <v>117454</v>
      </c>
      <c r="G1446" s="120" t="s">
        <v>2033</v>
      </c>
      <c r="H1446" s="120">
        <f t="shared" si="48"/>
        <v>117.45399999999999</v>
      </c>
      <c r="I1446" s="120">
        <f>FCCL!G44</f>
        <v>117.45399999999999</v>
      </c>
      <c r="J1446" s="120">
        <f t="shared" si="49"/>
        <v>0</v>
      </c>
      <c r="K1446" s="119" t="s">
        <v>2925</v>
      </c>
      <c r="L1446" s="119">
        <v>244</v>
      </c>
      <c r="M1446" s="119" t="s">
        <v>1106</v>
      </c>
      <c r="N1446" s="122" t="s">
        <v>3564</v>
      </c>
      <c r="O1446" s="122" t="s">
        <v>3565</v>
      </c>
      <c r="P1446" s="122" t="s">
        <v>4951</v>
      </c>
    </row>
    <row r="1447" spans="1:16" ht="82.05" customHeight="1" x14ac:dyDescent="0.3">
      <c r="A1447" s="50" t="s">
        <v>3042</v>
      </c>
      <c r="B1447" s="50" t="s">
        <v>114</v>
      </c>
      <c r="C1447" s="50" t="s">
        <v>29</v>
      </c>
      <c r="D1447" s="50" t="s">
        <v>289</v>
      </c>
      <c r="E1447" s="121">
        <v>101211</v>
      </c>
      <c r="F1447" s="121">
        <v>101211</v>
      </c>
      <c r="G1447" s="121" t="s">
        <v>2033</v>
      </c>
      <c r="H1447" s="121">
        <f t="shared" si="48"/>
        <v>101.211</v>
      </c>
      <c r="I1447" s="121">
        <f>FCCL!H44</f>
        <v>101.211</v>
      </c>
      <c r="J1447" s="121">
        <f t="shared" si="49"/>
        <v>0</v>
      </c>
      <c r="K1447" s="50" t="s">
        <v>2925</v>
      </c>
      <c r="L1447" s="50">
        <v>244</v>
      </c>
      <c r="M1447" s="50" t="s">
        <v>1127</v>
      </c>
      <c r="N1447" s="68" t="s">
        <v>3564</v>
      </c>
      <c r="O1447" s="68" t="s">
        <v>3565</v>
      </c>
      <c r="P1447" s="68" t="s">
        <v>4952</v>
      </c>
    </row>
    <row r="1448" spans="1:16" ht="82.05" customHeight="1" x14ac:dyDescent="0.3">
      <c r="A1448" s="119" t="s">
        <v>3043</v>
      </c>
      <c r="B1448" s="119" t="s">
        <v>114</v>
      </c>
      <c r="C1448" s="119" t="s">
        <v>965</v>
      </c>
      <c r="D1448" s="119" t="s">
        <v>291</v>
      </c>
      <c r="E1448" s="120">
        <v>0</v>
      </c>
      <c r="F1448" s="120">
        <v>0</v>
      </c>
      <c r="G1448" s="120" t="s">
        <v>2033</v>
      </c>
      <c r="H1448" s="120">
        <f t="shared" si="48"/>
        <v>0</v>
      </c>
      <c r="I1448" s="120">
        <f>FCCL!C45</f>
        <v>0</v>
      </c>
      <c r="J1448" s="120">
        <f t="shared" si="49"/>
        <v>0</v>
      </c>
      <c r="K1448" s="119" t="s">
        <v>2916</v>
      </c>
      <c r="L1448" s="119">
        <v>164</v>
      </c>
      <c r="M1448" s="119" t="s">
        <v>1106</v>
      </c>
      <c r="N1448" s="122" t="s">
        <v>3578</v>
      </c>
      <c r="O1448" s="122" t="s">
        <v>3579</v>
      </c>
      <c r="P1448" s="122" t="s">
        <v>4953</v>
      </c>
    </row>
    <row r="1449" spans="1:16" ht="82.05" customHeight="1" x14ac:dyDescent="0.3">
      <c r="A1449" s="50" t="s">
        <v>3044</v>
      </c>
      <c r="B1449" s="50" t="s">
        <v>114</v>
      </c>
      <c r="C1449" s="50" t="s">
        <v>20</v>
      </c>
      <c r="D1449" s="50" t="s">
        <v>291</v>
      </c>
      <c r="E1449" s="121">
        <v>6607</v>
      </c>
      <c r="F1449" s="121">
        <v>6607</v>
      </c>
      <c r="G1449" s="121" t="s">
        <v>2033</v>
      </c>
      <c r="H1449" s="121">
        <f t="shared" si="48"/>
        <v>6.6070000000000002</v>
      </c>
      <c r="I1449" s="121">
        <f>FCCL!D45</f>
        <v>6.6070000000000002</v>
      </c>
      <c r="J1449" s="121">
        <f t="shared" si="49"/>
        <v>0</v>
      </c>
      <c r="K1449" s="50" t="s">
        <v>2918</v>
      </c>
      <c r="L1449" s="50">
        <v>186</v>
      </c>
      <c r="M1449" s="50" t="s">
        <v>1106</v>
      </c>
      <c r="N1449" s="68" t="s">
        <v>3564</v>
      </c>
      <c r="O1449" s="68" t="s">
        <v>3565</v>
      </c>
      <c r="P1449" s="68" t="s">
        <v>4954</v>
      </c>
    </row>
    <row r="1450" spans="1:16" ht="82.05" customHeight="1" x14ac:dyDescent="0.3">
      <c r="A1450" s="119" t="s">
        <v>3045</v>
      </c>
      <c r="B1450" s="119" t="s">
        <v>114</v>
      </c>
      <c r="C1450" s="119" t="s">
        <v>26</v>
      </c>
      <c r="D1450" s="119" t="s">
        <v>291</v>
      </c>
      <c r="E1450" s="120">
        <v>1982301</v>
      </c>
      <c r="F1450" s="120">
        <v>1982301</v>
      </c>
      <c r="G1450" s="120" t="s">
        <v>2033</v>
      </c>
      <c r="H1450" s="120">
        <f t="shared" si="48"/>
        <v>1982.3009999999999</v>
      </c>
      <c r="I1450" s="120">
        <f>FCCL!E45</f>
        <v>1982.3009999999999</v>
      </c>
      <c r="J1450" s="120">
        <f t="shared" si="49"/>
        <v>0</v>
      </c>
      <c r="K1450" s="119" t="s">
        <v>2920</v>
      </c>
      <c r="L1450" s="119">
        <v>208</v>
      </c>
      <c r="M1450" s="119" t="s">
        <v>1106</v>
      </c>
      <c r="N1450" s="122" t="s">
        <v>3564</v>
      </c>
      <c r="O1450" s="122" t="s">
        <v>3565</v>
      </c>
      <c r="P1450" s="122" t="s">
        <v>4955</v>
      </c>
    </row>
    <row r="1451" spans="1:16" ht="82.05" customHeight="1" x14ac:dyDescent="0.3">
      <c r="A1451" s="50" t="s">
        <v>3046</v>
      </c>
      <c r="B1451" s="50" t="s">
        <v>114</v>
      </c>
      <c r="C1451" s="50" t="s">
        <v>27</v>
      </c>
      <c r="D1451" s="50" t="s">
        <v>291</v>
      </c>
      <c r="E1451" s="121">
        <v>2745849</v>
      </c>
      <c r="F1451" s="121">
        <v>2745849</v>
      </c>
      <c r="G1451" s="121" t="s">
        <v>2033</v>
      </c>
      <c r="H1451" s="121">
        <f t="shared" si="48"/>
        <v>2745.8490000000002</v>
      </c>
      <c r="I1451" s="121">
        <f>FCCL!F45</f>
        <v>2745.8490000000002</v>
      </c>
      <c r="J1451" s="121">
        <f t="shared" si="49"/>
        <v>0</v>
      </c>
      <c r="K1451" s="50" t="s">
        <v>2923</v>
      </c>
      <c r="L1451" s="50">
        <v>190</v>
      </c>
      <c r="M1451" s="50" t="s">
        <v>1106</v>
      </c>
      <c r="N1451" s="68" t="s">
        <v>3564</v>
      </c>
      <c r="O1451" s="68" t="s">
        <v>3565</v>
      </c>
      <c r="P1451" s="68" t="s">
        <v>4956</v>
      </c>
    </row>
    <row r="1452" spans="1:16" ht="82.05" customHeight="1" x14ac:dyDescent="0.3">
      <c r="A1452" s="119" t="s">
        <v>3047</v>
      </c>
      <c r="B1452" s="119" t="s">
        <v>114</v>
      </c>
      <c r="C1452" s="119" t="s">
        <v>28</v>
      </c>
      <c r="D1452" s="119" t="s">
        <v>291</v>
      </c>
      <c r="E1452" s="120">
        <v>2164959</v>
      </c>
      <c r="F1452" s="120">
        <v>2164959</v>
      </c>
      <c r="G1452" s="120" t="s">
        <v>2033</v>
      </c>
      <c r="H1452" s="120">
        <f t="shared" si="48"/>
        <v>2164.9589999999998</v>
      </c>
      <c r="I1452" s="120">
        <f>FCCL!G45</f>
        <v>2164.9589999999998</v>
      </c>
      <c r="J1452" s="120">
        <f t="shared" si="49"/>
        <v>0</v>
      </c>
      <c r="K1452" s="119" t="s">
        <v>2925</v>
      </c>
      <c r="L1452" s="119">
        <v>244</v>
      </c>
      <c r="M1452" s="119" t="s">
        <v>1106</v>
      </c>
      <c r="N1452" s="122" t="s">
        <v>3564</v>
      </c>
      <c r="O1452" s="122" t="s">
        <v>3565</v>
      </c>
      <c r="P1452" s="122" t="s">
        <v>4957</v>
      </c>
    </row>
    <row r="1453" spans="1:16" ht="82.05" customHeight="1" x14ac:dyDescent="0.3">
      <c r="A1453" s="50" t="s">
        <v>3048</v>
      </c>
      <c r="B1453" s="50" t="s">
        <v>114</v>
      </c>
      <c r="C1453" s="50" t="s">
        <v>29</v>
      </c>
      <c r="D1453" s="50" t="s">
        <v>291</v>
      </c>
      <c r="E1453" s="121">
        <v>1647630</v>
      </c>
      <c r="F1453" s="121">
        <v>1647630</v>
      </c>
      <c r="G1453" s="121" t="s">
        <v>2033</v>
      </c>
      <c r="H1453" s="121">
        <f t="shared" si="48"/>
        <v>1647.63</v>
      </c>
      <c r="I1453" s="121">
        <f>FCCL!H45</f>
        <v>1647.63</v>
      </c>
      <c r="J1453" s="121">
        <f t="shared" si="49"/>
        <v>0</v>
      </c>
      <c r="K1453" s="50" t="s">
        <v>2925</v>
      </c>
      <c r="L1453" s="50">
        <v>244</v>
      </c>
      <c r="M1453" s="50" t="s">
        <v>1127</v>
      </c>
      <c r="N1453" s="68" t="s">
        <v>3564</v>
      </c>
      <c r="O1453" s="68" t="s">
        <v>3565</v>
      </c>
      <c r="P1453" s="68" t="s">
        <v>4958</v>
      </c>
    </row>
    <row r="1454" spans="1:16" ht="82.05" customHeight="1" x14ac:dyDescent="0.3">
      <c r="A1454" s="119" t="s">
        <v>3049</v>
      </c>
      <c r="B1454" s="119" t="s">
        <v>114</v>
      </c>
      <c r="C1454" s="119" t="s">
        <v>965</v>
      </c>
      <c r="D1454" s="119" t="s">
        <v>293</v>
      </c>
      <c r="E1454" s="120">
        <v>3643608</v>
      </c>
      <c r="F1454" s="120">
        <v>3643608</v>
      </c>
      <c r="G1454" s="120" t="s">
        <v>2033</v>
      </c>
      <c r="H1454" s="120">
        <f t="shared" ref="H1454:H1517" si="50">F1454/1000</f>
        <v>3643.6080000000002</v>
      </c>
      <c r="I1454" s="120">
        <f>FCCL!C46</f>
        <v>3643.6080000000002</v>
      </c>
      <c r="J1454" s="120">
        <f t="shared" ref="J1454:J1517" si="51">H1454-I1454</f>
        <v>0</v>
      </c>
      <c r="K1454" s="119" t="s">
        <v>2916</v>
      </c>
      <c r="L1454" s="119">
        <v>164</v>
      </c>
      <c r="M1454" s="119" t="s">
        <v>1106</v>
      </c>
      <c r="N1454" s="122" t="s">
        <v>3564</v>
      </c>
      <c r="O1454" s="122" t="s">
        <v>3565</v>
      </c>
      <c r="P1454" s="122" t="s">
        <v>4959</v>
      </c>
    </row>
    <row r="1455" spans="1:16" ht="82.05" customHeight="1" x14ac:dyDescent="0.3">
      <c r="A1455" s="50" t="s">
        <v>3051</v>
      </c>
      <c r="B1455" s="50" t="s">
        <v>114</v>
      </c>
      <c r="C1455" s="50" t="s">
        <v>20</v>
      </c>
      <c r="D1455" s="50" t="s">
        <v>293</v>
      </c>
      <c r="E1455" s="121">
        <v>3960489</v>
      </c>
      <c r="F1455" s="121">
        <v>3960489</v>
      </c>
      <c r="G1455" s="121" t="s">
        <v>2033</v>
      </c>
      <c r="H1455" s="121">
        <f t="shared" si="50"/>
        <v>3960.489</v>
      </c>
      <c r="I1455" s="121">
        <f>FCCL!D46</f>
        <v>3960.489</v>
      </c>
      <c r="J1455" s="121">
        <f t="shared" si="51"/>
        <v>0</v>
      </c>
      <c r="K1455" s="50" t="s">
        <v>2918</v>
      </c>
      <c r="L1455" s="50">
        <v>186</v>
      </c>
      <c r="M1455" s="50" t="s">
        <v>1106</v>
      </c>
      <c r="N1455" s="68" t="s">
        <v>3564</v>
      </c>
      <c r="O1455" s="68" t="s">
        <v>3565</v>
      </c>
      <c r="P1455" s="68" t="s">
        <v>4960</v>
      </c>
    </row>
    <row r="1456" spans="1:16" ht="82.05" customHeight="1" x14ac:dyDescent="0.3">
      <c r="A1456" s="119" t="s">
        <v>3052</v>
      </c>
      <c r="B1456" s="119" t="s">
        <v>114</v>
      </c>
      <c r="C1456" s="119" t="s">
        <v>26</v>
      </c>
      <c r="D1456" s="119" t="s">
        <v>293</v>
      </c>
      <c r="E1456" s="120">
        <v>7433214</v>
      </c>
      <c r="F1456" s="120">
        <v>7433214</v>
      </c>
      <c r="G1456" s="120" t="s">
        <v>2033</v>
      </c>
      <c r="H1456" s="120">
        <f t="shared" si="50"/>
        <v>7433.2139999999999</v>
      </c>
      <c r="I1456" s="120">
        <f>FCCL!E46</f>
        <v>7433.2139999999999</v>
      </c>
      <c r="J1456" s="120">
        <f t="shared" si="51"/>
        <v>0</v>
      </c>
      <c r="K1456" s="119" t="s">
        <v>2920</v>
      </c>
      <c r="L1456" s="119">
        <v>208</v>
      </c>
      <c r="M1456" s="119" t="s">
        <v>1106</v>
      </c>
      <c r="N1456" s="122" t="s">
        <v>3564</v>
      </c>
      <c r="O1456" s="122" t="s">
        <v>3565</v>
      </c>
      <c r="P1456" s="122" t="s">
        <v>4961</v>
      </c>
    </row>
    <row r="1457" spans="1:16" ht="82.05" customHeight="1" x14ac:dyDescent="0.3">
      <c r="A1457" s="50" t="s">
        <v>3053</v>
      </c>
      <c r="B1457" s="50" t="s">
        <v>114</v>
      </c>
      <c r="C1457" s="50" t="s">
        <v>27</v>
      </c>
      <c r="D1457" s="50" t="s">
        <v>293</v>
      </c>
      <c r="E1457" s="121">
        <v>10312402</v>
      </c>
      <c r="F1457" s="121">
        <v>10312402</v>
      </c>
      <c r="G1457" s="121" t="s">
        <v>2033</v>
      </c>
      <c r="H1457" s="121">
        <f t="shared" si="50"/>
        <v>10312.402</v>
      </c>
      <c r="I1457" s="121">
        <f>FCCL!F46</f>
        <v>10312.402</v>
      </c>
      <c r="J1457" s="121">
        <f t="shared" si="51"/>
        <v>0</v>
      </c>
      <c r="K1457" s="50" t="s">
        <v>2923</v>
      </c>
      <c r="L1457" s="50">
        <v>190</v>
      </c>
      <c r="M1457" s="50" t="s">
        <v>1106</v>
      </c>
      <c r="N1457" s="68" t="s">
        <v>3564</v>
      </c>
      <c r="O1457" s="68" t="s">
        <v>3565</v>
      </c>
      <c r="P1457" s="68" t="s">
        <v>4962</v>
      </c>
    </row>
    <row r="1458" spans="1:16" ht="82.05" customHeight="1" x14ac:dyDescent="0.3">
      <c r="A1458" s="119" t="s">
        <v>3054</v>
      </c>
      <c r="B1458" s="119" t="s">
        <v>114</v>
      </c>
      <c r="C1458" s="119" t="s">
        <v>28</v>
      </c>
      <c r="D1458" s="119" t="s">
        <v>293</v>
      </c>
      <c r="E1458" s="120">
        <v>14931049</v>
      </c>
      <c r="F1458" s="120">
        <v>14931049</v>
      </c>
      <c r="G1458" s="120" t="s">
        <v>2033</v>
      </c>
      <c r="H1458" s="120">
        <f t="shared" si="50"/>
        <v>14931.049000000001</v>
      </c>
      <c r="I1458" s="120">
        <f>FCCL!G46</f>
        <v>14931.049000000001</v>
      </c>
      <c r="J1458" s="120">
        <f t="shared" si="51"/>
        <v>0</v>
      </c>
      <c r="K1458" s="119" t="s">
        <v>2925</v>
      </c>
      <c r="L1458" s="119">
        <v>244</v>
      </c>
      <c r="M1458" s="119" t="s">
        <v>1106</v>
      </c>
      <c r="N1458" s="122" t="s">
        <v>3564</v>
      </c>
      <c r="O1458" s="122" t="s">
        <v>3565</v>
      </c>
      <c r="P1458" s="122" t="s">
        <v>4963</v>
      </c>
    </row>
    <row r="1459" spans="1:16" ht="82.05" customHeight="1" x14ac:dyDescent="0.3">
      <c r="A1459" s="50" t="s">
        <v>3055</v>
      </c>
      <c r="B1459" s="50" t="s">
        <v>114</v>
      </c>
      <c r="C1459" s="50" t="s">
        <v>29</v>
      </c>
      <c r="D1459" s="50" t="s">
        <v>293</v>
      </c>
      <c r="E1459" s="121">
        <v>19694422</v>
      </c>
      <c r="F1459" s="121">
        <v>19694422</v>
      </c>
      <c r="G1459" s="121" t="s">
        <v>2033</v>
      </c>
      <c r="H1459" s="121">
        <f t="shared" si="50"/>
        <v>19694.421999999999</v>
      </c>
      <c r="I1459" s="121">
        <f>FCCL!H46</f>
        <v>19694.421999999999</v>
      </c>
      <c r="J1459" s="121">
        <f t="shared" si="51"/>
        <v>0</v>
      </c>
      <c r="K1459" s="50" t="s">
        <v>2925</v>
      </c>
      <c r="L1459" s="50">
        <v>244</v>
      </c>
      <c r="M1459" s="50" t="s">
        <v>1127</v>
      </c>
      <c r="N1459" s="68" t="s">
        <v>3564</v>
      </c>
      <c r="O1459" s="68" t="s">
        <v>3565</v>
      </c>
      <c r="P1459" s="68" t="s">
        <v>4964</v>
      </c>
    </row>
    <row r="1460" spans="1:16" ht="82.05" customHeight="1" x14ac:dyDescent="0.3">
      <c r="A1460" s="119" t="s">
        <v>3056</v>
      </c>
      <c r="B1460" s="119" t="s">
        <v>114</v>
      </c>
      <c r="C1460" s="119" t="s">
        <v>965</v>
      </c>
      <c r="D1460" s="119" t="s">
        <v>295</v>
      </c>
      <c r="E1460" s="120">
        <v>72547</v>
      </c>
      <c r="F1460" s="120">
        <v>72547</v>
      </c>
      <c r="G1460" s="120" t="s">
        <v>2033</v>
      </c>
      <c r="H1460" s="120">
        <f t="shared" si="50"/>
        <v>72.546999999999997</v>
      </c>
      <c r="I1460" s="120">
        <f>FCCL!C47</f>
        <v>72.546999999999997</v>
      </c>
      <c r="J1460" s="120">
        <f t="shared" si="51"/>
        <v>0</v>
      </c>
      <c r="K1460" s="119" t="s">
        <v>2916</v>
      </c>
      <c r="L1460" s="119">
        <v>164</v>
      </c>
      <c r="M1460" s="119" t="s">
        <v>1106</v>
      </c>
      <c r="N1460" s="122" t="s">
        <v>3564</v>
      </c>
      <c r="O1460" s="122" t="s">
        <v>3565</v>
      </c>
      <c r="P1460" s="122" t="s">
        <v>4965</v>
      </c>
    </row>
    <row r="1461" spans="1:16" ht="82.05" customHeight="1" x14ac:dyDescent="0.3">
      <c r="A1461" s="50" t="s">
        <v>3058</v>
      </c>
      <c r="B1461" s="50" t="s">
        <v>114</v>
      </c>
      <c r="C1461" s="50" t="s">
        <v>20</v>
      </c>
      <c r="D1461" s="50" t="s">
        <v>295</v>
      </c>
      <c r="E1461" s="121">
        <v>82380</v>
      </c>
      <c r="F1461" s="121">
        <v>82380</v>
      </c>
      <c r="G1461" s="121" t="s">
        <v>2033</v>
      </c>
      <c r="H1461" s="121">
        <f t="shared" si="50"/>
        <v>82.38</v>
      </c>
      <c r="I1461" s="121">
        <f>FCCL!D47</f>
        <v>82.38</v>
      </c>
      <c r="J1461" s="121">
        <f t="shared" si="51"/>
        <v>0</v>
      </c>
      <c r="K1461" s="50" t="s">
        <v>2918</v>
      </c>
      <c r="L1461" s="50">
        <v>186</v>
      </c>
      <c r="M1461" s="50" t="s">
        <v>1106</v>
      </c>
      <c r="N1461" s="68" t="s">
        <v>3564</v>
      </c>
      <c r="O1461" s="68" t="s">
        <v>3565</v>
      </c>
      <c r="P1461" s="68" t="s">
        <v>4966</v>
      </c>
    </row>
    <row r="1462" spans="1:16" ht="82.05" customHeight="1" x14ac:dyDescent="0.3">
      <c r="A1462" s="119" t="s">
        <v>3059</v>
      </c>
      <c r="B1462" s="119" t="s">
        <v>114</v>
      </c>
      <c r="C1462" s="119" t="s">
        <v>26</v>
      </c>
      <c r="D1462" s="119" t="s">
        <v>295</v>
      </c>
      <c r="E1462" s="120">
        <v>179291</v>
      </c>
      <c r="F1462" s="120">
        <v>179291</v>
      </c>
      <c r="G1462" s="120" t="s">
        <v>2033</v>
      </c>
      <c r="H1462" s="120">
        <f t="shared" si="50"/>
        <v>179.291</v>
      </c>
      <c r="I1462" s="120">
        <f>FCCL!E47</f>
        <v>179.291</v>
      </c>
      <c r="J1462" s="120">
        <f t="shared" si="51"/>
        <v>0</v>
      </c>
      <c r="K1462" s="119" t="s">
        <v>2920</v>
      </c>
      <c r="L1462" s="119">
        <v>208</v>
      </c>
      <c r="M1462" s="119" t="s">
        <v>1106</v>
      </c>
      <c r="N1462" s="122" t="s">
        <v>3564</v>
      </c>
      <c r="O1462" s="122" t="s">
        <v>3565</v>
      </c>
      <c r="P1462" s="122" t="s">
        <v>4967</v>
      </c>
    </row>
    <row r="1463" spans="1:16" ht="82.05" customHeight="1" x14ac:dyDescent="0.3">
      <c r="A1463" s="50" t="s">
        <v>3060</v>
      </c>
      <c r="B1463" s="50" t="s">
        <v>114</v>
      </c>
      <c r="C1463" s="50" t="s">
        <v>27</v>
      </c>
      <c r="D1463" s="50" t="s">
        <v>295</v>
      </c>
      <c r="E1463" s="121">
        <v>211595</v>
      </c>
      <c r="F1463" s="121">
        <v>211595</v>
      </c>
      <c r="G1463" s="121" t="s">
        <v>2033</v>
      </c>
      <c r="H1463" s="121">
        <f t="shared" si="50"/>
        <v>211.595</v>
      </c>
      <c r="I1463" s="121">
        <f>FCCL!F47</f>
        <v>211.595</v>
      </c>
      <c r="J1463" s="121">
        <f t="shared" si="51"/>
        <v>0</v>
      </c>
      <c r="K1463" s="50" t="s">
        <v>2923</v>
      </c>
      <c r="L1463" s="50">
        <v>190</v>
      </c>
      <c r="M1463" s="50" t="s">
        <v>1106</v>
      </c>
      <c r="N1463" s="68" t="s">
        <v>3564</v>
      </c>
      <c r="O1463" s="68" t="s">
        <v>3565</v>
      </c>
      <c r="P1463" s="68" t="s">
        <v>4968</v>
      </c>
    </row>
    <row r="1464" spans="1:16" ht="82.05" customHeight="1" x14ac:dyDescent="0.3">
      <c r="A1464" s="119" t="s">
        <v>3061</v>
      </c>
      <c r="B1464" s="119" t="s">
        <v>114</v>
      </c>
      <c r="C1464" s="119" t="s">
        <v>28</v>
      </c>
      <c r="D1464" s="119" t="s">
        <v>295</v>
      </c>
      <c r="E1464" s="120">
        <v>250230</v>
      </c>
      <c r="F1464" s="120">
        <v>250230</v>
      </c>
      <c r="G1464" s="120" t="s">
        <v>2033</v>
      </c>
      <c r="H1464" s="120">
        <f t="shared" si="50"/>
        <v>250.23</v>
      </c>
      <c r="I1464" s="120">
        <f>FCCL!G47</f>
        <v>250.23</v>
      </c>
      <c r="J1464" s="120">
        <f t="shared" si="51"/>
        <v>0</v>
      </c>
      <c r="K1464" s="119" t="s">
        <v>2925</v>
      </c>
      <c r="L1464" s="119">
        <v>244</v>
      </c>
      <c r="M1464" s="119" t="s">
        <v>1106</v>
      </c>
      <c r="N1464" s="122" t="s">
        <v>3564</v>
      </c>
      <c r="O1464" s="122" t="s">
        <v>3565</v>
      </c>
      <c r="P1464" s="122" t="s">
        <v>4969</v>
      </c>
    </row>
    <row r="1465" spans="1:16" ht="82.05" customHeight="1" x14ac:dyDescent="0.3">
      <c r="A1465" s="50" t="s">
        <v>3062</v>
      </c>
      <c r="B1465" s="50" t="s">
        <v>114</v>
      </c>
      <c r="C1465" s="50" t="s">
        <v>29</v>
      </c>
      <c r="D1465" s="50" t="s">
        <v>295</v>
      </c>
      <c r="E1465" s="121">
        <v>283590</v>
      </c>
      <c r="F1465" s="121">
        <v>283590</v>
      </c>
      <c r="G1465" s="121" t="s">
        <v>2033</v>
      </c>
      <c r="H1465" s="121">
        <f t="shared" si="50"/>
        <v>283.58999999999997</v>
      </c>
      <c r="I1465" s="121">
        <f>FCCL!H47</f>
        <v>283.58999999999997</v>
      </c>
      <c r="J1465" s="121">
        <f t="shared" si="51"/>
        <v>0</v>
      </c>
      <c r="K1465" s="50" t="s">
        <v>2925</v>
      </c>
      <c r="L1465" s="50">
        <v>244</v>
      </c>
      <c r="M1465" s="50" t="s">
        <v>1127</v>
      </c>
      <c r="N1465" s="68" t="s">
        <v>3564</v>
      </c>
      <c r="O1465" s="68" t="s">
        <v>3565</v>
      </c>
      <c r="P1465" s="68" t="s">
        <v>4970</v>
      </c>
    </row>
    <row r="1466" spans="1:16" ht="82.05" customHeight="1" x14ac:dyDescent="0.3">
      <c r="A1466" s="119" t="s">
        <v>3063</v>
      </c>
      <c r="B1466" s="119" t="s">
        <v>114</v>
      </c>
      <c r="C1466" s="119" t="s">
        <v>965</v>
      </c>
      <c r="D1466" s="119" t="s">
        <v>300</v>
      </c>
      <c r="E1466" s="120">
        <v>1163246</v>
      </c>
      <c r="F1466" s="120">
        <v>1163246</v>
      </c>
      <c r="G1466" s="120" t="s">
        <v>2033</v>
      </c>
      <c r="H1466" s="120">
        <f t="shared" si="50"/>
        <v>1163.2460000000001</v>
      </c>
      <c r="I1466" s="120">
        <f>FCCL!C50</f>
        <v>1163.2460000000001</v>
      </c>
      <c r="J1466" s="120">
        <f t="shared" si="51"/>
        <v>0</v>
      </c>
      <c r="K1466" s="119" t="s">
        <v>2916</v>
      </c>
      <c r="L1466" s="119">
        <v>164</v>
      </c>
      <c r="M1466" s="119" t="s">
        <v>1106</v>
      </c>
      <c r="N1466" s="122" t="s">
        <v>3564</v>
      </c>
      <c r="O1466" s="122" t="s">
        <v>3565</v>
      </c>
      <c r="P1466" s="122" t="s">
        <v>4971</v>
      </c>
    </row>
    <row r="1467" spans="1:16" ht="82.05" customHeight="1" x14ac:dyDescent="0.3">
      <c r="A1467" s="50" t="s">
        <v>3064</v>
      </c>
      <c r="B1467" s="50" t="s">
        <v>114</v>
      </c>
      <c r="C1467" s="50" t="s">
        <v>20</v>
      </c>
      <c r="D1467" s="50" t="s">
        <v>300</v>
      </c>
      <c r="E1467" s="121">
        <v>1822642</v>
      </c>
      <c r="F1467" s="121">
        <v>1822642</v>
      </c>
      <c r="G1467" s="121" t="s">
        <v>2033</v>
      </c>
      <c r="H1467" s="121">
        <f t="shared" si="50"/>
        <v>1822.6420000000001</v>
      </c>
      <c r="I1467" s="121">
        <f>FCCL!D50</f>
        <v>1822.6420000000001</v>
      </c>
      <c r="J1467" s="121">
        <f t="shared" si="51"/>
        <v>0</v>
      </c>
      <c r="K1467" s="50" t="s">
        <v>2918</v>
      </c>
      <c r="L1467" s="50">
        <v>186</v>
      </c>
      <c r="M1467" s="50" t="s">
        <v>1106</v>
      </c>
      <c r="N1467" s="68" t="s">
        <v>3564</v>
      </c>
      <c r="O1467" s="68" t="s">
        <v>3565</v>
      </c>
      <c r="P1467" s="68" t="s">
        <v>4972</v>
      </c>
    </row>
    <row r="1468" spans="1:16" ht="82.05" customHeight="1" x14ac:dyDescent="0.3">
      <c r="A1468" s="119" t="s">
        <v>3065</v>
      </c>
      <c r="B1468" s="119" t="s">
        <v>114</v>
      </c>
      <c r="C1468" s="119" t="s">
        <v>26</v>
      </c>
      <c r="D1468" s="119" t="s">
        <v>300</v>
      </c>
      <c r="E1468" s="120">
        <v>6917149</v>
      </c>
      <c r="F1468" s="120">
        <v>6917149</v>
      </c>
      <c r="G1468" s="120" t="s">
        <v>2033</v>
      </c>
      <c r="H1468" s="120">
        <f t="shared" si="50"/>
        <v>6917.1490000000003</v>
      </c>
      <c r="I1468" s="120">
        <f>FCCL!E50</f>
        <v>6917.1490000000003</v>
      </c>
      <c r="J1468" s="120">
        <f t="shared" si="51"/>
        <v>0</v>
      </c>
      <c r="K1468" s="119" t="s">
        <v>2920</v>
      </c>
      <c r="L1468" s="119">
        <v>208</v>
      </c>
      <c r="M1468" s="119" t="s">
        <v>1106</v>
      </c>
      <c r="N1468" s="122" t="s">
        <v>3564</v>
      </c>
      <c r="O1468" s="122" t="s">
        <v>3565</v>
      </c>
      <c r="P1468" s="122" t="s">
        <v>4973</v>
      </c>
    </row>
    <row r="1469" spans="1:16" ht="82.05" customHeight="1" x14ac:dyDescent="0.3">
      <c r="A1469" s="50" t="s">
        <v>3066</v>
      </c>
      <c r="B1469" s="50" t="s">
        <v>114</v>
      </c>
      <c r="C1469" s="50" t="s">
        <v>27</v>
      </c>
      <c r="D1469" s="50" t="s">
        <v>300</v>
      </c>
      <c r="E1469" s="121">
        <v>6516462</v>
      </c>
      <c r="F1469" s="121">
        <v>6516462</v>
      </c>
      <c r="G1469" s="121" t="s">
        <v>2033</v>
      </c>
      <c r="H1469" s="121">
        <f t="shared" si="50"/>
        <v>6516.4620000000004</v>
      </c>
      <c r="I1469" s="121">
        <f>FCCL!F50</f>
        <v>6516.4620000000004</v>
      </c>
      <c r="J1469" s="121">
        <f t="shared" si="51"/>
        <v>0</v>
      </c>
      <c r="K1469" s="50" t="s">
        <v>2923</v>
      </c>
      <c r="L1469" s="50">
        <v>190</v>
      </c>
      <c r="M1469" s="50" t="s">
        <v>1106</v>
      </c>
      <c r="N1469" s="68" t="s">
        <v>3564</v>
      </c>
      <c r="O1469" s="68" t="s">
        <v>3565</v>
      </c>
      <c r="P1469" s="68" t="s">
        <v>4974</v>
      </c>
    </row>
    <row r="1470" spans="1:16" ht="82.05" customHeight="1" x14ac:dyDescent="0.3">
      <c r="A1470" s="119" t="s">
        <v>3067</v>
      </c>
      <c r="B1470" s="119" t="s">
        <v>114</v>
      </c>
      <c r="C1470" s="119" t="s">
        <v>28</v>
      </c>
      <c r="D1470" s="119" t="s">
        <v>300</v>
      </c>
      <c r="E1470" s="120">
        <v>6108790</v>
      </c>
      <c r="F1470" s="120">
        <v>6108790</v>
      </c>
      <c r="G1470" s="120" t="s">
        <v>2033</v>
      </c>
      <c r="H1470" s="120">
        <f t="shared" si="50"/>
        <v>6108.79</v>
      </c>
      <c r="I1470" s="120">
        <f>FCCL!G50</f>
        <v>6108.79</v>
      </c>
      <c r="J1470" s="120">
        <f t="shared" si="51"/>
        <v>0</v>
      </c>
      <c r="K1470" s="119" t="s">
        <v>2925</v>
      </c>
      <c r="L1470" s="119">
        <v>244</v>
      </c>
      <c r="M1470" s="119" t="s">
        <v>1106</v>
      </c>
      <c r="N1470" s="122" t="s">
        <v>3564</v>
      </c>
      <c r="O1470" s="122" t="s">
        <v>3565</v>
      </c>
      <c r="P1470" s="122" t="s">
        <v>4975</v>
      </c>
    </row>
    <row r="1471" spans="1:16" ht="82.05" customHeight="1" x14ac:dyDescent="0.3">
      <c r="A1471" s="50" t="s">
        <v>3068</v>
      </c>
      <c r="B1471" s="50" t="s">
        <v>114</v>
      </c>
      <c r="C1471" s="50" t="s">
        <v>29</v>
      </c>
      <c r="D1471" s="50" t="s">
        <v>300</v>
      </c>
      <c r="E1471" s="121">
        <v>3934508</v>
      </c>
      <c r="F1471" s="121">
        <v>3934508</v>
      </c>
      <c r="G1471" s="121" t="s">
        <v>2033</v>
      </c>
      <c r="H1471" s="121">
        <f t="shared" si="50"/>
        <v>3934.5079999999998</v>
      </c>
      <c r="I1471" s="121">
        <f>FCCL!H50</f>
        <v>3934.5079999999998</v>
      </c>
      <c r="J1471" s="121">
        <f t="shared" si="51"/>
        <v>0</v>
      </c>
      <c r="K1471" s="50" t="s">
        <v>2925</v>
      </c>
      <c r="L1471" s="50">
        <v>244</v>
      </c>
      <c r="M1471" s="50" t="s">
        <v>1127</v>
      </c>
      <c r="N1471" s="68" t="s">
        <v>3564</v>
      </c>
      <c r="O1471" s="68" t="s">
        <v>3565</v>
      </c>
      <c r="P1471" s="68" t="s">
        <v>4976</v>
      </c>
    </row>
    <row r="1472" spans="1:16" ht="82.05" customHeight="1" x14ac:dyDescent="0.3">
      <c r="A1472" s="119" t="s">
        <v>3069</v>
      </c>
      <c r="B1472" s="119" t="s">
        <v>114</v>
      </c>
      <c r="C1472" s="119" t="s">
        <v>965</v>
      </c>
      <c r="D1472" s="119" t="s">
        <v>1284</v>
      </c>
      <c r="E1472" s="120">
        <v>354586</v>
      </c>
      <c r="F1472" s="120">
        <v>354586</v>
      </c>
      <c r="G1472" s="120" t="s">
        <v>2033</v>
      </c>
      <c r="H1472" s="120">
        <f t="shared" si="50"/>
        <v>354.58600000000001</v>
      </c>
      <c r="I1472" s="120">
        <f>FCCL!C51</f>
        <v>354.58600000000001</v>
      </c>
      <c r="J1472" s="120">
        <f t="shared" si="51"/>
        <v>0</v>
      </c>
      <c r="K1472" s="119" t="s">
        <v>2916</v>
      </c>
      <c r="L1472" s="119">
        <v>189</v>
      </c>
      <c r="M1472" s="119" t="s">
        <v>1106</v>
      </c>
      <c r="N1472" s="122" t="s">
        <v>3564</v>
      </c>
      <c r="O1472" s="122" t="s">
        <v>3565</v>
      </c>
      <c r="P1472" s="122" t="s">
        <v>4977</v>
      </c>
    </row>
    <row r="1473" spans="1:16" ht="82.05" customHeight="1" x14ac:dyDescent="0.3">
      <c r="A1473" s="50" t="s">
        <v>3071</v>
      </c>
      <c r="B1473" s="50" t="s">
        <v>114</v>
      </c>
      <c r="C1473" s="50" t="s">
        <v>20</v>
      </c>
      <c r="D1473" s="50" t="s">
        <v>1284</v>
      </c>
      <c r="E1473" s="121">
        <v>863038</v>
      </c>
      <c r="F1473" s="121">
        <v>863038</v>
      </c>
      <c r="G1473" s="121" t="s">
        <v>2033</v>
      </c>
      <c r="H1473" s="121">
        <f t="shared" si="50"/>
        <v>863.03800000000001</v>
      </c>
      <c r="I1473" s="121">
        <f>FCCL!D51</f>
        <v>863.03800000000001</v>
      </c>
      <c r="J1473" s="121">
        <f t="shared" si="51"/>
        <v>0</v>
      </c>
      <c r="K1473" s="50" t="s">
        <v>2918</v>
      </c>
      <c r="L1473" s="50">
        <v>215</v>
      </c>
      <c r="M1473" s="50" t="s">
        <v>1106</v>
      </c>
      <c r="N1473" s="68" t="s">
        <v>3564</v>
      </c>
      <c r="O1473" s="68" t="s">
        <v>3565</v>
      </c>
      <c r="P1473" s="68" t="s">
        <v>4978</v>
      </c>
    </row>
    <row r="1474" spans="1:16" ht="82.05" customHeight="1" x14ac:dyDescent="0.3">
      <c r="A1474" s="119" t="s">
        <v>3073</v>
      </c>
      <c r="B1474" s="119" t="s">
        <v>114</v>
      </c>
      <c r="C1474" s="119" t="s">
        <v>26</v>
      </c>
      <c r="D1474" s="119" t="s">
        <v>1284</v>
      </c>
      <c r="E1474" s="120">
        <v>2683210</v>
      </c>
      <c r="F1474" s="120">
        <v>2683210</v>
      </c>
      <c r="G1474" s="120" t="s">
        <v>2033</v>
      </c>
      <c r="H1474" s="120">
        <f t="shared" si="50"/>
        <v>2683.21</v>
      </c>
      <c r="I1474" s="120">
        <f>FCCL!E51</f>
        <v>2683.21</v>
      </c>
      <c r="J1474" s="120">
        <f t="shared" si="51"/>
        <v>0</v>
      </c>
      <c r="K1474" s="119" t="s">
        <v>2920</v>
      </c>
      <c r="L1474" s="119">
        <v>234</v>
      </c>
      <c r="M1474" s="119" t="s">
        <v>1106</v>
      </c>
      <c r="N1474" s="122" t="s">
        <v>3564</v>
      </c>
      <c r="O1474" s="122" t="s">
        <v>3565</v>
      </c>
      <c r="P1474" s="122" t="s">
        <v>4979</v>
      </c>
    </row>
    <row r="1475" spans="1:16" ht="82.05" customHeight="1" x14ac:dyDescent="0.3">
      <c r="A1475" s="50" t="s">
        <v>3074</v>
      </c>
      <c r="B1475" s="50" t="s">
        <v>114</v>
      </c>
      <c r="C1475" s="50" t="s">
        <v>27</v>
      </c>
      <c r="D1475" s="50" t="s">
        <v>1284</v>
      </c>
      <c r="E1475" s="121">
        <v>2623342</v>
      </c>
      <c r="F1475" s="121">
        <v>2623342</v>
      </c>
      <c r="G1475" s="121" t="s">
        <v>2033</v>
      </c>
      <c r="H1475" s="121">
        <f t="shared" si="50"/>
        <v>2623.3420000000001</v>
      </c>
      <c r="I1475" s="121">
        <f>FCCL!F51</f>
        <v>2623.3420000000001</v>
      </c>
      <c r="J1475" s="121">
        <f t="shared" si="51"/>
        <v>0</v>
      </c>
      <c r="K1475" s="50" t="s">
        <v>2923</v>
      </c>
      <c r="L1475" s="50">
        <v>214</v>
      </c>
      <c r="M1475" s="50" t="s">
        <v>1106</v>
      </c>
      <c r="N1475" s="68" t="s">
        <v>3564</v>
      </c>
      <c r="O1475" s="68" t="s">
        <v>3565</v>
      </c>
      <c r="P1475" s="68" t="s">
        <v>4980</v>
      </c>
    </row>
    <row r="1476" spans="1:16" ht="82.05" customHeight="1" x14ac:dyDescent="0.3">
      <c r="A1476" s="119" t="s">
        <v>3076</v>
      </c>
      <c r="B1476" s="119" t="s">
        <v>114</v>
      </c>
      <c r="C1476" s="119" t="s">
        <v>28</v>
      </c>
      <c r="D1476" s="119" t="s">
        <v>1284</v>
      </c>
      <c r="E1476" s="120">
        <v>2726664</v>
      </c>
      <c r="F1476" s="120">
        <v>2726664</v>
      </c>
      <c r="G1476" s="120" t="s">
        <v>2033</v>
      </c>
      <c r="H1476" s="120">
        <f t="shared" si="50"/>
        <v>2726.6640000000002</v>
      </c>
      <c r="I1476" s="120">
        <f>FCCL!G51</f>
        <v>2726.6640000000002</v>
      </c>
      <c r="J1476" s="120">
        <f t="shared" si="51"/>
        <v>0</v>
      </c>
      <c r="K1476" s="119" t="s">
        <v>2925</v>
      </c>
      <c r="L1476" s="119">
        <v>268</v>
      </c>
      <c r="M1476" s="119" t="s">
        <v>1106</v>
      </c>
      <c r="N1476" s="122" t="s">
        <v>3564</v>
      </c>
      <c r="O1476" s="122" t="s">
        <v>3565</v>
      </c>
      <c r="P1476" s="122" t="s">
        <v>4981</v>
      </c>
    </row>
    <row r="1477" spans="1:16" ht="82.05" customHeight="1" x14ac:dyDescent="0.3">
      <c r="A1477" s="50" t="s">
        <v>3077</v>
      </c>
      <c r="B1477" s="50" t="s">
        <v>114</v>
      </c>
      <c r="C1477" s="50" t="s">
        <v>29</v>
      </c>
      <c r="D1477" s="50" t="s">
        <v>1284</v>
      </c>
      <c r="E1477" s="121">
        <v>2034141</v>
      </c>
      <c r="F1477" s="121">
        <v>2034141</v>
      </c>
      <c r="G1477" s="121" t="s">
        <v>2033</v>
      </c>
      <c r="H1477" s="121">
        <f t="shared" si="50"/>
        <v>2034.1410000000001</v>
      </c>
      <c r="I1477" s="121">
        <f>FCCL!H51</f>
        <v>2034.1410000000001</v>
      </c>
      <c r="J1477" s="121">
        <f t="shared" si="51"/>
        <v>0</v>
      </c>
      <c r="K1477" s="50" t="s">
        <v>2925</v>
      </c>
      <c r="L1477" s="50">
        <v>268</v>
      </c>
      <c r="M1477" s="50" t="s">
        <v>1127</v>
      </c>
      <c r="N1477" s="68" t="s">
        <v>3564</v>
      </c>
      <c r="O1477" s="68" t="s">
        <v>3565</v>
      </c>
      <c r="P1477" s="68" t="s">
        <v>4982</v>
      </c>
    </row>
    <row r="1478" spans="1:16" ht="82.05" customHeight="1" x14ac:dyDescent="0.3">
      <c r="A1478" s="119" t="s">
        <v>3078</v>
      </c>
      <c r="B1478" s="119" t="s">
        <v>114</v>
      </c>
      <c r="C1478" s="119" t="s">
        <v>965</v>
      </c>
      <c r="D1478" s="119" t="s">
        <v>304</v>
      </c>
      <c r="E1478" s="120">
        <v>367952</v>
      </c>
      <c r="F1478" s="120">
        <v>367952</v>
      </c>
      <c r="G1478" s="120" t="s">
        <v>2033</v>
      </c>
      <c r="H1478" s="120">
        <f t="shared" si="50"/>
        <v>367.952</v>
      </c>
      <c r="I1478" s="120">
        <f>FCCL!C52</f>
        <v>367.952</v>
      </c>
      <c r="J1478" s="120">
        <f t="shared" si="51"/>
        <v>0</v>
      </c>
      <c r="K1478" s="119" t="s">
        <v>2916</v>
      </c>
      <c r="L1478" s="119">
        <v>164</v>
      </c>
      <c r="M1478" s="119" t="s">
        <v>1106</v>
      </c>
      <c r="N1478" s="122" t="s">
        <v>3564</v>
      </c>
      <c r="O1478" s="122" t="s">
        <v>3565</v>
      </c>
      <c r="P1478" s="122" t="s">
        <v>4983</v>
      </c>
    </row>
    <row r="1479" spans="1:16" ht="82.05" customHeight="1" x14ac:dyDescent="0.3">
      <c r="A1479" s="50" t="s">
        <v>3080</v>
      </c>
      <c r="B1479" s="50" t="s">
        <v>114</v>
      </c>
      <c r="C1479" s="50" t="s">
        <v>20</v>
      </c>
      <c r="D1479" s="50" t="s">
        <v>304</v>
      </c>
      <c r="E1479" s="121">
        <v>435097</v>
      </c>
      <c r="F1479" s="121">
        <v>435097</v>
      </c>
      <c r="G1479" s="121" t="s">
        <v>2033</v>
      </c>
      <c r="H1479" s="121">
        <f t="shared" si="50"/>
        <v>435.09699999999998</v>
      </c>
      <c r="I1479" s="121">
        <f>FCCL!D52</f>
        <v>435.09699999999998</v>
      </c>
      <c r="J1479" s="121">
        <f t="shared" si="51"/>
        <v>0</v>
      </c>
      <c r="K1479" s="50" t="s">
        <v>2918</v>
      </c>
      <c r="L1479" s="50">
        <v>186</v>
      </c>
      <c r="M1479" s="50" t="s">
        <v>1106</v>
      </c>
      <c r="N1479" s="68" t="s">
        <v>3564</v>
      </c>
      <c r="O1479" s="68" t="s">
        <v>3565</v>
      </c>
      <c r="P1479" s="68" t="s">
        <v>4984</v>
      </c>
    </row>
    <row r="1480" spans="1:16" ht="82.05" customHeight="1" x14ac:dyDescent="0.3">
      <c r="A1480" s="119" t="s">
        <v>3081</v>
      </c>
      <c r="B1480" s="119" t="s">
        <v>114</v>
      </c>
      <c r="C1480" s="119" t="s">
        <v>26</v>
      </c>
      <c r="D1480" s="119" t="s">
        <v>304</v>
      </c>
      <c r="E1480" s="120">
        <v>862309</v>
      </c>
      <c r="F1480" s="120">
        <v>862309</v>
      </c>
      <c r="G1480" s="120" t="s">
        <v>2033</v>
      </c>
      <c r="H1480" s="120">
        <f t="shared" si="50"/>
        <v>862.30899999999997</v>
      </c>
      <c r="I1480" s="120">
        <f>FCCL!E52</f>
        <v>862.30899999999997</v>
      </c>
      <c r="J1480" s="120">
        <f t="shared" si="51"/>
        <v>0</v>
      </c>
      <c r="K1480" s="119" t="s">
        <v>2920</v>
      </c>
      <c r="L1480" s="119">
        <v>208</v>
      </c>
      <c r="M1480" s="119" t="s">
        <v>1106</v>
      </c>
      <c r="N1480" s="122" t="s">
        <v>3564</v>
      </c>
      <c r="O1480" s="122" t="s">
        <v>3565</v>
      </c>
      <c r="P1480" s="122" t="s">
        <v>4985</v>
      </c>
    </row>
    <row r="1481" spans="1:16" ht="82.05" customHeight="1" x14ac:dyDescent="0.3">
      <c r="A1481" s="50" t="s">
        <v>3082</v>
      </c>
      <c r="B1481" s="50" t="s">
        <v>114</v>
      </c>
      <c r="C1481" s="50" t="s">
        <v>27</v>
      </c>
      <c r="D1481" s="50" t="s">
        <v>304</v>
      </c>
      <c r="E1481" s="121">
        <v>584809</v>
      </c>
      <c r="F1481" s="121">
        <v>584809</v>
      </c>
      <c r="G1481" s="121" t="s">
        <v>2033</v>
      </c>
      <c r="H1481" s="121">
        <f t="shared" si="50"/>
        <v>584.80899999999997</v>
      </c>
      <c r="I1481" s="121">
        <f>FCCL!F52</f>
        <v>584.80899999999997</v>
      </c>
      <c r="J1481" s="121">
        <f t="shared" si="51"/>
        <v>0</v>
      </c>
      <c r="K1481" s="50" t="s">
        <v>2923</v>
      </c>
      <c r="L1481" s="50">
        <v>190</v>
      </c>
      <c r="M1481" s="50" t="s">
        <v>1106</v>
      </c>
      <c r="N1481" s="68" t="s">
        <v>3564</v>
      </c>
      <c r="O1481" s="68" t="s">
        <v>3565</v>
      </c>
      <c r="P1481" s="68" t="s">
        <v>4986</v>
      </c>
    </row>
    <row r="1482" spans="1:16" ht="82.05" customHeight="1" x14ac:dyDescent="0.3">
      <c r="A1482" s="119" t="s">
        <v>3083</v>
      </c>
      <c r="B1482" s="119" t="s">
        <v>114</v>
      </c>
      <c r="C1482" s="119" t="s">
        <v>28</v>
      </c>
      <c r="D1482" s="119" t="s">
        <v>304</v>
      </c>
      <c r="E1482" s="120">
        <v>432704</v>
      </c>
      <c r="F1482" s="120">
        <v>432704</v>
      </c>
      <c r="G1482" s="120" t="s">
        <v>2033</v>
      </c>
      <c r="H1482" s="120">
        <f t="shared" si="50"/>
        <v>432.70400000000001</v>
      </c>
      <c r="I1482" s="120">
        <f>FCCL!G52</f>
        <v>432.70400000000001</v>
      </c>
      <c r="J1482" s="120">
        <f t="shared" si="51"/>
        <v>0</v>
      </c>
      <c r="K1482" s="119" t="s">
        <v>2925</v>
      </c>
      <c r="L1482" s="119">
        <v>244</v>
      </c>
      <c r="M1482" s="119" t="s">
        <v>1106</v>
      </c>
      <c r="N1482" s="122" t="s">
        <v>3564</v>
      </c>
      <c r="O1482" s="122" t="s">
        <v>3565</v>
      </c>
      <c r="P1482" s="122" t="s">
        <v>4987</v>
      </c>
    </row>
    <row r="1483" spans="1:16" ht="82.05" customHeight="1" x14ac:dyDescent="0.3">
      <c r="A1483" s="50" t="s">
        <v>3084</v>
      </c>
      <c r="B1483" s="50" t="s">
        <v>114</v>
      </c>
      <c r="C1483" s="50" t="s">
        <v>29</v>
      </c>
      <c r="D1483" s="50" t="s">
        <v>304</v>
      </c>
      <c r="E1483" s="121">
        <v>588076</v>
      </c>
      <c r="F1483" s="121">
        <v>588076</v>
      </c>
      <c r="G1483" s="121" t="s">
        <v>2033</v>
      </c>
      <c r="H1483" s="121">
        <f t="shared" si="50"/>
        <v>588.07600000000002</v>
      </c>
      <c r="I1483" s="121">
        <f>FCCL!H52</f>
        <v>588.07600000000002</v>
      </c>
      <c r="J1483" s="121">
        <f t="shared" si="51"/>
        <v>0</v>
      </c>
      <c r="K1483" s="50" t="s">
        <v>2925</v>
      </c>
      <c r="L1483" s="50">
        <v>244</v>
      </c>
      <c r="M1483" s="50" t="s">
        <v>1127</v>
      </c>
      <c r="N1483" s="68" t="s">
        <v>3564</v>
      </c>
      <c r="O1483" s="68" t="s">
        <v>3565</v>
      </c>
      <c r="P1483" s="68" t="s">
        <v>4988</v>
      </c>
    </row>
    <row r="1484" spans="1:16" ht="82.05" customHeight="1" x14ac:dyDescent="0.3">
      <c r="A1484" s="119" t="s">
        <v>3085</v>
      </c>
      <c r="B1484" s="119" t="s">
        <v>114</v>
      </c>
      <c r="C1484" s="119" t="s">
        <v>965</v>
      </c>
      <c r="D1484" s="119" t="s">
        <v>306</v>
      </c>
      <c r="E1484" s="120">
        <v>0</v>
      </c>
      <c r="F1484" s="120">
        <v>0</v>
      </c>
      <c r="G1484" s="120" t="s">
        <v>2033</v>
      </c>
      <c r="H1484" s="120">
        <f t="shared" si="50"/>
        <v>0</v>
      </c>
      <c r="I1484" s="120">
        <f>FCCL!C53</f>
        <v>0</v>
      </c>
      <c r="J1484" s="120">
        <f t="shared" si="51"/>
        <v>0</v>
      </c>
      <c r="K1484" s="119" t="s">
        <v>2916</v>
      </c>
      <c r="L1484" s="119">
        <v>164</v>
      </c>
      <c r="M1484" s="119" t="s">
        <v>1106</v>
      </c>
      <c r="N1484" s="122" t="s">
        <v>3578</v>
      </c>
      <c r="O1484" s="122" t="s">
        <v>3579</v>
      </c>
      <c r="P1484" s="122" t="s">
        <v>4989</v>
      </c>
    </row>
    <row r="1485" spans="1:16" ht="82.05" customHeight="1" x14ac:dyDescent="0.3">
      <c r="A1485" s="50" t="s">
        <v>3086</v>
      </c>
      <c r="B1485" s="50" t="s">
        <v>114</v>
      </c>
      <c r="C1485" s="50" t="s">
        <v>20</v>
      </c>
      <c r="D1485" s="50" t="s">
        <v>306</v>
      </c>
      <c r="E1485" s="121">
        <v>0</v>
      </c>
      <c r="F1485" s="121">
        <v>0</v>
      </c>
      <c r="G1485" s="121" t="s">
        <v>2033</v>
      </c>
      <c r="H1485" s="121">
        <f t="shared" si="50"/>
        <v>0</v>
      </c>
      <c r="I1485" s="121">
        <f>FCCL!D53</f>
        <v>0</v>
      </c>
      <c r="J1485" s="121">
        <f t="shared" si="51"/>
        <v>0</v>
      </c>
      <c r="K1485" s="50" t="s">
        <v>2918</v>
      </c>
      <c r="L1485" s="50">
        <v>186</v>
      </c>
      <c r="M1485" s="50" t="s">
        <v>1106</v>
      </c>
      <c r="N1485" s="68" t="s">
        <v>3578</v>
      </c>
      <c r="O1485" s="68" t="s">
        <v>3579</v>
      </c>
      <c r="P1485" s="68" t="s">
        <v>4990</v>
      </c>
    </row>
    <row r="1486" spans="1:16" ht="82.05" customHeight="1" x14ac:dyDescent="0.3">
      <c r="A1486" s="119" t="s">
        <v>3087</v>
      </c>
      <c r="B1486" s="119" t="s">
        <v>114</v>
      </c>
      <c r="C1486" s="119" t="s">
        <v>26</v>
      </c>
      <c r="D1486" s="119" t="s">
        <v>306</v>
      </c>
      <c r="E1486" s="120">
        <v>0</v>
      </c>
      <c r="F1486" s="120">
        <v>0</v>
      </c>
      <c r="G1486" s="120" t="s">
        <v>2033</v>
      </c>
      <c r="H1486" s="120">
        <f t="shared" si="50"/>
        <v>0</v>
      </c>
      <c r="I1486" s="120">
        <f>FCCL!E53</f>
        <v>0</v>
      </c>
      <c r="J1486" s="120">
        <f t="shared" si="51"/>
        <v>0</v>
      </c>
      <c r="K1486" s="119" t="s">
        <v>2920</v>
      </c>
      <c r="L1486" s="119">
        <v>208</v>
      </c>
      <c r="M1486" s="119" t="s">
        <v>1106</v>
      </c>
      <c r="N1486" s="122" t="s">
        <v>3578</v>
      </c>
      <c r="O1486" s="122" t="s">
        <v>3579</v>
      </c>
      <c r="P1486" s="122" t="s">
        <v>4991</v>
      </c>
    </row>
    <row r="1487" spans="1:16" ht="82.05" customHeight="1" x14ac:dyDescent="0.3">
      <c r="A1487" s="50" t="s">
        <v>3088</v>
      </c>
      <c r="B1487" s="50" t="s">
        <v>114</v>
      </c>
      <c r="C1487" s="50" t="s">
        <v>27</v>
      </c>
      <c r="D1487" s="50" t="s">
        <v>306</v>
      </c>
      <c r="E1487" s="121">
        <v>0</v>
      </c>
      <c r="F1487" s="121">
        <v>0</v>
      </c>
      <c r="G1487" s="121" t="s">
        <v>2033</v>
      </c>
      <c r="H1487" s="121">
        <f t="shared" si="50"/>
        <v>0</v>
      </c>
      <c r="I1487" s="121">
        <f>FCCL!F53</f>
        <v>0</v>
      </c>
      <c r="J1487" s="121">
        <f t="shared" si="51"/>
        <v>0</v>
      </c>
      <c r="K1487" s="50" t="s">
        <v>2923</v>
      </c>
      <c r="L1487" s="50">
        <v>190</v>
      </c>
      <c r="M1487" s="50" t="s">
        <v>1106</v>
      </c>
      <c r="N1487" s="68" t="s">
        <v>3578</v>
      </c>
      <c r="O1487" s="68" t="s">
        <v>3579</v>
      </c>
      <c r="P1487" s="68" t="s">
        <v>4992</v>
      </c>
    </row>
    <row r="1488" spans="1:16" ht="82.05" customHeight="1" x14ac:dyDescent="0.3">
      <c r="A1488" s="119" t="s">
        <v>3089</v>
      </c>
      <c r="B1488" s="119" t="s">
        <v>114</v>
      </c>
      <c r="C1488" s="119" t="s">
        <v>28</v>
      </c>
      <c r="D1488" s="119" t="s">
        <v>306</v>
      </c>
      <c r="E1488" s="120">
        <v>0</v>
      </c>
      <c r="F1488" s="120">
        <v>0</v>
      </c>
      <c r="G1488" s="120" t="s">
        <v>2033</v>
      </c>
      <c r="H1488" s="120">
        <f t="shared" si="50"/>
        <v>0</v>
      </c>
      <c r="I1488" s="120">
        <f>FCCL!G53</f>
        <v>0</v>
      </c>
      <c r="J1488" s="120">
        <f t="shared" si="51"/>
        <v>0</v>
      </c>
      <c r="K1488" s="119" t="s">
        <v>2925</v>
      </c>
      <c r="L1488" s="119">
        <v>244</v>
      </c>
      <c r="M1488" s="119" t="s">
        <v>1106</v>
      </c>
      <c r="N1488" s="122" t="s">
        <v>3578</v>
      </c>
      <c r="O1488" s="122" t="s">
        <v>3579</v>
      </c>
      <c r="P1488" s="122" t="s">
        <v>4993</v>
      </c>
    </row>
    <row r="1489" spans="1:16" ht="82.05" customHeight="1" x14ac:dyDescent="0.3">
      <c r="A1489" s="50" t="s">
        <v>3090</v>
      </c>
      <c r="B1489" s="50" t="s">
        <v>114</v>
      </c>
      <c r="C1489" s="50" t="s">
        <v>29</v>
      </c>
      <c r="D1489" s="50" t="s">
        <v>306</v>
      </c>
      <c r="E1489" s="121">
        <v>0</v>
      </c>
      <c r="F1489" s="121">
        <v>0</v>
      </c>
      <c r="G1489" s="121" t="s">
        <v>2033</v>
      </c>
      <c r="H1489" s="121">
        <f t="shared" si="50"/>
        <v>0</v>
      </c>
      <c r="I1489" s="121">
        <f>FCCL!H53</f>
        <v>0</v>
      </c>
      <c r="J1489" s="121">
        <f t="shared" si="51"/>
        <v>0</v>
      </c>
      <c r="K1489" s="50" t="s">
        <v>2925</v>
      </c>
      <c r="L1489" s="50">
        <v>244</v>
      </c>
      <c r="M1489" s="50" t="s">
        <v>1127</v>
      </c>
      <c r="N1489" s="68" t="s">
        <v>3578</v>
      </c>
      <c r="O1489" s="68" t="s">
        <v>3579</v>
      </c>
      <c r="P1489" s="68" t="s">
        <v>4993</v>
      </c>
    </row>
    <row r="1490" spans="1:16" ht="82.05" customHeight="1" x14ac:dyDescent="0.3">
      <c r="A1490" s="119" t="s">
        <v>3091</v>
      </c>
      <c r="B1490" s="119" t="s">
        <v>114</v>
      </c>
      <c r="C1490" s="119" t="s">
        <v>965</v>
      </c>
      <c r="D1490" s="119" t="s">
        <v>308</v>
      </c>
      <c r="E1490" s="120">
        <v>1869167</v>
      </c>
      <c r="F1490" s="120">
        <v>1869167</v>
      </c>
      <c r="G1490" s="120" t="s">
        <v>2033</v>
      </c>
      <c r="H1490" s="120">
        <f t="shared" si="50"/>
        <v>1869.1669999999999</v>
      </c>
      <c r="I1490" s="120">
        <f>FCCL!C54</f>
        <v>1869.1669999999999</v>
      </c>
      <c r="J1490" s="120">
        <f t="shared" si="51"/>
        <v>0</v>
      </c>
      <c r="K1490" s="119" t="s">
        <v>2916</v>
      </c>
      <c r="L1490" s="119">
        <v>164</v>
      </c>
      <c r="M1490" s="119" t="s">
        <v>1106</v>
      </c>
      <c r="N1490" s="122" t="s">
        <v>3564</v>
      </c>
      <c r="O1490" s="122" t="s">
        <v>3565</v>
      </c>
      <c r="P1490" s="122" t="s">
        <v>4994</v>
      </c>
    </row>
    <row r="1491" spans="1:16" ht="82.05" customHeight="1" x14ac:dyDescent="0.3">
      <c r="A1491" s="50" t="s">
        <v>3092</v>
      </c>
      <c r="B1491" s="50" t="s">
        <v>114</v>
      </c>
      <c r="C1491" s="50" t="s">
        <v>20</v>
      </c>
      <c r="D1491" s="50" t="s">
        <v>308</v>
      </c>
      <c r="E1491" s="121">
        <v>1616787</v>
      </c>
      <c r="F1491" s="121">
        <v>1616787</v>
      </c>
      <c r="G1491" s="121" t="s">
        <v>2033</v>
      </c>
      <c r="H1491" s="121">
        <f t="shared" si="50"/>
        <v>1616.787</v>
      </c>
      <c r="I1491" s="121">
        <f>FCCL!D54</f>
        <v>1616.787</v>
      </c>
      <c r="J1491" s="121">
        <f t="shared" si="51"/>
        <v>0</v>
      </c>
      <c r="K1491" s="50" t="s">
        <v>2918</v>
      </c>
      <c r="L1491" s="50">
        <v>186</v>
      </c>
      <c r="M1491" s="50" t="s">
        <v>1106</v>
      </c>
      <c r="N1491" s="68" t="s">
        <v>3564</v>
      </c>
      <c r="O1491" s="68" t="s">
        <v>3565</v>
      </c>
      <c r="P1491" s="68" t="s">
        <v>4995</v>
      </c>
    </row>
    <row r="1492" spans="1:16" ht="82.05" customHeight="1" x14ac:dyDescent="0.3">
      <c r="A1492" s="119" t="s">
        <v>3094</v>
      </c>
      <c r="B1492" s="119" t="s">
        <v>114</v>
      </c>
      <c r="C1492" s="119" t="s">
        <v>26</v>
      </c>
      <c r="D1492" s="119" t="s">
        <v>308</v>
      </c>
      <c r="E1492" s="120">
        <v>10605249</v>
      </c>
      <c r="F1492" s="120">
        <v>10605249</v>
      </c>
      <c r="G1492" s="120" t="s">
        <v>2033</v>
      </c>
      <c r="H1492" s="120">
        <f t="shared" si="50"/>
        <v>10605.249</v>
      </c>
      <c r="I1492" s="120">
        <f>FCCL!E54</f>
        <v>10605.249</v>
      </c>
      <c r="J1492" s="120">
        <f t="shared" si="51"/>
        <v>0</v>
      </c>
      <c r="K1492" s="119" t="s">
        <v>2920</v>
      </c>
      <c r="L1492" s="119">
        <v>208</v>
      </c>
      <c r="M1492" s="119" t="s">
        <v>1106</v>
      </c>
      <c r="N1492" s="122" t="s">
        <v>3602</v>
      </c>
      <c r="O1492" s="122" t="s">
        <v>3603</v>
      </c>
      <c r="P1492" s="122" t="s">
        <v>4996</v>
      </c>
    </row>
    <row r="1493" spans="1:16" ht="82.05" customHeight="1" x14ac:dyDescent="0.3">
      <c r="A1493" s="50" t="s">
        <v>3096</v>
      </c>
      <c r="B1493" s="50" t="s">
        <v>114</v>
      </c>
      <c r="C1493" s="50" t="s">
        <v>27</v>
      </c>
      <c r="D1493" s="50" t="s">
        <v>308</v>
      </c>
      <c r="E1493" s="121">
        <v>11917981</v>
      </c>
      <c r="F1493" s="121">
        <v>11917981</v>
      </c>
      <c r="G1493" s="121" t="s">
        <v>2033</v>
      </c>
      <c r="H1493" s="121">
        <f t="shared" si="50"/>
        <v>11917.981</v>
      </c>
      <c r="I1493" s="121">
        <f>FCCL!F54</f>
        <v>11917.981</v>
      </c>
      <c r="J1493" s="121">
        <f t="shared" si="51"/>
        <v>0</v>
      </c>
      <c r="K1493" s="50" t="s">
        <v>2923</v>
      </c>
      <c r="L1493" s="50">
        <v>190</v>
      </c>
      <c r="M1493" s="50" t="s">
        <v>1106</v>
      </c>
      <c r="N1493" s="68" t="s">
        <v>3602</v>
      </c>
      <c r="O1493" s="68" t="s">
        <v>3603</v>
      </c>
      <c r="P1493" s="68" t="s">
        <v>4997</v>
      </c>
    </row>
    <row r="1494" spans="1:16" ht="82.05" customHeight="1" x14ac:dyDescent="0.3">
      <c r="A1494" s="119" t="s">
        <v>3097</v>
      </c>
      <c r="B1494" s="119" t="s">
        <v>114</v>
      </c>
      <c r="C1494" s="119" t="s">
        <v>28</v>
      </c>
      <c r="D1494" s="119" t="s">
        <v>308</v>
      </c>
      <c r="E1494" s="120">
        <v>8837934</v>
      </c>
      <c r="F1494" s="120">
        <v>8837934</v>
      </c>
      <c r="G1494" s="120" t="s">
        <v>2033</v>
      </c>
      <c r="H1494" s="120">
        <f t="shared" si="50"/>
        <v>8837.9339999999993</v>
      </c>
      <c r="I1494" s="120">
        <f>FCCL!G54</f>
        <v>8837.9339999999993</v>
      </c>
      <c r="J1494" s="120">
        <f t="shared" si="51"/>
        <v>0</v>
      </c>
      <c r="K1494" s="119" t="s">
        <v>2925</v>
      </c>
      <c r="L1494" s="119">
        <v>244</v>
      </c>
      <c r="M1494" s="119" t="s">
        <v>1106</v>
      </c>
      <c r="N1494" s="122" t="s">
        <v>3602</v>
      </c>
      <c r="O1494" s="122" t="s">
        <v>3603</v>
      </c>
      <c r="P1494" s="122" t="s">
        <v>4998</v>
      </c>
    </row>
    <row r="1495" spans="1:16" ht="82.05" customHeight="1" x14ac:dyDescent="0.3">
      <c r="A1495" s="50" t="s">
        <v>3098</v>
      </c>
      <c r="B1495" s="50" t="s">
        <v>114</v>
      </c>
      <c r="C1495" s="50" t="s">
        <v>29</v>
      </c>
      <c r="D1495" s="50" t="s">
        <v>308</v>
      </c>
      <c r="E1495" s="121">
        <v>9764648</v>
      </c>
      <c r="F1495" s="121">
        <v>9764648</v>
      </c>
      <c r="G1495" s="121" t="s">
        <v>2033</v>
      </c>
      <c r="H1495" s="121">
        <f t="shared" si="50"/>
        <v>9764.6479999999992</v>
      </c>
      <c r="I1495" s="121">
        <f>FCCL!H54</f>
        <v>9764.6479999999992</v>
      </c>
      <c r="J1495" s="121">
        <f t="shared" si="51"/>
        <v>0</v>
      </c>
      <c r="K1495" s="50" t="s">
        <v>2925</v>
      </c>
      <c r="L1495" s="50">
        <v>244</v>
      </c>
      <c r="M1495" s="50" t="s">
        <v>1127</v>
      </c>
      <c r="N1495" s="68" t="s">
        <v>3602</v>
      </c>
      <c r="O1495" s="68" t="s">
        <v>3603</v>
      </c>
      <c r="P1495" s="68" t="s">
        <v>4998</v>
      </c>
    </row>
    <row r="1496" spans="1:16" ht="82.05" customHeight="1" x14ac:dyDescent="0.3">
      <c r="A1496" s="119" t="s">
        <v>3099</v>
      </c>
      <c r="B1496" s="119" t="s">
        <v>114</v>
      </c>
      <c r="C1496" s="119" t="s">
        <v>965</v>
      </c>
      <c r="D1496" s="119" t="s">
        <v>310</v>
      </c>
      <c r="E1496" s="120">
        <v>303912</v>
      </c>
      <c r="F1496" s="120">
        <v>303912</v>
      </c>
      <c r="G1496" s="120" t="s">
        <v>2033</v>
      </c>
      <c r="H1496" s="120">
        <f t="shared" si="50"/>
        <v>303.91199999999998</v>
      </c>
      <c r="I1496" s="120">
        <f>FCCL!C55</f>
        <v>303.91199999999998</v>
      </c>
      <c r="J1496" s="120">
        <f t="shared" si="51"/>
        <v>0</v>
      </c>
      <c r="K1496" s="119" t="s">
        <v>2916</v>
      </c>
      <c r="L1496" s="119">
        <v>164</v>
      </c>
      <c r="M1496" s="119" t="s">
        <v>1106</v>
      </c>
      <c r="N1496" s="122" t="s">
        <v>3564</v>
      </c>
      <c r="O1496" s="122" t="s">
        <v>3565</v>
      </c>
      <c r="P1496" s="122" t="s">
        <v>4999</v>
      </c>
    </row>
    <row r="1497" spans="1:16" ht="82.05" customHeight="1" x14ac:dyDescent="0.3">
      <c r="A1497" s="50" t="s">
        <v>3101</v>
      </c>
      <c r="B1497" s="50" t="s">
        <v>114</v>
      </c>
      <c r="C1497" s="50" t="s">
        <v>20</v>
      </c>
      <c r="D1497" s="50" t="s">
        <v>310</v>
      </c>
      <c r="E1497" s="121">
        <v>361521</v>
      </c>
      <c r="F1497" s="121">
        <v>361521</v>
      </c>
      <c r="G1497" s="121" t="s">
        <v>2033</v>
      </c>
      <c r="H1497" s="121">
        <f t="shared" si="50"/>
        <v>361.52100000000002</v>
      </c>
      <c r="I1497" s="121">
        <f>FCCL!D55</f>
        <v>361.52100000000002</v>
      </c>
      <c r="J1497" s="121">
        <f t="shared" si="51"/>
        <v>0</v>
      </c>
      <c r="K1497" s="50" t="s">
        <v>2918</v>
      </c>
      <c r="L1497" s="50">
        <v>186</v>
      </c>
      <c r="M1497" s="50" t="s">
        <v>1106</v>
      </c>
      <c r="N1497" s="68" t="s">
        <v>3564</v>
      </c>
      <c r="O1497" s="68" t="s">
        <v>3565</v>
      </c>
      <c r="P1497" s="68" t="s">
        <v>5000</v>
      </c>
    </row>
    <row r="1498" spans="1:16" ht="82.05" customHeight="1" x14ac:dyDescent="0.3">
      <c r="A1498" s="119" t="s">
        <v>3102</v>
      </c>
      <c r="B1498" s="119" t="s">
        <v>114</v>
      </c>
      <c r="C1498" s="119" t="s">
        <v>26</v>
      </c>
      <c r="D1498" s="119" t="s">
        <v>310</v>
      </c>
      <c r="E1498" s="120">
        <v>2985087</v>
      </c>
      <c r="F1498" s="120">
        <v>2985087</v>
      </c>
      <c r="G1498" s="120" t="s">
        <v>2033</v>
      </c>
      <c r="H1498" s="120">
        <f t="shared" si="50"/>
        <v>2985.087</v>
      </c>
      <c r="I1498" s="120">
        <f>FCCL!E55</f>
        <v>2985.087</v>
      </c>
      <c r="J1498" s="120">
        <f t="shared" si="51"/>
        <v>0</v>
      </c>
      <c r="K1498" s="119" t="s">
        <v>2920</v>
      </c>
      <c r="L1498" s="119">
        <v>208</v>
      </c>
      <c r="M1498" s="119" t="s">
        <v>1106</v>
      </c>
      <c r="N1498" s="122" t="s">
        <v>3564</v>
      </c>
      <c r="O1498" s="122" t="s">
        <v>3565</v>
      </c>
      <c r="P1498" s="122" t="s">
        <v>5001</v>
      </c>
    </row>
    <row r="1499" spans="1:16" ht="82.05" customHeight="1" x14ac:dyDescent="0.3">
      <c r="A1499" s="50" t="s">
        <v>3103</v>
      </c>
      <c r="B1499" s="50" t="s">
        <v>114</v>
      </c>
      <c r="C1499" s="50" t="s">
        <v>27</v>
      </c>
      <c r="D1499" s="50" t="s">
        <v>310</v>
      </c>
      <c r="E1499" s="121">
        <v>4176493</v>
      </c>
      <c r="F1499" s="121">
        <v>4176493</v>
      </c>
      <c r="G1499" s="121" t="s">
        <v>2033</v>
      </c>
      <c r="H1499" s="121">
        <f t="shared" si="50"/>
        <v>4176.4930000000004</v>
      </c>
      <c r="I1499" s="121">
        <f>FCCL!F55</f>
        <v>4176.4930000000004</v>
      </c>
      <c r="J1499" s="121">
        <f t="shared" si="51"/>
        <v>0</v>
      </c>
      <c r="K1499" s="50" t="s">
        <v>2923</v>
      </c>
      <c r="L1499" s="50">
        <v>190</v>
      </c>
      <c r="M1499" s="50" t="s">
        <v>1106</v>
      </c>
      <c r="N1499" s="68" t="s">
        <v>3564</v>
      </c>
      <c r="O1499" s="68" t="s">
        <v>3565</v>
      </c>
      <c r="P1499" s="68" t="s">
        <v>5002</v>
      </c>
    </row>
    <row r="1500" spans="1:16" ht="82.05" customHeight="1" x14ac:dyDescent="0.3">
      <c r="A1500" s="119" t="s">
        <v>3104</v>
      </c>
      <c r="B1500" s="119" t="s">
        <v>114</v>
      </c>
      <c r="C1500" s="119" t="s">
        <v>28</v>
      </c>
      <c r="D1500" s="119" t="s">
        <v>310</v>
      </c>
      <c r="E1500" s="120">
        <v>5066868</v>
      </c>
      <c r="F1500" s="120">
        <v>5066868</v>
      </c>
      <c r="G1500" s="120" t="s">
        <v>2033</v>
      </c>
      <c r="H1500" s="120">
        <f t="shared" si="50"/>
        <v>5066.8680000000004</v>
      </c>
      <c r="I1500" s="120">
        <f>FCCL!G55</f>
        <v>5066.8680000000004</v>
      </c>
      <c r="J1500" s="120">
        <f t="shared" si="51"/>
        <v>0</v>
      </c>
      <c r="K1500" s="119" t="s">
        <v>2925</v>
      </c>
      <c r="L1500" s="119">
        <v>244</v>
      </c>
      <c r="M1500" s="119" t="s">
        <v>1106</v>
      </c>
      <c r="N1500" s="122" t="s">
        <v>3564</v>
      </c>
      <c r="O1500" s="122" t="s">
        <v>3565</v>
      </c>
      <c r="P1500" s="122" t="s">
        <v>5003</v>
      </c>
    </row>
    <row r="1501" spans="1:16" ht="82.05" customHeight="1" x14ac:dyDescent="0.3">
      <c r="A1501" s="50" t="s">
        <v>3105</v>
      </c>
      <c r="B1501" s="50" t="s">
        <v>114</v>
      </c>
      <c r="C1501" s="50" t="s">
        <v>29</v>
      </c>
      <c r="D1501" s="50" t="s">
        <v>310</v>
      </c>
      <c r="E1501" s="121">
        <v>6104065</v>
      </c>
      <c r="F1501" s="121">
        <v>6104065</v>
      </c>
      <c r="G1501" s="121" t="s">
        <v>2033</v>
      </c>
      <c r="H1501" s="121">
        <f t="shared" si="50"/>
        <v>6104.0649999999996</v>
      </c>
      <c r="I1501" s="121">
        <f>FCCL!H55</f>
        <v>6104.0649999999996</v>
      </c>
      <c r="J1501" s="121">
        <f t="shared" si="51"/>
        <v>0</v>
      </c>
      <c r="K1501" s="50" t="s">
        <v>2925</v>
      </c>
      <c r="L1501" s="50">
        <v>244</v>
      </c>
      <c r="M1501" s="50" t="s">
        <v>1127</v>
      </c>
      <c r="N1501" s="68" t="s">
        <v>3564</v>
      </c>
      <c r="O1501" s="68" t="s">
        <v>3565</v>
      </c>
      <c r="P1501" s="68" t="s">
        <v>5004</v>
      </c>
    </row>
    <row r="1502" spans="1:16" ht="82.05" customHeight="1" x14ac:dyDescent="0.3">
      <c r="A1502" s="119" t="s">
        <v>3106</v>
      </c>
      <c r="B1502" s="119" t="s">
        <v>114</v>
      </c>
      <c r="C1502" s="119" t="s">
        <v>965</v>
      </c>
      <c r="D1502" s="119" t="s">
        <v>312</v>
      </c>
      <c r="E1502" s="120">
        <v>23737</v>
      </c>
      <c r="F1502" s="120">
        <v>23737</v>
      </c>
      <c r="G1502" s="120" t="s">
        <v>2033</v>
      </c>
      <c r="H1502" s="120">
        <f t="shared" si="50"/>
        <v>23.736999999999998</v>
      </c>
      <c r="I1502" s="120">
        <f>FCCL!C56</f>
        <v>23.736999999999998</v>
      </c>
      <c r="J1502" s="120">
        <f t="shared" si="51"/>
        <v>0</v>
      </c>
      <c r="K1502" s="119" t="s">
        <v>2916</v>
      </c>
      <c r="L1502" s="119">
        <v>164</v>
      </c>
      <c r="M1502" s="119" t="s">
        <v>1106</v>
      </c>
      <c r="N1502" s="122" t="s">
        <v>3564</v>
      </c>
      <c r="O1502" s="122" t="s">
        <v>3565</v>
      </c>
      <c r="P1502" s="122" t="s">
        <v>5005</v>
      </c>
    </row>
    <row r="1503" spans="1:16" ht="82.05" customHeight="1" x14ac:dyDescent="0.3">
      <c r="A1503" s="50" t="s">
        <v>3108</v>
      </c>
      <c r="B1503" s="50" t="s">
        <v>114</v>
      </c>
      <c r="C1503" s="50" t="s">
        <v>20</v>
      </c>
      <c r="D1503" s="50" t="s">
        <v>312</v>
      </c>
      <c r="E1503" s="121">
        <v>24686</v>
      </c>
      <c r="F1503" s="121">
        <v>24686</v>
      </c>
      <c r="G1503" s="121" t="s">
        <v>2033</v>
      </c>
      <c r="H1503" s="121">
        <f t="shared" si="50"/>
        <v>24.686</v>
      </c>
      <c r="I1503" s="121">
        <f>FCCL!D56</f>
        <v>24.686</v>
      </c>
      <c r="J1503" s="121">
        <f t="shared" si="51"/>
        <v>0</v>
      </c>
      <c r="K1503" s="50" t="s">
        <v>2918</v>
      </c>
      <c r="L1503" s="50">
        <v>186</v>
      </c>
      <c r="M1503" s="50" t="s">
        <v>1106</v>
      </c>
      <c r="N1503" s="68" t="s">
        <v>3564</v>
      </c>
      <c r="O1503" s="68" t="s">
        <v>3565</v>
      </c>
      <c r="P1503" s="68" t="s">
        <v>5006</v>
      </c>
    </row>
    <row r="1504" spans="1:16" ht="82.05" customHeight="1" x14ac:dyDescent="0.3">
      <c r="A1504" s="119" t="s">
        <v>3109</v>
      </c>
      <c r="B1504" s="119" t="s">
        <v>114</v>
      </c>
      <c r="C1504" s="119" t="s">
        <v>26</v>
      </c>
      <c r="D1504" s="119" t="s">
        <v>312</v>
      </c>
      <c r="E1504" s="120">
        <v>68332</v>
      </c>
      <c r="F1504" s="120">
        <v>68332</v>
      </c>
      <c r="G1504" s="120" t="s">
        <v>2033</v>
      </c>
      <c r="H1504" s="120">
        <f t="shared" si="50"/>
        <v>68.331999999999994</v>
      </c>
      <c r="I1504" s="120">
        <f>FCCL!E56</f>
        <v>68.331999999999994</v>
      </c>
      <c r="J1504" s="120">
        <f t="shared" si="51"/>
        <v>0</v>
      </c>
      <c r="K1504" s="119" t="s">
        <v>2920</v>
      </c>
      <c r="L1504" s="119">
        <v>208</v>
      </c>
      <c r="M1504" s="119" t="s">
        <v>1106</v>
      </c>
      <c r="N1504" s="122" t="s">
        <v>3564</v>
      </c>
      <c r="O1504" s="122" t="s">
        <v>3565</v>
      </c>
      <c r="P1504" s="122" t="s">
        <v>5007</v>
      </c>
    </row>
    <row r="1505" spans="1:16" ht="82.05" customHeight="1" x14ac:dyDescent="0.3">
      <c r="A1505" s="50" t="s">
        <v>3110</v>
      </c>
      <c r="B1505" s="50" t="s">
        <v>114</v>
      </c>
      <c r="C1505" s="50" t="s">
        <v>27</v>
      </c>
      <c r="D1505" s="50" t="s">
        <v>312</v>
      </c>
      <c r="E1505" s="121">
        <v>50463</v>
      </c>
      <c r="F1505" s="121">
        <v>50463</v>
      </c>
      <c r="G1505" s="121" t="s">
        <v>2033</v>
      </c>
      <c r="H1505" s="121">
        <f t="shared" si="50"/>
        <v>50.463000000000001</v>
      </c>
      <c r="I1505" s="121">
        <f>FCCL!F56</f>
        <v>50.463000000000001</v>
      </c>
      <c r="J1505" s="121">
        <f t="shared" si="51"/>
        <v>0</v>
      </c>
      <c r="K1505" s="50" t="s">
        <v>2923</v>
      </c>
      <c r="L1505" s="50">
        <v>190</v>
      </c>
      <c r="M1505" s="50" t="s">
        <v>1106</v>
      </c>
      <c r="N1505" s="68" t="s">
        <v>3564</v>
      </c>
      <c r="O1505" s="68" t="s">
        <v>3565</v>
      </c>
      <c r="P1505" s="68" t="s">
        <v>5008</v>
      </c>
    </row>
    <row r="1506" spans="1:16" ht="82.05" customHeight="1" x14ac:dyDescent="0.3">
      <c r="A1506" s="119" t="s">
        <v>3111</v>
      </c>
      <c r="B1506" s="119" t="s">
        <v>114</v>
      </c>
      <c r="C1506" s="119" t="s">
        <v>28</v>
      </c>
      <c r="D1506" s="119" t="s">
        <v>312</v>
      </c>
      <c r="E1506" s="120">
        <v>46206</v>
      </c>
      <c r="F1506" s="120">
        <v>46206</v>
      </c>
      <c r="G1506" s="120" t="s">
        <v>2033</v>
      </c>
      <c r="H1506" s="120">
        <f t="shared" si="50"/>
        <v>46.206000000000003</v>
      </c>
      <c r="I1506" s="120">
        <f>FCCL!G56</f>
        <v>46.206000000000003</v>
      </c>
      <c r="J1506" s="120">
        <f t="shared" si="51"/>
        <v>0</v>
      </c>
      <c r="K1506" s="119" t="s">
        <v>2925</v>
      </c>
      <c r="L1506" s="119">
        <v>244</v>
      </c>
      <c r="M1506" s="119" t="s">
        <v>1106</v>
      </c>
      <c r="N1506" s="122" t="s">
        <v>3564</v>
      </c>
      <c r="O1506" s="122" t="s">
        <v>3565</v>
      </c>
      <c r="P1506" s="122" t="s">
        <v>5009</v>
      </c>
    </row>
    <row r="1507" spans="1:16" ht="82.05" customHeight="1" x14ac:dyDescent="0.3">
      <c r="A1507" s="50" t="s">
        <v>3112</v>
      </c>
      <c r="B1507" s="50" t="s">
        <v>114</v>
      </c>
      <c r="C1507" s="50" t="s">
        <v>29</v>
      </c>
      <c r="D1507" s="50" t="s">
        <v>312</v>
      </c>
      <c r="E1507" s="121">
        <v>43099</v>
      </c>
      <c r="F1507" s="121">
        <v>43099</v>
      </c>
      <c r="G1507" s="121" t="s">
        <v>2033</v>
      </c>
      <c r="H1507" s="121">
        <f t="shared" si="50"/>
        <v>43.098999999999997</v>
      </c>
      <c r="I1507" s="121">
        <f>FCCL!H56</f>
        <v>43.098999999999997</v>
      </c>
      <c r="J1507" s="121">
        <f t="shared" si="51"/>
        <v>0</v>
      </c>
      <c r="K1507" s="50" t="s">
        <v>2925</v>
      </c>
      <c r="L1507" s="50">
        <v>244</v>
      </c>
      <c r="M1507" s="50" t="s">
        <v>1127</v>
      </c>
      <c r="N1507" s="68" t="s">
        <v>3564</v>
      </c>
      <c r="O1507" s="68" t="s">
        <v>3565</v>
      </c>
      <c r="P1507" s="68" t="s">
        <v>5010</v>
      </c>
    </row>
    <row r="1508" spans="1:16" ht="82.05" customHeight="1" x14ac:dyDescent="0.3">
      <c r="A1508" s="119" t="s">
        <v>3113</v>
      </c>
      <c r="B1508" s="119" t="s">
        <v>114</v>
      </c>
      <c r="C1508" s="119" t="s">
        <v>965</v>
      </c>
      <c r="D1508" s="119" t="s">
        <v>314</v>
      </c>
      <c r="E1508" s="120">
        <v>0</v>
      </c>
      <c r="F1508" s="120">
        <v>0</v>
      </c>
      <c r="G1508" s="120" t="s">
        <v>2033</v>
      </c>
      <c r="H1508" s="120">
        <f t="shared" si="50"/>
        <v>0</v>
      </c>
      <c r="I1508" s="120">
        <f>FCCL!C57</f>
        <v>0</v>
      </c>
      <c r="J1508" s="120">
        <f t="shared" si="51"/>
        <v>0</v>
      </c>
      <c r="K1508" s="119" t="s">
        <v>2916</v>
      </c>
      <c r="L1508" s="119">
        <v>164</v>
      </c>
      <c r="M1508" s="119" t="s">
        <v>1106</v>
      </c>
      <c r="N1508" s="122" t="s">
        <v>3578</v>
      </c>
      <c r="O1508" s="122" t="s">
        <v>3579</v>
      </c>
      <c r="P1508" s="122" t="s">
        <v>5011</v>
      </c>
    </row>
    <row r="1509" spans="1:16" ht="82.05" customHeight="1" x14ac:dyDescent="0.3">
      <c r="A1509" s="50" t="s">
        <v>3114</v>
      </c>
      <c r="B1509" s="50" t="s">
        <v>114</v>
      </c>
      <c r="C1509" s="50" t="s">
        <v>20</v>
      </c>
      <c r="D1509" s="50" t="s">
        <v>314</v>
      </c>
      <c r="E1509" s="121">
        <v>15654</v>
      </c>
      <c r="F1509" s="121">
        <v>15654</v>
      </c>
      <c r="G1509" s="121" t="s">
        <v>2033</v>
      </c>
      <c r="H1509" s="121">
        <f t="shared" si="50"/>
        <v>15.654</v>
      </c>
      <c r="I1509" s="121">
        <f>FCCL!D57</f>
        <v>15.654</v>
      </c>
      <c r="J1509" s="121">
        <f t="shared" si="51"/>
        <v>0</v>
      </c>
      <c r="K1509" s="50" t="s">
        <v>2918</v>
      </c>
      <c r="L1509" s="50">
        <v>186</v>
      </c>
      <c r="M1509" s="50" t="s">
        <v>1106</v>
      </c>
      <c r="N1509" s="68" t="s">
        <v>3564</v>
      </c>
      <c r="O1509" s="68" t="s">
        <v>3565</v>
      </c>
      <c r="P1509" s="68" t="s">
        <v>5012</v>
      </c>
    </row>
    <row r="1510" spans="1:16" ht="82.05" customHeight="1" x14ac:dyDescent="0.3">
      <c r="A1510" s="119" t="s">
        <v>3116</v>
      </c>
      <c r="B1510" s="119" t="s">
        <v>114</v>
      </c>
      <c r="C1510" s="119" t="s">
        <v>26</v>
      </c>
      <c r="D1510" s="119" t="s">
        <v>314</v>
      </c>
      <c r="E1510" s="120">
        <v>366464</v>
      </c>
      <c r="F1510" s="120">
        <v>366464</v>
      </c>
      <c r="G1510" s="120" t="s">
        <v>2033</v>
      </c>
      <c r="H1510" s="120">
        <f t="shared" si="50"/>
        <v>366.464</v>
      </c>
      <c r="I1510" s="120">
        <f>FCCL!E57</f>
        <v>366.464</v>
      </c>
      <c r="J1510" s="120">
        <f t="shared" si="51"/>
        <v>0</v>
      </c>
      <c r="K1510" s="119" t="s">
        <v>2920</v>
      </c>
      <c r="L1510" s="119">
        <v>208</v>
      </c>
      <c r="M1510" s="119" t="s">
        <v>1106</v>
      </c>
      <c r="N1510" s="122" t="s">
        <v>3564</v>
      </c>
      <c r="O1510" s="122" t="s">
        <v>3565</v>
      </c>
      <c r="P1510" s="122" t="s">
        <v>5013</v>
      </c>
    </row>
    <row r="1511" spans="1:16" ht="82.05" customHeight="1" x14ac:dyDescent="0.3">
      <c r="A1511" s="50" t="s">
        <v>3117</v>
      </c>
      <c r="B1511" s="50" t="s">
        <v>114</v>
      </c>
      <c r="C1511" s="50" t="s">
        <v>27</v>
      </c>
      <c r="D1511" s="50" t="s">
        <v>314</v>
      </c>
      <c r="E1511" s="121">
        <v>604292</v>
      </c>
      <c r="F1511" s="121">
        <v>604292</v>
      </c>
      <c r="G1511" s="121" t="s">
        <v>2033</v>
      </c>
      <c r="H1511" s="121">
        <f t="shared" si="50"/>
        <v>604.29200000000003</v>
      </c>
      <c r="I1511" s="121">
        <f>FCCL!F57</f>
        <v>604.29200000000003</v>
      </c>
      <c r="J1511" s="121">
        <f t="shared" si="51"/>
        <v>0</v>
      </c>
      <c r="K1511" s="50" t="s">
        <v>2923</v>
      </c>
      <c r="L1511" s="50">
        <v>190</v>
      </c>
      <c r="M1511" s="50" t="s">
        <v>1106</v>
      </c>
      <c r="N1511" s="68" t="s">
        <v>3564</v>
      </c>
      <c r="O1511" s="68" t="s">
        <v>3565</v>
      </c>
      <c r="P1511" s="68" t="s">
        <v>5014</v>
      </c>
    </row>
    <row r="1512" spans="1:16" ht="82.05" customHeight="1" x14ac:dyDescent="0.3">
      <c r="A1512" s="119" t="s">
        <v>3118</v>
      </c>
      <c r="B1512" s="119" t="s">
        <v>114</v>
      </c>
      <c r="C1512" s="119" t="s">
        <v>28</v>
      </c>
      <c r="D1512" s="119" t="s">
        <v>314</v>
      </c>
      <c r="E1512" s="120">
        <v>580891</v>
      </c>
      <c r="F1512" s="120">
        <v>580891</v>
      </c>
      <c r="G1512" s="120" t="s">
        <v>2033</v>
      </c>
      <c r="H1512" s="120">
        <f t="shared" si="50"/>
        <v>580.89099999999996</v>
      </c>
      <c r="I1512" s="120">
        <f>FCCL!G57</f>
        <v>580.89099999999996</v>
      </c>
      <c r="J1512" s="120">
        <f t="shared" si="51"/>
        <v>0</v>
      </c>
      <c r="K1512" s="119" t="s">
        <v>2925</v>
      </c>
      <c r="L1512" s="119">
        <v>244</v>
      </c>
      <c r="M1512" s="119" t="s">
        <v>1106</v>
      </c>
      <c r="N1512" s="122" t="s">
        <v>3564</v>
      </c>
      <c r="O1512" s="122" t="s">
        <v>3565</v>
      </c>
      <c r="P1512" s="122" t="s">
        <v>5015</v>
      </c>
    </row>
    <row r="1513" spans="1:16" ht="82.05" customHeight="1" x14ac:dyDescent="0.3">
      <c r="A1513" s="50" t="s">
        <v>3119</v>
      </c>
      <c r="B1513" s="50" t="s">
        <v>114</v>
      </c>
      <c r="C1513" s="50" t="s">
        <v>29</v>
      </c>
      <c r="D1513" s="50" t="s">
        <v>314</v>
      </c>
      <c r="E1513" s="121">
        <v>515175</v>
      </c>
      <c r="F1513" s="121">
        <v>515175</v>
      </c>
      <c r="G1513" s="121" t="s">
        <v>2033</v>
      </c>
      <c r="H1513" s="121">
        <f t="shared" si="50"/>
        <v>515.17499999999995</v>
      </c>
      <c r="I1513" s="121">
        <f>FCCL!H57</f>
        <v>515.17499999999995</v>
      </c>
      <c r="J1513" s="121">
        <f t="shared" si="51"/>
        <v>0</v>
      </c>
      <c r="K1513" s="50" t="s">
        <v>2925</v>
      </c>
      <c r="L1513" s="50">
        <v>244</v>
      </c>
      <c r="M1513" s="50" t="s">
        <v>1127</v>
      </c>
      <c r="N1513" s="68" t="s">
        <v>3564</v>
      </c>
      <c r="O1513" s="68" t="s">
        <v>3565</v>
      </c>
      <c r="P1513" s="68" t="s">
        <v>5016</v>
      </c>
    </row>
    <row r="1514" spans="1:16" ht="82.05" customHeight="1" x14ac:dyDescent="0.3">
      <c r="A1514" s="119" t="s">
        <v>3120</v>
      </c>
      <c r="B1514" s="119" t="s">
        <v>114</v>
      </c>
      <c r="C1514" s="119" t="s">
        <v>965</v>
      </c>
      <c r="D1514" s="119" t="s">
        <v>316</v>
      </c>
      <c r="E1514" s="120">
        <v>40051</v>
      </c>
      <c r="F1514" s="120">
        <v>40051</v>
      </c>
      <c r="G1514" s="120" t="s">
        <v>2033</v>
      </c>
      <c r="H1514" s="120">
        <f t="shared" si="50"/>
        <v>40.051000000000002</v>
      </c>
      <c r="I1514" s="120">
        <f>FCCL!C58</f>
        <v>40.051000000000002</v>
      </c>
      <c r="J1514" s="120">
        <f t="shared" si="51"/>
        <v>0</v>
      </c>
      <c r="K1514" s="119" t="s">
        <v>2916</v>
      </c>
      <c r="L1514" s="119">
        <v>164</v>
      </c>
      <c r="M1514" s="119" t="s">
        <v>1106</v>
      </c>
      <c r="N1514" s="122" t="s">
        <v>3564</v>
      </c>
      <c r="O1514" s="122" t="s">
        <v>3565</v>
      </c>
      <c r="P1514" s="122" t="s">
        <v>5017</v>
      </c>
    </row>
    <row r="1515" spans="1:16" ht="82.05" customHeight="1" x14ac:dyDescent="0.3">
      <c r="A1515" s="50" t="s">
        <v>3121</v>
      </c>
      <c r="B1515" s="50" t="s">
        <v>114</v>
      </c>
      <c r="C1515" s="50" t="s">
        <v>20</v>
      </c>
      <c r="D1515" s="50" t="s">
        <v>316</v>
      </c>
      <c r="E1515" s="121">
        <v>38479</v>
      </c>
      <c r="F1515" s="121">
        <v>38479</v>
      </c>
      <c r="G1515" s="121" t="s">
        <v>2033</v>
      </c>
      <c r="H1515" s="121">
        <f t="shared" si="50"/>
        <v>38.478999999999999</v>
      </c>
      <c r="I1515" s="121">
        <f>FCCL!D58</f>
        <v>38.478999999999999</v>
      </c>
      <c r="J1515" s="121">
        <f t="shared" si="51"/>
        <v>0</v>
      </c>
      <c r="K1515" s="50" t="s">
        <v>2918</v>
      </c>
      <c r="L1515" s="50">
        <v>186</v>
      </c>
      <c r="M1515" s="50" t="s">
        <v>1106</v>
      </c>
      <c r="N1515" s="68" t="s">
        <v>3564</v>
      </c>
      <c r="O1515" s="68" t="s">
        <v>3565</v>
      </c>
      <c r="P1515" s="68" t="s">
        <v>5018</v>
      </c>
    </row>
    <row r="1516" spans="1:16" ht="82.05" customHeight="1" x14ac:dyDescent="0.3">
      <c r="A1516" s="119" t="s">
        <v>3122</v>
      </c>
      <c r="B1516" s="119" t="s">
        <v>114</v>
      </c>
      <c r="C1516" s="119" t="s">
        <v>26</v>
      </c>
      <c r="D1516" s="119" t="s">
        <v>316</v>
      </c>
      <c r="E1516" s="120">
        <v>37157</v>
      </c>
      <c r="F1516" s="120">
        <v>37157</v>
      </c>
      <c r="G1516" s="120" t="s">
        <v>2033</v>
      </c>
      <c r="H1516" s="120">
        <f t="shared" si="50"/>
        <v>37.156999999999996</v>
      </c>
      <c r="I1516" s="120">
        <f>FCCL!E58</f>
        <v>37.156999999999996</v>
      </c>
      <c r="J1516" s="120">
        <f t="shared" si="51"/>
        <v>0</v>
      </c>
      <c r="K1516" s="119" t="s">
        <v>2920</v>
      </c>
      <c r="L1516" s="119">
        <v>208</v>
      </c>
      <c r="M1516" s="119" t="s">
        <v>1106</v>
      </c>
      <c r="N1516" s="122" t="s">
        <v>3564</v>
      </c>
      <c r="O1516" s="122" t="s">
        <v>3565</v>
      </c>
      <c r="P1516" s="122" t="s">
        <v>5019</v>
      </c>
    </row>
    <row r="1517" spans="1:16" ht="82.05" customHeight="1" x14ac:dyDescent="0.3">
      <c r="A1517" s="50" t="s">
        <v>3123</v>
      </c>
      <c r="B1517" s="50" t="s">
        <v>114</v>
      </c>
      <c r="C1517" s="50" t="s">
        <v>27</v>
      </c>
      <c r="D1517" s="50" t="s">
        <v>316</v>
      </c>
      <c r="E1517" s="121">
        <v>36001</v>
      </c>
      <c r="F1517" s="121">
        <v>36001</v>
      </c>
      <c r="G1517" s="121" t="s">
        <v>2033</v>
      </c>
      <c r="H1517" s="121">
        <f t="shared" si="50"/>
        <v>36.000999999999998</v>
      </c>
      <c r="I1517" s="121">
        <f>FCCL!F58</f>
        <v>36.000999999999998</v>
      </c>
      <c r="J1517" s="121">
        <f t="shared" si="51"/>
        <v>0</v>
      </c>
      <c r="K1517" s="50" t="s">
        <v>2923</v>
      </c>
      <c r="L1517" s="50">
        <v>190</v>
      </c>
      <c r="M1517" s="50" t="s">
        <v>1106</v>
      </c>
      <c r="N1517" s="68" t="s">
        <v>3564</v>
      </c>
      <c r="O1517" s="68" t="s">
        <v>3565</v>
      </c>
      <c r="P1517" s="68" t="s">
        <v>5020</v>
      </c>
    </row>
    <row r="1518" spans="1:16" ht="82.05" customHeight="1" x14ac:dyDescent="0.3">
      <c r="A1518" s="119" t="s">
        <v>3124</v>
      </c>
      <c r="B1518" s="119" t="s">
        <v>114</v>
      </c>
      <c r="C1518" s="119" t="s">
        <v>28</v>
      </c>
      <c r="D1518" s="119" t="s">
        <v>316</v>
      </c>
      <c r="E1518" s="120">
        <v>35646</v>
      </c>
      <c r="F1518" s="120">
        <v>35646</v>
      </c>
      <c r="G1518" s="120" t="s">
        <v>2033</v>
      </c>
      <c r="H1518" s="120">
        <f t="shared" ref="H1518:H1581" si="52">F1518/1000</f>
        <v>35.646000000000001</v>
      </c>
      <c r="I1518" s="120">
        <f>FCCL!G58</f>
        <v>35.646000000000001</v>
      </c>
      <c r="J1518" s="120">
        <f t="shared" ref="J1518:J1581" si="53">H1518-I1518</f>
        <v>0</v>
      </c>
      <c r="K1518" s="119" t="s">
        <v>2925</v>
      </c>
      <c r="L1518" s="119">
        <v>244</v>
      </c>
      <c r="M1518" s="119" t="s">
        <v>1106</v>
      </c>
      <c r="N1518" s="122" t="s">
        <v>3564</v>
      </c>
      <c r="O1518" s="122" t="s">
        <v>3565</v>
      </c>
      <c r="P1518" s="122" t="s">
        <v>5021</v>
      </c>
    </row>
    <row r="1519" spans="1:16" ht="82.05" customHeight="1" x14ac:dyDescent="0.3">
      <c r="A1519" s="50" t="s">
        <v>3125</v>
      </c>
      <c r="B1519" s="50" t="s">
        <v>114</v>
      </c>
      <c r="C1519" s="50" t="s">
        <v>29</v>
      </c>
      <c r="D1519" s="50" t="s">
        <v>316</v>
      </c>
      <c r="E1519" s="121">
        <v>41182</v>
      </c>
      <c r="F1519" s="121">
        <v>41182</v>
      </c>
      <c r="G1519" s="121" t="s">
        <v>2033</v>
      </c>
      <c r="H1519" s="121">
        <f t="shared" si="52"/>
        <v>41.182000000000002</v>
      </c>
      <c r="I1519" s="121">
        <f>FCCL!H58</f>
        <v>41.182000000000002</v>
      </c>
      <c r="J1519" s="121">
        <f t="shared" si="53"/>
        <v>0</v>
      </c>
      <c r="K1519" s="50" t="s">
        <v>2925</v>
      </c>
      <c r="L1519" s="50">
        <v>244</v>
      </c>
      <c r="M1519" s="50" t="s">
        <v>1127</v>
      </c>
      <c r="N1519" s="68" t="s">
        <v>3564</v>
      </c>
      <c r="O1519" s="68" t="s">
        <v>3565</v>
      </c>
      <c r="P1519" s="68" t="s">
        <v>5022</v>
      </c>
    </row>
    <row r="1520" spans="1:16" ht="82.05" customHeight="1" x14ac:dyDescent="0.3">
      <c r="A1520" s="119" t="s">
        <v>3126</v>
      </c>
      <c r="B1520" s="119" t="s">
        <v>114</v>
      </c>
      <c r="C1520" s="119" t="s">
        <v>965</v>
      </c>
      <c r="D1520" s="119" t="s">
        <v>318</v>
      </c>
      <c r="E1520" s="120">
        <v>0</v>
      </c>
      <c r="F1520" s="120">
        <v>0</v>
      </c>
      <c r="G1520" s="120" t="s">
        <v>2033</v>
      </c>
      <c r="H1520" s="120">
        <f t="shared" si="52"/>
        <v>0</v>
      </c>
      <c r="I1520" s="120">
        <f>FCCL!C59</f>
        <v>0</v>
      </c>
      <c r="J1520" s="120">
        <f t="shared" si="53"/>
        <v>0</v>
      </c>
      <c r="K1520" s="119" t="s">
        <v>2916</v>
      </c>
      <c r="L1520" s="119">
        <v>164</v>
      </c>
      <c r="M1520" s="119" t="s">
        <v>1106</v>
      </c>
      <c r="N1520" s="122" t="s">
        <v>3578</v>
      </c>
      <c r="O1520" s="122" t="s">
        <v>3579</v>
      </c>
      <c r="P1520" s="122" t="s">
        <v>5023</v>
      </c>
    </row>
    <row r="1521" spans="1:16" ht="82.05" customHeight="1" x14ac:dyDescent="0.3">
      <c r="A1521" s="50" t="s">
        <v>3127</v>
      </c>
      <c r="B1521" s="50" t="s">
        <v>114</v>
      </c>
      <c r="C1521" s="50" t="s">
        <v>20</v>
      </c>
      <c r="D1521" s="50" t="s">
        <v>318</v>
      </c>
      <c r="E1521" s="121">
        <v>0</v>
      </c>
      <c r="F1521" s="121">
        <v>0</v>
      </c>
      <c r="G1521" s="121" t="s">
        <v>2033</v>
      </c>
      <c r="H1521" s="121">
        <f t="shared" si="52"/>
        <v>0</v>
      </c>
      <c r="I1521" s="121">
        <f>FCCL!D59</f>
        <v>0</v>
      </c>
      <c r="J1521" s="121">
        <f t="shared" si="53"/>
        <v>0</v>
      </c>
      <c r="K1521" s="50" t="s">
        <v>2918</v>
      </c>
      <c r="L1521" s="50">
        <v>186</v>
      </c>
      <c r="M1521" s="50" t="s">
        <v>1106</v>
      </c>
      <c r="N1521" s="68" t="s">
        <v>3578</v>
      </c>
      <c r="O1521" s="68" t="s">
        <v>3579</v>
      </c>
      <c r="P1521" s="68" t="s">
        <v>5024</v>
      </c>
    </row>
    <row r="1522" spans="1:16" ht="82.05" customHeight="1" x14ac:dyDescent="0.3">
      <c r="A1522" s="119" t="s">
        <v>3128</v>
      </c>
      <c r="B1522" s="119" t="s">
        <v>114</v>
      </c>
      <c r="C1522" s="119" t="s">
        <v>26</v>
      </c>
      <c r="D1522" s="119" t="s">
        <v>318</v>
      </c>
      <c r="E1522" s="120">
        <v>0</v>
      </c>
      <c r="F1522" s="120">
        <v>0</v>
      </c>
      <c r="G1522" s="120" t="s">
        <v>2033</v>
      </c>
      <c r="H1522" s="120">
        <f t="shared" si="52"/>
        <v>0</v>
      </c>
      <c r="I1522" s="120">
        <f>FCCL!E59</f>
        <v>0</v>
      </c>
      <c r="J1522" s="120">
        <f t="shared" si="53"/>
        <v>0</v>
      </c>
      <c r="K1522" s="119" t="s">
        <v>2920</v>
      </c>
      <c r="L1522" s="119">
        <v>208</v>
      </c>
      <c r="M1522" s="119" t="s">
        <v>1106</v>
      </c>
      <c r="N1522" s="122" t="s">
        <v>3578</v>
      </c>
      <c r="O1522" s="122" t="s">
        <v>3579</v>
      </c>
      <c r="P1522" s="122" t="s">
        <v>5025</v>
      </c>
    </row>
    <row r="1523" spans="1:16" ht="82.05" customHeight="1" x14ac:dyDescent="0.3">
      <c r="A1523" s="50" t="s">
        <v>3129</v>
      </c>
      <c r="B1523" s="50" t="s">
        <v>114</v>
      </c>
      <c r="C1523" s="50" t="s">
        <v>27</v>
      </c>
      <c r="D1523" s="50" t="s">
        <v>318</v>
      </c>
      <c r="E1523" s="121">
        <v>0</v>
      </c>
      <c r="F1523" s="121">
        <v>0</v>
      </c>
      <c r="G1523" s="121" t="s">
        <v>2033</v>
      </c>
      <c r="H1523" s="121">
        <f t="shared" si="52"/>
        <v>0</v>
      </c>
      <c r="I1523" s="121">
        <f>FCCL!F59</f>
        <v>0</v>
      </c>
      <c r="J1523" s="121">
        <f t="shared" si="53"/>
        <v>0</v>
      </c>
      <c r="K1523" s="50" t="s">
        <v>2923</v>
      </c>
      <c r="L1523" s="50">
        <v>190</v>
      </c>
      <c r="M1523" s="50" t="s">
        <v>1106</v>
      </c>
      <c r="N1523" s="68" t="s">
        <v>3578</v>
      </c>
      <c r="O1523" s="68" t="s">
        <v>3579</v>
      </c>
      <c r="P1523" s="68" t="s">
        <v>5026</v>
      </c>
    </row>
    <row r="1524" spans="1:16" ht="82.05" customHeight="1" x14ac:dyDescent="0.3">
      <c r="A1524" s="119" t="s">
        <v>3131</v>
      </c>
      <c r="B1524" s="119" t="s">
        <v>114</v>
      </c>
      <c r="C1524" s="119" t="s">
        <v>28</v>
      </c>
      <c r="D1524" s="119" t="s">
        <v>318</v>
      </c>
      <c r="E1524" s="120">
        <v>56810</v>
      </c>
      <c r="F1524" s="120">
        <v>56810</v>
      </c>
      <c r="G1524" s="120" t="s">
        <v>2033</v>
      </c>
      <c r="H1524" s="120">
        <f t="shared" si="52"/>
        <v>56.81</v>
      </c>
      <c r="I1524" s="120">
        <f>FCCL!G59</f>
        <v>56.81</v>
      </c>
      <c r="J1524" s="120">
        <f t="shared" si="53"/>
        <v>0</v>
      </c>
      <c r="K1524" s="119" t="s">
        <v>2925</v>
      </c>
      <c r="L1524" s="119">
        <v>244</v>
      </c>
      <c r="M1524" s="119" t="s">
        <v>1106</v>
      </c>
      <c r="N1524" s="122" t="s">
        <v>3564</v>
      </c>
      <c r="O1524" s="122" t="s">
        <v>3565</v>
      </c>
      <c r="P1524" s="122" t="s">
        <v>5027</v>
      </c>
    </row>
    <row r="1525" spans="1:16" ht="82.05" customHeight="1" x14ac:dyDescent="0.3">
      <c r="A1525" s="50" t="s">
        <v>3133</v>
      </c>
      <c r="B1525" s="50" t="s">
        <v>114</v>
      </c>
      <c r="C1525" s="50" t="s">
        <v>29</v>
      </c>
      <c r="D1525" s="50" t="s">
        <v>318</v>
      </c>
      <c r="E1525" s="121">
        <v>0</v>
      </c>
      <c r="F1525" s="121">
        <v>0</v>
      </c>
      <c r="G1525" s="121" t="s">
        <v>2033</v>
      </c>
      <c r="H1525" s="121">
        <f t="shared" si="52"/>
        <v>0</v>
      </c>
      <c r="I1525" s="121">
        <f>FCCL!H59</f>
        <v>0</v>
      </c>
      <c r="J1525" s="121">
        <f t="shared" si="53"/>
        <v>0</v>
      </c>
      <c r="K1525" s="50" t="s">
        <v>2925</v>
      </c>
      <c r="L1525" s="50">
        <v>244</v>
      </c>
      <c r="M1525" s="50" t="s">
        <v>1127</v>
      </c>
      <c r="N1525" s="68" t="s">
        <v>3578</v>
      </c>
      <c r="O1525" s="68" t="s">
        <v>3579</v>
      </c>
      <c r="P1525" s="68" t="s">
        <v>5028</v>
      </c>
    </row>
    <row r="1526" spans="1:16" ht="82.05" customHeight="1" x14ac:dyDescent="0.3">
      <c r="A1526" s="119" t="s">
        <v>3134</v>
      </c>
      <c r="B1526" s="119" t="s">
        <v>114</v>
      </c>
      <c r="C1526" s="119" t="s">
        <v>965</v>
      </c>
      <c r="D1526" s="119" t="s">
        <v>320</v>
      </c>
      <c r="E1526" s="120">
        <v>1414393</v>
      </c>
      <c r="F1526" s="120">
        <v>1414393</v>
      </c>
      <c r="G1526" s="120" t="s">
        <v>2033</v>
      </c>
      <c r="H1526" s="120">
        <f t="shared" si="52"/>
        <v>1414.393</v>
      </c>
      <c r="I1526" s="120">
        <f>FCCL!C60</f>
        <v>1414.393</v>
      </c>
      <c r="J1526" s="120">
        <f t="shared" si="53"/>
        <v>0</v>
      </c>
      <c r="K1526" s="119" t="s">
        <v>2916</v>
      </c>
      <c r="L1526" s="119">
        <v>164</v>
      </c>
      <c r="M1526" s="119" t="s">
        <v>1106</v>
      </c>
      <c r="N1526" s="122" t="s">
        <v>3602</v>
      </c>
      <c r="O1526" s="122" t="s">
        <v>3603</v>
      </c>
      <c r="P1526" s="122" t="s">
        <v>5029</v>
      </c>
    </row>
    <row r="1527" spans="1:16" ht="82.05" customHeight="1" x14ac:dyDescent="0.3">
      <c r="A1527" s="50" t="s">
        <v>3136</v>
      </c>
      <c r="B1527" s="50" t="s">
        <v>114</v>
      </c>
      <c r="C1527" s="50" t="s">
        <v>20</v>
      </c>
      <c r="D1527" s="50" t="s">
        <v>320</v>
      </c>
      <c r="E1527" s="121">
        <v>1847123</v>
      </c>
      <c r="F1527" s="121">
        <v>1847123</v>
      </c>
      <c r="G1527" s="121" t="s">
        <v>2033</v>
      </c>
      <c r="H1527" s="121">
        <f t="shared" si="52"/>
        <v>1847.123</v>
      </c>
      <c r="I1527" s="121">
        <f>FCCL!D60</f>
        <v>1847.123</v>
      </c>
      <c r="J1527" s="121">
        <f t="shared" si="53"/>
        <v>0</v>
      </c>
      <c r="K1527" s="50" t="s">
        <v>2918</v>
      </c>
      <c r="L1527" s="50">
        <v>186</v>
      </c>
      <c r="M1527" s="50" t="s">
        <v>1106</v>
      </c>
      <c r="N1527" s="68" t="s">
        <v>3602</v>
      </c>
      <c r="O1527" s="68" t="s">
        <v>3603</v>
      </c>
      <c r="P1527" s="68" t="s">
        <v>5030</v>
      </c>
    </row>
    <row r="1528" spans="1:16" ht="82.05" customHeight="1" x14ac:dyDescent="0.3">
      <c r="A1528" s="119" t="s">
        <v>3137</v>
      </c>
      <c r="B1528" s="119" t="s">
        <v>114</v>
      </c>
      <c r="C1528" s="119" t="s">
        <v>26</v>
      </c>
      <c r="D1528" s="119" t="s">
        <v>320</v>
      </c>
      <c r="E1528" s="120">
        <v>4879506</v>
      </c>
      <c r="F1528" s="120">
        <v>4879506</v>
      </c>
      <c r="G1528" s="120" t="s">
        <v>2033</v>
      </c>
      <c r="H1528" s="120">
        <f t="shared" si="52"/>
        <v>4879.5060000000003</v>
      </c>
      <c r="I1528" s="120">
        <f>FCCL!E60</f>
        <v>4879.5060000000003</v>
      </c>
      <c r="J1528" s="120">
        <f t="shared" si="53"/>
        <v>0</v>
      </c>
      <c r="K1528" s="119" t="s">
        <v>2920</v>
      </c>
      <c r="L1528" s="119">
        <v>208</v>
      </c>
      <c r="M1528" s="119" t="s">
        <v>1106</v>
      </c>
      <c r="N1528" s="122" t="s">
        <v>3602</v>
      </c>
      <c r="O1528" s="122" t="s">
        <v>3603</v>
      </c>
      <c r="P1528" s="122" t="s">
        <v>5031</v>
      </c>
    </row>
    <row r="1529" spans="1:16" ht="82.05" customHeight="1" x14ac:dyDescent="0.3">
      <c r="A1529" s="50" t="s">
        <v>3138</v>
      </c>
      <c r="B1529" s="50" t="s">
        <v>114</v>
      </c>
      <c r="C1529" s="50" t="s">
        <v>27</v>
      </c>
      <c r="D1529" s="50" t="s">
        <v>320</v>
      </c>
      <c r="E1529" s="121">
        <v>4600354</v>
      </c>
      <c r="F1529" s="121">
        <v>4600354</v>
      </c>
      <c r="G1529" s="121" t="s">
        <v>2033</v>
      </c>
      <c r="H1529" s="121">
        <f t="shared" si="52"/>
        <v>4600.3540000000003</v>
      </c>
      <c r="I1529" s="121">
        <f>FCCL!F60</f>
        <v>4600.3540000000003</v>
      </c>
      <c r="J1529" s="121">
        <f t="shared" si="53"/>
        <v>0</v>
      </c>
      <c r="K1529" s="50" t="s">
        <v>2923</v>
      </c>
      <c r="L1529" s="50">
        <v>190</v>
      </c>
      <c r="M1529" s="50" t="s">
        <v>1106</v>
      </c>
      <c r="N1529" s="68" t="s">
        <v>3602</v>
      </c>
      <c r="O1529" s="68" t="s">
        <v>3603</v>
      </c>
      <c r="P1529" s="68" t="s">
        <v>5032</v>
      </c>
    </row>
    <row r="1530" spans="1:16" ht="82.05" customHeight="1" x14ac:dyDescent="0.3">
      <c r="A1530" s="119" t="s">
        <v>3139</v>
      </c>
      <c r="B1530" s="119" t="s">
        <v>114</v>
      </c>
      <c r="C1530" s="119" t="s">
        <v>28</v>
      </c>
      <c r="D1530" s="119" t="s">
        <v>320</v>
      </c>
      <c r="E1530" s="120">
        <v>5699618</v>
      </c>
      <c r="F1530" s="120">
        <v>5699618</v>
      </c>
      <c r="G1530" s="120" t="s">
        <v>2033</v>
      </c>
      <c r="H1530" s="120">
        <f t="shared" si="52"/>
        <v>5699.6180000000004</v>
      </c>
      <c r="I1530" s="120">
        <f>FCCL!G60</f>
        <v>5699.6180000000004</v>
      </c>
      <c r="J1530" s="120">
        <f t="shared" si="53"/>
        <v>0</v>
      </c>
      <c r="K1530" s="119" t="s">
        <v>2925</v>
      </c>
      <c r="L1530" s="119">
        <v>244</v>
      </c>
      <c r="M1530" s="119" t="s">
        <v>1106</v>
      </c>
      <c r="N1530" s="122" t="s">
        <v>3602</v>
      </c>
      <c r="O1530" s="122" t="s">
        <v>3603</v>
      </c>
      <c r="P1530" s="122" t="s">
        <v>5033</v>
      </c>
    </row>
    <row r="1531" spans="1:16" ht="82.05" customHeight="1" x14ac:dyDescent="0.3">
      <c r="A1531" s="50" t="s">
        <v>3141</v>
      </c>
      <c r="B1531" s="50" t="s">
        <v>114</v>
      </c>
      <c r="C1531" s="50" t="s">
        <v>29</v>
      </c>
      <c r="D1531" s="50" t="s">
        <v>320</v>
      </c>
      <c r="E1531" s="121">
        <v>9646744</v>
      </c>
      <c r="F1531" s="121">
        <v>9646744</v>
      </c>
      <c r="G1531" s="121" t="s">
        <v>2033</v>
      </c>
      <c r="H1531" s="121">
        <f t="shared" si="52"/>
        <v>9646.7440000000006</v>
      </c>
      <c r="I1531" s="121">
        <f>FCCL!H60</f>
        <v>9646.7440000000006</v>
      </c>
      <c r="J1531" s="121">
        <f t="shared" si="53"/>
        <v>0</v>
      </c>
      <c r="K1531" s="50" t="s">
        <v>2925</v>
      </c>
      <c r="L1531" s="50">
        <v>244</v>
      </c>
      <c r="M1531" s="50" t="s">
        <v>1127</v>
      </c>
      <c r="N1531" s="68" t="s">
        <v>3602</v>
      </c>
      <c r="O1531" s="68" t="s">
        <v>3603</v>
      </c>
      <c r="P1531" s="68" t="s">
        <v>5033</v>
      </c>
    </row>
    <row r="1532" spans="1:16" ht="82.05" customHeight="1" x14ac:dyDescent="0.3">
      <c r="A1532" s="119" t="s">
        <v>3142</v>
      </c>
      <c r="B1532" s="119" t="s">
        <v>114</v>
      </c>
      <c r="C1532" s="119" t="s">
        <v>965</v>
      </c>
      <c r="D1532" s="119" t="s">
        <v>345</v>
      </c>
      <c r="E1532" s="120">
        <v>29207916</v>
      </c>
      <c r="F1532" s="120">
        <v>29207916</v>
      </c>
      <c r="G1532" s="120" t="s">
        <v>2033</v>
      </c>
      <c r="H1532" s="120">
        <f t="shared" si="52"/>
        <v>29207.916000000001</v>
      </c>
      <c r="I1532" s="120">
        <f>FCCL!C75</f>
        <v>29207.916000000001</v>
      </c>
      <c r="J1532" s="120">
        <f t="shared" si="53"/>
        <v>0</v>
      </c>
      <c r="K1532" s="119" t="s">
        <v>2916</v>
      </c>
      <c r="L1532" s="119">
        <v>165</v>
      </c>
      <c r="M1532" s="119" t="s">
        <v>1106</v>
      </c>
      <c r="N1532" s="122" t="s">
        <v>3564</v>
      </c>
      <c r="O1532" s="122" t="s">
        <v>3565</v>
      </c>
      <c r="P1532" s="122" t="s">
        <v>5034</v>
      </c>
    </row>
    <row r="1533" spans="1:16" ht="82.05" customHeight="1" x14ac:dyDescent="0.3">
      <c r="A1533" s="50" t="s">
        <v>3143</v>
      </c>
      <c r="B1533" s="50" t="s">
        <v>114</v>
      </c>
      <c r="C1533" s="50" t="s">
        <v>20</v>
      </c>
      <c r="D1533" s="50" t="s">
        <v>345</v>
      </c>
      <c r="E1533" s="121">
        <v>34052231</v>
      </c>
      <c r="F1533" s="121">
        <v>34052231</v>
      </c>
      <c r="G1533" s="121" t="s">
        <v>2033</v>
      </c>
      <c r="H1533" s="121">
        <f t="shared" si="52"/>
        <v>34052.231</v>
      </c>
      <c r="I1533" s="121">
        <f>FCCL!D75</f>
        <v>34052.231</v>
      </c>
      <c r="J1533" s="121">
        <f t="shared" si="53"/>
        <v>0</v>
      </c>
      <c r="K1533" s="50" t="s">
        <v>2918</v>
      </c>
      <c r="L1533" s="50">
        <v>187</v>
      </c>
      <c r="M1533" s="50" t="s">
        <v>1106</v>
      </c>
      <c r="N1533" s="68" t="s">
        <v>3564</v>
      </c>
      <c r="O1533" s="68" t="s">
        <v>3565</v>
      </c>
      <c r="P1533" s="68" t="s">
        <v>5035</v>
      </c>
    </row>
    <row r="1534" spans="1:16" ht="82.05" customHeight="1" x14ac:dyDescent="0.3">
      <c r="A1534" s="119" t="s">
        <v>3144</v>
      </c>
      <c r="B1534" s="119" t="s">
        <v>114</v>
      </c>
      <c r="C1534" s="119" t="s">
        <v>26</v>
      </c>
      <c r="D1534" s="119" t="s">
        <v>345</v>
      </c>
      <c r="E1534" s="120">
        <v>113698077</v>
      </c>
      <c r="F1534" s="120">
        <v>113698077</v>
      </c>
      <c r="G1534" s="120" t="s">
        <v>2033</v>
      </c>
      <c r="H1534" s="120">
        <f t="shared" si="52"/>
        <v>113698.077</v>
      </c>
      <c r="I1534" s="120">
        <f>FCCL!E75</f>
        <v>113698.077</v>
      </c>
      <c r="J1534" s="120">
        <f t="shared" si="53"/>
        <v>0</v>
      </c>
      <c r="K1534" s="119" t="s">
        <v>2920</v>
      </c>
      <c r="L1534" s="119">
        <v>209</v>
      </c>
      <c r="M1534" s="119" t="s">
        <v>1106</v>
      </c>
      <c r="N1534" s="122" t="s">
        <v>3564</v>
      </c>
      <c r="O1534" s="122" t="s">
        <v>3565</v>
      </c>
      <c r="P1534" s="122" t="s">
        <v>5036</v>
      </c>
    </row>
    <row r="1535" spans="1:16" ht="82.05" customHeight="1" x14ac:dyDescent="0.3">
      <c r="A1535" s="50" t="s">
        <v>3145</v>
      </c>
      <c r="B1535" s="50" t="s">
        <v>114</v>
      </c>
      <c r="C1535" s="50" t="s">
        <v>27</v>
      </c>
      <c r="D1535" s="50" t="s">
        <v>345</v>
      </c>
      <c r="E1535" s="121">
        <v>138828497</v>
      </c>
      <c r="F1535" s="121">
        <v>138828497</v>
      </c>
      <c r="G1535" s="121" t="s">
        <v>2033</v>
      </c>
      <c r="H1535" s="121">
        <f t="shared" si="52"/>
        <v>138828.497</v>
      </c>
      <c r="I1535" s="121">
        <f>FCCL!F75</f>
        <v>138828.497</v>
      </c>
      <c r="J1535" s="121">
        <f t="shared" si="53"/>
        <v>0</v>
      </c>
      <c r="K1535" s="50" t="s">
        <v>2923</v>
      </c>
      <c r="L1535" s="50">
        <v>191</v>
      </c>
      <c r="M1535" s="50" t="s">
        <v>1106</v>
      </c>
      <c r="N1535" s="68" t="s">
        <v>3564</v>
      </c>
      <c r="O1535" s="68" t="s">
        <v>3565</v>
      </c>
      <c r="P1535" s="68" t="s">
        <v>5037</v>
      </c>
    </row>
    <row r="1536" spans="1:16" ht="82.05" customHeight="1" x14ac:dyDescent="0.3">
      <c r="A1536" s="119" t="s">
        <v>3146</v>
      </c>
      <c r="B1536" s="119" t="s">
        <v>114</v>
      </c>
      <c r="C1536" s="119" t="s">
        <v>28</v>
      </c>
      <c r="D1536" s="119" t="s">
        <v>345</v>
      </c>
      <c r="E1536" s="120">
        <v>147636299</v>
      </c>
      <c r="F1536" s="120">
        <v>147636299</v>
      </c>
      <c r="G1536" s="120" t="s">
        <v>2033</v>
      </c>
      <c r="H1536" s="120">
        <f t="shared" si="52"/>
        <v>147636.299</v>
      </c>
      <c r="I1536" s="120">
        <f>FCCL!G75</f>
        <v>147636.299</v>
      </c>
      <c r="J1536" s="120">
        <f t="shared" si="53"/>
        <v>0</v>
      </c>
      <c r="K1536" s="119" t="s">
        <v>2925</v>
      </c>
      <c r="L1536" s="119">
        <v>245</v>
      </c>
      <c r="M1536" s="119" t="s">
        <v>1106</v>
      </c>
      <c r="N1536" s="122" t="s">
        <v>3564</v>
      </c>
      <c r="O1536" s="122" t="s">
        <v>3565</v>
      </c>
      <c r="P1536" s="122" t="s">
        <v>5038</v>
      </c>
    </row>
    <row r="1537" spans="1:16" ht="82.05" customHeight="1" x14ac:dyDescent="0.3">
      <c r="A1537" s="50" t="s">
        <v>3147</v>
      </c>
      <c r="B1537" s="50" t="s">
        <v>114</v>
      </c>
      <c r="C1537" s="50" t="s">
        <v>29</v>
      </c>
      <c r="D1537" s="50" t="s">
        <v>345</v>
      </c>
      <c r="E1537" s="121">
        <v>160845191</v>
      </c>
      <c r="F1537" s="121">
        <v>160845191</v>
      </c>
      <c r="G1537" s="121" t="s">
        <v>2033</v>
      </c>
      <c r="H1537" s="121">
        <f t="shared" si="52"/>
        <v>160845.19099999999</v>
      </c>
      <c r="I1537" s="121">
        <f>FCCL!H75</f>
        <v>160845.19099999999</v>
      </c>
      <c r="J1537" s="121">
        <f t="shared" si="53"/>
        <v>0</v>
      </c>
      <c r="K1537" s="50" t="s">
        <v>2925</v>
      </c>
      <c r="L1537" s="50">
        <v>245</v>
      </c>
      <c r="M1537" s="50" t="s">
        <v>1127</v>
      </c>
      <c r="N1537" s="68" t="s">
        <v>3564</v>
      </c>
      <c r="O1537" s="68" t="s">
        <v>3565</v>
      </c>
      <c r="P1537" s="68" t="s">
        <v>5039</v>
      </c>
    </row>
    <row r="1538" spans="1:16" ht="82.05" customHeight="1" x14ac:dyDescent="0.3">
      <c r="A1538" s="119" t="s">
        <v>3148</v>
      </c>
      <c r="B1538" s="119" t="s">
        <v>114</v>
      </c>
      <c r="C1538" s="119" t="s">
        <v>965</v>
      </c>
      <c r="D1538" s="119" t="s">
        <v>347</v>
      </c>
      <c r="E1538" s="120">
        <v>19804320</v>
      </c>
      <c r="F1538" s="120">
        <v>19804320</v>
      </c>
      <c r="G1538" s="120" t="s">
        <v>2033</v>
      </c>
      <c r="H1538" s="120">
        <f t="shared" si="52"/>
        <v>19804.32</v>
      </c>
      <c r="I1538" s="120">
        <f>FCCL!C76</f>
        <v>19804.32</v>
      </c>
      <c r="J1538" s="120">
        <f t="shared" si="53"/>
        <v>0</v>
      </c>
      <c r="K1538" s="119" t="s">
        <v>2916</v>
      </c>
      <c r="L1538" s="119">
        <v>164</v>
      </c>
      <c r="M1538" s="119" t="s">
        <v>1106</v>
      </c>
      <c r="N1538" s="122" t="s">
        <v>3564</v>
      </c>
      <c r="O1538" s="122" t="s">
        <v>3565</v>
      </c>
      <c r="P1538" s="122" t="s">
        <v>5040</v>
      </c>
    </row>
    <row r="1539" spans="1:16" ht="82.05" customHeight="1" x14ac:dyDescent="0.3">
      <c r="A1539" s="50" t="s">
        <v>3149</v>
      </c>
      <c r="B1539" s="50" t="s">
        <v>114</v>
      </c>
      <c r="C1539" s="50" t="s">
        <v>20</v>
      </c>
      <c r="D1539" s="50" t="s">
        <v>347</v>
      </c>
      <c r="E1539" s="121">
        <v>23275671</v>
      </c>
      <c r="F1539" s="121">
        <v>23275671</v>
      </c>
      <c r="G1539" s="121" t="s">
        <v>2033</v>
      </c>
      <c r="H1539" s="121">
        <f t="shared" si="52"/>
        <v>23275.670999999998</v>
      </c>
      <c r="I1539" s="121">
        <f>FCCL!D76</f>
        <v>23275.670999999998</v>
      </c>
      <c r="J1539" s="121">
        <f t="shared" si="53"/>
        <v>0</v>
      </c>
      <c r="K1539" s="50" t="s">
        <v>2918</v>
      </c>
      <c r="L1539" s="50">
        <v>186</v>
      </c>
      <c r="M1539" s="50" t="s">
        <v>1106</v>
      </c>
      <c r="N1539" s="68" t="s">
        <v>3564</v>
      </c>
      <c r="O1539" s="68" t="s">
        <v>3565</v>
      </c>
      <c r="P1539" s="68" t="s">
        <v>5041</v>
      </c>
    </row>
    <row r="1540" spans="1:16" ht="82.05" customHeight="1" x14ac:dyDescent="0.3">
      <c r="A1540" s="119" t="s">
        <v>3150</v>
      </c>
      <c r="B1540" s="119" t="s">
        <v>114</v>
      </c>
      <c r="C1540" s="119" t="s">
        <v>26</v>
      </c>
      <c r="D1540" s="119" t="s">
        <v>347</v>
      </c>
      <c r="E1540" s="120">
        <v>57736056</v>
      </c>
      <c r="F1540" s="120">
        <v>57736056</v>
      </c>
      <c r="G1540" s="120" t="s">
        <v>2033</v>
      </c>
      <c r="H1540" s="120">
        <f t="shared" si="52"/>
        <v>57736.055999999997</v>
      </c>
      <c r="I1540" s="120">
        <f>FCCL!E76</f>
        <v>57736.055999999997</v>
      </c>
      <c r="J1540" s="120">
        <f t="shared" si="53"/>
        <v>0</v>
      </c>
      <c r="K1540" s="119" t="s">
        <v>2920</v>
      </c>
      <c r="L1540" s="119">
        <v>208</v>
      </c>
      <c r="M1540" s="119" t="s">
        <v>1106</v>
      </c>
      <c r="N1540" s="122" t="s">
        <v>3564</v>
      </c>
      <c r="O1540" s="122" t="s">
        <v>3565</v>
      </c>
      <c r="P1540" s="122" t="s">
        <v>5042</v>
      </c>
    </row>
    <row r="1541" spans="1:16" ht="82.05" customHeight="1" x14ac:dyDescent="0.3">
      <c r="A1541" s="50" t="s">
        <v>3151</v>
      </c>
      <c r="B1541" s="50" t="s">
        <v>114</v>
      </c>
      <c r="C1541" s="50" t="s">
        <v>27</v>
      </c>
      <c r="D1541" s="50" t="s">
        <v>347</v>
      </c>
      <c r="E1541" s="121">
        <v>65175737</v>
      </c>
      <c r="F1541" s="121">
        <v>65175737</v>
      </c>
      <c r="G1541" s="121" t="s">
        <v>2033</v>
      </c>
      <c r="H1541" s="121">
        <f t="shared" si="52"/>
        <v>65175.737000000001</v>
      </c>
      <c r="I1541" s="121">
        <f>FCCL!F76</f>
        <v>65175.737000000001</v>
      </c>
      <c r="J1541" s="121">
        <f t="shared" si="53"/>
        <v>0</v>
      </c>
      <c r="K1541" s="50" t="s">
        <v>2923</v>
      </c>
      <c r="L1541" s="50">
        <v>190</v>
      </c>
      <c r="M1541" s="50" t="s">
        <v>1106</v>
      </c>
      <c r="N1541" s="68" t="s">
        <v>3564</v>
      </c>
      <c r="O1541" s="68" t="s">
        <v>3565</v>
      </c>
      <c r="P1541" s="68" t="s">
        <v>5043</v>
      </c>
    </row>
    <row r="1542" spans="1:16" ht="82.05" customHeight="1" x14ac:dyDescent="0.3">
      <c r="A1542" s="119" t="s">
        <v>3152</v>
      </c>
      <c r="B1542" s="119" t="s">
        <v>114</v>
      </c>
      <c r="C1542" s="119" t="s">
        <v>28</v>
      </c>
      <c r="D1542" s="119" t="s">
        <v>347</v>
      </c>
      <c r="E1542" s="120">
        <v>73398853</v>
      </c>
      <c r="F1542" s="120">
        <v>73398853</v>
      </c>
      <c r="G1542" s="120" t="s">
        <v>2033</v>
      </c>
      <c r="H1542" s="120">
        <f t="shared" si="52"/>
        <v>73398.853000000003</v>
      </c>
      <c r="I1542" s="120">
        <f>FCCL!G76</f>
        <v>73398.853000000003</v>
      </c>
      <c r="J1542" s="120">
        <f t="shared" si="53"/>
        <v>0</v>
      </c>
      <c r="K1542" s="119" t="s">
        <v>2925</v>
      </c>
      <c r="L1542" s="119">
        <v>244</v>
      </c>
      <c r="M1542" s="119" t="s">
        <v>1106</v>
      </c>
      <c r="N1542" s="122" t="s">
        <v>3564</v>
      </c>
      <c r="O1542" s="122" t="s">
        <v>3565</v>
      </c>
      <c r="P1542" s="122" t="s">
        <v>5044</v>
      </c>
    </row>
    <row r="1543" spans="1:16" ht="82.05" customHeight="1" x14ac:dyDescent="0.3">
      <c r="A1543" s="50" t="s">
        <v>3153</v>
      </c>
      <c r="B1543" s="50" t="s">
        <v>114</v>
      </c>
      <c r="C1543" s="50" t="s">
        <v>29</v>
      </c>
      <c r="D1543" s="50" t="s">
        <v>347</v>
      </c>
      <c r="E1543" s="121">
        <v>84272208</v>
      </c>
      <c r="F1543" s="121">
        <v>84272208</v>
      </c>
      <c r="G1543" s="121" t="s">
        <v>2033</v>
      </c>
      <c r="H1543" s="121">
        <f t="shared" si="52"/>
        <v>84272.207999999999</v>
      </c>
      <c r="I1543" s="121">
        <f>FCCL!H76</f>
        <v>84272.207999999999</v>
      </c>
      <c r="J1543" s="121">
        <f t="shared" si="53"/>
        <v>0</v>
      </c>
      <c r="K1543" s="50" t="s">
        <v>2925</v>
      </c>
      <c r="L1543" s="50">
        <v>244</v>
      </c>
      <c r="M1543" s="50" t="s">
        <v>1127</v>
      </c>
      <c r="N1543" s="68" t="s">
        <v>3564</v>
      </c>
      <c r="O1543" s="68" t="s">
        <v>3565</v>
      </c>
      <c r="P1543" s="68" t="s">
        <v>5045</v>
      </c>
    </row>
    <row r="1544" spans="1:16" ht="82.05" customHeight="1" x14ac:dyDescent="0.3">
      <c r="A1544" s="119" t="s">
        <v>3154</v>
      </c>
      <c r="B1544" s="119" t="s">
        <v>114</v>
      </c>
      <c r="C1544" s="119" t="s">
        <v>965</v>
      </c>
      <c r="D1544" s="119" t="s">
        <v>349</v>
      </c>
      <c r="E1544" s="120">
        <v>6983321</v>
      </c>
      <c r="F1544" s="120">
        <v>6983321</v>
      </c>
      <c r="G1544" s="120" t="s">
        <v>2033</v>
      </c>
      <c r="H1544" s="120">
        <f t="shared" si="52"/>
        <v>6983.3209999999999</v>
      </c>
      <c r="I1544" s="120">
        <f>FCCL!C77</f>
        <v>6983.3209999999999</v>
      </c>
      <c r="J1544" s="120">
        <f t="shared" si="53"/>
        <v>0</v>
      </c>
      <c r="K1544" s="119" t="s">
        <v>2916</v>
      </c>
      <c r="L1544" s="119">
        <v>165</v>
      </c>
      <c r="M1544" s="119" t="s">
        <v>1106</v>
      </c>
      <c r="N1544" s="122" t="s">
        <v>3564</v>
      </c>
      <c r="O1544" s="122" t="s">
        <v>3565</v>
      </c>
      <c r="P1544" s="122" t="s">
        <v>5046</v>
      </c>
    </row>
    <row r="1545" spans="1:16" ht="82.05" customHeight="1" x14ac:dyDescent="0.3">
      <c r="A1545" s="50" t="s">
        <v>3155</v>
      </c>
      <c r="B1545" s="50" t="s">
        <v>114</v>
      </c>
      <c r="C1545" s="50" t="s">
        <v>20</v>
      </c>
      <c r="D1545" s="50" t="s">
        <v>349</v>
      </c>
      <c r="E1545" s="121">
        <v>12438732</v>
      </c>
      <c r="F1545" s="121">
        <v>12438732</v>
      </c>
      <c r="G1545" s="121" t="s">
        <v>2033</v>
      </c>
      <c r="H1545" s="121">
        <f t="shared" si="52"/>
        <v>12438.732</v>
      </c>
      <c r="I1545" s="121">
        <f>FCCL!D77</f>
        <v>12438.732</v>
      </c>
      <c r="J1545" s="121">
        <f t="shared" si="53"/>
        <v>0</v>
      </c>
      <c r="K1545" s="50" t="s">
        <v>2918</v>
      </c>
      <c r="L1545" s="50">
        <v>187</v>
      </c>
      <c r="M1545" s="50" t="s">
        <v>1106</v>
      </c>
      <c r="N1545" s="68" t="s">
        <v>3564</v>
      </c>
      <c r="O1545" s="68" t="s">
        <v>3565</v>
      </c>
      <c r="P1545" s="68" t="s">
        <v>5047</v>
      </c>
    </row>
    <row r="1546" spans="1:16" ht="82.05" customHeight="1" x14ac:dyDescent="0.3">
      <c r="A1546" s="119" t="s">
        <v>3156</v>
      </c>
      <c r="B1546" s="119" t="s">
        <v>114</v>
      </c>
      <c r="C1546" s="119" t="s">
        <v>26</v>
      </c>
      <c r="D1546" s="119" t="s">
        <v>349</v>
      </c>
      <c r="E1546" s="120">
        <v>28216812</v>
      </c>
      <c r="F1546" s="120">
        <v>28216812</v>
      </c>
      <c r="G1546" s="120" t="s">
        <v>2033</v>
      </c>
      <c r="H1546" s="120">
        <f t="shared" si="52"/>
        <v>28216.812000000002</v>
      </c>
      <c r="I1546" s="120">
        <f>FCCL!E77</f>
        <v>28216.812000000002</v>
      </c>
      <c r="J1546" s="120">
        <f t="shared" si="53"/>
        <v>0</v>
      </c>
      <c r="K1546" s="119" t="s">
        <v>2920</v>
      </c>
      <c r="L1546" s="119">
        <v>208</v>
      </c>
      <c r="M1546" s="119" t="s">
        <v>1106</v>
      </c>
      <c r="N1546" s="122" t="s">
        <v>3564</v>
      </c>
      <c r="O1546" s="122" t="s">
        <v>3565</v>
      </c>
      <c r="P1546" s="122" t="s">
        <v>5048</v>
      </c>
    </row>
    <row r="1547" spans="1:16" ht="82.05" customHeight="1" x14ac:dyDescent="0.3">
      <c r="A1547" s="50" t="s">
        <v>3157</v>
      </c>
      <c r="B1547" s="50" t="s">
        <v>114</v>
      </c>
      <c r="C1547" s="50" t="s">
        <v>27</v>
      </c>
      <c r="D1547" s="50" t="s">
        <v>349</v>
      </c>
      <c r="E1547" s="121">
        <v>23134499</v>
      </c>
      <c r="F1547" s="121">
        <v>23134499</v>
      </c>
      <c r="G1547" s="121" t="s">
        <v>2033</v>
      </c>
      <c r="H1547" s="121">
        <f t="shared" si="52"/>
        <v>23134.499</v>
      </c>
      <c r="I1547" s="121">
        <f>FCCL!F77</f>
        <v>23134.499</v>
      </c>
      <c r="J1547" s="121">
        <f t="shared" si="53"/>
        <v>0</v>
      </c>
      <c r="K1547" s="50" t="s">
        <v>2923</v>
      </c>
      <c r="L1547" s="50">
        <v>191</v>
      </c>
      <c r="M1547" s="50" t="s">
        <v>1106</v>
      </c>
      <c r="N1547" s="68" t="s">
        <v>3564</v>
      </c>
      <c r="O1547" s="68" t="s">
        <v>3565</v>
      </c>
      <c r="P1547" s="68" t="s">
        <v>5049</v>
      </c>
    </row>
    <row r="1548" spans="1:16" ht="82.05" customHeight="1" x14ac:dyDescent="0.3">
      <c r="A1548" s="119" t="s">
        <v>3158</v>
      </c>
      <c r="B1548" s="119" t="s">
        <v>114</v>
      </c>
      <c r="C1548" s="119" t="s">
        <v>28</v>
      </c>
      <c r="D1548" s="119" t="s">
        <v>349</v>
      </c>
      <c r="E1548" s="120">
        <v>25784071</v>
      </c>
      <c r="F1548" s="120">
        <v>25784071</v>
      </c>
      <c r="G1548" s="120" t="s">
        <v>2033</v>
      </c>
      <c r="H1548" s="120">
        <f t="shared" si="52"/>
        <v>25784.071</v>
      </c>
      <c r="I1548" s="120">
        <f>FCCL!G77</f>
        <v>25784.071</v>
      </c>
      <c r="J1548" s="120">
        <f t="shared" si="53"/>
        <v>0</v>
      </c>
      <c r="K1548" s="119" t="s">
        <v>2925</v>
      </c>
      <c r="L1548" s="119">
        <v>245</v>
      </c>
      <c r="M1548" s="119" t="s">
        <v>1106</v>
      </c>
      <c r="N1548" s="122" t="s">
        <v>3564</v>
      </c>
      <c r="O1548" s="122" t="s">
        <v>3565</v>
      </c>
      <c r="P1548" s="122" t="s">
        <v>5050</v>
      </c>
    </row>
    <row r="1549" spans="1:16" ht="82.05" customHeight="1" x14ac:dyDescent="0.3">
      <c r="A1549" s="50" t="s">
        <v>3159</v>
      </c>
      <c r="B1549" s="50" t="s">
        <v>114</v>
      </c>
      <c r="C1549" s="50" t="s">
        <v>29</v>
      </c>
      <c r="D1549" s="50" t="s">
        <v>349</v>
      </c>
      <c r="E1549" s="121">
        <v>40472565</v>
      </c>
      <c r="F1549" s="121">
        <v>40472565</v>
      </c>
      <c r="G1549" s="121" t="s">
        <v>2033</v>
      </c>
      <c r="H1549" s="121">
        <f t="shared" si="52"/>
        <v>40472.565000000002</v>
      </c>
      <c r="I1549" s="121">
        <f>FCCL!H77</f>
        <v>40472.565000000002</v>
      </c>
      <c r="J1549" s="121">
        <f t="shared" si="53"/>
        <v>0</v>
      </c>
      <c r="K1549" s="50" t="s">
        <v>2925</v>
      </c>
      <c r="L1549" s="50">
        <v>245</v>
      </c>
      <c r="M1549" s="50" t="s">
        <v>1127</v>
      </c>
      <c r="N1549" s="68" t="s">
        <v>3564</v>
      </c>
      <c r="O1549" s="68" t="s">
        <v>3565</v>
      </c>
      <c r="P1549" s="68" t="s">
        <v>5051</v>
      </c>
    </row>
    <row r="1550" spans="1:16" ht="82.05" customHeight="1" x14ac:dyDescent="0.3">
      <c r="A1550" s="119" t="s">
        <v>3160</v>
      </c>
      <c r="B1550" s="119" t="s">
        <v>114</v>
      </c>
      <c r="C1550" s="119" t="s">
        <v>965</v>
      </c>
      <c r="D1550" s="119" t="s">
        <v>351</v>
      </c>
      <c r="E1550" s="120">
        <v>5182458</v>
      </c>
      <c r="F1550" s="120">
        <v>5182458</v>
      </c>
      <c r="G1550" s="120" t="s">
        <v>2033</v>
      </c>
      <c r="H1550" s="120">
        <f t="shared" si="52"/>
        <v>5182.4579999999996</v>
      </c>
      <c r="I1550" s="120">
        <f>FCCL!C78</f>
        <v>5182.4579999999996</v>
      </c>
      <c r="J1550" s="120">
        <f t="shared" si="53"/>
        <v>0</v>
      </c>
      <c r="K1550" s="119" t="s">
        <v>2916</v>
      </c>
      <c r="L1550" s="119">
        <v>164</v>
      </c>
      <c r="M1550" s="119" t="s">
        <v>1106</v>
      </c>
      <c r="N1550" s="122" t="s">
        <v>3564</v>
      </c>
      <c r="O1550" s="122" t="s">
        <v>3565</v>
      </c>
      <c r="P1550" s="122" t="s">
        <v>5052</v>
      </c>
    </row>
    <row r="1551" spans="1:16" ht="82.05" customHeight="1" x14ac:dyDescent="0.3">
      <c r="A1551" s="50" t="s">
        <v>3161</v>
      </c>
      <c r="B1551" s="50" t="s">
        <v>114</v>
      </c>
      <c r="C1551" s="50" t="s">
        <v>20</v>
      </c>
      <c r="D1551" s="50" t="s">
        <v>351</v>
      </c>
      <c r="E1551" s="121">
        <v>6161989</v>
      </c>
      <c r="F1551" s="121">
        <v>6161989</v>
      </c>
      <c r="G1551" s="121" t="s">
        <v>2033</v>
      </c>
      <c r="H1551" s="121">
        <f t="shared" si="52"/>
        <v>6161.9889999999996</v>
      </c>
      <c r="I1551" s="121">
        <f>FCCL!D78</f>
        <v>6161.9889999999996</v>
      </c>
      <c r="J1551" s="121">
        <f t="shared" si="53"/>
        <v>0</v>
      </c>
      <c r="K1551" s="50" t="s">
        <v>2918</v>
      </c>
      <c r="L1551" s="50">
        <v>186</v>
      </c>
      <c r="M1551" s="50" t="s">
        <v>1106</v>
      </c>
      <c r="N1551" s="68" t="s">
        <v>3564</v>
      </c>
      <c r="O1551" s="68" t="s">
        <v>3565</v>
      </c>
      <c r="P1551" s="68" t="s">
        <v>5053</v>
      </c>
    </row>
    <row r="1552" spans="1:16" ht="82.05" customHeight="1" x14ac:dyDescent="0.3">
      <c r="A1552" s="119" t="s">
        <v>3162</v>
      </c>
      <c r="B1552" s="119" t="s">
        <v>114</v>
      </c>
      <c r="C1552" s="119" t="s">
        <v>26</v>
      </c>
      <c r="D1552" s="119" t="s">
        <v>351</v>
      </c>
      <c r="E1552" s="120">
        <v>26721253</v>
      </c>
      <c r="F1552" s="120">
        <v>26721253</v>
      </c>
      <c r="G1552" s="120" t="s">
        <v>2033</v>
      </c>
      <c r="H1552" s="120">
        <f t="shared" si="52"/>
        <v>26721.253000000001</v>
      </c>
      <c r="I1552" s="120">
        <f>FCCL!E78</f>
        <v>26721.253000000001</v>
      </c>
      <c r="J1552" s="120">
        <f t="shared" si="53"/>
        <v>0</v>
      </c>
      <c r="K1552" s="119" t="s">
        <v>2920</v>
      </c>
      <c r="L1552" s="119">
        <v>208</v>
      </c>
      <c r="M1552" s="119" t="s">
        <v>1106</v>
      </c>
      <c r="N1552" s="122" t="s">
        <v>3564</v>
      </c>
      <c r="O1552" s="122" t="s">
        <v>3565</v>
      </c>
      <c r="P1552" s="122" t="s">
        <v>5054</v>
      </c>
    </row>
    <row r="1553" spans="1:16" ht="82.05" customHeight="1" x14ac:dyDescent="0.3">
      <c r="A1553" s="50" t="s">
        <v>3163</v>
      </c>
      <c r="B1553" s="50" t="s">
        <v>114</v>
      </c>
      <c r="C1553" s="50" t="s">
        <v>27</v>
      </c>
      <c r="D1553" s="50" t="s">
        <v>351</v>
      </c>
      <c r="E1553" s="121">
        <v>28486855</v>
      </c>
      <c r="F1553" s="121">
        <v>28486855</v>
      </c>
      <c r="G1553" s="121" t="s">
        <v>2033</v>
      </c>
      <c r="H1553" s="121">
        <f t="shared" si="52"/>
        <v>28486.855</v>
      </c>
      <c r="I1553" s="121">
        <f>FCCL!F78</f>
        <v>28486.855</v>
      </c>
      <c r="J1553" s="121">
        <f t="shared" si="53"/>
        <v>0</v>
      </c>
      <c r="K1553" s="50" t="s">
        <v>2923</v>
      </c>
      <c r="L1553" s="50">
        <v>190</v>
      </c>
      <c r="M1553" s="50" t="s">
        <v>1106</v>
      </c>
      <c r="N1553" s="68" t="s">
        <v>3564</v>
      </c>
      <c r="O1553" s="68" t="s">
        <v>3565</v>
      </c>
      <c r="P1553" s="68" t="s">
        <v>5055</v>
      </c>
    </row>
    <row r="1554" spans="1:16" ht="82.05" customHeight="1" x14ac:dyDescent="0.3">
      <c r="A1554" s="119" t="s">
        <v>3164</v>
      </c>
      <c r="B1554" s="119" t="s">
        <v>114</v>
      </c>
      <c r="C1554" s="119" t="s">
        <v>28</v>
      </c>
      <c r="D1554" s="119" t="s">
        <v>351</v>
      </c>
      <c r="E1554" s="120">
        <v>26865467</v>
      </c>
      <c r="F1554" s="120">
        <v>26865467</v>
      </c>
      <c r="G1554" s="120" t="s">
        <v>2033</v>
      </c>
      <c r="H1554" s="120">
        <f t="shared" si="52"/>
        <v>26865.467000000001</v>
      </c>
      <c r="I1554" s="120">
        <f>FCCL!G78</f>
        <v>26865.467000000001</v>
      </c>
      <c r="J1554" s="120">
        <f t="shared" si="53"/>
        <v>0</v>
      </c>
      <c r="K1554" s="119" t="s">
        <v>2925</v>
      </c>
      <c r="L1554" s="119">
        <v>244</v>
      </c>
      <c r="M1554" s="119" t="s">
        <v>1106</v>
      </c>
      <c r="N1554" s="122" t="s">
        <v>3564</v>
      </c>
      <c r="O1554" s="122" t="s">
        <v>3565</v>
      </c>
      <c r="P1554" s="122" t="s">
        <v>5056</v>
      </c>
    </row>
    <row r="1555" spans="1:16" ht="82.05" customHeight="1" x14ac:dyDescent="0.3">
      <c r="A1555" s="50" t="s">
        <v>3165</v>
      </c>
      <c r="B1555" s="50" t="s">
        <v>114</v>
      </c>
      <c r="C1555" s="50" t="s">
        <v>29</v>
      </c>
      <c r="D1555" s="50" t="s">
        <v>351</v>
      </c>
      <c r="E1555" s="121">
        <v>30637497</v>
      </c>
      <c r="F1555" s="121">
        <v>30637497</v>
      </c>
      <c r="G1555" s="121" t="s">
        <v>2033</v>
      </c>
      <c r="H1555" s="121">
        <f t="shared" si="52"/>
        <v>30637.496999999999</v>
      </c>
      <c r="I1555" s="121">
        <f>FCCL!H78</f>
        <v>30637.496999999999</v>
      </c>
      <c r="J1555" s="121">
        <f t="shared" si="53"/>
        <v>0</v>
      </c>
      <c r="K1555" s="50" t="s">
        <v>2925</v>
      </c>
      <c r="L1555" s="50">
        <v>244</v>
      </c>
      <c r="M1555" s="50" t="s">
        <v>1127</v>
      </c>
      <c r="N1555" s="68" t="s">
        <v>3564</v>
      </c>
      <c r="O1555" s="68" t="s">
        <v>3565</v>
      </c>
      <c r="P1555" s="68" t="s">
        <v>5057</v>
      </c>
    </row>
    <row r="1556" spans="1:16" ht="82.05" customHeight="1" x14ac:dyDescent="0.3">
      <c r="A1556" s="119" t="s">
        <v>3166</v>
      </c>
      <c r="B1556" s="119" t="s">
        <v>114</v>
      </c>
      <c r="C1556" s="119" t="s">
        <v>20</v>
      </c>
      <c r="D1556" s="119" t="s">
        <v>358</v>
      </c>
      <c r="E1556" s="120">
        <v>24271285</v>
      </c>
      <c r="F1556" s="120">
        <v>24271285</v>
      </c>
      <c r="G1556" s="120" t="s">
        <v>2033</v>
      </c>
      <c r="H1556" s="120">
        <f t="shared" si="52"/>
        <v>24271.285</v>
      </c>
      <c r="I1556" s="120">
        <f>FCCL!D84</f>
        <v>24271.285</v>
      </c>
      <c r="J1556" s="120">
        <f t="shared" si="53"/>
        <v>0</v>
      </c>
      <c r="K1556" s="119" t="s">
        <v>2918</v>
      </c>
      <c r="L1556" s="119">
        <v>188</v>
      </c>
      <c r="M1556" s="119" t="s">
        <v>1106</v>
      </c>
      <c r="N1556" s="122" t="s">
        <v>3564</v>
      </c>
      <c r="O1556" s="122" t="s">
        <v>3565</v>
      </c>
      <c r="P1556" s="122" t="s">
        <v>5058</v>
      </c>
    </row>
    <row r="1557" spans="1:16" ht="82.05" customHeight="1" x14ac:dyDescent="0.3">
      <c r="A1557" s="50" t="s">
        <v>3168</v>
      </c>
      <c r="B1557" s="50" t="s">
        <v>114</v>
      </c>
      <c r="C1557" s="50" t="s">
        <v>26</v>
      </c>
      <c r="D1557" s="50" t="s">
        <v>358</v>
      </c>
      <c r="E1557" s="121">
        <v>54243118</v>
      </c>
      <c r="F1557" s="121">
        <v>54243118</v>
      </c>
      <c r="G1557" s="121" t="s">
        <v>2033</v>
      </c>
      <c r="H1557" s="121">
        <f t="shared" si="52"/>
        <v>54243.118000000002</v>
      </c>
      <c r="I1557" s="121">
        <f>FCCL!E84</f>
        <v>54243.118000000002</v>
      </c>
      <c r="J1557" s="121">
        <f t="shared" si="53"/>
        <v>0</v>
      </c>
      <c r="K1557" s="50" t="s">
        <v>2920</v>
      </c>
      <c r="L1557" s="50">
        <v>210</v>
      </c>
      <c r="M1557" s="50" t="s">
        <v>1106</v>
      </c>
      <c r="N1557" s="68" t="s">
        <v>3564</v>
      </c>
      <c r="O1557" s="68" t="s">
        <v>3565</v>
      </c>
      <c r="P1557" s="68" t="s">
        <v>5059</v>
      </c>
    </row>
    <row r="1558" spans="1:16" ht="82.05" customHeight="1" x14ac:dyDescent="0.3">
      <c r="A1558" s="119" t="s">
        <v>3169</v>
      </c>
      <c r="B1558" s="119" t="s">
        <v>114</v>
      </c>
      <c r="C1558" s="119" t="s">
        <v>27</v>
      </c>
      <c r="D1558" s="119" t="s">
        <v>358</v>
      </c>
      <c r="E1558" s="120">
        <v>68069282</v>
      </c>
      <c r="F1558" s="120">
        <v>68069282</v>
      </c>
      <c r="G1558" s="120" t="s">
        <v>2033</v>
      </c>
      <c r="H1558" s="120">
        <f t="shared" si="52"/>
        <v>68069.282000000007</v>
      </c>
      <c r="I1558" s="120">
        <f>FCCL!F84</f>
        <v>68069.282000000007</v>
      </c>
      <c r="J1558" s="120">
        <f t="shared" si="53"/>
        <v>0</v>
      </c>
      <c r="K1558" s="119" t="s">
        <v>2923</v>
      </c>
      <c r="L1558" s="119">
        <v>192</v>
      </c>
      <c r="M1558" s="119" t="s">
        <v>1106</v>
      </c>
      <c r="N1558" s="122" t="s">
        <v>3564</v>
      </c>
      <c r="O1558" s="122" t="s">
        <v>3565</v>
      </c>
      <c r="P1558" s="122" t="s">
        <v>5060</v>
      </c>
    </row>
    <row r="1559" spans="1:16" ht="82.05" customHeight="1" x14ac:dyDescent="0.3">
      <c r="A1559" s="50" t="s">
        <v>3170</v>
      </c>
      <c r="B1559" s="50" t="s">
        <v>114</v>
      </c>
      <c r="C1559" s="50" t="s">
        <v>28</v>
      </c>
      <c r="D1559" s="50" t="s">
        <v>358</v>
      </c>
      <c r="E1559" s="121">
        <v>80026226</v>
      </c>
      <c r="F1559" s="121">
        <v>80026226</v>
      </c>
      <c r="G1559" s="121" t="s">
        <v>2033</v>
      </c>
      <c r="H1559" s="121">
        <f t="shared" si="52"/>
        <v>80026.225999999995</v>
      </c>
      <c r="I1559" s="121">
        <f>FCCL!G84</f>
        <v>80026.225999999995</v>
      </c>
      <c r="J1559" s="121">
        <f t="shared" si="53"/>
        <v>0</v>
      </c>
      <c r="K1559" s="50" t="s">
        <v>2925</v>
      </c>
      <c r="L1559" s="50">
        <v>246</v>
      </c>
      <c r="M1559" s="50" t="s">
        <v>1106</v>
      </c>
      <c r="N1559" s="68" t="s">
        <v>3564</v>
      </c>
      <c r="O1559" s="68" t="s">
        <v>3565</v>
      </c>
      <c r="P1559" s="68" t="s">
        <v>5061</v>
      </c>
    </row>
    <row r="1560" spans="1:16" ht="82.05" customHeight="1" x14ac:dyDescent="0.3">
      <c r="A1560" s="119" t="s">
        <v>3171</v>
      </c>
      <c r="B1560" s="119" t="s">
        <v>114</v>
      </c>
      <c r="C1560" s="119" t="s">
        <v>29</v>
      </c>
      <c r="D1560" s="119" t="s">
        <v>358</v>
      </c>
      <c r="E1560" s="120">
        <v>88956328</v>
      </c>
      <c r="F1560" s="120">
        <v>88956328</v>
      </c>
      <c r="G1560" s="120" t="s">
        <v>2033</v>
      </c>
      <c r="H1560" s="120">
        <f t="shared" si="52"/>
        <v>88956.327999999994</v>
      </c>
      <c r="I1560" s="120">
        <f>FCCL!H84</f>
        <v>88956.327999999994</v>
      </c>
      <c r="J1560" s="120">
        <f t="shared" si="53"/>
        <v>0</v>
      </c>
      <c r="K1560" s="119" t="s">
        <v>2925</v>
      </c>
      <c r="L1560" s="119">
        <v>246</v>
      </c>
      <c r="M1560" s="119" t="s">
        <v>1127</v>
      </c>
      <c r="N1560" s="122" t="s">
        <v>3564</v>
      </c>
      <c r="O1560" s="122" t="s">
        <v>3565</v>
      </c>
      <c r="P1560" s="122" t="s">
        <v>5062</v>
      </c>
    </row>
    <row r="1561" spans="1:16" ht="82.05" customHeight="1" x14ac:dyDescent="0.3">
      <c r="A1561" s="50" t="s">
        <v>3172</v>
      </c>
      <c r="B1561" s="50" t="s">
        <v>114</v>
      </c>
      <c r="C1561" s="50" t="s">
        <v>20</v>
      </c>
      <c r="D1561" s="50" t="s">
        <v>360</v>
      </c>
      <c r="E1561" s="121">
        <v>-18206880</v>
      </c>
      <c r="F1561" s="121">
        <v>-18206880</v>
      </c>
      <c r="G1561" s="121" t="s">
        <v>2033</v>
      </c>
      <c r="H1561" s="121">
        <f t="shared" si="52"/>
        <v>-18206.88</v>
      </c>
      <c r="I1561" s="121">
        <f>FCCL!D85</f>
        <v>-18206.88</v>
      </c>
      <c r="J1561" s="121">
        <f t="shared" si="53"/>
        <v>0</v>
      </c>
      <c r="K1561" s="50" t="s">
        <v>2918</v>
      </c>
      <c r="L1561" s="50">
        <v>188</v>
      </c>
      <c r="M1561" s="50" t="s">
        <v>1106</v>
      </c>
      <c r="N1561" s="68" t="s">
        <v>3564</v>
      </c>
      <c r="O1561" s="68" t="s">
        <v>3565</v>
      </c>
      <c r="P1561" s="68" t="s">
        <v>5063</v>
      </c>
    </row>
    <row r="1562" spans="1:16" ht="82.05" customHeight="1" x14ac:dyDescent="0.3">
      <c r="A1562" s="119" t="s">
        <v>3173</v>
      </c>
      <c r="B1562" s="119" t="s">
        <v>114</v>
      </c>
      <c r="C1562" s="119" t="s">
        <v>26</v>
      </c>
      <c r="D1562" s="119" t="s">
        <v>360</v>
      </c>
      <c r="E1562" s="120">
        <v>-38779542</v>
      </c>
      <c r="F1562" s="120">
        <v>-38779542</v>
      </c>
      <c r="G1562" s="120" t="s">
        <v>2033</v>
      </c>
      <c r="H1562" s="120">
        <f t="shared" si="52"/>
        <v>-38779.542000000001</v>
      </c>
      <c r="I1562" s="120">
        <f>FCCL!E85</f>
        <v>-38779.542000000001</v>
      </c>
      <c r="J1562" s="120">
        <f t="shared" si="53"/>
        <v>0</v>
      </c>
      <c r="K1562" s="119" t="s">
        <v>2920</v>
      </c>
      <c r="L1562" s="119">
        <v>210</v>
      </c>
      <c r="M1562" s="119" t="s">
        <v>1106</v>
      </c>
      <c r="N1562" s="122" t="s">
        <v>3564</v>
      </c>
      <c r="O1562" s="122" t="s">
        <v>3565</v>
      </c>
      <c r="P1562" s="122" t="s">
        <v>5064</v>
      </c>
    </row>
    <row r="1563" spans="1:16" ht="82.05" customHeight="1" x14ac:dyDescent="0.3">
      <c r="A1563" s="50" t="s">
        <v>3174</v>
      </c>
      <c r="B1563" s="50" t="s">
        <v>114</v>
      </c>
      <c r="C1563" s="50" t="s">
        <v>27</v>
      </c>
      <c r="D1563" s="50" t="s">
        <v>360</v>
      </c>
      <c r="E1563" s="121">
        <v>-47650809</v>
      </c>
      <c r="F1563" s="121">
        <v>-47650809</v>
      </c>
      <c r="G1563" s="121" t="s">
        <v>2033</v>
      </c>
      <c r="H1563" s="121">
        <f t="shared" si="52"/>
        <v>-47650.809000000001</v>
      </c>
      <c r="I1563" s="121">
        <f>FCCL!F85</f>
        <v>-47650.809000000001</v>
      </c>
      <c r="J1563" s="121">
        <f t="shared" si="53"/>
        <v>0</v>
      </c>
      <c r="K1563" s="50" t="s">
        <v>2923</v>
      </c>
      <c r="L1563" s="50">
        <v>192</v>
      </c>
      <c r="M1563" s="50" t="s">
        <v>1106</v>
      </c>
      <c r="N1563" s="68" t="s">
        <v>3564</v>
      </c>
      <c r="O1563" s="68" t="s">
        <v>3565</v>
      </c>
      <c r="P1563" s="68" t="s">
        <v>5065</v>
      </c>
    </row>
    <row r="1564" spans="1:16" ht="82.05" customHeight="1" x14ac:dyDescent="0.3">
      <c r="A1564" s="119" t="s">
        <v>3175</v>
      </c>
      <c r="B1564" s="119" t="s">
        <v>114</v>
      </c>
      <c r="C1564" s="119" t="s">
        <v>28</v>
      </c>
      <c r="D1564" s="119" t="s">
        <v>360</v>
      </c>
      <c r="E1564" s="120">
        <v>-54345821</v>
      </c>
      <c r="F1564" s="120">
        <v>-54345821</v>
      </c>
      <c r="G1564" s="120" t="s">
        <v>2033</v>
      </c>
      <c r="H1564" s="120">
        <f t="shared" si="52"/>
        <v>-54345.821000000004</v>
      </c>
      <c r="I1564" s="120">
        <f>FCCL!G85</f>
        <v>-54345.821000000004</v>
      </c>
      <c r="J1564" s="120">
        <f t="shared" si="53"/>
        <v>0</v>
      </c>
      <c r="K1564" s="119" t="s">
        <v>2925</v>
      </c>
      <c r="L1564" s="119">
        <v>246</v>
      </c>
      <c r="M1564" s="119" t="s">
        <v>1106</v>
      </c>
      <c r="N1564" s="122" t="s">
        <v>3564</v>
      </c>
      <c r="O1564" s="122" t="s">
        <v>3565</v>
      </c>
      <c r="P1564" s="122" t="s">
        <v>5066</v>
      </c>
    </row>
    <row r="1565" spans="1:16" ht="82.05" customHeight="1" x14ac:dyDescent="0.3">
      <c r="A1565" s="50" t="s">
        <v>3176</v>
      </c>
      <c r="B1565" s="50" t="s">
        <v>114</v>
      </c>
      <c r="C1565" s="50" t="s">
        <v>29</v>
      </c>
      <c r="D1565" s="50" t="s">
        <v>360</v>
      </c>
      <c r="E1565" s="121">
        <v>-57384978</v>
      </c>
      <c r="F1565" s="121">
        <v>-57384978</v>
      </c>
      <c r="G1565" s="121" t="s">
        <v>2033</v>
      </c>
      <c r="H1565" s="121">
        <f t="shared" si="52"/>
        <v>-57384.978000000003</v>
      </c>
      <c r="I1565" s="121">
        <f>FCCL!H85</f>
        <v>-57384.978000000003</v>
      </c>
      <c r="J1565" s="121">
        <f t="shared" si="53"/>
        <v>0</v>
      </c>
      <c r="K1565" s="50" t="s">
        <v>2925</v>
      </c>
      <c r="L1565" s="50">
        <v>246</v>
      </c>
      <c r="M1565" s="50" t="s">
        <v>1127</v>
      </c>
      <c r="N1565" s="68" t="s">
        <v>3564</v>
      </c>
      <c r="O1565" s="68" t="s">
        <v>3565</v>
      </c>
      <c r="P1565" s="68" t="s">
        <v>5067</v>
      </c>
    </row>
    <row r="1566" spans="1:16" ht="82.05" customHeight="1" x14ac:dyDescent="0.3">
      <c r="A1566" s="119" t="s">
        <v>3177</v>
      </c>
      <c r="B1566" s="119" t="s">
        <v>114</v>
      </c>
      <c r="C1566" s="119" t="s">
        <v>20</v>
      </c>
      <c r="D1566" s="119" t="s">
        <v>364</v>
      </c>
      <c r="E1566" s="120">
        <v>-189537</v>
      </c>
      <c r="F1566" s="120">
        <v>-189537</v>
      </c>
      <c r="G1566" s="120" t="s">
        <v>2033</v>
      </c>
      <c r="H1566" s="120">
        <f t="shared" si="52"/>
        <v>-189.53700000000001</v>
      </c>
      <c r="I1566" s="120">
        <f>FCCL!D87</f>
        <v>-189.53700000000001</v>
      </c>
      <c r="J1566" s="120">
        <f t="shared" si="53"/>
        <v>0</v>
      </c>
      <c r="K1566" s="119" t="s">
        <v>2918</v>
      </c>
      <c r="L1566" s="119">
        <v>188</v>
      </c>
      <c r="M1566" s="119" t="s">
        <v>1106</v>
      </c>
      <c r="N1566" s="122" t="s">
        <v>3564</v>
      </c>
      <c r="O1566" s="122" t="s">
        <v>3565</v>
      </c>
      <c r="P1566" s="122" t="s">
        <v>5068</v>
      </c>
    </row>
    <row r="1567" spans="1:16" ht="82.05" customHeight="1" x14ac:dyDescent="0.3">
      <c r="A1567" s="50" t="s">
        <v>3178</v>
      </c>
      <c r="B1567" s="50" t="s">
        <v>114</v>
      </c>
      <c r="C1567" s="50" t="s">
        <v>26</v>
      </c>
      <c r="D1567" s="50" t="s">
        <v>364</v>
      </c>
      <c r="E1567" s="121">
        <v>-1603323</v>
      </c>
      <c r="F1567" s="121">
        <v>-1603323</v>
      </c>
      <c r="G1567" s="121" t="s">
        <v>2033</v>
      </c>
      <c r="H1567" s="121">
        <f t="shared" si="52"/>
        <v>-1603.3230000000001</v>
      </c>
      <c r="I1567" s="121">
        <f>FCCL!E87</f>
        <v>-1603.3230000000001</v>
      </c>
      <c r="J1567" s="121">
        <f t="shared" si="53"/>
        <v>0</v>
      </c>
      <c r="K1567" s="50" t="s">
        <v>2920</v>
      </c>
      <c r="L1567" s="50">
        <v>210</v>
      </c>
      <c r="M1567" s="50" t="s">
        <v>1106</v>
      </c>
      <c r="N1567" s="68" t="s">
        <v>3564</v>
      </c>
      <c r="O1567" s="68" t="s">
        <v>3565</v>
      </c>
      <c r="P1567" s="68" t="s">
        <v>5069</v>
      </c>
    </row>
    <row r="1568" spans="1:16" ht="82.05" customHeight="1" x14ac:dyDescent="0.3">
      <c r="A1568" s="119" t="s">
        <v>3179</v>
      </c>
      <c r="B1568" s="119" t="s">
        <v>114</v>
      </c>
      <c r="C1568" s="119" t="s">
        <v>27</v>
      </c>
      <c r="D1568" s="119" t="s">
        <v>364</v>
      </c>
      <c r="E1568" s="120">
        <v>-2705263</v>
      </c>
      <c r="F1568" s="120">
        <v>-2705263</v>
      </c>
      <c r="G1568" s="120" t="s">
        <v>2033</v>
      </c>
      <c r="H1568" s="120">
        <f t="shared" si="52"/>
        <v>-2705.2629999999999</v>
      </c>
      <c r="I1568" s="120">
        <f>FCCL!F87</f>
        <v>-2705.2629999999999</v>
      </c>
      <c r="J1568" s="120">
        <f t="shared" si="53"/>
        <v>0</v>
      </c>
      <c r="K1568" s="119" t="s">
        <v>2923</v>
      </c>
      <c r="L1568" s="119">
        <v>192</v>
      </c>
      <c r="M1568" s="119" t="s">
        <v>1106</v>
      </c>
      <c r="N1568" s="122" t="s">
        <v>3564</v>
      </c>
      <c r="O1568" s="122" t="s">
        <v>3565</v>
      </c>
      <c r="P1568" s="122" t="s">
        <v>5070</v>
      </c>
    </row>
    <row r="1569" spans="1:16" ht="82.05" customHeight="1" x14ac:dyDescent="0.3">
      <c r="A1569" s="50" t="s">
        <v>3180</v>
      </c>
      <c r="B1569" s="50" t="s">
        <v>114</v>
      </c>
      <c r="C1569" s="50" t="s">
        <v>28</v>
      </c>
      <c r="D1569" s="50" t="s">
        <v>364</v>
      </c>
      <c r="E1569" s="121">
        <v>-3285923</v>
      </c>
      <c r="F1569" s="121">
        <v>-3285923</v>
      </c>
      <c r="G1569" s="121" t="s">
        <v>2033</v>
      </c>
      <c r="H1569" s="121">
        <f t="shared" si="52"/>
        <v>-3285.9229999999998</v>
      </c>
      <c r="I1569" s="121">
        <f>FCCL!G87</f>
        <v>-3285.9229999999998</v>
      </c>
      <c r="J1569" s="121">
        <f t="shared" si="53"/>
        <v>0</v>
      </c>
      <c r="K1569" s="50" t="s">
        <v>2925</v>
      </c>
      <c r="L1569" s="50">
        <v>246</v>
      </c>
      <c r="M1569" s="50" t="s">
        <v>1106</v>
      </c>
      <c r="N1569" s="68" t="s">
        <v>3564</v>
      </c>
      <c r="O1569" s="68" t="s">
        <v>3565</v>
      </c>
      <c r="P1569" s="68" t="s">
        <v>5071</v>
      </c>
    </row>
    <row r="1570" spans="1:16" ht="82.05" customHeight="1" x14ac:dyDescent="0.3">
      <c r="A1570" s="119" t="s">
        <v>3181</v>
      </c>
      <c r="B1570" s="119" t="s">
        <v>114</v>
      </c>
      <c r="C1570" s="119" t="s">
        <v>29</v>
      </c>
      <c r="D1570" s="119" t="s">
        <v>364</v>
      </c>
      <c r="E1570" s="120">
        <v>-2935139</v>
      </c>
      <c r="F1570" s="120">
        <v>-2935139</v>
      </c>
      <c r="G1570" s="120" t="s">
        <v>2033</v>
      </c>
      <c r="H1570" s="120">
        <f t="shared" si="52"/>
        <v>-2935.1390000000001</v>
      </c>
      <c r="I1570" s="120">
        <f>FCCL!H87</f>
        <v>-2935.1390000000001</v>
      </c>
      <c r="J1570" s="120">
        <f t="shared" si="53"/>
        <v>0</v>
      </c>
      <c r="K1570" s="119" t="s">
        <v>2925</v>
      </c>
      <c r="L1570" s="119">
        <v>246</v>
      </c>
      <c r="M1570" s="119" t="s">
        <v>1127</v>
      </c>
      <c r="N1570" s="122" t="s">
        <v>3564</v>
      </c>
      <c r="O1570" s="122" t="s">
        <v>3565</v>
      </c>
      <c r="P1570" s="122" t="s">
        <v>5072</v>
      </c>
    </row>
    <row r="1571" spans="1:16" ht="82.05" customHeight="1" x14ac:dyDescent="0.3">
      <c r="A1571" s="50" t="s">
        <v>3182</v>
      </c>
      <c r="B1571" s="50" t="s">
        <v>114</v>
      </c>
      <c r="C1571" s="50" t="s">
        <v>20</v>
      </c>
      <c r="D1571" s="50" t="s">
        <v>366</v>
      </c>
      <c r="E1571" s="121">
        <v>-524709</v>
      </c>
      <c r="F1571" s="121">
        <v>-524709</v>
      </c>
      <c r="G1571" s="121" t="s">
        <v>2033</v>
      </c>
      <c r="H1571" s="121">
        <f t="shared" si="52"/>
        <v>-524.70899999999995</v>
      </c>
      <c r="I1571" s="121">
        <f>FCCL!D88</f>
        <v>-524.70899999999995</v>
      </c>
      <c r="J1571" s="121">
        <f t="shared" si="53"/>
        <v>0</v>
      </c>
      <c r="K1571" s="50" t="s">
        <v>2918</v>
      </c>
      <c r="L1571" s="50">
        <v>188</v>
      </c>
      <c r="M1571" s="50" t="s">
        <v>1106</v>
      </c>
      <c r="N1571" s="68" t="s">
        <v>3564</v>
      </c>
      <c r="O1571" s="68" t="s">
        <v>3565</v>
      </c>
      <c r="P1571" s="68" t="s">
        <v>5073</v>
      </c>
    </row>
    <row r="1572" spans="1:16" ht="82.05" customHeight="1" x14ac:dyDescent="0.3">
      <c r="A1572" s="119" t="s">
        <v>3183</v>
      </c>
      <c r="B1572" s="119" t="s">
        <v>114</v>
      </c>
      <c r="C1572" s="119" t="s">
        <v>26</v>
      </c>
      <c r="D1572" s="119" t="s">
        <v>366</v>
      </c>
      <c r="E1572" s="120">
        <v>-1299439</v>
      </c>
      <c r="F1572" s="120">
        <v>-1299439</v>
      </c>
      <c r="G1572" s="120" t="s">
        <v>2033</v>
      </c>
      <c r="H1572" s="120">
        <f t="shared" si="52"/>
        <v>-1299.4390000000001</v>
      </c>
      <c r="I1572" s="120">
        <f>FCCL!E88</f>
        <v>-1299.4390000000001</v>
      </c>
      <c r="J1572" s="120">
        <f t="shared" si="53"/>
        <v>0</v>
      </c>
      <c r="K1572" s="119" t="s">
        <v>2920</v>
      </c>
      <c r="L1572" s="119">
        <v>210</v>
      </c>
      <c r="M1572" s="119" t="s">
        <v>1106</v>
      </c>
      <c r="N1572" s="122" t="s">
        <v>3564</v>
      </c>
      <c r="O1572" s="122" t="s">
        <v>3565</v>
      </c>
      <c r="P1572" s="122" t="s">
        <v>5074</v>
      </c>
    </row>
    <row r="1573" spans="1:16" ht="82.05" customHeight="1" x14ac:dyDescent="0.3">
      <c r="A1573" s="50" t="s">
        <v>3184</v>
      </c>
      <c r="B1573" s="50" t="s">
        <v>114</v>
      </c>
      <c r="C1573" s="50" t="s">
        <v>27</v>
      </c>
      <c r="D1573" s="50" t="s">
        <v>366</v>
      </c>
      <c r="E1573" s="121">
        <v>-1381633</v>
      </c>
      <c r="F1573" s="121">
        <v>-1381633</v>
      </c>
      <c r="G1573" s="121" t="s">
        <v>2033</v>
      </c>
      <c r="H1573" s="121">
        <f t="shared" si="52"/>
        <v>-1381.633</v>
      </c>
      <c r="I1573" s="121">
        <f>FCCL!F88</f>
        <v>-1381.633</v>
      </c>
      <c r="J1573" s="121">
        <f t="shared" si="53"/>
        <v>0</v>
      </c>
      <c r="K1573" s="50" t="s">
        <v>2923</v>
      </c>
      <c r="L1573" s="50">
        <v>192</v>
      </c>
      <c r="M1573" s="50" t="s">
        <v>1106</v>
      </c>
      <c r="N1573" s="68" t="s">
        <v>3564</v>
      </c>
      <c r="O1573" s="68" t="s">
        <v>3565</v>
      </c>
      <c r="P1573" s="68" t="s">
        <v>5075</v>
      </c>
    </row>
    <row r="1574" spans="1:16" ht="82.05" customHeight="1" x14ac:dyDescent="0.3">
      <c r="A1574" s="119" t="s">
        <v>3185</v>
      </c>
      <c r="B1574" s="119" t="s">
        <v>114</v>
      </c>
      <c r="C1574" s="119" t="s">
        <v>28</v>
      </c>
      <c r="D1574" s="119" t="s">
        <v>366</v>
      </c>
      <c r="E1574" s="120">
        <v>-1516046</v>
      </c>
      <c r="F1574" s="120">
        <v>-1516046</v>
      </c>
      <c r="G1574" s="120" t="s">
        <v>2033</v>
      </c>
      <c r="H1574" s="120">
        <f t="shared" si="52"/>
        <v>-1516.046</v>
      </c>
      <c r="I1574" s="120">
        <f>FCCL!G88</f>
        <v>-1516.046</v>
      </c>
      <c r="J1574" s="120">
        <f t="shared" si="53"/>
        <v>0</v>
      </c>
      <c r="K1574" s="119" t="s">
        <v>2925</v>
      </c>
      <c r="L1574" s="119">
        <v>246</v>
      </c>
      <c r="M1574" s="119" t="s">
        <v>1106</v>
      </c>
      <c r="N1574" s="122" t="s">
        <v>3564</v>
      </c>
      <c r="O1574" s="122" t="s">
        <v>3565</v>
      </c>
      <c r="P1574" s="122" t="s">
        <v>5076</v>
      </c>
    </row>
    <row r="1575" spans="1:16" ht="82.05" customHeight="1" x14ac:dyDescent="0.3">
      <c r="A1575" s="50" t="s">
        <v>3186</v>
      </c>
      <c r="B1575" s="50" t="s">
        <v>114</v>
      </c>
      <c r="C1575" s="50" t="s">
        <v>29</v>
      </c>
      <c r="D1575" s="50" t="s">
        <v>366</v>
      </c>
      <c r="E1575" s="121">
        <v>-1688886</v>
      </c>
      <c r="F1575" s="121">
        <v>-1688886</v>
      </c>
      <c r="G1575" s="121" t="s">
        <v>2033</v>
      </c>
      <c r="H1575" s="121">
        <f t="shared" si="52"/>
        <v>-1688.886</v>
      </c>
      <c r="I1575" s="121">
        <f>FCCL!H88</f>
        <v>-1688.886</v>
      </c>
      <c r="J1575" s="121">
        <f t="shared" si="53"/>
        <v>0</v>
      </c>
      <c r="K1575" s="50" t="s">
        <v>2925</v>
      </c>
      <c r="L1575" s="50">
        <v>246</v>
      </c>
      <c r="M1575" s="50" t="s">
        <v>1127</v>
      </c>
      <c r="N1575" s="68" t="s">
        <v>3564</v>
      </c>
      <c r="O1575" s="68" t="s">
        <v>3565</v>
      </c>
      <c r="P1575" s="68" t="s">
        <v>5077</v>
      </c>
    </row>
    <row r="1576" spans="1:16" ht="82.05" customHeight="1" x14ac:dyDescent="0.3">
      <c r="A1576" s="119" t="s">
        <v>3187</v>
      </c>
      <c r="B1576" s="119" t="s">
        <v>114</v>
      </c>
      <c r="C1576" s="119" t="s">
        <v>20</v>
      </c>
      <c r="D1576" s="119" t="s">
        <v>368</v>
      </c>
      <c r="E1576" s="120">
        <v>0</v>
      </c>
      <c r="F1576" s="120">
        <v>0</v>
      </c>
      <c r="G1576" s="120" t="s">
        <v>2033</v>
      </c>
      <c r="H1576" s="120">
        <f t="shared" si="52"/>
        <v>0</v>
      </c>
      <c r="I1576" s="120">
        <f>FCCL!D89</f>
        <v>0</v>
      </c>
      <c r="J1576" s="120">
        <f t="shared" si="53"/>
        <v>0</v>
      </c>
      <c r="K1576" s="119" t="s">
        <v>2918</v>
      </c>
      <c r="L1576" s="119">
        <v>188</v>
      </c>
      <c r="M1576" s="119" t="s">
        <v>1106</v>
      </c>
      <c r="N1576" s="122" t="s">
        <v>3578</v>
      </c>
      <c r="O1576" s="122" t="s">
        <v>3579</v>
      </c>
      <c r="P1576" s="122" t="s">
        <v>5078</v>
      </c>
    </row>
    <row r="1577" spans="1:16" ht="82.05" customHeight="1" x14ac:dyDescent="0.3">
      <c r="A1577" s="50" t="s">
        <v>3188</v>
      </c>
      <c r="B1577" s="50" t="s">
        <v>114</v>
      </c>
      <c r="C1577" s="50" t="s">
        <v>26</v>
      </c>
      <c r="D1577" s="50" t="s">
        <v>368</v>
      </c>
      <c r="E1577" s="121">
        <v>0</v>
      </c>
      <c r="F1577" s="121">
        <v>0</v>
      </c>
      <c r="G1577" s="121" t="s">
        <v>2033</v>
      </c>
      <c r="H1577" s="121">
        <f t="shared" si="52"/>
        <v>0</v>
      </c>
      <c r="I1577" s="121">
        <f>FCCL!E89</f>
        <v>0</v>
      </c>
      <c r="J1577" s="121">
        <f t="shared" si="53"/>
        <v>0</v>
      </c>
      <c r="K1577" s="50" t="s">
        <v>2920</v>
      </c>
      <c r="L1577" s="50">
        <v>210</v>
      </c>
      <c r="M1577" s="50" t="s">
        <v>1106</v>
      </c>
      <c r="N1577" s="68" t="s">
        <v>3578</v>
      </c>
      <c r="O1577" s="68" t="s">
        <v>3579</v>
      </c>
      <c r="P1577" s="68" t="s">
        <v>5079</v>
      </c>
    </row>
    <row r="1578" spans="1:16" ht="82.05" customHeight="1" x14ac:dyDescent="0.3">
      <c r="A1578" s="119" t="s">
        <v>3189</v>
      </c>
      <c r="B1578" s="119" t="s">
        <v>114</v>
      </c>
      <c r="C1578" s="119" t="s">
        <v>27</v>
      </c>
      <c r="D1578" s="119" t="s">
        <v>368</v>
      </c>
      <c r="E1578" s="120">
        <v>0</v>
      </c>
      <c r="F1578" s="120">
        <v>0</v>
      </c>
      <c r="G1578" s="120" t="s">
        <v>2033</v>
      </c>
      <c r="H1578" s="120">
        <f t="shared" si="52"/>
        <v>0</v>
      </c>
      <c r="I1578" s="120">
        <f>FCCL!F89</f>
        <v>0</v>
      </c>
      <c r="J1578" s="120">
        <f t="shared" si="53"/>
        <v>0</v>
      </c>
      <c r="K1578" s="119" t="s">
        <v>2923</v>
      </c>
      <c r="L1578" s="119">
        <v>192</v>
      </c>
      <c r="M1578" s="119" t="s">
        <v>1106</v>
      </c>
      <c r="N1578" s="122" t="s">
        <v>3578</v>
      </c>
      <c r="O1578" s="122" t="s">
        <v>3579</v>
      </c>
      <c r="P1578" s="122" t="s">
        <v>5080</v>
      </c>
    </row>
    <row r="1579" spans="1:16" ht="82.05" customHeight="1" x14ac:dyDescent="0.3">
      <c r="A1579" s="50" t="s">
        <v>3190</v>
      </c>
      <c r="B1579" s="50" t="s">
        <v>114</v>
      </c>
      <c r="C1579" s="50" t="s">
        <v>28</v>
      </c>
      <c r="D1579" s="50" t="s">
        <v>368</v>
      </c>
      <c r="E1579" s="121">
        <v>0</v>
      </c>
      <c r="F1579" s="121">
        <v>0</v>
      </c>
      <c r="G1579" s="121" t="s">
        <v>2033</v>
      </c>
      <c r="H1579" s="121">
        <f t="shared" si="52"/>
        <v>0</v>
      </c>
      <c r="I1579" s="121">
        <f>FCCL!G89</f>
        <v>0</v>
      </c>
      <c r="J1579" s="121">
        <f t="shared" si="53"/>
        <v>0</v>
      </c>
      <c r="K1579" s="50" t="s">
        <v>2925</v>
      </c>
      <c r="L1579" s="50">
        <v>246</v>
      </c>
      <c r="M1579" s="50" t="s">
        <v>1106</v>
      </c>
      <c r="N1579" s="68" t="s">
        <v>3578</v>
      </c>
      <c r="O1579" s="68" t="s">
        <v>3579</v>
      </c>
      <c r="P1579" s="68" t="s">
        <v>5081</v>
      </c>
    </row>
    <row r="1580" spans="1:16" ht="82.05" customHeight="1" x14ac:dyDescent="0.3">
      <c r="A1580" s="119" t="s">
        <v>3191</v>
      </c>
      <c r="B1580" s="119" t="s">
        <v>114</v>
      </c>
      <c r="C1580" s="119" t="s">
        <v>29</v>
      </c>
      <c r="D1580" s="119" t="s">
        <v>368</v>
      </c>
      <c r="E1580" s="120">
        <v>0</v>
      </c>
      <c r="F1580" s="120">
        <v>0</v>
      </c>
      <c r="G1580" s="120" t="s">
        <v>2033</v>
      </c>
      <c r="H1580" s="120">
        <f t="shared" si="52"/>
        <v>0</v>
      </c>
      <c r="I1580" s="120">
        <f>FCCL!H89</f>
        <v>0</v>
      </c>
      <c r="J1580" s="120">
        <f t="shared" si="53"/>
        <v>0</v>
      </c>
      <c r="K1580" s="119" t="s">
        <v>2925</v>
      </c>
      <c r="L1580" s="119">
        <v>246</v>
      </c>
      <c r="M1580" s="119" t="s">
        <v>1127</v>
      </c>
      <c r="N1580" s="122" t="s">
        <v>3578</v>
      </c>
      <c r="O1580" s="122" t="s">
        <v>3579</v>
      </c>
      <c r="P1580" s="122" t="s">
        <v>5081</v>
      </c>
    </row>
    <row r="1581" spans="1:16" ht="82.05" customHeight="1" x14ac:dyDescent="0.3">
      <c r="A1581" s="50" t="s">
        <v>3192</v>
      </c>
      <c r="B1581" s="50" t="s">
        <v>114</v>
      </c>
      <c r="C1581" s="50" t="s">
        <v>20</v>
      </c>
      <c r="D1581" s="50" t="s">
        <v>370</v>
      </c>
      <c r="E1581" s="121">
        <v>-377946</v>
      </c>
      <c r="F1581" s="121">
        <v>-377946</v>
      </c>
      <c r="G1581" s="121" t="s">
        <v>2033</v>
      </c>
      <c r="H1581" s="121">
        <f t="shared" si="52"/>
        <v>-377.94600000000003</v>
      </c>
      <c r="I1581" s="121">
        <f>FCCL!D90</f>
        <v>-377.94600000000003</v>
      </c>
      <c r="J1581" s="121">
        <f t="shared" si="53"/>
        <v>0</v>
      </c>
      <c r="K1581" s="50" t="s">
        <v>2918</v>
      </c>
      <c r="L1581" s="50">
        <v>188</v>
      </c>
      <c r="M1581" s="50" t="s">
        <v>1106</v>
      </c>
      <c r="N1581" s="68" t="s">
        <v>3564</v>
      </c>
      <c r="O1581" s="68" t="s">
        <v>3565</v>
      </c>
      <c r="P1581" s="68" t="s">
        <v>5082</v>
      </c>
    </row>
    <row r="1582" spans="1:16" ht="82.05" customHeight="1" x14ac:dyDescent="0.3">
      <c r="A1582" s="119" t="s">
        <v>3193</v>
      </c>
      <c r="B1582" s="119" t="s">
        <v>114</v>
      </c>
      <c r="C1582" s="119" t="s">
        <v>26</v>
      </c>
      <c r="D1582" s="119" t="s">
        <v>370</v>
      </c>
      <c r="E1582" s="120">
        <v>-808964</v>
      </c>
      <c r="F1582" s="120">
        <v>-808964</v>
      </c>
      <c r="G1582" s="120" t="s">
        <v>2033</v>
      </c>
      <c r="H1582" s="120">
        <f t="shared" ref="H1582:H1645" si="54">F1582/1000</f>
        <v>-808.96400000000006</v>
      </c>
      <c r="I1582" s="120">
        <f>FCCL!E90</f>
        <v>-808.96400000000006</v>
      </c>
      <c r="J1582" s="120">
        <f t="shared" ref="J1582:J1645" si="55">H1582-I1582</f>
        <v>0</v>
      </c>
      <c r="K1582" s="119" t="s">
        <v>2920</v>
      </c>
      <c r="L1582" s="119">
        <v>210</v>
      </c>
      <c r="M1582" s="119" t="s">
        <v>1106</v>
      </c>
      <c r="N1582" s="122" t="s">
        <v>3564</v>
      </c>
      <c r="O1582" s="122" t="s">
        <v>3565</v>
      </c>
      <c r="P1582" s="122" t="s">
        <v>5083</v>
      </c>
    </row>
    <row r="1583" spans="1:16" ht="82.05" customHeight="1" x14ac:dyDescent="0.3">
      <c r="A1583" s="50" t="s">
        <v>3194</v>
      </c>
      <c r="B1583" s="50" t="s">
        <v>114</v>
      </c>
      <c r="C1583" s="50" t="s">
        <v>27</v>
      </c>
      <c r="D1583" s="50" t="s">
        <v>370</v>
      </c>
      <c r="E1583" s="121">
        <v>-750078</v>
      </c>
      <c r="F1583" s="121">
        <v>-750078</v>
      </c>
      <c r="G1583" s="121" t="s">
        <v>2033</v>
      </c>
      <c r="H1583" s="121">
        <f t="shared" si="54"/>
        <v>-750.07799999999997</v>
      </c>
      <c r="I1583" s="121">
        <f>FCCL!F90</f>
        <v>-750.07799999999997</v>
      </c>
      <c r="J1583" s="121">
        <f t="shared" si="55"/>
        <v>0</v>
      </c>
      <c r="K1583" s="50" t="s">
        <v>2923</v>
      </c>
      <c r="L1583" s="50">
        <v>192</v>
      </c>
      <c r="M1583" s="50" t="s">
        <v>1106</v>
      </c>
      <c r="N1583" s="68" t="s">
        <v>3564</v>
      </c>
      <c r="O1583" s="68" t="s">
        <v>3565</v>
      </c>
      <c r="P1583" s="68" t="s">
        <v>5084</v>
      </c>
    </row>
    <row r="1584" spans="1:16" ht="82.05" customHeight="1" x14ac:dyDescent="0.3">
      <c r="A1584" s="119" t="s">
        <v>3195</v>
      </c>
      <c r="B1584" s="119" t="s">
        <v>114</v>
      </c>
      <c r="C1584" s="119" t="s">
        <v>28</v>
      </c>
      <c r="D1584" s="119" t="s">
        <v>370</v>
      </c>
      <c r="E1584" s="120">
        <v>-826875</v>
      </c>
      <c r="F1584" s="120">
        <v>-826875</v>
      </c>
      <c r="G1584" s="120" t="s">
        <v>2033</v>
      </c>
      <c r="H1584" s="120">
        <f t="shared" si="54"/>
        <v>-826.875</v>
      </c>
      <c r="I1584" s="120">
        <f>FCCL!G90</f>
        <v>-826.875</v>
      </c>
      <c r="J1584" s="120">
        <f t="shared" si="55"/>
        <v>0</v>
      </c>
      <c r="K1584" s="119" t="s">
        <v>2925</v>
      </c>
      <c r="L1584" s="119">
        <v>246</v>
      </c>
      <c r="M1584" s="119" t="s">
        <v>1106</v>
      </c>
      <c r="N1584" s="122" t="s">
        <v>3564</v>
      </c>
      <c r="O1584" s="122" t="s">
        <v>3565</v>
      </c>
      <c r="P1584" s="122" t="s">
        <v>5085</v>
      </c>
    </row>
    <row r="1585" spans="1:16" ht="82.05" customHeight="1" x14ac:dyDescent="0.3">
      <c r="A1585" s="50" t="s">
        <v>3196</v>
      </c>
      <c r="B1585" s="50" t="s">
        <v>114</v>
      </c>
      <c r="C1585" s="50" t="s">
        <v>29</v>
      </c>
      <c r="D1585" s="50" t="s">
        <v>370</v>
      </c>
      <c r="E1585" s="121">
        <v>-1479276</v>
      </c>
      <c r="F1585" s="121">
        <v>-1479276</v>
      </c>
      <c r="G1585" s="121" t="s">
        <v>2033</v>
      </c>
      <c r="H1585" s="121">
        <f t="shared" si="54"/>
        <v>-1479.2760000000001</v>
      </c>
      <c r="I1585" s="121">
        <f>FCCL!H90</f>
        <v>-1479.2760000000001</v>
      </c>
      <c r="J1585" s="121">
        <f t="shared" si="55"/>
        <v>0</v>
      </c>
      <c r="K1585" s="50" t="s">
        <v>2925</v>
      </c>
      <c r="L1585" s="50">
        <v>246</v>
      </c>
      <c r="M1585" s="50" t="s">
        <v>1127</v>
      </c>
      <c r="N1585" s="68" t="s">
        <v>3564</v>
      </c>
      <c r="O1585" s="68" t="s">
        <v>3565</v>
      </c>
      <c r="P1585" s="68" t="s">
        <v>5086</v>
      </c>
    </row>
    <row r="1586" spans="1:16" ht="82.05" customHeight="1" x14ac:dyDescent="0.3">
      <c r="A1586" s="119" t="s">
        <v>3197</v>
      </c>
      <c r="B1586" s="119" t="s">
        <v>114</v>
      </c>
      <c r="C1586" s="119" t="s">
        <v>20</v>
      </c>
      <c r="D1586" s="119" t="s">
        <v>374</v>
      </c>
      <c r="E1586" s="120">
        <v>81710</v>
      </c>
      <c r="F1586" s="120">
        <v>81710</v>
      </c>
      <c r="G1586" s="120" t="s">
        <v>2033</v>
      </c>
      <c r="H1586" s="120">
        <f t="shared" si="54"/>
        <v>81.709999999999994</v>
      </c>
      <c r="I1586" s="120">
        <f>FCCL!D92</f>
        <v>81.709999999999994</v>
      </c>
      <c r="J1586" s="120">
        <f t="shared" si="55"/>
        <v>0</v>
      </c>
      <c r="K1586" s="119" t="s">
        <v>2918</v>
      </c>
      <c r="L1586" s="119">
        <v>188</v>
      </c>
      <c r="M1586" s="119" t="s">
        <v>1106</v>
      </c>
      <c r="N1586" s="122" t="s">
        <v>3564</v>
      </c>
      <c r="O1586" s="122" t="s">
        <v>3565</v>
      </c>
      <c r="P1586" s="122" t="s">
        <v>5087</v>
      </c>
    </row>
    <row r="1587" spans="1:16" ht="82.05" customHeight="1" x14ac:dyDescent="0.3">
      <c r="A1587" s="50" t="s">
        <v>3198</v>
      </c>
      <c r="B1587" s="50" t="s">
        <v>114</v>
      </c>
      <c r="C1587" s="50" t="s">
        <v>26</v>
      </c>
      <c r="D1587" s="50" t="s">
        <v>374</v>
      </c>
      <c r="E1587" s="121">
        <v>230695</v>
      </c>
      <c r="F1587" s="121">
        <v>230695</v>
      </c>
      <c r="G1587" s="121" t="s">
        <v>2033</v>
      </c>
      <c r="H1587" s="121">
        <f t="shared" si="54"/>
        <v>230.69499999999999</v>
      </c>
      <c r="I1587" s="121">
        <f>FCCL!E92</f>
        <v>230.69499999999999</v>
      </c>
      <c r="J1587" s="121">
        <f t="shared" si="55"/>
        <v>0</v>
      </c>
      <c r="K1587" s="50" t="s">
        <v>2920</v>
      </c>
      <c r="L1587" s="50">
        <v>210</v>
      </c>
      <c r="M1587" s="50" t="s">
        <v>1106</v>
      </c>
      <c r="N1587" s="68" t="s">
        <v>3564</v>
      </c>
      <c r="O1587" s="68" t="s">
        <v>3565</v>
      </c>
      <c r="P1587" s="68" t="s">
        <v>5088</v>
      </c>
    </row>
    <row r="1588" spans="1:16" ht="82.05" customHeight="1" x14ac:dyDescent="0.3">
      <c r="A1588" s="119" t="s">
        <v>3199</v>
      </c>
      <c r="B1588" s="119" t="s">
        <v>114</v>
      </c>
      <c r="C1588" s="119" t="s">
        <v>27</v>
      </c>
      <c r="D1588" s="119" t="s">
        <v>374</v>
      </c>
      <c r="E1588" s="120">
        <v>436173</v>
      </c>
      <c r="F1588" s="120">
        <v>436173</v>
      </c>
      <c r="G1588" s="120" t="s">
        <v>2033</v>
      </c>
      <c r="H1588" s="120">
        <f t="shared" si="54"/>
        <v>436.173</v>
      </c>
      <c r="I1588" s="120">
        <f>FCCL!F92</f>
        <v>436.173</v>
      </c>
      <c r="J1588" s="120">
        <f t="shared" si="55"/>
        <v>0</v>
      </c>
      <c r="K1588" s="119" t="s">
        <v>2923</v>
      </c>
      <c r="L1588" s="119">
        <v>192</v>
      </c>
      <c r="M1588" s="119" t="s">
        <v>1106</v>
      </c>
      <c r="N1588" s="122" t="s">
        <v>3564</v>
      </c>
      <c r="O1588" s="122" t="s">
        <v>3565</v>
      </c>
      <c r="P1588" s="122" t="s">
        <v>5089</v>
      </c>
    </row>
    <row r="1589" spans="1:16" ht="82.05" customHeight="1" x14ac:dyDescent="0.3">
      <c r="A1589" s="50" t="s">
        <v>3200</v>
      </c>
      <c r="B1589" s="50" t="s">
        <v>114</v>
      </c>
      <c r="C1589" s="50" t="s">
        <v>28</v>
      </c>
      <c r="D1589" s="50" t="s">
        <v>374</v>
      </c>
      <c r="E1589" s="121">
        <v>540373</v>
      </c>
      <c r="F1589" s="121">
        <v>540373</v>
      </c>
      <c r="G1589" s="121" t="s">
        <v>2033</v>
      </c>
      <c r="H1589" s="121">
        <f t="shared" si="54"/>
        <v>540.37300000000005</v>
      </c>
      <c r="I1589" s="121">
        <f>FCCL!G92</f>
        <v>540.37300000000005</v>
      </c>
      <c r="J1589" s="121">
        <f t="shared" si="55"/>
        <v>0</v>
      </c>
      <c r="K1589" s="50" t="s">
        <v>2925</v>
      </c>
      <c r="L1589" s="50">
        <v>246</v>
      </c>
      <c r="M1589" s="50" t="s">
        <v>1106</v>
      </c>
      <c r="N1589" s="68" t="s">
        <v>3564</v>
      </c>
      <c r="O1589" s="68" t="s">
        <v>3565</v>
      </c>
      <c r="P1589" s="68" t="s">
        <v>5090</v>
      </c>
    </row>
    <row r="1590" spans="1:16" ht="82.05" customHeight="1" x14ac:dyDescent="0.3">
      <c r="A1590" s="119" t="s">
        <v>3201</v>
      </c>
      <c r="B1590" s="119" t="s">
        <v>114</v>
      </c>
      <c r="C1590" s="119" t="s">
        <v>29</v>
      </c>
      <c r="D1590" s="119" t="s">
        <v>374</v>
      </c>
      <c r="E1590" s="120">
        <v>760772</v>
      </c>
      <c r="F1590" s="120">
        <v>760772</v>
      </c>
      <c r="G1590" s="120" t="s">
        <v>2033</v>
      </c>
      <c r="H1590" s="120">
        <f t="shared" si="54"/>
        <v>760.77200000000005</v>
      </c>
      <c r="I1590" s="120">
        <f>FCCL!H92</f>
        <v>760.77200000000005</v>
      </c>
      <c r="J1590" s="120">
        <f t="shared" si="55"/>
        <v>0</v>
      </c>
      <c r="K1590" s="119" t="s">
        <v>2925</v>
      </c>
      <c r="L1590" s="119">
        <v>246</v>
      </c>
      <c r="M1590" s="119" t="s">
        <v>1127</v>
      </c>
      <c r="N1590" s="122" t="s">
        <v>3564</v>
      </c>
      <c r="O1590" s="122" t="s">
        <v>3565</v>
      </c>
      <c r="P1590" s="122" t="s">
        <v>5091</v>
      </c>
    </row>
    <row r="1591" spans="1:16" ht="82.05" customHeight="1" x14ac:dyDescent="0.3">
      <c r="A1591" s="50" t="s">
        <v>3202</v>
      </c>
      <c r="B1591" s="50" t="s">
        <v>114</v>
      </c>
      <c r="C1591" s="50" t="s">
        <v>20</v>
      </c>
      <c r="D1591" s="50" t="s">
        <v>376</v>
      </c>
      <c r="E1591" s="121">
        <v>160543</v>
      </c>
      <c r="F1591" s="121">
        <v>160543</v>
      </c>
      <c r="G1591" s="121" t="s">
        <v>2033</v>
      </c>
      <c r="H1591" s="121">
        <f t="shared" si="54"/>
        <v>160.54300000000001</v>
      </c>
      <c r="I1591" s="121">
        <f>FCCL!D93</f>
        <v>160.54300000000001</v>
      </c>
      <c r="J1591" s="121">
        <f t="shared" si="55"/>
        <v>0</v>
      </c>
      <c r="K1591" s="50" t="s">
        <v>2918</v>
      </c>
      <c r="L1591" s="50">
        <v>188</v>
      </c>
      <c r="M1591" s="50" t="s">
        <v>1106</v>
      </c>
      <c r="N1591" s="68" t="s">
        <v>3564</v>
      </c>
      <c r="O1591" s="68" t="s">
        <v>3565</v>
      </c>
      <c r="P1591" s="68" t="s">
        <v>5092</v>
      </c>
    </row>
    <row r="1592" spans="1:16" ht="82.05" customHeight="1" x14ac:dyDescent="0.3">
      <c r="A1592" s="119" t="s">
        <v>3203</v>
      </c>
      <c r="B1592" s="119" t="s">
        <v>114</v>
      </c>
      <c r="C1592" s="119" t="s">
        <v>26</v>
      </c>
      <c r="D1592" s="119" t="s">
        <v>376</v>
      </c>
      <c r="E1592" s="120">
        <v>745852</v>
      </c>
      <c r="F1592" s="120">
        <v>745852</v>
      </c>
      <c r="G1592" s="120" t="s">
        <v>2033</v>
      </c>
      <c r="H1592" s="120">
        <f t="shared" si="54"/>
        <v>745.85199999999998</v>
      </c>
      <c r="I1592" s="120">
        <f>FCCL!E93</f>
        <v>745.85199999999998</v>
      </c>
      <c r="J1592" s="120">
        <f t="shared" si="55"/>
        <v>0</v>
      </c>
      <c r="K1592" s="119" t="s">
        <v>2920</v>
      </c>
      <c r="L1592" s="119">
        <v>210</v>
      </c>
      <c r="M1592" s="119" t="s">
        <v>1106</v>
      </c>
      <c r="N1592" s="122" t="s">
        <v>3564</v>
      </c>
      <c r="O1592" s="122" t="s">
        <v>3565</v>
      </c>
      <c r="P1592" s="122" t="s">
        <v>5093</v>
      </c>
    </row>
    <row r="1593" spans="1:16" ht="82.05" customHeight="1" x14ac:dyDescent="0.3">
      <c r="A1593" s="50" t="s">
        <v>3204</v>
      </c>
      <c r="B1593" s="50" t="s">
        <v>114</v>
      </c>
      <c r="C1593" s="50" t="s">
        <v>27</v>
      </c>
      <c r="D1593" s="50" t="s">
        <v>376</v>
      </c>
      <c r="E1593" s="121">
        <v>527702</v>
      </c>
      <c r="F1593" s="121">
        <v>527702</v>
      </c>
      <c r="G1593" s="121" t="s">
        <v>2033</v>
      </c>
      <c r="H1593" s="121">
        <f t="shared" si="54"/>
        <v>527.702</v>
      </c>
      <c r="I1593" s="121">
        <f>FCCL!F93</f>
        <v>527.702</v>
      </c>
      <c r="J1593" s="121">
        <f t="shared" si="55"/>
        <v>0</v>
      </c>
      <c r="K1593" s="50" t="s">
        <v>2923</v>
      </c>
      <c r="L1593" s="50">
        <v>192</v>
      </c>
      <c r="M1593" s="50" t="s">
        <v>1106</v>
      </c>
      <c r="N1593" s="68" t="s">
        <v>3564</v>
      </c>
      <c r="O1593" s="68" t="s">
        <v>3565</v>
      </c>
      <c r="P1593" s="68" t="s">
        <v>5094</v>
      </c>
    </row>
    <row r="1594" spans="1:16" ht="82.05" customHeight="1" x14ac:dyDescent="0.3">
      <c r="A1594" s="119" t="s">
        <v>3205</v>
      </c>
      <c r="B1594" s="119" t="s">
        <v>114</v>
      </c>
      <c r="C1594" s="119" t="s">
        <v>28</v>
      </c>
      <c r="D1594" s="119" t="s">
        <v>376</v>
      </c>
      <c r="E1594" s="120">
        <v>299318</v>
      </c>
      <c r="F1594" s="120">
        <v>299318</v>
      </c>
      <c r="G1594" s="120" t="s">
        <v>2033</v>
      </c>
      <c r="H1594" s="120">
        <f t="shared" si="54"/>
        <v>299.31799999999998</v>
      </c>
      <c r="I1594" s="120">
        <f>FCCL!G93</f>
        <v>299.31799999999998</v>
      </c>
      <c r="J1594" s="120">
        <f t="shared" si="55"/>
        <v>0</v>
      </c>
      <c r="K1594" s="119" t="s">
        <v>2925</v>
      </c>
      <c r="L1594" s="119">
        <v>246</v>
      </c>
      <c r="M1594" s="119" t="s">
        <v>1106</v>
      </c>
      <c r="N1594" s="122" t="s">
        <v>3564</v>
      </c>
      <c r="O1594" s="122" t="s">
        <v>3565</v>
      </c>
      <c r="P1594" s="122" t="s">
        <v>5095</v>
      </c>
    </row>
    <row r="1595" spans="1:16" ht="82.05" customHeight="1" x14ac:dyDescent="0.3">
      <c r="A1595" s="50" t="s">
        <v>3206</v>
      </c>
      <c r="B1595" s="50" t="s">
        <v>114</v>
      </c>
      <c r="C1595" s="50" t="s">
        <v>29</v>
      </c>
      <c r="D1595" s="50" t="s">
        <v>376</v>
      </c>
      <c r="E1595" s="121">
        <v>1068831</v>
      </c>
      <c r="F1595" s="121">
        <v>1068831</v>
      </c>
      <c r="G1595" s="121" t="s">
        <v>2033</v>
      </c>
      <c r="H1595" s="121">
        <f t="shared" si="54"/>
        <v>1068.8309999999999</v>
      </c>
      <c r="I1595" s="121">
        <f>FCCL!H93</f>
        <v>1068.8309999999999</v>
      </c>
      <c r="J1595" s="121">
        <f t="shared" si="55"/>
        <v>0</v>
      </c>
      <c r="K1595" s="50" t="s">
        <v>2925</v>
      </c>
      <c r="L1595" s="50">
        <v>246</v>
      </c>
      <c r="M1595" s="50" t="s">
        <v>1127</v>
      </c>
      <c r="N1595" s="68" t="s">
        <v>3564</v>
      </c>
      <c r="O1595" s="68" t="s">
        <v>3565</v>
      </c>
      <c r="P1595" s="68" t="s">
        <v>5096</v>
      </c>
    </row>
    <row r="1596" spans="1:16" ht="82.05" customHeight="1" x14ac:dyDescent="0.3">
      <c r="A1596" s="119" t="s">
        <v>3207</v>
      </c>
      <c r="B1596" s="119" t="s">
        <v>114</v>
      </c>
      <c r="C1596" s="119" t="s">
        <v>20</v>
      </c>
      <c r="D1596" s="119" t="s">
        <v>378</v>
      </c>
      <c r="E1596" s="120">
        <v>2849</v>
      </c>
      <c r="F1596" s="120">
        <v>2849</v>
      </c>
      <c r="G1596" s="120" t="s">
        <v>2033</v>
      </c>
      <c r="H1596" s="120">
        <f t="shared" si="54"/>
        <v>2.8490000000000002</v>
      </c>
      <c r="I1596" s="120">
        <f>FCCL!D94</f>
        <v>2.8490000000000002</v>
      </c>
      <c r="J1596" s="120">
        <f t="shared" si="55"/>
        <v>0</v>
      </c>
      <c r="K1596" s="119" t="s">
        <v>2918</v>
      </c>
      <c r="L1596" s="119">
        <v>188</v>
      </c>
      <c r="M1596" s="119" t="s">
        <v>1106</v>
      </c>
      <c r="N1596" s="122" t="s">
        <v>3564</v>
      </c>
      <c r="O1596" s="122" t="s">
        <v>3565</v>
      </c>
      <c r="P1596" s="122" t="s">
        <v>5097</v>
      </c>
    </row>
    <row r="1597" spans="1:16" ht="82.05" customHeight="1" x14ac:dyDescent="0.3">
      <c r="A1597" s="50" t="s">
        <v>3208</v>
      </c>
      <c r="B1597" s="50" t="s">
        <v>114</v>
      </c>
      <c r="C1597" s="50" t="s">
        <v>26</v>
      </c>
      <c r="D1597" s="50" t="s">
        <v>378</v>
      </c>
      <c r="E1597" s="121">
        <v>1308</v>
      </c>
      <c r="F1597" s="121">
        <v>1308</v>
      </c>
      <c r="G1597" s="121" t="s">
        <v>2033</v>
      </c>
      <c r="H1597" s="121">
        <f t="shared" si="54"/>
        <v>1.3080000000000001</v>
      </c>
      <c r="I1597" s="121">
        <f>FCCL!E94</f>
        <v>1.3080000000000001</v>
      </c>
      <c r="J1597" s="121">
        <f t="shared" si="55"/>
        <v>0</v>
      </c>
      <c r="K1597" s="50" t="s">
        <v>2920</v>
      </c>
      <c r="L1597" s="50">
        <v>210</v>
      </c>
      <c r="M1597" s="50" t="s">
        <v>1106</v>
      </c>
      <c r="N1597" s="68" t="s">
        <v>3564</v>
      </c>
      <c r="O1597" s="68" t="s">
        <v>3565</v>
      </c>
      <c r="P1597" s="68" t="s">
        <v>5098</v>
      </c>
    </row>
    <row r="1598" spans="1:16" ht="82.05" customHeight="1" x14ac:dyDescent="0.3">
      <c r="A1598" s="119" t="s">
        <v>3209</v>
      </c>
      <c r="B1598" s="119" t="s">
        <v>114</v>
      </c>
      <c r="C1598" s="119" t="s">
        <v>27</v>
      </c>
      <c r="D1598" s="119" t="s">
        <v>378</v>
      </c>
      <c r="E1598" s="120">
        <v>0</v>
      </c>
      <c r="F1598" s="120">
        <v>0</v>
      </c>
      <c r="G1598" s="120" t="s">
        <v>2033</v>
      </c>
      <c r="H1598" s="120">
        <f t="shared" si="54"/>
        <v>0</v>
      </c>
      <c r="I1598" s="120">
        <f>FCCL!F94</f>
        <v>0</v>
      </c>
      <c r="J1598" s="120">
        <f t="shared" si="55"/>
        <v>0</v>
      </c>
      <c r="K1598" s="119" t="s">
        <v>2923</v>
      </c>
      <c r="L1598" s="119">
        <v>192</v>
      </c>
      <c r="M1598" s="119" t="s">
        <v>1106</v>
      </c>
      <c r="N1598" s="122" t="s">
        <v>3578</v>
      </c>
      <c r="O1598" s="122" t="s">
        <v>3579</v>
      </c>
      <c r="P1598" s="122" t="s">
        <v>5099</v>
      </c>
    </row>
    <row r="1599" spans="1:16" ht="82.05" customHeight="1" x14ac:dyDescent="0.3">
      <c r="A1599" s="50" t="s">
        <v>3210</v>
      </c>
      <c r="B1599" s="50" t="s">
        <v>114</v>
      </c>
      <c r="C1599" s="50" t="s">
        <v>28</v>
      </c>
      <c r="D1599" s="50" t="s">
        <v>378</v>
      </c>
      <c r="E1599" s="121">
        <v>0</v>
      </c>
      <c r="F1599" s="121">
        <v>0</v>
      </c>
      <c r="G1599" s="121" t="s">
        <v>2033</v>
      </c>
      <c r="H1599" s="121">
        <f t="shared" si="54"/>
        <v>0</v>
      </c>
      <c r="I1599" s="121">
        <f>FCCL!G94</f>
        <v>0</v>
      </c>
      <c r="J1599" s="121">
        <f t="shared" si="55"/>
        <v>0</v>
      </c>
      <c r="K1599" s="50" t="s">
        <v>2925</v>
      </c>
      <c r="L1599" s="50">
        <v>246</v>
      </c>
      <c r="M1599" s="50" t="s">
        <v>1106</v>
      </c>
      <c r="N1599" s="68" t="s">
        <v>3578</v>
      </c>
      <c r="O1599" s="68" t="s">
        <v>3579</v>
      </c>
      <c r="P1599" s="68" t="s">
        <v>5100</v>
      </c>
    </row>
    <row r="1600" spans="1:16" ht="82.05" customHeight="1" x14ac:dyDescent="0.3">
      <c r="A1600" s="119" t="s">
        <v>3211</v>
      </c>
      <c r="B1600" s="119" t="s">
        <v>114</v>
      </c>
      <c r="C1600" s="119" t="s">
        <v>29</v>
      </c>
      <c r="D1600" s="119" t="s">
        <v>378</v>
      </c>
      <c r="E1600" s="120">
        <v>0</v>
      </c>
      <c r="F1600" s="120">
        <v>0</v>
      </c>
      <c r="G1600" s="120" t="s">
        <v>2033</v>
      </c>
      <c r="H1600" s="120">
        <f t="shared" si="54"/>
        <v>0</v>
      </c>
      <c r="I1600" s="120">
        <f>FCCL!H94</f>
        <v>0</v>
      </c>
      <c r="J1600" s="120">
        <f t="shared" si="55"/>
        <v>0</v>
      </c>
      <c r="K1600" s="119" t="s">
        <v>2925</v>
      </c>
      <c r="L1600" s="119">
        <v>246</v>
      </c>
      <c r="M1600" s="119" t="s">
        <v>1127</v>
      </c>
      <c r="N1600" s="122" t="s">
        <v>3578</v>
      </c>
      <c r="O1600" s="122" t="s">
        <v>3579</v>
      </c>
      <c r="P1600" s="122" t="s">
        <v>5100</v>
      </c>
    </row>
    <row r="1601" spans="1:16" ht="82.05" customHeight="1" x14ac:dyDescent="0.3">
      <c r="A1601" s="50" t="s">
        <v>3212</v>
      </c>
      <c r="B1601" s="50" t="s">
        <v>114</v>
      </c>
      <c r="C1601" s="50" t="s">
        <v>20</v>
      </c>
      <c r="D1601" s="50" t="s">
        <v>380</v>
      </c>
      <c r="E1601" s="121">
        <v>-109623</v>
      </c>
      <c r="F1601" s="121">
        <v>-109623</v>
      </c>
      <c r="G1601" s="121" t="s">
        <v>2033</v>
      </c>
      <c r="H1601" s="121">
        <f t="shared" si="54"/>
        <v>-109.623</v>
      </c>
      <c r="I1601" s="121">
        <f>FCCL!D95</f>
        <v>-109.623</v>
      </c>
      <c r="J1601" s="121">
        <f t="shared" si="55"/>
        <v>0</v>
      </c>
      <c r="K1601" s="50" t="s">
        <v>2918</v>
      </c>
      <c r="L1601" s="50">
        <v>188</v>
      </c>
      <c r="M1601" s="50" t="s">
        <v>1106</v>
      </c>
      <c r="N1601" s="68" t="s">
        <v>3564</v>
      </c>
      <c r="O1601" s="68" t="s">
        <v>3565</v>
      </c>
      <c r="P1601" s="68" t="s">
        <v>5101</v>
      </c>
    </row>
    <row r="1602" spans="1:16" ht="82.05" customHeight="1" x14ac:dyDescent="0.3">
      <c r="A1602" s="119" t="s">
        <v>3213</v>
      </c>
      <c r="B1602" s="119" t="s">
        <v>114</v>
      </c>
      <c r="C1602" s="119" t="s">
        <v>26</v>
      </c>
      <c r="D1602" s="119" t="s">
        <v>380</v>
      </c>
      <c r="E1602" s="120">
        <v>-1201612</v>
      </c>
      <c r="F1602" s="120">
        <v>-1201612</v>
      </c>
      <c r="G1602" s="120" t="s">
        <v>2033</v>
      </c>
      <c r="H1602" s="120">
        <f t="shared" si="54"/>
        <v>-1201.6120000000001</v>
      </c>
      <c r="I1602" s="120">
        <f>FCCL!E95</f>
        <v>-1201.6120000000001</v>
      </c>
      <c r="J1602" s="120">
        <f t="shared" si="55"/>
        <v>0</v>
      </c>
      <c r="K1602" s="119" t="s">
        <v>2920</v>
      </c>
      <c r="L1602" s="119">
        <v>210</v>
      </c>
      <c r="M1602" s="119" t="s">
        <v>1106</v>
      </c>
      <c r="N1602" s="122" t="s">
        <v>3564</v>
      </c>
      <c r="O1602" s="122" t="s">
        <v>3565</v>
      </c>
      <c r="P1602" s="122" t="s">
        <v>5102</v>
      </c>
    </row>
    <row r="1603" spans="1:16" ht="82.05" customHeight="1" x14ac:dyDescent="0.3">
      <c r="A1603" s="50" t="s">
        <v>3214</v>
      </c>
      <c r="B1603" s="50" t="s">
        <v>114</v>
      </c>
      <c r="C1603" s="50" t="s">
        <v>27</v>
      </c>
      <c r="D1603" s="50" t="s">
        <v>380</v>
      </c>
      <c r="E1603" s="121">
        <v>-3645265</v>
      </c>
      <c r="F1603" s="121">
        <v>-3645265</v>
      </c>
      <c r="G1603" s="121" t="s">
        <v>2033</v>
      </c>
      <c r="H1603" s="121">
        <f t="shared" si="54"/>
        <v>-3645.2649999999999</v>
      </c>
      <c r="I1603" s="121">
        <f>FCCL!F95</f>
        <v>-3645.2649999999999</v>
      </c>
      <c r="J1603" s="121">
        <f t="shared" si="55"/>
        <v>0</v>
      </c>
      <c r="K1603" s="50" t="s">
        <v>2923</v>
      </c>
      <c r="L1603" s="50">
        <v>192</v>
      </c>
      <c r="M1603" s="50" t="s">
        <v>1106</v>
      </c>
      <c r="N1603" s="68" t="s">
        <v>3564</v>
      </c>
      <c r="O1603" s="68" t="s">
        <v>3565</v>
      </c>
      <c r="P1603" s="68" t="s">
        <v>5103</v>
      </c>
    </row>
    <row r="1604" spans="1:16" ht="82.05" customHeight="1" x14ac:dyDescent="0.3">
      <c r="A1604" s="119" t="s">
        <v>3215</v>
      </c>
      <c r="B1604" s="119" t="s">
        <v>114</v>
      </c>
      <c r="C1604" s="119" t="s">
        <v>28</v>
      </c>
      <c r="D1604" s="119" t="s">
        <v>380</v>
      </c>
      <c r="E1604" s="120">
        <v>-5536298</v>
      </c>
      <c r="F1604" s="120">
        <v>-5536298</v>
      </c>
      <c r="G1604" s="120" t="s">
        <v>2033</v>
      </c>
      <c r="H1604" s="120">
        <f t="shared" si="54"/>
        <v>-5536.2979999999998</v>
      </c>
      <c r="I1604" s="120">
        <f>FCCL!G95</f>
        <v>-5536.2979999999998</v>
      </c>
      <c r="J1604" s="120">
        <f t="shared" si="55"/>
        <v>0</v>
      </c>
      <c r="K1604" s="119" t="s">
        <v>2925</v>
      </c>
      <c r="L1604" s="119">
        <v>246</v>
      </c>
      <c r="M1604" s="119" t="s">
        <v>1106</v>
      </c>
      <c r="N1604" s="122" t="s">
        <v>3564</v>
      </c>
      <c r="O1604" s="122" t="s">
        <v>3565</v>
      </c>
      <c r="P1604" s="122" t="s">
        <v>5104</v>
      </c>
    </row>
    <row r="1605" spans="1:16" ht="82.05" customHeight="1" x14ac:dyDescent="0.3">
      <c r="A1605" s="50" t="s">
        <v>3216</v>
      </c>
      <c r="B1605" s="50" t="s">
        <v>114</v>
      </c>
      <c r="C1605" s="50" t="s">
        <v>29</v>
      </c>
      <c r="D1605" s="50" t="s">
        <v>380</v>
      </c>
      <c r="E1605" s="121">
        <v>-5772132</v>
      </c>
      <c r="F1605" s="121">
        <v>-5772132</v>
      </c>
      <c r="G1605" s="121" t="s">
        <v>2033</v>
      </c>
      <c r="H1605" s="121">
        <f t="shared" si="54"/>
        <v>-5772.1319999999996</v>
      </c>
      <c r="I1605" s="121">
        <f>FCCL!H95</f>
        <v>-5772.1319999999996</v>
      </c>
      <c r="J1605" s="121">
        <f t="shared" si="55"/>
        <v>0</v>
      </c>
      <c r="K1605" s="50" t="s">
        <v>2925</v>
      </c>
      <c r="L1605" s="50">
        <v>246</v>
      </c>
      <c r="M1605" s="50" t="s">
        <v>1127</v>
      </c>
      <c r="N1605" s="68" t="s">
        <v>3564</v>
      </c>
      <c r="O1605" s="68" t="s">
        <v>3565</v>
      </c>
      <c r="P1605" s="68" t="s">
        <v>5105</v>
      </c>
    </row>
    <row r="1606" spans="1:16" ht="82.05" customHeight="1" x14ac:dyDescent="0.3">
      <c r="A1606" s="119" t="s">
        <v>3217</v>
      </c>
      <c r="B1606" s="119" t="s">
        <v>114</v>
      </c>
      <c r="C1606" s="119" t="s">
        <v>20</v>
      </c>
      <c r="D1606" s="119" t="s">
        <v>384</v>
      </c>
      <c r="E1606" s="120">
        <v>0</v>
      </c>
      <c r="F1606" s="120">
        <v>0</v>
      </c>
      <c r="G1606" s="120" t="s">
        <v>2033</v>
      </c>
      <c r="H1606" s="120">
        <f t="shared" si="54"/>
        <v>0</v>
      </c>
      <c r="I1606" s="120">
        <f>FCCL!D97</f>
        <v>0</v>
      </c>
      <c r="J1606" s="120">
        <f t="shared" si="55"/>
        <v>0</v>
      </c>
      <c r="K1606" s="119" t="s">
        <v>2918</v>
      </c>
      <c r="L1606" s="119">
        <v>188</v>
      </c>
      <c r="M1606" s="119" t="s">
        <v>1106</v>
      </c>
      <c r="N1606" s="122" t="s">
        <v>3578</v>
      </c>
      <c r="O1606" s="122" t="s">
        <v>3579</v>
      </c>
      <c r="P1606" s="122" t="s">
        <v>5106</v>
      </c>
    </row>
    <row r="1607" spans="1:16" ht="82.05" customHeight="1" x14ac:dyDescent="0.3">
      <c r="A1607" s="50" t="s">
        <v>3218</v>
      </c>
      <c r="B1607" s="50" t="s">
        <v>114</v>
      </c>
      <c r="C1607" s="50" t="s">
        <v>26</v>
      </c>
      <c r="D1607" s="50" t="s">
        <v>384</v>
      </c>
      <c r="E1607" s="121">
        <v>0</v>
      </c>
      <c r="F1607" s="121">
        <v>0</v>
      </c>
      <c r="G1607" s="121" t="s">
        <v>2033</v>
      </c>
      <c r="H1607" s="121">
        <f t="shared" si="54"/>
        <v>0</v>
      </c>
      <c r="I1607" s="121">
        <f>FCCL!E97</f>
        <v>0</v>
      </c>
      <c r="J1607" s="121">
        <f t="shared" si="55"/>
        <v>0</v>
      </c>
      <c r="K1607" s="50" t="s">
        <v>2920</v>
      </c>
      <c r="L1607" s="50">
        <v>210</v>
      </c>
      <c r="M1607" s="50" t="s">
        <v>1106</v>
      </c>
      <c r="N1607" s="68" t="s">
        <v>3578</v>
      </c>
      <c r="O1607" s="68" t="s">
        <v>3579</v>
      </c>
      <c r="P1607" s="68" t="s">
        <v>5107</v>
      </c>
    </row>
    <row r="1608" spans="1:16" ht="82.05" customHeight="1" x14ac:dyDescent="0.3">
      <c r="A1608" s="119" t="s">
        <v>3219</v>
      </c>
      <c r="B1608" s="119" t="s">
        <v>114</v>
      </c>
      <c r="C1608" s="119" t="s">
        <v>27</v>
      </c>
      <c r="D1608" s="119" t="s">
        <v>384</v>
      </c>
      <c r="E1608" s="120">
        <v>-45660</v>
      </c>
      <c r="F1608" s="120">
        <v>-45660</v>
      </c>
      <c r="G1608" s="120" t="s">
        <v>2033</v>
      </c>
      <c r="H1608" s="120">
        <f t="shared" si="54"/>
        <v>-45.66</v>
      </c>
      <c r="I1608" s="120">
        <f>FCCL!F97</f>
        <v>-45.66</v>
      </c>
      <c r="J1608" s="120">
        <f t="shared" si="55"/>
        <v>0</v>
      </c>
      <c r="K1608" s="119" t="s">
        <v>2923</v>
      </c>
      <c r="L1608" s="119">
        <v>192</v>
      </c>
      <c r="M1608" s="119" t="s">
        <v>1106</v>
      </c>
      <c r="N1608" s="122" t="s">
        <v>3564</v>
      </c>
      <c r="O1608" s="122" t="s">
        <v>3565</v>
      </c>
      <c r="P1608" s="122" t="s">
        <v>5108</v>
      </c>
    </row>
    <row r="1609" spans="1:16" ht="82.05" customHeight="1" x14ac:dyDescent="0.3">
      <c r="A1609" s="50" t="s">
        <v>3221</v>
      </c>
      <c r="B1609" s="50" t="s">
        <v>114</v>
      </c>
      <c r="C1609" s="50" t="s">
        <v>28</v>
      </c>
      <c r="D1609" s="50" t="s">
        <v>384</v>
      </c>
      <c r="E1609" s="121">
        <v>-55223</v>
      </c>
      <c r="F1609" s="121">
        <v>-55223</v>
      </c>
      <c r="G1609" s="121" t="s">
        <v>2033</v>
      </c>
      <c r="H1609" s="121">
        <f t="shared" si="54"/>
        <v>-55.222999999999999</v>
      </c>
      <c r="I1609" s="121">
        <f>FCCL!G97</f>
        <v>-55.222999999999999</v>
      </c>
      <c r="J1609" s="121">
        <f t="shared" si="55"/>
        <v>0</v>
      </c>
      <c r="K1609" s="50" t="s">
        <v>2925</v>
      </c>
      <c r="L1609" s="50">
        <v>246</v>
      </c>
      <c r="M1609" s="50" t="s">
        <v>1106</v>
      </c>
      <c r="N1609" s="68" t="s">
        <v>3564</v>
      </c>
      <c r="O1609" s="68" t="s">
        <v>3565</v>
      </c>
      <c r="P1609" s="68" t="s">
        <v>5109</v>
      </c>
    </row>
    <row r="1610" spans="1:16" ht="82.05" customHeight="1" x14ac:dyDescent="0.3">
      <c r="A1610" s="119" t="s">
        <v>3222</v>
      </c>
      <c r="B1610" s="119" t="s">
        <v>114</v>
      </c>
      <c r="C1610" s="119" t="s">
        <v>29</v>
      </c>
      <c r="D1610" s="119" t="s">
        <v>384</v>
      </c>
      <c r="E1610" s="120">
        <v>0</v>
      </c>
      <c r="F1610" s="120">
        <v>0</v>
      </c>
      <c r="G1610" s="120" t="s">
        <v>2033</v>
      </c>
      <c r="H1610" s="120">
        <f t="shared" si="54"/>
        <v>0</v>
      </c>
      <c r="I1610" s="120">
        <f>FCCL!H97</f>
        <v>0</v>
      </c>
      <c r="J1610" s="120">
        <f t="shared" si="55"/>
        <v>0</v>
      </c>
      <c r="K1610" s="119" t="s">
        <v>2925</v>
      </c>
      <c r="L1610" s="119">
        <v>246</v>
      </c>
      <c r="M1610" s="119" t="s">
        <v>1127</v>
      </c>
      <c r="N1610" s="122" t="s">
        <v>3578</v>
      </c>
      <c r="O1610" s="122" t="s">
        <v>3579</v>
      </c>
      <c r="P1610" s="122" t="s">
        <v>5110</v>
      </c>
    </row>
    <row r="1611" spans="1:16" ht="82.05" customHeight="1" x14ac:dyDescent="0.3">
      <c r="A1611" s="50" t="s">
        <v>3223</v>
      </c>
      <c r="B1611" s="50" t="s">
        <v>114</v>
      </c>
      <c r="C1611" s="50" t="s">
        <v>20</v>
      </c>
      <c r="D1611" s="50" t="s">
        <v>386</v>
      </c>
      <c r="E1611" s="121">
        <v>-1636341</v>
      </c>
      <c r="F1611" s="121">
        <v>-1636341</v>
      </c>
      <c r="G1611" s="121" t="s">
        <v>2033</v>
      </c>
      <c r="H1611" s="121">
        <f t="shared" si="54"/>
        <v>-1636.3409999999999</v>
      </c>
      <c r="I1611" s="121">
        <f>FCCL!D98</f>
        <v>-1636.3409999999999</v>
      </c>
      <c r="J1611" s="121">
        <f t="shared" si="55"/>
        <v>0</v>
      </c>
      <c r="K1611" s="50" t="s">
        <v>2918</v>
      </c>
      <c r="L1611" s="50">
        <v>188</v>
      </c>
      <c r="M1611" s="50" t="s">
        <v>1106</v>
      </c>
      <c r="N1611" s="68" t="s">
        <v>3564</v>
      </c>
      <c r="O1611" s="68" t="s">
        <v>3565</v>
      </c>
      <c r="P1611" s="68" t="s">
        <v>5111</v>
      </c>
    </row>
    <row r="1612" spans="1:16" ht="82.05" customHeight="1" x14ac:dyDescent="0.3">
      <c r="A1612" s="119" t="s">
        <v>3225</v>
      </c>
      <c r="B1612" s="119" t="s">
        <v>114</v>
      </c>
      <c r="C1612" s="119" t="s">
        <v>26</v>
      </c>
      <c r="D1612" s="119" t="s">
        <v>386</v>
      </c>
      <c r="E1612" s="120">
        <v>-4415553</v>
      </c>
      <c r="F1612" s="120">
        <v>-4415553</v>
      </c>
      <c r="G1612" s="120" t="s">
        <v>2033</v>
      </c>
      <c r="H1612" s="120">
        <f t="shared" si="54"/>
        <v>-4415.5529999999999</v>
      </c>
      <c r="I1612" s="120">
        <f>FCCL!E98</f>
        <v>-4415.5529999999999</v>
      </c>
      <c r="J1612" s="120">
        <f t="shared" si="55"/>
        <v>0</v>
      </c>
      <c r="K1612" s="119" t="s">
        <v>2920</v>
      </c>
      <c r="L1612" s="119">
        <v>210</v>
      </c>
      <c r="M1612" s="119" t="s">
        <v>1106</v>
      </c>
      <c r="N1612" s="122" t="s">
        <v>3564</v>
      </c>
      <c r="O1612" s="122" t="s">
        <v>3565</v>
      </c>
      <c r="P1612" s="122" t="s">
        <v>5112</v>
      </c>
    </row>
    <row r="1613" spans="1:16" ht="82.05" customHeight="1" x14ac:dyDescent="0.3">
      <c r="A1613" s="50" t="s">
        <v>3226</v>
      </c>
      <c r="B1613" s="50" t="s">
        <v>114</v>
      </c>
      <c r="C1613" s="50" t="s">
        <v>27</v>
      </c>
      <c r="D1613" s="50" t="s">
        <v>386</v>
      </c>
      <c r="E1613" s="121">
        <v>-5414768</v>
      </c>
      <c r="F1613" s="121">
        <v>-5414768</v>
      </c>
      <c r="G1613" s="121" t="s">
        <v>2033</v>
      </c>
      <c r="H1613" s="121">
        <f t="shared" si="54"/>
        <v>-5414.768</v>
      </c>
      <c r="I1613" s="121">
        <f>FCCL!F98</f>
        <v>-5414.768</v>
      </c>
      <c r="J1613" s="121">
        <f t="shared" si="55"/>
        <v>0</v>
      </c>
      <c r="K1613" s="50" t="s">
        <v>2923</v>
      </c>
      <c r="L1613" s="50">
        <v>192</v>
      </c>
      <c r="M1613" s="50" t="s">
        <v>1106</v>
      </c>
      <c r="N1613" s="68" t="s">
        <v>3564</v>
      </c>
      <c r="O1613" s="68" t="s">
        <v>3565</v>
      </c>
      <c r="P1613" s="68" t="s">
        <v>5113</v>
      </c>
    </row>
    <row r="1614" spans="1:16" ht="82.05" customHeight="1" x14ac:dyDescent="0.3">
      <c r="A1614" s="119" t="s">
        <v>3227</v>
      </c>
      <c r="B1614" s="119" t="s">
        <v>114</v>
      </c>
      <c r="C1614" s="119" t="s">
        <v>28</v>
      </c>
      <c r="D1614" s="119" t="s">
        <v>386</v>
      </c>
      <c r="E1614" s="120">
        <v>-7076615</v>
      </c>
      <c r="F1614" s="120">
        <v>-7076615</v>
      </c>
      <c r="G1614" s="120" t="s">
        <v>2033</v>
      </c>
      <c r="H1614" s="120">
        <f t="shared" si="54"/>
        <v>-7076.6149999999998</v>
      </c>
      <c r="I1614" s="120">
        <f>FCCL!G98</f>
        <v>-7076.6149999999998</v>
      </c>
      <c r="J1614" s="120">
        <f t="shared" si="55"/>
        <v>0</v>
      </c>
      <c r="K1614" s="119" t="s">
        <v>2925</v>
      </c>
      <c r="L1614" s="119">
        <v>246</v>
      </c>
      <c r="M1614" s="119" t="s">
        <v>1106</v>
      </c>
      <c r="N1614" s="122" t="s">
        <v>3564</v>
      </c>
      <c r="O1614" s="122" t="s">
        <v>3565</v>
      </c>
      <c r="P1614" s="122" t="s">
        <v>5114</v>
      </c>
    </row>
    <row r="1615" spans="1:16" ht="82.05" customHeight="1" x14ac:dyDescent="0.3">
      <c r="A1615" s="50" t="s">
        <v>3228</v>
      </c>
      <c r="B1615" s="50" t="s">
        <v>114</v>
      </c>
      <c r="C1615" s="50" t="s">
        <v>29</v>
      </c>
      <c r="D1615" s="50" t="s">
        <v>386</v>
      </c>
      <c r="E1615" s="121">
        <v>-8199318</v>
      </c>
      <c r="F1615" s="121">
        <v>-8199318</v>
      </c>
      <c r="G1615" s="121" t="s">
        <v>2033</v>
      </c>
      <c r="H1615" s="121">
        <f t="shared" si="54"/>
        <v>-8199.3179999999993</v>
      </c>
      <c r="I1615" s="121">
        <f>FCCL!H98</f>
        <v>-8199.3179999999993</v>
      </c>
      <c r="J1615" s="121">
        <f t="shared" si="55"/>
        <v>0</v>
      </c>
      <c r="K1615" s="50" t="s">
        <v>2925</v>
      </c>
      <c r="L1615" s="50">
        <v>246</v>
      </c>
      <c r="M1615" s="50" t="s">
        <v>1127</v>
      </c>
      <c r="N1615" s="68" t="s">
        <v>3564</v>
      </c>
      <c r="O1615" s="68" t="s">
        <v>3565</v>
      </c>
      <c r="P1615" s="68" t="s">
        <v>5115</v>
      </c>
    </row>
    <row r="1616" spans="1:16" ht="82.05" customHeight="1" x14ac:dyDescent="0.3">
      <c r="A1616" s="119" t="s">
        <v>3229</v>
      </c>
      <c r="B1616" s="119" t="s">
        <v>114</v>
      </c>
      <c r="C1616" s="119" t="s">
        <v>20</v>
      </c>
      <c r="D1616" s="119" t="s">
        <v>390</v>
      </c>
      <c r="E1616" s="120">
        <v>6064405</v>
      </c>
      <c r="F1616" s="120">
        <v>6064405</v>
      </c>
      <c r="G1616" s="120" t="s">
        <v>2033</v>
      </c>
      <c r="H1616" s="120">
        <f t="shared" si="54"/>
        <v>6064.4049999999997</v>
      </c>
      <c r="I1616" s="120">
        <f>FCCL!D100</f>
        <v>6064.4049999999997</v>
      </c>
      <c r="J1616" s="120">
        <f t="shared" si="55"/>
        <v>0</v>
      </c>
      <c r="K1616" s="119" t="s">
        <v>2918</v>
      </c>
      <c r="L1616" s="119">
        <v>188</v>
      </c>
      <c r="M1616" s="119" t="s">
        <v>1106</v>
      </c>
      <c r="N1616" s="122" t="s">
        <v>3564</v>
      </c>
      <c r="O1616" s="122" t="s">
        <v>3565</v>
      </c>
      <c r="P1616" s="122" t="s">
        <v>5116</v>
      </c>
    </row>
    <row r="1617" spans="1:16" ht="82.05" customHeight="1" x14ac:dyDescent="0.3">
      <c r="A1617" s="50" t="s">
        <v>3230</v>
      </c>
      <c r="B1617" s="50" t="s">
        <v>114</v>
      </c>
      <c r="C1617" s="50" t="s">
        <v>26</v>
      </c>
      <c r="D1617" s="50" t="s">
        <v>390</v>
      </c>
      <c r="E1617" s="121">
        <v>15463576</v>
      </c>
      <c r="F1617" s="121">
        <v>15463576</v>
      </c>
      <c r="G1617" s="121" t="s">
        <v>2033</v>
      </c>
      <c r="H1617" s="121">
        <f t="shared" si="54"/>
        <v>15463.575999999999</v>
      </c>
      <c r="I1617" s="121">
        <f>FCCL!E100</f>
        <v>15463.575999999999</v>
      </c>
      <c r="J1617" s="121">
        <f t="shared" si="55"/>
        <v>0</v>
      </c>
      <c r="K1617" s="50" t="s">
        <v>2920</v>
      </c>
      <c r="L1617" s="50">
        <v>210</v>
      </c>
      <c r="M1617" s="50" t="s">
        <v>1106</v>
      </c>
      <c r="N1617" s="68" t="s">
        <v>3564</v>
      </c>
      <c r="O1617" s="68" t="s">
        <v>3565</v>
      </c>
      <c r="P1617" s="68" t="s">
        <v>5117</v>
      </c>
    </row>
    <row r="1618" spans="1:16" ht="82.05" customHeight="1" x14ac:dyDescent="0.3">
      <c r="A1618" s="119" t="s">
        <v>3231</v>
      </c>
      <c r="B1618" s="119" t="s">
        <v>114</v>
      </c>
      <c r="C1618" s="119" t="s">
        <v>27</v>
      </c>
      <c r="D1618" s="119" t="s">
        <v>390</v>
      </c>
      <c r="E1618" s="120">
        <v>20418473</v>
      </c>
      <c r="F1618" s="120">
        <v>20418473</v>
      </c>
      <c r="G1618" s="120" t="s">
        <v>2033</v>
      </c>
      <c r="H1618" s="120">
        <f t="shared" si="54"/>
        <v>20418.473000000002</v>
      </c>
      <c r="I1618" s="120">
        <f>FCCL!F100</f>
        <v>20418.473000000002</v>
      </c>
      <c r="J1618" s="120">
        <f t="shared" si="55"/>
        <v>0</v>
      </c>
      <c r="K1618" s="119" t="s">
        <v>2923</v>
      </c>
      <c r="L1618" s="119">
        <v>192</v>
      </c>
      <c r="M1618" s="119" t="s">
        <v>1106</v>
      </c>
      <c r="N1618" s="122" t="s">
        <v>3564</v>
      </c>
      <c r="O1618" s="122" t="s">
        <v>3565</v>
      </c>
      <c r="P1618" s="122" t="s">
        <v>5118</v>
      </c>
    </row>
    <row r="1619" spans="1:16" ht="82.05" customHeight="1" x14ac:dyDescent="0.3">
      <c r="A1619" s="50" t="s">
        <v>3232</v>
      </c>
      <c r="B1619" s="50" t="s">
        <v>114</v>
      </c>
      <c r="C1619" s="50" t="s">
        <v>28</v>
      </c>
      <c r="D1619" s="50" t="s">
        <v>390</v>
      </c>
      <c r="E1619" s="121">
        <v>25680405</v>
      </c>
      <c r="F1619" s="121">
        <v>25680405</v>
      </c>
      <c r="G1619" s="121" t="s">
        <v>2033</v>
      </c>
      <c r="H1619" s="121">
        <f t="shared" si="54"/>
        <v>25680.404999999999</v>
      </c>
      <c r="I1619" s="121">
        <f>FCCL!G100</f>
        <v>25680.404999999999</v>
      </c>
      <c r="J1619" s="121">
        <f t="shared" si="55"/>
        <v>0</v>
      </c>
      <c r="K1619" s="50" t="s">
        <v>2925</v>
      </c>
      <c r="L1619" s="50">
        <v>246</v>
      </c>
      <c r="M1619" s="50" t="s">
        <v>1106</v>
      </c>
      <c r="N1619" s="68" t="s">
        <v>3564</v>
      </c>
      <c r="O1619" s="68" t="s">
        <v>3565</v>
      </c>
      <c r="P1619" s="68" t="s">
        <v>5119</v>
      </c>
    </row>
    <row r="1620" spans="1:16" ht="82.05" customHeight="1" x14ac:dyDescent="0.3">
      <c r="A1620" s="119" t="s">
        <v>3233</v>
      </c>
      <c r="B1620" s="119" t="s">
        <v>114</v>
      </c>
      <c r="C1620" s="119" t="s">
        <v>29</v>
      </c>
      <c r="D1620" s="119" t="s">
        <v>390</v>
      </c>
      <c r="E1620" s="120">
        <v>31571350</v>
      </c>
      <c r="F1620" s="120">
        <v>31571350</v>
      </c>
      <c r="G1620" s="120" t="s">
        <v>2033</v>
      </c>
      <c r="H1620" s="120">
        <f t="shared" si="54"/>
        <v>31571.35</v>
      </c>
      <c r="I1620" s="120">
        <f>FCCL!H100</f>
        <v>31571.35</v>
      </c>
      <c r="J1620" s="120">
        <f t="shared" si="55"/>
        <v>0</v>
      </c>
      <c r="K1620" s="119" t="s">
        <v>2925</v>
      </c>
      <c r="L1620" s="119">
        <v>246</v>
      </c>
      <c r="M1620" s="119" t="s">
        <v>1127</v>
      </c>
      <c r="N1620" s="122" t="s">
        <v>3564</v>
      </c>
      <c r="O1620" s="122" t="s">
        <v>3565</v>
      </c>
      <c r="P1620" s="122" t="s">
        <v>5120</v>
      </c>
    </row>
    <row r="1621" spans="1:16" ht="82.05" customHeight="1" x14ac:dyDescent="0.3">
      <c r="A1621" s="50" t="s">
        <v>3234</v>
      </c>
      <c r="B1621" s="50" t="s">
        <v>114</v>
      </c>
      <c r="C1621" s="50" t="s">
        <v>20</v>
      </c>
      <c r="D1621" s="50" t="s">
        <v>392</v>
      </c>
      <c r="E1621" s="121">
        <v>5107692</v>
      </c>
      <c r="F1621" s="121">
        <v>5107692</v>
      </c>
      <c r="G1621" s="121" t="s">
        <v>2033</v>
      </c>
      <c r="H1621" s="121">
        <f t="shared" si="54"/>
        <v>5107.692</v>
      </c>
      <c r="I1621" s="121">
        <f>FCCL!D101</f>
        <v>5107.692</v>
      </c>
      <c r="J1621" s="121">
        <f t="shared" si="55"/>
        <v>0</v>
      </c>
      <c r="K1621" s="50" t="s">
        <v>2918</v>
      </c>
      <c r="L1621" s="50">
        <v>188</v>
      </c>
      <c r="M1621" s="50" t="s">
        <v>1106</v>
      </c>
      <c r="N1621" s="68" t="s">
        <v>3564</v>
      </c>
      <c r="O1621" s="68" t="s">
        <v>3565</v>
      </c>
      <c r="P1621" s="68" t="s">
        <v>5121</v>
      </c>
    </row>
    <row r="1622" spans="1:16" ht="82.05" customHeight="1" x14ac:dyDescent="0.3">
      <c r="A1622" s="119" t="s">
        <v>3235</v>
      </c>
      <c r="B1622" s="119" t="s">
        <v>114</v>
      </c>
      <c r="C1622" s="119" t="s">
        <v>26</v>
      </c>
      <c r="D1622" s="119" t="s">
        <v>392</v>
      </c>
      <c r="E1622" s="120">
        <v>11528093</v>
      </c>
      <c r="F1622" s="120">
        <v>11528093</v>
      </c>
      <c r="G1622" s="120" t="s">
        <v>2033</v>
      </c>
      <c r="H1622" s="120">
        <f t="shared" si="54"/>
        <v>11528.093000000001</v>
      </c>
      <c r="I1622" s="120">
        <f>FCCL!E101</f>
        <v>11528.093000000001</v>
      </c>
      <c r="J1622" s="120">
        <f t="shared" si="55"/>
        <v>0</v>
      </c>
      <c r="K1622" s="119" t="s">
        <v>2920</v>
      </c>
      <c r="L1622" s="119">
        <v>210</v>
      </c>
      <c r="M1622" s="119" t="s">
        <v>1106</v>
      </c>
      <c r="N1622" s="122" t="s">
        <v>3564</v>
      </c>
      <c r="O1622" s="122" t="s">
        <v>3565</v>
      </c>
      <c r="P1622" s="122" t="s">
        <v>5122</v>
      </c>
    </row>
    <row r="1623" spans="1:16" ht="82.05" customHeight="1" x14ac:dyDescent="0.3">
      <c r="A1623" s="50" t="s">
        <v>3236</v>
      </c>
      <c r="B1623" s="50" t="s">
        <v>114</v>
      </c>
      <c r="C1623" s="50" t="s">
        <v>27</v>
      </c>
      <c r="D1623" s="50" t="s">
        <v>392</v>
      </c>
      <c r="E1623" s="121">
        <v>12900109</v>
      </c>
      <c r="F1623" s="121">
        <v>12900109</v>
      </c>
      <c r="G1623" s="121" t="s">
        <v>2033</v>
      </c>
      <c r="H1623" s="121">
        <f t="shared" si="54"/>
        <v>12900.109</v>
      </c>
      <c r="I1623" s="121">
        <f>FCCL!F101</f>
        <v>12900.109</v>
      </c>
      <c r="J1623" s="121">
        <f t="shared" si="55"/>
        <v>0</v>
      </c>
      <c r="K1623" s="50" t="s">
        <v>2923</v>
      </c>
      <c r="L1623" s="50">
        <v>192</v>
      </c>
      <c r="M1623" s="50" t="s">
        <v>1106</v>
      </c>
      <c r="N1623" s="68" t="s">
        <v>3564</v>
      </c>
      <c r="O1623" s="68" t="s">
        <v>3565</v>
      </c>
      <c r="P1623" s="68" t="s">
        <v>5123</v>
      </c>
    </row>
    <row r="1624" spans="1:16" ht="82.05" customHeight="1" x14ac:dyDescent="0.3">
      <c r="A1624" s="119" t="s">
        <v>3237</v>
      </c>
      <c r="B1624" s="119" t="s">
        <v>114</v>
      </c>
      <c r="C1624" s="119" t="s">
        <v>28</v>
      </c>
      <c r="D1624" s="119" t="s">
        <v>392</v>
      </c>
      <c r="E1624" s="120">
        <v>15354954</v>
      </c>
      <c r="F1624" s="120">
        <v>15354954</v>
      </c>
      <c r="G1624" s="120" t="s">
        <v>2033</v>
      </c>
      <c r="H1624" s="120">
        <f t="shared" si="54"/>
        <v>15354.954</v>
      </c>
      <c r="I1624" s="120">
        <f>FCCL!G101</f>
        <v>15354.954</v>
      </c>
      <c r="J1624" s="120">
        <f t="shared" si="55"/>
        <v>0</v>
      </c>
      <c r="K1624" s="119" t="s">
        <v>2925</v>
      </c>
      <c r="L1624" s="119">
        <v>246</v>
      </c>
      <c r="M1624" s="119" t="s">
        <v>1106</v>
      </c>
      <c r="N1624" s="122" t="s">
        <v>3564</v>
      </c>
      <c r="O1624" s="122" t="s">
        <v>3565</v>
      </c>
      <c r="P1624" s="122" t="s">
        <v>5124</v>
      </c>
    </row>
    <row r="1625" spans="1:16" ht="82.05" customHeight="1" x14ac:dyDescent="0.3">
      <c r="A1625" s="50" t="s">
        <v>3238</v>
      </c>
      <c r="B1625" s="50" t="s">
        <v>114</v>
      </c>
      <c r="C1625" s="50" t="s">
        <v>29</v>
      </c>
      <c r="D1625" s="50" t="s">
        <v>392</v>
      </c>
      <c r="E1625" s="121">
        <v>21525520</v>
      </c>
      <c r="F1625" s="121">
        <v>21525520</v>
      </c>
      <c r="G1625" s="121" t="s">
        <v>2033</v>
      </c>
      <c r="H1625" s="121">
        <f t="shared" si="54"/>
        <v>21525.52</v>
      </c>
      <c r="I1625" s="121">
        <f>FCCL!H101</f>
        <v>21525.52</v>
      </c>
      <c r="J1625" s="121">
        <f t="shared" si="55"/>
        <v>0</v>
      </c>
      <c r="K1625" s="50" t="s">
        <v>2925</v>
      </c>
      <c r="L1625" s="50">
        <v>246</v>
      </c>
      <c r="M1625" s="50" t="s">
        <v>1127</v>
      </c>
      <c r="N1625" s="68" t="s">
        <v>3564</v>
      </c>
      <c r="O1625" s="68" t="s">
        <v>3565</v>
      </c>
      <c r="P1625" s="68" t="s">
        <v>5125</v>
      </c>
    </row>
    <row r="1626" spans="1:16" ht="82.05" customHeight="1" x14ac:dyDescent="0.3">
      <c r="A1626" s="119" t="s">
        <v>3239</v>
      </c>
      <c r="B1626" s="119" t="s">
        <v>114</v>
      </c>
      <c r="C1626" s="119" t="s">
        <v>20</v>
      </c>
      <c r="D1626" s="119" t="s">
        <v>394</v>
      </c>
      <c r="E1626" s="120">
        <v>3471351</v>
      </c>
      <c r="F1626" s="120">
        <v>3471351</v>
      </c>
      <c r="G1626" s="120" t="s">
        <v>2033</v>
      </c>
      <c r="H1626" s="120">
        <f t="shared" si="54"/>
        <v>3471.3510000000001</v>
      </c>
      <c r="I1626" s="120">
        <f>FCCL!D102</f>
        <v>3471.3510000000001</v>
      </c>
      <c r="J1626" s="120">
        <f t="shared" si="55"/>
        <v>0</v>
      </c>
      <c r="K1626" s="119" t="s">
        <v>2918</v>
      </c>
      <c r="L1626" s="119">
        <v>188</v>
      </c>
      <c r="M1626" s="119" t="s">
        <v>1106</v>
      </c>
      <c r="N1626" s="122" t="s">
        <v>3564</v>
      </c>
      <c r="O1626" s="122" t="s">
        <v>3565</v>
      </c>
      <c r="P1626" s="122" t="s">
        <v>5126</v>
      </c>
    </row>
    <row r="1627" spans="1:16" ht="82.05" customHeight="1" x14ac:dyDescent="0.3">
      <c r="A1627" s="50" t="s">
        <v>3240</v>
      </c>
      <c r="B1627" s="50" t="s">
        <v>114</v>
      </c>
      <c r="C1627" s="50" t="s">
        <v>26</v>
      </c>
      <c r="D1627" s="50" t="s">
        <v>394</v>
      </c>
      <c r="E1627" s="121">
        <v>7112540</v>
      </c>
      <c r="F1627" s="121">
        <v>7112540</v>
      </c>
      <c r="G1627" s="121" t="s">
        <v>2033</v>
      </c>
      <c r="H1627" s="121">
        <f t="shared" si="54"/>
        <v>7112.54</v>
      </c>
      <c r="I1627" s="121">
        <f>FCCL!E102</f>
        <v>7112.54</v>
      </c>
      <c r="J1627" s="121">
        <f t="shared" si="55"/>
        <v>0</v>
      </c>
      <c r="K1627" s="50" t="s">
        <v>2920</v>
      </c>
      <c r="L1627" s="50">
        <v>210</v>
      </c>
      <c r="M1627" s="50" t="s">
        <v>1106</v>
      </c>
      <c r="N1627" s="68" t="s">
        <v>3564</v>
      </c>
      <c r="O1627" s="68" t="s">
        <v>3565</v>
      </c>
      <c r="P1627" s="68" t="s">
        <v>5127</v>
      </c>
    </row>
    <row r="1628" spans="1:16" ht="82.05" customHeight="1" x14ac:dyDescent="0.3">
      <c r="A1628" s="119" t="s">
        <v>3241</v>
      </c>
      <c r="B1628" s="119" t="s">
        <v>114</v>
      </c>
      <c r="C1628" s="119" t="s">
        <v>27</v>
      </c>
      <c r="D1628" s="119" t="s">
        <v>394</v>
      </c>
      <c r="E1628" s="120">
        <v>7439681</v>
      </c>
      <c r="F1628" s="120">
        <v>7439681</v>
      </c>
      <c r="G1628" s="120" t="s">
        <v>2033</v>
      </c>
      <c r="H1628" s="120">
        <f t="shared" si="54"/>
        <v>7439.6809999999996</v>
      </c>
      <c r="I1628" s="120">
        <f>FCCL!F102</f>
        <v>7439.6809999999996</v>
      </c>
      <c r="J1628" s="120">
        <f t="shared" si="55"/>
        <v>0</v>
      </c>
      <c r="K1628" s="119" t="s">
        <v>2923</v>
      </c>
      <c r="L1628" s="119">
        <v>192</v>
      </c>
      <c r="M1628" s="119" t="s">
        <v>1106</v>
      </c>
      <c r="N1628" s="122" t="s">
        <v>3564</v>
      </c>
      <c r="O1628" s="122" t="s">
        <v>3565</v>
      </c>
      <c r="P1628" s="122" t="s">
        <v>5128</v>
      </c>
    </row>
    <row r="1629" spans="1:16" ht="82.05" customHeight="1" x14ac:dyDescent="0.3">
      <c r="A1629" s="50" t="s">
        <v>3242</v>
      </c>
      <c r="B1629" s="50" t="s">
        <v>114</v>
      </c>
      <c r="C1629" s="50" t="s">
        <v>28</v>
      </c>
      <c r="D1629" s="50" t="s">
        <v>394</v>
      </c>
      <c r="E1629" s="121">
        <v>8223116</v>
      </c>
      <c r="F1629" s="121">
        <v>8223116</v>
      </c>
      <c r="G1629" s="121" t="s">
        <v>2033</v>
      </c>
      <c r="H1629" s="121">
        <f t="shared" si="54"/>
        <v>8223.116</v>
      </c>
      <c r="I1629" s="121">
        <f>FCCL!G102</f>
        <v>8223.116</v>
      </c>
      <c r="J1629" s="121">
        <f t="shared" si="55"/>
        <v>0</v>
      </c>
      <c r="K1629" s="50" t="s">
        <v>2925</v>
      </c>
      <c r="L1629" s="50">
        <v>246</v>
      </c>
      <c r="M1629" s="50" t="s">
        <v>1106</v>
      </c>
      <c r="N1629" s="68" t="s">
        <v>3564</v>
      </c>
      <c r="O1629" s="68" t="s">
        <v>3565</v>
      </c>
      <c r="P1629" s="68" t="s">
        <v>5129</v>
      </c>
    </row>
    <row r="1630" spans="1:16" ht="82.05" customHeight="1" x14ac:dyDescent="0.3">
      <c r="A1630" s="119" t="s">
        <v>3243</v>
      </c>
      <c r="B1630" s="119" t="s">
        <v>114</v>
      </c>
      <c r="C1630" s="119" t="s">
        <v>29</v>
      </c>
      <c r="D1630" s="119" t="s">
        <v>394</v>
      </c>
      <c r="E1630" s="120">
        <v>13326202</v>
      </c>
      <c r="F1630" s="120">
        <v>13326202</v>
      </c>
      <c r="G1630" s="120" t="s">
        <v>2033</v>
      </c>
      <c r="H1630" s="120">
        <f t="shared" si="54"/>
        <v>13326.201999999999</v>
      </c>
      <c r="I1630" s="120">
        <f>FCCL!H102</f>
        <v>13326.201999999999</v>
      </c>
      <c r="J1630" s="120">
        <f t="shared" si="55"/>
        <v>0</v>
      </c>
      <c r="K1630" s="119" t="s">
        <v>2925</v>
      </c>
      <c r="L1630" s="119">
        <v>246</v>
      </c>
      <c r="M1630" s="119" t="s">
        <v>1127</v>
      </c>
      <c r="N1630" s="122" t="s">
        <v>3564</v>
      </c>
      <c r="O1630" s="122" t="s">
        <v>3565</v>
      </c>
      <c r="P1630" s="122" t="s">
        <v>5130</v>
      </c>
    </row>
    <row r="1631" spans="1:16" ht="82.05" customHeight="1" x14ac:dyDescent="0.3">
      <c r="A1631" s="50" t="s">
        <v>3244</v>
      </c>
      <c r="B1631" s="50" t="s">
        <v>114</v>
      </c>
      <c r="C1631" s="50" t="s">
        <v>20</v>
      </c>
      <c r="D1631" s="50" t="s">
        <v>398</v>
      </c>
      <c r="E1631" s="121">
        <v>17511</v>
      </c>
      <c r="F1631" s="121">
        <v>17511</v>
      </c>
      <c r="G1631" s="121" t="s">
        <v>2033</v>
      </c>
      <c r="H1631" s="121">
        <f t="shared" si="54"/>
        <v>17.510999999999999</v>
      </c>
      <c r="I1631" s="121">
        <f>FCCL!D105</f>
        <v>17.510999999999999</v>
      </c>
      <c r="J1631" s="121">
        <f t="shared" si="55"/>
        <v>0</v>
      </c>
      <c r="K1631" s="50" t="s">
        <v>2918</v>
      </c>
      <c r="L1631" s="50">
        <v>229</v>
      </c>
      <c r="M1631" s="50" t="s">
        <v>1106</v>
      </c>
      <c r="N1631" s="68" t="s">
        <v>3564</v>
      </c>
      <c r="O1631" s="68" t="s">
        <v>4486</v>
      </c>
      <c r="P1631" s="68" t="s">
        <v>5131</v>
      </c>
    </row>
    <row r="1632" spans="1:16" ht="82.05" customHeight="1" x14ac:dyDescent="0.3">
      <c r="A1632" s="119" t="s">
        <v>3246</v>
      </c>
      <c r="B1632" s="119" t="s">
        <v>114</v>
      </c>
      <c r="C1632" s="119" t="s">
        <v>26</v>
      </c>
      <c r="D1632" s="119" t="s">
        <v>398</v>
      </c>
      <c r="E1632" s="120">
        <v>206388</v>
      </c>
      <c r="F1632" s="120">
        <v>206388</v>
      </c>
      <c r="G1632" s="120" t="s">
        <v>2033</v>
      </c>
      <c r="H1632" s="120">
        <f t="shared" si="54"/>
        <v>206.38800000000001</v>
      </c>
      <c r="I1632" s="120">
        <f>FCCL!E105</f>
        <v>206.38800000000001</v>
      </c>
      <c r="J1632" s="120">
        <f t="shared" si="55"/>
        <v>0</v>
      </c>
      <c r="K1632" s="119" t="s">
        <v>2920</v>
      </c>
      <c r="L1632" s="119">
        <v>250</v>
      </c>
      <c r="M1632" s="119" t="s">
        <v>1106</v>
      </c>
      <c r="N1632" s="122" t="s">
        <v>3602</v>
      </c>
      <c r="O1632" s="122" t="s">
        <v>4486</v>
      </c>
      <c r="P1632" s="122" t="s">
        <v>5132</v>
      </c>
    </row>
    <row r="1633" spans="1:16" ht="82.05" customHeight="1" x14ac:dyDescent="0.3">
      <c r="A1633" s="50" t="s">
        <v>3247</v>
      </c>
      <c r="B1633" s="50" t="s">
        <v>114</v>
      </c>
      <c r="C1633" s="50" t="s">
        <v>27</v>
      </c>
      <c r="D1633" s="50" t="s">
        <v>398</v>
      </c>
      <c r="E1633" s="121">
        <v>1020455</v>
      </c>
      <c r="F1633" s="121">
        <v>1020455</v>
      </c>
      <c r="G1633" s="121" t="s">
        <v>2033</v>
      </c>
      <c r="H1633" s="121">
        <f t="shared" si="54"/>
        <v>1020.455</v>
      </c>
      <c r="I1633" s="121">
        <f>FCCL!F105</f>
        <v>1020.455</v>
      </c>
      <c r="J1633" s="121">
        <f t="shared" si="55"/>
        <v>0</v>
      </c>
      <c r="K1633" s="50" t="s">
        <v>2923</v>
      </c>
      <c r="L1633" s="50">
        <v>228</v>
      </c>
      <c r="M1633" s="50" t="s">
        <v>1106</v>
      </c>
      <c r="N1633" s="68" t="s">
        <v>3602</v>
      </c>
      <c r="O1633" s="68" t="s">
        <v>4486</v>
      </c>
      <c r="P1633" s="68" t="s">
        <v>5133</v>
      </c>
    </row>
    <row r="1634" spans="1:16" ht="82.05" customHeight="1" x14ac:dyDescent="0.3">
      <c r="A1634" s="119" t="s">
        <v>3250</v>
      </c>
      <c r="B1634" s="119" t="s">
        <v>114</v>
      </c>
      <c r="C1634" s="119" t="s">
        <v>28</v>
      </c>
      <c r="D1634" s="119" t="s">
        <v>398</v>
      </c>
      <c r="E1634" s="120">
        <v>12561</v>
      </c>
      <c r="F1634" s="120">
        <v>12561</v>
      </c>
      <c r="G1634" s="120" t="s">
        <v>2033</v>
      </c>
      <c r="H1634" s="120">
        <f t="shared" si="54"/>
        <v>12.561</v>
      </c>
      <c r="I1634" s="120">
        <f>FCCL!G105</f>
        <v>12.561</v>
      </c>
      <c r="J1634" s="120">
        <f t="shared" si="55"/>
        <v>0</v>
      </c>
      <c r="K1634" s="119" t="s">
        <v>2925</v>
      </c>
      <c r="L1634" s="119">
        <v>283</v>
      </c>
      <c r="M1634" s="119" t="s">
        <v>1106</v>
      </c>
      <c r="N1634" s="122" t="s">
        <v>3602</v>
      </c>
      <c r="O1634" s="122" t="s">
        <v>4486</v>
      </c>
      <c r="P1634" s="122" t="s">
        <v>5134</v>
      </c>
    </row>
    <row r="1635" spans="1:16" ht="82.05" customHeight="1" x14ac:dyDescent="0.3">
      <c r="A1635" s="50" t="s">
        <v>3252</v>
      </c>
      <c r="B1635" s="50" t="s">
        <v>114</v>
      </c>
      <c r="C1635" s="50" t="s">
        <v>29</v>
      </c>
      <c r="D1635" s="50" t="s">
        <v>398</v>
      </c>
      <c r="E1635" s="121">
        <v>97854</v>
      </c>
      <c r="F1635" s="121">
        <v>97854</v>
      </c>
      <c r="G1635" s="121" t="s">
        <v>2033</v>
      </c>
      <c r="H1635" s="121">
        <f t="shared" si="54"/>
        <v>97.853999999999999</v>
      </c>
      <c r="I1635" s="121">
        <f>FCCL!H105</f>
        <v>97.853999999999999</v>
      </c>
      <c r="J1635" s="121">
        <f t="shared" si="55"/>
        <v>0</v>
      </c>
      <c r="K1635" s="50" t="s">
        <v>2925</v>
      </c>
      <c r="L1635" s="50">
        <v>283</v>
      </c>
      <c r="M1635" s="50" t="s">
        <v>1127</v>
      </c>
      <c r="N1635" s="68" t="s">
        <v>3602</v>
      </c>
      <c r="O1635" s="68" t="s">
        <v>4486</v>
      </c>
      <c r="P1635" s="68" t="s">
        <v>5134</v>
      </c>
    </row>
    <row r="1636" spans="1:16" ht="82.05" customHeight="1" x14ac:dyDescent="0.3">
      <c r="A1636" s="119" t="s">
        <v>3253</v>
      </c>
      <c r="B1636" s="119" t="s">
        <v>114</v>
      </c>
      <c r="C1636" s="119" t="s">
        <v>20</v>
      </c>
      <c r="D1636" s="119" t="s">
        <v>402</v>
      </c>
      <c r="E1636" s="120">
        <v>1599551</v>
      </c>
      <c r="F1636" s="120">
        <v>1599551</v>
      </c>
      <c r="G1636" s="120" t="s">
        <v>2033</v>
      </c>
      <c r="H1636" s="120">
        <f t="shared" si="54"/>
        <v>1599.5509999999999</v>
      </c>
      <c r="I1636" s="120">
        <f>FCCL!D107</f>
        <v>1599.5509999999999</v>
      </c>
      <c r="J1636" s="120">
        <f t="shared" si="55"/>
        <v>0</v>
      </c>
      <c r="K1636" s="119" t="s">
        <v>2918</v>
      </c>
      <c r="L1636" s="119">
        <v>190</v>
      </c>
      <c r="M1636" s="119" t="s">
        <v>1106</v>
      </c>
      <c r="N1636" s="122" t="s">
        <v>3602</v>
      </c>
      <c r="O1636" s="122" t="s">
        <v>3603</v>
      </c>
      <c r="P1636" s="122" t="s">
        <v>5135</v>
      </c>
    </row>
    <row r="1637" spans="1:16" ht="82.05" customHeight="1" x14ac:dyDescent="0.3">
      <c r="A1637" s="50" t="s">
        <v>3255</v>
      </c>
      <c r="B1637" s="50" t="s">
        <v>114</v>
      </c>
      <c r="C1637" s="50" t="s">
        <v>26</v>
      </c>
      <c r="D1637" s="50" t="s">
        <v>402</v>
      </c>
      <c r="E1637" s="121">
        <v>2950143</v>
      </c>
      <c r="F1637" s="121">
        <v>2950143</v>
      </c>
      <c r="G1637" s="121" t="s">
        <v>2033</v>
      </c>
      <c r="H1637" s="121">
        <f t="shared" si="54"/>
        <v>2950.143</v>
      </c>
      <c r="I1637" s="121">
        <f>FCCL!E107</f>
        <v>2950.143</v>
      </c>
      <c r="J1637" s="121">
        <f t="shared" si="55"/>
        <v>0</v>
      </c>
      <c r="K1637" s="50" t="s">
        <v>2920</v>
      </c>
      <c r="L1637" s="50">
        <v>212</v>
      </c>
      <c r="M1637" s="50" t="s">
        <v>1106</v>
      </c>
      <c r="N1637" s="68" t="s">
        <v>3602</v>
      </c>
      <c r="O1637" s="68" t="s">
        <v>3603</v>
      </c>
      <c r="P1637" s="68" t="s">
        <v>5136</v>
      </c>
    </row>
    <row r="1638" spans="1:16" ht="82.05" customHeight="1" x14ac:dyDescent="0.3">
      <c r="A1638" s="119" t="s">
        <v>3258</v>
      </c>
      <c r="B1638" s="119" t="s">
        <v>114</v>
      </c>
      <c r="C1638" s="119" t="s">
        <v>27</v>
      </c>
      <c r="D1638" s="119" t="s">
        <v>402</v>
      </c>
      <c r="E1638" s="120">
        <v>3649886</v>
      </c>
      <c r="F1638" s="120">
        <v>3649886</v>
      </c>
      <c r="G1638" s="120" t="s">
        <v>2033</v>
      </c>
      <c r="H1638" s="120">
        <f t="shared" si="54"/>
        <v>3649.886</v>
      </c>
      <c r="I1638" s="120">
        <f>FCCL!F107</f>
        <v>3649.886</v>
      </c>
      <c r="J1638" s="120">
        <f t="shared" si="55"/>
        <v>0</v>
      </c>
      <c r="K1638" s="119" t="s">
        <v>2923</v>
      </c>
      <c r="L1638" s="119">
        <v>194</v>
      </c>
      <c r="M1638" s="119" t="s">
        <v>1106</v>
      </c>
      <c r="N1638" s="122" t="s">
        <v>3602</v>
      </c>
      <c r="O1638" s="122" t="s">
        <v>3603</v>
      </c>
      <c r="P1638" s="122" t="s">
        <v>5137</v>
      </c>
    </row>
    <row r="1639" spans="1:16" ht="82.05" customHeight="1" x14ac:dyDescent="0.3">
      <c r="A1639" s="50" t="s">
        <v>3259</v>
      </c>
      <c r="B1639" s="50" t="s">
        <v>114</v>
      </c>
      <c r="C1639" s="50" t="s">
        <v>28</v>
      </c>
      <c r="D1639" s="50" t="s">
        <v>402</v>
      </c>
      <c r="E1639" s="121">
        <v>4058051</v>
      </c>
      <c r="F1639" s="121">
        <v>4058051</v>
      </c>
      <c r="G1639" s="121" t="s">
        <v>2033</v>
      </c>
      <c r="H1639" s="121">
        <f t="shared" si="54"/>
        <v>4058.0509999999999</v>
      </c>
      <c r="I1639" s="121">
        <f>FCCL!G107</f>
        <v>4058.0509999999999</v>
      </c>
      <c r="J1639" s="121">
        <f t="shared" si="55"/>
        <v>0</v>
      </c>
      <c r="K1639" s="50" t="s">
        <v>2925</v>
      </c>
      <c r="L1639" s="50">
        <v>248</v>
      </c>
      <c r="M1639" s="50" t="s">
        <v>1106</v>
      </c>
      <c r="N1639" s="68" t="s">
        <v>3602</v>
      </c>
      <c r="O1639" s="68" t="s">
        <v>3603</v>
      </c>
      <c r="P1639" s="68" t="s">
        <v>5138</v>
      </c>
    </row>
    <row r="1640" spans="1:16" ht="82.05" customHeight="1" x14ac:dyDescent="0.3">
      <c r="A1640" s="119" t="s">
        <v>3260</v>
      </c>
      <c r="B1640" s="119" t="s">
        <v>114</v>
      </c>
      <c r="C1640" s="119" t="s">
        <v>29</v>
      </c>
      <c r="D1640" s="119" t="s">
        <v>402</v>
      </c>
      <c r="E1640" s="120">
        <v>4969739</v>
      </c>
      <c r="F1640" s="120">
        <v>4969739</v>
      </c>
      <c r="G1640" s="120" t="s">
        <v>2033</v>
      </c>
      <c r="H1640" s="120">
        <f t="shared" si="54"/>
        <v>4969.7389999999996</v>
      </c>
      <c r="I1640" s="120">
        <f>FCCL!H107</f>
        <v>4969.7389999999996</v>
      </c>
      <c r="J1640" s="120">
        <f t="shared" si="55"/>
        <v>0</v>
      </c>
      <c r="K1640" s="119" t="s">
        <v>2925</v>
      </c>
      <c r="L1640" s="119">
        <v>248</v>
      </c>
      <c r="M1640" s="119" t="s">
        <v>1127</v>
      </c>
      <c r="N1640" s="122" t="s">
        <v>3602</v>
      </c>
      <c r="O1640" s="122" t="s">
        <v>3603</v>
      </c>
      <c r="P1640" s="122" t="s">
        <v>5138</v>
      </c>
    </row>
    <row r="1641" spans="1:16" ht="82.05" customHeight="1" x14ac:dyDescent="0.3">
      <c r="A1641" s="50" t="s">
        <v>3261</v>
      </c>
      <c r="B1641" s="50" t="s">
        <v>114</v>
      </c>
      <c r="C1641" s="50" t="s">
        <v>20</v>
      </c>
      <c r="D1641" s="50" t="s">
        <v>418</v>
      </c>
      <c r="E1641" s="121">
        <v>0</v>
      </c>
      <c r="F1641" s="121">
        <v>0</v>
      </c>
      <c r="G1641" s="121" t="s">
        <v>2033</v>
      </c>
      <c r="H1641" s="121">
        <f t="shared" si="54"/>
        <v>0</v>
      </c>
      <c r="I1641" s="121">
        <f>FCCL!D116</f>
        <v>0</v>
      </c>
      <c r="J1641" s="121">
        <f t="shared" si="55"/>
        <v>0</v>
      </c>
      <c r="K1641" s="50" t="s">
        <v>2918</v>
      </c>
      <c r="L1641" s="50">
        <v>190</v>
      </c>
      <c r="M1641" s="50" t="s">
        <v>1106</v>
      </c>
      <c r="N1641" s="68" t="s">
        <v>3578</v>
      </c>
      <c r="O1641" s="68" t="s">
        <v>3579</v>
      </c>
      <c r="P1641" s="68" t="s">
        <v>5139</v>
      </c>
    </row>
    <row r="1642" spans="1:16" ht="82.05" customHeight="1" x14ac:dyDescent="0.3">
      <c r="A1642" s="119" t="s">
        <v>3262</v>
      </c>
      <c r="B1642" s="119" t="s">
        <v>114</v>
      </c>
      <c r="C1642" s="119" t="s">
        <v>26</v>
      </c>
      <c r="D1642" s="119" t="s">
        <v>418</v>
      </c>
      <c r="E1642" s="120">
        <v>0</v>
      </c>
      <c r="F1642" s="120">
        <v>0</v>
      </c>
      <c r="G1642" s="120" t="s">
        <v>2033</v>
      </c>
      <c r="H1642" s="120">
        <f t="shared" si="54"/>
        <v>0</v>
      </c>
      <c r="I1642" s="120">
        <f>FCCL!E116</f>
        <v>0</v>
      </c>
      <c r="J1642" s="120">
        <f t="shared" si="55"/>
        <v>0</v>
      </c>
      <c r="K1642" s="119" t="s">
        <v>2920</v>
      </c>
      <c r="L1642" s="119">
        <v>212</v>
      </c>
      <c r="M1642" s="119" t="s">
        <v>1106</v>
      </c>
      <c r="N1642" s="122" t="s">
        <v>3578</v>
      </c>
      <c r="O1642" s="122" t="s">
        <v>3579</v>
      </c>
      <c r="P1642" s="122" t="s">
        <v>5140</v>
      </c>
    </row>
    <row r="1643" spans="1:16" ht="82.05" customHeight="1" x14ac:dyDescent="0.3">
      <c r="A1643" s="50" t="s">
        <v>3263</v>
      </c>
      <c r="B1643" s="50" t="s">
        <v>114</v>
      </c>
      <c r="C1643" s="50" t="s">
        <v>27</v>
      </c>
      <c r="D1643" s="50" t="s">
        <v>418</v>
      </c>
      <c r="E1643" s="121">
        <v>0</v>
      </c>
      <c r="F1643" s="121">
        <v>0</v>
      </c>
      <c r="G1643" s="121" t="s">
        <v>2033</v>
      </c>
      <c r="H1643" s="121">
        <f t="shared" si="54"/>
        <v>0</v>
      </c>
      <c r="I1643" s="121">
        <f>FCCL!F116</f>
        <v>0</v>
      </c>
      <c r="J1643" s="121">
        <f t="shared" si="55"/>
        <v>0</v>
      </c>
      <c r="K1643" s="50" t="s">
        <v>2923</v>
      </c>
      <c r="L1643" s="50">
        <v>194</v>
      </c>
      <c r="M1643" s="50" t="s">
        <v>1106</v>
      </c>
      <c r="N1643" s="68" t="s">
        <v>3578</v>
      </c>
      <c r="O1643" s="68" t="s">
        <v>3579</v>
      </c>
      <c r="P1643" s="68" t="s">
        <v>5141</v>
      </c>
    </row>
    <row r="1644" spans="1:16" ht="82.05" customHeight="1" x14ac:dyDescent="0.3">
      <c r="A1644" s="119" t="s">
        <v>3264</v>
      </c>
      <c r="B1644" s="119" t="s">
        <v>114</v>
      </c>
      <c r="C1644" s="119" t="s">
        <v>28</v>
      </c>
      <c r="D1644" s="119" t="s">
        <v>418</v>
      </c>
      <c r="E1644" s="120">
        <v>0</v>
      </c>
      <c r="F1644" s="120">
        <v>0</v>
      </c>
      <c r="G1644" s="120" t="s">
        <v>2033</v>
      </c>
      <c r="H1644" s="120">
        <f t="shared" si="54"/>
        <v>0</v>
      </c>
      <c r="I1644" s="120">
        <f>FCCL!G116</f>
        <v>0</v>
      </c>
      <c r="J1644" s="120">
        <f t="shared" si="55"/>
        <v>0</v>
      </c>
      <c r="K1644" s="119" t="s">
        <v>2925</v>
      </c>
      <c r="L1644" s="119">
        <v>248</v>
      </c>
      <c r="M1644" s="119" t="s">
        <v>1106</v>
      </c>
      <c r="N1644" s="122" t="s">
        <v>3578</v>
      </c>
      <c r="O1644" s="122" t="s">
        <v>3579</v>
      </c>
      <c r="P1644" s="122" t="s">
        <v>5142</v>
      </c>
    </row>
    <row r="1645" spans="1:16" ht="82.05" customHeight="1" x14ac:dyDescent="0.3">
      <c r="A1645" s="50" t="s">
        <v>3265</v>
      </c>
      <c r="B1645" s="50" t="s">
        <v>114</v>
      </c>
      <c r="C1645" s="50" t="s">
        <v>29</v>
      </c>
      <c r="D1645" s="50" t="s">
        <v>418</v>
      </c>
      <c r="E1645" s="121">
        <v>0</v>
      </c>
      <c r="F1645" s="121">
        <v>0</v>
      </c>
      <c r="G1645" s="121" t="s">
        <v>2033</v>
      </c>
      <c r="H1645" s="121">
        <f t="shared" si="54"/>
        <v>0</v>
      </c>
      <c r="I1645" s="121">
        <f>FCCL!H116</f>
        <v>0</v>
      </c>
      <c r="J1645" s="121">
        <f t="shared" si="55"/>
        <v>0</v>
      </c>
      <c r="K1645" s="50" t="s">
        <v>2925</v>
      </c>
      <c r="L1645" s="50">
        <v>248</v>
      </c>
      <c r="M1645" s="50" t="s">
        <v>1127</v>
      </c>
      <c r="N1645" s="68" t="s">
        <v>3578</v>
      </c>
      <c r="O1645" s="68" t="s">
        <v>3579</v>
      </c>
      <c r="P1645" s="68" t="s">
        <v>5142</v>
      </c>
    </row>
    <row r="1646" spans="1:16" ht="82.05" customHeight="1" x14ac:dyDescent="0.3">
      <c r="A1646" s="119" t="s">
        <v>3266</v>
      </c>
      <c r="B1646" s="119" t="s">
        <v>114</v>
      </c>
      <c r="C1646" s="119" t="s">
        <v>20</v>
      </c>
      <c r="D1646" s="119" t="s">
        <v>420</v>
      </c>
      <c r="E1646" s="120">
        <v>5739097</v>
      </c>
      <c r="F1646" s="120">
        <v>5739097</v>
      </c>
      <c r="G1646" s="120" t="s">
        <v>2033</v>
      </c>
      <c r="H1646" s="120">
        <f t="shared" ref="H1646:H1655" si="56">F1646/1000</f>
        <v>5739.0969999999998</v>
      </c>
      <c r="I1646" s="120">
        <f>FCCL!D117</f>
        <v>5739.0969999999998</v>
      </c>
      <c r="J1646" s="120">
        <f t="shared" ref="J1646:J1655" si="57">H1646-I1646</f>
        <v>0</v>
      </c>
      <c r="K1646" s="119" t="s">
        <v>2918</v>
      </c>
      <c r="L1646" s="119">
        <v>190</v>
      </c>
      <c r="M1646" s="119" t="s">
        <v>1106</v>
      </c>
      <c r="N1646" s="122" t="s">
        <v>3564</v>
      </c>
      <c r="O1646" s="122" t="s">
        <v>3565</v>
      </c>
      <c r="P1646" s="122" t="s">
        <v>5143</v>
      </c>
    </row>
    <row r="1647" spans="1:16" ht="82.05" customHeight="1" x14ac:dyDescent="0.3">
      <c r="A1647" s="50" t="s">
        <v>3267</v>
      </c>
      <c r="B1647" s="50" t="s">
        <v>114</v>
      </c>
      <c r="C1647" s="50" t="s">
        <v>26</v>
      </c>
      <c r="D1647" s="50" t="s">
        <v>420</v>
      </c>
      <c r="E1647" s="121">
        <v>7567564</v>
      </c>
      <c r="F1647" s="121">
        <v>7567564</v>
      </c>
      <c r="G1647" s="121" t="s">
        <v>2033</v>
      </c>
      <c r="H1647" s="121">
        <f t="shared" si="56"/>
        <v>7567.5640000000003</v>
      </c>
      <c r="I1647" s="121">
        <f>FCCL!E117</f>
        <v>7567.5640000000003</v>
      </c>
      <c r="J1647" s="121">
        <f t="shared" si="57"/>
        <v>0</v>
      </c>
      <c r="K1647" s="50" t="s">
        <v>2920</v>
      </c>
      <c r="L1647" s="50">
        <v>212</v>
      </c>
      <c r="M1647" s="50" t="s">
        <v>1106</v>
      </c>
      <c r="N1647" s="68" t="s">
        <v>3564</v>
      </c>
      <c r="O1647" s="68" t="s">
        <v>3565</v>
      </c>
      <c r="P1647" s="68" t="s">
        <v>5144</v>
      </c>
    </row>
    <row r="1648" spans="1:16" ht="82.05" customHeight="1" x14ac:dyDescent="0.3">
      <c r="A1648" s="119" t="s">
        <v>3268</v>
      </c>
      <c r="B1648" s="119" t="s">
        <v>114</v>
      </c>
      <c r="C1648" s="119" t="s">
        <v>27</v>
      </c>
      <c r="D1648" s="119" t="s">
        <v>420</v>
      </c>
      <c r="E1648" s="120">
        <v>16030998</v>
      </c>
      <c r="F1648" s="120">
        <v>16030998</v>
      </c>
      <c r="G1648" s="120" t="s">
        <v>2033</v>
      </c>
      <c r="H1648" s="120">
        <f t="shared" si="56"/>
        <v>16030.998</v>
      </c>
      <c r="I1648" s="120">
        <f>FCCL!F117</f>
        <v>16030.998</v>
      </c>
      <c r="J1648" s="120">
        <f t="shared" si="57"/>
        <v>0</v>
      </c>
      <c r="K1648" s="119" t="s">
        <v>2923</v>
      </c>
      <c r="L1648" s="119">
        <v>194</v>
      </c>
      <c r="M1648" s="119" t="s">
        <v>1106</v>
      </c>
      <c r="N1648" s="122" t="s">
        <v>3564</v>
      </c>
      <c r="O1648" s="122" t="s">
        <v>3565</v>
      </c>
      <c r="P1648" s="122" t="s">
        <v>5145</v>
      </c>
    </row>
    <row r="1649" spans="1:16" ht="82.05" customHeight="1" x14ac:dyDescent="0.3">
      <c r="A1649" s="50" t="s">
        <v>3269</v>
      </c>
      <c r="B1649" s="50" t="s">
        <v>114</v>
      </c>
      <c r="C1649" s="50" t="s">
        <v>28</v>
      </c>
      <c r="D1649" s="50" t="s">
        <v>420</v>
      </c>
      <c r="E1649" s="121">
        <v>22284607</v>
      </c>
      <c r="F1649" s="121">
        <v>22284607</v>
      </c>
      <c r="G1649" s="121" t="s">
        <v>2033</v>
      </c>
      <c r="H1649" s="121">
        <f t="shared" si="56"/>
        <v>22284.607</v>
      </c>
      <c r="I1649" s="121">
        <f>FCCL!G117</f>
        <v>22284.607</v>
      </c>
      <c r="J1649" s="121">
        <f t="shared" si="57"/>
        <v>0</v>
      </c>
      <c r="K1649" s="50" t="s">
        <v>2925</v>
      </c>
      <c r="L1649" s="50">
        <v>248</v>
      </c>
      <c r="M1649" s="50" t="s">
        <v>1106</v>
      </c>
      <c r="N1649" s="68" t="s">
        <v>3564</v>
      </c>
      <c r="O1649" s="68" t="s">
        <v>3565</v>
      </c>
      <c r="P1649" s="68" t="s">
        <v>5146</v>
      </c>
    </row>
    <row r="1650" spans="1:16" ht="82.05" customHeight="1" x14ac:dyDescent="0.3">
      <c r="A1650" s="119" t="s">
        <v>3270</v>
      </c>
      <c r="B1650" s="119" t="s">
        <v>114</v>
      </c>
      <c r="C1650" s="119" t="s">
        <v>29</v>
      </c>
      <c r="D1650" s="119" t="s">
        <v>420</v>
      </c>
      <c r="E1650" s="120">
        <v>24313208</v>
      </c>
      <c r="F1650" s="120">
        <v>24313208</v>
      </c>
      <c r="G1650" s="120" t="s">
        <v>2033</v>
      </c>
      <c r="H1650" s="120">
        <f t="shared" si="56"/>
        <v>24313.207999999999</v>
      </c>
      <c r="I1650" s="120">
        <f>FCCL!H117</f>
        <v>24313.207999999999</v>
      </c>
      <c r="J1650" s="120">
        <f t="shared" si="57"/>
        <v>0</v>
      </c>
      <c r="K1650" s="119" t="s">
        <v>2925</v>
      </c>
      <c r="L1650" s="119">
        <v>248</v>
      </c>
      <c r="M1650" s="119" t="s">
        <v>1127</v>
      </c>
      <c r="N1650" s="122" t="s">
        <v>3564</v>
      </c>
      <c r="O1650" s="122" t="s">
        <v>3565</v>
      </c>
      <c r="P1650" s="122" t="s">
        <v>5147</v>
      </c>
    </row>
    <row r="1651" spans="1:16" ht="82.05" customHeight="1" x14ac:dyDescent="0.3">
      <c r="A1651" s="50" t="s">
        <v>3271</v>
      </c>
      <c r="B1651" s="50" t="s">
        <v>114</v>
      </c>
      <c r="C1651" s="50" t="s">
        <v>20</v>
      </c>
      <c r="D1651" s="50" t="s">
        <v>422</v>
      </c>
      <c r="E1651" s="121">
        <v>-94843</v>
      </c>
      <c r="F1651" s="121">
        <v>-94843</v>
      </c>
      <c r="G1651" s="121" t="s">
        <v>2033</v>
      </c>
      <c r="H1651" s="121">
        <f t="shared" si="56"/>
        <v>-94.843000000000004</v>
      </c>
      <c r="I1651" s="121">
        <f>FCCL!D118</f>
        <v>-94.843000000000004</v>
      </c>
      <c r="J1651" s="121">
        <f t="shared" si="57"/>
        <v>0</v>
      </c>
      <c r="K1651" s="50" t="s">
        <v>2918</v>
      </c>
      <c r="L1651" s="50">
        <v>190</v>
      </c>
      <c r="M1651" s="50" t="s">
        <v>1106</v>
      </c>
      <c r="N1651" s="68" t="s">
        <v>3564</v>
      </c>
      <c r="O1651" s="68" t="s">
        <v>3565</v>
      </c>
      <c r="P1651" s="68" t="s">
        <v>5148</v>
      </c>
    </row>
    <row r="1652" spans="1:16" ht="82.05" customHeight="1" x14ac:dyDescent="0.3">
      <c r="A1652" s="119" t="s">
        <v>3272</v>
      </c>
      <c r="B1652" s="119" t="s">
        <v>114</v>
      </c>
      <c r="C1652" s="119" t="s">
        <v>26</v>
      </c>
      <c r="D1652" s="119" t="s">
        <v>422</v>
      </c>
      <c r="E1652" s="120">
        <v>-985172</v>
      </c>
      <c r="F1652" s="120">
        <v>-985172</v>
      </c>
      <c r="G1652" s="120" t="s">
        <v>2033</v>
      </c>
      <c r="H1652" s="120">
        <f t="shared" si="56"/>
        <v>-985.17200000000003</v>
      </c>
      <c r="I1652" s="120">
        <f>FCCL!E118</f>
        <v>-985.17200000000003</v>
      </c>
      <c r="J1652" s="120">
        <f t="shared" si="57"/>
        <v>0</v>
      </c>
      <c r="K1652" s="119" t="s">
        <v>2920</v>
      </c>
      <c r="L1652" s="119">
        <v>212</v>
      </c>
      <c r="M1652" s="119" t="s">
        <v>1106</v>
      </c>
      <c r="N1652" s="122" t="s">
        <v>3564</v>
      </c>
      <c r="O1652" s="122" t="s">
        <v>3565</v>
      </c>
      <c r="P1652" s="122" t="s">
        <v>5149</v>
      </c>
    </row>
    <row r="1653" spans="1:16" ht="82.05" customHeight="1" x14ac:dyDescent="0.3">
      <c r="A1653" s="50" t="s">
        <v>3273</v>
      </c>
      <c r="B1653" s="50" t="s">
        <v>114</v>
      </c>
      <c r="C1653" s="50" t="s">
        <v>27</v>
      </c>
      <c r="D1653" s="50" t="s">
        <v>422</v>
      </c>
      <c r="E1653" s="121">
        <v>-2483101</v>
      </c>
      <c r="F1653" s="121">
        <v>-2483101</v>
      </c>
      <c r="G1653" s="121" t="s">
        <v>2033</v>
      </c>
      <c r="H1653" s="121">
        <f t="shared" si="56"/>
        <v>-2483.1010000000001</v>
      </c>
      <c r="I1653" s="121">
        <f>FCCL!F118</f>
        <v>-2483.1010000000001</v>
      </c>
      <c r="J1653" s="121">
        <f t="shared" si="57"/>
        <v>0</v>
      </c>
      <c r="K1653" s="50" t="s">
        <v>2923</v>
      </c>
      <c r="L1653" s="50">
        <v>195</v>
      </c>
      <c r="M1653" s="50" t="s">
        <v>1106</v>
      </c>
      <c r="N1653" s="68" t="s">
        <v>3564</v>
      </c>
      <c r="O1653" s="68" t="s">
        <v>3565</v>
      </c>
      <c r="P1653" s="68" t="s">
        <v>5150</v>
      </c>
    </row>
    <row r="1654" spans="1:16" ht="82.05" customHeight="1" x14ac:dyDescent="0.3">
      <c r="A1654" s="119" t="s">
        <v>3274</v>
      </c>
      <c r="B1654" s="119" t="s">
        <v>114</v>
      </c>
      <c r="C1654" s="119" t="s">
        <v>28</v>
      </c>
      <c r="D1654" s="119" t="s">
        <v>422</v>
      </c>
      <c r="E1654" s="120">
        <v>-6993060</v>
      </c>
      <c r="F1654" s="120">
        <v>-6993060</v>
      </c>
      <c r="G1654" s="120" t="s">
        <v>2033</v>
      </c>
      <c r="H1654" s="120">
        <f t="shared" si="56"/>
        <v>-6993.06</v>
      </c>
      <c r="I1654" s="120">
        <f>FCCL!G118</f>
        <v>-6993.06</v>
      </c>
      <c r="J1654" s="120">
        <f t="shared" si="57"/>
        <v>0</v>
      </c>
      <c r="K1654" s="119" t="s">
        <v>2925</v>
      </c>
      <c r="L1654" s="119">
        <v>249</v>
      </c>
      <c r="M1654" s="119" t="s">
        <v>1106</v>
      </c>
      <c r="N1654" s="122" t="s">
        <v>3564</v>
      </c>
      <c r="O1654" s="122" t="s">
        <v>3565</v>
      </c>
      <c r="P1654" s="122" t="s">
        <v>5151</v>
      </c>
    </row>
    <row r="1655" spans="1:16" ht="82.05" customHeight="1" x14ac:dyDescent="0.3">
      <c r="A1655" s="50" t="s">
        <v>3276</v>
      </c>
      <c r="B1655" s="50" t="s">
        <v>114</v>
      </c>
      <c r="C1655" s="50" t="s">
        <v>29</v>
      </c>
      <c r="D1655" s="50" t="s">
        <v>422</v>
      </c>
      <c r="E1655" s="121">
        <v>-5559451</v>
      </c>
      <c r="F1655" s="121">
        <v>-5559451</v>
      </c>
      <c r="G1655" s="121" t="s">
        <v>2033</v>
      </c>
      <c r="H1655" s="121">
        <f t="shared" si="56"/>
        <v>-5559.451</v>
      </c>
      <c r="I1655" s="121">
        <f>FCCL!H118</f>
        <v>-5559.451</v>
      </c>
      <c r="J1655" s="121">
        <f t="shared" si="57"/>
        <v>0</v>
      </c>
      <c r="K1655" s="50" t="s">
        <v>2925</v>
      </c>
      <c r="L1655" s="50">
        <v>249</v>
      </c>
      <c r="M1655" s="50" t="s">
        <v>1127</v>
      </c>
      <c r="N1655" s="68" t="s">
        <v>3602</v>
      </c>
      <c r="O1655" s="68" t="s">
        <v>3603</v>
      </c>
      <c r="P1655" s="68" t="s">
        <v>5152</v>
      </c>
    </row>
    <row r="1656" spans="1:16" ht="82.05" customHeight="1" x14ac:dyDescent="0.3">
      <c r="A1656" s="119" t="s">
        <v>3277</v>
      </c>
      <c r="B1656" s="119" t="s">
        <v>114</v>
      </c>
      <c r="C1656" s="119" t="s">
        <v>20</v>
      </c>
      <c r="D1656" s="119" t="s">
        <v>424</v>
      </c>
      <c r="E1656" s="120" t="s">
        <v>823</v>
      </c>
      <c r="F1656" s="120" t="s">
        <v>823</v>
      </c>
      <c r="G1656" s="120" t="s">
        <v>427</v>
      </c>
      <c r="H1656" s="120" t="s">
        <v>823</v>
      </c>
      <c r="I1656" s="120" t="str">
        <f>FCCL!D119</f>
        <v>Financing</v>
      </c>
      <c r="J1656" s="120" t="s">
        <v>579</v>
      </c>
      <c r="K1656" s="119" t="s">
        <v>2918</v>
      </c>
      <c r="L1656" s="119">
        <v>190</v>
      </c>
      <c r="M1656" s="119" t="s">
        <v>1106</v>
      </c>
      <c r="N1656" s="122" t="s">
        <v>3864</v>
      </c>
      <c r="O1656" s="122" t="s">
        <v>3865</v>
      </c>
      <c r="P1656" s="122" t="s">
        <v>5153</v>
      </c>
    </row>
    <row r="1657" spans="1:16" ht="82.05" customHeight="1" x14ac:dyDescent="0.3">
      <c r="A1657" s="50" t="s">
        <v>3278</v>
      </c>
      <c r="B1657" s="50" t="s">
        <v>114</v>
      </c>
      <c r="C1657" s="50" t="s">
        <v>26</v>
      </c>
      <c r="D1657" s="50" t="s">
        <v>424</v>
      </c>
      <c r="E1657" s="121" t="s">
        <v>823</v>
      </c>
      <c r="F1657" s="121" t="s">
        <v>823</v>
      </c>
      <c r="G1657" s="121" t="s">
        <v>427</v>
      </c>
      <c r="H1657" s="121" t="s">
        <v>823</v>
      </c>
      <c r="I1657" s="121" t="str">
        <f>FCCL!E119</f>
        <v>Financing</v>
      </c>
      <c r="J1657" s="121" t="s">
        <v>579</v>
      </c>
      <c r="K1657" s="50" t="s">
        <v>2920</v>
      </c>
      <c r="L1657" s="50">
        <v>212</v>
      </c>
      <c r="M1657" s="50" t="s">
        <v>1106</v>
      </c>
      <c r="N1657" s="68" t="s">
        <v>3864</v>
      </c>
      <c r="O1657" s="68" t="s">
        <v>3865</v>
      </c>
      <c r="P1657" s="68" t="s">
        <v>5154</v>
      </c>
    </row>
    <row r="1658" spans="1:16" ht="82.05" customHeight="1" x14ac:dyDescent="0.3">
      <c r="A1658" s="119" t="s">
        <v>3279</v>
      </c>
      <c r="B1658" s="119" t="s">
        <v>114</v>
      </c>
      <c r="C1658" s="119" t="s">
        <v>27</v>
      </c>
      <c r="D1658" s="119" t="s">
        <v>424</v>
      </c>
      <c r="E1658" s="120" t="s">
        <v>823</v>
      </c>
      <c r="F1658" s="120" t="s">
        <v>823</v>
      </c>
      <c r="G1658" s="120" t="s">
        <v>427</v>
      </c>
      <c r="H1658" s="120" t="s">
        <v>823</v>
      </c>
      <c r="I1658" s="120" t="str">
        <f>FCCL!F119</f>
        <v>Financing</v>
      </c>
      <c r="J1658" s="120" t="s">
        <v>579</v>
      </c>
      <c r="K1658" s="119" t="s">
        <v>2923</v>
      </c>
      <c r="L1658" s="119">
        <v>195</v>
      </c>
      <c r="M1658" s="119" t="s">
        <v>1106</v>
      </c>
      <c r="N1658" s="122" t="s">
        <v>3864</v>
      </c>
      <c r="O1658" s="122" t="s">
        <v>3865</v>
      </c>
      <c r="P1658" s="122" t="s">
        <v>5155</v>
      </c>
    </row>
    <row r="1659" spans="1:16" ht="82.05" customHeight="1" x14ac:dyDescent="0.3">
      <c r="A1659" s="50" t="s">
        <v>3280</v>
      </c>
      <c r="B1659" s="50" t="s">
        <v>114</v>
      </c>
      <c r="C1659" s="50" t="s">
        <v>28</v>
      </c>
      <c r="D1659" s="50" t="s">
        <v>424</v>
      </c>
      <c r="E1659" s="121" t="s">
        <v>823</v>
      </c>
      <c r="F1659" s="121" t="s">
        <v>823</v>
      </c>
      <c r="G1659" s="121" t="s">
        <v>427</v>
      </c>
      <c r="H1659" s="121" t="s">
        <v>823</v>
      </c>
      <c r="I1659" s="121" t="str">
        <f>FCCL!G119</f>
        <v>Financing</v>
      </c>
      <c r="J1659" s="121" t="s">
        <v>579</v>
      </c>
      <c r="K1659" s="50" t="s">
        <v>2925</v>
      </c>
      <c r="L1659" s="50">
        <v>249</v>
      </c>
      <c r="M1659" s="50" t="s">
        <v>1106</v>
      </c>
      <c r="N1659" s="68" t="s">
        <v>3864</v>
      </c>
      <c r="O1659" s="68" t="s">
        <v>3865</v>
      </c>
      <c r="P1659" s="68" t="s">
        <v>5156</v>
      </c>
    </row>
    <row r="1660" spans="1:16" ht="82.05" customHeight="1" x14ac:dyDescent="0.3">
      <c r="A1660" s="119" t="s">
        <v>3281</v>
      </c>
      <c r="B1660" s="119" t="s">
        <v>114</v>
      </c>
      <c r="C1660" s="119" t="s">
        <v>29</v>
      </c>
      <c r="D1660" s="119" t="s">
        <v>424</v>
      </c>
      <c r="E1660" s="120" t="s">
        <v>823</v>
      </c>
      <c r="F1660" s="120" t="s">
        <v>823</v>
      </c>
      <c r="G1660" s="120" t="s">
        <v>427</v>
      </c>
      <c r="H1660" s="120" t="s">
        <v>823</v>
      </c>
      <c r="I1660" s="120" t="str">
        <f>FCCL!H119</f>
        <v>Financing</v>
      </c>
      <c r="J1660" s="120" t="s">
        <v>579</v>
      </c>
      <c r="K1660" s="119" t="s">
        <v>2925</v>
      </c>
      <c r="L1660" s="119">
        <v>249</v>
      </c>
      <c r="M1660" s="119" t="s">
        <v>1127</v>
      </c>
      <c r="N1660" s="122" t="s">
        <v>3864</v>
      </c>
      <c r="O1660" s="122" t="s">
        <v>3865</v>
      </c>
      <c r="P1660" s="122" t="s">
        <v>5156</v>
      </c>
    </row>
    <row r="1661" spans="1:16" ht="82.05" customHeight="1" x14ac:dyDescent="0.3">
      <c r="A1661" s="50" t="s">
        <v>3282</v>
      </c>
      <c r="B1661" s="50" t="s">
        <v>114</v>
      </c>
      <c r="C1661" s="50" t="s">
        <v>20</v>
      </c>
      <c r="D1661" s="50" t="s">
        <v>430</v>
      </c>
      <c r="E1661" s="121">
        <v>-1007205</v>
      </c>
      <c r="F1661" s="121">
        <v>-1007205</v>
      </c>
      <c r="G1661" s="121" t="s">
        <v>2033</v>
      </c>
      <c r="H1661" s="121">
        <f t="shared" ref="H1661:H1688" si="58">F1661/1000</f>
        <v>-1007.205</v>
      </c>
      <c r="I1661" s="121">
        <f>FCCL!D121</f>
        <v>-1007.205</v>
      </c>
      <c r="J1661" s="121">
        <f t="shared" ref="J1661:J1692" si="59">H1661-I1661</f>
        <v>0</v>
      </c>
      <c r="K1661" s="50" t="s">
        <v>2918</v>
      </c>
      <c r="L1661" s="50">
        <v>190</v>
      </c>
      <c r="M1661" s="50" t="s">
        <v>1106</v>
      </c>
      <c r="N1661" s="68" t="s">
        <v>3564</v>
      </c>
      <c r="O1661" s="68" t="s">
        <v>3565</v>
      </c>
      <c r="P1661" s="68" t="s">
        <v>5157</v>
      </c>
    </row>
    <row r="1662" spans="1:16" ht="82.05" customHeight="1" x14ac:dyDescent="0.3">
      <c r="A1662" s="119" t="s">
        <v>3284</v>
      </c>
      <c r="B1662" s="119" t="s">
        <v>114</v>
      </c>
      <c r="C1662" s="119" t="s">
        <v>26</v>
      </c>
      <c r="D1662" s="119" t="s">
        <v>430</v>
      </c>
      <c r="E1662" s="120">
        <v>-28425596</v>
      </c>
      <c r="F1662" s="120">
        <v>-28425596</v>
      </c>
      <c r="G1662" s="120" t="s">
        <v>2033</v>
      </c>
      <c r="H1662" s="120">
        <f t="shared" si="58"/>
        <v>-28425.596000000001</v>
      </c>
      <c r="I1662" s="120">
        <f>FCCL!E121</f>
        <v>-28425.596000000001</v>
      </c>
      <c r="J1662" s="120">
        <f t="shared" si="59"/>
        <v>0</v>
      </c>
      <c r="K1662" s="119" t="s">
        <v>2920</v>
      </c>
      <c r="L1662" s="119">
        <v>212</v>
      </c>
      <c r="M1662" s="119" t="s">
        <v>1106</v>
      </c>
      <c r="N1662" s="122" t="s">
        <v>3564</v>
      </c>
      <c r="O1662" s="122" t="s">
        <v>3565</v>
      </c>
      <c r="P1662" s="122" t="s">
        <v>5158</v>
      </c>
    </row>
    <row r="1663" spans="1:16" ht="82.05" customHeight="1" x14ac:dyDescent="0.3">
      <c r="A1663" s="50" t="s">
        <v>3286</v>
      </c>
      <c r="B1663" s="50" t="s">
        <v>114</v>
      </c>
      <c r="C1663" s="50" t="s">
        <v>27</v>
      </c>
      <c r="D1663" s="50" t="s">
        <v>430</v>
      </c>
      <c r="E1663" s="121">
        <v>-33903442</v>
      </c>
      <c r="F1663" s="121">
        <v>-33903442</v>
      </c>
      <c r="G1663" s="121" t="s">
        <v>2033</v>
      </c>
      <c r="H1663" s="121">
        <f t="shared" si="58"/>
        <v>-33903.442000000003</v>
      </c>
      <c r="I1663" s="121">
        <f>FCCL!F121</f>
        <v>-33903.442000000003</v>
      </c>
      <c r="J1663" s="121">
        <f t="shared" si="59"/>
        <v>0</v>
      </c>
      <c r="K1663" s="50" t="s">
        <v>2923</v>
      </c>
      <c r="L1663" s="50">
        <v>195</v>
      </c>
      <c r="M1663" s="50" t="s">
        <v>1106</v>
      </c>
      <c r="N1663" s="68" t="s">
        <v>3564</v>
      </c>
      <c r="O1663" s="68" t="s">
        <v>3565</v>
      </c>
      <c r="P1663" s="68" t="s">
        <v>5159</v>
      </c>
    </row>
    <row r="1664" spans="1:16" ht="82.05" customHeight="1" x14ac:dyDescent="0.3">
      <c r="A1664" s="119" t="s">
        <v>3288</v>
      </c>
      <c r="B1664" s="119" t="s">
        <v>114</v>
      </c>
      <c r="C1664" s="119" t="s">
        <v>28</v>
      </c>
      <c r="D1664" s="119" t="s">
        <v>430</v>
      </c>
      <c r="E1664" s="120">
        <v>-8478876</v>
      </c>
      <c r="F1664" s="120">
        <v>-8478876</v>
      </c>
      <c r="G1664" s="120" t="s">
        <v>2033</v>
      </c>
      <c r="H1664" s="120">
        <f t="shared" si="58"/>
        <v>-8478.8760000000002</v>
      </c>
      <c r="I1664" s="120">
        <f>FCCL!G121</f>
        <v>-8478.8760000000002</v>
      </c>
      <c r="J1664" s="120">
        <f t="shared" si="59"/>
        <v>0</v>
      </c>
      <c r="K1664" s="119" t="s">
        <v>2925</v>
      </c>
      <c r="L1664" s="119">
        <v>249</v>
      </c>
      <c r="M1664" s="119" t="s">
        <v>1106</v>
      </c>
      <c r="N1664" s="122" t="s">
        <v>3564</v>
      </c>
      <c r="O1664" s="122" t="s">
        <v>3565</v>
      </c>
      <c r="P1664" s="122" t="s">
        <v>5160</v>
      </c>
    </row>
    <row r="1665" spans="1:16" ht="82.05" customHeight="1" x14ac:dyDescent="0.3">
      <c r="A1665" s="50" t="s">
        <v>3289</v>
      </c>
      <c r="B1665" s="50" t="s">
        <v>114</v>
      </c>
      <c r="C1665" s="50" t="s">
        <v>29</v>
      </c>
      <c r="D1665" s="50" t="s">
        <v>430</v>
      </c>
      <c r="E1665" s="121">
        <v>-3477647</v>
      </c>
      <c r="F1665" s="121">
        <v>-3477647</v>
      </c>
      <c r="G1665" s="121" t="s">
        <v>2033</v>
      </c>
      <c r="H1665" s="121">
        <f t="shared" si="58"/>
        <v>-3477.6469999999999</v>
      </c>
      <c r="I1665" s="121">
        <f>FCCL!H121</f>
        <v>-3477.6469999999999</v>
      </c>
      <c r="J1665" s="121">
        <f t="shared" si="59"/>
        <v>0</v>
      </c>
      <c r="K1665" s="50" t="s">
        <v>2925</v>
      </c>
      <c r="L1665" s="50">
        <v>249</v>
      </c>
      <c r="M1665" s="50" t="s">
        <v>1127</v>
      </c>
      <c r="N1665" s="68" t="s">
        <v>3564</v>
      </c>
      <c r="O1665" s="68" t="s">
        <v>3565</v>
      </c>
      <c r="P1665" s="68" t="s">
        <v>5161</v>
      </c>
    </row>
    <row r="1666" spans="1:16" ht="82.05" customHeight="1" x14ac:dyDescent="0.3">
      <c r="A1666" s="119" t="s">
        <v>3290</v>
      </c>
      <c r="B1666" s="119" t="s">
        <v>114</v>
      </c>
      <c r="C1666" s="119" t="s">
        <v>20</v>
      </c>
      <c r="D1666" s="119" t="s">
        <v>432</v>
      </c>
      <c r="E1666" s="120">
        <v>-5141658</v>
      </c>
      <c r="F1666" s="120">
        <v>-5141658</v>
      </c>
      <c r="G1666" s="120" t="s">
        <v>2033</v>
      </c>
      <c r="H1666" s="120">
        <f t="shared" si="58"/>
        <v>-5141.6580000000004</v>
      </c>
      <c r="I1666" s="120">
        <f>FCCL!D122</f>
        <v>-5141.6580000000004</v>
      </c>
      <c r="J1666" s="120">
        <f t="shared" si="59"/>
        <v>0</v>
      </c>
      <c r="K1666" s="119" t="s">
        <v>2918</v>
      </c>
      <c r="L1666" s="119">
        <v>190</v>
      </c>
      <c r="M1666" s="119" t="s">
        <v>1106</v>
      </c>
      <c r="N1666" s="122" t="s">
        <v>3564</v>
      </c>
      <c r="O1666" s="122" t="s">
        <v>3565</v>
      </c>
      <c r="P1666" s="122" t="s">
        <v>5162</v>
      </c>
    </row>
    <row r="1667" spans="1:16" ht="82.05" customHeight="1" x14ac:dyDescent="0.3">
      <c r="A1667" s="50" t="s">
        <v>3291</v>
      </c>
      <c r="B1667" s="50" t="s">
        <v>114</v>
      </c>
      <c r="C1667" s="50" t="s">
        <v>26</v>
      </c>
      <c r="D1667" s="50" t="s">
        <v>432</v>
      </c>
      <c r="E1667" s="121">
        <v>-26064704</v>
      </c>
      <c r="F1667" s="121">
        <v>-26064704</v>
      </c>
      <c r="G1667" s="121" t="s">
        <v>2033</v>
      </c>
      <c r="H1667" s="121">
        <f t="shared" si="58"/>
        <v>-26064.704000000002</v>
      </c>
      <c r="I1667" s="121">
        <f>FCCL!E122</f>
        <v>-26064.704000000002</v>
      </c>
      <c r="J1667" s="121">
        <f t="shared" si="59"/>
        <v>0</v>
      </c>
      <c r="K1667" s="50" t="s">
        <v>2920</v>
      </c>
      <c r="L1667" s="50">
        <v>212</v>
      </c>
      <c r="M1667" s="50" t="s">
        <v>1106</v>
      </c>
      <c r="N1667" s="68" t="s">
        <v>3564</v>
      </c>
      <c r="O1667" s="68" t="s">
        <v>3565</v>
      </c>
      <c r="P1667" s="68" t="s">
        <v>5163</v>
      </c>
    </row>
    <row r="1668" spans="1:16" ht="82.05" customHeight="1" x14ac:dyDescent="0.3">
      <c r="A1668" s="119" t="s">
        <v>3292</v>
      </c>
      <c r="B1668" s="119" t="s">
        <v>114</v>
      </c>
      <c r="C1668" s="119" t="s">
        <v>27</v>
      </c>
      <c r="D1668" s="119" t="s">
        <v>432</v>
      </c>
      <c r="E1668" s="120">
        <v>-29667173</v>
      </c>
      <c r="F1668" s="120">
        <v>-29667173</v>
      </c>
      <c r="G1668" s="120" t="s">
        <v>2033</v>
      </c>
      <c r="H1668" s="120">
        <f t="shared" si="58"/>
        <v>-29667.172999999999</v>
      </c>
      <c r="I1668" s="120">
        <f>FCCL!F122</f>
        <v>-29667.172999999999</v>
      </c>
      <c r="J1668" s="120">
        <f t="shared" si="59"/>
        <v>0</v>
      </c>
      <c r="K1668" s="119" t="s">
        <v>2923</v>
      </c>
      <c r="L1668" s="119">
        <v>195</v>
      </c>
      <c r="M1668" s="119" t="s">
        <v>1106</v>
      </c>
      <c r="N1668" s="122" t="s">
        <v>3564</v>
      </c>
      <c r="O1668" s="122" t="s">
        <v>3565</v>
      </c>
      <c r="P1668" s="122" t="s">
        <v>5164</v>
      </c>
    </row>
    <row r="1669" spans="1:16" ht="82.05" customHeight="1" x14ac:dyDescent="0.3">
      <c r="A1669" s="50" t="s">
        <v>3293</v>
      </c>
      <c r="B1669" s="50" t="s">
        <v>114</v>
      </c>
      <c r="C1669" s="50" t="s">
        <v>28</v>
      </c>
      <c r="D1669" s="50" t="s">
        <v>432</v>
      </c>
      <c r="E1669" s="121">
        <v>-8158036</v>
      </c>
      <c r="F1669" s="121">
        <v>-8158036</v>
      </c>
      <c r="G1669" s="121" t="s">
        <v>2033</v>
      </c>
      <c r="H1669" s="121">
        <f t="shared" si="58"/>
        <v>-8158.0360000000001</v>
      </c>
      <c r="I1669" s="121">
        <f>FCCL!G122</f>
        <v>-8158.0360000000001</v>
      </c>
      <c r="J1669" s="121">
        <f t="shared" si="59"/>
        <v>0</v>
      </c>
      <c r="K1669" s="50" t="s">
        <v>2925</v>
      </c>
      <c r="L1669" s="50">
        <v>249</v>
      </c>
      <c r="M1669" s="50" t="s">
        <v>1106</v>
      </c>
      <c r="N1669" s="68" t="s">
        <v>3564</v>
      </c>
      <c r="O1669" s="68" t="s">
        <v>3565</v>
      </c>
      <c r="P1669" s="68" t="s">
        <v>5165</v>
      </c>
    </row>
    <row r="1670" spans="1:16" ht="82.05" customHeight="1" x14ac:dyDescent="0.3">
      <c r="A1670" s="119" t="s">
        <v>3294</v>
      </c>
      <c r="B1670" s="119" t="s">
        <v>114</v>
      </c>
      <c r="C1670" s="119" t="s">
        <v>29</v>
      </c>
      <c r="D1670" s="119" t="s">
        <v>432</v>
      </c>
      <c r="E1670" s="120">
        <v>-11259190</v>
      </c>
      <c r="F1670" s="120">
        <v>-11259190</v>
      </c>
      <c r="G1670" s="120" t="s">
        <v>2033</v>
      </c>
      <c r="H1670" s="120">
        <f t="shared" si="58"/>
        <v>-11259.19</v>
      </c>
      <c r="I1670" s="120">
        <f>FCCL!H122</f>
        <v>-11259.19</v>
      </c>
      <c r="J1670" s="120">
        <f t="shared" si="59"/>
        <v>0</v>
      </c>
      <c r="K1670" s="119" t="s">
        <v>2925</v>
      </c>
      <c r="L1670" s="119">
        <v>249</v>
      </c>
      <c r="M1670" s="119" t="s">
        <v>1127</v>
      </c>
      <c r="N1670" s="122" t="s">
        <v>3564</v>
      </c>
      <c r="O1670" s="122" t="s">
        <v>3565</v>
      </c>
      <c r="P1670" s="122" t="s">
        <v>5166</v>
      </c>
    </row>
    <row r="1671" spans="1:16" ht="82.05" customHeight="1" x14ac:dyDescent="0.3">
      <c r="A1671" s="50" t="s">
        <v>3295</v>
      </c>
      <c r="B1671" s="50" t="s">
        <v>114</v>
      </c>
      <c r="C1671" s="50" t="s">
        <v>20</v>
      </c>
      <c r="D1671" s="50" t="s">
        <v>434</v>
      </c>
      <c r="E1671" s="121">
        <v>-5455</v>
      </c>
      <c r="F1671" s="121">
        <v>-5455</v>
      </c>
      <c r="G1671" s="121" t="s">
        <v>2033</v>
      </c>
      <c r="H1671" s="121">
        <f t="shared" si="58"/>
        <v>-5.4550000000000001</v>
      </c>
      <c r="I1671" s="121">
        <f>FCCL!D123</f>
        <v>-5.4550000000000001</v>
      </c>
      <c r="J1671" s="121">
        <f t="shared" si="59"/>
        <v>0</v>
      </c>
      <c r="K1671" s="50" t="s">
        <v>2918</v>
      </c>
      <c r="L1671" s="50">
        <v>190</v>
      </c>
      <c r="M1671" s="50" t="s">
        <v>1106</v>
      </c>
      <c r="N1671" s="68" t="s">
        <v>3564</v>
      </c>
      <c r="O1671" s="68" t="s">
        <v>3565</v>
      </c>
      <c r="P1671" s="68" t="s">
        <v>5167</v>
      </c>
    </row>
    <row r="1672" spans="1:16" ht="82.05" customHeight="1" x14ac:dyDescent="0.3">
      <c r="A1672" s="119" t="s">
        <v>3296</v>
      </c>
      <c r="B1672" s="119" t="s">
        <v>114</v>
      </c>
      <c r="C1672" s="119" t="s">
        <v>26</v>
      </c>
      <c r="D1672" s="119" t="s">
        <v>434</v>
      </c>
      <c r="E1672" s="120">
        <v>19345923</v>
      </c>
      <c r="F1672" s="120">
        <v>19345923</v>
      </c>
      <c r="G1672" s="120" t="s">
        <v>2033</v>
      </c>
      <c r="H1672" s="120">
        <f t="shared" si="58"/>
        <v>19345.922999999999</v>
      </c>
      <c r="I1672" s="120">
        <f>FCCL!E123</f>
        <v>19345.922999999999</v>
      </c>
      <c r="J1672" s="120">
        <f t="shared" si="59"/>
        <v>0</v>
      </c>
      <c r="K1672" s="119" t="s">
        <v>2920</v>
      </c>
      <c r="L1672" s="119">
        <v>212</v>
      </c>
      <c r="M1672" s="119" t="s">
        <v>1106</v>
      </c>
      <c r="N1672" s="122" t="s">
        <v>3564</v>
      </c>
      <c r="O1672" s="122" t="s">
        <v>3565</v>
      </c>
      <c r="P1672" s="122" t="s">
        <v>5168</v>
      </c>
    </row>
    <row r="1673" spans="1:16" ht="82.05" customHeight="1" x14ac:dyDescent="0.3">
      <c r="A1673" s="50" t="s">
        <v>3297</v>
      </c>
      <c r="B1673" s="50" t="s">
        <v>114</v>
      </c>
      <c r="C1673" s="50" t="s">
        <v>27</v>
      </c>
      <c r="D1673" s="50" t="s">
        <v>434</v>
      </c>
      <c r="E1673" s="121">
        <v>10897767</v>
      </c>
      <c r="F1673" s="121">
        <v>10897767</v>
      </c>
      <c r="G1673" s="121" t="s">
        <v>2033</v>
      </c>
      <c r="H1673" s="121">
        <f t="shared" si="58"/>
        <v>10897.767</v>
      </c>
      <c r="I1673" s="121">
        <f>FCCL!F123</f>
        <v>10897.767</v>
      </c>
      <c r="J1673" s="121">
        <f t="shared" si="59"/>
        <v>0</v>
      </c>
      <c r="K1673" s="50" t="s">
        <v>2923</v>
      </c>
      <c r="L1673" s="50">
        <v>195</v>
      </c>
      <c r="M1673" s="50" t="s">
        <v>1106</v>
      </c>
      <c r="N1673" s="68" t="s">
        <v>3564</v>
      </c>
      <c r="O1673" s="68" t="s">
        <v>3565</v>
      </c>
      <c r="P1673" s="68" t="s">
        <v>5169</v>
      </c>
    </row>
    <row r="1674" spans="1:16" ht="82.05" customHeight="1" x14ac:dyDescent="0.3">
      <c r="A1674" s="119" t="s">
        <v>3298</v>
      </c>
      <c r="B1674" s="119" t="s">
        <v>114</v>
      </c>
      <c r="C1674" s="119" t="s">
        <v>28</v>
      </c>
      <c r="D1674" s="119" t="s">
        <v>434</v>
      </c>
      <c r="E1674" s="120">
        <v>-8479996</v>
      </c>
      <c r="F1674" s="120">
        <v>-8479996</v>
      </c>
      <c r="G1674" s="120" t="s">
        <v>2033</v>
      </c>
      <c r="H1674" s="120">
        <f t="shared" si="58"/>
        <v>-8479.9959999999992</v>
      </c>
      <c r="I1674" s="120">
        <f>FCCL!G123</f>
        <v>-8479.9959999999992</v>
      </c>
      <c r="J1674" s="120">
        <f t="shared" si="59"/>
        <v>0</v>
      </c>
      <c r="K1674" s="119" t="s">
        <v>2925</v>
      </c>
      <c r="L1674" s="119">
        <v>249</v>
      </c>
      <c r="M1674" s="119" t="s">
        <v>1106</v>
      </c>
      <c r="N1674" s="122" t="s">
        <v>3564</v>
      </c>
      <c r="O1674" s="122" t="s">
        <v>3565</v>
      </c>
      <c r="P1674" s="122" t="s">
        <v>5170</v>
      </c>
    </row>
    <row r="1675" spans="1:16" ht="82.05" customHeight="1" x14ac:dyDescent="0.3">
      <c r="A1675" s="50" t="s">
        <v>3299</v>
      </c>
      <c r="B1675" s="50" t="s">
        <v>114</v>
      </c>
      <c r="C1675" s="50" t="s">
        <v>29</v>
      </c>
      <c r="D1675" s="50" t="s">
        <v>434</v>
      </c>
      <c r="E1675" s="121">
        <v>-12739192</v>
      </c>
      <c r="F1675" s="121">
        <v>-12739192</v>
      </c>
      <c r="G1675" s="121" t="s">
        <v>2033</v>
      </c>
      <c r="H1675" s="121">
        <f t="shared" si="58"/>
        <v>-12739.191999999999</v>
      </c>
      <c r="I1675" s="121">
        <f>FCCL!H123</f>
        <v>-12739.191999999999</v>
      </c>
      <c r="J1675" s="121">
        <f t="shared" si="59"/>
        <v>0</v>
      </c>
      <c r="K1675" s="50" t="s">
        <v>2925</v>
      </c>
      <c r="L1675" s="50">
        <v>249</v>
      </c>
      <c r="M1675" s="50" t="s">
        <v>1127</v>
      </c>
      <c r="N1675" s="68" t="s">
        <v>3564</v>
      </c>
      <c r="O1675" s="68" t="s">
        <v>3565</v>
      </c>
      <c r="P1675" s="68" t="s">
        <v>5171</v>
      </c>
    </row>
    <row r="1676" spans="1:16" ht="82.05" customHeight="1" x14ac:dyDescent="0.3">
      <c r="A1676" s="119" t="s">
        <v>3300</v>
      </c>
      <c r="B1676" s="119" t="s">
        <v>114</v>
      </c>
      <c r="C1676" s="119" t="s">
        <v>20</v>
      </c>
      <c r="D1676" s="119" t="s">
        <v>436</v>
      </c>
      <c r="E1676" s="120">
        <v>-1572</v>
      </c>
      <c r="F1676" s="120">
        <v>-1572</v>
      </c>
      <c r="G1676" s="120" t="s">
        <v>2033</v>
      </c>
      <c r="H1676" s="120">
        <f t="shared" si="58"/>
        <v>-1.5720000000000001</v>
      </c>
      <c r="I1676" s="120">
        <f>FCCL!D124</f>
        <v>-1.5720000000000001</v>
      </c>
      <c r="J1676" s="120">
        <f t="shared" si="59"/>
        <v>0</v>
      </c>
      <c r="K1676" s="119" t="s">
        <v>2918</v>
      </c>
      <c r="L1676" s="119">
        <v>190</v>
      </c>
      <c r="M1676" s="119" t="s">
        <v>1106</v>
      </c>
      <c r="N1676" s="122" t="s">
        <v>3564</v>
      </c>
      <c r="O1676" s="122" t="s">
        <v>3565</v>
      </c>
      <c r="P1676" s="122" t="s">
        <v>5172</v>
      </c>
    </row>
    <row r="1677" spans="1:16" ht="82.05" customHeight="1" x14ac:dyDescent="0.3">
      <c r="A1677" s="50" t="s">
        <v>3301</v>
      </c>
      <c r="B1677" s="50" t="s">
        <v>114</v>
      </c>
      <c r="C1677" s="50" t="s">
        <v>26</v>
      </c>
      <c r="D1677" s="50" t="s">
        <v>436</v>
      </c>
      <c r="E1677" s="121">
        <v>-1322</v>
      </c>
      <c r="F1677" s="121">
        <v>-1322</v>
      </c>
      <c r="G1677" s="121" t="s">
        <v>2033</v>
      </c>
      <c r="H1677" s="121">
        <f t="shared" si="58"/>
        <v>-1.3220000000000001</v>
      </c>
      <c r="I1677" s="121">
        <f>FCCL!E124</f>
        <v>-1.3220000000000001</v>
      </c>
      <c r="J1677" s="121">
        <f t="shared" si="59"/>
        <v>0</v>
      </c>
      <c r="K1677" s="50" t="s">
        <v>2920</v>
      </c>
      <c r="L1677" s="50">
        <v>212</v>
      </c>
      <c r="M1677" s="50" t="s">
        <v>1106</v>
      </c>
      <c r="N1677" s="68" t="s">
        <v>3564</v>
      </c>
      <c r="O1677" s="68" t="s">
        <v>3565</v>
      </c>
      <c r="P1677" s="68" t="s">
        <v>5173</v>
      </c>
    </row>
    <row r="1678" spans="1:16" ht="82.05" customHeight="1" x14ac:dyDescent="0.3">
      <c r="A1678" s="119" t="s">
        <v>3303</v>
      </c>
      <c r="B1678" s="119" t="s">
        <v>114</v>
      </c>
      <c r="C1678" s="119" t="s">
        <v>27</v>
      </c>
      <c r="D1678" s="119" t="s">
        <v>436</v>
      </c>
      <c r="E1678" s="120">
        <v>-1156</v>
      </c>
      <c r="F1678" s="120">
        <v>-1156</v>
      </c>
      <c r="G1678" s="120" t="s">
        <v>2033</v>
      </c>
      <c r="H1678" s="120">
        <f t="shared" si="58"/>
        <v>-1.1559999999999999</v>
      </c>
      <c r="I1678" s="120">
        <f>FCCL!F124</f>
        <v>-1.1559999999999999</v>
      </c>
      <c r="J1678" s="120">
        <f t="shared" si="59"/>
        <v>0</v>
      </c>
      <c r="K1678" s="119" t="s">
        <v>2923</v>
      </c>
      <c r="L1678" s="119">
        <v>195</v>
      </c>
      <c r="M1678" s="119" t="s">
        <v>1106</v>
      </c>
      <c r="N1678" s="122" t="s">
        <v>3564</v>
      </c>
      <c r="O1678" s="122" t="s">
        <v>3565</v>
      </c>
      <c r="P1678" s="122" t="s">
        <v>5174</v>
      </c>
    </row>
    <row r="1679" spans="1:16" ht="82.05" customHeight="1" x14ac:dyDescent="0.3">
      <c r="A1679" s="50" t="s">
        <v>3304</v>
      </c>
      <c r="B1679" s="50" t="s">
        <v>114</v>
      </c>
      <c r="C1679" s="50" t="s">
        <v>28</v>
      </c>
      <c r="D1679" s="50" t="s">
        <v>436</v>
      </c>
      <c r="E1679" s="121">
        <v>-355</v>
      </c>
      <c r="F1679" s="121">
        <v>-355</v>
      </c>
      <c r="G1679" s="121" t="s">
        <v>2033</v>
      </c>
      <c r="H1679" s="121">
        <f t="shared" si="58"/>
        <v>-0.35499999999999998</v>
      </c>
      <c r="I1679" s="121">
        <f>FCCL!G124</f>
        <v>-0.35499999999999998</v>
      </c>
      <c r="J1679" s="121">
        <f t="shared" si="59"/>
        <v>0</v>
      </c>
      <c r="K1679" s="50" t="s">
        <v>2925</v>
      </c>
      <c r="L1679" s="50">
        <v>249</v>
      </c>
      <c r="M1679" s="50" t="s">
        <v>1106</v>
      </c>
      <c r="N1679" s="68" t="s">
        <v>3564</v>
      </c>
      <c r="O1679" s="68" t="s">
        <v>3565</v>
      </c>
      <c r="P1679" s="68" t="s">
        <v>5175</v>
      </c>
    </row>
    <row r="1680" spans="1:16" ht="82.05" customHeight="1" x14ac:dyDescent="0.3">
      <c r="A1680" s="119" t="s">
        <v>3306</v>
      </c>
      <c r="B1680" s="119" t="s">
        <v>114</v>
      </c>
      <c r="C1680" s="119" t="s">
        <v>29</v>
      </c>
      <c r="D1680" s="119" t="s">
        <v>436</v>
      </c>
      <c r="E1680" s="120">
        <v>-2447311</v>
      </c>
      <c r="F1680" s="120">
        <v>-2447311</v>
      </c>
      <c r="G1680" s="120" t="s">
        <v>2033</v>
      </c>
      <c r="H1680" s="120">
        <f t="shared" si="58"/>
        <v>-2447.3110000000001</v>
      </c>
      <c r="I1680" s="120">
        <f>FCCL!H124</f>
        <v>-2447.3110000000001</v>
      </c>
      <c r="J1680" s="120">
        <f t="shared" si="59"/>
        <v>0</v>
      </c>
      <c r="K1680" s="119" t="s">
        <v>2925</v>
      </c>
      <c r="L1680" s="119">
        <v>249</v>
      </c>
      <c r="M1680" s="119" t="s">
        <v>1127</v>
      </c>
      <c r="N1680" s="122" t="s">
        <v>3564</v>
      </c>
      <c r="O1680" s="122" t="s">
        <v>3565</v>
      </c>
      <c r="P1680" s="122" t="s">
        <v>5176</v>
      </c>
    </row>
    <row r="1681" spans="1:16" ht="26.4" x14ac:dyDescent="0.3">
      <c r="A1681" s="55" t="s">
        <v>5177</v>
      </c>
      <c r="B1681" s="55" t="s">
        <v>68</v>
      </c>
      <c r="C1681" s="55" t="s">
        <v>20</v>
      </c>
      <c r="D1681" s="55" t="s">
        <v>5178</v>
      </c>
      <c r="E1681" s="124"/>
      <c r="F1681" s="124">
        <v>11641039</v>
      </c>
      <c r="G1681" s="124" t="s">
        <v>1586</v>
      </c>
      <c r="H1681" s="124">
        <f t="shared" si="58"/>
        <v>11641.039000000001</v>
      </c>
      <c r="I1681" s="124">
        <f>LUCK!D257</f>
        <v>11641.039000000001</v>
      </c>
      <c r="J1681" s="124">
        <f t="shared" si="59"/>
        <v>0</v>
      </c>
      <c r="K1681" s="55" t="s">
        <v>1589</v>
      </c>
      <c r="L1681" s="55">
        <v>229</v>
      </c>
      <c r="M1681" s="55" t="s">
        <v>5179</v>
      </c>
      <c r="N1681" s="67" t="s">
        <v>5180</v>
      </c>
      <c r="O1681" s="67" t="s">
        <v>5181</v>
      </c>
      <c r="P1681" s="67" t="s">
        <v>5182</v>
      </c>
    </row>
    <row r="1682" spans="1:16" ht="26.4" x14ac:dyDescent="0.3">
      <c r="A1682" s="55" t="s">
        <v>5183</v>
      </c>
      <c r="B1682" s="55" t="s">
        <v>68</v>
      </c>
      <c r="C1682" s="55" t="s">
        <v>26</v>
      </c>
      <c r="D1682" s="55" t="s">
        <v>5178</v>
      </c>
      <c r="E1682" s="124"/>
      <c r="F1682" s="124">
        <v>14493016</v>
      </c>
      <c r="G1682" s="124" t="s">
        <v>1586</v>
      </c>
      <c r="H1682" s="124">
        <f t="shared" si="58"/>
        <v>14493.016</v>
      </c>
      <c r="I1682" s="124">
        <f>LUCK!E257</f>
        <v>14493.016</v>
      </c>
      <c r="J1682" s="124">
        <f t="shared" si="59"/>
        <v>0</v>
      </c>
      <c r="K1682" s="55" t="s">
        <v>1589</v>
      </c>
      <c r="L1682" s="55">
        <v>229</v>
      </c>
      <c r="M1682" s="55" t="s">
        <v>5179</v>
      </c>
      <c r="N1682" s="67" t="s">
        <v>5180</v>
      </c>
      <c r="O1682" s="67" t="s">
        <v>5181</v>
      </c>
      <c r="P1682" s="67" t="s">
        <v>5182</v>
      </c>
    </row>
    <row r="1683" spans="1:16" ht="26.4" x14ac:dyDescent="0.3">
      <c r="A1683" s="55" t="s">
        <v>5184</v>
      </c>
      <c r="B1683" s="55" t="s">
        <v>68</v>
      </c>
      <c r="C1683" s="55" t="s">
        <v>27</v>
      </c>
      <c r="D1683" s="55" t="s">
        <v>5178</v>
      </c>
      <c r="E1683" s="124"/>
      <c r="F1683" s="124">
        <v>26001579</v>
      </c>
      <c r="G1683" s="124" t="s">
        <v>1586</v>
      </c>
      <c r="H1683" s="124">
        <f t="shared" si="58"/>
        <v>26001.579000000002</v>
      </c>
      <c r="I1683" s="124">
        <f>LUCK!F257</f>
        <v>26001.579000000002</v>
      </c>
      <c r="J1683" s="124">
        <f t="shared" si="59"/>
        <v>0</v>
      </c>
      <c r="K1683" s="55" t="s">
        <v>1595</v>
      </c>
      <c r="L1683" s="55">
        <v>241</v>
      </c>
      <c r="M1683" s="55" t="s">
        <v>5179</v>
      </c>
      <c r="N1683" s="67" t="s">
        <v>5180</v>
      </c>
      <c r="O1683" s="67" t="s">
        <v>5181</v>
      </c>
      <c r="P1683" s="67" t="s">
        <v>5182</v>
      </c>
    </row>
    <row r="1684" spans="1:16" ht="26.4" x14ac:dyDescent="0.3">
      <c r="A1684" s="55" t="s">
        <v>5185</v>
      </c>
      <c r="B1684" s="55" t="s">
        <v>68</v>
      </c>
      <c r="C1684" s="55" t="s">
        <v>28</v>
      </c>
      <c r="D1684" s="55" t="s">
        <v>5178</v>
      </c>
      <c r="E1684" s="124"/>
      <c r="F1684" s="124">
        <v>32382131</v>
      </c>
      <c r="G1684" s="124" t="s">
        <v>1586</v>
      </c>
      <c r="H1684" s="124">
        <f t="shared" si="58"/>
        <v>32382.131000000001</v>
      </c>
      <c r="I1684" s="124">
        <f>LUCK!G257</f>
        <v>32382.131000000001</v>
      </c>
      <c r="J1684" s="124">
        <f t="shared" si="59"/>
        <v>0</v>
      </c>
      <c r="K1684" s="55" t="s">
        <v>1598</v>
      </c>
      <c r="L1684" s="55">
        <v>243</v>
      </c>
      <c r="M1684" s="55" t="s">
        <v>5179</v>
      </c>
      <c r="N1684" s="67" t="s">
        <v>5180</v>
      </c>
      <c r="O1684" s="67" t="s">
        <v>5181</v>
      </c>
      <c r="P1684" s="67" t="s">
        <v>5182</v>
      </c>
    </row>
    <row r="1685" spans="1:16" ht="26.4" x14ac:dyDescent="0.3">
      <c r="A1685" s="55" t="s">
        <v>5186</v>
      </c>
      <c r="B1685" s="55" t="s">
        <v>68</v>
      </c>
      <c r="C1685" s="55" t="s">
        <v>29</v>
      </c>
      <c r="D1685" s="55" t="s">
        <v>5178</v>
      </c>
      <c r="E1685" s="124"/>
      <c r="F1685" s="124">
        <v>64088375</v>
      </c>
      <c r="G1685" s="124" t="s">
        <v>1586</v>
      </c>
      <c r="H1685" s="124">
        <f t="shared" si="58"/>
        <v>64088.375</v>
      </c>
      <c r="I1685" s="124">
        <f>LUCK!H257</f>
        <v>64088.375</v>
      </c>
      <c r="J1685" s="124">
        <f t="shared" si="59"/>
        <v>0</v>
      </c>
      <c r="K1685" s="55" t="s">
        <v>1598</v>
      </c>
      <c r="L1685" s="55">
        <v>243</v>
      </c>
      <c r="M1685" s="55" t="s">
        <v>5179</v>
      </c>
      <c r="N1685" s="67" t="s">
        <v>5180</v>
      </c>
      <c r="O1685" s="67" t="s">
        <v>5181</v>
      </c>
      <c r="P1685" s="67" t="s">
        <v>5182</v>
      </c>
    </row>
    <row r="1686" spans="1:16" x14ac:dyDescent="0.3">
      <c r="A1686" s="55" t="s">
        <v>5187</v>
      </c>
      <c r="B1686" s="55" t="s">
        <v>114</v>
      </c>
      <c r="C1686" s="55" t="s">
        <v>27</v>
      </c>
      <c r="D1686" s="55" t="s">
        <v>5188</v>
      </c>
      <c r="E1686" s="124"/>
      <c r="F1686" s="124">
        <v>2591899</v>
      </c>
      <c r="G1686" s="124" t="s">
        <v>1586</v>
      </c>
      <c r="H1686" s="124">
        <f t="shared" si="58"/>
        <v>2591.8989999999999</v>
      </c>
      <c r="I1686" s="124">
        <f>FCCL!F255</f>
        <v>2591.8989999999999</v>
      </c>
      <c r="J1686" s="124">
        <f t="shared" si="59"/>
        <v>0</v>
      </c>
      <c r="K1686" s="55" t="s">
        <v>2923</v>
      </c>
      <c r="L1686" s="55">
        <v>228</v>
      </c>
      <c r="M1686" s="55" t="s">
        <v>5179</v>
      </c>
      <c r="N1686" s="67" t="s">
        <v>5180</v>
      </c>
      <c r="O1686" s="67" t="s">
        <v>5181</v>
      </c>
      <c r="P1686" s="67" t="s">
        <v>5189</v>
      </c>
    </row>
    <row r="1687" spans="1:16" x14ac:dyDescent="0.3">
      <c r="A1687" s="55" t="s">
        <v>5190</v>
      </c>
      <c r="B1687" s="55" t="s">
        <v>114</v>
      </c>
      <c r="C1687" s="55" t="s">
        <v>28</v>
      </c>
      <c r="D1687" s="55" t="s">
        <v>5188</v>
      </c>
      <c r="E1687" s="124"/>
      <c r="F1687" s="124">
        <v>5468892</v>
      </c>
      <c r="G1687" s="124" t="s">
        <v>1586</v>
      </c>
      <c r="H1687" s="124">
        <f t="shared" si="58"/>
        <v>5468.8919999999998</v>
      </c>
      <c r="I1687" s="124">
        <f>FCCL!G255</f>
        <v>5468.8919999999998</v>
      </c>
      <c r="J1687" s="124">
        <f t="shared" si="59"/>
        <v>0</v>
      </c>
      <c r="K1687" s="55" t="s">
        <v>2925</v>
      </c>
      <c r="L1687" s="55">
        <v>283</v>
      </c>
      <c r="M1687" s="55" t="s">
        <v>5179</v>
      </c>
      <c r="N1687" s="67" t="s">
        <v>5180</v>
      </c>
      <c r="O1687" s="67" t="s">
        <v>5181</v>
      </c>
      <c r="P1687" s="67" t="s">
        <v>5189</v>
      </c>
    </row>
    <row r="1688" spans="1:16" x14ac:dyDescent="0.3">
      <c r="A1688" s="55" t="s">
        <v>5191</v>
      </c>
      <c r="B1688" s="55" t="s">
        <v>114</v>
      </c>
      <c r="C1688" s="55" t="s">
        <v>29</v>
      </c>
      <c r="D1688" s="55" t="s">
        <v>5188</v>
      </c>
      <c r="E1688" s="124"/>
      <c r="F1688" s="124">
        <v>5646343</v>
      </c>
      <c r="G1688" s="124" t="s">
        <v>1586</v>
      </c>
      <c r="H1688" s="124">
        <f t="shared" si="58"/>
        <v>5646.3429999999998</v>
      </c>
      <c r="I1688" s="124">
        <f>FCCL!H255</f>
        <v>5646.3429999999998</v>
      </c>
      <c r="J1688" s="124">
        <f t="shared" si="59"/>
        <v>0</v>
      </c>
      <c r="K1688" s="55" t="s">
        <v>2925</v>
      </c>
      <c r="L1688" s="55">
        <v>283</v>
      </c>
      <c r="M1688" s="55" t="s">
        <v>5179</v>
      </c>
      <c r="N1688" s="67" t="s">
        <v>5180</v>
      </c>
      <c r="O1688" s="67" t="s">
        <v>5181</v>
      </c>
      <c r="P1688" s="67" t="s">
        <v>5189</v>
      </c>
    </row>
    <row r="1689" spans="1:16" x14ac:dyDescent="0.3">
      <c r="A1689" s="55" t="s">
        <v>5192</v>
      </c>
      <c r="B1689" s="55" t="s">
        <v>18</v>
      </c>
      <c r="C1689" s="55" t="s">
        <v>965</v>
      </c>
      <c r="D1689" s="55" t="s">
        <v>5193</v>
      </c>
      <c r="E1689" s="124"/>
      <c r="F1689" s="124">
        <v>187147806</v>
      </c>
      <c r="G1689" s="124" t="s">
        <v>1109</v>
      </c>
      <c r="H1689" s="124">
        <f t="shared" ref="H1689:H1694" si="60">F1689/1000000</f>
        <v>187.147806</v>
      </c>
      <c r="I1689" s="124">
        <f>KOHC!C254</f>
        <v>187.147806</v>
      </c>
      <c r="J1689" s="124">
        <f t="shared" si="59"/>
        <v>0</v>
      </c>
      <c r="K1689" s="55" t="s">
        <v>1104</v>
      </c>
      <c r="L1689" s="55">
        <v>67</v>
      </c>
      <c r="M1689" s="55" t="s">
        <v>5179</v>
      </c>
      <c r="N1689" s="67" t="s">
        <v>5180</v>
      </c>
      <c r="O1689" s="67" t="s">
        <v>5181</v>
      </c>
      <c r="P1689" s="67" t="s">
        <v>5194</v>
      </c>
    </row>
    <row r="1690" spans="1:16" x14ac:dyDescent="0.3">
      <c r="A1690" s="55" t="s">
        <v>5195</v>
      </c>
      <c r="B1690" s="55" t="s">
        <v>18</v>
      </c>
      <c r="C1690" s="55" t="s">
        <v>20</v>
      </c>
      <c r="D1690" s="55" t="s">
        <v>5193</v>
      </c>
      <c r="E1690" s="124"/>
      <c r="F1690" s="124">
        <v>117088053</v>
      </c>
      <c r="G1690" s="124" t="s">
        <v>1109</v>
      </c>
      <c r="H1690" s="124">
        <f t="shared" si="60"/>
        <v>117.088053</v>
      </c>
      <c r="I1690" s="124">
        <f>KOHC!D254</f>
        <v>117.088053</v>
      </c>
      <c r="J1690" s="124">
        <f t="shared" si="59"/>
        <v>0</v>
      </c>
      <c r="K1690" s="55" t="s">
        <v>1112</v>
      </c>
      <c r="L1690" s="55">
        <v>75</v>
      </c>
      <c r="M1690" s="55" t="s">
        <v>5179</v>
      </c>
      <c r="N1690" s="67" t="s">
        <v>5180</v>
      </c>
      <c r="O1690" s="67" t="s">
        <v>5181</v>
      </c>
      <c r="P1690" s="67" t="s">
        <v>5194</v>
      </c>
    </row>
    <row r="1691" spans="1:16" x14ac:dyDescent="0.3">
      <c r="A1691" s="55" t="s">
        <v>5196</v>
      </c>
      <c r="B1691" s="55" t="s">
        <v>18</v>
      </c>
      <c r="C1691" s="55" t="s">
        <v>26</v>
      </c>
      <c r="D1691" s="55" t="s">
        <v>5193</v>
      </c>
      <c r="E1691" s="124"/>
      <c r="F1691" s="124">
        <v>43471738</v>
      </c>
      <c r="G1691" s="124" t="s">
        <v>1109</v>
      </c>
      <c r="H1691" s="124">
        <f t="shared" si="60"/>
        <v>43.471738000000002</v>
      </c>
      <c r="I1691" s="124">
        <f>KOHC!E254</f>
        <v>43.471738000000002</v>
      </c>
      <c r="J1691" s="124">
        <f t="shared" si="59"/>
        <v>0</v>
      </c>
      <c r="K1691" s="55" t="s">
        <v>1116</v>
      </c>
      <c r="L1691" s="55">
        <v>75</v>
      </c>
      <c r="M1691" s="55" t="s">
        <v>5179</v>
      </c>
      <c r="N1691" s="67" t="s">
        <v>5180</v>
      </c>
      <c r="O1691" s="67" t="s">
        <v>5181</v>
      </c>
      <c r="P1691" s="67" t="s">
        <v>5194</v>
      </c>
    </row>
    <row r="1692" spans="1:16" x14ac:dyDescent="0.3">
      <c r="A1692" s="55" t="s">
        <v>5197</v>
      </c>
      <c r="B1692" s="55" t="s">
        <v>18</v>
      </c>
      <c r="C1692" s="55" t="s">
        <v>27</v>
      </c>
      <c r="D1692" s="55" t="s">
        <v>5193</v>
      </c>
      <c r="E1692" s="124"/>
      <c r="F1692" s="124">
        <v>38593713</v>
      </c>
      <c r="G1692" s="124" t="s">
        <v>1109</v>
      </c>
      <c r="H1692" s="124">
        <f t="shared" si="60"/>
        <v>38.593713000000001</v>
      </c>
      <c r="I1692" s="124">
        <f>KOHC!F254</f>
        <v>38.593713000000001</v>
      </c>
      <c r="J1692" s="124">
        <f t="shared" si="59"/>
        <v>0</v>
      </c>
      <c r="K1692" s="55" t="s">
        <v>1119</v>
      </c>
      <c r="L1692" s="55">
        <v>83</v>
      </c>
      <c r="M1692" s="55" t="s">
        <v>5179</v>
      </c>
      <c r="N1692" s="67" t="s">
        <v>5180</v>
      </c>
      <c r="O1692" s="67" t="s">
        <v>5181</v>
      </c>
      <c r="P1692" s="67" t="s">
        <v>5194</v>
      </c>
    </row>
    <row r="1693" spans="1:16" x14ac:dyDescent="0.3">
      <c r="A1693" s="55" t="s">
        <v>5198</v>
      </c>
      <c r="B1693" s="55" t="s">
        <v>18</v>
      </c>
      <c r="C1693" s="55" t="s">
        <v>28</v>
      </c>
      <c r="D1693" s="55" t="s">
        <v>5193</v>
      </c>
      <c r="E1693" s="124"/>
      <c r="F1693" s="124">
        <v>46432357</v>
      </c>
      <c r="G1693" s="124" t="s">
        <v>1109</v>
      </c>
      <c r="H1693" s="124">
        <f t="shared" si="60"/>
        <v>46.432357000000003</v>
      </c>
      <c r="I1693" s="124">
        <f>KOHC!G254</f>
        <v>46.432357000000003</v>
      </c>
      <c r="J1693" s="124">
        <f t="shared" ref="J1693:J1715" si="61">H1693-I1693</f>
        <v>0</v>
      </c>
      <c r="K1693" s="55" t="s">
        <v>1123</v>
      </c>
      <c r="L1693" s="55">
        <v>91</v>
      </c>
      <c r="M1693" s="55" t="s">
        <v>5179</v>
      </c>
      <c r="N1693" s="67" t="s">
        <v>5180</v>
      </c>
      <c r="O1693" s="67" t="s">
        <v>5181</v>
      </c>
      <c r="P1693" s="67" t="s">
        <v>5194</v>
      </c>
    </row>
    <row r="1694" spans="1:16" x14ac:dyDescent="0.3">
      <c r="A1694" s="55" t="s">
        <v>5199</v>
      </c>
      <c r="B1694" s="55" t="s">
        <v>18</v>
      </c>
      <c r="C1694" s="55" t="s">
        <v>29</v>
      </c>
      <c r="D1694" s="55" t="s">
        <v>5193</v>
      </c>
      <c r="E1694" s="124"/>
      <c r="F1694" s="124">
        <v>67320365</v>
      </c>
      <c r="G1694" s="124" t="s">
        <v>1109</v>
      </c>
      <c r="H1694" s="124">
        <f t="shared" si="60"/>
        <v>67.320364999999995</v>
      </c>
      <c r="I1694" s="124">
        <f>KOHC!H254</f>
        <v>67.320364999999995</v>
      </c>
      <c r="J1694" s="124">
        <f t="shared" si="61"/>
        <v>0</v>
      </c>
      <c r="K1694" s="55" t="s">
        <v>1123</v>
      </c>
      <c r="L1694" s="55">
        <v>91</v>
      </c>
      <c r="M1694" s="55" t="s">
        <v>5179</v>
      </c>
      <c r="N1694" s="67" t="s">
        <v>5180</v>
      </c>
      <c r="O1694" s="67" t="s">
        <v>5181</v>
      </c>
      <c r="P1694" s="67" t="s">
        <v>5194</v>
      </c>
    </row>
    <row r="1695" spans="1:16" x14ac:dyDescent="0.3">
      <c r="A1695" s="55" t="s">
        <v>5200</v>
      </c>
      <c r="B1695" s="55" t="s">
        <v>114</v>
      </c>
      <c r="C1695" s="55" t="s">
        <v>26</v>
      </c>
      <c r="D1695" s="55" t="s">
        <v>5201</v>
      </c>
      <c r="E1695" s="124"/>
      <c r="F1695" s="124">
        <v>7387000</v>
      </c>
      <c r="G1695" s="124" t="s">
        <v>1586</v>
      </c>
      <c r="H1695" s="124">
        <f>F1695/1000</f>
        <v>7387</v>
      </c>
      <c r="I1695" s="124">
        <f>FCCL!E251</f>
        <v>7387</v>
      </c>
      <c r="J1695" s="124">
        <f t="shared" si="61"/>
        <v>0</v>
      </c>
      <c r="K1695" s="55" t="s">
        <v>2920</v>
      </c>
      <c r="L1695" s="55">
        <v>234</v>
      </c>
      <c r="M1695" s="55" t="s">
        <v>5179</v>
      </c>
      <c r="N1695" s="67" t="s">
        <v>5180</v>
      </c>
      <c r="O1695" s="67" t="s">
        <v>5181</v>
      </c>
      <c r="P1695" s="67" t="s">
        <v>5202</v>
      </c>
    </row>
    <row r="1696" spans="1:16" x14ac:dyDescent="0.3">
      <c r="A1696" s="55" t="s">
        <v>5203</v>
      </c>
      <c r="B1696" s="55" t="s">
        <v>114</v>
      </c>
      <c r="C1696" s="55" t="s">
        <v>27</v>
      </c>
      <c r="D1696" s="55" t="s">
        <v>5201</v>
      </c>
      <c r="E1696" s="124"/>
      <c r="F1696" s="124">
        <v>7387000</v>
      </c>
      <c r="G1696" s="124" t="s">
        <v>1586</v>
      </c>
      <c r="H1696" s="124">
        <f>F1696/1000</f>
        <v>7387</v>
      </c>
      <c r="I1696" s="124">
        <f>FCCL!F251</f>
        <v>7387</v>
      </c>
      <c r="J1696" s="124">
        <f t="shared" si="61"/>
        <v>0</v>
      </c>
      <c r="K1696" s="55" t="s">
        <v>2923</v>
      </c>
      <c r="L1696" s="55">
        <v>214</v>
      </c>
      <c r="M1696" s="55" t="s">
        <v>5179</v>
      </c>
      <c r="N1696" s="67" t="s">
        <v>5180</v>
      </c>
      <c r="O1696" s="67" t="s">
        <v>5181</v>
      </c>
      <c r="P1696" s="67" t="s">
        <v>5202</v>
      </c>
    </row>
    <row r="1697" spans="1:16" x14ac:dyDescent="0.3">
      <c r="A1697" s="55" t="s">
        <v>5204</v>
      </c>
      <c r="B1697" s="55" t="s">
        <v>114</v>
      </c>
      <c r="C1697" s="55" t="s">
        <v>28</v>
      </c>
      <c r="D1697" s="55" t="s">
        <v>5201</v>
      </c>
      <c r="E1697" s="124"/>
      <c r="F1697" s="124">
        <v>7387000</v>
      </c>
      <c r="G1697" s="124" t="s">
        <v>1586</v>
      </c>
      <c r="H1697" s="124">
        <f>F1697/1000</f>
        <v>7387</v>
      </c>
      <c r="I1697" s="124">
        <f>FCCL!G251</f>
        <v>7387</v>
      </c>
      <c r="J1697" s="124">
        <f t="shared" si="61"/>
        <v>0</v>
      </c>
      <c r="K1697" s="55" t="s">
        <v>2923</v>
      </c>
      <c r="L1697" s="55">
        <v>214</v>
      </c>
      <c r="M1697" s="55" t="s">
        <v>5179</v>
      </c>
      <c r="N1697" s="67" t="s">
        <v>5180</v>
      </c>
      <c r="O1697" s="67" t="s">
        <v>5181</v>
      </c>
      <c r="P1697" s="67" t="s">
        <v>5202</v>
      </c>
    </row>
    <row r="1698" spans="1:16" ht="26.4" x14ac:dyDescent="0.3">
      <c r="A1698" s="55" t="s">
        <v>5205</v>
      </c>
      <c r="B1698" s="55" t="s">
        <v>18</v>
      </c>
      <c r="C1698" s="55" t="s">
        <v>28</v>
      </c>
      <c r="D1698" s="55" t="s">
        <v>5206</v>
      </c>
      <c r="E1698" s="124"/>
      <c r="F1698" s="124">
        <v>134939770</v>
      </c>
      <c r="G1698" s="124" t="s">
        <v>1109</v>
      </c>
      <c r="H1698" s="124">
        <f>F1698/1000000</f>
        <v>134.93977000000001</v>
      </c>
      <c r="I1698" s="124">
        <f>KOHC!G252</f>
        <v>134.93977000000001</v>
      </c>
      <c r="J1698" s="124">
        <f t="shared" si="61"/>
        <v>0</v>
      </c>
      <c r="K1698" s="55" t="s">
        <v>1123</v>
      </c>
      <c r="L1698" s="55">
        <v>89</v>
      </c>
      <c r="M1698" s="55" t="s">
        <v>5179</v>
      </c>
      <c r="N1698" s="67" t="s">
        <v>5180</v>
      </c>
      <c r="O1698" s="67" t="s">
        <v>5181</v>
      </c>
      <c r="P1698" s="67" t="s">
        <v>5207</v>
      </c>
    </row>
    <row r="1699" spans="1:16" ht="26.4" x14ac:dyDescent="0.3">
      <c r="A1699" s="55" t="s">
        <v>5208</v>
      </c>
      <c r="B1699" s="55" t="s">
        <v>18</v>
      </c>
      <c r="C1699" s="55" t="s">
        <v>29</v>
      </c>
      <c r="D1699" s="55" t="s">
        <v>5206</v>
      </c>
      <c r="E1699" s="124"/>
      <c r="F1699" s="124">
        <v>47420397</v>
      </c>
      <c r="G1699" s="124" t="s">
        <v>1109</v>
      </c>
      <c r="H1699" s="124">
        <f>F1699/1000000</f>
        <v>47.420397000000001</v>
      </c>
      <c r="I1699" s="124">
        <f>KOHC!H252</f>
        <v>47.420397000000001</v>
      </c>
      <c r="J1699" s="124">
        <f t="shared" si="61"/>
        <v>0</v>
      </c>
      <c r="K1699" s="55" t="s">
        <v>1123</v>
      </c>
      <c r="L1699" s="55">
        <v>89</v>
      </c>
      <c r="M1699" s="55" t="s">
        <v>5179</v>
      </c>
      <c r="N1699" s="67" t="s">
        <v>5180</v>
      </c>
      <c r="O1699" s="67" t="s">
        <v>5181</v>
      </c>
      <c r="P1699" s="67" t="s">
        <v>5207</v>
      </c>
    </row>
    <row r="1700" spans="1:16" x14ac:dyDescent="0.3">
      <c r="A1700" s="55" t="s">
        <v>5209</v>
      </c>
      <c r="B1700" s="55" t="s">
        <v>114</v>
      </c>
      <c r="C1700" s="55" t="s">
        <v>29</v>
      </c>
      <c r="D1700" s="55" t="s">
        <v>5210</v>
      </c>
      <c r="E1700" s="124"/>
      <c r="F1700" s="124">
        <v>185186</v>
      </c>
      <c r="G1700" s="124" t="s">
        <v>1586</v>
      </c>
      <c r="H1700" s="124">
        <f t="shared" ref="H1700:H1715" si="62">F1700/1000</f>
        <v>185.18600000000001</v>
      </c>
      <c r="I1700" s="124">
        <f>FCCL!H252</f>
        <v>185.18600000000001</v>
      </c>
      <c r="J1700" s="124">
        <f t="shared" si="61"/>
        <v>0</v>
      </c>
      <c r="K1700" s="55" t="s">
        <v>2925</v>
      </c>
      <c r="L1700" s="55">
        <v>268</v>
      </c>
      <c r="M1700" s="55" t="s">
        <v>5179</v>
      </c>
      <c r="N1700" s="67" t="s">
        <v>5180</v>
      </c>
      <c r="O1700" s="67" t="s">
        <v>5181</v>
      </c>
      <c r="P1700" s="67" t="s">
        <v>5211</v>
      </c>
    </row>
    <row r="1701" spans="1:16" x14ac:dyDescent="0.3">
      <c r="A1701" s="55" t="s">
        <v>5212</v>
      </c>
      <c r="B1701" s="55" t="s">
        <v>114</v>
      </c>
      <c r="C1701" s="55" t="s">
        <v>26</v>
      </c>
      <c r="D1701" s="55" t="s">
        <v>5213</v>
      </c>
      <c r="E1701" s="124"/>
      <c r="F1701" s="124">
        <v>7387000</v>
      </c>
      <c r="G1701" s="124" t="s">
        <v>1586</v>
      </c>
      <c r="H1701" s="124">
        <f t="shared" si="62"/>
        <v>7387</v>
      </c>
      <c r="I1701" s="124">
        <f>FCCL!E256</f>
        <v>7387</v>
      </c>
      <c r="J1701" s="124">
        <f t="shared" si="61"/>
        <v>0</v>
      </c>
      <c r="K1701" s="55" t="s">
        <v>2920</v>
      </c>
      <c r="L1701" s="55">
        <v>234</v>
      </c>
      <c r="M1701" s="55" t="s">
        <v>5179</v>
      </c>
      <c r="N1701" s="67" t="s">
        <v>5180</v>
      </c>
      <c r="O1701" s="67" t="s">
        <v>5181</v>
      </c>
      <c r="P1701" s="67" t="s">
        <v>5214</v>
      </c>
    </row>
    <row r="1702" spans="1:16" x14ac:dyDescent="0.3">
      <c r="A1702" s="55" t="s">
        <v>5215</v>
      </c>
      <c r="B1702" s="55" t="s">
        <v>114</v>
      </c>
      <c r="C1702" s="55" t="s">
        <v>27</v>
      </c>
      <c r="D1702" s="55" t="s">
        <v>5213</v>
      </c>
      <c r="E1702" s="124"/>
      <c r="F1702" s="124">
        <v>7387000</v>
      </c>
      <c r="G1702" s="124" t="s">
        <v>1586</v>
      </c>
      <c r="H1702" s="124">
        <f t="shared" si="62"/>
        <v>7387</v>
      </c>
      <c r="I1702" s="124">
        <f>FCCL!F256</f>
        <v>7387</v>
      </c>
      <c r="J1702" s="124">
        <f t="shared" si="61"/>
        <v>0</v>
      </c>
      <c r="K1702" s="55" t="s">
        <v>2923</v>
      </c>
      <c r="L1702" s="55">
        <v>214</v>
      </c>
      <c r="M1702" s="55" t="s">
        <v>5179</v>
      </c>
      <c r="N1702" s="67" t="s">
        <v>5180</v>
      </c>
      <c r="O1702" s="67" t="s">
        <v>5181</v>
      </c>
      <c r="P1702" s="67" t="s">
        <v>5214</v>
      </c>
    </row>
    <row r="1703" spans="1:16" x14ac:dyDescent="0.3">
      <c r="A1703" s="55" t="s">
        <v>5216</v>
      </c>
      <c r="B1703" s="55" t="s">
        <v>114</v>
      </c>
      <c r="C1703" s="55" t="s">
        <v>28</v>
      </c>
      <c r="D1703" s="55" t="s">
        <v>5213</v>
      </c>
      <c r="E1703" s="124"/>
      <c r="F1703" s="124">
        <v>7387000</v>
      </c>
      <c r="G1703" s="124" t="s">
        <v>1586</v>
      </c>
      <c r="H1703" s="124">
        <f t="shared" si="62"/>
        <v>7387</v>
      </c>
      <c r="I1703" s="124">
        <f>FCCL!G256</f>
        <v>7387</v>
      </c>
      <c r="J1703" s="124">
        <f t="shared" si="61"/>
        <v>0</v>
      </c>
      <c r="K1703" s="55" t="s">
        <v>2923</v>
      </c>
      <c r="L1703" s="55">
        <v>214</v>
      </c>
      <c r="M1703" s="55" t="s">
        <v>5179</v>
      </c>
      <c r="N1703" s="67" t="s">
        <v>5180</v>
      </c>
      <c r="O1703" s="67" t="s">
        <v>5181</v>
      </c>
      <c r="P1703" s="67" t="s">
        <v>5214</v>
      </c>
    </row>
    <row r="1704" spans="1:16" x14ac:dyDescent="0.3">
      <c r="A1704" s="55" t="s">
        <v>5217</v>
      </c>
      <c r="B1704" s="55" t="s">
        <v>114</v>
      </c>
      <c r="C1704" s="55" t="s">
        <v>29</v>
      </c>
      <c r="D1704" s="55" t="s">
        <v>5213</v>
      </c>
      <c r="E1704" s="124"/>
      <c r="F1704" s="124">
        <v>7572186</v>
      </c>
      <c r="G1704" s="124" t="s">
        <v>1586</v>
      </c>
      <c r="H1704" s="124">
        <f t="shared" si="62"/>
        <v>7572.1859999999997</v>
      </c>
      <c r="I1704" s="124">
        <f>FCCL!H256</f>
        <v>7572.1859999999997</v>
      </c>
      <c r="J1704" s="124">
        <f t="shared" si="61"/>
        <v>0</v>
      </c>
      <c r="K1704" s="55" t="s">
        <v>2925</v>
      </c>
      <c r="L1704" s="55">
        <v>268</v>
      </c>
      <c r="M1704" s="55" t="s">
        <v>5179</v>
      </c>
      <c r="N1704" s="67" t="s">
        <v>5180</v>
      </c>
      <c r="O1704" s="67" t="s">
        <v>5181</v>
      </c>
      <c r="P1704" s="67" t="s">
        <v>5214</v>
      </c>
    </row>
    <row r="1705" spans="1:16" ht="26.4" x14ac:dyDescent="0.3">
      <c r="A1705" s="55" t="s">
        <v>5218</v>
      </c>
      <c r="B1705" s="55" t="s">
        <v>106</v>
      </c>
      <c r="C1705" s="55" t="s">
        <v>965</v>
      </c>
      <c r="D1705" s="55" t="s">
        <v>5219</v>
      </c>
      <c r="E1705" s="124"/>
      <c r="F1705" s="124">
        <v>287259</v>
      </c>
      <c r="G1705" s="124" t="s">
        <v>1586</v>
      </c>
      <c r="H1705" s="124">
        <f t="shared" si="62"/>
        <v>287.25900000000001</v>
      </c>
      <c r="I1705" s="124">
        <f>MLCF!C253</f>
        <v>287.25900000000001</v>
      </c>
      <c r="J1705" s="124">
        <f t="shared" si="61"/>
        <v>0</v>
      </c>
      <c r="K1705" s="55" t="s">
        <v>1584</v>
      </c>
      <c r="L1705" s="55">
        <v>198</v>
      </c>
      <c r="M1705" s="55" t="s">
        <v>5179</v>
      </c>
      <c r="N1705" s="67" t="s">
        <v>5180</v>
      </c>
      <c r="O1705" s="67" t="s">
        <v>5181</v>
      </c>
      <c r="P1705" s="67" t="s">
        <v>5220</v>
      </c>
    </row>
    <row r="1706" spans="1:16" ht="26.4" x14ac:dyDescent="0.3">
      <c r="A1706" s="55" t="s">
        <v>5221</v>
      </c>
      <c r="B1706" s="55" t="s">
        <v>106</v>
      </c>
      <c r="C1706" s="55" t="s">
        <v>20</v>
      </c>
      <c r="D1706" s="55" t="s">
        <v>5219</v>
      </c>
      <c r="E1706" s="124"/>
      <c r="F1706" s="124">
        <v>61224</v>
      </c>
      <c r="G1706" s="124" t="s">
        <v>1586</v>
      </c>
      <c r="H1706" s="124">
        <f t="shared" si="62"/>
        <v>61.223999999999997</v>
      </c>
      <c r="I1706" s="124">
        <f>MLCF!D253</f>
        <v>61.223999999999997</v>
      </c>
      <c r="J1706" s="124">
        <f t="shared" si="61"/>
        <v>0</v>
      </c>
      <c r="K1706" s="55" t="s">
        <v>1589</v>
      </c>
      <c r="L1706" s="55">
        <v>220</v>
      </c>
      <c r="M1706" s="55" t="s">
        <v>5179</v>
      </c>
      <c r="N1706" s="67" t="s">
        <v>5180</v>
      </c>
      <c r="O1706" s="67" t="s">
        <v>5181</v>
      </c>
      <c r="P1706" s="67" t="s">
        <v>5220</v>
      </c>
    </row>
    <row r="1707" spans="1:16" ht="26.4" x14ac:dyDescent="0.3">
      <c r="A1707" s="55" t="s">
        <v>5222</v>
      </c>
      <c r="B1707" s="55" t="s">
        <v>106</v>
      </c>
      <c r="C1707" s="55" t="s">
        <v>26</v>
      </c>
      <c r="D1707" s="55" t="s">
        <v>5219</v>
      </c>
      <c r="E1707" s="124"/>
      <c r="F1707" s="124">
        <v>132595</v>
      </c>
      <c r="G1707" s="124" t="s">
        <v>1586</v>
      </c>
      <c r="H1707" s="124">
        <f t="shared" si="62"/>
        <v>132.595</v>
      </c>
      <c r="I1707" s="124">
        <f>MLCF!E253</f>
        <v>132.595</v>
      </c>
      <c r="J1707" s="124">
        <f t="shared" si="61"/>
        <v>0</v>
      </c>
      <c r="K1707" s="55" t="s">
        <v>1592</v>
      </c>
      <c r="L1707" s="55">
        <v>116</v>
      </c>
      <c r="M1707" s="55" t="s">
        <v>5179</v>
      </c>
      <c r="N1707" s="67" t="s">
        <v>5180</v>
      </c>
      <c r="O1707" s="67" t="s">
        <v>5181</v>
      </c>
      <c r="P1707" s="67" t="s">
        <v>5220</v>
      </c>
    </row>
    <row r="1708" spans="1:16" ht="26.4" x14ac:dyDescent="0.3">
      <c r="A1708" s="55" t="s">
        <v>5223</v>
      </c>
      <c r="B1708" s="55" t="s">
        <v>106</v>
      </c>
      <c r="C1708" s="55" t="s">
        <v>27</v>
      </c>
      <c r="D1708" s="55" t="s">
        <v>5219</v>
      </c>
      <c r="E1708" s="124"/>
      <c r="F1708" s="124">
        <v>1871865</v>
      </c>
      <c r="G1708" s="124" t="s">
        <v>1586</v>
      </c>
      <c r="H1708" s="124">
        <f t="shared" si="62"/>
        <v>1871.865</v>
      </c>
      <c r="I1708" s="124">
        <f>MLCF!F253</f>
        <v>1871.865</v>
      </c>
      <c r="J1708" s="124">
        <f t="shared" si="61"/>
        <v>0</v>
      </c>
      <c r="K1708" s="55" t="s">
        <v>1595</v>
      </c>
      <c r="L1708" s="55">
        <v>226</v>
      </c>
      <c r="M1708" s="55" t="s">
        <v>5179</v>
      </c>
      <c r="N1708" s="67" t="s">
        <v>5180</v>
      </c>
      <c r="O1708" s="67" t="s">
        <v>5181</v>
      </c>
      <c r="P1708" s="67" t="s">
        <v>5220</v>
      </c>
    </row>
    <row r="1709" spans="1:16" ht="26.4" x14ac:dyDescent="0.3">
      <c r="A1709" s="55" t="s">
        <v>5224</v>
      </c>
      <c r="B1709" s="55" t="s">
        <v>106</v>
      </c>
      <c r="C1709" s="55" t="s">
        <v>28</v>
      </c>
      <c r="D1709" s="55" t="s">
        <v>5219</v>
      </c>
      <c r="E1709" s="124"/>
      <c r="F1709" s="124">
        <v>821425</v>
      </c>
      <c r="G1709" s="124" t="s">
        <v>1586</v>
      </c>
      <c r="H1709" s="124">
        <f t="shared" si="62"/>
        <v>821.42499999999995</v>
      </c>
      <c r="I1709" s="124">
        <f>MLCF!G253</f>
        <v>821.42499999999995</v>
      </c>
      <c r="J1709" s="124">
        <f t="shared" si="61"/>
        <v>0</v>
      </c>
      <c r="K1709" s="55" t="s">
        <v>1598</v>
      </c>
      <c r="L1709" s="55">
        <v>240</v>
      </c>
      <c r="M1709" s="55" t="s">
        <v>5179</v>
      </c>
      <c r="N1709" s="67" t="s">
        <v>5180</v>
      </c>
      <c r="O1709" s="67" t="s">
        <v>5181</v>
      </c>
      <c r="P1709" s="67" t="s">
        <v>5220</v>
      </c>
    </row>
    <row r="1710" spans="1:16" ht="26.4" x14ac:dyDescent="0.3">
      <c r="A1710" s="55" t="s">
        <v>5225</v>
      </c>
      <c r="B1710" s="55" t="s">
        <v>106</v>
      </c>
      <c r="C1710" s="55" t="s">
        <v>29</v>
      </c>
      <c r="D1710" s="55" t="s">
        <v>5219</v>
      </c>
      <c r="E1710" s="124"/>
      <c r="F1710" s="124">
        <v>1452981</v>
      </c>
      <c r="G1710" s="124" t="s">
        <v>1586</v>
      </c>
      <c r="H1710" s="124">
        <f t="shared" si="62"/>
        <v>1452.981</v>
      </c>
      <c r="I1710" s="124">
        <f>MLCF!H253</f>
        <v>1452.981</v>
      </c>
      <c r="J1710" s="124">
        <f t="shared" si="61"/>
        <v>0</v>
      </c>
      <c r="K1710" s="55" t="s">
        <v>1598</v>
      </c>
      <c r="L1710" s="55">
        <v>240</v>
      </c>
      <c r="M1710" s="55" t="s">
        <v>5179</v>
      </c>
      <c r="N1710" s="67" t="s">
        <v>5180</v>
      </c>
      <c r="O1710" s="67" t="s">
        <v>5181</v>
      </c>
      <c r="P1710" s="67" t="s">
        <v>5220</v>
      </c>
    </row>
    <row r="1711" spans="1:16" ht="26.4" x14ac:dyDescent="0.3">
      <c r="A1711" s="55" t="s">
        <v>5226</v>
      </c>
      <c r="B1711" s="55" t="s">
        <v>86</v>
      </c>
      <c r="C1711" s="55" t="s">
        <v>20</v>
      </c>
      <c r="D1711" s="55" t="s">
        <v>5227</v>
      </c>
      <c r="E1711" s="124"/>
      <c r="F1711" s="124">
        <v>488566</v>
      </c>
      <c r="G1711" s="124" t="s">
        <v>2033</v>
      </c>
      <c r="H1711" s="124">
        <f t="shared" si="62"/>
        <v>488.56599999999997</v>
      </c>
      <c r="I1711" s="124">
        <f>DGKC!D258</f>
        <v>488.56599999999997</v>
      </c>
      <c r="J1711" s="124">
        <f t="shared" si="61"/>
        <v>0</v>
      </c>
      <c r="K1711" s="55" t="s">
        <v>2035</v>
      </c>
      <c r="L1711" s="55">
        <v>126</v>
      </c>
      <c r="M1711" s="55" t="s">
        <v>3560</v>
      </c>
      <c r="N1711" s="67" t="s">
        <v>5228</v>
      </c>
      <c r="O1711" s="67" t="s">
        <v>5229</v>
      </c>
      <c r="P1711" s="67" t="s">
        <v>5230</v>
      </c>
    </row>
    <row r="1712" spans="1:16" ht="26.4" x14ac:dyDescent="0.3">
      <c r="A1712" s="55" t="s">
        <v>5231</v>
      </c>
      <c r="B1712" s="55" t="s">
        <v>86</v>
      </c>
      <c r="C1712" s="55" t="s">
        <v>26</v>
      </c>
      <c r="D1712" s="55" t="s">
        <v>5227</v>
      </c>
      <c r="E1712" s="124"/>
      <c r="F1712" s="124">
        <v>1430613</v>
      </c>
      <c r="G1712" s="124" t="s">
        <v>2033</v>
      </c>
      <c r="H1712" s="124">
        <f t="shared" si="62"/>
        <v>1430.6130000000001</v>
      </c>
      <c r="I1712" s="124">
        <f>DGKC!E258</f>
        <v>1430.6130000000001</v>
      </c>
      <c r="J1712" s="124">
        <f t="shared" si="61"/>
        <v>0</v>
      </c>
      <c r="K1712" s="55" t="s">
        <v>2038</v>
      </c>
      <c r="L1712" s="55">
        <v>152</v>
      </c>
      <c r="M1712" s="55" t="s">
        <v>3560</v>
      </c>
      <c r="N1712" s="67" t="s">
        <v>5228</v>
      </c>
      <c r="O1712" s="67" t="s">
        <v>5229</v>
      </c>
      <c r="P1712" s="67" t="s">
        <v>5232</v>
      </c>
    </row>
    <row r="1713" spans="1:16" ht="26.4" x14ac:dyDescent="0.3">
      <c r="A1713" s="55" t="s">
        <v>5233</v>
      </c>
      <c r="B1713" s="55" t="s">
        <v>86</v>
      </c>
      <c r="C1713" s="55" t="s">
        <v>27</v>
      </c>
      <c r="D1713" s="55" t="s">
        <v>5227</v>
      </c>
      <c r="E1713" s="124"/>
      <c r="F1713" s="124">
        <v>926047</v>
      </c>
      <c r="G1713" s="124" t="s">
        <v>2033</v>
      </c>
      <c r="H1713" s="124">
        <f t="shared" si="62"/>
        <v>926.04700000000003</v>
      </c>
      <c r="I1713" s="124">
        <f>DGKC!F258</f>
        <v>926.04700000000003</v>
      </c>
      <c r="J1713" s="124">
        <f t="shared" si="61"/>
        <v>0</v>
      </c>
      <c r="K1713" s="55" t="s">
        <v>2041</v>
      </c>
      <c r="L1713" s="55">
        <v>152</v>
      </c>
      <c r="M1713" s="55" t="s">
        <v>3560</v>
      </c>
      <c r="N1713" s="67" t="s">
        <v>5228</v>
      </c>
      <c r="O1713" s="67" t="s">
        <v>5229</v>
      </c>
      <c r="P1713" s="67" t="s">
        <v>5234</v>
      </c>
    </row>
    <row r="1714" spans="1:16" ht="26.4" x14ac:dyDescent="0.3">
      <c r="A1714" s="55" t="s">
        <v>5235</v>
      </c>
      <c r="B1714" s="55" t="s">
        <v>86</v>
      </c>
      <c r="C1714" s="55" t="s">
        <v>28</v>
      </c>
      <c r="D1714" s="55" t="s">
        <v>5227</v>
      </c>
      <c r="E1714" s="124"/>
      <c r="F1714" s="124">
        <v>160289</v>
      </c>
      <c r="G1714" s="124" t="s">
        <v>2033</v>
      </c>
      <c r="H1714" s="124">
        <f t="shared" si="62"/>
        <v>160.28899999999999</v>
      </c>
      <c r="I1714" s="124">
        <f>DGKC!G258</f>
        <v>160.28899999999999</v>
      </c>
      <c r="J1714" s="124">
        <f t="shared" si="61"/>
        <v>0</v>
      </c>
      <c r="K1714" s="55" t="s">
        <v>2043</v>
      </c>
      <c r="L1714" s="55">
        <v>154</v>
      </c>
      <c r="M1714" s="55" t="s">
        <v>3560</v>
      </c>
      <c r="N1714" s="67" t="s">
        <v>5228</v>
      </c>
      <c r="O1714" s="67" t="s">
        <v>5229</v>
      </c>
      <c r="P1714" s="67" t="s">
        <v>5236</v>
      </c>
    </row>
    <row r="1715" spans="1:16" ht="26.4" x14ac:dyDescent="0.3">
      <c r="A1715" s="55" t="s">
        <v>5237</v>
      </c>
      <c r="B1715" s="55" t="s">
        <v>86</v>
      </c>
      <c r="C1715" s="55" t="s">
        <v>29</v>
      </c>
      <c r="D1715" s="55" t="s">
        <v>5227</v>
      </c>
      <c r="E1715" s="124"/>
      <c r="F1715" s="124">
        <v>1345673</v>
      </c>
      <c r="G1715" s="124" t="s">
        <v>2033</v>
      </c>
      <c r="H1715" s="124">
        <f t="shared" si="62"/>
        <v>1345.673</v>
      </c>
      <c r="I1715" s="124">
        <f>DGKC!H258</f>
        <v>1345.673</v>
      </c>
      <c r="J1715" s="124">
        <f t="shared" si="61"/>
        <v>0</v>
      </c>
      <c r="K1715" s="55" t="s">
        <v>2043</v>
      </c>
      <c r="L1715" s="55">
        <v>154</v>
      </c>
      <c r="M1715" s="55" t="s">
        <v>3560</v>
      </c>
      <c r="N1715" s="67" t="s">
        <v>5228</v>
      </c>
      <c r="O1715" s="67" t="s">
        <v>5229</v>
      </c>
      <c r="P1715" s="67" t="s">
        <v>5238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5"/>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1" width="10" customWidth="1"/>
    <col min="2" max="2" width="34" customWidth="1"/>
    <col min="3" max="5" width="24" customWidth="1"/>
    <col min="6" max="6" width="105" customWidth="1"/>
    <col min="7" max="7" width="55" customWidth="1"/>
  </cols>
  <sheetData>
    <row r="1" spans="1:7" ht="25.95" customHeight="1" x14ac:dyDescent="0.3">
      <c r="A1" s="50"/>
      <c r="B1" s="50"/>
      <c r="C1" s="50"/>
      <c r="D1" s="50"/>
      <c r="E1" s="50"/>
      <c r="F1" s="50"/>
      <c r="G1" s="50"/>
    </row>
    <row r="2" spans="1:7" ht="25.95" customHeight="1" x14ac:dyDescent="0.3">
      <c r="A2" s="51" t="s">
        <v>5239</v>
      </c>
      <c r="B2" s="50"/>
      <c r="C2" s="50"/>
      <c r="D2" s="50"/>
      <c r="E2" s="50"/>
      <c r="F2" s="50"/>
      <c r="G2" s="50"/>
    </row>
    <row r="3" spans="1:7" ht="25.95" customHeight="1" x14ac:dyDescent="0.3">
      <c r="A3" s="117" t="s">
        <v>5240</v>
      </c>
      <c r="B3" s="50"/>
      <c r="C3" s="50"/>
      <c r="D3" s="50"/>
      <c r="E3" s="50"/>
      <c r="F3" s="50"/>
      <c r="G3" s="50"/>
    </row>
    <row r="4" spans="1:7" ht="25.95" customHeight="1" x14ac:dyDescent="0.3">
      <c r="A4" s="50"/>
      <c r="B4" s="50"/>
      <c r="C4" s="50"/>
      <c r="D4" s="50"/>
      <c r="E4" s="50"/>
      <c r="F4" s="50"/>
      <c r="G4" s="50"/>
    </row>
    <row r="5" spans="1:7" ht="40.049999999999997" customHeight="1" x14ac:dyDescent="0.3">
      <c r="A5" s="118" t="s">
        <v>1</v>
      </c>
      <c r="B5" s="118" t="s">
        <v>5241</v>
      </c>
      <c r="C5" s="118" t="s">
        <v>5242</v>
      </c>
      <c r="D5" s="118" t="s">
        <v>5243</v>
      </c>
      <c r="E5" s="118" t="s">
        <v>5244</v>
      </c>
      <c r="F5" s="118" t="s">
        <v>5245</v>
      </c>
      <c r="G5" s="118" t="s">
        <v>5246</v>
      </c>
    </row>
    <row r="6" spans="1:7" ht="25.95" customHeight="1" x14ac:dyDescent="0.3">
      <c r="A6" s="119" t="s">
        <v>18</v>
      </c>
      <c r="B6" s="119" t="s">
        <v>5247</v>
      </c>
      <c r="C6" s="119">
        <f>KOHC!C65</f>
        <v>3266.18066</v>
      </c>
      <c r="D6" s="119">
        <f>KOHC!D65</f>
        <v>4183.5453669999997</v>
      </c>
      <c r="E6" s="119">
        <f t="shared" ref="E6:E45" si="0">AVERAGE(C6:D6)</f>
        <v>3724.8630134999999</v>
      </c>
      <c r="F6" s="119" t="s">
        <v>5248</v>
      </c>
      <c r="G6" s="119" t="s">
        <v>5249</v>
      </c>
    </row>
    <row r="7" spans="1:7" ht="25.95" customHeight="1" x14ac:dyDescent="0.3">
      <c r="A7" s="50" t="s">
        <v>18</v>
      </c>
      <c r="B7" s="50" t="s">
        <v>5250</v>
      </c>
      <c r="C7" s="50">
        <f>KOHC!C32</f>
        <v>494.31520599999999</v>
      </c>
      <c r="D7" s="50">
        <f>KOHC!D32</f>
        <v>983.56822299999999</v>
      </c>
      <c r="E7" s="50">
        <f t="shared" si="0"/>
        <v>738.94171449999999</v>
      </c>
      <c r="F7" s="50" t="s">
        <v>5248</v>
      </c>
      <c r="G7" s="50" t="s">
        <v>5249</v>
      </c>
    </row>
    <row r="8" spans="1:7" ht="25.95" customHeight="1" x14ac:dyDescent="0.3">
      <c r="A8" s="119" t="s">
        <v>18</v>
      </c>
      <c r="B8" s="119" t="s">
        <v>5251</v>
      </c>
      <c r="C8" s="119">
        <f>KOHC!C51</f>
        <v>1091.3009709999999</v>
      </c>
      <c r="D8" s="119">
        <f>KOHC!D51</f>
        <v>1555.157545</v>
      </c>
      <c r="E8" s="119">
        <f t="shared" si="0"/>
        <v>1323.2292579999998</v>
      </c>
      <c r="F8" s="119" t="s">
        <v>5248</v>
      </c>
      <c r="G8" s="119" t="s">
        <v>5249</v>
      </c>
    </row>
    <row r="9" spans="1:7" ht="25.95" customHeight="1" x14ac:dyDescent="0.3">
      <c r="A9" s="50" t="s">
        <v>18</v>
      </c>
      <c r="B9" s="50" t="s">
        <v>5252</v>
      </c>
      <c r="C9" s="50">
        <f>KOHC!C22</f>
        <v>22613.088248999997</v>
      </c>
      <c r="D9" s="50">
        <f>KOHC!D22</f>
        <v>21753.605354000003</v>
      </c>
      <c r="E9" s="50">
        <f t="shared" si="0"/>
        <v>22183.3468015</v>
      </c>
      <c r="F9" s="50" t="s">
        <v>5248</v>
      </c>
      <c r="G9" s="50" t="s">
        <v>5249</v>
      </c>
    </row>
    <row r="10" spans="1:7" ht="25.95" customHeight="1" x14ac:dyDescent="0.3">
      <c r="A10" s="119" t="s">
        <v>18</v>
      </c>
      <c r="B10" s="119" t="s">
        <v>5253</v>
      </c>
      <c r="C10" s="119">
        <f>KOHC!C37</f>
        <v>31756.667306999996</v>
      </c>
      <c r="D10" s="119">
        <f>KOHC!D37</f>
        <v>36086.921437000005</v>
      </c>
      <c r="E10" s="119">
        <f t="shared" si="0"/>
        <v>33921.794372000004</v>
      </c>
      <c r="F10" s="119" t="s">
        <v>5248</v>
      </c>
      <c r="G10" s="119" t="s">
        <v>5249</v>
      </c>
    </row>
    <row r="11" spans="1:7" ht="25.95" customHeight="1" x14ac:dyDescent="0.3">
      <c r="A11" s="50" t="s">
        <v>18</v>
      </c>
      <c r="B11" s="50" t="s">
        <v>279</v>
      </c>
      <c r="C11" s="50">
        <f>KOHC!C41</f>
        <v>18726.673323999999</v>
      </c>
      <c r="D11" s="50">
        <f>KOHC!D41</f>
        <v>22223.539370999999</v>
      </c>
      <c r="E11" s="50">
        <f t="shared" si="0"/>
        <v>20475.106347499997</v>
      </c>
      <c r="F11" s="50" t="s">
        <v>5248</v>
      </c>
      <c r="G11" s="50" t="s">
        <v>5249</v>
      </c>
    </row>
    <row r="12" spans="1:7" ht="25.95" customHeight="1" x14ac:dyDescent="0.3">
      <c r="A12" s="119" t="s">
        <v>18</v>
      </c>
      <c r="B12" s="119" t="s">
        <v>5254</v>
      </c>
      <c r="C12" s="119">
        <f>KOHC!C66</f>
        <v>6989.3315640000001</v>
      </c>
      <c r="D12" s="119">
        <f>KOHC!D66</f>
        <v>6050.7861490000005</v>
      </c>
      <c r="E12" s="119">
        <f t="shared" si="0"/>
        <v>6520.0588564999998</v>
      </c>
      <c r="F12" s="119" t="s">
        <v>5248</v>
      </c>
      <c r="G12" s="119" t="s">
        <v>5249</v>
      </c>
    </row>
    <row r="13" spans="1:7" ht="25.95" customHeight="1" x14ac:dyDescent="0.3">
      <c r="A13" s="50" t="s">
        <v>18</v>
      </c>
      <c r="B13" s="50" t="s">
        <v>5255</v>
      </c>
      <c r="C13" s="50">
        <f>KOHC!C70</f>
        <v>25716.004887999999</v>
      </c>
      <c r="D13" s="50">
        <f>KOHC!D70</f>
        <v>28274.325519999999</v>
      </c>
      <c r="E13" s="50">
        <f t="shared" si="0"/>
        <v>26995.165203999997</v>
      </c>
      <c r="F13" s="50" t="s">
        <v>5248</v>
      </c>
      <c r="G13" s="50" t="s">
        <v>5249</v>
      </c>
    </row>
    <row r="14" spans="1:7" ht="25.95" customHeight="1" x14ac:dyDescent="0.3">
      <c r="A14" s="119" t="s">
        <v>68</v>
      </c>
      <c r="B14" s="119" t="s">
        <v>5247</v>
      </c>
      <c r="C14" s="119">
        <f>LUCK!C65</f>
        <v>9435.7219999999998</v>
      </c>
      <c r="D14" s="119">
        <f>LUCK!D65</f>
        <v>13631.61</v>
      </c>
      <c r="E14" s="119">
        <f t="shared" si="0"/>
        <v>11533.666000000001</v>
      </c>
      <c r="F14" s="119" t="s">
        <v>5248</v>
      </c>
      <c r="G14" s="119" t="s">
        <v>5249</v>
      </c>
    </row>
    <row r="15" spans="1:7" ht="25.95" customHeight="1" x14ac:dyDescent="0.3">
      <c r="A15" s="50" t="s">
        <v>68</v>
      </c>
      <c r="B15" s="50" t="s">
        <v>5250</v>
      </c>
      <c r="C15" s="50">
        <f>LUCK!C32</f>
        <v>3422.7669999999998</v>
      </c>
      <c r="D15" s="50">
        <f>LUCK!D32</f>
        <v>2710.0810000000001</v>
      </c>
      <c r="E15" s="50">
        <f t="shared" si="0"/>
        <v>3066.424</v>
      </c>
      <c r="F15" s="50" t="s">
        <v>5248</v>
      </c>
      <c r="G15" s="50" t="s">
        <v>5249</v>
      </c>
    </row>
    <row r="16" spans="1:7" ht="25.95" customHeight="1" x14ac:dyDescent="0.3">
      <c r="A16" s="119" t="s">
        <v>68</v>
      </c>
      <c r="B16" s="119" t="s">
        <v>5251</v>
      </c>
      <c r="C16" s="119">
        <f>LUCK!C51</f>
        <v>2599.29</v>
      </c>
      <c r="D16" s="119">
        <f>LUCK!D51</f>
        <v>2882.4340000000002</v>
      </c>
      <c r="E16" s="119">
        <f t="shared" si="0"/>
        <v>2740.8620000000001</v>
      </c>
      <c r="F16" s="119" t="s">
        <v>5248</v>
      </c>
      <c r="G16" s="119" t="s">
        <v>5249</v>
      </c>
    </row>
    <row r="17" spans="1:7" ht="25.95" customHeight="1" x14ac:dyDescent="0.3">
      <c r="A17" s="50" t="s">
        <v>68</v>
      </c>
      <c r="B17" s="50" t="s">
        <v>5252</v>
      </c>
      <c r="C17" s="50">
        <f>LUCK!C22</f>
        <v>59913.379000000001</v>
      </c>
      <c r="D17" s="50">
        <f>LUCK!D22</f>
        <v>58374.902999999998</v>
      </c>
      <c r="E17" s="50">
        <f t="shared" si="0"/>
        <v>59144.141000000003</v>
      </c>
      <c r="F17" s="50" t="s">
        <v>5248</v>
      </c>
      <c r="G17" s="50" t="s">
        <v>5249</v>
      </c>
    </row>
    <row r="18" spans="1:7" ht="25.95" customHeight="1" x14ac:dyDescent="0.3">
      <c r="A18" s="119" t="s">
        <v>68</v>
      </c>
      <c r="B18" s="119" t="s">
        <v>5253</v>
      </c>
      <c r="C18" s="119">
        <f>LUCK!C37</f>
        <v>135868.47399999999</v>
      </c>
      <c r="D18" s="119">
        <f>LUCK!D37</f>
        <v>156368.06200000001</v>
      </c>
      <c r="E18" s="119">
        <f t="shared" si="0"/>
        <v>146118.26799999998</v>
      </c>
      <c r="F18" s="119" t="s">
        <v>5248</v>
      </c>
      <c r="G18" s="119" t="s">
        <v>5249</v>
      </c>
    </row>
    <row r="19" spans="1:7" ht="25.95" customHeight="1" x14ac:dyDescent="0.3">
      <c r="A19" s="50" t="s">
        <v>68</v>
      </c>
      <c r="B19" s="50" t="s">
        <v>279</v>
      </c>
      <c r="C19" s="50">
        <f>LUCK!C41</f>
        <v>99183.861000000004</v>
      </c>
      <c r="D19" s="50">
        <f>LUCK!D41</f>
        <v>113200.258</v>
      </c>
      <c r="E19" s="50">
        <f t="shared" si="0"/>
        <v>106192.0595</v>
      </c>
      <c r="F19" s="50" t="s">
        <v>5248</v>
      </c>
      <c r="G19" s="50" t="s">
        <v>5249</v>
      </c>
    </row>
    <row r="20" spans="1:7" ht="25.95" customHeight="1" x14ac:dyDescent="0.3">
      <c r="A20" s="119" t="s">
        <v>68</v>
      </c>
      <c r="B20" s="119" t="s">
        <v>5254</v>
      </c>
      <c r="C20" s="119">
        <f>LUCK!C66</f>
        <v>8378.6320000000014</v>
      </c>
      <c r="D20" s="119">
        <f>LUCK!D66</f>
        <v>10490.951999999999</v>
      </c>
      <c r="E20" s="119">
        <f t="shared" si="0"/>
        <v>9434.7920000000013</v>
      </c>
      <c r="F20" s="119" t="s">
        <v>5248</v>
      </c>
      <c r="G20" s="119" t="s">
        <v>5249</v>
      </c>
    </row>
    <row r="21" spans="1:7" ht="25.95" customHeight="1" x14ac:dyDescent="0.3">
      <c r="A21" s="50" t="s">
        <v>68</v>
      </c>
      <c r="B21" s="50" t="s">
        <v>5255</v>
      </c>
      <c r="C21" s="50">
        <f>LUCK!C70</f>
        <v>107562.493</v>
      </c>
      <c r="D21" s="50">
        <f>LUCK!D70</f>
        <v>123691.21</v>
      </c>
      <c r="E21" s="50">
        <f t="shared" si="0"/>
        <v>115626.8515</v>
      </c>
      <c r="F21" s="50" t="s">
        <v>5248</v>
      </c>
      <c r="G21" s="50" t="s">
        <v>5249</v>
      </c>
    </row>
    <row r="22" spans="1:7" ht="25.95" customHeight="1" x14ac:dyDescent="0.3">
      <c r="A22" s="119" t="s">
        <v>86</v>
      </c>
      <c r="B22" s="119" t="s">
        <v>5247</v>
      </c>
      <c r="C22" s="119">
        <f>DGKC!C65</f>
        <v>12590.985000000001</v>
      </c>
      <c r="D22" s="119">
        <f>DGKC!D65</f>
        <v>15607.937</v>
      </c>
      <c r="E22" s="119">
        <f t="shared" si="0"/>
        <v>14099.460999999999</v>
      </c>
      <c r="F22" s="119" t="s">
        <v>5248</v>
      </c>
      <c r="G22" s="119" t="s">
        <v>5249</v>
      </c>
    </row>
    <row r="23" spans="1:7" ht="25.95" customHeight="1" x14ac:dyDescent="0.3">
      <c r="A23" s="50" t="s">
        <v>86</v>
      </c>
      <c r="B23" s="50" t="s">
        <v>5250</v>
      </c>
      <c r="C23" s="50">
        <f>DGKC!C32</f>
        <v>2286.0839999999998</v>
      </c>
      <c r="D23" s="50">
        <f>DGKC!D32</f>
        <v>1676.2449999999999</v>
      </c>
      <c r="E23" s="50">
        <f t="shared" si="0"/>
        <v>1981.1644999999999</v>
      </c>
      <c r="F23" s="50" t="s">
        <v>5248</v>
      </c>
      <c r="G23" s="50" t="s">
        <v>5249</v>
      </c>
    </row>
    <row r="24" spans="1:7" ht="25.95" customHeight="1" x14ac:dyDescent="0.3">
      <c r="A24" s="119" t="s">
        <v>86</v>
      </c>
      <c r="B24" s="119" t="s">
        <v>5251</v>
      </c>
      <c r="C24" s="119">
        <f>DGKC!C51</f>
        <v>4325.32</v>
      </c>
      <c r="D24" s="119">
        <f>DGKC!D51</f>
        <v>7375.63</v>
      </c>
      <c r="E24" s="119">
        <f t="shared" si="0"/>
        <v>5850.4750000000004</v>
      </c>
      <c r="F24" s="119" t="s">
        <v>5248</v>
      </c>
      <c r="G24" s="119" t="s">
        <v>5249</v>
      </c>
    </row>
    <row r="25" spans="1:7" ht="25.95" customHeight="1" x14ac:dyDescent="0.3">
      <c r="A25" s="50" t="s">
        <v>86</v>
      </c>
      <c r="B25" s="50" t="s">
        <v>5252</v>
      </c>
      <c r="C25" s="50">
        <f>DGKC!C22</f>
        <v>77179.035999999993</v>
      </c>
      <c r="D25" s="50">
        <f>DGKC!D22</f>
        <v>77293.388999999996</v>
      </c>
      <c r="E25" s="50">
        <f t="shared" si="0"/>
        <v>77236.212499999994</v>
      </c>
      <c r="F25" s="50" t="s">
        <v>5248</v>
      </c>
      <c r="G25" s="50" t="s">
        <v>5249</v>
      </c>
    </row>
    <row r="26" spans="1:7" ht="25.95" customHeight="1" x14ac:dyDescent="0.3">
      <c r="A26" s="119" t="s">
        <v>86</v>
      </c>
      <c r="B26" s="119" t="s">
        <v>5253</v>
      </c>
      <c r="C26" s="119">
        <f>DGKC!C37</f>
        <v>129551.53399999999</v>
      </c>
      <c r="D26" s="119">
        <f>DGKC!D37</f>
        <v>137894.69700000001</v>
      </c>
      <c r="E26" s="119">
        <f t="shared" si="0"/>
        <v>133723.11550000001</v>
      </c>
      <c r="F26" s="119" t="s">
        <v>5248</v>
      </c>
      <c r="G26" s="119" t="s">
        <v>5249</v>
      </c>
    </row>
    <row r="27" spans="1:7" ht="25.95" customHeight="1" x14ac:dyDescent="0.3">
      <c r="A27" s="50" t="s">
        <v>86</v>
      </c>
      <c r="B27" s="50" t="s">
        <v>279</v>
      </c>
      <c r="C27" s="50">
        <f>DGKC!C41</f>
        <v>66644.157000000007</v>
      </c>
      <c r="D27" s="50">
        <f>DGKC!D41</f>
        <v>73477.873000000007</v>
      </c>
      <c r="E27" s="50">
        <f t="shared" si="0"/>
        <v>70061.015000000014</v>
      </c>
      <c r="F27" s="50" t="s">
        <v>5248</v>
      </c>
      <c r="G27" s="50" t="s">
        <v>5249</v>
      </c>
    </row>
    <row r="28" spans="1:7" ht="25.95" customHeight="1" x14ac:dyDescent="0.3">
      <c r="A28" s="119" t="s">
        <v>86</v>
      </c>
      <c r="B28" s="119" t="s">
        <v>5254</v>
      </c>
      <c r="C28" s="119">
        <f>DGKC!C66</f>
        <v>47478.588000000003</v>
      </c>
      <c r="D28" s="119">
        <f>DGKC!D66</f>
        <v>43792.817000000003</v>
      </c>
      <c r="E28" s="119">
        <f t="shared" si="0"/>
        <v>45635.702499999999</v>
      </c>
      <c r="F28" s="119" t="s">
        <v>5248</v>
      </c>
      <c r="G28" s="119" t="s">
        <v>5249</v>
      </c>
    </row>
    <row r="29" spans="1:7" ht="25.95" customHeight="1" x14ac:dyDescent="0.3">
      <c r="A29" s="50" t="s">
        <v>86</v>
      </c>
      <c r="B29" s="50" t="s">
        <v>5255</v>
      </c>
      <c r="C29" s="50">
        <f>DGKC!C70</f>
        <v>114122.74500000001</v>
      </c>
      <c r="D29" s="50">
        <f>DGKC!D70</f>
        <v>117270.69</v>
      </c>
      <c r="E29" s="50">
        <f t="shared" si="0"/>
        <v>115696.7175</v>
      </c>
      <c r="F29" s="50" t="s">
        <v>5248</v>
      </c>
      <c r="G29" s="50" t="s">
        <v>5249</v>
      </c>
    </row>
    <row r="30" spans="1:7" ht="25.95" customHeight="1" x14ac:dyDescent="0.3">
      <c r="A30" s="119" t="s">
        <v>106</v>
      </c>
      <c r="B30" s="119" t="s">
        <v>5247</v>
      </c>
      <c r="C30" s="119">
        <f>MLCF!C65</f>
        <v>10175.014000000001</v>
      </c>
      <c r="D30" s="119">
        <f>MLCF!D65</f>
        <v>11888.900000000001</v>
      </c>
      <c r="E30" s="119">
        <f t="shared" si="0"/>
        <v>11031.957000000002</v>
      </c>
      <c r="F30" s="119" t="s">
        <v>5248</v>
      </c>
      <c r="G30" s="119" t="s">
        <v>5249</v>
      </c>
    </row>
    <row r="31" spans="1:7" ht="25.95" customHeight="1" x14ac:dyDescent="0.3">
      <c r="A31" s="50" t="s">
        <v>106</v>
      </c>
      <c r="B31" s="50" t="s">
        <v>5250</v>
      </c>
      <c r="C31" s="50">
        <f>MLCF!C32</f>
        <v>3052.13</v>
      </c>
      <c r="D31" s="50">
        <f>MLCF!D32</f>
        <v>1679.704</v>
      </c>
      <c r="E31" s="50">
        <f t="shared" si="0"/>
        <v>2365.9169999999999</v>
      </c>
      <c r="F31" s="50" t="s">
        <v>5248</v>
      </c>
      <c r="G31" s="50" t="s">
        <v>5249</v>
      </c>
    </row>
    <row r="32" spans="1:7" ht="25.95" customHeight="1" x14ac:dyDescent="0.3">
      <c r="A32" s="119" t="s">
        <v>106</v>
      </c>
      <c r="B32" s="119" t="s">
        <v>5251</v>
      </c>
      <c r="C32" s="119">
        <f>MLCF!C51</f>
        <v>4173.9430000000002</v>
      </c>
      <c r="D32" s="119">
        <f>MLCF!D51</f>
        <v>3576.6320000000001</v>
      </c>
      <c r="E32" s="119">
        <f t="shared" si="0"/>
        <v>3875.2875000000004</v>
      </c>
      <c r="F32" s="119" t="s">
        <v>5248</v>
      </c>
      <c r="G32" s="119" t="s">
        <v>5249</v>
      </c>
    </row>
    <row r="33" spans="1:7" ht="25.95" customHeight="1" x14ac:dyDescent="0.3">
      <c r="A33" s="50" t="s">
        <v>106</v>
      </c>
      <c r="B33" s="50" t="s">
        <v>5252</v>
      </c>
      <c r="C33" s="50">
        <f>MLCF!C22</f>
        <v>43426.555</v>
      </c>
      <c r="D33" s="50">
        <f>MLCF!D22</f>
        <v>41361.245999999999</v>
      </c>
      <c r="E33" s="50">
        <f t="shared" si="0"/>
        <v>42393.900500000003</v>
      </c>
      <c r="F33" s="50" t="s">
        <v>5248</v>
      </c>
      <c r="G33" s="50" t="s">
        <v>5249</v>
      </c>
    </row>
    <row r="34" spans="1:7" ht="25.95" customHeight="1" x14ac:dyDescent="0.3">
      <c r="A34" s="119" t="s">
        <v>106</v>
      </c>
      <c r="B34" s="119" t="s">
        <v>5253</v>
      </c>
      <c r="C34" s="119">
        <f>MLCF!C37</f>
        <v>66009.771000000008</v>
      </c>
      <c r="D34" s="119">
        <f>MLCF!D37</f>
        <v>66239.277999999991</v>
      </c>
      <c r="E34" s="119">
        <f t="shared" si="0"/>
        <v>66124.5245</v>
      </c>
      <c r="F34" s="119" t="s">
        <v>5248</v>
      </c>
      <c r="G34" s="119" t="s">
        <v>5249</v>
      </c>
    </row>
    <row r="35" spans="1:7" ht="25.95" customHeight="1" x14ac:dyDescent="0.3">
      <c r="A35" s="50" t="s">
        <v>106</v>
      </c>
      <c r="B35" s="50" t="s">
        <v>279</v>
      </c>
      <c r="C35" s="50">
        <f>MLCF!C41</f>
        <v>31320.830999999998</v>
      </c>
      <c r="D35" s="50">
        <f>MLCF!D41</f>
        <v>37542.540999999997</v>
      </c>
      <c r="E35" s="50">
        <f t="shared" si="0"/>
        <v>34431.686000000002</v>
      </c>
      <c r="F35" s="50" t="s">
        <v>5248</v>
      </c>
      <c r="G35" s="50" t="s">
        <v>5249</v>
      </c>
    </row>
    <row r="36" spans="1:7" ht="25.95" customHeight="1" x14ac:dyDescent="0.3">
      <c r="A36" s="119" t="s">
        <v>106</v>
      </c>
      <c r="B36" s="119" t="s">
        <v>5254</v>
      </c>
      <c r="C36" s="119">
        <f>MLCF!C66</f>
        <v>21940.414000000001</v>
      </c>
      <c r="D36" s="119">
        <f>MLCF!D66</f>
        <v>16235.475999999999</v>
      </c>
      <c r="E36" s="119">
        <f t="shared" si="0"/>
        <v>19087.945</v>
      </c>
      <c r="F36" s="119" t="s">
        <v>5248</v>
      </c>
      <c r="G36" s="119" t="s">
        <v>5249</v>
      </c>
    </row>
    <row r="37" spans="1:7" ht="25.95" customHeight="1" x14ac:dyDescent="0.3">
      <c r="A37" s="50" t="s">
        <v>106</v>
      </c>
      <c r="B37" s="50" t="s">
        <v>5255</v>
      </c>
      <c r="C37" s="50">
        <f>MLCF!C70</f>
        <v>53261.244999999995</v>
      </c>
      <c r="D37" s="50">
        <f>MLCF!D70</f>
        <v>53778.016999999993</v>
      </c>
      <c r="E37" s="50">
        <f t="shared" si="0"/>
        <v>53519.630999999994</v>
      </c>
      <c r="F37" s="50" t="s">
        <v>5248</v>
      </c>
      <c r="G37" s="50" t="s">
        <v>5249</v>
      </c>
    </row>
    <row r="38" spans="1:7" ht="25.95" customHeight="1" x14ac:dyDescent="0.3">
      <c r="A38" s="119" t="s">
        <v>114</v>
      </c>
      <c r="B38" s="119" t="s">
        <v>5247</v>
      </c>
      <c r="C38" s="119">
        <f>FCCL!C65</f>
        <v>4693.5609999999997</v>
      </c>
      <c r="D38" s="119">
        <f>FCCL!D65</f>
        <v>5439.9520000000002</v>
      </c>
      <c r="E38" s="119">
        <f t="shared" si="0"/>
        <v>5066.7564999999995</v>
      </c>
      <c r="F38" s="119" t="s">
        <v>5248</v>
      </c>
      <c r="G38" s="119" t="s">
        <v>5249</v>
      </c>
    </row>
    <row r="39" spans="1:7" ht="25.95" customHeight="1" x14ac:dyDescent="0.3">
      <c r="A39" s="50" t="s">
        <v>114</v>
      </c>
      <c r="B39" s="50" t="s">
        <v>5250</v>
      </c>
      <c r="C39" s="50">
        <f>FCCL!C32</f>
        <v>1050.6400000000001</v>
      </c>
      <c r="D39" s="50">
        <f>FCCL!D32</f>
        <v>1449.6</v>
      </c>
      <c r="E39" s="50">
        <f t="shared" si="0"/>
        <v>1250.1199999999999</v>
      </c>
      <c r="F39" s="50" t="s">
        <v>5248</v>
      </c>
      <c r="G39" s="50" t="s">
        <v>5249</v>
      </c>
    </row>
    <row r="40" spans="1:7" ht="25.95" customHeight="1" x14ac:dyDescent="0.3">
      <c r="A40" s="119" t="s">
        <v>114</v>
      </c>
      <c r="B40" s="119" t="s">
        <v>5251</v>
      </c>
      <c r="C40" s="119">
        <f>FCCL!C51</f>
        <v>354.58600000000001</v>
      </c>
      <c r="D40" s="119">
        <f>FCCL!D51</f>
        <v>863.03800000000001</v>
      </c>
      <c r="E40" s="119">
        <f t="shared" si="0"/>
        <v>608.81200000000001</v>
      </c>
      <c r="F40" s="119" t="s">
        <v>5248</v>
      </c>
      <c r="G40" s="119" t="s">
        <v>5249</v>
      </c>
    </row>
    <row r="41" spans="1:7" ht="25.95" customHeight="1" x14ac:dyDescent="0.3">
      <c r="A41" s="50" t="s">
        <v>114</v>
      </c>
      <c r="B41" s="50" t="s">
        <v>5252</v>
      </c>
      <c r="C41" s="50">
        <f>FCCL!C22</f>
        <v>22062.363999999998</v>
      </c>
      <c r="D41" s="50">
        <f>FCCL!D22</f>
        <v>21220.128000000001</v>
      </c>
      <c r="E41" s="50">
        <f t="shared" si="0"/>
        <v>21641.245999999999</v>
      </c>
      <c r="F41" s="50" t="s">
        <v>5248</v>
      </c>
      <c r="G41" s="50" t="s">
        <v>5249</v>
      </c>
    </row>
    <row r="42" spans="1:7" ht="25.95" customHeight="1" x14ac:dyDescent="0.3">
      <c r="A42" s="119" t="s">
        <v>114</v>
      </c>
      <c r="B42" s="119" t="s">
        <v>5253</v>
      </c>
      <c r="C42" s="119">
        <f>FCCL!C37</f>
        <v>29207.915999999997</v>
      </c>
      <c r="D42" s="119">
        <f>FCCL!D37</f>
        <v>34052.231</v>
      </c>
      <c r="E42" s="119">
        <f t="shared" si="0"/>
        <v>31630.073499999999</v>
      </c>
      <c r="F42" s="119" t="s">
        <v>5248</v>
      </c>
      <c r="G42" s="119" t="s">
        <v>5249</v>
      </c>
    </row>
    <row r="43" spans="1:7" ht="25.95" customHeight="1" x14ac:dyDescent="0.3">
      <c r="A43" s="50" t="s">
        <v>114</v>
      </c>
      <c r="B43" s="50" t="s">
        <v>279</v>
      </c>
      <c r="C43" s="50">
        <f>FCCL!C41</f>
        <v>19804.32</v>
      </c>
      <c r="D43" s="50">
        <f>FCCL!D41</f>
        <v>23275.671000000002</v>
      </c>
      <c r="E43" s="50">
        <f t="shared" si="0"/>
        <v>21539.995500000001</v>
      </c>
      <c r="F43" s="50" t="s">
        <v>5248</v>
      </c>
      <c r="G43" s="50" t="s">
        <v>5249</v>
      </c>
    </row>
    <row r="44" spans="1:7" ht="25.95" customHeight="1" x14ac:dyDescent="0.3">
      <c r="A44" s="119" t="s">
        <v>114</v>
      </c>
      <c r="B44" s="119" t="s">
        <v>5254</v>
      </c>
      <c r="C44" s="119">
        <f>FCCL!C66</f>
        <v>2701.799</v>
      </c>
      <c r="D44" s="119">
        <f>FCCL!D66</f>
        <v>2568.0890000000004</v>
      </c>
      <c r="E44" s="119">
        <f t="shared" si="0"/>
        <v>2634.9440000000004</v>
      </c>
      <c r="F44" s="119" t="s">
        <v>5248</v>
      </c>
      <c r="G44" s="119" t="s">
        <v>5249</v>
      </c>
    </row>
    <row r="45" spans="1:7" ht="25.95" customHeight="1" x14ac:dyDescent="0.3">
      <c r="A45" s="50" t="s">
        <v>114</v>
      </c>
      <c r="B45" s="50" t="s">
        <v>5255</v>
      </c>
      <c r="C45" s="50">
        <f>FCCL!C70</f>
        <v>22506.118999999999</v>
      </c>
      <c r="D45" s="50">
        <f>FCCL!D70</f>
        <v>25843.760000000002</v>
      </c>
      <c r="E45" s="50">
        <f t="shared" si="0"/>
        <v>24174.9395</v>
      </c>
      <c r="F45" s="50" t="s">
        <v>5248</v>
      </c>
      <c r="G45" s="50" t="s">
        <v>5249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5"/>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1" width="18" customWidth="1"/>
    <col min="2" max="2" width="38" customWidth="1"/>
    <col min="3" max="3" width="44" customWidth="1"/>
    <col min="4" max="4" width="105" customWidth="1"/>
    <col min="5" max="5" width="100" customWidth="1"/>
    <col min="6" max="6" width="125" customWidth="1"/>
    <col min="7" max="7" width="110" customWidth="1"/>
  </cols>
  <sheetData>
    <row r="1" spans="1:7" ht="25.95" customHeight="1" x14ac:dyDescent="0.3">
      <c r="A1" s="50"/>
      <c r="B1" s="50"/>
      <c r="C1" s="50"/>
      <c r="D1" s="50"/>
      <c r="E1" s="50"/>
      <c r="F1" s="50"/>
      <c r="G1" s="50"/>
    </row>
    <row r="2" spans="1:7" ht="25.95" customHeight="1" x14ac:dyDescent="0.3">
      <c r="A2" s="51" t="s">
        <v>5256</v>
      </c>
      <c r="B2" s="50"/>
      <c r="C2" s="50"/>
      <c r="D2" s="50"/>
      <c r="E2" s="50"/>
      <c r="F2" s="50"/>
      <c r="G2" s="50"/>
    </row>
    <row r="3" spans="1:7" ht="25.95" customHeight="1" x14ac:dyDescent="0.3">
      <c r="A3" s="117" t="s">
        <v>5257</v>
      </c>
      <c r="B3" s="50"/>
      <c r="C3" s="50"/>
      <c r="D3" s="50"/>
      <c r="E3" s="50"/>
      <c r="F3" s="50"/>
      <c r="G3" s="50"/>
    </row>
    <row r="4" spans="1:7" ht="25.95" customHeight="1" x14ac:dyDescent="0.3">
      <c r="A4" s="50"/>
      <c r="B4" s="50"/>
      <c r="C4" s="50"/>
      <c r="D4" s="50"/>
      <c r="E4" s="50"/>
      <c r="F4" s="50"/>
      <c r="G4" s="50"/>
    </row>
    <row r="5" spans="1:7" ht="40.049999999999997" customHeight="1" x14ac:dyDescent="0.3">
      <c r="A5" s="118" t="s">
        <v>1</v>
      </c>
      <c r="B5" s="118" t="s">
        <v>5258</v>
      </c>
      <c r="C5" s="118" t="s">
        <v>5259</v>
      </c>
      <c r="D5" s="118" t="s">
        <v>5260</v>
      </c>
      <c r="E5" s="118" t="s">
        <v>5261</v>
      </c>
      <c r="F5" s="118" t="s">
        <v>5262</v>
      </c>
      <c r="G5" s="118" t="s">
        <v>5263</v>
      </c>
    </row>
    <row r="6" spans="1:7" ht="126" customHeight="1" x14ac:dyDescent="0.3">
      <c r="A6" s="122" t="s">
        <v>18</v>
      </c>
      <c r="B6" s="122" t="s">
        <v>5264</v>
      </c>
      <c r="C6" s="122" t="s">
        <v>5265</v>
      </c>
      <c r="D6" s="122" t="s">
        <v>5266</v>
      </c>
      <c r="E6" s="122" t="s">
        <v>5267</v>
      </c>
      <c r="F6" s="122" t="s">
        <v>5268</v>
      </c>
      <c r="G6" s="122" t="s">
        <v>5269</v>
      </c>
    </row>
    <row r="7" spans="1:7" ht="126" customHeight="1" x14ac:dyDescent="0.3">
      <c r="A7" s="68" t="s">
        <v>68</v>
      </c>
      <c r="B7" s="68" t="s">
        <v>5270</v>
      </c>
      <c r="C7" s="68" t="s">
        <v>5271</v>
      </c>
      <c r="D7" s="68" t="s">
        <v>5272</v>
      </c>
      <c r="E7" s="68" t="s">
        <v>5273</v>
      </c>
      <c r="F7" s="68" t="s">
        <v>5274</v>
      </c>
      <c r="G7" s="68" t="s">
        <v>5275</v>
      </c>
    </row>
    <row r="8" spans="1:7" ht="126" customHeight="1" x14ac:dyDescent="0.3">
      <c r="A8" s="122" t="s">
        <v>114</v>
      </c>
      <c r="B8" s="122" t="s">
        <v>5276</v>
      </c>
      <c r="C8" s="122" t="s">
        <v>5277</v>
      </c>
      <c r="D8" s="122" t="s">
        <v>5278</v>
      </c>
      <c r="E8" s="122" t="s">
        <v>5279</v>
      </c>
      <c r="F8" s="122" t="s">
        <v>5280</v>
      </c>
      <c r="G8" s="122" t="s">
        <v>5281</v>
      </c>
    </row>
    <row r="9" spans="1:7" ht="126" customHeight="1" x14ac:dyDescent="0.3">
      <c r="A9" s="68" t="s">
        <v>86</v>
      </c>
      <c r="B9" s="68" t="s">
        <v>5282</v>
      </c>
      <c r="C9" s="68" t="s">
        <v>5283</v>
      </c>
      <c r="D9" s="68" t="s">
        <v>3390</v>
      </c>
      <c r="E9" s="68" t="s">
        <v>5284</v>
      </c>
      <c r="F9" s="68" t="s">
        <v>5285</v>
      </c>
      <c r="G9" s="68" t="s">
        <v>5286</v>
      </c>
    </row>
    <row r="10" spans="1:7" ht="126" customHeight="1" x14ac:dyDescent="0.3">
      <c r="A10" s="122" t="s">
        <v>106</v>
      </c>
      <c r="B10" s="122" t="s">
        <v>5287</v>
      </c>
      <c r="C10" s="122" t="s">
        <v>5283</v>
      </c>
      <c r="D10" s="122" t="s">
        <v>3391</v>
      </c>
      <c r="E10" s="122" t="s">
        <v>5288</v>
      </c>
      <c r="F10" s="122" t="s">
        <v>5289</v>
      </c>
      <c r="G10" s="122" t="s">
        <v>5290</v>
      </c>
    </row>
    <row r="11" spans="1:7" ht="126" customHeight="1" x14ac:dyDescent="0.3">
      <c r="A11" s="68" t="s">
        <v>5291</v>
      </c>
      <c r="B11" s="68" t="s">
        <v>5292</v>
      </c>
      <c r="C11" s="68" t="s">
        <v>5293</v>
      </c>
      <c r="D11" s="68" t="s">
        <v>1552</v>
      </c>
      <c r="E11" s="68" t="s">
        <v>5294</v>
      </c>
      <c r="F11" s="68" t="s">
        <v>5295</v>
      </c>
      <c r="G11" s="68" t="s">
        <v>5296</v>
      </c>
    </row>
    <row r="12" spans="1:7" ht="126" customHeight="1" x14ac:dyDescent="0.3">
      <c r="A12" s="122" t="s">
        <v>86</v>
      </c>
      <c r="B12" s="122" t="s">
        <v>5297</v>
      </c>
      <c r="C12" s="122" t="s">
        <v>5298</v>
      </c>
      <c r="D12" s="122" t="s">
        <v>3389</v>
      </c>
      <c r="E12" s="122" t="s">
        <v>5299</v>
      </c>
      <c r="F12" s="122" t="s">
        <v>5300</v>
      </c>
      <c r="G12" s="122" t="s">
        <v>5301</v>
      </c>
    </row>
    <row r="13" spans="1:7" ht="126" customHeight="1" x14ac:dyDescent="0.3">
      <c r="A13" s="68" t="s">
        <v>114</v>
      </c>
      <c r="B13" s="68" t="s">
        <v>5302</v>
      </c>
      <c r="C13" s="68" t="s">
        <v>5303</v>
      </c>
      <c r="D13" s="68" t="s">
        <v>3398</v>
      </c>
      <c r="E13" s="68" t="s">
        <v>5304</v>
      </c>
      <c r="F13" s="68" t="s">
        <v>5305</v>
      </c>
      <c r="G13" s="68" t="s">
        <v>5306</v>
      </c>
    </row>
    <row r="14" spans="1:7" ht="126" customHeight="1" x14ac:dyDescent="0.3">
      <c r="A14" s="122" t="s">
        <v>992</v>
      </c>
      <c r="B14" s="122" t="s">
        <v>5307</v>
      </c>
      <c r="C14" s="122" t="s">
        <v>5308</v>
      </c>
      <c r="D14" s="122" t="s">
        <v>5309</v>
      </c>
      <c r="E14" s="122" t="s">
        <v>5310</v>
      </c>
      <c r="F14" s="122" t="s">
        <v>5311</v>
      </c>
      <c r="G14" s="122" t="s">
        <v>5312</v>
      </c>
    </row>
    <row r="15" spans="1:7" ht="26.4" x14ac:dyDescent="0.3">
      <c r="A15" s="67" t="s">
        <v>114</v>
      </c>
      <c r="B15" s="67" t="s">
        <v>5313</v>
      </c>
      <c r="C15" s="67" t="s">
        <v>5314</v>
      </c>
      <c r="D15" s="67" t="s">
        <v>3431</v>
      </c>
      <c r="E15" s="67" t="s">
        <v>5315</v>
      </c>
      <c r="F15" s="67" t="s">
        <v>5316</v>
      </c>
      <c r="G15" s="67" t="s">
        <v>5317</v>
      </c>
    </row>
    <row r="16" spans="1:7" ht="26.4" x14ac:dyDescent="0.3">
      <c r="A16" s="67" t="s">
        <v>5318</v>
      </c>
      <c r="B16" s="67" t="s">
        <v>5319</v>
      </c>
      <c r="C16" s="67" t="s">
        <v>5320</v>
      </c>
      <c r="D16" s="67" t="s">
        <v>3383</v>
      </c>
      <c r="E16" s="67" t="s">
        <v>5321</v>
      </c>
      <c r="F16" s="67" t="s">
        <v>5322</v>
      </c>
      <c r="G16" s="67" t="s">
        <v>5323</v>
      </c>
    </row>
    <row r="18" spans="1:7" ht="109.95" customHeight="1" x14ac:dyDescent="0.3">
      <c r="A18" s="67" t="s">
        <v>106</v>
      </c>
      <c r="B18" s="67" t="s">
        <v>5324</v>
      </c>
      <c r="C18" s="67" t="s">
        <v>5325</v>
      </c>
      <c r="D18" s="67" t="s">
        <v>5326</v>
      </c>
      <c r="E18" s="67" t="s">
        <v>5327</v>
      </c>
      <c r="F18" s="67" t="s">
        <v>5328</v>
      </c>
      <c r="G18" s="67" t="s">
        <v>5329</v>
      </c>
    </row>
    <row r="19" spans="1:7" ht="109.95" customHeight="1" x14ac:dyDescent="0.3">
      <c r="A19" s="67" t="s">
        <v>86</v>
      </c>
      <c r="B19" s="67" t="s">
        <v>5330</v>
      </c>
      <c r="C19" s="67" t="s">
        <v>5331</v>
      </c>
      <c r="D19" s="67" t="s">
        <v>5332</v>
      </c>
      <c r="E19" s="67" t="s">
        <v>5333</v>
      </c>
      <c r="F19" s="67" t="s">
        <v>5334</v>
      </c>
      <c r="G19" s="67" t="s">
        <v>5335</v>
      </c>
    </row>
    <row r="20" spans="1:7" ht="109.95" customHeight="1" x14ac:dyDescent="0.3">
      <c r="A20" s="67" t="s">
        <v>86</v>
      </c>
      <c r="B20" s="67" t="s">
        <v>5336</v>
      </c>
      <c r="C20" s="67" t="s">
        <v>5337</v>
      </c>
      <c r="D20" s="67" t="s">
        <v>5338</v>
      </c>
      <c r="E20" s="67" t="s">
        <v>5339</v>
      </c>
      <c r="F20" s="67" t="s">
        <v>5340</v>
      </c>
      <c r="G20" s="67" t="s">
        <v>5341</v>
      </c>
    </row>
    <row r="21" spans="1:7" ht="109.95" customHeight="1" x14ac:dyDescent="0.3">
      <c r="A21" s="67" t="s">
        <v>114</v>
      </c>
      <c r="B21" s="67" t="s">
        <v>5342</v>
      </c>
      <c r="C21" s="67" t="s">
        <v>5343</v>
      </c>
      <c r="D21" s="67" t="s">
        <v>5344</v>
      </c>
      <c r="E21" s="67" t="s">
        <v>5345</v>
      </c>
      <c r="F21" s="67" t="s">
        <v>5346</v>
      </c>
      <c r="G21" s="67" t="s">
        <v>5347</v>
      </c>
    </row>
    <row r="22" spans="1:7" ht="109.95" customHeight="1" x14ac:dyDescent="0.3">
      <c r="A22" s="67" t="s">
        <v>114</v>
      </c>
      <c r="B22" s="67" t="s">
        <v>5348</v>
      </c>
      <c r="C22" s="67" t="s">
        <v>5349</v>
      </c>
      <c r="D22" s="67" t="s">
        <v>5350</v>
      </c>
      <c r="E22" s="67" t="s">
        <v>5351</v>
      </c>
      <c r="F22" s="67" t="s">
        <v>5352</v>
      </c>
      <c r="G22" s="67" t="s">
        <v>5353</v>
      </c>
    </row>
    <row r="23" spans="1:7" ht="109.95" customHeight="1" x14ac:dyDescent="0.3">
      <c r="A23" s="67" t="s">
        <v>68</v>
      </c>
      <c r="B23" s="67" t="s">
        <v>5354</v>
      </c>
      <c r="C23" s="67" t="s">
        <v>5355</v>
      </c>
      <c r="D23" s="67" t="s">
        <v>5356</v>
      </c>
      <c r="E23" s="67" t="s">
        <v>5357</v>
      </c>
      <c r="F23" s="67" t="s">
        <v>5358</v>
      </c>
      <c r="G23" s="67" t="s">
        <v>5359</v>
      </c>
    </row>
    <row r="24" spans="1:7" ht="109.95" customHeight="1" x14ac:dyDescent="0.3">
      <c r="A24" s="67" t="s">
        <v>5360</v>
      </c>
      <c r="B24" s="67" t="s">
        <v>5361</v>
      </c>
      <c r="C24" s="67" t="s">
        <v>5362</v>
      </c>
      <c r="D24" s="67" t="s">
        <v>5363</v>
      </c>
      <c r="E24" s="67" t="s">
        <v>5364</v>
      </c>
      <c r="F24" s="67" t="s">
        <v>5365</v>
      </c>
      <c r="G24" s="67" t="s">
        <v>5366</v>
      </c>
    </row>
    <row r="25" spans="1:7" ht="109.95" customHeight="1" x14ac:dyDescent="0.3">
      <c r="A25" s="67" t="s">
        <v>992</v>
      </c>
      <c r="B25" s="67" t="s">
        <v>5367</v>
      </c>
      <c r="C25" s="67" t="s">
        <v>5368</v>
      </c>
      <c r="D25" s="67"/>
      <c r="E25" s="67" t="s">
        <v>5369</v>
      </c>
      <c r="F25" s="67" t="s">
        <v>5370</v>
      </c>
      <c r="G25" s="67" t="s">
        <v>5371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68"/>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1" width="8" customWidth="1"/>
    <col min="2" max="2" width="42" customWidth="1"/>
    <col min="3" max="3" width="26" customWidth="1"/>
    <col min="4" max="4" width="17" customWidth="1"/>
    <col min="5" max="5" width="21" customWidth="1"/>
    <col min="6" max="7" width="18" customWidth="1"/>
    <col min="8" max="8" width="85" customWidth="1"/>
    <col min="9" max="9" width="72" customWidth="1"/>
    <col min="10" max="10" width="105" customWidth="1"/>
  </cols>
  <sheetData>
    <row r="1" spans="1:10" ht="25.95" customHeight="1" x14ac:dyDescent="0.3">
      <c r="A1" s="50"/>
      <c r="B1" s="50"/>
      <c r="C1" s="50"/>
      <c r="D1" s="50"/>
      <c r="E1" s="50"/>
      <c r="F1" s="50"/>
      <c r="G1" s="50"/>
      <c r="H1" s="50"/>
      <c r="I1" s="50"/>
      <c r="J1" s="50"/>
    </row>
    <row r="2" spans="1:10" ht="25.95" customHeight="1" x14ac:dyDescent="0.3">
      <c r="A2" s="51" t="s">
        <v>9360</v>
      </c>
      <c r="B2" s="50"/>
      <c r="C2" s="50"/>
      <c r="D2" s="50"/>
      <c r="E2" s="50"/>
      <c r="F2" s="50"/>
      <c r="G2" s="50"/>
      <c r="H2" s="50"/>
      <c r="I2" s="50"/>
      <c r="J2" s="50"/>
    </row>
    <row r="3" spans="1:10" ht="25.95" customHeight="1" x14ac:dyDescent="0.3">
      <c r="A3" s="117" t="s">
        <v>5372</v>
      </c>
      <c r="B3" s="50"/>
      <c r="C3" s="50"/>
      <c r="D3" s="50"/>
      <c r="E3" s="50"/>
      <c r="F3" s="50"/>
      <c r="G3" s="50"/>
      <c r="H3" s="50"/>
      <c r="I3" s="50"/>
      <c r="J3" s="50"/>
    </row>
    <row r="4" spans="1:10" ht="25.95" customHeight="1" x14ac:dyDescent="0.3">
      <c r="A4" s="50"/>
      <c r="B4" s="50"/>
      <c r="C4" s="50"/>
      <c r="D4" s="50"/>
      <c r="E4" s="50"/>
      <c r="F4" s="50"/>
      <c r="G4" s="50"/>
      <c r="H4" s="50"/>
      <c r="I4" s="50"/>
      <c r="J4" s="50"/>
    </row>
    <row r="5" spans="1:10" ht="40.049999999999997" customHeight="1" x14ac:dyDescent="0.3">
      <c r="A5" s="118" t="s">
        <v>907</v>
      </c>
      <c r="B5" s="118" t="s">
        <v>908</v>
      </c>
      <c r="C5" s="118" t="s">
        <v>906</v>
      </c>
      <c r="D5" s="118" t="s">
        <v>3534</v>
      </c>
      <c r="E5" s="118" t="s">
        <v>5373</v>
      </c>
      <c r="F5" s="118" t="s">
        <v>5374</v>
      </c>
      <c r="G5" s="118" t="s">
        <v>5375</v>
      </c>
      <c r="H5" s="118" t="s">
        <v>5376</v>
      </c>
      <c r="I5" s="118" t="s">
        <v>5377</v>
      </c>
      <c r="J5" s="118" t="s">
        <v>5378</v>
      </c>
    </row>
    <row r="6" spans="1:10" ht="61.95" customHeight="1" x14ac:dyDescent="0.3">
      <c r="A6" s="119">
        <v>1</v>
      </c>
      <c r="B6" s="119" t="s">
        <v>19</v>
      </c>
      <c r="C6" s="119" t="s">
        <v>459</v>
      </c>
      <c r="D6" s="119" t="s">
        <v>3544</v>
      </c>
      <c r="E6" s="119">
        <v>25</v>
      </c>
      <c r="F6" s="119">
        <f>COUNTIFS('Ratio Verification'!C6:C830,A6,'Ratio Verification'!N6:N830,"PASS")</f>
        <v>25</v>
      </c>
      <c r="G6" s="119">
        <f>COUNTIFS('Ratio Verification'!C6:C830,A6,'Ratio Verification'!N6:N830,"FAIL")</f>
        <v>0</v>
      </c>
      <c r="H6" s="122" t="s">
        <v>461</v>
      </c>
      <c r="I6" s="122" t="s">
        <v>5379</v>
      </c>
      <c r="J6" s="122" t="s">
        <v>5380</v>
      </c>
    </row>
    <row r="7" spans="1:10" ht="61.95" customHeight="1" x14ac:dyDescent="0.3">
      <c r="A7" s="50">
        <v>2</v>
      </c>
      <c r="B7" s="50" t="s">
        <v>30</v>
      </c>
      <c r="C7" s="50" t="s">
        <v>459</v>
      </c>
      <c r="D7" s="50" t="s">
        <v>3544</v>
      </c>
      <c r="E7" s="50">
        <v>25</v>
      </c>
      <c r="F7" s="50">
        <f>COUNTIFS('Ratio Verification'!C6:C830,A7,'Ratio Verification'!N6:N830,"PASS")</f>
        <v>25</v>
      </c>
      <c r="G7" s="50">
        <f>COUNTIFS('Ratio Verification'!C6:C830,A7,'Ratio Verification'!N6:N830,"FAIL")</f>
        <v>0</v>
      </c>
      <c r="H7" s="68" t="s">
        <v>464</v>
      </c>
      <c r="I7" s="68" t="s">
        <v>5379</v>
      </c>
      <c r="J7" s="68" t="s">
        <v>5380</v>
      </c>
    </row>
    <row r="8" spans="1:10" ht="61.95" customHeight="1" x14ac:dyDescent="0.3">
      <c r="A8" s="119">
        <v>3</v>
      </c>
      <c r="B8" s="119" t="s">
        <v>145</v>
      </c>
      <c r="C8" s="119" t="s">
        <v>459</v>
      </c>
      <c r="D8" s="119" t="s">
        <v>3544</v>
      </c>
      <c r="E8" s="119">
        <v>25</v>
      </c>
      <c r="F8" s="119">
        <f>COUNTIFS('Ratio Verification'!C6:C830,A8,'Ratio Verification'!N6:N830,"PASS")</f>
        <v>25</v>
      </c>
      <c r="G8" s="119">
        <f>COUNTIFS('Ratio Verification'!C6:C830,A8,'Ratio Verification'!N6:N830,"FAIL")</f>
        <v>0</v>
      </c>
      <c r="H8" s="122" t="s">
        <v>466</v>
      </c>
      <c r="I8" s="122" t="s">
        <v>5379</v>
      </c>
      <c r="J8" s="122" t="s">
        <v>5380</v>
      </c>
    </row>
    <row r="9" spans="1:10" ht="61.95" customHeight="1" x14ac:dyDescent="0.3">
      <c r="A9" s="50">
        <v>4</v>
      </c>
      <c r="B9" s="50" t="s">
        <v>201</v>
      </c>
      <c r="C9" s="50" t="s">
        <v>459</v>
      </c>
      <c r="D9" s="50" t="s">
        <v>3545</v>
      </c>
      <c r="E9" s="50">
        <v>25</v>
      </c>
      <c r="F9" s="50">
        <f>COUNTIFS('Ratio Verification'!C6:C830,A9,'Ratio Verification'!N6:N830,"PASS")</f>
        <v>25</v>
      </c>
      <c r="G9" s="50">
        <f>COUNTIFS('Ratio Verification'!C6:C830,A9,'Ratio Verification'!N6:N830,"FAIL")</f>
        <v>0</v>
      </c>
      <c r="H9" s="68" t="s">
        <v>468</v>
      </c>
      <c r="I9" s="68" t="s">
        <v>5379</v>
      </c>
      <c r="J9" s="68" t="s">
        <v>5380</v>
      </c>
    </row>
    <row r="10" spans="1:10" ht="61.95" customHeight="1" x14ac:dyDescent="0.3">
      <c r="A10" s="119">
        <v>5</v>
      </c>
      <c r="B10" s="119" t="s">
        <v>923</v>
      </c>
      <c r="C10" s="119" t="s">
        <v>459</v>
      </c>
      <c r="D10" s="119" t="s">
        <v>3545</v>
      </c>
      <c r="E10" s="119">
        <v>25</v>
      </c>
      <c r="F10" s="119">
        <f>COUNTIFS('Ratio Verification'!C6:C830,A10,'Ratio Verification'!N6:N830,"PASS")</f>
        <v>25</v>
      </c>
      <c r="G10" s="119">
        <f>COUNTIFS('Ratio Verification'!C6:C830,A10,'Ratio Verification'!N6:N830,"FAIL")</f>
        <v>0</v>
      </c>
      <c r="H10" s="122" t="s">
        <v>470</v>
      </c>
      <c r="I10" s="122" t="s">
        <v>5379</v>
      </c>
      <c r="J10" s="122" t="s">
        <v>5380</v>
      </c>
    </row>
    <row r="11" spans="1:10" ht="61.95" customHeight="1" x14ac:dyDescent="0.3">
      <c r="A11" s="50">
        <v>6</v>
      </c>
      <c r="B11" s="50" t="s">
        <v>31</v>
      </c>
      <c r="C11" s="50" t="s">
        <v>471</v>
      </c>
      <c r="D11" s="50" t="s">
        <v>3544</v>
      </c>
      <c r="E11" s="50">
        <v>25</v>
      </c>
      <c r="F11" s="50">
        <f>COUNTIFS('Ratio Verification'!C6:C830,A11,'Ratio Verification'!N6:N830,"PASS")</f>
        <v>25</v>
      </c>
      <c r="G11" s="50">
        <f>COUNTIFS('Ratio Verification'!C6:C830,A11,'Ratio Verification'!N6:N830,"FAIL")</f>
        <v>0</v>
      </c>
      <c r="H11" s="68" t="s">
        <v>473</v>
      </c>
      <c r="I11" s="68" t="s">
        <v>5379</v>
      </c>
      <c r="J11" s="68" t="s">
        <v>5380</v>
      </c>
    </row>
    <row r="12" spans="1:10" ht="61.95" customHeight="1" x14ac:dyDescent="0.3">
      <c r="A12" s="119">
        <v>7</v>
      </c>
      <c r="B12" s="119" t="s">
        <v>129</v>
      </c>
      <c r="C12" s="119" t="s">
        <v>471</v>
      </c>
      <c r="D12" s="119" t="s">
        <v>3545</v>
      </c>
      <c r="E12" s="119">
        <v>25</v>
      </c>
      <c r="F12" s="119">
        <f>COUNTIFS('Ratio Verification'!C6:C830,A12,'Ratio Verification'!N6:N830,"PASS")</f>
        <v>25</v>
      </c>
      <c r="G12" s="119">
        <f>COUNTIFS('Ratio Verification'!C6:C830,A12,'Ratio Verification'!N6:N830,"FAIL")</f>
        <v>0</v>
      </c>
      <c r="H12" s="122" t="s">
        <v>475</v>
      </c>
      <c r="I12" s="122" t="s">
        <v>5379</v>
      </c>
      <c r="J12" s="122" t="s">
        <v>5380</v>
      </c>
    </row>
    <row r="13" spans="1:10" ht="61.95" customHeight="1" x14ac:dyDescent="0.3">
      <c r="A13" s="50">
        <v>8</v>
      </c>
      <c r="B13" s="50" t="s">
        <v>133</v>
      </c>
      <c r="C13" s="50" t="s">
        <v>471</v>
      </c>
      <c r="D13" s="50" t="s">
        <v>3545</v>
      </c>
      <c r="E13" s="50">
        <v>25</v>
      </c>
      <c r="F13" s="50">
        <f>COUNTIFS('Ratio Verification'!C6:C830,A13,'Ratio Verification'!N6:N830,"PASS")</f>
        <v>25</v>
      </c>
      <c r="G13" s="50">
        <f>COUNTIFS('Ratio Verification'!C6:C830,A13,'Ratio Verification'!N6:N830,"FAIL")</f>
        <v>0</v>
      </c>
      <c r="H13" s="68" t="s">
        <v>477</v>
      </c>
      <c r="I13" s="68" t="s">
        <v>5379</v>
      </c>
      <c r="J13" s="68" t="s">
        <v>5381</v>
      </c>
    </row>
    <row r="14" spans="1:10" ht="61.95" customHeight="1" x14ac:dyDescent="0.3">
      <c r="A14" s="119">
        <v>9</v>
      </c>
      <c r="B14" s="119" t="s">
        <v>134</v>
      </c>
      <c r="C14" s="119" t="s">
        <v>471</v>
      </c>
      <c r="D14" s="119" t="s">
        <v>3545</v>
      </c>
      <c r="E14" s="119">
        <v>25</v>
      </c>
      <c r="F14" s="119">
        <f>COUNTIFS('Ratio Verification'!C6:C830,A14,'Ratio Verification'!N6:N830,"PASS")</f>
        <v>25</v>
      </c>
      <c r="G14" s="119">
        <f>COUNTIFS('Ratio Verification'!C6:C830,A14,'Ratio Verification'!N6:N830,"FAIL")</f>
        <v>0</v>
      </c>
      <c r="H14" s="122" t="s">
        <v>479</v>
      </c>
      <c r="I14" s="122" t="s">
        <v>5379</v>
      </c>
      <c r="J14" s="122" t="s">
        <v>5380</v>
      </c>
    </row>
    <row r="15" spans="1:10" ht="61.95" customHeight="1" x14ac:dyDescent="0.3">
      <c r="A15" s="50">
        <v>10</v>
      </c>
      <c r="B15" s="50" t="s">
        <v>187</v>
      </c>
      <c r="C15" s="50" t="s">
        <v>471</v>
      </c>
      <c r="D15" s="50" t="s">
        <v>3544</v>
      </c>
      <c r="E15" s="50">
        <v>25</v>
      </c>
      <c r="F15" s="50">
        <f>COUNTIFS('Ratio Verification'!C6:C830,A15,'Ratio Verification'!N6:N830,"PASS")</f>
        <v>25</v>
      </c>
      <c r="G15" s="50">
        <f>COUNTIFS('Ratio Verification'!C6:C830,A15,'Ratio Verification'!N6:N830,"FAIL")</f>
        <v>0</v>
      </c>
      <c r="H15" s="68" t="s">
        <v>482</v>
      </c>
      <c r="I15" s="68" t="s">
        <v>5379</v>
      </c>
      <c r="J15" s="68" t="s">
        <v>5380</v>
      </c>
    </row>
    <row r="16" spans="1:10" ht="61.95" customHeight="1" x14ac:dyDescent="0.3">
      <c r="A16" s="119">
        <v>11</v>
      </c>
      <c r="B16" s="119" t="s">
        <v>190</v>
      </c>
      <c r="C16" s="119" t="s">
        <v>471</v>
      </c>
      <c r="D16" s="119" t="s">
        <v>3545</v>
      </c>
      <c r="E16" s="119">
        <v>25</v>
      </c>
      <c r="F16" s="119">
        <f>COUNTIFS('Ratio Verification'!C6:C830,A16,'Ratio Verification'!N6:N830,"PASS")</f>
        <v>25</v>
      </c>
      <c r="G16" s="119">
        <f>COUNTIFS('Ratio Verification'!C6:C830,A16,'Ratio Verification'!N6:N830,"FAIL")</f>
        <v>0</v>
      </c>
      <c r="H16" s="122" t="s">
        <v>484</v>
      </c>
      <c r="I16" s="122" t="s">
        <v>5379</v>
      </c>
      <c r="J16" s="122" t="s">
        <v>5381</v>
      </c>
    </row>
    <row r="17" spans="1:10" ht="61.95" customHeight="1" x14ac:dyDescent="0.3">
      <c r="A17" s="50">
        <v>12</v>
      </c>
      <c r="B17" s="50" t="s">
        <v>192</v>
      </c>
      <c r="C17" s="50" t="s">
        <v>471</v>
      </c>
      <c r="D17" s="50" t="s">
        <v>3545</v>
      </c>
      <c r="E17" s="50">
        <v>25</v>
      </c>
      <c r="F17" s="50">
        <f>COUNTIFS('Ratio Verification'!C6:C830,A17,'Ratio Verification'!N6:N830,"PASS")</f>
        <v>25</v>
      </c>
      <c r="G17" s="50">
        <f>COUNTIFS('Ratio Verification'!C6:C830,A17,'Ratio Verification'!N6:N830,"FAIL")</f>
        <v>0</v>
      </c>
      <c r="H17" s="68" t="s">
        <v>486</v>
      </c>
      <c r="I17" s="68" t="s">
        <v>5379</v>
      </c>
      <c r="J17" s="68" t="s">
        <v>5380</v>
      </c>
    </row>
    <row r="18" spans="1:10" ht="61.95" customHeight="1" x14ac:dyDescent="0.3">
      <c r="A18" s="119">
        <v>13</v>
      </c>
      <c r="B18" s="119" t="s">
        <v>150</v>
      </c>
      <c r="C18" s="119" t="s">
        <v>471</v>
      </c>
      <c r="D18" s="119" t="s">
        <v>3545</v>
      </c>
      <c r="E18" s="119">
        <v>25</v>
      </c>
      <c r="F18" s="119">
        <f>COUNTIFS('Ratio Verification'!C6:C830,A18,'Ratio Verification'!N6:N830,"PASS")</f>
        <v>25</v>
      </c>
      <c r="G18" s="119">
        <f>COUNTIFS('Ratio Verification'!C6:C830,A18,'Ratio Verification'!N6:N830,"FAIL")</f>
        <v>0</v>
      </c>
      <c r="H18" s="122" t="s">
        <v>488</v>
      </c>
      <c r="I18" s="122" t="s">
        <v>5379</v>
      </c>
      <c r="J18" s="122" t="s">
        <v>5381</v>
      </c>
    </row>
    <row r="19" spans="1:10" ht="61.95" customHeight="1" x14ac:dyDescent="0.3">
      <c r="A19" s="50">
        <v>14</v>
      </c>
      <c r="B19" s="50" t="s">
        <v>196</v>
      </c>
      <c r="C19" s="50" t="s">
        <v>471</v>
      </c>
      <c r="D19" s="50" t="s">
        <v>3544</v>
      </c>
      <c r="E19" s="50">
        <v>25</v>
      </c>
      <c r="F19" s="50">
        <f>COUNTIFS('Ratio Verification'!C6:C830,A19,'Ratio Verification'!N6:N830,"PASS")</f>
        <v>25</v>
      </c>
      <c r="G19" s="50">
        <f>COUNTIFS('Ratio Verification'!C6:C830,A19,'Ratio Verification'!N6:N830,"FAIL")</f>
        <v>0</v>
      </c>
      <c r="H19" s="68" t="s">
        <v>490</v>
      </c>
      <c r="I19" s="68" t="s">
        <v>5379</v>
      </c>
      <c r="J19" s="68" t="s">
        <v>5380</v>
      </c>
    </row>
    <row r="20" spans="1:10" ht="61.95" customHeight="1" x14ac:dyDescent="0.3">
      <c r="A20" s="119">
        <v>15</v>
      </c>
      <c r="B20" s="119" t="s">
        <v>199</v>
      </c>
      <c r="C20" s="119" t="s">
        <v>471</v>
      </c>
      <c r="D20" s="119" t="s">
        <v>3544</v>
      </c>
      <c r="E20" s="119">
        <v>25</v>
      </c>
      <c r="F20" s="119">
        <f>COUNTIFS('Ratio Verification'!C6:C830,A20,'Ratio Verification'!N6:N830,"PASS")</f>
        <v>25</v>
      </c>
      <c r="G20" s="119">
        <f>COUNTIFS('Ratio Verification'!C6:C830,A20,'Ratio Verification'!N6:N830,"FAIL")</f>
        <v>0</v>
      </c>
      <c r="H20" s="122" t="s">
        <v>492</v>
      </c>
      <c r="I20" s="122" t="s">
        <v>5379</v>
      </c>
      <c r="J20" s="122" t="s">
        <v>5380</v>
      </c>
    </row>
    <row r="21" spans="1:10" ht="61.95" customHeight="1" x14ac:dyDescent="0.3">
      <c r="A21" s="50">
        <v>16</v>
      </c>
      <c r="B21" s="50" t="s">
        <v>932</v>
      </c>
      <c r="C21" s="50" t="s">
        <v>493</v>
      </c>
      <c r="D21" s="50" t="s">
        <v>3544</v>
      </c>
      <c r="E21" s="50">
        <v>25</v>
      </c>
      <c r="F21" s="50">
        <f>COUNTIFS('Ratio Verification'!C6:C830,A21,'Ratio Verification'!N6:N830,"PASS")</f>
        <v>25</v>
      </c>
      <c r="G21" s="50">
        <f>COUNTIFS('Ratio Verification'!C6:C830,A21,'Ratio Verification'!N6:N830,"FAIL")</f>
        <v>0</v>
      </c>
      <c r="H21" s="68" t="s">
        <v>495</v>
      </c>
      <c r="I21" s="68" t="s">
        <v>5379</v>
      </c>
      <c r="J21" s="68" t="s">
        <v>5380</v>
      </c>
    </row>
    <row r="22" spans="1:10" ht="61.95" customHeight="1" x14ac:dyDescent="0.3">
      <c r="A22" s="119">
        <v>17</v>
      </c>
      <c r="B22" s="119" t="s">
        <v>151</v>
      </c>
      <c r="C22" s="119" t="s">
        <v>493</v>
      </c>
      <c r="D22" s="119" t="s">
        <v>3544</v>
      </c>
      <c r="E22" s="119">
        <v>25</v>
      </c>
      <c r="F22" s="119">
        <f>COUNTIFS('Ratio Verification'!C6:C830,A22,'Ratio Verification'!N6:N830,"PASS")</f>
        <v>25</v>
      </c>
      <c r="G22" s="119">
        <f>COUNTIFS('Ratio Verification'!C6:C830,A22,'Ratio Verification'!N6:N830,"FAIL")</f>
        <v>0</v>
      </c>
      <c r="H22" s="122" t="s">
        <v>497</v>
      </c>
      <c r="I22" s="122" t="s">
        <v>5379</v>
      </c>
      <c r="J22" s="122" t="s">
        <v>5380</v>
      </c>
    </row>
    <row r="23" spans="1:10" ht="61.95" customHeight="1" x14ac:dyDescent="0.3">
      <c r="A23" s="50">
        <v>18</v>
      </c>
      <c r="B23" s="50" t="s">
        <v>935</v>
      </c>
      <c r="C23" s="50" t="s">
        <v>493</v>
      </c>
      <c r="D23" s="50" t="s">
        <v>3545</v>
      </c>
      <c r="E23" s="50">
        <v>25</v>
      </c>
      <c r="F23" s="50">
        <f>COUNTIFS('Ratio Verification'!C6:C830,A23,'Ratio Verification'!N6:N830,"PASS")</f>
        <v>25</v>
      </c>
      <c r="G23" s="50">
        <f>COUNTIFS('Ratio Verification'!C6:C830,A23,'Ratio Verification'!N6:N830,"FAIL")</f>
        <v>0</v>
      </c>
      <c r="H23" s="68" t="s">
        <v>499</v>
      </c>
      <c r="I23" s="68" t="s">
        <v>5379</v>
      </c>
      <c r="J23" s="68" t="s">
        <v>5380</v>
      </c>
    </row>
    <row r="24" spans="1:10" ht="61.95" customHeight="1" x14ac:dyDescent="0.3">
      <c r="A24" s="119">
        <v>19</v>
      </c>
      <c r="B24" s="119" t="s">
        <v>936</v>
      </c>
      <c r="C24" s="119" t="s">
        <v>493</v>
      </c>
      <c r="D24" s="119" t="s">
        <v>3545</v>
      </c>
      <c r="E24" s="119">
        <v>25</v>
      </c>
      <c r="F24" s="119">
        <f>COUNTIFS('Ratio Verification'!C6:C830,A24,'Ratio Verification'!N6:N830,"PASS")</f>
        <v>25</v>
      </c>
      <c r="G24" s="119">
        <f>COUNTIFS('Ratio Verification'!C6:C830,A24,'Ratio Verification'!N6:N830,"FAIL")</f>
        <v>0</v>
      </c>
      <c r="H24" s="122" t="s">
        <v>501</v>
      </c>
      <c r="I24" s="122" t="s">
        <v>5379</v>
      </c>
      <c r="J24" s="122" t="s">
        <v>5380</v>
      </c>
    </row>
    <row r="25" spans="1:10" ht="61.95" customHeight="1" x14ac:dyDescent="0.3">
      <c r="A25" s="50">
        <v>20</v>
      </c>
      <c r="B25" s="50" t="s">
        <v>938</v>
      </c>
      <c r="C25" s="50" t="s">
        <v>493</v>
      </c>
      <c r="D25" s="50" t="s">
        <v>3544</v>
      </c>
      <c r="E25" s="50">
        <v>25</v>
      </c>
      <c r="F25" s="50">
        <f>COUNTIFS('Ratio Verification'!C6:C830,A25,'Ratio Verification'!N6:N830,"PASS")</f>
        <v>25</v>
      </c>
      <c r="G25" s="50">
        <f>COUNTIFS('Ratio Verification'!C6:C830,A25,'Ratio Verification'!N6:N830,"FAIL")</f>
        <v>0</v>
      </c>
      <c r="H25" s="68" t="s">
        <v>503</v>
      </c>
      <c r="I25" s="68" t="s">
        <v>5379</v>
      </c>
      <c r="J25" s="68" t="s">
        <v>5380</v>
      </c>
    </row>
    <row r="26" spans="1:10" ht="61.95" customHeight="1" x14ac:dyDescent="0.3">
      <c r="A26" s="119">
        <v>21</v>
      </c>
      <c r="B26" s="119" t="s">
        <v>154</v>
      </c>
      <c r="C26" s="119" t="s">
        <v>504</v>
      </c>
      <c r="D26" s="119" t="s">
        <v>3544</v>
      </c>
      <c r="E26" s="119">
        <v>25</v>
      </c>
      <c r="F26" s="119">
        <f>COUNTIFS('Ratio Verification'!C6:C830,A26,'Ratio Verification'!N6:N830,"PASS")</f>
        <v>25</v>
      </c>
      <c r="G26" s="119">
        <f>COUNTIFS('Ratio Verification'!C6:C830,A26,'Ratio Verification'!N6:N830,"FAIL")</f>
        <v>0</v>
      </c>
      <c r="H26" s="122" t="s">
        <v>506</v>
      </c>
      <c r="I26" s="122" t="s">
        <v>5379</v>
      </c>
      <c r="J26" s="122" t="s">
        <v>5380</v>
      </c>
    </row>
    <row r="27" spans="1:10" ht="61.95" customHeight="1" x14ac:dyDescent="0.3">
      <c r="A27" s="50">
        <v>22</v>
      </c>
      <c r="B27" s="50" t="s">
        <v>942</v>
      </c>
      <c r="C27" s="50" t="s">
        <v>504</v>
      </c>
      <c r="D27" s="50" t="s">
        <v>3544</v>
      </c>
      <c r="E27" s="50">
        <v>25</v>
      </c>
      <c r="F27" s="50">
        <f>COUNTIFS('Ratio Verification'!C6:C830,A27,'Ratio Verification'!N6:N830,"PASS")</f>
        <v>25</v>
      </c>
      <c r="G27" s="50">
        <f>COUNTIFS('Ratio Verification'!C6:C830,A27,'Ratio Verification'!N6:N830,"FAIL")</f>
        <v>0</v>
      </c>
      <c r="H27" s="68" t="s">
        <v>508</v>
      </c>
      <c r="I27" s="68" t="s">
        <v>5379</v>
      </c>
      <c r="J27" s="68" t="s">
        <v>5380</v>
      </c>
    </row>
    <row r="28" spans="1:10" ht="61.95" customHeight="1" x14ac:dyDescent="0.3">
      <c r="A28" s="119">
        <v>23</v>
      </c>
      <c r="B28" s="119" t="s">
        <v>155</v>
      </c>
      <c r="C28" s="119" t="s">
        <v>504</v>
      </c>
      <c r="D28" s="119" t="s">
        <v>3544</v>
      </c>
      <c r="E28" s="119">
        <v>25</v>
      </c>
      <c r="F28" s="119">
        <f>COUNTIFS('Ratio Verification'!C6:C830,A28,'Ratio Verification'!N6:N830,"PASS")</f>
        <v>25</v>
      </c>
      <c r="G28" s="119">
        <f>COUNTIFS('Ratio Verification'!C6:C830,A28,'Ratio Verification'!N6:N830,"FAIL")</f>
        <v>0</v>
      </c>
      <c r="H28" s="122" t="s">
        <v>510</v>
      </c>
      <c r="I28" s="122" t="s">
        <v>5379</v>
      </c>
      <c r="J28" s="122" t="s">
        <v>5380</v>
      </c>
    </row>
    <row r="29" spans="1:10" ht="61.95" customHeight="1" x14ac:dyDescent="0.3">
      <c r="A29" s="50">
        <v>24</v>
      </c>
      <c r="B29" s="50" t="s">
        <v>136</v>
      </c>
      <c r="C29" s="50" t="s">
        <v>504</v>
      </c>
      <c r="D29" s="50" t="s">
        <v>3544</v>
      </c>
      <c r="E29" s="50">
        <v>25</v>
      </c>
      <c r="F29" s="50">
        <f>COUNTIFS('Ratio Verification'!C6:C830,A29,'Ratio Verification'!N6:N830,"PASS")</f>
        <v>25</v>
      </c>
      <c r="G29" s="50">
        <f>COUNTIFS('Ratio Verification'!C6:C830,A29,'Ratio Verification'!N6:N830,"FAIL")</f>
        <v>0</v>
      </c>
      <c r="H29" s="68" t="s">
        <v>512</v>
      </c>
      <c r="I29" s="68" t="s">
        <v>5379</v>
      </c>
      <c r="J29" s="68" t="s">
        <v>5380</v>
      </c>
    </row>
    <row r="30" spans="1:10" ht="61.95" customHeight="1" x14ac:dyDescent="0.3">
      <c r="A30" s="119">
        <v>25</v>
      </c>
      <c r="B30" s="119" t="s">
        <v>53</v>
      </c>
      <c r="C30" s="119" t="s">
        <v>504</v>
      </c>
      <c r="D30" s="119" t="s">
        <v>3544</v>
      </c>
      <c r="E30" s="119">
        <v>25</v>
      </c>
      <c r="F30" s="119">
        <f>COUNTIFS('Ratio Verification'!C6:C830,A30,'Ratio Verification'!N6:N830,"PASS")</f>
        <v>25</v>
      </c>
      <c r="G30" s="119">
        <f>COUNTIFS('Ratio Verification'!C6:C830,A30,'Ratio Verification'!N6:N830,"FAIL")</f>
        <v>0</v>
      </c>
      <c r="H30" s="122" t="s">
        <v>514</v>
      </c>
      <c r="I30" s="122" t="s">
        <v>5379</v>
      </c>
      <c r="J30" s="122" t="s">
        <v>5380</v>
      </c>
    </row>
    <row r="31" spans="1:10" ht="61.95" customHeight="1" x14ac:dyDescent="0.3">
      <c r="A31" s="50">
        <v>26</v>
      </c>
      <c r="B31" s="50" t="s">
        <v>944</v>
      </c>
      <c r="C31" s="50" t="s">
        <v>504</v>
      </c>
      <c r="D31" s="50" t="s">
        <v>3545</v>
      </c>
      <c r="E31" s="50">
        <v>25</v>
      </c>
      <c r="F31" s="50">
        <f>COUNTIFS('Ratio Verification'!C6:C830,A31,'Ratio Verification'!N6:N830,"PASS")</f>
        <v>25</v>
      </c>
      <c r="G31" s="50">
        <f>COUNTIFS('Ratio Verification'!C6:C830,A31,'Ratio Verification'!N6:N830,"FAIL")</f>
        <v>0</v>
      </c>
      <c r="H31" s="68" t="s">
        <v>516</v>
      </c>
      <c r="I31" s="68" t="s">
        <v>5379</v>
      </c>
      <c r="J31" s="68" t="s">
        <v>5382</v>
      </c>
    </row>
    <row r="32" spans="1:10" ht="61.95" customHeight="1" x14ac:dyDescent="0.3">
      <c r="A32" s="119">
        <v>27</v>
      </c>
      <c r="B32" s="119" t="s">
        <v>945</v>
      </c>
      <c r="C32" s="119" t="s">
        <v>504</v>
      </c>
      <c r="D32" s="119" t="s">
        <v>3545</v>
      </c>
      <c r="E32" s="119">
        <v>25</v>
      </c>
      <c r="F32" s="119">
        <f>COUNTIFS('Ratio Verification'!C6:C830,A32,'Ratio Verification'!N6:N830,"PASS")</f>
        <v>25</v>
      </c>
      <c r="G32" s="119">
        <f>COUNTIFS('Ratio Verification'!C6:C830,A32,'Ratio Verification'!N6:N830,"FAIL")</f>
        <v>0</v>
      </c>
      <c r="H32" s="122" t="s">
        <v>518</v>
      </c>
      <c r="I32" s="122" t="s">
        <v>5379</v>
      </c>
      <c r="J32" s="122" t="s">
        <v>5380</v>
      </c>
    </row>
    <row r="33" spans="1:10" ht="61.95" customHeight="1" x14ac:dyDescent="0.3">
      <c r="A33" s="50">
        <v>28</v>
      </c>
      <c r="B33" s="50" t="s">
        <v>139</v>
      </c>
      <c r="C33" s="50" t="s">
        <v>519</v>
      </c>
      <c r="D33" s="50" t="s">
        <v>3545</v>
      </c>
      <c r="E33" s="50">
        <v>25</v>
      </c>
      <c r="F33" s="50">
        <f>COUNTIFS('Ratio Verification'!C6:C830,A33,'Ratio Verification'!N6:N830,"PASS")</f>
        <v>25</v>
      </c>
      <c r="G33" s="50">
        <f>COUNTIFS('Ratio Verification'!C6:C830,A33,'Ratio Verification'!N6:N830,"FAIL")</f>
        <v>0</v>
      </c>
      <c r="H33" s="68" t="s">
        <v>521</v>
      </c>
      <c r="I33" s="68" t="s">
        <v>5379</v>
      </c>
      <c r="J33" s="68" t="s">
        <v>5383</v>
      </c>
    </row>
    <row r="34" spans="1:10" ht="61.95" customHeight="1" x14ac:dyDescent="0.3">
      <c r="A34" s="119">
        <v>29</v>
      </c>
      <c r="B34" s="119" t="s">
        <v>162</v>
      </c>
      <c r="C34" s="119" t="s">
        <v>519</v>
      </c>
      <c r="D34" s="119" t="s">
        <v>3544</v>
      </c>
      <c r="E34" s="119">
        <v>25</v>
      </c>
      <c r="F34" s="119">
        <f>COUNTIFS('Ratio Verification'!C6:C830,A34,'Ratio Verification'!N6:N830,"PASS")</f>
        <v>25</v>
      </c>
      <c r="G34" s="119">
        <f>COUNTIFS('Ratio Verification'!C6:C830,A34,'Ratio Verification'!N6:N830,"FAIL")</f>
        <v>0</v>
      </c>
      <c r="H34" s="122" t="s">
        <v>523</v>
      </c>
      <c r="I34" s="122" t="s">
        <v>5379</v>
      </c>
      <c r="J34" s="122" t="s">
        <v>5383</v>
      </c>
    </row>
    <row r="35" spans="1:10" ht="61.95" customHeight="1" x14ac:dyDescent="0.3">
      <c r="A35" s="50">
        <v>30</v>
      </c>
      <c r="B35" s="50" t="s">
        <v>143</v>
      </c>
      <c r="C35" s="50" t="s">
        <v>519</v>
      </c>
      <c r="D35" s="50" t="s">
        <v>3544</v>
      </c>
      <c r="E35" s="50">
        <v>25</v>
      </c>
      <c r="F35" s="50">
        <f>COUNTIFS('Ratio Verification'!C6:C830,A35,'Ratio Verification'!N6:N830,"PASS")</f>
        <v>25</v>
      </c>
      <c r="G35" s="50">
        <f>COUNTIFS('Ratio Verification'!C6:C830,A35,'Ratio Verification'!N6:N830,"FAIL")</f>
        <v>0</v>
      </c>
      <c r="H35" s="68" t="s">
        <v>525</v>
      </c>
      <c r="I35" s="68" t="s">
        <v>5379</v>
      </c>
      <c r="J35" s="68" t="s">
        <v>5383</v>
      </c>
    </row>
    <row r="36" spans="1:10" ht="61.95" customHeight="1" x14ac:dyDescent="0.3">
      <c r="A36" s="119">
        <v>31</v>
      </c>
      <c r="B36" s="119" t="s">
        <v>952</v>
      </c>
      <c r="C36" s="119" t="s">
        <v>519</v>
      </c>
      <c r="D36" s="119" t="s">
        <v>3544</v>
      </c>
      <c r="E36" s="119">
        <v>25</v>
      </c>
      <c r="F36" s="119">
        <f>COUNTIFS('Ratio Verification'!C6:C830,A36,'Ratio Verification'!N6:N830,"PASS")</f>
        <v>25</v>
      </c>
      <c r="G36" s="119">
        <f>COUNTIFS('Ratio Verification'!C6:C830,A36,'Ratio Verification'!N6:N830,"FAIL")</f>
        <v>0</v>
      </c>
      <c r="H36" s="122" t="s">
        <v>527</v>
      </c>
      <c r="I36" s="122" t="s">
        <v>5379</v>
      </c>
      <c r="J36" s="122" t="s">
        <v>5383</v>
      </c>
    </row>
    <row r="37" spans="1:10" ht="61.95" customHeight="1" x14ac:dyDescent="0.3">
      <c r="A37" s="50">
        <v>32</v>
      </c>
      <c r="B37" s="50" t="s">
        <v>104</v>
      </c>
      <c r="C37" s="50" t="s">
        <v>519</v>
      </c>
      <c r="D37" s="50" t="s">
        <v>3544</v>
      </c>
      <c r="E37" s="50">
        <v>25</v>
      </c>
      <c r="F37" s="50">
        <f>COUNTIFS('Ratio Verification'!C6:C830,A37,'Ratio Verification'!N6:N830,"PASS")</f>
        <v>25</v>
      </c>
      <c r="G37" s="50">
        <f>COUNTIFS('Ratio Verification'!C6:C830,A37,'Ratio Verification'!N6:N830,"FAIL")</f>
        <v>0</v>
      </c>
      <c r="H37" s="68" t="s">
        <v>529</v>
      </c>
      <c r="I37" s="68" t="s">
        <v>5379</v>
      </c>
      <c r="J37" s="68" t="s">
        <v>5383</v>
      </c>
    </row>
    <row r="38" spans="1:10" ht="61.95" customHeight="1" x14ac:dyDescent="0.3">
      <c r="A38" s="119">
        <v>33</v>
      </c>
      <c r="B38" s="119" t="s">
        <v>124</v>
      </c>
      <c r="C38" s="119" t="s">
        <v>519</v>
      </c>
      <c r="D38" s="119" t="s">
        <v>3545</v>
      </c>
      <c r="E38" s="119">
        <v>25</v>
      </c>
      <c r="F38" s="119">
        <f>COUNTIFS('Ratio Verification'!C6:C830,A38,'Ratio Verification'!N6:N830,"PASS")</f>
        <v>25</v>
      </c>
      <c r="G38" s="119">
        <f>COUNTIFS('Ratio Verification'!C6:C830,A38,'Ratio Verification'!N6:N830,"FAIL")</f>
        <v>0</v>
      </c>
      <c r="H38" s="122" t="s">
        <v>531</v>
      </c>
      <c r="I38" s="122" t="s">
        <v>5379</v>
      </c>
      <c r="J38" s="122" t="s">
        <v>5383</v>
      </c>
    </row>
    <row r="41" spans="1:10" ht="37.950000000000003" customHeight="1" x14ac:dyDescent="0.3">
      <c r="B41" s="1" t="s">
        <v>5384</v>
      </c>
      <c r="C41" s="1"/>
      <c r="D41" s="1"/>
      <c r="E41" s="1"/>
      <c r="F41" s="1"/>
      <c r="G41" s="1"/>
      <c r="H41" s="214" t="s">
        <v>5385</v>
      </c>
      <c r="I41" s="214"/>
      <c r="J41" s="214"/>
    </row>
    <row r="42" spans="1:10" ht="37.950000000000003" customHeight="1" x14ac:dyDescent="0.3">
      <c r="B42" s="1" t="s">
        <v>5386</v>
      </c>
      <c r="C42" s="1"/>
      <c r="D42" s="1"/>
      <c r="E42" s="1"/>
      <c r="F42" s="1"/>
      <c r="G42" s="1"/>
      <c r="H42" s="214">
        <f>COUNTIF('Ratio Verification'!N6:N830,"PASS")</f>
        <v>825</v>
      </c>
      <c r="I42" s="214"/>
      <c r="J42" s="214"/>
    </row>
    <row r="43" spans="1:10" ht="37.950000000000003" customHeight="1" x14ac:dyDescent="0.3">
      <c r="B43" s="1" t="s">
        <v>5387</v>
      </c>
      <c r="C43" s="1"/>
      <c r="D43" s="1"/>
      <c r="E43" s="1"/>
      <c r="F43" s="1"/>
      <c r="G43" s="1"/>
      <c r="H43" s="214" t="s">
        <v>5388</v>
      </c>
      <c r="I43" s="214"/>
      <c r="J43" s="214"/>
    </row>
    <row r="44" spans="1:10" ht="37.950000000000003" customHeight="1" x14ac:dyDescent="0.3">
      <c r="B44" s="1" t="s">
        <v>5389</v>
      </c>
      <c r="C44" s="1"/>
      <c r="D44" s="1"/>
      <c r="E44" s="1"/>
      <c r="F44" s="1"/>
      <c r="G44" s="1"/>
      <c r="H44" s="214" t="s">
        <v>5390</v>
      </c>
      <c r="I44" s="214"/>
      <c r="J44" s="214"/>
    </row>
    <row r="45" spans="1:10" ht="37.950000000000003" customHeight="1" x14ac:dyDescent="0.3">
      <c r="B45" s="1" t="s">
        <v>5391</v>
      </c>
      <c r="C45" s="1"/>
      <c r="D45" s="1"/>
      <c r="E45" s="1"/>
      <c r="F45" s="1"/>
      <c r="G45" s="1"/>
      <c r="H45" s="214" t="s">
        <v>5392</v>
      </c>
      <c r="I45" s="214"/>
      <c r="J45" s="214"/>
    </row>
    <row r="46" spans="1:10" ht="37.950000000000003" customHeight="1" x14ac:dyDescent="0.3">
      <c r="B46" s="1" t="s">
        <v>5393</v>
      </c>
      <c r="C46" s="1"/>
      <c r="D46" s="1"/>
      <c r="E46" s="1"/>
      <c r="F46" s="1"/>
      <c r="G46" s="1"/>
      <c r="H46" s="214" t="s">
        <v>5394</v>
      </c>
      <c r="I46" s="214"/>
      <c r="J46" s="214"/>
    </row>
    <row r="47" spans="1:10" ht="37.950000000000003" customHeight="1" x14ac:dyDescent="0.3">
      <c r="B47" s="1" t="s">
        <v>5395</v>
      </c>
      <c r="C47" s="1"/>
      <c r="D47" s="1"/>
      <c r="E47" s="1"/>
      <c r="F47" s="1"/>
      <c r="G47" s="1"/>
      <c r="H47" s="214" t="s">
        <v>5396</v>
      </c>
      <c r="I47" s="214"/>
      <c r="J47" s="214"/>
    </row>
    <row r="48" spans="1:10" ht="37.950000000000003" customHeight="1" x14ac:dyDescent="0.3">
      <c r="B48" s="1" t="s">
        <v>5397</v>
      </c>
      <c r="C48" s="1"/>
      <c r="D48" s="1"/>
      <c r="E48" s="1"/>
      <c r="F48" s="1"/>
      <c r="G48" s="1"/>
      <c r="H48" s="214" t="s">
        <v>5398</v>
      </c>
      <c r="I48" s="214"/>
      <c r="J48" s="214"/>
    </row>
    <row r="49" spans="2:10" ht="37.950000000000003" customHeight="1" x14ac:dyDescent="0.3">
      <c r="B49" s="1" t="s">
        <v>5399</v>
      </c>
      <c r="C49" s="1"/>
      <c r="D49" s="1"/>
      <c r="E49" s="1"/>
      <c r="F49" s="1"/>
      <c r="G49" s="1"/>
      <c r="H49" s="214" t="s">
        <v>5400</v>
      </c>
      <c r="I49" s="214"/>
      <c r="J49" s="214"/>
    </row>
    <row r="50" spans="2:10" ht="37.950000000000003" customHeight="1" x14ac:dyDescent="0.3">
      <c r="B50" s="1" t="s">
        <v>5401</v>
      </c>
      <c r="C50" s="1"/>
      <c r="D50" s="1"/>
      <c r="E50" s="1"/>
      <c r="F50" s="1"/>
      <c r="G50" s="1"/>
      <c r="H50" s="214" t="s">
        <v>5402</v>
      </c>
      <c r="I50" s="214"/>
      <c r="J50" s="214"/>
    </row>
    <row r="51" spans="2:10" x14ac:dyDescent="0.3">
      <c r="B51" t="s">
        <v>5403</v>
      </c>
      <c r="H51" s="214" t="str">
        <f>COUNTIF('Published Ratio Reconciliation'!H5:H548,"Reproduced to precision")&amp;" reproduce; "&amp;COUNTIF('Published Ratio Reconciliation'!H5:H548,"Unresolved published value")&amp;" remain unreproduced"</f>
        <v>481 reproduce; 63 remain unreproduced</v>
      </c>
      <c r="I51" s="214"/>
      <c r="J51" s="214"/>
    </row>
    <row r="53" spans="2:10" ht="28.05" customHeight="1" x14ac:dyDescent="0.3">
      <c r="B53" t="s">
        <v>5404</v>
      </c>
    </row>
    <row r="54" spans="2:10" ht="28.05" customHeight="1" x14ac:dyDescent="0.3">
      <c r="B54" t="s">
        <v>5405</v>
      </c>
      <c r="H54" s="131">
        <f>FCCL!E128</f>
        <v>2180.3090000000002</v>
      </c>
    </row>
    <row r="55" spans="2:10" ht="28.05" customHeight="1" x14ac:dyDescent="0.3">
      <c r="B55" t="s">
        <v>5406</v>
      </c>
      <c r="H55" s="131">
        <f>FCCL!F128-FCCL!E128</f>
        <v>272.53859999999986</v>
      </c>
    </row>
    <row r="56" spans="2:10" ht="28.05" customHeight="1" x14ac:dyDescent="0.3">
      <c r="B56" t="s">
        <v>5407</v>
      </c>
      <c r="H56" s="132">
        <f>DATE(2022,11,11)</f>
        <v>44876</v>
      </c>
    </row>
    <row r="57" spans="2:10" ht="28.05" customHeight="1" x14ac:dyDescent="0.3">
      <c r="B57" t="s">
        <v>3341</v>
      </c>
      <c r="H57" s="132">
        <f>DATE(2023,6,30)</f>
        <v>45107</v>
      </c>
    </row>
    <row r="58" spans="2:10" ht="28.05" customHeight="1" x14ac:dyDescent="0.3">
      <c r="B58" t="s">
        <v>5408</v>
      </c>
      <c r="H58">
        <f>H57-H56+1</f>
        <v>232</v>
      </c>
    </row>
    <row r="59" spans="2:10" ht="28.05" customHeight="1" x14ac:dyDescent="0.3">
      <c r="B59" t="s">
        <v>5409</v>
      </c>
      <c r="H59">
        <f>DATE(2023,7,1)-DATE(2022,7,1)</f>
        <v>365</v>
      </c>
    </row>
    <row r="60" spans="2:10" ht="28.05" customHeight="1" x14ac:dyDescent="0.3">
      <c r="B60" t="s">
        <v>5410</v>
      </c>
      <c r="H60" s="131">
        <f>H54+H55*H58/H59</f>
        <v>2353.5390142465753</v>
      </c>
    </row>
    <row r="61" spans="2:10" ht="28.05" customHeight="1" x14ac:dyDescent="0.3">
      <c r="B61" t="s">
        <v>5411</v>
      </c>
      <c r="H61" s="131">
        <f>'PSX Prices'!O28</f>
        <v>2353.5390000000002</v>
      </c>
    </row>
    <row r="62" spans="2:10" ht="28.05" customHeight="1" x14ac:dyDescent="0.3">
      <c r="B62" t="s">
        <v>5412</v>
      </c>
      <c r="H62" s="131">
        <f>1000000*(H60-H61)</f>
        <v>14.246575119614135</v>
      </c>
    </row>
    <row r="63" spans="2:10" ht="28.05" customHeight="1" x14ac:dyDescent="0.3">
      <c r="B63" t="s">
        <v>5413</v>
      </c>
      <c r="H63" s="131">
        <f>FCCL!F129</f>
        <v>2452.8476000000001</v>
      </c>
    </row>
    <row r="64" spans="2:10" x14ac:dyDescent="0.3">
      <c r="H64" s="214" t="s">
        <v>5414</v>
      </c>
      <c r="I64" s="214"/>
      <c r="J64" s="214"/>
    </row>
    <row r="65" spans="8:10" x14ac:dyDescent="0.3">
      <c r="H65" s="214"/>
      <c r="I65" s="214"/>
      <c r="J65" s="214"/>
    </row>
    <row r="66" spans="8:10" x14ac:dyDescent="0.3">
      <c r="H66" s="214"/>
      <c r="I66" s="214"/>
      <c r="J66" s="214"/>
    </row>
    <row r="67" spans="8:10" x14ac:dyDescent="0.3">
      <c r="H67" t="s">
        <v>3431</v>
      </c>
    </row>
    <row r="68" spans="8:10" x14ac:dyDescent="0.3">
      <c r="H68" t="s">
        <v>5415</v>
      </c>
    </row>
  </sheetData>
  <mergeCells count="12">
    <mergeCell ref="H41:J41"/>
    <mergeCell ref="H42:J42"/>
    <mergeCell ref="H43:J43"/>
    <mergeCell ref="H44:J44"/>
    <mergeCell ref="H45:J45"/>
    <mergeCell ref="H64:J66"/>
    <mergeCell ref="H51:J51"/>
    <mergeCell ref="H46:J46"/>
    <mergeCell ref="H47:J47"/>
    <mergeCell ref="H48:J48"/>
    <mergeCell ref="H49:J49"/>
    <mergeCell ref="H50:J5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258"/>
  <sheetViews>
    <sheetView showGridLines="0" workbookViewId="0">
      <pane ySplit="11" topLeftCell="A12" activePane="bottomLeft" state="frozen"/>
      <selection pane="bottomLeft"/>
    </sheetView>
  </sheetViews>
  <sheetFormatPr defaultRowHeight="14.4" x14ac:dyDescent="0.3"/>
  <cols>
    <col min="1" max="1" width="42" customWidth="1"/>
    <col min="2" max="6" width="18" customWidth="1"/>
    <col min="7" max="7" width="46" customWidth="1"/>
    <col min="8" max="8" width="65" customWidth="1"/>
    <col min="9" max="9" width="76" customWidth="1"/>
    <col min="10" max="10" width="88" customWidth="1"/>
  </cols>
  <sheetData>
    <row r="1" spans="1:10" ht="22.95" customHeight="1" x14ac:dyDescent="0.35">
      <c r="A1" s="133" t="s">
        <v>5416</v>
      </c>
      <c r="B1" s="49"/>
      <c r="C1" s="49"/>
      <c r="D1" s="49"/>
      <c r="E1" s="49"/>
      <c r="F1" s="49"/>
      <c r="G1" s="49"/>
      <c r="H1" s="49"/>
      <c r="I1" s="49"/>
      <c r="J1" s="49"/>
    </row>
    <row r="2" spans="1:10" ht="22.95" customHeight="1" x14ac:dyDescent="0.3">
      <c r="A2" s="49" t="s">
        <v>5417</v>
      </c>
      <c r="B2" s="134">
        <f>AVERAGE(B12:B258)</f>
        <v>35.080121457489859</v>
      </c>
      <c r="C2" s="49"/>
      <c r="D2" s="49"/>
      <c r="E2" s="49"/>
      <c r="F2" s="49"/>
      <c r="G2" s="49"/>
      <c r="H2" s="49"/>
      <c r="I2" s="49"/>
      <c r="J2" s="49"/>
    </row>
    <row r="3" spans="1:10" ht="22.95" customHeight="1" x14ac:dyDescent="0.3">
      <c r="A3" s="49" t="s">
        <v>5418</v>
      </c>
      <c r="B3" s="134">
        <f>FCCL!H99/'PSX Prices'!O30</f>
        <v>5.4329528095311241</v>
      </c>
      <c r="C3" s="49"/>
      <c r="D3" s="49"/>
      <c r="E3" s="49"/>
      <c r="F3" s="49"/>
      <c r="G3" s="49"/>
      <c r="H3" s="49"/>
      <c r="I3" s="49"/>
      <c r="J3" s="49"/>
    </row>
    <row r="4" spans="1:10" ht="22.95" customHeight="1" x14ac:dyDescent="0.3">
      <c r="A4" s="49" t="s">
        <v>5419</v>
      </c>
      <c r="B4" s="134">
        <f>B2/B3</f>
        <v>6.4569162824216306</v>
      </c>
      <c r="C4" s="49"/>
      <c r="D4" s="49"/>
      <c r="E4" s="49"/>
      <c r="F4" s="49"/>
      <c r="G4" s="49"/>
      <c r="H4" s="49"/>
      <c r="I4" s="49"/>
      <c r="J4" s="49"/>
    </row>
    <row r="5" spans="1:10" ht="22.95" customHeight="1" x14ac:dyDescent="0.3">
      <c r="A5" s="49" t="s">
        <v>5420</v>
      </c>
      <c r="B5" s="134">
        <v>6.69</v>
      </c>
      <c r="C5" s="49"/>
      <c r="D5" s="49"/>
      <c r="E5" s="49"/>
      <c r="F5" s="49"/>
      <c r="G5" s="49"/>
      <c r="H5" s="49"/>
      <c r="I5" s="49"/>
      <c r="J5" s="49"/>
    </row>
    <row r="6" spans="1:10" ht="22.95" customHeight="1" x14ac:dyDescent="0.3">
      <c r="A6" s="49" t="s">
        <v>5421</v>
      </c>
      <c r="B6" s="134">
        <f>'PSX Prices'!E30</f>
        <v>44.67</v>
      </c>
      <c r="C6" s="49"/>
      <c r="D6" s="49"/>
      <c r="E6" s="49"/>
      <c r="F6" s="49"/>
      <c r="G6" s="49"/>
      <c r="H6" s="49"/>
      <c r="I6" s="49"/>
      <c r="J6" s="49"/>
    </row>
    <row r="7" spans="1:10" ht="22.95" customHeight="1" x14ac:dyDescent="0.3">
      <c r="A7" s="49"/>
      <c r="B7" s="49"/>
      <c r="C7" s="49"/>
      <c r="D7" s="49"/>
      <c r="E7" s="49"/>
      <c r="F7" s="49"/>
      <c r="G7" s="49"/>
      <c r="H7" s="49"/>
      <c r="I7" s="49"/>
      <c r="J7" s="49"/>
    </row>
    <row r="8" spans="1:10" ht="22.95" customHeight="1" x14ac:dyDescent="0.3">
      <c r="A8" s="215" t="s">
        <v>5422</v>
      </c>
      <c r="B8" s="215"/>
      <c r="C8" s="215"/>
      <c r="D8" s="215"/>
      <c r="E8" s="215"/>
      <c r="F8" s="215"/>
      <c r="G8" s="215"/>
      <c r="H8" s="215"/>
      <c r="I8" s="215"/>
      <c r="J8" s="215"/>
    </row>
    <row r="9" spans="1:10" ht="22.95" customHeight="1" x14ac:dyDescent="0.3">
      <c r="A9" s="215"/>
      <c r="B9" s="215"/>
      <c r="C9" s="215"/>
      <c r="D9" s="215"/>
      <c r="E9" s="215"/>
      <c r="F9" s="215"/>
      <c r="G9" s="215"/>
      <c r="H9" s="215"/>
      <c r="I9" s="215"/>
      <c r="J9" s="215"/>
    </row>
    <row r="10" spans="1:10" ht="22.95" customHeight="1" x14ac:dyDescent="0.3">
      <c r="A10" s="49"/>
      <c r="B10" s="49"/>
      <c r="C10" s="49"/>
      <c r="D10" s="49"/>
      <c r="E10" s="49"/>
      <c r="F10" s="49"/>
      <c r="G10" s="49"/>
      <c r="H10" s="49"/>
      <c r="I10" s="49"/>
      <c r="J10" s="49"/>
    </row>
    <row r="11" spans="1:10" ht="42" customHeight="1" x14ac:dyDescent="0.3">
      <c r="A11" s="135" t="s">
        <v>3342</v>
      </c>
      <c r="B11" s="135" t="s">
        <v>5423</v>
      </c>
      <c r="C11" s="135" t="s">
        <v>5424</v>
      </c>
      <c r="D11" s="135" t="s">
        <v>3</v>
      </c>
      <c r="E11" s="135" t="s">
        <v>5425</v>
      </c>
      <c r="F11" s="135" t="s">
        <v>5426</v>
      </c>
      <c r="G11" s="135" t="s">
        <v>5427</v>
      </c>
      <c r="H11" s="135" t="s">
        <v>5428</v>
      </c>
      <c r="I11" s="135" t="s">
        <v>5429</v>
      </c>
      <c r="J11" s="135" t="s">
        <v>3465</v>
      </c>
    </row>
    <row r="12" spans="1:10" ht="22.95" customHeight="1" x14ac:dyDescent="0.3">
      <c r="A12" s="136">
        <v>45474</v>
      </c>
      <c r="B12" s="112">
        <v>22.7</v>
      </c>
      <c r="C12" s="137">
        <v>4678019</v>
      </c>
      <c r="D12" s="49">
        <v>2025</v>
      </c>
      <c r="E12" s="49">
        <v>2024</v>
      </c>
      <c r="F12" s="49">
        <v>7</v>
      </c>
      <c r="G12" s="49" t="s">
        <v>1552</v>
      </c>
      <c r="H12" s="49" t="s">
        <v>5430</v>
      </c>
      <c r="I12" s="49" t="s">
        <v>5431</v>
      </c>
      <c r="J12" s="49" t="s">
        <v>5432</v>
      </c>
    </row>
    <row r="13" spans="1:10" ht="22.95" customHeight="1" x14ac:dyDescent="0.3">
      <c r="A13" s="136">
        <v>45475</v>
      </c>
      <c r="B13" s="112">
        <v>22.7</v>
      </c>
      <c r="C13" s="137">
        <v>5383770</v>
      </c>
      <c r="D13" s="49">
        <v>2025</v>
      </c>
      <c r="E13" s="49">
        <v>2024</v>
      </c>
      <c r="F13" s="49">
        <v>7</v>
      </c>
      <c r="G13" s="49" t="s">
        <v>1552</v>
      </c>
      <c r="H13" s="49" t="s">
        <v>5430</v>
      </c>
      <c r="I13" s="49" t="s">
        <v>5431</v>
      </c>
      <c r="J13" s="49" t="s">
        <v>5433</v>
      </c>
    </row>
    <row r="14" spans="1:10" ht="22.95" customHeight="1" x14ac:dyDescent="0.3">
      <c r="A14" s="136">
        <v>45476</v>
      </c>
      <c r="B14" s="112">
        <v>22.96</v>
      </c>
      <c r="C14" s="137">
        <v>10260542</v>
      </c>
      <c r="D14" s="49">
        <v>2025</v>
      </c>
      <c r="E14" s="49">
        <v>2024</v>
      </c>
      <c r="F14" s="49">
        <v>7</v>
      </c>
      <c r="G14" s="49" t="s">
        <v>1552</v>
      </c>
      <c r="H14" s="49" t="s">
        <v>5430</v>
      </c>
      <c r="I14" s="49" t="s">
        <v>5431</v>
      </c>
      <c r="J14" s="49" t="s">
        <v>5434</v>
      </c>
    </row>
    <row r="15" spans="1:10" ht="22.95" customHeight="1" x14ac:dyDescent="0.3">
      <c r="A15" s="136">
        <v>45477</v>
      </c>
      <c r="B15" s="112">
        <v>22.88</v>
      </c>
      <c r="C15" s="137">
        <v>6437128</v>
      </c>
      <c r="D15" s="49">
        <v>2025</v>
      </c>
      <c r="E15" s="49">
        <v>2024</v>
      </c>
      <c r="F15" s="49">
        <v>7</v>
      </c>
      <c r="G15" s="49" t="s">
        <v>1552</v>
      </c>
      <c r="H15" s="49" t="s">
        <v>5430</v>
      </c>
      <c r="I15" s="49" t="s">
        <v>5431</v>
      </c>
      <c r="J15" s="49" t="s">
        <v>5435</v>
      </c>
    </row>
    <row r="16" spans="1:10" ht="22.95" customHeight="1" x14ac:dyDescent="0.3">
      <c r="A16" s="136">
        <v>45478</v>
      </c>
      <c r="B16" s="112">
        <v>22.39</v>
      </c>
      <c r="C16" s="137">
        <v>5017052</v>
      </c>
      <c r="D16" s="49">
        <v>2025</v>
      </c>
      <c r="E16" s="49">
        <v>2024</v>
      </c>
      <c r="F16" s="49">
        <v>7</v>
      </c>
      <c r="G16" s="49" t="s">
        <v>1552</v>
      </c>
      <c r="H16" s="49" t="s">
        <v>5430</v>
      </c>
      <c r="I16" s="49" t="s">
        <v>5431</v>
      </c>
      <c r="J16" s="49" t="s">
        <v>5436</v>
      </c>
    </row>
    <row r="17" spans="1:10" ht="22.95" customHeight="1" x14ac:dyDescent="0.3">
      <c r="A17" s="136">
        <v>45481</v>
      </c>
      <c r="B17" s="112">
        <v>22.99</v>
      </c>
      <c r="C17" s="137">
        <v>6651536</v>
      </c>
      <c r="D17" s="49">
        <v>2025</v>
      </c>
      <c r="E17" s="49">
        <v>2024</v>
      </c>
      <c r="F17" s="49">
        <v>7</v>
      </c>
      <c r="G17" s="49" t="s">
        <v>1552</v>
      </c>
      <c r="H17" s="49" t="s">
        <v>5430</v>
      </c>
      <c r="I17" s="49" t="s">
        <v>5431</v>
      </c>
      <c r="J17" s="49" t="s">
        <v>5437</v>
      </c>
    </row>
    <row r="18" spans="1:10" ht="22.95" customHeight="1" x14ac:dyDescent="0.3">
      <c r="A18" s="136">
        <v>45482</v>
      </c>
      <c r="B18" s="112">
        <v>23.12</v>
      </c>
      <c r="C18" s="137">
        <v>8230699</v>
      </c>
      <c r="D18" s="49">
        <v>2025</v>
      </c>
      <c r="E18" s="49">
        <v>2024</v>
      </c>
      <c r="F18" s="49">
        <v>7</v>
      </c>
      <c r="G18" s="49" t="s">
        <v>1552</v>
      </c>
      <c r="H18" s="49" t="s">
        <v>5430</v>
      </c>
      <c r="I18" s="49" t="s">
        <v>5431</v>
      </c>
      <c r="J18" s="49" t="s">
        <v>5438</v>
      </c>
    </row>
    <row r="19" spans="1:10" ht="22.95" customHeight="1" x14ac:dyDescent="0.3">
      <c r="A19" s="136">
        <v>45483</v>
      </c>
      <c r="B19" s="112">
        <v>22.89</v>
      </c>
      <c r="C19" s="137">
        <v>4698564</v>
      </c>
      <c r="D19" s="49">
        <v>2025</v>
      </c>
      <c r="E19" s="49">
        <v>2024</v>
      </c>
      <c r="F19" s="49">
        <v>7</v>
      </c>
      <c r="G19" s="49" t="s">
        <v>1552</v>
      </c>
      <c r="H19" s="49" t="s">
        <v>5430</v>
      </c>
      <c r="I19" s="49" t="s">
        <v>5431</v>
      </c>
      <c r="J19" s="49" t="s">
        <v>5439</v>
      </c>
    </row>
    <row r="20" spans="1:10" ht="22.95" customHeight="1" x14ac:dyDescent="0.3">
      <c r="A20" s="136">
        <v>45484</v>
      </c>
      <c r="B20" s="112">
        <v>22.71</v>
      </c>
      <c r="C20" s="137">
        <v>4448771</v>
      </c>
      <c r="D20" s="49">
        <v>2025</v>
      </c>
      <c r="E20" s="49">
        <v>2024</v>
      </c>
      <c r="F20" s="49">
        <v>7</v>
      </c>
      <c r="G20" s="49" t="s">
        <v>1552</v>
      </c>
      <c r="H20" s="49" t="s">
        <v>5430</v>
      </c>
      <c r="I20" s="49" t="s">
        <v>5431</v>
      </c>
      <c r="J20" s="49" t="s">
        <v>5440</v>
      </c>
    </row>
    <row r="21" spans="1:10" ht="22.95" customHeight="1" x14ac:dyDescent="0.3">
      <c r="A21" s="136">
        <v>45485</v>
      </c>
      <c r="B21" s="112">
        <v>22.73</v>
      </c>
      <c r="C21" s="137">
        <v>6163472</v>
      </c>
      <c r="D21" s="49">
        <v>2025</v>
      </c>
      <c r="E21" s="49">
        <v>2024</v>
      </c>
      <c r="F21" s="49">
        <v>7</v>
      </c>
      <c r="G21" s="49" t="s">
        <v>1552</v>
      </c>
      <c r="H21" s="49" t="s">
        <v>5430</v>
      </c>
      <c r="I21" s="49" t="s">
        <v>5431</v>
      </c>
      <c r="J21" s="49" t="s">
        <v>5441</v>
      </c>
    </row>
    <row r="22" spans="1:10" ht="22.95" customHeight="1" x14ac:dyDescent="0.3">
      <c r="A22" s="136">
        <v>45488</v>
      </c>
      <c r="B22" s="112">
        <v>23.11</v>
      </c>
      <c r="C22" s="137">
        <v>8398923</v>
      </c>
      <c r="D22" s="49">
        <v>2025</v>
      </c>
      <c r="E22" s="49">
        <v>2024</v>
      </c>
      <c r="F22" s="49">
        <v>7</v>
      </c>
      <c r="G22" s="49" t="s">
        <v>1552</v>
      </c>
      <c r="H22" s="49" t="s">
        <v>5430</v>
      </c>
      <c r="I22" s="49" t="s">
        <v>5431</v>
      </c>
      <c r="J22" s="49" t="s">
        <v>5442</v>
      </c>
    </row>
    <row r="23" spans="1:10" ht="22.95" customHeight="1" x14ac:dyDescent="0.3">
      <c r="A23" s="136">
        <v>45491</v>
      </c>
      <c r="B23" s="112">
        <v>22.99</v>
      </c>
      <c r="C23" s="137">
        <v>4937769</v>
      </c>
      <c r="D23" s="49">
        <v>2025</v>
      </c>
      <c r="E23" s="49">
        <v>2024</v>
      </c>
      <c r="F23" s="49">
        <v>7</v>
      </c>
      <c r="G23" s="49" t="s">
        <v>1552</v>
      </c>
      <c r="H23" s="49" t="s">
        <v>5430</v>
      </c>
      <c r="I23" s="49" t="s">
        <v>5431</v>
      </c>
      <c r="J23" s="49" t="s">
        <v>5443</v>
      </c>
    </row>
    <row r="24" spans="1:10" ht="22.95" customHeight="1" x14ac:dyDescent="0.3">
      <c r="A24" s="136">
        <v>45492</v>
      </c>
      <c r="B24" s="112">
        <v>22.68</v>
      </c>
      <c r="C24" s="137">
        <v>4964181</v>
      </c>
      <c r="D24" s="49">
        <v>2025</v>
      </c>
      <c r="E24" s="49">
        <v>2024</v>
      </c>
      <c r="F24" s="49">
        <v>7</v>
      </c>
      <c r="G24" s="49" t="s">
        <v>1552</v>
      </c>
      <c r="H24" s="49" t="s">
        <v>5430</v>
      </c>
      <c r="I24" s="49" t="s">
        <v>5431</v>
      </c>
      <c r="J24" s="49" t="s">
        <v>5444</v>
      </c>
    </row>
    <row r="25" spans="1:10" ht="22.95" customHeight="1" x14ac:dyDescent="0.3">
      <c r="A25" s="136">
        <v>45495</v>
      </c>
      <c r="B25" s="112">
        <v>22</v>
      </c>
      <c r="C25" s="137">
        <v>4887748</v>
      </c>
      <c r="D25" s="49">
        <v>2025</v>
      </c>
      <c r="E25" s="49">
        <v>2024</v>
      </c>
      <c r="F25" s="49">
        <v>7</v>
      </c>
      <c r="G25" s="49" t="s">
        <v>1552</v>
      </c>
      <c r="H25" s="49" t="s">
        <v>5430</v>
      </c>
      <c r="I25" s="49" t="s">
        <v>5431</v>
      </c>
      <c r="J25" s="49" t="s">
        <v>5445</v>
      </c>
    </row>
    <row r="26" spans="1:10" ht="22.95" customHeight="1" x14ac:dyDescent="0.3">
      <c r="A26" s="136">
        <v>45496</v>
      </c>
      <c r="B26" s="112">
        <v>22.01</v>
      </c>
      <c r="C26" s="137">
        <v>3843991</v>
      </c>
      <c r="D26" s="49">
        <v>2025</v>
      </c>
      <c r="E26" s="49">
        <v>2024</v>
      </c>
      <c r="F26" s="49">
        <v>7</v>
      </c>
      <c r="G26" s="49" t="s">
        <v>1552</v>
      </c>
      <c r="H26" s="49" t="s">
        <v>5430</v>
      </c>
      <c r="I26" s="49" t="s">
        <v>5431</v>
      </c>
      <c r="J26" s="49" t="s">
        <v>5446</v>
      </c>
    </row>
    <row r="27" spans="1:10" ht="22.95" customHeight="1" x14ac:dyDescent="0.3">
      <c r="A27" s="136">
        <v>45497</v>
      </c>
      <c r="B27" s="112">
        <v>22</v>
      </c>
      <c r="C27" s="137">
        <v>5279016</v>
      </c>
      <c r="D27" s="49">
        <v>2025</v>
      </c>
      <c r="E27" s="49">
        <v>2024</v>
      </c>
      <c r="F27" s="49">
        <v>7</v>
      </c>
      <c r="G27" s="49" t="s">
        <v>1552</v>
      </c>
      <c r="H27" s="49" t="s">
        <v>5430</v>
      </c>
      <c r="I27" s="49" t="s">
        <v>5431</v>
      </c>
      <c r="J27" s="49" t="s">
        <v>5447</v>
      </c>
    </row>
    <row r="28" spans="1:10" ht="22.95" customHeight="1" x14ac:dyDescent="0.3">
      <c r="A28" s="136">
        <v>45498</v>
      </c>
      <c r="B28" s="112">
        <v>21.83</v>
      </c>
      <c r="C28" s="137">
        <v>4371610</v>
      </c>
      <c r="D28" s="49">
        <v>2025</v>
      </c>
      <c r="E28" s="49">
        <v>2024</v>
      </c>
      <c r="F28" s="49">
        <v>7</v>
      </c>
      <c r="G28" s="49" t="s">
        <v>1552</v>
      </c>
      <c r="H28" s="49" t="s">
        <v>5430</v>
      </c>
      <c r="I28" s="49" t="s">
        <v>5431</v>
      </c>
      <c r="J28" s="49" t="s">
        <v>5448</v>
      </c>
    </row>
    <row r="29" spans="1:10" ht="22.95" customHeight="1" x14ac:dyDescent="0.3">
      <c r="A29" s="136">
        <v>45499</v>
      </c>
      <c r="B29" s="112">
        <v>21.74</v>
      </c>
      <c r="C29" s="137">
        <v>4790816</v>
      </c>
      <c r="D29" s="49">
        <v>2025</v>
      </c>
      <c r="E29" s="49">
        <v>2024</v>
      </c>
      <c r="F29" s="49">
        <v>7</v>
      </c>
      <c r="G29" s="49" t="s">
        <v>1552</v>
      </c>
      <c r="H29" s="49" t="s">
        <v>5430</v>
      </c>
      <c r="I29" s="49" t="s">
        <v>5431</v>
      </c>
      <c r="J29" s="49" t="s">
        <v>5449</v>
      </c>
    </row>
    <row r="30" spans="1:10" ht="22.95" customHeight="1" x14ac:dyDescent="0.3">
      <c r="A30" s="136">
        <v>45502</v>
      </c>
      <c r="B30" s="112">
        <v>22.52</v>
      </c>
      <c r="C30" s="137">
        <v>12762187</v>
      </c>
      <c r="D30" s="49">
        <v>2025</v>
      </c>
      <c r="E30" s="49">
        <v>2024</v>
      </c>
      <c r="F30" s="49">
        <v>7</v>
      </c>
      <c r="G30" s="49" t="s">
        <v>1552</v>
      </c>
      <c r="H30" s="49" t="s">
        <v>5430</v>
      </c>
      <c r="I30" s="49" t="s">
        <v>5431</v>
      </c>
      <c r="J30" s="49" t="s">
        <v>5450</v>
      </c>
    </row>
    <row r="31" spans="1:10" ht="22.95" customHeight="1" x14ac:dyDescent="0.3">
      <c r="A31" s="136">
        <v>45503</v>
      </c>
      <c r="B31" s="112">
        <v>21.63</v>
      </c>
      <c r="C31" s="137">
        <v>15819905</v>
      </c>
      <c r="D31" s="49">
        <v>2025</v>
      </c>
      <c r="E31" s="49">
        <v>2024</v>
      </c>
      <c r="F31" s="49">
        <v>7</v>
      </c>
      <c r="G31" s="49" t="s">
        <v>1552</v>
      </c>
      <c r="H31" s="49" t="s">
        <v>5430</v>
      </c>
      <c r="I31" s="49" t="s">
        <v>5431</v>
      </c>
      <c r="J31" s="49" t="s">
        <v>5451</v>
      </c>
    </row>
    <row r="32" spans="1:10" ht="22.95" customHeight="1" x14ac:dyDescent="0.3">
      <c r="A32" s="136">
        <v>45504</v>
      </c>
      <c r="B32" s="112">
        <v>20.77</v>
      </c>
      <c r="C32" s="137">
        <v>4792998</v>
      </c>
      <c r="D32" s="49">
        <v>2025</v>
      </c>
      <c r="E32" s="49">
        <v>2024</v>
      </c>
      <c r="F32" s="49">
        <v>7</v>
      </c>
      <c r="G32" s="49" t="s">
        <v>1552</v>
      </c>
      <c r="H32" s="49" t="s">
        <v>5430</v>
      </c>
      <c r="I32" s="49" t="s">
        <v>5431</v>
      </c>
      <c r="J32" s="49" t="s">
        <v>5452</v>
      </c>
    </row>
    <row r="33" spans="1:10" ht="22.95" customHeight="1" x14ac:dyDescent="0.3">
      <c r="A33" s="136">
        <v>45505</v>
      </c>
      <c r="B33" s="112">
        <v>20.83</v>
      </c>
      <c r="C33" s="137">
        <v>11547096</v>
      </c>
      <c r="D33" s="49">
        <v>2025</v>
      </c>
      <c r="E33" s="49">
        <v>2024</v>
      </c>
      <c r="F33" s="49">
        <v>8</v>
      </c>
      <c r="G33" s="49" t="s">
        <v>1552</v>
      </c>
      <c r="H33" s="49" t="s">
        <v>5453</v>
      </c>
      <c r="I33" s="49" t="s">
        <v>5454</v>
      </c>
      <c r="J33" s="49" t="s">
        <v>5455</v>
      </c>
    </row>
    <row r="34" spans="1:10" ht="22.95" customHeight="1" x14ac:dyDescent="0.3">
      <c r="A34" s="136">
        <v>45506</v>
      </c>
      <c r="B34" s="112">
        <v>20.97</v>
      </c>
      <c r="C34" s="137">
        <v>12922634</v>
      </c>
      <c r="D34" s="49">
        <v>2025</v>
      </c>
      <c r="E34" s="49">
        <v>2024</v>
      </c>
      <c r="F34" s="49">
        <v>8</v>
      </c>
      <c r="G34" s="49" t="s">
        <v>1552</v>
      </c>
      <c r="H34" s="49" t="s">
        <v>5453</v>
      </c>
      <c r="I34" s="49" t="s">
        <v>5454</v>
      </c>
      <c r="J34" s="49" t="s">
        <v>5456</v>
      </c>
    </row>
    <row r="35" spans="1:10" ht="22.95" customHeight="1" x14ac:dyDescent="0.3">
      <c r="A35" s="136">
        <v>45509</v>
      </c>
      <c r="B35" s="112">
        <v>20.16</v>
      </c>
      <c r="C35" s="137">
        <v>6752143</v>
      </c>
      <c r="D35" s="49">
        <v>2025</v>
      </c>
      <c r="E35" s="49">
        <v>2024</v>
      </c>
      <c r="F35" s="49">
        <v>8</v>
      </c>
      <c r="G35" s="49" t="s">
        <v>1552</v>
      </c>
      <c r="H35" s="49" t="s">
        <v>5453</v>
      </c>
      <c r="I35" s="49" t="s">
        <v>5454</v>
      </c>
      <c r="J35" s="49" t="s">
        <v>5457</v>
      </c>
    </row>
    <row r="36" spans="1:10" ht="22.95" customHeight="1" x14ac:dyDescent="0.3">
      <c r="A36" s="136">
        <v>45510</v>
      </c>
      <c r="B36" s="112">
        <v>20.010000000000002</v>
      </c>
      <c r="C36" s="137">
        <v>7426543</v>
      </c>
      <c r="D36" s="49">
        <v>2025</v>
      </c>
      <c r="E36" s="49">
        <v>2024</v>
      </c>
      <c r="F36" s="49">
        <v>8</v>
      </c>
      <c r="G36" s="49" t="s">
        <v>1552</v>
      </c>
      <c r="H36" s="49" t="s">
        <v>5453</v>
      </c>
      <c r="I36" s="49" t="s">
        <v>5454</v>
      </c>
      <c r="J36" s="49" t="s">
        <v>5458</v>
      </c>
    </row>
    <row r="37" spans="1:10" ht="22.95" customHeight="1" x14ac:dyDescent="0.3">
      <c r="A37" s="136">
        <v>45511</v>
      </c>
      <c r="B37" s="112">
        <v>20.02</v>
      </c>
      <c r="C37" s="137">
        <v>4182365</v>
      </c>
      <c r="D37" s="49">
        <v>2025</v>
      </c>
      <c r="E37" s="49">
        <v>2024</v>
      </c>
      <c r="F37" s="49">
        <v>8</v>
      </c>
      <c r="G37" s="49" t="s">
        <v>1552</v>
      </c>
      <c r="H37" s="49" t="s">
        <v>5453</v>
      </c>
      <c r="I37" s="49" t="s">
        <v>5454</v>
      </c>
      <c r="J37" s="49" t="s">
        <v>5459</v>
      </c>
    </row>
    <row r="38" spans="1:10" ht="22.95" customHeight="1" x14ac:dyDescent="0.3">
      <c r="A38" s="136">
        <v>45512</v>
      </c>
      <c r="B38" s="112">
        <v>20.76</v>
      </c>
      <c r="C38" s="137">
        <v>6366489</v>
      </c>
      <c r="D38" s="49">
        <v>2025</v>
      </c>
      <c r="E38" s="49">
        <v>2024</v>
      </c>
      <c r="F38" s="49">
        <v>8</v>
      </c>
      <c r="G38" s="49" t="s">
        <v>1552</v>
      </c>
      <c r="H38" s="49" t="s">
        <v>5453</v>
      </c>
      <c r="I38" s="49" t="s">
        <v>5454</v>
      </c>
      <c r="J38" s="49" t="s">
        <v>5460</v>
      </c>
    </row>
    <row r="39" spans="1:10" ht="22.95" customHeight="1" x14ac:dyDescent="0.3">
      <c r="A39" s="136">
        <v>45513</v>
      </c>
      <c r="B39" s="112">
        <v>20.93</v>
      </c>
      <c r="C39" s="137">
        <v>2668758</v>
      </c>
      <c r="D39" s="49">
        <v>2025</v>
      </c>
      <c r="E39" s="49">
        <v>2024</v>
      </c>
      <c r="F39" s="49">
        <v>8</v>
      </c>
      <c r="G39" s="49" t="s">
        <v>1552</v>
      </c>
      <c r="H39" s="49" t="s">
        <v>5453</v>
      </c>
      <c r="I39" s="49" t="s">
        <v>5454</v>
      </c>
      <c r="J39" s="49" t="s">
        <v>5461</v>
      </c>
    </row>
    <row r="40" spans="1:10" ht="22.95" customHeight="1" x14ac:dyDescent="0.3">
      <c r="A40" s="136">
        <v>45516</v>
      </c>
      <c r="B40" s="112">
        <v>20.3</v>
      </c>
      <c r="C40" s="137">
        <v>5324084</v>
      </c>
      <c r="D40" s="49">
        <v>2025</v>
      </c>
      <c r="E40" s="49">
        <v>2024</v>
      </c>
      <c r="F40" s="49">
        <v>8</v>
      </c>
      <c r="G40" s="49" t="s">
        <v>1552</v>
      </c>
      <c r="H40" s="49" t="s">
        <v>5453</v>
      </c>
      <c r="I40" s="49" t="s">
        <v>5454</v>
      </c>
      <c r="J40" s="49" t="s">
        <v>5462</v>
      </c>
    </row>
    <row r="41" spans="1:10" ht="22.95" customHeight="1" x14ac:dyDescent="0.3">
      <c r="A41" s="136">
        <v>45517</v>
      </c>
      <c r="B41" s="112">
        <v>20.09</v>
      </c>
      <c r="C41" s="137">
        <v>2975141</v>
      </c>
      <c r="D41" s="49">
        <v>2025</v>
      </c>
      <c r="E41" s="49">
        <v>2024</v>
      </c>
      <c r="F41" s="49">
        <v>8</v>
      </c>
      <c r="G41" s="49" t="s">
        <v>1552</v>
      </c>
      <c r="H41" s="49" t="s">
        <v>5453</v>
      </c>
      <c r="I41" s="49" t="s">
        <v>5454</v>
      </c>
      <c r="J41" s="49" t="s">
        <v>5463</v>
      </c>
    </row>
    <row r="42" spans="1:10" ht="22.95" customHeight="1" x14ac:dyDescent="0.3">
      <c r="A42" s="136">
        <v>45519</v>
      </c>
      <c r="B42" s="112">
        <v>20.11</v>
      </c>
      <c r="C42" s="137">
        <v>2827773</v>
      </c>
      <c r="D42" s="49">
        <v>2025</v>
      </c>
      <c r="E42" s="49">
        <v>2024</v>
      </c>
      <c r="F42" s="49">
        <v>8</v>
      </c>
      <c r="G42" s="49" t="s">
        <v>1552</v>
      </c>
      <c r="H42" s="49" t="s">
        <v>5453</v>
      </c>
      <c r="I42" s="49" t="s">
        <v>5454</v>
      </c>
      <c r="J42" s="49" t="s">
        <v>5464</v>
      </c>
    </row>
    <row r="43" spans="1:10" ht="22.95" customHeight="1" x14ac:dyDescent="0.3">
      <c r="A43" s="136">
        <v>45520</v>
      </c>
      <c r="B43" s="112">
        <v>20.74</v>
      </c>
      <c r="C43" s="137">
        <v>9760736</v>
      </c>
      <c r="D43" s="49">
        <v>2025</v>
      </c>
      <c r="E43" s="49">
        <v>2024</v>
      </c>
      <c r="F43" s="49">
        <v>8</v>
      </c>
      <c r="G43" s="49" t="s">
        <v>1552</v>
      </c>
      <c r="H43" s="49" t="s">
        <v>5453</v>
      </c>
      <c r="I43" s="49" t="s">
        <v>5454</v>
      </c>
      <c r="J43" s="49" t="s">
        <v>5465</v>
      </c>
    </row>
    <row r="44" spans="1:10" ht="22.95" customHeight="1" x14ac:dyDescent="0.3">
      <c r="A44" s="136">
        <v>45523</v>
      </c>
      <c r="B44" s="112">
        <v>20.69</v>
      </c>
      <c r="C44" s="137">
        <v>4684994</v>
      </c>
      <c r="D44" s="49">
        <v>2025</v>
      </c>
      <c r="E44" s="49">
        <v>2024</v>
      </c>
      <c r="F44" s="49">
        <v>8</v>
      </c>
      <c r="G44" s="49" t="s">
        <v>1552</v>
      </c>
      <c r="H44" s="49" t="s">
        <v>5453</v>
      </c>
      <c r="I44" s="49" t="s">
        <v>5454</v>
      </c>
      <c r="J44" s="49" t="s">
        <v>5466</v>
      </c>
    </row>
    <row r="45" spans="1:10" ht="22.95" customHeight="1" x14ac:dyDescent="0.3">
      <c r="A45" s="136">
        <v>45524</v>
      </c>
      <c r="B45" s="112">
        <v>20.61</v>
      </c>
      <c r="C45" s="137">
        <v>5469571</v>
      </c>
      <c r="D45" s="49">
        <v>2025</v>
      </c>
      <c r="E45" s="49">
        <v>2024</v>
      </c>
      <c r="F45" s="49">
        <v>8</v>
      </c>
      <c r="G45" s="49" t="s">
        <v>1552</v>
      </c>
      <c r="H45" s="49" t="s">
        <v>5453</v>
      </c>
      <c r="I45" s="49" t="s">
        <v>5454</v>
      </c>
      <c r="J45" s="49" t="s">
        <v>5467</v>
      </c>
    </row>
    <row r="46" spans="1:10" ht="22.95" customHeight="1" x14ac:dyDescent="0.3">
      <c r="A46" s="136">
        <v>45525</v>
      </c>
      <c r="B46" s="112">
        <v>21.41</v>
      </c>
      <c r="C46" s="137">
        <v>5608753</v>
      </c>
      <c r="D46" s="49">
        <v>2025</v>
      </c>
      <c r="E46" s="49">
        <v>2024</v>
      </c>
      <c r="F46" s="49">
        <v>8</v>
      </c>
      <c r="G46" s="49" t="s">
        <v>1552</v>
      </c>
      <c r="H46" s="49" t="s">
        <v>5453</v>
      </c>
      <c r="I46" s="49" t="s">
        <v>5454</v>
      </c>
      <c r="J46" s="49" t="s">
        <v>5468</v>
      </c>
    </row>
    <row r="47" spans="1:10" ht="22.95" customHeight="1" x14ac:dyDescent="0.3">
      <c r="A47" s="136">
        <v>45526</v>
      </c>
      <c r="B47" s="112">
        <v>22.38</v>
      </c>
      <c r="C47" s="137">
        <v>15855662</v>
      </c>
      <c r="D47" s="49">
        <v>2025</v>
      </c>
      <c r="E47" s="49">
        <v>2024</v>
      </c>
      <c r="F47" s="49">
        <v>8</v>
      </c>
      <c r="G47" s="49" t="s">
        <v>1552</v>
      </c>
      <c r="H47" s="49" t="s">
        <v>5453</v>
      </c>
      <c r="I47" s="49" t="s">
        <v>5454</v>
      </c>
      <c r="J47" s="49" t="s">
        <v>5469</v>
      </c>
    </row>
    <row r="48" spans="1:10" ht="22.95" customHeight="1" x14ac:dyDescent="0.3">
      <c r="A48" s="136">
        <v>45527</v>
      </c>
      <c r="B48" s="112">
        <v>22.08</v>
      </c>
      <c r="C48" s="137">
        <v>1840749</v>
      </c>
      <c r="D48" s="49">
        <v>2025</v>
      </c>
      <c r="E48" s="49">
        <v>2024</v>
      </c>
      <c r="F48" s="49">
        <v>8</v>
      </c>
      <c r="G48" s="49" t="s">
        <v>1552</v>
      </c>
      <c r="H48" s="49" t="s">
        <v>5453</v>
      </c>
      <c r="I48" s="49" t="s">
        <v>5454</v>
      </c>
      <c r="J48" s="49" t="s">
        <v>5470</v>
      </c>
    </row>
    <row r="49" spans="1:10" ht="22.95" customHeight="1" x14ac:dyDescent="0.3">
      <c r="A49" s="136">
        <v>45530</v>
      </c>
      <c r="B49" s="112">
        <v>21.72</v>
      </c>
      <c r="C49" s="137">
        <v>1266818</v>
      </c>
      <c r="D49" s="49">
        <v>2025</v>
      </c>
      <c r="E49" s="49">
        <v>2024</v>
      </c>
      <c r="F49" s="49">
        <v>8</v>
      </c>
      <c r="G49" s="49" t="s">
        <v>1552</v>
      </c>
      <c r="H49" s="49" t="s">
        <v>5453</v>
      </c>
      <c r="I49" s="49" t="s">
        <v>5454</v>
      </c>
      <c r="J49" s="49" t="s">
        <v>5471</v>
      </c>
    </row>
    <row r="50" spans="1:10" ht="22.95" customHeight="1" x14ac:dyDescent="0.3">
      <c r="A50" s="136">
        <v>45531</v>
      </c>
      <c r="B50" s="112">
        <v>22.31</v>
      </c>
      <c r="C50" s="137">
        <v>26082389</v>
      </c>
      <c r="D50" s="49">
        <v>2025</v>
      </c>
      <c r="E50" s="49">
        <v>2024</v>
      </c>
      <c r="F50" s="49">
        <v>8</v>
      </c>
      <c r="G50" s="49" t="s">
        <v>1552</v>
      </c>
      <c r="H50" s="49" t="s">
        <v>5453</v>
      </c>
      <c r="I50" s="49" t="s">
        <v>5454</v>
      </c>
      <c r="J50" s="49" t="s">
        <v>5472</v>
      </c>
    </row>
    <row r="51" spans="1:10" ht="22.95" customHeight="1" x14ac:dyDescent="0.3">
      <c r="A51" s="136">
        <v>45532</v>
      </c>
      <c r="B51" s="112">
        <v>22.17</v>
      </c>
      <c r="C51" s="137">
        <v>2615792</v>
      </c>
      <c r="D51" s="49">
        <v>2025</v>
      </c>
      <c r="E51" s="49">
        <v>2024</v>
      </c>
      <c r="F51" s="49">
        <v>8</v>
      </c>
      <c r="G51" s="49" t="s">
        <v>1552</v>
      </c>
      <c r="H51" s="49" t="s">
        <v>5453</v>
      </c>
      <c r="I51" s="49" t="s">
        <v>5454</v>
      </c>
      <c r="J51" s="49" t="s">
        <v>5473</v>
      </c>
    </row>
    <row r="52" spans="1:10" ht="22.95" customHeight="1" x14ac:dyDescent="0.3">
      <c r="A52" s="136">
        <v>45533</v>
      </c>
      <c r="B52" s="112">
        <v>22.15</v>
      </c>
      <c r="C52" s="137">
        <v>1104352</v>
      </c>
      <c r="D52" s="49">
        <v>2025</v>
      </c>
      <c r="E52" s="49">
        <v>2024</v>
      </c>
      <c r="F52" s="49">
        <v>8</v>
      </c>
      <c r="G52" s="49" t="s">
        <v>1552</v>
      </c>
      <c r="H52" s="49" t="s">
        <v>5453</v>
      </c>
      <c r="I52" s="49" t="s">
        <v>5454</v>
      </c>
      <c r="J52" s="49" t="s">
        <v>5474</v>
      </c>
    </row>
    <row r="53" spans="1:10" ht="22.95" customHeight="1" x14ac:dyDescent="0.3">
      <c r="A53" s="136">
        <v>45534</v>
      </c>
      <c r="B53" s="112">
        <v>21.88</v>
      </c>
      <c r="C53" s="137">
        <v>2248429</v>
      </c>
      <c r="D53" s="49">
        <v>2025</v>
      </c>
      <c r="E53" s="49">
        <v>2024</v>
      </c>
      <c r="F53" s="49">
        <v>8</v>
      </c>
      <c r="G53" s="49" t="s">
        <v>1552</v>
      </c>
      <c r="H53" s="49" t="s">
        <v>5453</v>
      </c>
      <c r="I53" s="49" t="s">
        <v>5454</v>
      </c>
      <c r="J53" s="49" t="s">
        <v>5475</v>
      </c>
    </row>
    <row r="54" spans="1:10" ht="22.95" customHeight="1" x14ac:dyDescent="0.3">
      <c r="A54" s="136">
        <v>45537</v>
      </c>
      <c r="B54" s="112">
        <v>21.81</v>
      </c>
      <c r="C54" s="137">
        <v>6942410</v>
      </c>
      <c r="D54" s="49">
        <v>2025</v>
      </c>
      <c r="E54" s="49">
        <v>2024</v>
      </c>
      <c r="F54" s="49">
        <v>9</v>
      </c>
      <c r="G54" s="49" t="s">
        <v>1552</v>
      </c>
      <c r="H54" s="49" t="s">
        <v>5476</v>
      </c>
      <c r="I54" s="49" t="s">
        <v>5477</v>
      </c>
      <c r="J54" s="49" t="s">
        <v>5478</v>
      </c>
    </row>
    <row r="55" spans="1:10" ht="22.95" customHeight="1" x14ac:dyDescent="0.3">
      <c r="A55" s="136">
        <v>45538</v>
      </c>
      <c r="B55" s="112">
        <v>22.21</v>
      </c>
      <c r="C55" s="137">
        <v>2009980</v>
      </c>
      <c r="D55" s="49">
        <v>2025</v>
      </c>
      <c r="E55" s="49">
        <v>2024</v>
      </c>
      <c r="F55" s="49">
        <v>9</v>
      </c>
      <c r="G55" s="49" t="s">
        <v>1552</v>
      </c>
      <c r="H55" s="49" t="s">
        <v>5476</v>
      </c>
      <c r="I55" s="49" t="s">
        <v>5477</v>
      </c>
      <c r="J55" s="49" t="s">
        <v>5479</v>
      </c>
    </row>
    <row r="56" spans="1:10" ht="22.95" customHeight="1" x14ac:dyDescent="0.3">
      <c r="A56" s="136">
        <v>45539</v>
      </c>
      <c r="B56" s="112">
        <v>23.15</v>
      </c>
      <c r="C56" s="137">
        <v>8472327</v>
      </c>
      <c r="D56" s="49">
        <v>2025</v>
      </c>
      <c r="E56" s="49">
        <v>2024</v>
      </c>
      <c r="F56" s="49">
        <v>9</v>
      </c>
      <c r="G56" s="49" t="s">
        <v>1552</v>
      </c>
      <c r="H56" s="49" t="s">
        <v>5476</v>
      </c>
      <c r="I56" s="49" t="s">
        <v>5477</v>
      </c>
      <c r="J56" s="49" t="s">
        <v>5480</v>
      </c>
    </row>
    <row r="57" spans="1:10" ht="22.95" customHeight="1" x14ac:dyDescent="0.3">
      <c r="A57" s="136">
        <v>45540</v>
      </c>
      <c r="B57" s="112">
        <v>22.95</v>
      </c>
      <c r="C57" s="137">
        <v>4139302</v>
      </c>
      <c r="D57" s="49">
        <v>2025</v>
      </c>
      <c r="E57" s="49">
        <v>2024</v>
      </c>
      <c r="F57" s="49">
        <v>9</v>
      </c>
      <c r="G57" s="49" t="s">
        <v>1552</v>
      </c>
      <c r="H57" s="49" t="s">
        <v>5476</v>
      </c>
      <c r="I57" s="49" t="s">
        <v>5477</v>
      </c>
      <c r="J57" s="49" t="s">
        <v>5481</v>
      </c>
    </row>
    <row r="58" spans="1:10" ht="22.95" customHeight="1" x14ac:dyDescent="0.3">
      <c r="A58" s="136">
        <v>45541</v>
      </c>
      <c r="B58" s="112">
        <v>22.76</v>
      </c>
      <c r="C58" s="137">
        <v>676236</v>
      </c>
      <c r="D58" s="49">
        <v>2025</v>
      </c>
      <c r="E58" s="49">
        <v>2024</v>
      </c>
      <c r="F58" s="49">
        <v>9</v>
      </c>
      <c r="G58" s="49" t="s">
        <v>1552</v>
      </c>
      <c r="H58" s="49" t="s">
        <v>5476</v>
      </c>
      <c r="I58" s="49" t="s">
        <v>5477</v>
      </c>
      <c r="J58" s="49" t="s">
        <v>5482</v>
      </c>
    </row>
    <row r="59" spans="1:10" ht="22.95" customHeight="1" x14ac:dyDescent="0.3">
      <c r="A59" s="136">
        <v>45544</v>
      </c>
      <c r="B59" s="112">
        <v>22.81</v>
      </c>
      <c r="C59" s="137">
        <v>4789894</v>
      </c>
      <c r="D59" s="49">
        <v>2025</v>
      </c>
      <c r="E59" s="49">
        <v>2024</v>
      </c>
      <c r="F59" s="49">
        <v>9</v>
      </c>
      <c r="G59" s="49" t="s">
        <v>1552</v>
      </c>
      <c r="H59" s="49" t="s">
        <v>5476</v>
      </c>
      <c r="I59" s="49" t="s">
        <v>5477</v>
      </c>
      <c r="J59" s="49" t="s">
        <v>5483</v>
      </c>
    </row>
    <row r="60" spans="1:10" ht="22.95" customHeight="1" x14ac:dyDescent="0.3">
      <c r="A60" s="136">
        <v>45545</v>
      </c>
      <c r="B60" s="112">
        <v>23.5</v>
      </c>
      <c r="C60" s="137">
        <v>11195443</v>
      </c>
      <c r="D60" s="49">
        <v>2025</v>
      </c>
      <c r="E60" s="49">
        <v>2024</v>
      </c>
      <c r="F60" s="49">
        <v>9</v>
      </c>
      <c r="G60" s="49" t="s">
        <v>1552</v>
      </c>
      <c r="H60" s="49" t="s">
        <v>5476</v>
      </c>
      <c r="I60" s="49" t="s">
        <v>5477</v>
      </c>
      <c r="J60" s="49" t="s">
        <v>5484</v>
      </c>
    </row>
    <row r="61" spans="1:10" ht="22.95" customHeight="1" x14ac:dyDescent="0.3">
      <c r="A61" s="136">
        <v>45546</v>
      </c>
      <c r="B61" s="112">
        <v>23.42</v>
      </c>
      <c r="C61" s="137">
        <v>6433421</v>
      </c>
      <c r="D61" s="49">
        <v>2025</v>
      </c>
      <c r="E61" s="49">
        <v>2024</v>
      </c>
      <c r="F61" s="49">
        <v>9</v>
      </c>
      <c r="G61" s="49" t="s">
        <v>1552</v>
      </c>
      <c r="H61" s="49" t="s">
        <v>5476</v>
      </c>
      <c r="I61" s="49" t="s">
        <v>5477</v>
      </c>
      <c r="J61" s="49" t="s">
        <v>5485</v>
      </c>
    </row>
    <row r="62" spans="1:10" ht="22.95" customHeight="1" x14ac:dyDescent="0.3">
      <c r="A62" s="136">
        <v>45547</v>
      </c>
      <c r="B62" s="112">
        <v>24.54</v>
      </c>
      <c r="C62" s="137">
        <v>15550470</v>
      </c>
      <c r="D62" s="49">
        <v>2025</v>
      </c>
      <c r="E62" s="49">
        <v>2024</v>
      </c>
      <c r="F62" s="49">
        <v>9</v>
      </c>
      <c r="G62" s="49" t="s">
        <v>1552</v>
      </c>
      <c r="H62" s="49" t="s">
        <v>5476</v>
      </c>
      <c r="I62" s="49" t="s">
        <v>5477</v>
      </c>
      <c r="J62" s="49" t="s">
        <v>5486</v>
      </c>
    </row>
    <row r="63" spans="1:10" ht="22.95" customHeight="1" x14ac:dyDescent="0.3">
      <c r="A63" s="136">
        <v>45548</v>
      </c>
      <c r="B63" s="112">
        <v>24.37</v>
      </c>
      <c r="C63" s="137">
        <v>18725243</v>
      </c>
      <c r="D63" s="49">
        <v>2025</v>
      </c>
      <c r="E63" s="49">
        <v>2024</v>
      </c>
      <c r="F63" s="49">
        <v>9</v>
      </c>
      <c r="G63" s="49" t="s">
        <v>1552</v>
      </c>
      <c r="H63" s="49" t="s">
        <v>5476</v>
      </c>
      <c r="I63" s="49" t="s">
        <v>5477</v>
      </c>
      <c r="J63" s="49" t="s">
        <v>5487</v>
      </c>
    </row>
    <row r="64" spans="1:10" ht="22.95" customHeight="1" x14ac:dyDescent="0.3">
      <c r="A64" s="136">
        <v>45551</v>
      </c>
      <c r="B64" s="112">
        <v>24.2</v>
      </c>
      <c r="C64" s="137">
        <v>5116039</v>
      </c>
      <c r="D64" s="49">
        <v>2025</v>
      </c>
      <c r="E64" s="49">
        <v>2024</v>
      </c>
      <c r="F64" s="49">
        <v>9</v>
      </c>
      <c r="G64" s="49" t="s">
        <v>1552</v>
      </c>
      <c r="H64" s="49" t="s">
        <v>5476</v>
      </c>
      <c r="I64" s="49" t="s">
        <v>5477</v>
      </c>
      <c r="J64" s="49" t="s">
        <v>5488</v>
      </c>
    </row>
    <row r="65" spans="1:10" ht="22.95" customHeight="1" x14ac:dyDescent="0.3">
      <c r="A65" s="136">
        <v>45553</v>
      </c>
      <c r="B65" s="112">
        <v>24.29</v>
      </c>
      <c r="C65" s="137">
        <v>3719105</v>
      </c>
      <c r="D65" s="49">
        <v>2025</v>
      </c>
      <c r="E65" s="49">
        <v>2024</v>
      </c>
      <c r="F65" s="49">
        <v>9</v>
      </c>
      <c r="G65" s="49" t="s">
        <v>1552</v>
      </c>
      <c r="H65" s="49" t="s">
        <v>5476</v>
      </c>
      <c r="I65" s="49" t="s">
        <v>5477</v>
      </c>
      <c r="J65" s="49" t="s">
        <v>5489</v>
      </c>
    </row>
    <row r="66" spans="1:10" ht="22.95" customHeight="1" x14ac:dyDescent="0.3">
      <c r="A66" s="136">
        <v>45554</v>
      </c>
      <c r="B66" s="112">
        <v>24.72</v>
      </c>
      <c r="C66" s="137">
        <v>7720188</v>
      </c>
      <c r="D66" s="49">
        <v>2025</v>
      </c>
      <c r="E66" s="49">
        <v>2024</v>
      </c>
      <c r="F66" s="49">
        <v>9</v>
      </c>
      <c r="G66" s="49" t="s">
        <v>1552</v>
      </c>
      <c r="H66" s="49" t="s">
        <v>5476</v>
      </c>
      <c r="I66" s="49" t="s">
        <v>5477</v>
      </c>
      <c r="J66" s="49" t="s">
        <v>5490</v>
      </c>
    </row>
    <row r="67" spans="1:10" ht="22.95" customHeight="1" x14ac:dyDescent="0.3">
      <c r="A67" s="136">
        <v>45555</v>
      </c>
      <c r="B67" s="112">
        <v>25.07</v>
      </c>
      <c r="C67" s="137">
        <v>7206462</v>
      </c>
      <c r="D67" s="49">
        <v>2025</v>
      </c>
      <c r="E67" s="49">
        <v>2024</v>
      </c>
      <c r="F67" s="49">
        <v>9</v>
      </c>
      <c r="G67" s="49" t="s">
        <v>1552</v>
      </c>
      <c r="H67" s="49" t="s">
        <v>5476</v>
      </c>
      <c r="I67" s="49" t="s">
        <v>5477</v>
      </c>
      <c r="J67" s="49" t="s">
        <v>5491</v>
      </c>
    </row>
    <row r="68" spans="1:10" ht="22.95" customHeight="1" x14ac:dyDescent="0.3">
      <c r="A68" s="136">
        <v>45558</v>
      </c>
      <c r="B68" s="112">
        <v>24.35</v>
      </c>
      <c r="C68" s="137">
        <v>2663090</v>
      </c>
      <c r="D68" s="49">
        <v>2025</v>
      </c>
      <c r="E68" s="49">
        <v>2024</v>
      </c>
      <c r="F68" s="49">
        <v>9</v>
      </c>
      <c r="G68" s="49" t="s">
        <v>1552</v>
      </c>
      <c r="H68" s="49" t="s">
        <v>5476</v>
      </c>
      <c r="I68" s="49" t="s">
        <v>5477</v>
      </c>
      <c r="J68" s="49" t="s">
        <v>5492</v>
      </c>
    </row>
    <row r="69" spans="1:10" ht="22.95" customHeight="1" x14ac:dyDescent="0.3">
      <c r="A69" s="136">
        <v>45559</v>
      </c>
      <c r="B69" s="112">
        <v>24.04</v>
      </c>
      <c r="C69" s="137">
        <v>2351216</v>
      </c>
      <c r="D69" s="49">
        <v>2025</v>
      </c>
      <c r="E69" s="49">
        <v>2024</v>
      </c>
      <c r="F69" s="49">
        <v>9</v>
      </c>
      <c r="G69" s="49" t="s">
        <v>1552</v>
      </c>
      <c r="H69" s="49" t="s">
        <v>5476</v>
      </c>
      <c r="I69" s="49" t="s">
        <v>5477</v>
      </c>
      <c r="J69" s="49" t="s">
        <v>5493</v>
      </c>
    </row>
    <row r="70" spans="1:10" ht="22.95" customHeight="1" x14ac:dyDescent="0.3">
      <c r="A70" s="136">
        <v>45560</v>
      </c>
      <c r="B70" s="112">
        <v>24.99</v>
      </c>
      <c r="C70" s="137">
        <v>7657647</v>
      </c>
      <c r="D70" s="49">
        <v>2025</v>
      </c>
      <c r="E70" s="49">
        <v>2024</v>
      </c>
      <c r="F70" s="49">
        <v>9</v>
      </c>
      <c r="G70" s="49" t="s">
        <v>1552</v>
      </c>
      <c r="H70" s="49" t="s">
        <v>5476</v>
      </c>
      <c r="I70" s="49" t="s">
        <v>5477</v>
      </c>
      <c r="J70" s="49" t="s">
        <v>5494</v>
      </c>
    </row>
    <row r="71" spans="1:10" ht="22.95" customHeight="1" x14ac:dyDescent="0.3">
      <c r="A71" s="136">
        <v>45561</v>
      </c>
      <c r="B71" s="112">
        <v>25.35</v>
      </c>
      <c r="C71" s="137">
        <v>11949523</v>
      </c>
      <c r="D71" s="49">
        <v>2025</v>
      </c>
      <c r="E71" s="49">
        <v>2024</v>
      </c>
      <c r="F71" s="49">
        <v>9</v>
      </c>
      <c r="G71" s="49" t="s">
        <v>1552</v>
      </c>
      <c r="H71" s="49" t="s">
        <v>5476</v>
      </c>
      <c r="I71" s="49" t="s">
        <v>5477</v>
      </c>
      <c r="J71" s="49" t="s">
        <v>5495</v>
      </c>
    </row>
    <row r="72" spans="1:10" ht="22.95" customHeight="1" x14ac:dyDescent="0.3">
      <c r="A72" s="136">
        <v>45562</v>
      </c>
      <c r="B72" s="112">
        <v>25.22</v>
      </c>
      <c r="C72" s="137">
        <v>2804892</v>
      </c>
      <c r="D72" s="49">
        <v>2025</v>
      </c>
      <c r="E72" s="49">
        <v>2024</v>
      </c>
      <c r="F72" s="49">
        <v>9</v>
      </c>
      <c r="G72" s="49" t="s">
        <v>1552</v>
      </c>
      <c r="H72" s="49" t="s">
        <v>5476</v>
      </c>
      <c r="I72" s="49" t="s">
        <v>5477</v>
      </c>
      <c r="J72" s="49" t="s">
        <v>5496</v>
      </c>
    </row>
    <row r="73" spans="1:10" ht="22.95" customHeight="1" x14ac:dyDescent="0.3">
      <c r="A73" s="136">
        <v>45565</v>
      </c>
      <c r="B73" s="112">
        <v>25.28</v>
      </c>
      <c r="C73" s="137">
        <v>5176568</v>
      </c>
      <c r="D73" s="49">
        <v>2025</v>
      </c>
      <c r="E73" s="49">
        <v>2024</v>
      </c>
      <c r="F73" s="49">
        <v>9</v>
      </c>
      <c r="G73" s="49" t="s">
        <v>1552</v>
      </c>
      <c r="H73" s="49" t="s">
        <v>5476</v>
      </c>
      <c r="I73" s="49" t="s">
        <v>5477</v>
      </c>
      <c r="J73" s="49" t="s">
        <v>5497</v>
      </c>
    </row>
    <row r="74" spans="1:10" ht="22.95" customHeight="1" x14ac:dyDescent="0.3">
      <c r="A74" s="136">
        <v>45566</v>
      </c>
      <c r="B74" s="112">
        <v>26.62</v>
      </c>
      <c r="C74" s="137">
        <v>29125856</v>
      </c>
      <c r="D74" s="49">
        <v>2025</v>
      </c>
      <c r="E74" s="49">
        <v>2024</v>
      </c>
      <c r="F74" s="49">
        <v>10</v>
      </c>
      <c r="G74" s="49" t="s">
        <v>1552</v>
      </c>
      <c r="H74" s="49" t="s">
        <v>5498</v>
      </c>
      <c r="I74" s="49" t="s">
        <v>5499</v>
      </c>
      <c r="J74" s="49" t="s">
        <v>5500</v>
      </c>
    </row>
    <row r="75" spans="1:10" ht="22.95" customHeight="1" x14ac:dyDescent="0.3">
      <c r="A75" s="136">
        <v>45567</v>
      </c>
      <c r="B75" s="112">
        <v>27.41</v>
      </c>
      <c r="C75" s="137">
        <v>20045582</v>
      </c>
      <c r="D75" s="49">
        <v>2025</v>
      </c>
      <c r="E75" s="49">
        <v>2024</v>
      </c>
      <c r="F75" s="49">
        <v>10</v>
      </c>
      <c r="G75" s="49" t="s">
        <v>1552</v>
      </c>
      <c r="H75" s="49" t="s">
        <v>5498</v>
      </c>
      <c r="I75" s="49" t="s">
        <v>5499</v>
      </c>
      <c r="J75" s="49" t="s">
        <v>5501</v>
      </c>
    </row>
    <row r="76" spans="1:10" ht="22.95" customHeight="1" x14ac:dyDescent="0.3">
      <c r="A76" s="136">
        <v>45568</v>
      </c>
      <c r="B76" s="112">
        <v>27.15</v>
      </c>
      <c r="C76" s="137">
        <v>21628458</v>
      </c>
      <c r="D76" s="49">
        <v>2025</v>
      </c>
      <c r="E76" s="49">
        <v>2024</v>
      </c>
      <c r="F76" s="49">
        <v>10</v>
      </c>
      <c r="G76" s="49" t="s">
        <v>1552</v>
      </c>
      <c r="H76" s="49" t="s">
        <v>5498</v>
      </c>
      <c r="I76" s="49" t="s">
        <v>5499</v>
      </c>
      <c r="J76" s="49" t="s">
        <v>5502</v>
      </c>
    </row>
    <row r="77" spans="1:10" ht="22.95" customHeight="1" x14ac:dyDescent="0.3">
      <c r="A77" s="136">
        <v>45569</v>
      </c>
      <c r="B77" s="112">
        <v>26.95</v>
      </c>
      <c r="C77" s="137">
        <v>12420908</v>
      </c>
      <c r="D77" s="49">
        <v>2025</v>
      </c>
      <c r="E77" s="49">
        <v>2024</v>
      </c>
      <c r="F77" s="49">
        <v>10</v>
      </c>
      <c r="G77" s="49" t="s">
        <v>1552</v>
      </c>
      <c r="H77" s="49" t="s">
        <v>5498</v>
      </c>
      <c r="I77" s="49" t="s">
        <v>5499</v>
      </c>
      <c r="J77" s="49" t="s">
        <v>5503</v>
      </c>
    </row>
    <row r="78" spans="1:10" ht="22.95" customHeight="1" x14ac:dyDescent="0.3">
      <c r="A78" s="136">
        <v>45572</v>
      </c>
      <c r="B78" s="112">
        <v>28</v>
      </c>
      <c r="C78" s="137">
        <v>23127553</v>
      </c>
      <c r="D78" s="49">
        <v>2025</v>
      </c>
      <c r="E78" s="49">
        <v>2024</v>
      </c>
      <c r="F78" s="49">
        <v>10</v>
      </c>
      <c r="G78" s="49" t="s">
        <v>1552</v>
      </c>
      <c r="H78" s="49" t="s">
        <v>5498</v>
      </c>
      <c r="I78" s="49" t="s">
        <v>5499</v>
      </c>
      <c r="J78" s="49" t="s">
        <v>5504</v>
      </c>
    </row>
    <row r="79" spans="1:10" ht="22.95" customHeight="1" x14ac:dyDescent="0.3">
      <c r="A79" s="136">
        <v>45573</v>
      </c>
      <c r="B79" s="112">
        <v>27.39</v>
      </c>
      <c r="C79" s="137">
        <v>13160387</v>
      </c>
      <c r="D79" s="49">
        <v>2025</v>
      </c>
      <c r="E79" s="49">
        <v>2024</v>
      </c>
      <c r="F79" s="49">
        <v>10</v>
      </c>
      <c r="G79" s="49" t="s">
        <v>1552</v>
      </c>
      <c r="H79" s="49" t="s">
        <v>5498</v>
      </c>
      <c r="I79" s="49" t="s">
        <v>5499</v>
      </c>
      <c r="J79" s="49" t="s">
        <v>5505</v>
      </c>
    </row>
    <row r="80" spans="1:10" ht="22.95" customHeight="1" x14ac:dyDescent="0.3">
      <c r="A80" s="136">
        <v>45574</v>
      </c>
      <c r="B80" s="112">
        <v>27.52</v>
      </c>
      <c r="C80" s="137">
        <v>13879905</v>
      </c>
      <c r="D80" s="49">
        <v>2025</v>
      </c>
      <c r="E80" s="49">
        <v>2024</v>
      </c>
      <c r="F80" s="49">
        <v>10</v>
      </c>
      <c r="G80" s="49" t="s">
        <v>1552</v>
      </c>
      <c r="H80" s="49" t="s">
        <v>5498</v>
      </c>
      <c r="I80" s="49" t="s">
        <v>5499</v>
      </c>
      <c r="J80" s="49" t="s">
        <v>5506</v>
      </c>
    </row>
    <row r="81" spans="1:10" ht="22.95" customHeight="1" x14ac:dyDescent="0.3">
      <c r="A81" s="136">
        <v>45575</v>
      </c>
      <c r="B81" s="112">
        <v>27.97</v>
      </c>
      <c r="C81" s="137">
        <v>10495306</v>
      </c>
      <c r="D81" s="49">
        <v>2025</v>
      </c>
      <c r="E81" s="49">
        <v>2024</v>
      </c>
      <c r="F81" s="49">
        <v>10</v>
      </c>
      <c r="G81" s="49" t="s">
        <v>1552</v>
      </c>
      <c r="H81" s="49" t="s">
        <v>5498</v>
      </c>
      <c r="I81" s="49" t="s">
        <v>5499</v>
      </c>
      <c r="J81" s="49" t="s">
        <v>5507</v>
      </c>
    </row>
    <row r="82" spans="1:10" ht="22.95" customHeight="1" x14ac:dyDescent="0.3">
      <c r="A82" s="136">
        <v>45576</v>
      </c>
      <c r="B82" s="112">
        <v>28.62</v>
      </c>
      <c r="C82" s="137">
        <v>12389794</v>
      </c>
      <c r="D82" s="49">
        <v>2025</v>
      </c>
      <c r="E82" s="49">
        <v>2024</v>
      </c>
      <c r="F82" s="49">
        <v>10</v>
      </c>
      <c r="G82" s="49" t="s">
        <v>1552</v>
      </c>
      <c r="H82" s="49" t="s">
        <v>5498</v>
      </c>
      <c r="I82" s="49" t="s">
        <v>5499</v>
      </c>
      <c r="J82" s="49" t="s">
        <v>5508</v>
      </c>
    </row>
    <row r="83" spans="1:10" ht="22.95" customHeight="1" x14ac:dyDescent="0.3">
      <c r="A83" s="136">
        <v>45579</v>
      </c>
      <c r="B83" s="112">
        <v>29.08</v>
      </c>
      <c r="C83" s="137">
        <v>15742751</v>
      </c>
      <c r="D83" s="49">
        <v>2025</v>
      </c>
      <c r="E83" s="49">
        <v>2024</v>
      </c>
      <c r="F83" s="49">
        <v>10</v>
      </c>
      <c r="G83" s="49" t="s">
        <v>1552</v>
      </c>
      <c r="H83" s="49" t="s">
        <v>5498</v>
      </c>
      <c r="I83" s="49" t="s">
        <v>5499</v>
      </c>
      <c r="J83" s="49" t="s">
        <v>5509</v>
      </c>
    </row>
    <row r="84" spans="1:10" ht="22.95" customHeight="1" x14ac:dyDescent="0.3">
      <c r="A84" s="136">
        <v>45580</v>
      </c>
      <c r="B84" s="112">
        <v>29.34</v>
      </c>
      <c r="C84" s="137">
        <v>5406017</v>
      </c>
      <c r="D84" s="49">
        <v>2025</v>
      </c>
      <c r="E84" s="49">
        <v>2024</v>
      </c>
      <c r="F84" s="49">
        <v>10</v>
      </c>
      <c r="G84" s="49" t="s">
        <v>1552</v>
      </c>
      <c r="H84" s="49" t="s">
        <v>5498</v>
      </c>
      <c r="I84" s="49" t="s">
        <v>5499</v>
      </c>
      <c r="J84" s="49" t="s">
        <v>5510</v>
      </c>
    </row>
    <row r="85" spans="1:10" ht="22.95" customHeight="1" x14ac:dyDescent="0.3">
      <c r="A85" s="136">
        <v>45581</v>
      </c>
      <c r="B85" s="112">
        <v>28.98</v>
      </c>
      <c r="C85" s="137">
        <v>10861086</v>
      </c>
      <c r="D85" s="49">
        <v>2025</v>
      </c>
      <c r="E85" s="49">
        <v>2024</v>
      </c>
      <c r="F85" s="49">
        <v>10</v>
      </c>
      <c r="G85" s="49" t="s">
        <v>1552</v>
      </c>
      <c r="H85" s="49" t="s">
        <v>5498</v>
      </c>
      <c r="I85" s="49" t="s">
        <v>5499</v>
      </c>
      <c r="J85" s="49" t="s">
        <v>5511</v>
      </c>
    </row>
    <row r="86" spans="1:10" ht="22.95" customHeight="1" x14ac:dyDescent="0.3">
      <c r="A86" s="136">
        <v>45582</v>
      </c>
      <c r="B86" s="112">
        <v>29.04</v>
      </c>
      <c r="C86" s="137">
        <v>5794011</v>
      </c>
      <c r="D86" s="49">
        <v>2025</v>
      </c>
      <c r="E86" s="49">
        <v>2024</v>
      </c>
      <c r="F86" s="49">
        <v>10</v>
      </c>
      <c r="G86" s="49" t="s">
        <v>1552</v>
      </c>
      <c r="H86" s="49" t="s">
        <v>5498</v>
      </c>
      <c r="I86" s="49" t="s">
        <v>5499</v>
      </c>
      <c r="J86" s="49" t="s">
        <v>5512</v>
      </c>
    </row>
    <row r="87" spans="1:10" ht="22.95" customHeight="1" x14ac:dyDescent="0.3">
      <c r="A87" s="136">
        <v>45583</v>
      </c>
      <c r="B87" s="112">
        <v>28.58</v>
      </c>
      <c r="C87" s="137">
        <v>4146394</v>
      </c>
      <c r="D87" s="49">
        <v>2025</v>
      </c>
      <c r="E87" s="49">
        <v>2024</v>
      </c>
      <c r="F87" s="49">
        <v>10</v>
      </c>
      <c r="G87" s="49" t="s">
        <v>1552</v>
      </c>
      <c r="H87" s="49" t="s">
        <v>5498</v>
      </c>
      <c r="I87" s="49" t="s">
        <v>5499</v>
      </c>
      <c r="J87" s="49" t="s">
        <v>5513</v>
      </c>
    </row>
    <row r="88" spans="1:10" ht="22.95" customHeight="1" x14ac:dyDescent="0.3">
      <c r="A88" s="136">
        <v>45586</v>
      </c>
      <c r="B88" s="112">
        <v>28.91</v>
      </c>
      <c r="C88" s="137">
        <v>4144445</v>
      </c>
      <c r="D88" s="49">
        <v>2025</v>
      </c>
      <c r="E88" s="49">
        <v>2024</v>
      </c>
      <c r="F88" s="49">
        <v>10</v>
      </c>
      <c r="G88" s="49" t="s">
        <v>1552</v>
      </c>
      <c r="H88" s="49" t="s">
        <v>5498</v>
      </c>
      <c r="I88" s="49" t="s">
        <v>5499</v>
      </c>
      <c r="J88" s="49" t="s">
        <v>5514</v>
      </c>
    </row>
    <row r="89" spans="1:10" ht="22.95" customHeight="1" x14ac:dyDescent="0.3">
      <c r="A89" s="136">
        <v>45587</v>
      </c>
      <c r="B89" s="112">
        <v>29.54</v>
      </c>
      <c r="C89" s="137">
        <v>8669206</v>
      </c>
      <c r="D89" s="49">
        <v>2025</v>
      </c>
      <c r="E89" s="49">
        <v>2024</v>
      </c>
      <c r="F89" s="49">
        <v>10</v>
      </c>
      <c r="G89" s="49" t="s">
        <v>1552</v>
      </c>
      <c r="H89" s="49" t="s">
        <v>5498</v>
      </c>
      <c r="I89" s="49" t="s">
        <v>5499</v>
      </c>
      <c r="J89" s="49" t="s">
        <v>5515</v>
      </c>
    </row>
    <row r="90" spans="1:10" ht="22.95" customHeight="1" x14ac:dyDescent="0.3">
      <c r="A90" s="136">
        <v>45588</v>
      </c>
      <c r="B90" s="112">
        <v>30.33</v>
      </c>
      <c r="C90" s="137">
        <v>10211012</v>
      </c>
      <c r="D90" s="49">
        <v>2025</v>
      </c>
      <c r="E90" s="49">
        <v>2024</v>
      </c>
      <c r="F90" s="49">
        <v>10</v>
      </c>
      <c r="G90" s="49" t="s">
        <v>1552</v>
      </c>
      <c r="H90" s="49" t="s">
        <v>5498</v>
      </c>
      <c r="I90" s="49" t="s">
        <v>5499</v>
      </c>
      <c r="J90" s="49" t="s">
        <v>5516</v>
      </c>
    </row>
    <row r="91" spans="1:10" ht="22.95" customHeight="1" x14ac:dyDescent="0.3">
      <c r="A91" s="136">
        <v>45589</v>
      </c>
      <c r="B91" s="112">
        <v>31.46</v>
      </c>
      <c r="C91" s="137">
        <v>23272920</v>
      </c>
      <c r="D91" s="49">
        <v>2025</v>
      </c>
      <c r="E91" s="49">
        <v>2024</v>
      </c>
      <c r="F91" s="49">
        <v>10</v>
      </c>
      <c r="G91" s="49" t="s">
        <v>1552</v>
      </c>
      <c r="H91" s="49" t="s">
        <v>5498</v>
      </c>
      <c r="I91" s="49" t="s">
        <v>5499</v>
      </c>
      <c r="J91" s="49" t="s">
        <v>5517</v>
      </c>
    </row>
    <row r="92" spans="1:10" ht="22.95" customHeight="1" x14ac:dyDescent="0.3">
      <c r="A92" s="136">
        <v>45590</v>
      </c>
      <c r="B92" s="112">
        <v>33.99</v>
      </c>
      <c r="C92" s="137">
        <v>31553452</v>
      </c>
      <c r="D92" s="49">
        <v>2025</v>
      </c>
      <c r="E92" s="49">
        <v>2024</v>
      </c>
      <c r="F92" s="49">
        <v>10</v>
      </c>
      <c r="G92" s="49" t="s">
        <v>1552</v>
      </c>
      <c r="H92" s="49" t="s">
        <v>5498</v>
      </c>
      <c r="I92" s="49" t="s">
        <v>5499</v>
      </c>
      <c r="J92" s="49" t="s">
        <v>5518</v>
      </c>
    </row>
    <row r="93" spans="1:10" ht="22.95" customHeight="1" x14ac:dyDescent="0.3">
      <c r="A93" s="136">
        <v>45593</v>
      </c>
      <c r="B93" s="112">
        <v>32.94</v>
      </c>
      <c r="C93" s="137">
        <v>13143264</v>
      </c>
      <c r="D93" s="49">
        <v>2025</v>
      </c>
      <c r="E93" s="49">
        <v>2024</v>
      </c>
      <c r="F93" s="49">
        <v>10</v>
      </c>
      <c r="G93" s="49" t="s">
        <v>1552</v>
      </c>
      <c r="H93" s="49" t="s">
        <v>5498</v>
      </c>
      <c r="I93" s="49" t="s">
        <v>5499</v>
      </c>
      <c r="J93" s="49" t="s">
        <v>5519</v>
      </c>
    </row>
    <row r="94" spans="1:10" ht="22.95" customHeight="1" x14ac:dyDescent="0.3">
      <c r="A94" s="136">
        <v>45594</v>
      </c>
      <c r="B94" s="112">
        <v>33.26</v>
      </c>
      <c r="C94" s="137">
        <v>10346413</v>
      </c>
      <c r="D94" s="49">
        <v>2025</v>
      </c>
      <c r="E94" s="49">
        <v>2024</v>
      </c>
      <c r="F94" s="49">
        <v>10</v>
      </c>
      <c r="G94" s="49" t="s">
        <v>1552</v>
      </c>
      <c r="H94" s="49" t="s">
        <v>5498</v>
      </c>
      <c r="I94" s="49" t="s">
        <v>5499</v>
      </c>
      <c r="J94" s="49" t="s">
        <v>5520</v>
      </c>
    </row>
    <row r="95" spans="1:10" ht="22.95" customHeight="1" x14ac:dyDescent="0.3">
      <c r="A95" s="136">
        <v>45595</v>
      </c>
      <c r="B95" s="112">
        <v>32.71</v>
      </c>
      <c r="C95" s="137">
        <v>10289422</v>
      </c>
      <c r="D95" s="49">
        <v>2025</v>
      </c>
      <c r="E95" s="49">
        <v>2024</v>
      </c>
      <c r="F95" s="49">
        <v>10</v>
      </c>
      <c r="G95" s="49" t="s">
        <v>1552</v>
      </c>
      <c r="H95" s="49" t="s">
        <v>5498</v>
      </c>
      <c r="I95" s="49" t="s">
        <v>5499</v>
      </c>
      <c r="J95" s="49" t="s">
        <v>5521</v>
      </c>
    </row>
    <row r="96" spans="1:10" ht="22.95" customHeight="1" x14ac:dyDescent="0.3">
      <c r="A96" s="136">
        <v>45596</v>
      </c>
      <c r="B96" s="112">
        <v>32.56</v>
      </c>
      <c r="C96" s="137">
        <v>9095443</v>
      </c>
      <c r="D96" s="49">
        <v>2025</v>
      </c>
      <c r="E96" s="49">
        <v>2024</v>
      </c>
      <c r="F96" s="49">
        <v>10</v>
      </c>
      <c r="G96" s="49" t="s">
        <v>1552</v>
      </c>
      <c r="H96" s="49" t="s">
        <v>5498</v>
      </c>
      <c r="I96" s="49" t="s">
        <v>5499</v>
      </c>
      <c r="J96" s="49" t="s">
        <v>5522</v>
      </c>
    </row>
    <row r="97" spans="1:10" ht="22.95" customHeight="1" x14ac:dyDescent="0.3">
      <c r="A97" s="136">
        <v>45597</v>
      </c>
      <c r="B97" s="112">
        <v>33.909999999999997</v>
      </c>
      <c r="C97" s="137">
        <v>10837347</v>
      </c>
      <c r="D97" s="49">
        <v>2025</v>
      </c>
      <c r="E97" s="49">
        <v>2024</v>
      </c>
      <c r="F97" s="49">
        <v>11</v>
      </c>
      <c r="G97" s="49" t="s">
        <v>1552</v>
      </c>
      <c r="H97" s="49" t="s">
        <v>5523</v>
      </c>
      <c r="I97" s="49" t="s">
        <v>5524</v>
      </c>
      <c r="J97" s="49" t="s">
        <v>5525</v>
      </c>
    </row>
    <row r="98" spans="1:10" ht="22.95" customHeight="1" x14ac:dyDescent="0.3">
      <c r="A98" s="136">
        <v>45600</v>
      </c>
      <c r="B98" s="112">
        <v>35.06</v>
      </c>
      <c r="C98" s="137">
        <v>20330341</v>
      </c>
      <c r="D98" s="49">
        <v>2025</v>
      </c>
      <c r="E98" s="49">
        <v>2024</v>
      </c>
      <c r="F98" s="49">
        <v>11</v>
      </c>
      <c r="G98" s="49" t="s">
        <v>1552</v>
      </c>
      <c r="H98" s="49" t="s">
        <v>5523</v>
      </c>
      <c r="I98" s="49" t="s">
        <v>5524</v>
      </c>
      <c r="J98" s="49" t="s">
        <v>5526</v>
      </c>
    </row>
    <row r="99" spans="1:10" ht="22.95" customHeight="1" x14ac:dyDescent="0.3">
      <c r="A99" s="136">
        <v>45601</v>
      </c>
      <c r="B99" s="112">
        <v>34.93</v>
      </c>
      <c r="C99" s="137">
        <v>21425572</v>
      </c>
      <c r="D99" s="49">
        <v>2025</v>
      </c>
      <c r="E99" s="49">
        <v>2024</v>
      </c>
      <c r="F99" s="49">
        <v>11</v>
      </c>
      <c r="G99" s="49" t="s">
        <v>1552</v>
      </c>
      <c r="H99" s="49" t="s">
        <v>5523</v>
      </c>
      <c r="I99" s="49" t="s">
        <v>5524</v>
      </c>
      <c r="J99" s="49" t="s">
        <v>5527</v>
      </c>
    </row>
    <row r="100" spans="1:10" ht="22.95" customHeight="1" x14ac:dyDescent="0.3">
      <c r="A100" s="136">
        <v>45602</v>
      </c>
      <c r="B100" s="112">
        <v>34.04</v>
      </c>
      <c r="C100" s="137">
        <v>9078138</v>
      </c>
      <c r="D100" s="49">
        <v>2025</v>
      </c>
      <c r="E100" s="49">
        <v>2024</v>
      </c>
      <c r="F100" s="49">
        <v>11</v>
      </c>
      <c r="G100" s="49" t="s">
        <v>1552</v>
      </c>
      <c r="H100" s="49" t="s">
        <v>5523</v>
      </c>
      <c r="I100" s="49" t="s">
        <v>5524</v>
      </c>
      <c r="J100" s="49" t="s">
        <v>5528</v>
      </c>
    </row>
    <row r="101" spans="1:10" ht="22.95" customHeight="1" x14ac:dyDescent="0.3">
      <c r="A101" s="136">
        <v>45603</v>
      </c>
      <c r="B101" s="112">
        <v>33.44</v>
      </c>
      <c r="C101" s="137">
        <v>5642812</v>
      </c>
      <c r="D101" s="49">
        <v>2025</v>
      </c>
      <c r="E101" s="49">
        <v>2024</v>
      </c>
      <c r="F101" s="49">
        <v>11</v>
      </c>
      <c r="G101" s="49" t="s">
        <v>1552</v>
      </c>
      <c r="H101" s="49" t="s">
        <v>5523</v>
      </c>
      <c r="I101" s="49" t="s">
        <v>5524</v>
      </c>
      <c r="J101" s="49" t="s">
        <v>5529</v>
      </c>
    </row>
    <row r="102" spans="1:10" ht="22.95" customHeight="1" x14ac:dyDescent="0.3">
      <c r="A102" s="136">
        <v>45604</v>
      </c>
      <c r="B102" s="112">
        <v>33.93</v>
      </c>
      <c r="C102" s="137">
        <v>5865737</v>
      </c>
      <c r="D102" s="49">
        <v>2025</v>
      </c>
      <c r="E102" s="49">
        <v>2024</v>
      </c>
      <c r="F102" s="49">
        <v>11</v>
      </c>
      <c r="G102" s="49" t="s">
        <v>1552</v>
      </c>
      <c r="H102" s="49" t="s">
        <v>5523</v>
      </c>
      <c r="I102" s="49" t="s">
        <v>5524</v>
      </c>
      <c r="J102" s="49" t="s">
        <v>5530</v>
      </c>
    </row>
    <row r="103" spans="1:10" ht="22.95" customHeight="1" x14ac:dyDescent="0.3">
      <c r="A103" s="136">
        <v>45607</v>
      </c>
      <c r="B103" s="112">
        <v>33.39</v>
      </c>
      <c r="C103" s="137">
        <v>5944855</v>
      </c>
      <c r="D103" s="49">
        <v>2025</v>
      </c>
      <c r="E103" s="49">
        <v>2024</v>
      </c>
      <c r="F103" s="49">
        <v>11</v>
      </c>
      <c r="G103" s="49" t="s">
        <v>1552</v>
      </c>
      <c r="H103" s="49" t="s">
        <v>5523</v>
      </c>
      <c r="I103" s="49" t="s">
        <v>5524</v>
      </c>
      <c r="J103" s="49" t="s">
        <v>5531</v>
      </c>
    </row>
    <row r="104" spans="1:10" ht="22.95" customHeight="1" x14ac:dyDescent="0.3">
      <c r="A104" s="136">
        <v>45608</v>
      </c>
      <c r="B104" s="112">
        <v>32.14</v>
      </c>
      <c r="C104" s="137">
        <v>10432174</v>
      </c>
      <c r="D104" s="49">
        <v>2025</v>
      </c>
      <c r="E104" s="49">
        <v>2024</v>
      </c>
      <c r="F104" s="49">
        <v>11</v>
      </c>
      <c r="G104" s="49" t="s">
        <v>1552</v>
      </c>
      <c r="H104" s="49" t="s">
        <v>5523</v>
      </c>
      <c r="I104" s="49" t="s">
        <v>5524</v>
      </c>
      <c r="J104" s="49" t="s">
        <v>5532</v>
      </c>
    </row>
    <row r="105" spans="1:10" ht="22.95" customHeight="1" x14ac:dyDescent="0.3">
      <c r="A105" s="136">
        <v>45609</v>
      </c>
      <c r="B105" s="112">
        <v>32.28</v>
      </c>
      <c r="C105" s="137">
        <v>7421599</v>
      </c>
      <c r="D105" s="49">
        <v>2025</v>
      </c>
      <c r="E105" s="49">
        <v>2024</v>
      </c>
      <c r="F105" s="49">
        <v>11</v>
      </c>
      <c r="G105" s="49" t="s">
        <v>1552</v>
      </c>
      <c r="H105" s="49" t="s">
        <v>5523</v>
      </c>
      <c r="I105" s="49" t="s">
        <v>5524</v>
      </c>
      <c r="J105" s="49" t="s">
        <v>5533</v>
      </c>
    </row>
    <row r="106" spans="1:10" ht="22.95" customHeight="1" x14ac:dyDescent="0.3">
      <c r="A106" s="136">
        <v>45610</v>
      </c>
      <c r="B106" s="112">
        <v>32.49</v>
      </c>
      <c r="C106" s="137">
        <v>8823324</v>
      </c>
      <c r="D106" s="49">
        <v>2025</v>
      </c>
      <c r="E106" s="49">
        <v>2024</v>
      </c>
      <c r="F106" s="49">
        <v>11</v>
      </c>
      <c r="G106" s="49" t="s">
        <v>1552</v>
      </c>
      <c r="H106" s="49" t="s">
        <v>5523</v>
      </c>
      <c r="I106" s="49" t="s">
        <v>5524</v>
      </c>
      <c r="J106" s="49" t="s">
        <v>5534</v>
      </c>
    </row>
    <row r="107" spans="1:10" ht="22.95" customHeight="1" x14ac:dyDescent="0.3">
      <c r="A107" s="136">
        <v>45611</v>
      </c>
      <c r="B107" s="112">
        <v>32.56</v>
      </c>
      <c r="C107" s="137">
        <v>5607498</v>
      </c>
      <c r="D107" s="49">
        <v>2025</v>
      </c>
      <c r="E107" s="49">
        <v>2024</v>
      </c>
      <c r="F107" s="49">
        <v>11</v>
      </c>
      <c r="G107" s="49" t="s">
        <v>1552</v>
      </c>
      <c r="H107" s="49" t="s">
        <v>5523</v>
      </c>
      <c r="I107" s="49" t="s">
        <v>5524</v>
      </c>
      <c r="J107" s="49" t="s">
        <v>5535</v>
      </c>
    </row>
    <row r="108" spans="1:10" ht="22.95" customHeight="1" x14ac:dyDescent="0.3">
      <c r="A108" s="136">
        <v>45614</v>
      </c>
      <c r="B108" s="112">
        <v>33.11</v>
      </c>
      <c r="C108" s="137">
        <v>9074361</v>
      </c>
      <c r="D108" s="49">
        <v>2025</v>
      </c>
      <c r="E108" s="49">
        <v>2024</v>
      </c>
      <c r="F108" s="49">
        <v>11</v>
      </c>
      <c r="G108" s="49" t="s">
        <v>1552</v>
      </c>
      <c r="H108" s="49" t="s">
        <v>5523</v>
      </c>
      <c r="I108" s="49" t="s">
        <v>5524</v>
      </c>
      <c r="J108" s="49" t="s">
        <v>5536</v>
      </c>
    </row>
    <row r="109" spans="1:10" ht="22.95" customHeight="1" x14ac:dyDescent="0.3">
      <c r="A109" s="136">
        <v>45615</v>
      </c>
      <c r="B109" s="112">
        <v>33</v>
      </c>
      <c r="C109" s="137">
        <v>5261737</v>
      </c>
      <c r="D109" s="49">
        <v>2025</v>
      </c>
      <c r="E109" s="49">
        <v>2024</v>
      </c>
      <c r="F109" s="49">
        <v>11</v>
      </c>
      <c r="G109" s="49" t="s">
        <v>1552</v>
      </c>
      <c r="H109" s="49" t="s">
        <v>5523</v>
      </c>
      <c r="I109" s="49" t="s">
        <v>5524</v>
      </c>
      <c r="J109" s="49" t="s">
        <v>5537</v>
      </c>
    </row>
    <row r="110" spans="1:10" ht="22.95" customHeight="1" x14ac:dyDescent="0.3">
      <c r="A110" s="136">
        <v>45616</v>
      </c>
      <c r="B110" s="112">
        <v>32.340000000000003</v>
      </c>
      <c r="C110" s="137">
        <v>6363684</v>
      </c>
      <c r="D110" s="49">
        <v>2025</v>
      </c>
      <c r="E110" s="49">
        <v>2024</v>
      </c>
      <c r="F110" s="49">
        <v>11</v>
      </c>
      <c r="G110" s="49" t="s">
        <v>1552</v>
      </c>
      <c r="H110" s="49" t="s">
        <v>5523</v>
      </c>
      <c r="I110" s="49" t="s">
        <v>5524</v>
      </c>
      <c r="J110" s="49" t="s">
        <v>5538</v>
      </c>
    </row>
    <row r="111" spans="1:10" ht="22.95" customHeight="1" x14ac:dyDescent="0.3">
      <c r="A111" s="136">
        <v>45617</v>
      </c>
      <c r="B111" s="112">
        <v>32.770000000000003</v>
      </c>
      <c r="C111" s="137">
        <v>3565126</v>
      </c>
      <c r="D111" s="49">
        <v>2025</v>
      </c>
      <c r="E111" s="49">
        <v>2024</v>
      </c>
      <c r="F111" s="49">
        <v>11</v>
      </c>
      <c r="G111" s="49" t="s">
        <v>1552</v>
      </c>
      <c r="H111" s="49" t="s">
        <v>5523</v>
      </c>
      <c r="I111" s="49" t="s">
        <v>5524</v>
      </c>
      <c r="J111" s="49" t="s">
        <v>5539</v>
      </c>
    </row>
    <row r="112" spans="1:10" ht="22.95" customHeight="1" x14ac:dyDescent="0.3">
      <c r="A112" s="136">
        <v>45618</v>
      </c>
      <c r="B112" s="112">
        <v>32.770000000000003</v>
      </c>
      <c r="C112" s="137">
        <v>9451848</v>
      </c>
      <c r="D112" s="49">
        <v>2025</v>
      </c>
      <c r="E112" s="49">
        <v>2024</v>
      </c>
      <c r="F112" s="49">
        <v>11</v>
      </c>
      <c r="G112" s="49" t="s">
        <v>1552</v>
      </c>
      <c r="H112" s="49" t="s">
        <v>5523</v>
      </c>
      <c r="I112" s="49" t="s">
        <v>5524</v>
      </c>
      <c r="J112" s="49" t="s">
        <v>5540</v>
      </c>
    </row>
    <row r="113" spans="1:10" ht="22.95" customHeight="1" x14ac:dyDescent="0.3">
      <c r="A113" s="136">
        <v>45621</v>
      </c>
      <c r="B113" s="112">
        <v>33.1</v>
      </c>
      <c r="C113" s="137">
        <v>5176449</v>
      </c>
      <c r="D113" s="49">
        <v>2025</v>
      </c>
      <c r="E113" s="49">
        <v>2024</v>
      </c>
      <c r="F113" s="49">
        <v>11</v>
      </c>
      <c r="G113" s="49" t="s">
        <v>1552</v>
      </c>
      <c r="H113" s="49" t="s">
        <v>5523</v>
      </c>
      <c r="I113" s="49" t="s">
        <v>5524</v>
      </c>
      <c r="J113" s="49" t="s">
        <v>5541</v>
      </c>
    </row>
    <row r="114" spans="1:10" ht="22.95" customHeight="1" x14ac:dyDescent="0.3">
      <c r="A114" s="136">
        <v>45622</v>
      </c>
      <c r="B114" s="112">
        <v>30.58</v>
      </c>
      <c r="C114" s="137">
        <v>9143779</v>
      </c>
      <c r="D114" s="49">
        <v>2025</v>
      </c>
      <c r="E114" s="49">
        <v>2024</v>
      </c>
      <c r="F114" s="49">
        <v>11</v>
      </c>
      <c r="G114" s="49" t="s">
        <v>1552</v>
      </c>
      <c r="H114" s="49" t="s">
        <v>5523</v>
      </c>
      <c r="I114" s="49" t="s">
        <v>5524</v>
      </c>
      <c r="J114" s="49" t="s">
        <v>5542</v>
      </c>
    </row>
    <row r="115" spans="1:10" ht="22.95" customHeight="1" x14ac:dyDescent="0.3">
      <c r="A115" s="136">
        <v>45623</v>
      </c>
      <c r="B115" s="112">
        <v>33.42</v>
      </c>
      <c r="C115" s="137">
        <v>11368314</v>
      </c>
      <c r="D115" s="49">
        <v>2025</v>
      </c>
      <c r="E115" s="49">
        <v>2024</v>
      </c>
      <c r="F115" s="49">
        <v>11</v>
      </c>
      <c r="G115" s="49" t="s">
        <v>1552</v>
      </c>
      <c r="H115" s="49" t="s">
        <v>5523</v>
      </c>
      <c r="I115" s="49" t="s">
        <v>5524</v>
      </c>
      <c r="J115" s="49" t="s">
        <v>5543</v>
      </c>
    </row>
    <row r="116" spans="1:10" ht="22.95" customHeight="1" x14ac:dyDescent="0.3">
      <c r="A116" s="136">
        <v>45624</v>
      </c>
      <c r="B116" s="112">
        <v>34.9</v>
      </c>
      <c r="C116" s="137">
        <v>26132552</v>
      </c>
      <c r="D116" s="49">
        <v>2025</v>
      </c>
      <c r="E116" s="49">
        <v>2024</v>
      </c>
      <c r="F116" s="49">
        <v>11</v>
      </c>
      <c r="G116" s="49" t="s">
        <v>1552</v>
      </c>
      <c r="H116" s="49" t="s">
        <v>5523</v>
      </c>
      <c r="I116" s="49" t="s">
        <v>5524</v>
      </c>
      <c r="J116" s="49" t="s">
        <v>5544</v>
      </c>
    </row>
    <row r="117" spans="1:10" ht="22.95" customHeight="1" x14ac:dyDescent="0.3">
      <c r="A117" s="136">
        <v>45625</v>
      </c>
      <c r="B117" s="112">
        <v>35.15</v>
      </c>
      <c r="C117" s="137">
        <v>7585077</v>
      </c>
      <c r="D117" s="49">
        <v>2025</v>
      </c>
      <c r="E117" s="49">
        <v>2024</v>
      </c>
      <c r="F117" s="49">
        <v>11</v>
      </c>
      <c r="G117" s="49" t="s">
        <v>1552</v>
      </c>
      <c r="H117" s="49" t="s">
        <v>5523</v>
      </c>
      <c r="I117" s="49" t="s">
        <v>5524</v>
      </c>
      <c r="J117" s="49" t="s">
        <v>5545</v>
      </c>
    </row>
    <row r="118" spans="1:10" ht="22.95" customHeight="1" x14ac:dyDescent="0.3">
      <c r="A118" s="136">
        <v>45628</v>
      </c>
      <c r="B118" s="112">
        <v>38.54</v>
      </c>
      <c r="C118" s="137">
        <v>31910059</v>
      </c>
      <c r="D118" s="49">
        <v>2025</v>
      </c>
      <c r="E118" s="49">
        <v>2024</v>
      </c>
      <c r="F118" s="49">
        <v>12</v>
      </c>
      <c r="G118" s="49" t="s">
        <v>1552</v>
      </c>
      <c r="H118" s="49" t="s">
        <v>5546</v>
      </c>
      <c r="I118" s="49" t="s">
        <v>5547</v>
      </c>
      <c r="J118" s="49" t="s">
        <v>5548</v>
      </c>
    </row>
    <row r="119" spans="1:10" ht="22.95" customHeight="1" x14ac:dyDescent="0.3">
      <c r="A119" s="136">
        <v>45629</v>
      </c>
      <c r="B119" s="112">
        <v>38.380000000000003</v>
      </c>
      <c r="C119" s="137">
        <v>22761941</v>
      </c>
      <c r="D119" s="49">
        <v>2025</v>
      </c>
      <c r="E119" s="49">
        <v>2024</v>
      </c>
      <c r="F119" s="49">
        <v>12</v>
      </c>
      <c r="G119" s="49" t="s">
        <v>1552</v>
      </c>
      <c r="H119" s="49" t="s">
        <v>5546</v>
      </c>
      <c r="I119" s="49" t="s">
        <v>5547</v>
      </c>
      <c r="J119" s="49" t="s">
        <v>5549</v>
      </c>
    </row>
    <row r="120" spans="1:10" ht="22.95" customHeight="1" x14ac:dyDescent="0.3">
      <c r="A120" s="136">
        <v>45630</v>
      </c>
      <c r="B120" s="112">
        <v>37.92</v>
      </c>
      <c r="C120" s="137">
        <v>9292648</v>
      </c>
      <c r="D120" s="49">
        <v>2025</v>
      </c>
      <c r="E120" s="49">
        <v>2024</v>
      </c>
      <c r="F120" s="49">
        <v>12</v>
      </c>
      <c r="G120" s="49" t="s">
        <v>1552</v>
      </c>
      <c r="H120" s="49" t="s">
        <v>5546</v>
      </c>
      <c r="I120" s="49" t="s">
        <v>5547</v>
      </c>
      <c r="J120" s="49" t="s">
        <v>5550</v>
      </c>
    </row>
    <row r="121" spans="1:10" ht="22.95" customHeight="1" x14ac:dyDescent="0.3">
      <c r="A121" s="136">
        <v>45631</v>
      </c>
      <c r="B121" s="112">
        <v>39.31</v>
      </c>
      <c r="C121" s="137">
        <v>17562657</v>
      </c>
      <c r="D121" s="49">
        <v>2025</v>
      </c>
      <c r="E121" s="49">
        <v>2024</v>
      </c>
      <c r="F121" s="49">
        <v>12</v>
      </c>
      <c r="G121" s="49" t="s">
        <v>1552</v>
      </c>
      <c r="H121" s="49" t="s">
        <v>5546</v>
      </c>
      <c r="I121" s="49" t="s">
        <v>5547</v>
      </c>
      <c r="J121" s="49" t="s">
        <v>5551</v>
      </c>
    </row>
    <row r="122" spans="1:10" ht="22.95" customHeight="1" x14ac:dyDescent="0.3">
      <c r="A122" s="136">
        <v>45632</v>
      </c>
      <c r="B122" s="112">
        <v>38.07</v>
      </c>
      <c r="C122" s="137">
        <v>9434859</v>
      </c>
      <c r="D122" s="49">
        <v>2025</v>
      </c>
      <c r="E122" s="49">
        <v>2024</v>
      </c>
      <c r="F122" s="49">
        <v>12</v>
      </c>
      <c r="G122" s="49" t="s">
        <v>1552</v>
      </c>
      <c r="H122" s="49" t="s">
        <v>5546</v>
      </c>
      <c r="I122" s="49" t="s">
        <v>5547</v>
      </c>
      <c r="J122" s="49" t="s">
        <v>5552</v>
      </c>
    </row>
    <row r="123" spans="1:10" ht="22.95" customHeight="1" x14ac:dyDescent="0.3">
      <c r="A123" s="136">
        <v>45635</v>
      </c>
      <c r="B123" s="112">
        <v>39.6</v>
      </c>
      <c r="C123" s="137">
        <v>17445156</v>
      </c>
      <c r="D123" s="49">
        <v>2025</v>
      </c>
      <c r="E123" s="49">
        <v>2024</v>
      </c>
      <c r="F123" s="49">
        <v>12</v>
      </c>
      <c r="G123" s="49" t="s">
        <v>1552</v>
      </c>
      <c r="H123" s="49" t="s">
        <v>5546</v>
      </c>
      <c r="I123" s="49" t="s">
        <v>5547</v>
      </c>
      <c r="J123" s="49" t="s">
        <v>5553</v>
      </c>
    </row>
    <row r="124" spans="1:10" ht="22.95" customHeight="1" x14ac:dyDescent="0.3">
      <c r="A124" s="136">
        <v>45636</v>
      </c>
      <c r="B124" s="112">
        <v>39.03</v>
      </c>
      <c r="C124" s="137">
        <v>20938494</v>
      </c>
      <c r="D124" s="49">
        <v>2025</v>
      </c>
      <c r="E124" s="49">
        <v>2024</v>
      </c>
      <c r="F124" s="49">
        <v>12</v>
      </c>
      <c r="G124" s="49" t="s">
        <v>1552</v>
      </c>
      <c r="H124" s="49" t="s">
        <v>5546</v>
      </c>
      <c r="I124" s="49" t="s">
        <v>5547</v>
      </c>
      <c r="J124" s="49" t="s">
        <v>5554</v>
      </c>
    </row>
    <row r="125" spans="1:10" ht="22.95" customHeight="1" x14ac:dyDescent="0.3">
      <c r="A125" s="136">
        <v>45637</v>
      </c>
      <c r="B125" s="112">
        <v>39</v>
      </c>
      <c r="C125" s="137">
        <v>7262545</v>
      </c>
      <c r="D125" s="49">
        <v>2025</v>
      </c>
      <c r="E125" s="49">
        <v>2024</v>
      </c>
      <c r="F125" s="49">
        <v>12</v>
      </c>
      <c r="G125" s="49" t="s">
        <v>1552</v>
      </c>
      <c r="H125" s="49" t="s">
        <v>5546</v>
      </c>
      <c r="I125" s="49" t="s">
        <v>5547</v>
      </c>
      <c r="J125" s="49" t="s">
        <v>5555</v>
      </c>
    </row>
    <row r="126" spans="1:10" ht="22.95" customHeight="1" x14ac:dyDescent="0.3">
      <c r="A126" s="136">
        <v>45638</v>
      </c>
      <c r="B126" s="112">
        <v>38.590000000000003</v>
      </c>
      <c r="C126" s="137">
        <v>23461133</v>
      </c>
      <c r="D126" s="49">
        <v>2025</v>
      </c>
      <c r="E126" s="49">
        <v>2024</v>
      </c>
      <c r="F126" s="49">
        <v>12</v>
      </c>
      <c r="G126" s="49" t="s">
        <v>1552</v>
      </c>
      <c r="H126" s="49" t="s">
        <v>5546</v>
      </c>
      <c r="I126" s="49" t="s">
        <v>5547</v>
      </c>
      <c r="J126" s="49" t="s">
        <v>5556</v>
      </c>
    </row>
    <row r="127" spans="1:10" ht="22.95" customHeight="1" x14ac:dyDescent="0.3">
      <c r="A127" s="136">
        <v>45639</v>
      </c>
      <c r="B127" s="112">
        <v>37.72</v>
      </c>
      <c r="C127" s="137">
        <v>10159846</v>
      </c>
      <c r="D127" s="49">
        <v>2025</v>
      </c>
      <c r="E127" s="49">
        <v>2024</v>
      </c>
      <c r="F127" s="49">
        <v>12</v>
      </c>
      <c r="G127" s="49" t="s">
        <v>1552</v>
      </c>
      <c r="H127" s="49" t="s">
        <v>5546</v>
      </c>
      <c r="I127" s="49" t="s">
        <v>5547</v>
      </c>
      <c r="J127" s="49" t="s">
        <v>5557</v>
      </c>
    </row>
    <row r="128" spans="1:10" ht="22.95" customHeight="1" x14ac:dyDescent="0.3">
      <c r="A128" s="136">
        <v>45642</v>
      </c>
      <c r="B128" s="112">
        <v>38.159999999999997</v>
      </c>
      <c r="C128" s="137">
        <v>20184050</v>
      </c>
      <c r="D128" s="49">
        <v>2025</v>
      </c>
      <c r="E128" s="49">
        <v>2024</v>
      </c>
      <c r="F128" s="49">
        <v>12</v>
      </c>
      <c r="G128" s="49" t="s">
        <v>1552</v>
      </c>
      <c r="H128" s="49" t="s">
        <v>5546</v>
      </c>
      <c r="I128" s="49" t="s">
        <v>5547</v>
      </c>
      <c r="J128" s="49" t="s">
        <v>5558</v>
      </c>
    </row>
    <row r="129" spans="1:10" ht="22.95" customHeight="1" x14ac:dyDescent="0.3">
      <c r="A129" s="136">
        <v>45643</v>
      </c>
      <c r="B129" s="112">
        <v>36.35</v>
      </c>
      <c r="C129" s="137">
        <v>11437746</v>
      </c>
      <c r="D129" s="49">
        <v>2025</v>
      </c>
      <c r="E129" s="49">
        <v>2024</v>
      </c>
      <c r="F129" s="49">
        <v>12</v>
      </c>
      <c r="G129" s="49" t="s">
        <v>1552</v>
      </c>
      <c r="H129" s="49" t="s">
        <v>5546</v>
      </c>
      <c r="I129" s="49" t="s">
        <v>5547</v>
      </c>
      <c r="J129" s="49" t="s">
        <v>5559</v>
      </c>
    </row>
    <row r="130" spans="1:10" ht="22.95" customHeight="1" x14ac:dyDescent="0.3">
      <c r="A130" s="136">
        <v>45644</v>
      </c>
      <c r="B130" s="112">
        <v>34.96</v>
      </c>
      <c r="C130" s="137">
        <v>12956402</v>
      </c>
      <c r="D130" s="49">
        <v>2025</v>
      </c>
      <c r="E130" s="49">
        <v>2024</v>
      </c>
      <c r="F130" s="49">
        <v>12</v>
      </c>
      <c r="G130" s="49" t="s">
        <v>1552</v>
      </c>
      <c r="H130" s="49" t="s">
        <v>5546</v>
      </c>
      <c r="I130" s="49" t="s">
        <v>5547</v>
      </c>
      <c r="J130" s="49" t="s">
        <v>5560</v>
      </c>
    </row>
    <row r="131" spans="1:10" ht="22.95" customHeight="1" x14ac:dyDescent="0.3">
      <c r="A131" s="136">
        <v>45645</v>
      </c>
      <c r="B131" s="112">
        <v>33.97</v>
      </c>
      <c r="C131" s="137">
        <v>14557490</v>
      </c>
      <c r="D131" s="49">
        <v>2025</v>
      </c>
      <c r="E131" s="49">
        <v>2024</v>
      </c>
      <c r="F131" s="49">
        <v>12</v>
      </c>
      <c r="G131" s="49" t="s">
        <v>1552</v>
      </c>
      <c r="H131" s="49" t="s">
        <v>5546</v>
      </c>
      <c r="I131" s="49" t="s">
        <v>5547</v>
      </c>
      <c r="J131" s="49" t="s">
        <v>5561</v>
      </c>
    </row>
    <row r="132" spans="1:10" ht="22.95" customHeight="1" x14ac:dyDescent="0.3">
      <c r="A132" s="136">
        <v>45646</v>
      </c>
      <c r="B132" s="112">
        <v>35.25</v>
      </c>
      <c r="C132" s="137">
        <v>14129184</v>
      </c>
      <c r="D132" s="49">
        <v>2025</v>
      </c>
      <c r="E132" s="49">
        <v>2024</v>
      </c>
      <c r="F132" s="49">
        <v>12</v>
      </c>
      <c r="G132" s="49" t="s">
        <v>1552</v>
      </c>
      <c r="H132" s="49" t="s">
        <v>5546</v>
      </c>
      <c r="I132" s="49" t="s">
        <v>5547</v>
      </c>
      <c r="J132" s="49" t="s">
        <v>5562</v>
      </c>
    </row>
    <row r="133" spans="1:10" ht="22.95" customHeight="1" x14ac:dyDescent="0.3">
      <c r="A133" s="136">
        <v>45649</v>
      </c>
      <c r="B133" s="112">
        <v>36.700000000000003</v>
      </c>
      <c r="C133" s="137">
        <v>24838416</v>
      </c>
      <c r="D133" s="49">
        <v>2025</v>
      </c>
      <c r="E133" s="49">
        <v>2024</v>
      </c>
      <c r="F133" s="49">
        <v>12</v>
      </c>
      <c r="G133" s="49" t="s">
        <v>1552</v>
      </c>
      <c r="H133" s="49" t="s">
        <v>5546</v>
      </c>
      <c r="I133" s="49" t="s">
        <v>5547</v>
      </c>
      <c r="J133" s="49" t="s">
        <v>5563</v>
      </c>
    </row>
    <row r="134" spans="1:10" ht="22.95" customHeight="1" x14ac:dyDescent="0.3">
      <c r="A134" s="136">
        <v>45650</v>
      </c>
      <c r="B134" s="112">
        <v>36.4</v>
      </c>
      <c r="C134" s="137">
        <v>16315345</v>
      </c>
      <c r="D134" s="49">
        <v>2025</v>
      </c>
      <c r="E134" s="49">
        <v>2024</v>
      </c>
      <c r="F134" s="49">
        <v>12</v>
      </c>
      <c r="G134" s="49" t="s">
        <v>1552</v>
      </c>
      <c r="H134" s="49" t="s">
        <v>5546</v>
      </c>
      <c r="I134" s="49" t="s">
        <v>5547</v>
      </c>
      <c r="J134" s="49" t="s">
        <v>5564</v>
      </c>
    </row>
    <row r="135" spans="1:10" ht="22.95" customHeight="1" x14ac:dyDescent="0.3">
      <c r="A135" s="136">
        <v>45652</v>
      </c>
      <c r="B135" s="112">
        <v>35.19</v>
      </c>
      <c r="C135" s="137">
        <v>16189868</v>
      </c>
      <c r="D135" s="49">
        <v>2025</v>
      </c>
      <c r="E135" s="49">
        <v>2024</v>
      </c>
      <c r="F135" s="49">
        <v>12</v>
      </c>
      <c r="G135" s="49" t="s">
        <v>1552</v>
      </c>
      <c r="H135" s="49" t="s">
        <v>5546</v>
      </c>
      <c r="I135" s="49" t="s">
        <v>5547</v>
      </c>
      <c r="J135" s="49" t="s">
        <v>5565</v>
      </c>
    </row>
    <row r="136" spans="1:10" ht="22.95" customHeight="1" x14ac:dyDescent="0.3">
      <c r="A136" s="136">
        <v>45653</v>
      </c>
      <c r="B136" s="112">
        <v>36.340000000000003</v>
      </c>
      <c r="C136" s="137">
        <v>11842530</v>
      </c>
      <c r="D136" s="49">
        <v>2025</v>
      </c>
      <c r="E136" s="49">
        <v>2024</v>
      </c>
      <c r="F136" s="49">
        <v>12</v>
      </c>
      <c r="G136" s="49" t="s">
        <v>1552</v>
      </c>
      <c r="H136" s="49" t="s">
        <v>5546</v>
      </c>
      <c r="I136" s="49" t="s">
        <v>5547</v>
      </c>
      <c r="J136" s="49" t="s">
        <v>5566</v>
      </c>
    </row>
    <row r="137" spans="1:10" ht="22.95" customHeight="1" x14ac:dyDescent="0.3">
      <c r="A137" s="136">
        <v>45656</v>
      </c>
      <c r="B137" s="112">
        <v>37.520000000000003</v>
      </c>
      <c r="C137" s="137">
        <v>15473765</v>
      </c>
      <c r="D137" s="49">
        <v>2025</v>
      </c>
      <c r="E137" s="49">
        <v>2024</v>
      </c>
      <c r="F137" s="49">
        <v>12</v>
      </c>
      <c r="G137" s="49" t="s">
        <v>1552</v>
      </c>
      <c r="H137" s="49" t="s">
        <v>5546</v>
      </c>
      <c r="I137" s="49" t="s">
        <v>5547</v>
      </c>
      <c r="J137" s="49" t="s">
        <v>5567</v>
      </c>
    </row>
    <row r="138" spans="1:10" ht="22.95" customHeight="1" x14ac:dyDescent="0.3">
      <c r="A138" s="136">
        <v>45657</v>
      </c>
      <c r="B138" s="112">
        <v>36.58</v>
      </c>
      <c r="C138" s="137">
        <v>8059089</v>
      </c>
      <c r="D138" s="49">
        <v>2025</v>
      </c>
      <c r="E138" s="49">
        <v>2024</v>
      </c>
      <c r="F138" s="49">
        <v>12</v>
      </c>
      <c r="G138" s="49" t="s">
        <v>1552</v>
      </c>
      <c r="H138" s="49" t="s">
        <v>5546</v>
      </c>
      <c r="I138" s="49" t="s">
        <v>5547</v>
      </c>
      <c r="J138" s="49" t="s">
        <v>5568</v>
      </c>
    </row>
    <row r="139" spans="1:10" ht="22.95" customHeight="1" x14ac:dyDescent="0.3">
      <c r="A139" s="136">
        <v>45658</v>
      </c>
      <c r="B139" s="112">
        <v>38.06</v>
      </c>
      <c r="C139" s="137">
        <v>22877376</v>
      </c>
      <c r="D139" s="49">
        <v>2025</v>
      </c>
      <c r="E139" s="49">
        <v>2025</v>
      </c>
      <c r="F139" s="49">
        <v>1</v>
      </c>
      <c r="G139" s="49" t="s">
        <v>1552</v>
      </c>
      <c r="H139" s="49" t="s">
        <v>5569</v>
      </c>
      <c r="I139" s="49" t="s">
        <v>5570</v>
      </c>
      <c r="J139" s="49" t="s">
        <v>5571</v>
      </c>
    </row>
    <row r="140" spans="1:10" ht="22.95" customHeight="1" x14ac:dyDescent="0.3">
      <c r="A140" s="136">
        <v>45659</v>
      </c>
      <c r="B140" s="112">
        <v>37.07</v>
      </c>
      <c r="C140" s="137">
        <v>10793762</v>
      </c>
      <c r="D140" s="49">
        <v>2025</v>
      </c>
      <c r="E140" s="49">
        <v>2025</v>
      </c>
      <c r="F140" s="49">
        <v>1</v>
      </c>
      <c r="G140" s="49" t="s">
        <v>1552</v>
      </c>
      <c r="H140" s="49" t="s">
        <v>5569</v>
      </c>
      <c r="I140" s="49" t="s">
        <v>5570</v>
      </c>
      <c r="J140" s="49" t="s">
        <v>5572</v>
      </c>
    </row>
    <row r="141" spans="1:10" ht="22.95" customHeight="1" x14ac:dyDescent="0.3">
      <c r="A141" s="136">
        <v>45660</v>
      </c>
      <c r="B141" s="112">
        <v>34.83</v>
      </c>
      <c r="C141" s="137">
        <v>54376196</v>
      </c>
      <c r="D141" s="49">
        <v>2025</v>
      </c>
      <c r="E141" s="49">
        <v>2025</v>
      </c>
      <c r="F141" s="49">
        <v>1</v>
      </c>
      <c r="G141" s="49" t="s">
        <v>1552</v>
      </c>
      <c r="H141" s="49" t="s">
        <v>5569</v>
      </c>
      <c r="I141" s="49" t="s">
        <v>5570</v>
      </c>
      <c r="J141" s="49" t="s">
        <v>5573</v>
      </c>
    </row>
    <row r="142" spans="1:10" ht="22.95" customHeight="1" x14ac:dyDescent="0.3">
      <c r="A142" s="136">
        <v>45663</v>
      </c>
      <c r="B142" s="112">
        <v>33.57</v>
      </c>
      <c r="C142" s="137">
        <v>18931152</v>
      </c>
      <c r="D142" s="49">
        <v>2025</v>
      </c>
      <c r="E142" s="49">
        <v>2025</v>
      </c>
      <c r="F142" s="49">
        <v>1</v>
      </c>
      <c r="G142" s="49" t="s">
        <v>1552</v>
      </c>
      <c r="H142" s="49" t="s">
        <v>5569</v>
      </c>
      <c r="I142" s="49" t="s">
        <v>5570</v>
      </c>
      <c r="J142" s="49" t="s">
        <v>5574</v>
      </c>
    </row>
    <row r="143" spans="1:10" ht="22.95" customHeight="1" x14ac:dyDescent="0.3">
      <c r="A143" s="136">
        <v>45664</v>
      </c>
      <c r="B143" s="112">
        <v>34.39</v>
      </c>
      <c r="C143" s="137">
        <v>16236008</v>
      </c>
      <c r="D143" s="49">
        <v>2025</v>
      </c>
      <c r="E143" s="49">
        <v>2025</v>
      </c>
      <c r="F143" s="49">
        <v>1</v>
      </c>
      <c r="G143" s="49" t="s">
        <v>1552</v>
      </c>
      <c r="H143" s="49" t="s">
        <v>5569</v>
      </c>
      <c r="I143" s="49" t="s">
        <v>5570</v>
      </c>
      <c r="J143" s="49" t="s">
        <v>5575</v>
      </c>
    </row>
    <row r="144" spans="1:10" ht="22.95" customHeight="1" x14ac:dyDescent="0.3">
      <c r="A144" s="136">
        <v>45665</v>
      </c>
      <c r="B144" s="112">
        <v>33.47</v>
      </c>
      <c r="C144" s="137">
        <v>8102971</v>
      </c>
      <c r="D144" s="49">
        <v>2025</v>
      </c>
      <c r="E144" s="49">
        <v>2025</v>
      </c>
      <c r="F144" s="49">
        <v>1</v>
      </c>
      <c r="G144" s="49" t="s">
        <v>1552</v>
      </c>
      <c r="H144" s="49" t="s">
        <v>5569</v>
      </c>
      <c r="I144" s="49" t="s">
        <v>5570</v>
      </c>
      <c r="J144" s="49" t="s">
        <v>5576</v>
      </c>
    </row>
    <row r="145" spans="1:10" ht="22.95" customHeight="1" x14ac:dyDescent="0.3">
      <c r="A145" s="136">
        <v>45666</v>
      </c>
      <c r="B145" s="112">
        <v>33.020000000000003</v>
      </c>
      <c r="C145" s="137">
        <v>5258627</v>
      </c>
      <c r="D145" s="49">
        <v>2025</v>
      </c>
      <c r="E145" s="49">
        <v>2025</v>
      </c>
      <c r="F145" s="49">
        <v>1</v>
      </c>
      <c r="G145" s="49" t="s">
        <v>1552</v>
      </c>
      <c r="H145" s="49" t="s">
        <v>5569</v>
      </c>
      <c r="I145" s="49" t="s">
        <v>5570</v>
      </c>
      <c r="J145" s="49" t="s">
        <v>5577</v>
      </c>
    </row>
    <row r="146" spans="1:10" ht="22.95" customHeight="1" x14ac:dyDescent="0.3">
      <c r="A146" s="136">
        <v>45667</v>
      </c>
      <c r="B146" s="112">
        <v>34.14</v>
      </c>
      <c r="C146" s="137">
        <v>10044375</v>
      </c>
      <c r="D146" s="49">
        <v>2025</v>
      </c>
      <c r="E146" s="49">
        <v>2025</v>
      </c>
      <c r="F146" s="49">
        <v>1</v>
      </c>
      <c r="G146" s="49" t="s">
        <v>1552</v>
      </c>
      <c r="H146" s="49" t="s">
        <v>5569</v>
      </c>
      <c r="I146" s="49" t="s">
        <v>5570</v>
      </c>
      <c r="J146" s="49" t="s">
        <v>5578</v>
      </c>
    </row>
    <row r="147" spans="1:10" ht="22.95" customHeight="1" x14ac:dyDescent="0.3">
      <c r="A147" s="136">
        <v>45670</v>
      </c>
      <c r="B147" s="112">
        <v>34.42</v>
      </c>
      <c r="C147" s="137">
        <v>7321157</v>
      </c>
      <c r="D147" s="49">
        <v>2025</v>
      </c>
      <c r="E147" s="49">
        <v>2025</v>
      </c>
      <c r="F147" s="49">
        <v>1</v>
      </c>
      <c r="G147" s="49" t="s">
        <v>1552</v>
      </c>
      <c r="H147" s="49" t="s">
        <v>5569</v>
      </c>
      <c r="I147" s="49" t="s">
        <v>5570</v>
      </c>
      <c r="J147" s="49" t="s">
        <v>5579</v>
      </c>
    </row>
    <row r="148" spans="1:10" ht="22.95" customHeight="1" x14ac:dyDescent="0.3">
      <c r="A148" s="136">
        <v>45671</v>
      </c>
      <c r="B148" s="112">
        <v>34.94</v>
      </c>
      <c r="C148" s="137">
        <v>10515007</v>
      </c>
      <c r="D148" s="49">
        <v>2025</v>
      </c>
      <c r="E148" s="49">
        <v>2025</v>
      </c>
      <c r="F148" s="49">
        <v>1</v>
      </c>
      <c r="G148" s="49" t="s">
        <v>1552</v>
      </c>
      <c r="H148" s="49" t="s">
        <v>5569</v>
      </c>
      <c r="I148" s="49" t="s">
        <v>5570</v>
      </c>
      <c r="J148" s="49" t="s">
        <v>5580</v>
      </c>
    </row>
    <row r="149" spans="1:10" ht="22.95" customHeight="1" x14ac:dyDescent="0.3">
      <c r="A149" s="136">
        <v>45672</v>
      </c>
      <c r="B149" s="112">
        <v>34.659999999999997</v>
      </c>
      <c r="C149" s="137">
        <v>7102217</v>
      </c>
      <c r="D149" s="49">
        <v>2025</v>
      </c>
      <c r="E149" s="49">
        <v>2025</v>
      </c>
      <c r="F149" s="49">
        <v>1</v>
      </c>
      <c r="G149" s="49" t="s">
        <v>1552</v>
      </c>
      <c r="H149" s="49" t="s">
        <v>5569</v>
      </c>
      <c r="I149" s="49" t="s">
        <v>5570</v>
      </c>
      <c r="J149" s="49" t="s">
        <v>5581</v>
      </c>
    </row>
    <row r="150" spans="1:10" ht="22.95" customHeight="1" x14ac:dyDescent="0.3">
      <c r="A150" s="136">
        <v>45673</v>
      </c>
      <c r="B150" s="112">
        <v>34.090000000000003</v>
      </c>
      <c r="C150" s="137">
        <v>3481558</v>
      </c>
      <c r="D150" s="49">
        <v>2025</v>
      </c>
      <c r="E150" s="49">
        <v>2025</v>
      </c>
      <c r="F150" s="49">
        <v>1</v>
      </c>
      <c r="G150" s="49" t="s">
        <v>1552</v>
      </c>
      <c r="H150" s="49" t="s">
        <v>5569</v>
      </c>
      <c r="I150" s="49" t="s">
        <v>5570</v>
      </c>
      <c r="J150" s="49" t="s">
        <v>5582</v>
      </c>
    </row>
    <row r="151" spans="1:10" ht="22.95" customHeight="1" x14ac:dyDescent="0.3">
      <c r="A151" s="136">
        <v>45674</v>
      </c>
      <c r="B151" s="112">
        <v>34.83</v>
      </c>
      <c r="C151" s="137">
        <v>8393064</v>
      </c>
      <c r="D151" s="49">
        <v>2025</v>
      </c>
      <c r="E151" s="49">
        <v>2025</v>
      </c>
      <c r="F151" s="49">
        <v>1</v>
      </c>
      <c r="G151" s="49" t="s">
        <v>1552</v>
      </c>
      <c r="H151" s="49" t="s">
        <v>5569</v>
      </c>
      <c r="I151" s="49" t="s">
        <v>5570</v>
      </c>
      <c r="J151" s="49" t="s">
        <v>5583</v>
      </c>
    </row>
    <row r="152" spans="1:10" ht="22.95" customHeight="1" x14ac:dyDescent="0.3">
      <c r="A152" s="136">
        <v>45677</v>
      </c>
      <c r="B152" s="112">
        <v>35.36</v>
      </c>
      <c r="C152" s="137">
        <v>8642985</v>
      </c>
      <c r="D152" s="49">
        <v>2025</v>
      </c>
      <c r="E152" s="49">
        <v>2025</v>
      </c>
      <c r="F152" s="49">
        <v>1</v>
      </c>
      <c r="G152" s="49" t="s">
        <v>1552</v>
      </c>
      <c r="H152" s="49" t="s">
        <v>5569</v>
      </c>
      <c r="I152" s="49" t="s">
        <v>5570</v>
      </c>
      <c r="J152" s="49" t="s">
        <v>5584</v>
      </c>
    </row>
    <row r="153" spans="1:10" ht="22.95" customHeight="1" x14ac:dyDescent="0.3">
      <c r="A153" s="136">
        <v>45678</v>
      </c>
      <c r="B153" s="112">
        <v>36</v>
      </c>
      <c r="C153" s="137">
        <v>53698225</v>
      </c>
      <c r="D153" s="49">
        <v>2025</v>
      </c>
      <c r="E153" s="49">
        <v>2025</v>
      </c>
      <c r="F153" s="49">
        <v>1</v>
      </c>
      <c r="G153" s="49" t="s">
        <v>1552</v>
      </c>
      <c r="H153" s="49" t="s">
        <v>5569</v>
      </c>
      <c r="I153" s="49" t="s">
        <v>5570</v>
      </c>
      <c r="J153" s="49" t="s">
        <v>5585</v>
      </c>
    </row>
    <row r="154" spans="1:10" ht="22.95" customHeight="1" x14ac:dyDescent="0.3">
      <c r="A154" s="136">
        <v>45679</v>
      </c>
      <c r="B154" s="112">
        <v>38.58</v>
      </c>
      <c r="C154" s="137">
        <v>83552040</v>
      </c>
      <c r="D154" s="49">
        <v>2025</v>
      </c>
      <c r="E154" s="49">
        <v>2025</v>
      </c>
      <c r="F154" s="49">
        <v>1</v>
      </c>
      <c r="G154" s="49" t="s">
        <v>1552</v>
      </c>
      <c r="H154" s="49" t="s">
        <v>5569</v>
      </c>
      <c r="I154" s="49" t="s">
        <v>5570</v>
      </c>
      <c r="J154" s="49" t="s">
        <v>5586</v>
      </c>
    </row>
    <row r="155" spans="1:10" ht="22.95" customHeight="1" x14ac:dyDescent="0.3">
      <c r="A155" s="136">
        <v>45680</v>
      </c>
      <c r="B155" s="112">
        <v>40.65</v>
      </c>
      <c r="C155" s="137">
        <v>47170217</v>
      </c>
      <c r="D155" s="49">
        <v>2025</v>
      </c>
      <c r="E155" s="49">
        <v>2025</v>
      </c>
      <c r="F155" s="49">
        <v>1</v>
      </c>
      <c r="G155" s="49" t="s">
        <v>1552</v>
      </c>
      <c r="H155" s="49" t="s">
        <v>5569</v>
      </c>
      <c r="I155" s="49" t="s">
        <v>5570</v>
      </c>
      <c r="J155" s="49" t="s">
        <v>5587</v>
      </c>
    </row>
    <row r="156" spans="1:10" ht="22.95" customHeight="1" x14ac:dyDescent="0.3">
      <c r="A156" s="136">
        <v>45681</v>
      </c>
      <c r="B156" s="112">
        <v>40.06</v>
      </c>
      <c r="C156" s="137">
        <v>20797108</v>
      </c>
      <c r="D156" s="49">
        <v>2025</v>
      </c>
      <c r="E156" s="49">
        <v>2025</v>
      </c>
      <c r="F156" s="49">
        <v>1</v>
      </c>
      <c r="G156" s="49" t="s">
        <v>1552</v>
      </c>
      <c r="H156" s="49" t="s">
        <v>5569</v>
      </c>
      <c r="I156" s="49" t="s">
        <v>5570</v>
      </c>
      <c r="J156" s="49" t="s">
        <v>5588</v>
      </c>
    </row>
    <row r="157" spans="1:10" ht="22.95" customHeight="1" x14ac:dyDescent="0.3">
      <c r="A157" s="136">
        <v>45684</v>
      </c>
      <c r="B157" s="112">
        <v>39.409999999999997</v>
      </c>
      <c r="C157" s="137">
        <v>14398992</v>
      </c>
      <c r="D157" s="49">
        <v>2025</v>
      </c>
      <c r="E157" s="49">
        <v>2025</v>
      </c>
      <c r="F157" s="49">
        <v>1</v>
      </c>
      <c r="G157" s="49" t="s">
        <v>1552</v>
      </c>
      <c r="H157" s="49" t="s">
        <v>5569</v>
      </c>
      <c r="I157" s="49" t="s">
        <v>5570</v>
      </c>
      <c r="J157" s="49" t="s">
        <v>5589</v>
      </c>
    </row>
    <row r="158" spans="1:10" ht="22.95" customHeight="1" x14ac:dyDescent="0.3">
      <c r="A158" s="136">
        <v>45685</v>
      </c>
      <c r="B158" s="112">
        <v>38.770000000000003</v>
      </c>
      <c r="C158" s="137">
        <v>18743736</v>
      </c>
      <c r="D158" s="49">
        <v>2025</v>
      </c>
      <c r="E158" s="49">
        <v>2025</v>
      </c>
      <c r="F158" s="49">
        <v>1</v>
      </c>
      <c r="G158" s="49" t="s">
        <v>1552</v>
      </c>
      <c r="H158" s="49" t="s">
        <v>5569</v>
      </c>
      <c r="I158" s="49" t="s">
        <v>5570</v>
      </c>
      <c r="J158" s="49" t="s">
        <v>5590</v>
      </c>
    </row>
    <row r="159" spans="1:10" ht="22.95" customHeight="1" x14ac:dyDescent="0.3">
      <c r="A159" s="136">
        <v>45686</v>
      </c>
      <c r="B159" s="112">
        <v>37.700000000000003</v>
      </c>
      <c r="C159" s="137">
        <v>13308955</v>
      </c>
      <c r="D159" s="49">
        <v>2025</v>
      </c>
      <c r="E159" s="49">
        <v>2025</v>
      </c>
      <c r="F159" s="49">
        <v>1</v>
      </c>
      <c r="G159" s="49" t="s">
        <v>1552</v>
      </c>
      <c r="H159" s="49" t="s">
        <v>5569</v>
      </c>
      <c r="I159" s="49" t="s">
        <v>5570</v>
      </c>
      <c r="J159" s="49" t="s">
        <v>5591</v>
      </c>
    </row>
    <row r="160" spans="1:10" ht="22.95" customHeight="1" x14ac:dyDescent="0.3">
      <c r="A160" s="136">
        <v>45687</v>
      </c>
      <c r="B160" s="112">
        <v>37.86</v>
      </c>
      <c r="C160" s="137">
        <v>8607638</v>
      </c>
      <c r="D160" s="49">
        <v>2025</v>
      </c>
      <c r="E160" s="49">
        <v>2025</v>
      </c>
      <c r="F160" s="49">
        <v>1</v>
      </c>
      <c r="G160" s="49" t="s">
        <v>1552</v>
      </c>
      <c r="H160" s="49" t="s">
        <v>5569</v>
      </c>
      <c r="I160" s="49" t="s">
        <v>5570</v>
      </c>
      <c r="J160" s="49" t="s">
        <v>5592</v>
      </c>
    </row>
    <row r="161" spans="1:10" ht="22.95" customHeight="1" x14ac:dyDescent="0.3">
      <c r="A161" s="136">
        <v>45688</v>
      </c>
      <c r="B161" s="112">
        <v>38.1</v>
      </c>
      <c r="C161" s="137">
        <v>7199999</v>
      </c>
      <c r="D161" s="49">
        <v>2025</v>
      </c>
      <c r="E161" s="49">
        <v>2025</v>
      </c>
      <c r="F161" s="49">
        <v>1</v>
      </c>
      <c r="G161" s="49" t="s">
        <v>1552</v>
      </c>
      <c r="H161" s="49" t="s">
        <v>5569</v>
      </c>
      <c r="I161" s="49" t="s">
        <v>5570</v>
      </c>
      <c r="J161" s="49" t="s">
        <v>5593</v>
      </c>
    </row>
    <row r="162" spans="1:10" ht="22.95" customHeight="1" x14ac:dyDescent="0.3">
      <c r="A162" s="136">
        <v>45691</v>
      </c>
      <c r="B162" s="112">
        <v>38.1</v>
      </c>
      <c r="C162" s="137">
        <v>16213883</v>
      </c>
      <c r="D162" s="49">
        <v>2025</v>
      </c>
      <c r="E162" s="49">
        <v>2025</v>
      </c>
      <c r="F162" s="49">
        <v>2</v>
      </c>
      <c r="G162" s="49" t="s">
        <v>1552</v>
      </c>
      <c r="H162" s="49" t="s">
        <v>5594</v>
      </c>
      <c r="I162" s="49" t="s">
        <v>5595</v>
      </c>
      <c r="J162" s="49" t="s">
        <v>5596</v>
      </c>
    </row>
    <row r="163" spans="1:10" ht="22.95" customHeight="1" x14ac:dyDescent="0.3">
      <c r="A163" s="136">
        <v>45692</v>
      </c>
      <c r="B163" s="112">
        <v>37.64</v>
      </c>
      <c r="C163" s="137">
        <v>12847614</v>
      </c>
      <c r="D163" s="49">
        <v>2025</v>
      </c>
      <c r="E163" s="49">
        <v>2025</v>
      </c>
      <c r="F163" s="49">
        <v>2</v>
      </c>
      <c r="G163" s="49" t="s">
        <v>1552</v>
      </c>
      <c r="H163" s="49" t="s">
        <v>5594</v>
      </c>
      <c r="I163" s="49" t="s">
        <v>5595</v>
      </c>
      <c r="J163" s="49" t="s">
        <v>5597</v>
      </c>
    </row>
    <row r="164" spans="1:10" ht="22.95" customHeight="1" x14ac:dyDescent="0.3">
      <c r="A164" s="136">
        <v>45694</v>
      </c>
      <c r="B164" s="112">
        <v>36.64</v>
      </c>
      <c r="C164" s="137">
        <v>6409796</v>
      </c>
      <c r="D164" s="49">
        <v>2025</v>
      </c>
      <c r="E164" s="49">
        <v>2025</v>
      </c>
      <c r="F164" s="49">
        <v>2</v>
      </c>
      <c r="G164" s="49" t="s">
        <v>1552</v>
      </c>
      <c r="H164" s="49" t="s">
        <v>5594</v>
      </c>
      <c r="I164" s="49" t="s">
        <v>5595</v>
      </c>
      <c r="J164" s="49" t="s">
        <v>5598</v>
      </c>
    </row>
    <row r="165" spans="1:10" ht="22.95" customHeight="1" x14ac:dyDescent="0.3">
      <c r="A165" s="136">
        <v>45695</v>
      </c>
      <c r="B165" s="112">
        <v>36.43</v>
      </c>
      <c r="C165" s="137">
        <v>7154487</v>
      </c>
      <c r="D165" s="49">
        <v>2025</v>
      </c>
      <c r="E165" s="49">
        <v>2025</v>
      </c>
      <c r="F165" s="49">
        <v>2</v>
      </c>
      <c r="G165" s="49" t="s">
        <v>1552</v>
      </c>
      <c r="H165" s="49" t="s">
        <v>5594</v>
      </c>
      <c r="I165" s="49" t="s">
        <v>5595</v>
      </c>
      <c r="J165" s="49" t="s">
        <v>5599</v>
      </c>
    </row>
    <row r="166" spans="1:10" ht="22.95" customHeight="1" x14ac:dyDescent="0.3">
      <c r="A166" s="136">
        <v>45698</v>
      </c>
      <c r="B166" s="112">
        <v>37.01</v>
      </c>
      <c r="C166" s="137">
        <v>6810172</v>
      </c>
      <c r="D166" s="49">
        <v>2025</v>
      </c>
      <c r="E166" s="49">
        <v>2025</v>
      </c>
      <c r="F166" s="49">
        <v>2</v>
      </c>
      <c r="G166" s="49" t="s">
        <v>1552</v>
      </c>
      <c r="H166" s="49" t="s">
        <v>5594</v>
      </c>
      <c r="I166" s="49" t="s">
        <v>5595</v>
      </c>
      <c r="J166" s="49" t="s">
        <v>5600</v>
      </c>
    </row>
    <row r="167" spans="1:10" ht="22.95" customHeight="1" x14ac:dyDescent="0.3">
      <c r="A167" s="136">
        <v>45699</v>
      </c>
      <c r="B167" s="112">
        <v>38.700000000000003</v>
      </c>
      <c r="C167" s="137">
        <v>16404789</v>
      </c>
      <c r="D167" s="49">
        <v>2025</v>
      </c>
      <c r="E167" s="49">
        <v>2025</v>
      </c>
      <c r="F167" s="49">
        <v>2</v>
      </c>
      <c r="G167" s="49" t="s">
        <v>1552</v>
      </c>
      <c r="H167" s="49" t="s">
        <v>5594</v>
      </c>
      <c r="I167" s="49" t="s">
        <v>5595</v>
      </c>
      <c r="J167" s="49" t="s">
        <v>5601</v>
      </c>
    </row>
    <row r="168" spans="1:10" ht="22.95" customHeight="1" x14ac:dyDescent="0.3">
      <c r="A168" s="136">
        <v>45700</v>
      </c>
      <c r="B168" s="112">
        <v>38.43</v>
      </c>
      <c r="C168" s="137">
        <v>10549752</v>
      </c>
      <c r="D168" s="49">
        <v>2025</v>
      </c>
      <c r="E168" s="49">
        <v>2025</v>
      </c>
      <c r="F168" s="49">
        <v>2</v>
      </c>
      <c r="G168" s="49" t="s">
        <v>1552</v>
      </c>
      <c r="H168" s="49" t="s">
        <v>5594</v>
      </c>
      <c r="I168" s="49" t="s">
        <v>5595</v>
      </c>
      <c r="J168" s="49" t="s">
        <v>5602</v>
      </c>
    </row>
    <row r="169" spans="1:10" ht="22.95" customHeight="1" x14ac:dyDescent="0.3">
      <c r="A169" s="136">
        <v>45701</v>
      </c>
      <c r="B169" s="112">
        <v>37.79</v>
      </c>
      <c r="C169" s="137">
        <v>3081599</v>
      </c>
      <c r="D169" s="49">
        <v>2025</v>
      </c>
      <c r="E169" s="49">
        <v>2025</v>
      </c>
      <c r="F169" s="49">
        <v>2</v>
      </c>
      <c r="G169" s="49" t="s">
        <v>1552</v>
      </c>
      <c r="H169" s="49" t="s">
        <v>5594</v>
      </c>
      <c r="I169" s="49" t="s">
        <v>5595</v>
      </c>
      <c r="J169" s="49" t="s">
        <v>5603</v>
      </c>
    </row>
    <row r="170" spans="1:10" ht="22.95" customHeight="1" x14ac:dyDescent="0.3">
      <c r="A170" s="136">
        <v>45702</v>
      </c>
      <c r="B170" s="112">
        <v>36.65</v>
      </c>
      <c r="C170" s="137">
        <v>17068146</v>
      </c>
      <c r="D170" s="49">
        <v>2025</v>
      </c>
      <c r="E170" s="49">
        <v>2025</v>
      </c>
      <c r="F170" s="49">
        <v>2</v>
      </c>
      <c r="G170" s="49" t="s">
        <v>1552</v>
      </c>
      <c r="H170" s="49" t="s">
        <v>5594</v>
      </c>
      <c r="I170" s="49" t="s">
        <v>5595</v>
      </c>
      <c r="J170" s="49" t="s">
        <v>5604</v>
      </c>
    </row>
    <row r="171" spans="1:10" ht="22.95" customHeight="1" x14ac:dyDescent="0.3">
      <c r="A171" s="136">
        <v>45705</v>
      </c>
      <c r="B171" s="112">
        <v>37.08</v>
      </c>
      <c r="C171" s="137">
        <v>4960195</v>
      </c>
      <c r="D171" s="49">
        <v>2025</v>
      </c>
      <c r="E171" s="49">
        <v>2025</v>
      </c>
      <c r="F171" s="49">
        <v>2</v>
      </c>
      <c r="G171" s="49" t="s">
        <v>1552</v>
      </c>
      <c r="H171" s="49" t="s">
        <v>5594</v>
      </c>
      <c r="I171" s="49" t="s">
        <v>5595</v>
      </c>
      <c r="J171" s="49" t="s">
        <v>5605</v>
      </c>
    </row>
    <row r="172" spans="1:10" ht="22.95" customHeight="1" x14ac:dyDescent="0.3">
      <c r="A172" s="136">
        <v>45706</v>
      </c>
      <c r="B172" s="112">
        <v>38.71</v>
      </c>
      <c r="C172" s="137">
        <v>9074209</v>
      </c>
      <c r="D172" s="49">
        <v>2025</v>
      </c>
      <c r="E172" s="49">
        <v>2025</v>
      </c>
      <c r="F172" s="49">
        <v>2</v>
      </c>
      <c r="G172" s="49" t="s">
        <v>1552</v>
      </c>
      <c r="H172" s="49" t="s">
        <v>5594</v>
      </c>
      <c r="I172" s="49" t="s">
        <v>5595</v>
      </c>
      <c r="J172" s="49" t="s">
        <v>5606</v>
      </c>
    </row>
    <row r="173" spans="1:10" ht="22.95" customHeight="1" x14ac:dyDescent="0.3">
      <c r="A173" s="136">
        <v>45707</v>
      </c>
      <c r="B173" s="112">
        <v>40.549999999999997</v>
      </c>
      <c r="C173" s="137">
        <v>38112842</v>
      </c>
      <c r="D173" s="49">
        <v>2025</v>
      </c>
      <c r="E173" s="49">
        <v>2025</v>
      </c>
      <c r="F173" s="49">
        <v>2</v>
      </c>
      <c r="G173" s="49" t="s">
        <v>1552</v>
      </c>
      <c r="H173" s="49" t="s">
        <v>5594</v>
      </c>
      <c r="I173" s="49" t="s">
        <v>5595</v>
      </c>
      <c r="J173" s="49" t="s">
        <v>5607</v>
      </c>
    </row>
    <row r="174" spans="1:10" ht="22.95" customHeight="1" x14ac:dyDescent="0.3">
      <c r="A174" s="136">
        <v>45708</v>
      </c>
      <c r="B174" s="112">
        <v>43.41</v>
      </c>
      <c r="C174" s="137">
        <v>73707472</v>
      </c>
      <c r="D174" s="49">
        <v>2025</v>
      </c>
      <c r="E174" s="49">
        <v>2025</v>
      </c>
      <c r="F174" s="49">
        <v>2</v>
      </c>
      <c r="G174" s="49" t="s">
        <v>1552</v>
      </c>
      <c r="H174" s="49" t="s">
        <v>5594</v>
      </c>
      <c r="I174" s="49" t="s">
        <v>5595</v>
      </c>
      <c r="J174" s="49" t="s">
        <v>5608</v>
      </c>
    </row>
    <row r="175" spans="1:10" ht="22.95" customHeight="1" x14ac:dyDescent="0.3">
      <c r="A175" s="136">
        <v>45709</v>
      </c>
      <c r="B175" s="112">
        <v>42.12</v>
      </c>
      <c r="C175" s="137">
        <v>18578608</v>
      </c>
      <c r="D175" s="49">
        <v>2025</v>
      </c>
      <c r="E175" s="49">
        <v>2025</v>
      </c>
      <c r="F175" s="49">
        <v>2</v>
      </c>
      <c r="G175" s="49" t="s">
        <v>1552</v>
      </c>
      <c r="H175" s="49" t="s">
        <v>5594</v>
      </c>
      <c r="I175" s="49" t="s">
        <v>5595</v>
      </c>
      <c r="J175" s="49" t="s">
        <v>5609</v>
      </c>
    </row>
    <row r="176" spans="1:10" ht="22.95" customHeight="1" x14ac:dyDescent="0.3">
      <c r="A176" s="136">
        <v>45712</v>
      </c>
      <c r="B176" s="112">
        <v>42.47</v>
      </c>
      <c r="C176" s="137">
        <v>25755312</v>
      </c>
      <c r="D176" s="49">
        <v>2025</v>
      </c>
      <c r="E176" s="49">
        <v>2025</v>
      </c>
      <c r="F176" s="49">
        <v>2</v>
      </c>
      <c r="G176" s="49" t="s">
        <v>1552</v>
      </c>
      <c r="H176" s="49" t="s">
        <v>5594</v>
      </c>
      <c r="I176" s="49" t="s">
        <v>5595</v>
      </c>
      <c r="J176" s="49" t="s">
        <v>5610</v>
      </c>
    </row>
    <row r="177" spans="1:10" ht="22.95" customHeight="1" x14ac:dyDescent="0.3">
      <c r="A177" s="136">
        <v>45713</v>
      </c>
      <c r="B177" s="112">
        <v>41.46</v>
      </c>
      <c r="C177" s="137">
        <v>61091991</v>
      </c>
      <c r="D177" s="49">
        <v>2025</v>
      </c>
      <c r="E177" s="49">
        <v>2025</v>
      </c>
      <c r="F177" s="49">
        <v>2</v>
      </c>
      <c r="G177" s="49" t="s">
        <v>1552</v>
      </c>
      <c r="H177" s="49" t="s">
        <v>5594</v>
      </c>
      <c r="I177" s="49" t="s">
        <v>5595</v>
      </c>
      <c r="J177" s="49" t="s">
        <v>5611</v>
      </c>
    </row>
    <row r="178" spans="1:10" ht="22.95" customHeight="1" x14ac:dyDescent="0.3">
      <c r="A178" s="136">
        <v>45714</v>
      </c>
      <c r="B178" s="112">
        <v>41.2</v>
      </c>
      <c r="C178" s="137">
        <v>14678381</v>
      </c>
      <c r="D178" s="49">
        <v>2025</v>
      </c>
      <c r="E178" s="49">
        <v>2025</v>
      </c>
      <c r="F178" s="49">
        <v>2</v>
      </c>
      <c r="G178" s="49" t="s">
        <v>1552</v>
      </c>
      <c r="H178" s="49" t="s">
        <v>5594</v>
      </c>
      <c r="I178" s="49" t="s">
        <v>5595</v>
      </c>
      <c r="J178" s="49" t="s">
        <v>5612</v>
      </c>
    </row>
    <row r="179" spans="1:10" ht="22.95" customHeight="1" x14ac:dyDescent="0.3">
      <c r="A179" s="136">
        <v>45715</v>
      </c>
      <c r="B179" s="112">
        <v>40.840000000000003</v>
      </c>
      <c r="C179" s="137">
        <v>3388887</v>
      </c>
      <c r="D179" s="49">
        <v>2025</v>
      </c>
      <c r="E179" s="49">
        <v>2025</v>
      </c>
      <c r="F179" s="49">
        <v>2</v>
      </c>
      <c r="G179" s="49" t="s">
        <v>1552</v>
      </c>
      <c r="H179" s="49" t="s">
        <v>5594</v>
      </c>
      <c r="I179" s="49" t="s">
        <v>5595</v>
      </c>
      <c r="J179" s="49" t="s">
        <v>5613</v>
      </c>
    </row>
    <row r="180" spans="1:10" ht="22.95" customHeight="1" x14ac:dyDescent="0.3">
      <c r="A180" s="136">
        <v>45716</v>
      </c>
      <c r="B180" s="112">
        <v>40.42</v>
      </c>
      <c r="C180" s="137">
        <v>5124646</v>
      </c>
      <c r="D180" s="49">
        <v>2025</v>
      </c>
      <c r="E180" s="49">
        <v>2025</v>
      </c>
      <c r="F180" s="49">
        <v>2</v>
      </c>
      <c r="G180" s="49" t="s">
        <v>1552</v>
      </c>
      <c r="H180" s="49" t="s">
        <v>5594</v>
      </c>
      <c r="I180" s="49" t="s">
        <v>5595</v>
      </c>
      <c r="J180" s="49" t="s">
        <v>5614</v>
      </c>
    </row>
    <row r="181" spans="1:10" ht="22.95" customHeight="1" x14ac:dyDescent="0.3">
      <c r="A181" s="136">
        <v>45719</v>
      </c>
      <c r="B181" s="112">
        <v>39.770000000000003</v>
      </c>
      <c r="C181" s="137">
        <v>4361796</v>
      </c>
      <c r="D181" s="49">
        <v>2025</v>
      </c>
      <c r="E181" s="49">
        <v>2025</v>
      </c>
      <c r="F181" s="49">
        <v>3</v>
      </c>
      <c r="G181" s="49" t="s">
        <v>1552</v>
      </c>
      <c r="H181" s="49" t="s">
        <v>5615</v>
      </c>
      <c r="I181" s="49" t="s">
        <v>5616</v>
      </c>
      <c r="J181" s="49" t="s">
        <v>5617</v>
      </c>
    </row>
    <row r="182" spans="1:10" ht="22.95" customHeight="1" x14ac:dyDescent="0.3">
      <c r="A182" s="136">
        <v>45720</v>
      </c>
      <c r="B182" s="112">
        <v>39.99</v>
      </c>
      <c r="C182" s="137">
        <v>9732825</v>
      </c>
      <c r="D182" s="49">
        <v>2025</v>
      </c>
      <c r="E182" s="49">
        <v>2025</v>
      </c>
      <c r="F182" s="49">
        <v>3</v>
      </c>
      <c r="G182" s="49" t="s">
        <v>1552</v>
      </c>
      <c r="H182" s="49" t="s">
        <v>5615</v>
      </c>
      <c r="I182" s="49" t="s">
        <v>5616</v>
      </c>
      <c r="J182" s="49" t="s">
        <v>5618</v>
      </c>
    </row>
    <row r="183" spans="1:10" ht="22.95" customHeight="1" x14ac:dyDescent="0.3">
      <c r="A183" s="136">
        <v>45721</v>
      </c>
      <c r="B183" s="112">
        <v>39.93</v>
      </c>
      <c r="C183" s="137">
        <v>8501133</v>
      </c>
      <c r="D183" s="49">
        <v>2025</v>
      </c>
      <c r="E183" s="49">
        <v>2025</v>
      </c>
      <c r="F183" s="49">
        <v>3</v>
      </c>
      <c r="G183" s="49" t="s">
        <v>1552</v>
      </c>
      <c r="H183" s="49" t="s">
        <v>5615</v>
      </c>
      <c r="I183" s="49" t="s">
        <v>5616</v>
      </c>
      <c r="J183" s="49" t="s">
        <v>5619</v>
      </c>
    </row>
    <row r="184" spans="1:10" ht="22.95" customHeight="1" x14ac:dyDescent="0.3">
      <c r="A184" s="136">
        <v>45722</v>
      </c>
      <c r="B184" s="112">
        <v>42.02</v>
      </c>
      <c r="C184" s="137">
        <v>28192754</v>
      </c>
      <c r="D184" s="49">
        <v>2025</v>
      </c>
      <c r="E184" s="49">
        <v>2025</v>
      </c>
      <c r="F184" s="49">
        <v>3</v>
      </c>
      <c r="G184" s="49" t="s">
        <v>1552</v>
      </c>
      <c r="H184" s="49" t="s">
        <v>5615</v>
      </c>
      <c r="I184" s="49" t="s">
        <v>5616</v>
      </c>
      <c r="J184" s="49" t="s">
        <v>5620</v>
      </c>
    </row>
    <row r="185" spans="1:10" ht="22.95" customHeight="1" x14ac:dyDescent="0.3">
      <c r="A185" s="136">
        <v>45723</v>
      </c>
      <c r="B185" s="112">
        <v>45.99</v>
      </c>
      <c r="C185" s="137">
        <v>57215949</v>
      </c>
      <c r="D185" s="49">
        <v>2025</v>
      </c>
      <c r="E185" s="49">
        <v>2025</v>
      </c>
      <c r="F185" s="49">
        <v>3</v>
      </c>
      <c r="G185" s="49" t="s">
        <v>1552</v>
      </c>
      <c r="H185" s="49" t="s">
        <v>5615</v>
      </c>
      <c r="I185" s="49" t="s">
        <v>5616</v>
      </c>
      <c r="J185" s="49" t="s">
        <v>5621</v>
      </c>
    </row>
    <row r="186" spans="1:10" ht="22.95" customHeight="1" x14ac:dyDescent="0.3">
      <c r="A186" s="136">
        <v>45726</v>
      </c>
      <c r="B186" s="112">
        <v>43.91</v>
      </c>
      <c r="C186" s="137">
        <v>22194869</v>
      </c>
      <c r="D186" s="49">
        <v>2025</v>
      </c>
      <c r="E186" s="49">
        <v>2025</v>
      </c>
      <c r="F186" s="49">
        <v>3</v>
      </c>
      <c r="G186" s="49" t="s">
        <v>1552</v>
      </c>
      <c r="H186" s="49" t="s">
        <v>5615</v>
      </c>
      <c r="I186" s="49" t="s">
        <v>5616</v>
      </c>
      <c r="J186" s="49" t="s">
        <v>5622</v>
      </c>
    </row>
    <row r="187" spans="1:10" ht="22.95" customHeight="1" x14ac:dyDescent="0.3">
      <c r="A187" s="136">
        <v>45727</v>
      </c>
      <c r="B187" s="112">
        <v>43.53</v>
      </c>
      <c r="C187" s="137">
        <v>12170796</v>
      </c>
      <c r="D187" s="49">
        <v>2025</v>
      </c>
      <c r="E187" s="49">
        <v>2025</v>
      </c>
      <c r="F187" s="49">
        <v>3</v>
      </c>
      <c r="G187" s="49" t="s">
        <v>1552</v>
      </c>
      <c r="H187" s="49" t="s">
        <v>5615</v>
      </c>
      <c r="I187" s="49" t="s">
        <v>5616</v>
      </c>
      <c r="J187" s="49" t="s">
        <v>5623</v>
      </c>
    </row>
    <row r="188" spans="1:10" ht="22.95" customHeight="1" x14ac:dyDescent="0.3">
      <c r="A188" s="136">
        <v>45728</v>
      </c>
      <c r="B188" s="112">
        <v>43.87</v>
      </c>
      <c r="C188" s="137">
        <v>9505277</v>
      </c>
      <c r="D188" s="49">
        <v>2025</v>
      </c>
      <c r="E188" s="49">
        <v>2025</v>
      </c>
      <c r="F188" s="49">
        <v>3</v>
      </c>
      <c r="G188" s="49" t="s">
        <v>1552</v>
      </c>
      <c r="H188" s="49" t="s">
        <v>5615</v>
      </c>
      <c r="I188" s="49" t="s">
        <v>5616</v>
      </c>
      <c r="J188" s="49" t="s">
        <v>5624</v>
      </c>
    </row>
    <row r="189" spans="1:10" ht="22.95" customHeight="1" x14ac:dyDescent="0.3">
      <c r="A189" s="136">
        <v>45729</v>
      </c>
      <c r="B189" s="112">
        <v>45.29</v>
      </c>
      <c r="C189" s="137">
        <v>19660929</v>
      </c>
      <c r="D189" s="49">
        <v>2025</v>
      </c>
      <c r="E189" s="49">
        <v>2025</v>
      </c>
      <c r="F189" s="49">
        <v>3</v>
      </c>
      <c r="G189" s="49" t="s">
        <v>1552</v>
      </c>
      <c r="H189" s="49" t="s">
        <v>5615</v>
      </c>
      <c r="I189" s="49" t="s">
        <v>5616</v>
      </c>
      <c r="J189" s="49" t="s">
        <v>5625</v>
      </c>
    </row>
    <row r="190" spans="1:10" ht="22.95" customHeight="1" x14ac:dyDescent="0.3">
      <c r="A190" s="136">
        <v>45730</v>
      </c>
      <c r="B190" s="112">
        <v>45.18</v>
      </c>
      <c r="C190" s="137">
        <v>18756398</v>
      </c>
      <c r="D190" s="49">
        <v>2025</v>
      </c>
      <c r="E190" s="49">
        <v>2025</v>
      </c>
      <c r="F190" s="49">
        <v>3</v>
      </c>
      <c r="G190" s="49" t="s">
        <v>1552</v>
      </c>
      <c r="H190" s="49" t="s">
        <v>5615</v>
      </c>
      <c r="I190" s="49" t="s">
        <v>5616</v>
      </c>
      <c r="J190" s="49" t="s">
        <v>5626</v>
      </c>
    </row>
    <row r="191" spans="1:10" ht="22.95" customHeight="1" x14ac:dyDescent="0.3">
      <c r="A191" s="136">
        <v>45733</v>
      </c>
      <c r="B191" s="112">
        <v>46.07</v>
      </c>
      <c r="C191" s="137">
        <v>18478652</v>
      </c>
      <c r="D191" s="49">
        <v>2025</v>
      </c>
      <c r="E191" s="49">
        <v>2025</v>
      </c>
      <c r="F191" s="49">
        <v>3</v>
      </c>
      <c r="G191" s="49" t="s">
        <v>1552</v>
      </c>
      <c r="H191" s="49" t="s">
        <v>5615</v>
      </c>
      <c r="I191" s="49" t="s">
        <v>5616</v>
      </c>
      <c r="J191" s="49" t="s">
        <v>5627</v>
      </c>
    </row>
    <row r="192" spans="1:10" ht="22.95" customHeight="1" x14ac:dyDescent="0.3">
      <c r="A192" s="136">
        <v>45734</v>
      </c>
      <c r="B192" s="112">
        <v>46.38</v>
      </c>
      <c r="C192" s="137">
        <v>24985777</v>
      </c>
      <c r="D192" s="49">
        <v>2025</v>
      </c>
      <c r="E192" s="49">
        <v>2025</v>
      </c>
      <c r="F192" s="49">
        <v>3</v>
      </c>
      <c r="G192" s="49" t="s">
        <v>1552</v>
      </c>
      <c r="H192" s="49" t="s">
        <v>5615</v>
      </c>
      <c r="I192" s="49" t="s">
        <v>5616</v>
      </c>
      <c r="J192" s="49" t="s">
        <v>5628</v>
      </c>
    </row>
    <row r="193" spans="1:10" ht="22.95" customHeight="1" x14ac:dyDescent="0.3">
      <c r="A193" s="136">
        <v>45735</v>
      </c>
      <c r="B193" s="112">
        <v>47.52</v>
      </c>
      <c r="C193" s="137">
        <v>29042128</v>
      </c>
      <c r="D193" s="49">
        <v>2025</v>
      </c>
      <c r="E193" s="49">
        <v>2025</v>
      </c>
      <c r="F193" s="49">
        <v>3</v>
      </c>
      <c r="G193" s="49" t="s">
        <v>1552</v>
      </c>
      <c r="H193" s="49" t="s">
        <v>5615</v>
      </c>
      <c r="I193" s="49" t="s">
        <v>5616</v>
      </c>
      <c r="J193" s="49" t="s">
        <v>5629</v>
      </c>
    </row>
    <row r="194" spans="1:10" ht="22.95" customHeight="1" x14ac:dyDescent="0.3">
      <c r="A194" s="136">
        <v>45736</v>
      </c>
      <c r="B194" s="112">
        <v>47.17</v>
      </c>
      <c r="C194" s="137">
        <v>9735067</v>
      </c>
      <c r="D194" s="49">
        <v>2025</v>
      </c>
      <c r="E194" s="49">
        <v>2025</v>
      </c>
      <c r="F194" s="49">
        <v>3</v>
      </c>
      <c r="G194" s="49" t="s">
        <v>1552</v>
      </c>
      <c r="H194" s="49" t="s">
        <v>5615</v>
      </c>
      <c r="I194" s="49" t="s">
        <v>5616</v>
      </c>
      <c r="J194" s="49" t="s">
        <v>5630</v>
      </c>
    </row>
    <row r="195" spans="1:10" ht="22.95" customHeight="1" x14ac:dyDescent="0.3">
      <c r="A195" s="136">
        <v>45737</v>
      </c>
      <c r="B195" s="112">
        <v>46.62</v>
      </c>
      <c r="C195" s="137">
        <v>4271629</v>
      </c>
      <c r="D195" s="49">
        <v>2025</v>
      </c>
      <c r="E195" s="49">
        <v>2025</v>
      </c>
      <c r="F195" s="49">
        <v>3</v>
      </c>
      <c r="G195" s="49" t="s">
        <v>1552</v>
      </c>
      <c r="H195" s="49" t="s">
        <v>5615</v>
      </c>
      <c r="I195" s="49" t="s">
        <v>5616</v>
      </c>
      <c r="J195" s="49" t="s">
        <v>5631</v>
      </c>
    </row>
    <row r="196" spans="1:10" ht="22.95" customHeight="1" x14ac:dyDescent="0.3">
      <c r="A196" s="136">
        <v>45740</v>
      </c>
      <c r="B196" s="112">
        <v>45.41</v>
      </c>
      <c r="C196" s="137">
        <v>8148237</v>
      </c>
      <c r="D196" s="49">
        <v>2025</v>
      </c>
      <c r="E196" s="49">
        <v>2025</v>
      </c>
      <c r="F196" s="49">
        <v>3</v>
      </c>
      <c r="G196" s="49" t="s">
        <v>1552</v>
      </c>
      <c r="H196" s="49" t="s">
        <v>5615</v>
      </c>
      <c r="I196" s="49" t="s">
        <v>5616</v>
      </c>
      <c r="J196" s="49" t="s">
        <v>5632</v>
      </c>
    </row>
    <row r="197" spans="1:10" ht="22.95" customHeight="1" x14ac:dyDescent="0.3">
      <c r="A197" s="136">
        <v>45741</v>
      </c>
      <c r="B197" s="112">
        <v>44.94</v>
      </c>
      <c r="C197" s="137">
        <v>3806966</v>
      </c>
      <c r="D197" s="49">
        <v>2025</v>
      </c>
      <c r="E197" s="49">
        <v>2025</v>
      </c>
      <c r="F197" s="49">
        <v>3</v>
      </c>
      <c r="G197" s="49" t="s">
        <v>1552</v>
      </c>
      <c r="H197" s="49" t="s">
        <v>5615</v>
      </c>
      <c r="I197" s="49" t="s">
        <v>5616</v>
      </c>
      <c r="J197" s="49" t="s">
        <v>5633</v>
      </c>
    </row>
    <row r="198" spans="1:10" ht="22.95" customHeight="1" x14ac:dyDescent="0.3">
      <c r="A198" s="136">
        <v>45742</v>
      </c>
      <c r="B198" s="112">
        <v>46.12</v>
      </c>
      <c r="C198" s="137">
        <v>10182878</v>
      </c>
      <c r="D198" s="49">
        <v>2025</v>
      </c>
      <c r="E198" s="49">
        <v>2025</v>
      </c>
      <c r="F198" s="49">
        <v>3</v>
      </c>
      <c r="G198" s="49" t="s">
        <v>1552</v>
      </c>
      <c r="H198" s="49" t="s">
        <v>5615</v>
      </c>
      <c r="I198" s="49" t="s">
        <v>5616</v>
      </c>
      <c r="J198" s="49" t="s">
        <v>5634</v>
      </c>
    </row>
    <row r="199" spans="1:10" ht="22.95" customHeight="1" x14ac:dyDescent="0.3">
      <c r="A199" s="136">
        <v>45743</v>
      </c>
      <c r="B199" s="112">
        <v>46.41</v>
      </c>
      <c r="C199" s="137">
        <v>14246294</v>
      </c>
      <c r="D199" s="49">
        <v>2025</v>
      </c>
      <c r="E199" s="49">
        <v>2025</v>
      </c>
      <c r="F199" s="49">
        <v>3</v>
      </c>
      <c r="G199" s="49" t="s">
        <v>1552</v>
      </c>
      <c r="H199" s="49" t="s">
        <v>5615</v>
      </c>
      <c r="I199" s="49" t="s">
        <v>5616</v>
      </c>
      <c r="J199" s="49" t="s">
        <v>5635</v>
      </c>
    </row>
    <row r="200" spans="1:10" ht="22.95" customHeight="1" x14ac:dyDescent="0.3">
      <c r="A200" s="136">
        <v>45750</v>
      </c>
      <c r="B200" s="112">
        <v>47.32</v>
      </c>
      <c r="C200" s="137">
        <v>13679198</v>
      </c>
      <c r="D200" s="49">
        <v>2025</v>
      </c>
      <c r="E200" s="49">
        <v>2025</v>
      </c>
      <c r="F200" s="49">
        <v>4</v>
      </c>
      <c r="G200" s="49" t="s">
        <v>1552</v>
      </c>
      <c r="H200" s="49" t="s">
        <v>5636</v>
      </c>
      <c r="I200" s="49" t="s">
        <v>5637</v>
      </c>
      <c r="J200" s="49" t="s">
        <v>5638</v>
      </c>
    </row>
    <row r="201" spans="1:10" ht="22.95" customHeight="1" x14ac:dyDescent="0.3">
      <c r="A201" s="136">
        <v>45751</v>
      </c>
      <c r="B201" s="112">
        <v>47.23</v>
      </c>
      <c r="C201" s="137">
        <v>18559323</v>
      </c>
      <c r="D201" s="49">
        <v>2025</v>
      </c>
      <c r="E201" s="49">
        <v>2025</v>
      </c>
      <c r="F201" s="49">
        <v>4</v>
      </c>
      <c r="G201" s="49" t="s">
        <v>1552</v>
      </c>
      <c r="H201" s="49" t="s">
        <v>5636</v>
      </c>
      <c r="I201" s="49" t="s">
        <v>5637</v>
      </c>
      <c r="J201" s="49" t="s">
        <v>5639</v>
      </c>
    </row>
    <row r="202" spans="1:10" ht="22.95" customHeight="1" x14ac:dyDescent="0.3">
      <c r="A202" s="136">
        <v>45754</v>
      </c>
      <c r="B202" s="112">
        <v>45.65</v>
      </c>
      <c r="C202" s="137">
        <v>16903951</v>
      </c>
      <c r="D202" s="49">
        <v>2025</v>
      </c>
      <c r="E202" s="49">
        <v>2025</v>
      </c>
      <c r="F202" s="49">
        <v>4</v>
      </c>
      <c r="G202" s="49" t="s">
        <v>1552</v>
      </c>
      <c r="H202" s="49" t="s">
        <v>5636</v>
      </c>
      <c r="I202" s="49" t="s">
        <v>5637</v>
      </c>
      <c r="J202" s="49" t="s">
        <v>5640</v>
      </c>
    </row>
    <row r="203" spans="1:10" ht="22.95" customHeight="1" x14ac:dyDescent="0.3">
      <c r="A203" s="136">
        <v>45755</v>
      </c>
      <c r="B203" s="112">
        <v>46.94</v>
      </c>
      <c r="C203" s="137">
        <v>14674396</v>
      </c>
      <c r="D203" s="49">
        <v>2025</v>
      </c>
      <c r="E203" s="49">
        <v>2025</v>
      </c>
      <c r="F203" s="49">
        <v>4</v>
      </c>
      <c r="G203" s="49" t="s">
        <v>1552</v>
      </c>
      <c r="H203" s="49" t="s">
        <v>5636</v>
      </c>
      <c r="I203" s="49" t="s">
        <v>5637</v>
      </c>
      <c r="J203" s="49" t="s">
        <v>5641</v>
      </c>
    </row>
    <row r="204" spans="1:10" ht="22.95" customHeight="1" x14ac:dyDescent="0.3">
      <c r="A204" s="136">
        <v>45756</v>
      </c>
      <c r="B204" s="112">
        <v>46.73</v>
      </c>
      <c r="C204" s="137">
        <v>11129492</v>
      </c>
      <c r="D204" s="49">
        <v>2025</v>
      </c>
      <c r="E204" s="49">
        <v>2025</v>
      </c>
      <c r="F204" s="49">
        <v>4</v>
      </c>
      <c r="G204" s="49" t="s">
        <v>1552</v>
      </c>
      <c r="H204" s="49" t="s">
        <v>5636</v>
      </c>
      <c r="I204" s="49" t="s">
        <v>5637</v>
      </c>
      <c r="J204" s="49" t="s">
        <v>5642</v>
      </c>
    </row>
    <row r="205" spans="1:10" ht="22.95" customHeight="1" x14ac:dyDescent="0.3">
      <c r="A205" s="136">
        <v>45757</v>
      </c>
      <c r="B205" s="112">
        <v>47.25</v>
      </c>
      <c r="C205" s="137">
        <v>19242425</v>
      </c>
      <c r="D205" s="49">
        <v>2025</v>
      </c>
      <c r="E205" s="49">
        <v>2025</v>
      </c>
      <c r="F205" s="49">
        <v>4</v>
      </c>
      <c r="G205" s="49" t="s">
        <v>1552</v>
      </c>
      <c r="H205" s="49" t="s">
        <v>5636</v>
      </c>
      <c r="I205" s="49" t="s">
        <v>5637</v>
      </c>
      <c r="J205" s="49" t="s">
        <v>5643</v>
      </c>
    </row>
    <row r="206" spans="1:10" ht="22.95" customHeight="1" x14ac:dyDescent="0.3">
      <c r="A206" s="136">
        <v>45758</v>
      </c>
      <c r="B206" s="112">
        <v>46.6</v>
      </c>
      <c r="C206" s="137">
        <v>4969994</v>
      </c>
      <c r="D206" s="49">
        <v>2025</v>
      </c>
      <c r="E206" s="49">
        <v>2025</v>
      </c>
      <c r="F206" s="49">
        <v>4</v>
      </c>
      <c r="G206" s="49" t="s">
        <v>1552</v>
      </c>
      <c r="H206" s="49" t="s">
        <v>5636</v>
      </c>
      <c r="I206" s="49" t="s">
        <v>5637</v>
      </c>
      <c r="J206" s="49" t="s">
        <v>5644</v>
      </c>
    </row>
    <row r="207" spans="1:10" ht="22.95" customHeight="1" x14ac:dyDescent="0.3">
      <c r="A207" s="136">
        <v>45761</v>
      </c>
      <c r="B207" s="112">
        <v>46.94</v>
      </c>
      <c r="C207" s="137">
        <v>5573315</v>
      </c>
      <c r="D207" s="49">
        <v>2025</v>
      </c>
      <c r="E207" s="49">
        <v>2025</v>
      </c>
      <c r="F207" s="49">
        <v>4</v>
      </c>
      <c r="G207" s="49" t="s">
        <v>1552</v>
      </c>
      <c r="H207" s="49" t="s">
        <v>5636</v>
      </c>
      <c r="I207" s="49" t="s">
        <v>5637</v>
      </c>
      <c r="J207" s="49" t="s">
        <v>5645</v>
      </c>
    </row>
    <row r="208" spans="1:10" ht="22.95" customHeight="1" x14ac:dyDescent="0.3">
      <c r="A208" s="136">
        <v>45762</v>
      </c>
      <c r="B208" s="112">
        <v>45.96</v>
      </c>
      <c r="C208" s="137">
        <v>4496401</v>
      </c>
      <c r="D208" s="49">
        <v>2025</v>
      </c>
      <c r="E208" s="49">
        <v>2025</v>
      </c>
      <c r="F208" s="49">
        <v>4</v>
      </c>
      <c r="G208" s="49" t="s">
        <v>1552</v>
      </c>
      <c r="H208" s="49" t="s">
        <v>5636</v>
      </c>
      <c r="I208" s="49" t="s">
        <v>5637</v>
      </c>
      <c r="J208" s="49" t="s">
        <v>5646</v>
      </c>
    </row>
    <row r="209" spans="1:10" ht="22.95" customHeight="1" x14ac:dyDescent="0.3">
      <c r="A209" s="136">
        <v>45763</v>
      </c>
      <c r="B209" s="112">
        <v>44.98</v>
      </c>
      <c r="C209" s="137">
        <v>5223762</v>
      </c>
      <c r="D209" s="49">
        <v>2025</v>
      </c>
      <c r="E209" s="49">
        <v>2025</v>
      </c>
      <c r="F209" s="49">
        <v>4</v>
      </c>
      <c r="G209" s="49" t="s">
        <v>1552</v>
      </c>
      <c r="H209" s="49" t="s">
        <v>5636</v>
      </c>
      <c r="I209" s="49" t="s">
        <v>5637</v>
      </c>
      <c r="J209" s="49" t="s">
        <v>5647</v>
      </c>
    </row>
    <row r="210" spans="1:10" ht="22.95" customHeight="1" x14ac:dyDescent="0.3">
      <c r="A210" s="136">
        <v>45764</v>
      </c>
      <c r="B210" s="112">
        <v>46.17</v>
      </c>
      <c r="C210" s="137">
        <v>16949781</v>
      </c>
      <c r="D210" s="49">
        <v>2025</v>
      </c>
      <c r="E210" s="49">
        <v>2025</v>
      </c>
      <c r="F210" s="49">
        <v>4</v>
      </c>
      <c r="G210" s="49" t="s">
        <v>1552</v>
      </c>
      <c r="H210" s="49" t="s">
        <v>5636</v>
      </c>
      <c r="I210" s="49" t="s">
        <v>5637</v>
      </c>
      <c r="J210" s="49" t="s">
        <v>5648</v>
      </c>
    </row>
    <row r="211" spans="1:10" ht="22.95" customHeight="1" x14ac:dyDescent="0.3">
      <c r="A211" s="136">
        <v>45765</v>
      </c>
      <c r="B211" s="112">
        <v>46.18</v>
      </c>
      <c r="C211" s="137">
        <v>7881960</v>
      </c>
      <c r="D211" s="49">
        <v>2025</v>
      </c>
      <c r="E211" s="49">
        <v>2025</v>
      </c>
      <c r="F211" s="49">
        <v>4</v>
      </c>
      <c r="G211" s="49" t="s">
        <v>1552</v>
      </c>
      <c r="H211" s="49" t="s">
        <v>5636</v>
      </c>
      <c r="I211" s="49" t="s">
        <v>5637</v>
      </c>
      <c r="J211" s="49" t="s">
        <v>5649</v>
      </c>
    </row>
    <row r="212" spans="1:10" ht="22.95" customHeight="1" x14ac:dyDescent="0.3">
      <c r="A212" s="136">
        <v>45768</v>
      </c>
      <c r="B212" s="112">
        <v>46.52</v>
      </c>
      <c r="C212" s="137">
        <v>16149277</v>
      </c>
      <c r="D212" s="49">
        <v>2025</v>
      </c>
      <c r="E212" s="49">
        <v>2025</v>
      </c>
      <c r="F212" s="49">
        <v>4</v>
      </c>
      <c r="G212" s="49" t="s">
        <v>1552</v>
      </c>
      <c r="H212" s="49" t="s">
        <v>5636</v>
      </c>
      <c r="I212" s="49" t="s">
        <v>5637</v>
      </c>
      <c r="J212" s="49" t="s">
        <v>5650</v>
      </c>
    </row>
    <row r="213" spans="1:10" ht="22.95" customHeight="1" x14ac:dyDescent="0.3">
      <c r="A213" s="136">
        <v>45769</v>
      </c>
      <c r="B213" s="112">
        <v>46.28</v>
      </c>
      <c r="C213" s="137">
        <v>6397163</v>
      </c>
      <c r="D213" s="49">
        <v>2025</v>
      </c>
      <c r="E213" s="49">
        <v>2025</v>
      </c>
      <c r="F213" s="49">
        <v>4</v>
      </c>
      <c r="G213" s="49" t="s">
        <v>1552</v>
      </c>
      <c r="H213" s="49" t="s">
        <v>5636</v>
      </c>
      <c r="I213" s="49" t="s">
        <v>5637</v>
      </c>
      <c r="J213" s="49" t="s">
        <v>5651</v>
      </c>
    </row>
    <row r="214" spans="1:10" ht="22.95" customHeight="1" x14ac:dyDescent="0.3">
      <c r="A214" s="136">
        <v>45770</v>
      </c>
      <c r="B214" s="112">
        <v>45.77</v>
      </c>
      <c r="C214" s="137">
        <v>3763581</v>
      </c>
      <c r="D214" s="49">
        <v>2025</v>
      </c>
      <c r="E214" s="49">
        <v>2025</v>
      </c>
      <c r="F214" s="49">
        <v>4</v>
      </c>
      <c r="G214" s="49" t="s">
        <v>1552</v>
      </c>
      <c r="H214" s="49" t="s">
        <v>5636</v>
      </c>
      <c r="I214" s="49" t="s">
        <v>5637</v>
      </c>
      <c r="J214" s="49" t="s">
        <v>5652</v>
      </c>
    </row>
    <row r="215" spans="1:10" ht="22.95" customHeight="1" x14ac:dyDescent="0.3">
      <c r="A215" s="136">
        <v>45771</v>
      </c>
      <c r="B215" s="112">
        <v>43.93</v>
      </c>
      <c r="C215" s="137">
        <v>12426119</v>
      </c>
      <c r="D215" s="49">
        <v>2025</v>
      </c>
      <c r="E215" s="49">
        <v>2025</v>
      </c>
      <c r="F215" s="49">
        <v>4</v>
      </c>
      <c r="G215" s="49" t="s">
        <v>1552</v>
      </c>
      <c r="H215" s="49" t="s">
        <v>5636</v>
      </c>
      <c r="I215" s="49" t="s">
        <v>5637</v>
      </c>
      <c r="J215" s="49" t="s">
        <v>5653</v>
      </c>
    </row>
    <row r="216" spans="1:10" ht="22.95" customHeight="1" x14ac:dyDescent="0.3">
      <c r="A216" s="136">
        <v>45772</v>
      </c>
      <c r="B216" s="112">
        <v>44.58</v>
      </c>
      <c r="C216" s="137">
        <v>6749144</v>
      </c>
      <c r="D216" s="49">
        <v>2025</v>
      </c>
      <c r="E216" s="49">
        <v>2025</v>
      </c>
      <c r="F216" s="49">
        <v>4</v>
      </c>
      <c r="G216" s="49" t="s">
        <v>1552</v>
      </c>
      <c r="H216" s="49" t="s">
        <v>5636</v>
      </c>
      <c r="I216" s="49" t="s">
        <v>5637</v>
      </c>
      <c r="J216" s="49" t="s">
        <v>5654</v>
      </c>
    </row>
    <row r="217" spans="1:10" ht="22.95" customHeight="1" x14ac:dyDescent="0.3">
      <c r="A217" s="136">
        <v>45775</v>
      </c>
      <c r="B217" s="112">
        <v>42.97</v>
      </c>
      <c r="C217" s="137">
        <v>4730860</v>
      </c>
      <c r="D217" s="49">
        <v>2025</v>
      </c>
      <c r="E217" s="49">
        <v>2025</v>
      </c>
      <c r="F217" s="49">
        <v>4</v>
      </c>
      <c r="G217" s="49" t="s">
        <v>1552</v>
      </c>
      <c r="H217" s="49" t="s">
        <v>5636</v>
      </c>
      <c r="I217" s="49" t="s">
        <v>5637</v>
      </c>
      <c r="J217" s="49" t="s">
        <v>5655</v>
      </c>
    </row>
    <row r="218" spans="1:10" ht="22.95" customHeight="1" x14ac:dyDescent="0.3">
      <c r="A218" s="136">
        <v>45776</v>
      </c>
      <c r="B218" s="112">
        <v>43.73</v>
      </c>
      <c r="C218" s="137">
        <v>7326812</v>
      </c>
      <c r="D218" s="49">
        <v>2025</v>
      </c>
      <c r="E218" s="49">
        <v>2025</v>
      </c>
      <c r="F218" s="49">
        <v>4</v>
      </c>
      <c r="G218" s="49" t="s">
        <v>1552</v>
      </c>
      <c r="H218" s="49" t="s">
        <v>5636</v>
      </c>
      <c r="I218" s="49" t="s">
        <v>5637</v>
      </c>
      <c r="J218" s="49" t="s">
        <v>5656</v>
      </c>
    </row>
    <row r="219" spans="1:10" ht="22.95" customHeight="1" x14ac:dyDescent="0.3">
      <c r="A219" s="136">
        <v>45777</v>
      </c>
      <c r="B219" s="112">
        <v>42.81</v>
      </c>
      <c r="C219" s="137">
        <v>13723423</v>
      </c>
      <c r="D219" s="49">
        <v>2025</v>
      </c>
      <c r="E219" s="49">
        <v>2025</v>
      </c>
      <c r="F219" s="49">
        <v>4</v>
      </c>
      <c r="G219" s="49" t="s">
        <v>1552</v>
      </c>
      <c r="H219" s="49" t="s">
        <v>5636</v>
      </c>
      <c r="I219" s="49" t="s">
        <v>5637</v>
      </c>
      <c r="J219" s="49" t="s">
        <v>5657</v>
      </c>
    </row>
    <row r="220" spans="1:10" ht="22.95" customHeight="1" x14ac:dyDescent="0.3">
      <c r="A220" s="136">
        <v>45779</v>
      </c>
      <c r="B220" s="112">
        <v>43.44</v>
      </c>
      <c r="C220" s="137">
        <v>11208268</v>
      </c>
      <c r="D220" s="49">
        <v>2025</v>
      </c>
      <c r="E220" s="49">
        <v>2025</v>
      </c>
      <c r="F220" s="49">
        <v>5</v>
      </c>
      <c r="G220" s="49" t="s">
        <v>1552</v>
      </c>
      <c r="H220" s="49" t="s">
        <v>5658</v>
      </c>
      <c r="I220" s="49" t="s">
        <v>5659</v>
      </c>
      <c r="J220" s="49" t="s">
        <v>5660</v>
      </c>
    </row>
    <row r="221" spans="1:10" ht="22.95" customHeight="1" x14ac:dyDescent="0.3">
      <c r="A221" s="136">
        <v>45782</v>
      </c>
      <c r="B221" s="112">
        <v>44.65</v>
      </c>
      <c r="C221" s="137">
        <v>14618227</v>
      </c>
      <c r="D221" s="49">
        <v>2025</v>
      </c>
      <c r="E221" s="49">
        <v>2025</v>
      </c>
      <c r="F221" s="49">
        <v>5</v>
      </c>
      <c r="G221" s="49" t="s">
        <v>1552</v>
      </c>
      <c r="H221" s="49" t="s">
        <v>5658</v>
      </c>
      <c r="I221" s="49" t="s">
        <v>5659</v>
      </c>
      <c r="J221" s="49" t="s">
        <v>5661</v>
      </c>
    </row>
    <row r="222" spans="1:10" ht="22.95" customHeight="1" x14ac:dyDescent="0.3">
      <c r="A222" s="136">
        <v>45783</v>
      </c>
      <c r="B222" s="112">
        <v>44.04</v>
      </c>
      <c r="C222" s="137">
        <v>5827716</v>
      </c>
      <c r="D222" s="49">
        <v>2025</v>
      </c>
      <c r="E222" s="49">
        <v>2025</v>
      </c>
      <c r="F222" s="49">
        <v>5</v>
      </c>
      <c r="G222" s="49" t="s">
        <v>1552</v>
      </c>
      <c r="H222" s="49" t="s">
        <v>5658</v>
      </c>
      <c r="I222" s="49" t="s">
        <v>5659</v>
      </c>
      <c r="J222" s="49" t="s">
        <v>5662</v>
      </c>
    </row>
    <row r="223" spans="1:10" ht="22.95" customHeight="1" x14ac:dyDescent="0.3">
      <c r="A223" s="136">
        <v>45784</v>
      </c>
      <c r="B223" s="112">
        <v>42.85</v>
      </c>
      <c r="C223" s="137">
        <v>16433479</v>
      </c>
      <c r="D223" s="49">
        <v>2025</v>
      </c>
      <c r="E223" s="49">
        <v>2025</v>
      </c>
      <c r="F223" s="49">
        <v>5</v>
      </c>
      <c r="G223" s="49" t="s">
        <v>1552</v>
      </c>
      <c r="H223" s="49" t="s">
        <v>5658</v>
      </c>
      <c r="I223" s="49" t="s">
        <v>5659</v>
      </c>
      <c r="J223" s="49" t="s">
        <v>5663</v>
      </c>
    </row>
    <row r="224" spans="1:10" ht="22.95" customHeight="1" x14ac:dyDescent="0.3">
      <c r="A224" s="136">
        <v>45785</v>
      </c>
      <c r="B224" s="112">
        <v>39.86</v>
      </c>
      <c r="C224" s="137">
        <v>19664828</v>
      </c>
      <c r="D224" s="49">
        <v>2025</v>
      </c>
      <c r="E224" s="49">
        <v>2025</v>
      </c>
      <c r="F224" s="49">
        <v>5</v>
      </c>
      <c r="G224" s="49" t="s">
        <v>1552</v>
      </c>
      <c r="H224" s="49" t="s">
        <v>5658</v>
      </c>
      <c r="I224" s="49" t="s">
        <v>5659</v>
      </c>
      <c r="J224" s="49" t="s">
        <v>5664</v>
      </c>
    </row>
    <row r="225" spans="1:10" ht="22.95" customHeight="1" x14ac:dyDescent="0.3">
      <c r="A225" s="136">
        <v>45786</v>
      </c>
      <c r="B225" s="112">
        <v>41.55</v>
      </c>
      <c r="C225" s="137">
        <v>8256394</v>
      </c>
      <c r="D225" s="49">
        <v>2025</v>
      </c>
      <c r="E225" s="49">
        <v>2025</v>
      </c>
      <c r="F225" s="49">
        <v>5</v>
      </c>
      <c r="G225" s="49" t="s">
        <v>1552</v>
      </c>
      <c r="H225" s="49" t="s">
        <v>5658</v>
      </c>
      <c r="I225" s="49" t="s">
        <v>5659</v>
      </c>
      <c r="J225" s="49" t="s">
        <v>5665</v>
      </c>
    </row>
    <row r="226" spans="1:10" ht="22.95" customHeight="1" x14ac:dyDescent="0.3">
      <c r="A226" s="136">
        <v>45789</v>
      </c>
      <c r="B226" s="112">
        <v>45.71</v>
      </c>
      <c r="C226" s="137">
        <v>6714721</v>
      </c>
      <c r="D226" s="49">
        <v>2025</v>
      </c>
      <c r="E226" s="49">
        <v>2025</v>
      </c>
      <c r="F226" s="49">
        <v>5</v>
      </c>
      <c r="G226" s="49" t="s">
        <v>1552</v>
      </c>
      <c r="H226" s="49" t="s">
        <v>5658</v>
      </c>
      <c r="I226" s="49" t="s">
        <v>5659</v>
      </c>
      <c r="J226" s="49" t="s">
        <v>5666</v>
      </c>
    </row>
    <row r="227" spans="1:10" ht="22.95" customHeight="1" x14ac:dyDescent="0.3">
      <c r="A227" s="136">
        <v>45790</v>
      </c>
      <c r="B227" s="112">
        <v>47.53</v>
      </c>
      <c r="C227" s="137">
        <v>20681855</v>
      </c>
      <c r="D227" s="49">
        <v>2025</v>
      </c>
      <c r="E227" s="49">
        <v>2025</v>
      </c>
      <c r="F227" s="49">
        <v>5</v>
      </c>
      <c r="G227" s="49" t="s">
        <v>1552</v>
      </c>
      <c r="H227" s="49" t="s">
        <v>5658</v>
      </c>
      <c r="I227" s="49" t="s">
        <v>5659</v>
      </c>
      <c r="J227" s="49" t="s">
        <v>5667</v>
      </c>
    </row>
    <row r="228" spans="1:10" ht="22.95" customHeight="1" x14ac:dyDescent="0.3">
      <c r="A228" s="136">
        <v>45791</v>
      </c>
      <c r="B228" s="112">
        <v>47.86</v>
      </c>
      <c r="C228" s="137">
        <v>36170971</v>
      </c>
      <c r="D228" s="49">
        <v>2025</v>
      </c>
      <c r="E228" s="49">
        <v>2025</v>
      </c>
      <c r="F228" s="49">
        <v>5</v>
      </c>
      <c r="G228" s="49" t="s">
        <v>1552</v>
      </c>
      <c r="H228" s="49" t="s">
        <v>5658</v>
      </c>
      <c r="I228" s="49" t="s">
        <v>5659</v>
      </c>
      <c r="J228" s="49" t="s">
        <v>5668</v>
      </c>
    </row>
    <row r="229" spans="1:10" ht="22.95" customHeight="1" x14ac:dyDescent="0.3">
      <c r="A229" s="136">
        <v>45792</v>
      </c>
      <c r="B229" s="112">
        <v>48.54</v>
      </c>
      <c r="C229" s="137">
        <v>15159381</v>
      </c>
      <c r="D229" s="49">
        <v>2025</v>
      </c>
      <c r="E229" s="49">
        <v>2025</v>
      </c>
      <c r="F229" s="49">
        <v>5</v>
      </c>
      <c r="G229" s="49" t="s">
        <v>1552</v>
      </c>
      <c r="H229" s="49" t="s">
        <v>5658</v>
      </c>
      <c r="I229" s="49" t="s">
        <v>5659</v>
      </c>
      <c r="J229" s="49" t="s">
        <v>5669</v>
      </c>
    </row>
    <row r="230" spans="1:10" ht="22.95" customHeight="1" x14ac:dyDescent="0.3">
      <c r="A230" s="136">
        <v>45793</v>
      </c>
      <c r="B230" s="112">
        <v>47.94</v>
      </c>
      <c r="C230" s="137">
        <v>5932968</v>
      </c>
      <c r="D230" s="49">
        <v>2025</v>
      </c>
      <c r="E230" s="49">
        <v>2025</v>
      </c>
      <c r="F230" s="49">
        <v>5</v>
      </c>
      <c r="G230" s="49" t="s">
        <v>1552</v>
      </c>
      <c r="H230" s="49" t="s">
        <v>5658</v>
      </c>
      <c r="I230" s="49" t="s">
        <v>5659</v>
      </c>
      <c r="J230" s="49" t="s">
        <v>5670</v>
      </c>
    </row>
    <row r="231" spans="1:10" ht="22.95" customHeight="1" x14ac:dyDescent="0.3">
      <c r="A231" s="136">
        <v>45796</v>
      </c>
      <c r="B231" s="112">
        <v>47.11</v>
      </c>
      <c r="C231" s="137">
        <v>4058330</v>
      </c>
      <c r="D231" s="49">
        <v>2025</v>
      </c>
      <c r="E231" s="49">
        <v>2025</v>
      </c>
      <c r="F231" s="49">
        <v>5</v>
      </c>
      <c r="G231" s="49" t="s">
        <v>1552</v>
      </c>
      <c r="H231" s="49" t="s">
        <v>5658</v>
      </c>
      <c r="I231" s="49" t="s">
        <v>5659</v>
      </c>
      <c r="J231" s="49" t="s">
        <v>5671</v>
      </c>
    </row>
    <row r="232" spans="1:10" ht="22.95" customHeight="1" x14ac:dyDescent="0.3">
      <c r="A232" s="136">
        <v>45797</v>
      </c>
      <c r="B232" s="112">
        <v>46.99</v>
      </c>
      <c r="C232" s="137">
        <v>8954504</v>
      </c>
      <c r="D232" s="49">
        <v>2025</v>
      </c>
      <c r="E232" s="49">
        <v>2025</v>
      </c>
      <c r="F232" s="49">
        <v>5</v>
      </c>
      <c r="G232" s="49" t="s">
        <v>1552</v>
      </c>
      <c r="H232" s="49" t="s">
        <v>5658</v>
      </c>
      <c r="I232" s="49" t="s">
        <v>5659</v>
      </c>
      <c r="J232" s="49" t="s">
        <v>5672</v>
      </c>
    </row>
    <row r="233" spans="1:10" ht="22.95" customHeight="1" x14ac:dyDescent="0.3">
      <c r="A233" s="136">
        <v>45798</v>
      </c>
      <c r="B233" s="112">
        <v>46.96</v>
      </c>
      <c r="C233" s="137">
        <v>11788320</v>
      </c>
      <c r="D233" s="49">
        <v>2025</v>
      </c>
      <c r="E233" s="49">
        <v>2025</v>
      </c>
      <c r="F233" s="49">
        <v>5</v>
      </c>
      <c r="G233" s="49" t="s">
        <v>1552</v>
      </c>
      <c r="H233" s="49" t="s">
        <v>5658</v>
      </c>
      <c r="I233" s="49" t="s">
        <v>5659</v>
      </c>
      <c r="J233" s="49" t="s">
        <v>5673</v>
      </c>
    </row>
    <row r="234" spans="1:10" ht="22.95" customHeight="1" x14ac:dyDescent="0.3">
      <c r="A234" s="136">
        <v>45799</v>
      </c>
      <c r="B234" s="112">
        <v>46.49</v>
      </c>
      <c r="C234" s="137">
        <v>15031496</v>
      </c>
      <c r="D234" s="49">
        <v>2025</v>
      </c>
      <c r="E234" s="49">
        <v>2025</v>
      </c>
      <c r="F234" s="49">
        <v>5</v>
      </c>
      <c r="G234" s="49" t="s">
        <v>1552</v>
      </c>
      <c r="H234" s="49" t="s">
        <v>5658</v>
      </c>
      <c r="I234" s="49" t="s">
        <v>5659</v>
      </c>
      <c r="J234" s="49" t="s">
        <v>5674</v>
      </c>
    </row>
    <row r="235" spans="1:10" ht="22.95" customHeight="1" x14ac:dyDescent="0.3">
      <c r="A235" s="136">
        <v>45800</v>
      </c>
      <c r="B235" s="112">
        <v>46</v>
      </c>
      <c r="C235" s="137">
        <v>3059560</v>
      </c>
      <c r="D235" s="49">
        <v>2025</v>
      </c>
      <c r="E235" s="49">
        <v>2025</v>
      </c>
      <c r="F235" s="49">
        <v>5</v>
      </c>
      <c r="G235" s="49" t="s">
        <v>1552</v>
      </c>
      <c r="H235" s="49" t="s">
        <v>5658</v>
      </c>
      <c r="I235" s="49" t="s">
        <v>5659</v>
      </c>
      <c r="J235" s="49" t="s">
        <v>5675</v>
      </c>
    </row>
    <row r="236" spans="1:10" ht="22.95" customHeight="1" x14ac:dyDescent="0.3">
      <c r="A236" s="136">
        <v>45803</v>
      </c>
      <c r="B236" s="112">
        <v>45.63</v>
      </c>
      <c r="C236" s="137">
        <v>1862833</v>
      </c>
      <c r="D236" s="49">
        <v>2025</v>
      </c>
      <c r="E236" s="49">
        <v>2025</v>
      </c>
      <c r="F236" s="49">
        <v>5</v>
      </c>
      <c r="G236" s="49" t="s">
        <v>1552</v>
      </c>
      <c r="H236" s="49" t="s">
        <v>5658</v>
      </c>
      <c r="I236" s="49" t="s">
        <v>5659</v>
      </c>
      <c r="J236" s="49" t="s">
        <v>5676</v>
      </c>
    </row>
    <row r="237" spans="1:10" ht="22.95" customHeight="1" x14ac:dyDescent="0.3">
      <c r="A237" s="136">
        <v>45804</v>
      </c>
      <c r="B237" s="112">
        <v>45.93</v>
      </c>
      <c r="C237" s="137">
        <v>12876337</v>
      </c>
      <c r="D237" s="49">
        <v>2025</v>
      </c>
      <c r="E237" s="49">
        <v>2025</v>
      </c>
      <c r="F237" s="49">
        <v>5</v>
      </c>
      <c r="G237" s="49" t="s">
        <v>1552</v>
      </c>
      <c r="H237" s="49" t="s">
        <v>5658</v>
      </c>
      <c r="I237" s="49" t="s">
        <v>5659</v>
      </c>
      <c r="J237" s="49" t="s">
        <v>5677</v>
      </c>
    </row>
    <row r="238" spans="1:10" ht="22.95" customHeight="1" x14ac:dyDescent="0.3">
      <c r="A238" s="136">
        <v>45806</v>
      </c>
      <c r="B238" s="112">
        <v>46.36</v>
      </c>
      <c r="C238" s="137">
        <v>16496094</v>
      </c>
      <c r="D238" s="49">
        <v>2025</v>
      </c>
      <c r="E238" s="49">
        <v>2025</v>
      </c>
      <c r="F238" s="49">
        <v>5</v>
      </c>
      <c r="G238" s="49" t="s">
        <v>1552</v>
      </c>
      <c r="H238" s="49" t="s">
        <v>5658</v>
      </c>
      <c r="I238" s="49" t="s">
        <v>5659</v>
      </c>
      <c r="J238" s="49" t="s">
        <v>5678</v>
      </c>
    </row>
    <row r="239" spans="1:10" ht="22.95" customHeight="1" x14ac:dyDescent="0.3">
      <c r="A239" s="136">
        <v>45807</v>
      </c>
      <c r="B239" s="112">
        <v>46.11</v>
      </c>
      <c r="C239" s="137">
        <v>5679803</v>
      </c>
      <c r="D239" s="49">
        <v>2025</v>
      </c>
      <c r="E239" s="49">
        <v>2025</v>
      </c>
      <c r="F239" s="49">
        <v>5</v>
      </c>
      <c r="G239" s="49" t="s">
        <v>1552</v>
      </c>
      <c r="H239" s="49" t="s">
        <v>5658</v>
      </c>
      <c r="I239" s="49" t="s">
        <v>5659</v>
      </c>
      <c r="J239" s="49" t="s">
        <v>5679</v>
      </c>
    </row>
    <row r="240" spans="1:10" ht="22.95" customHeight="1" x14ac:dyDescent="0.3">
      <c r="A240" s="136">
        <v>45810</v>
      </c>
      <c r="B240" s="112">
        <v>45.29</v>
      </c>
      <c r="C240" s="137">
        <v>4159799</v>
      </c>
      <c r="D240" s="49">
        <v>2025</v>
      </c>
      <c r="E240" s="49">
        <v>2025</v>
      </c>
      <c r="F240" s="49">
        <v>6</v>
      </c>
      <c r="G240" s="49" t="s">
        <v>1552</v>
      </c>
      <c r="H240" s="49" t="s">
        <v>5680</v>
      </c>
      <c r="I240" s="49" t="s">
        <v>5681</v>
      </c>
      <c r="J240" s="49" t="s">
        <v>5682</v>
      </c>
    </row>
    <row r="241" spans="1:10" ht="22.95" customHeight="1" x14ac:dyDescent="0.3">
      <c r="A241" s="136">
        <v>45811</v>
      </c>
      <c r="B241" s="112">
        <v>45.74</v>
      </c>
      <c r="C241" s="137">
        <v>4752616</v>
      </c>
      <c r="D241" s="49">
        <v>2025</v>
      </c>
      <c r="E241" s="49">
        <v>2025</v>
      </c>
      <c r="F241" s="49">
        <v>6</v>
      </c>
      <c r="G241" s="49" t="s">
        <v>1552</v>
      </c>
      <c r="H241" s="49" t="s">
        <v>5680</v>
      </c>
      <c r="I241" s="49" t="s">
        <v>5681</v>
      </c>
      <c r="J241" s="49" t="s">
        <v>5683</v>
      </c>
    </row>
    <row r="242" spans="1:10" ht="22.95" customHeight="1" x14ac:dyDescent="0.3">
      <c r="A242" s="136">
        <v>45812</v>
      </c>
      <c r="B242" s="112">
        <v>45.37</v>
      </c>
      <c r="C242" s="137">
        <v>8043365</v>
      </c>
      <c r="D242" s="49">
        <v>2025</v>
      </c>
      <c r="E242" s="49">
        <v>2025</v>
      </c>
      <c r="F242" s="49">
        <v>6</v>
      </c>
      <c r="G242" s="49" t="s">
        <v>1552</v>
      </c>
      <c r="H242" s="49" t="s">
        <v>5680</v>
      </c>
      <c r="I242" s="49" t="s">
        <v>5681</v>
      </c>
      <c r="J242" s="49" t="s">
        <v>5684</v>
      </c>
    </row>
    <row r="243" spans="1:10" ht="22.95" customHeight="1" x14ac:dyDescent="0.3">
      <c r="A243" s="136">
        <v>45813</v>
      </c>
      <c r="B243" s="112">
        <v>44.98</v>
      </c>
      <c r="C243" s="137">
        <v>5670833</v>
      </c>
      <c r="D243" s="49">
        <v>2025</v>
      </c>
      <c r="E243" s="49">
        <v>2025</v>
      </c>
      <c r="F243" s="49">
        <v>6</v>
      </c>
      <c r="G243" s="49" t="s">
        <v>1552</v>
      </c>
      <c r="H243" s="49" t="s">
        <v>5680</v>
      </c>
      <c r="I243" s="49" t="s">
        <v>5681</v>
      </c>
      <c r="J243" s="49" t="s">
        <v>5685</v>
      </c>
    </row>
    <row r="244" spans="1:10" ht="22.95" customHeight="1" x14ac:dyDescent="0.3">
      <c r="A244" s="136">
        <v>45818</v>
      </c>
      <c r="B244" s="112">
        <v>45.16</v>
      </c>
      <c r="C244" s="137">
        <v>3535058</v>
      </c>
      <c r="D244" s="49">
        <v>2025</v>
      </c>
      <c r="E244" s="49">
        <v>2025</v>
      </c>
      <c r="F244" s="49">
        <v>6</v>
      </c>
      <c r="G244" s="49" t="s">
        <v>1552</v>
      </c>
      <c r="H244" s="49" t="s">
        <v>5680</v>
      </c>
      <c r="I244" s="49" t="s">
        <v>5681</v>
      </c>
      <c r="J244" s="49" t="s">
        <v>5686</v>
      </c>
    </row>
    <row r="245" spans="1:10" ht="22.95" customHeight="1" x14ac:dyDescent="0.3">
      <c r="A245" s="136">
        <v>45819</v>
      </c>
      <c r="B245" s="112">
        <v>46.87</v>
      </c>
      <c r="C245" s="137">
        <v>33471965</v>
      </c>
      <c r="D245" s="49">
        <v>2025</v>
      </c>
      <c r="E245" s="49">
        <v>2025</v>
      </c>
      <c r="F245" s="49">
        <v>6</v>
      </c>
      <c r="G245" s="49" t="s">
        <v>1552</v>
      </c>
      <c r="H245" s="49" t="s">
        <v>5680</v>
      </c>
      <c r="I245" s="49" t="s">
        <v>5681</v>
      </c>
      <c r="J245" s="49" t="s">
        <v>5687</v>
      </c>
    </row>
    <row r="246" spans="1:10" ht="22.95" customHeight="1" x14ac:dyDescent="0.3">
      <c r="A246" s="136">
        <v>45820</v>
      </c>
      <c r="B246" s="112">
        <v>47.36</v>
      </c>
      <c r="C246" s="137">
        <v>50597576</v>
      </c>
      <c r="D246" s="49">
        <v>2025</v>
      </c>
      <c r="E246" s="49">
        <v>2025</v>
      </c>
      <c r="F246" s="49">
        <v>6</v>
      </c>
      <c r="G246" s="49" t="s">
        <v>1552</v>
      </c>
      <c r="H246" s="49" t="s">
        <v>5680</v>
      </c>
      <c r="I246" s="49" t="s">
        <v>5681</v>
      </c>
      <c r="J246" s="49" t="s">
        <v>5688</v>
      </c>
    </row>
    <row r="247" spans="1:10" ht="22.95" customHeight="1" x14ac:dyDescent="0.3">
      <c r="A247" s="136">
        <v>45821</v>
      </c>
      <c r="B247" s="112">
        <v>46.57</v>
      </c>
      <c r="C247" s="137">
        <v>16701558</v>
      </c>
      <c r="D247" s="49">
        <v>2025</v>
      </c>
      <c r="E247" s="49">
        <v>2025</v>
      </c>
      <c r="F247" s="49">
        <v>6</v>
      </c>
      <c r="G247" s="49" t="s">
        <v>1552</v>
      </c>
      <c r="H247" s="49" t="s">
        <v>5680</v>
      </c>
      <c r="I247" s="49" t="s">
        <v>5681</v>
      </c>
      <c r="J247" s="49" t="s">
        <v>5689</v>
      </c>
    </row>
    <row r="248" spans="1:10" ht="22.95" customHeight="1" x14ac:dyDescent="0.3">
      <c r="A248" s="136">
        <v>45824</v>
      </c>
      <c r="B248" s="112">
        <v>46.42</v>
      </c>
      <c r="C248" s="137">
        <v>9229863</v>
      </c>
      <c r="D248" s="49">
        <v>2025</v>
      </c>
      <c r="E248" s="49">
        <v>2025</v>
      </c>
      <c r="F248" s="49">
        <v>6</v>
      </c>
      <c r="G248" s="49" t="s">
        <v>1552</v>
      </c>
      <c r="H248" s="49" t="s">
        <v>5680</v>
      </c>
      <c r="I248" s="49" t="s">
        <v>5681</v>
      </c>
      <c r="J248" s="49" t="s">
        <v>5690</v>
      </c>
    </row>
    <row r="249" spans="1:10" ht="22.95" customHeight="1" x14ac:dyDescent="0.3">
      <c r="A249" s="136">
        <v>45825</v>
      </c>
      <c r="B249" s="112">
        <v>45.58</v>
      </c>
      <c r="C249" s="137">
        <v>7520246</v>
      </c>
      <c r="D249" s="49">
        <v>2025</v>
      </c>
      <c r="E249" s="49">
        <v>2025</v>
      </c>
      <c r="F249" s="49">
        <v>6</v>
      </c>
      <c r="G249" s="49" t="s">
        <v>1552</v>
      </c>
      <c r="H249" s="49" t="s">
        <v>5680</v>
      </c>
      <c r="I249" s="49" t="s">
        <v>5681</v>
      </c>
      <c r="J249" s="49" t="s">
        <v>5691</v>
      </c>
    </row>
    <row r="250" spans="1:10" ht="22.95" customHeight="1" x14ac:dyDescent="0.3">
      <c r="A250" s="136">
        <v>45826</v>
      </c>
      <c r="B250" s="112">
        <v>45.11</v>
      </c>
      <c r="C250" s="137">
        <v>7583014</v>
      </c>
      <c r="D250" s="49">
        <v>2025</v>
      </c>
      <c r="E250" s="49">
        <v>2025</v>
      </c>
      <c r="F250" s="49">
        <v>6</v>
      </c>
      <c r="G250" s="49" t="s">
        <v>1552</v>
      </c>
      <c r="H250" s="49" t="s">
        <v>5680</v>
      </c>
      <c r="I250" s="49" t="s">
        <v>5681</v>
      </c>
      <c r="J250" s="49" t="s">
        <v>5692</v>
      </c>
    </row>
    <row r="251" spans="1:10" ht="22.95" customHeight="1" x14ac:dyDescent="0.3">
      <c r="A251" s="136">
        <v>45827</v>
      </c>
      <c r="B251" s="112">
        <v>44.81</v>
      </c>
      <c r="C251" s="137">
        <v>4332018</v>
      </c>
      <c r="D251" s="49">
        <v>2025</v>
      </c>
      <c r="E251" s="49">
        <v>2025</v>
      </c>
      <c r="F251" s="49">
        <v>6</v>
      </c>
      <c r="G251" s="49" t="s">
        <v>1552</v>
      </c>
      <c r="H251" s="49" t="s">
        <v>5680</v>
      </c>
      <c r="I251" s="49" t="s">
        <v>5681</v>
      </c>
      <c r="J251" s="49" t="s">
        <v>5693</v>
      </c>
    </row>
    <row r="252" spans="1:10" ht="22.95" customHeight="1" x14ac:dyDescent="0.3">
      <c r="A252" s="136">
        <v>45828</v>
      </c>
      <c r="B252" s="112">
        <v>44.71</v>
      </c>
      <c r="C252" s="137">
        <v>5231042</v>
      </c>
      <c r="D252" s="49">
        <v>2025</v>
      </c>
      <c r="E252" s="49">
        <v>2025</v>
      </c>
      <c r="F252" s="49">
        <v>6</v>
      </c>
      <c r="G252" s="49" t="s">
        <v>1552</v>
      </c>
      <c r="H252" s="49" t="s">
        <v>5680</v>
      </c>
      <c r="I252" s="49" t="s">
        <v>5681</v>
      </c>
      <c r="J252" s="49" t="s">
        <v>5694</v>
      </c>
    </row>
    <row r="253" spans="1:10" ht="22.95" customHeight="1" x14ac:dyDescent="0.3">
      <c r="A253" s="136">
        <v>45831</v>
      </c>
      <c r="B253" s="112">
        <v>40.549999999999997</v>
      </c>
      <c r="C253" s="137">
        <v>16264731</v>
      </c>
      <c r="D253" s="49">
        <v>2025</v>
      </c>
      <c r="E253" s="49">
        <v>2025</v>
      </c>
      <c r="F253" s="49">
        <v>6</v>
      </c>
      <c r="G253" s="49" t="s">
        <v>1552</v>
      </c>
      <c r="H253" s="49" t="s">
        <v>5680</v>
      </c>
      <c r="I253" s="49" t="s">
        <v>5681</v>
      </c>
      <c r="J253" s="49" t="s">
        <v>5695</v>
      </c>
    </row>
    <row r="254" spans="1:10" ht="22.95" customHeight="1" x14ac:dyDescent="0.3">
      <c r="A254" s="136">
        <v>45832</v>
      </c>
      <c r="B254" s="112">
        <v>44.61</v>
      </c>
      <c r="C254" s="137">
        <v>20582081</v>
      </c>
      <c r="D254" s="49">
        <v>2025</v>
      </c>
      <c r="E254" s="49">
        <v>2025</v>
      </c>
      <c r="F254" s="49">
        <v>6</v>
      </c>
      <c r="G254" s="49" t="s">
        <v>1552</v>
      </c>
      <c r="H254" s="49" t="s">
        <v>5680</v>
      </c>
      <c r="I254" s="49" t="s">
        <v>5681</v>
      </c>
      <c r="J254" s="49" t="s">
        <v>5696</v>
      </c>
    </row>
    <row r="255" spans="1:10" ht="22.95" customHeight="1" x14ac:dyDescent="0.3">
      <c r="A255" s="136">
        <v>45833</v>
      </c>
      <c r="B255" s="112">
        <v>45.17</v>
      </c>
      <c r="C255" s="137">
        <v>4454110</v>
      </c>
      <c r="D255" s="49">
        <v>2025</v>
      </c>
      <c r="E255" s="49">
        <v>2025</v>
      </c>
      <c r="F255" s="49">
        <v>6</v>
      </c>
      <c r="G255" s="49" t="s">
        <v>1552</v>
      </c>
      <c r="H255" s="49" t="s">
        <v>5680</v>
      </c>
      <c r="I255" s="49" t="s">
        <v>5681</v>
      </c>
      <c r="J255" s="49" t="s">
        <v>5697</v>
      </c>
    </row>
    <row r="256" spans="1:10" ht="22.95" customHeight="1" x14ac:dyDescent="0.3">
      <c r="A256" s="136">
        <v>45834</v>
      </c>
      <c r="B256" s="112">
        <v>44.77</v>
      </c>
      <c r="C256" s="137">
        <v>4724221</v>
      </c>
      <c r="D256" s="49">
        <v>2025</v>
      </c>
      <c r="E256" s="49">
        <v>2025</v>
      </c>
      <c r="F256" s="49">
        <v>6</v>
      </c>
      <c r="G256" s="49" t="s">
        <v>1552</v>
      </c>
      <c r="H256" s="49" t="s">
        <v>5680</v>
      </c>
      <c r="I256" s="49" t="s">
        <v>5681</v>
      </c>
      <c r="J256" s="49" t="s">
        <v>5698</v>
      </c>
    </row>
    <row r="257" spans="1:10" ht="22.95" customHeight="1" x14ac:dyDescent="0.3">
      <c r="A257" s="136">
        <v>45835</v>
      </c>
      <c r="B257" s="112">
        <v>45.27</v>
      </c>
      <c r="C257" s="137">
        <v>6158788</v>
      </c>
      <c r="D257" s="49">
        <v>2025</v>
      </c>
      <c r="E257" s="49">
        <v>2025</v>
      </c>
      <c r="F257" s="49">
        <v>6</v>
      </c>
      <c r="G257" s="49" t="s">
        <v>1552</v>
      </c>
      <c r="H257" s="49" t="s">
        <v>5680</v>
      </c>
      <c r="I257" s="49" t="s">
        <v>5681</v>
      </c>
      <c r="J257" s="49" t="s">
        <v>5699</v>
      </c>
    </row>
    <row r="258" spans="1:10" ht="22.95" customHeight="1" x14ac:dyDescent="0.3">
      <c r="A258" s="136">
        <v>45838</v>
      </c>
      <c r="B258" s="112">
        <v>44.67</v>
      </c>
      <c r="C258" s="137">
        <v>3494330</v>
      </c>
      <c r="D258" s="49">
        <v>2025</v>
      </c>
      <c r="E258" s="49">
        <v>2025</v>
      </c>
      <c r="F258" s="49">
        <v>6</v>
      </c>
      <c r="G258" s="49" t="s">
        <v>1552</v>
      </c>
      <c r="H258" s="49" t="s">
        <v>5680</v>
      </c>
      <c r="I258" s="49" t="s">
        <v>5681</v>
      </c>
      <c r="J258" s="49" t="s">
        <v>5700</v>
      </c>
    </row>
  </sheetData>
  <mergeCells count="1">
    <mergeCell ref="A8:J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6"/>
  <sheetViews>
    <sheetView showGridLines="0" workbookViewId="0">
      <pane xSplit="3" ySplit="13" topLeftCell="D14" activePane="bottomRight" state="frozen"/>
      <selection pane="topRight"/>
      <selection pane="bottomLeft"/>
      <selection pane="bottomRight" activeCell="D14" sqref="D14"/>
    </sheetView>
  </sheetViews>
  <sheetFormatPr defaultRowHeight="14.4" x14ac:dyDescent="0.3"/>
  <cols>
    <col min="1" max="1" width="12" customWidth="1"/>
    <col min="2" max="2" width="20" customWidth="1"/>
    <col min="3" max="3" width="45" customWidth="1"/>
    <col min="4" max="4" width="19" customWidth="1"/>
    <col min="5" max="5" width="23" customWidth="1"/>
    <col min="6" max="6" width="24" customWidth="1"/>
    <col min="7" max="8" width="25" customWidth="1"/>
    <col min="9" max="9" width="65" customWidth="1"/>
    <col min="10" max="10" width="25" customWidth="1"/>
    <col min="11" max="11" width="90" customWidth="1"/>
    <col min="12" max="14" width="25" customWidth="1"/>
    <col min="15" max="15" width="23" customWidth="1"/>
    <col min="16" max="16" width="40" customWidth="1"/>
    <col min="17" max="17" width="100" customWidth="1"/>
    <col min="18" max="18" width="140" customWidth="1"/>
    <col min="19" max="19" width="100" customWidth="1"/>
    <col min="20" max="20" width="18" customWidth="1"/>
    <col min="21" max="21" width="100" customWidth="1"/>
  </cols>
  <sheetData>
    <row r="1" spans="1:21" ht="22.05" customHeight="1" x14ac:dyDescent="0.3">
      <c r="A1" s="151"/>
      <c r="B1" s="151"/>
      <c r="C1" s="151"/>
      <c r="D1" s="151"/>
      <c r="E1" s="151"/>
      <c r="F1" s="151"/>
      <c r="G1" s="151"/>
      <c r="H1" s="151"/>
      <c r="I1" s="151"/>
      <c r="J1" s="151"/>
      <c r="K1" s="151"/>
      <c r="L1" s="151"/>
      <c r="M1" s="151"/>
      <c r="N1" s="151"/>
      <c r="O1" s="151"/>
      <c r="P1" s="151"/>
      <c r="Q1" s="151"/>
      <c r="R1" s="151"/>
      <c r="S1" s="151"/>
      <c r="T1" s="151"/>
      <c r="U1" s="151"/>
    </row>
    <row r="2" spans="1:21" ht="22.05" customHeight="1" x14ac:dyDescent="0.3">
      <c r="A2" s="152" t="s">
        <v>5701</v>
      </c>
      <c r="B2" s="151"/>
      <c r="C2" s="151"/>
      <c r="D2" s="151"/>
      <c r="E2" s="151"/>
      <c r="F2" s="151"/>
      <c r="G2" s="151"/>
      <c r="H2" s="151"/>
      <c r="I2" s="151"/>
      <c r="J2" s="151"/>
      <c r="K2" s="151"/>
      <c r="L2" s="151"/>
      <c r="M2" s="151"/>
      <c r="N2" s="151"/>
      <c r="O2" s="151"/>
      <c r="P2" s="151"/>
      <c r="Q2" s="151"/>
      <c r="R2" s="151"/>
      <c r="S2" s="151"/>
      <c r="T2" s="151"/>
      <c r="U2" s="151"/>
    </row>
    <row r="3" spans="1:21" ht="22.05" customHeight="1" x14ac:dyDescent="0.3">
      <c r="A3" s="151"/>
      <c r="B3" s="151"/>
      <c r="C3" s="151"/>
      <c r="D3" s="151"/>
      <c r="E3" s="151"/>
      <c r="F3" s="151"/>
      <c r="G3" s="151"/>
      <c r="H3" s="151"/>
      <c r="I3" s="151"/>
      <c r="J3" s="151"/>
      <c r="K3" s="151"/>
      <c r="L3" s="151"/>
      <c r="M3" s="151"/>
      <c r="N3" s="151"/>
      <c r="O3" s="151"/>
      <c r="P3" s="151"/>
      <c r="Q3" s="151"/>
      <c r="R3" s="151"/>
      <c r="S3" s="151"/>
      <c r="T3" s="151"/>
      <c r="U3" s="151"/>
    </row>
    <row r="4" spans="1:21" ht="22.05" customHeight="1" x14ac:dyDescent="0.3">
      <c r="A4" s="151"/>
      <c r="B4" s="151"/>
      <c r="C4" s="151"/>
      <c r="D4" s="151"/>
      <c r="E4" s="151"/>
      <c r="F4" s="151"/>
      <c r="G4" s="151"/>
      <c r="H4" s="151"/>
      <c r="I4" s="151"/>
      <c r="J4" s="151"/>
      <c r="K4" s="151"/>
      <c r="L4" s="151"/>
      <c r="M4" s="151"/>
      <c r="N4" s="151"/>
      <c r="O4" s="151"/>
      <c r="P4" s="151"/>
      <c r="Q4" s="151"/>
      <c r="R4" s="151"/>
      <c r="S4" s="151"/>
      <c r="T4" s="151"/>
      <c r="U4" s="151"/>
    </row>
    <row r="5" spans="1:21" ht="22.05" customHeight="1" x14ac:dyDescent="0.3">
      <c r="A5" s="216" t="s">
        <v>5702</v>
      </c>
      <c r="B5" s="216"/>
      <c r="C5" s="216"/>
      <c r="D5" s="170">
        <f>COUNTIF(P14:P76,A5)</f>
        <v>14</v>
      </c>
      <c r="E5" s="151"/>
      <c r="F5" s="151" t="s">
        <v>5703</v>
      </c>
      <c r="G5" s="151"/>
      <c r="H5" s="151">
        <f>COUNTA(A14:A76)</f>
        <v>63</v>
      </c>
      <c r="I5" s="151"/>
      <c r="J5" s="151"/>
      <c r="K5" s="151"/>
      <c r="L5" s="151"/>
      <c r="M5" s="151"/>
      <c r="N5" s="151"/>
      <c r="O5" s="151"/>
      <c r="P5" s="151"/>
      <c r="Q5" s="151"/>
      <c r="R5" s="151"/>
      <c r="S5" s="151"/>
      <c r="T5" s="151"/>
      <c r="U5" s="151"/>
    </row>
    <row r="6" spans="1:21" ht="22.05" customHeight="1" x14ac:dyDescent="0.3">
      <c r="A6" s="216" t="s">
        <v>5704</v>
      </c>
      <c r="B6" s="216"/>
      <c r="C6" s="216"/>
      <c r="D6" s="170">
        <f>COUNTIF(P14:P76,A6)</f>
        <v>24</v>
      </c>
      <c r="E6" s="151"/>
      <c r="F6" s="151" t="s">
        <v>5705</v>
      </c>
      <c r="G6" s="151"/>
      <c r="H6" s="151" t="s">
        <v>5706</v>
      </c>
      <c r="I6" s="151"/>
      <c r="J6" s="151"/>
      <c r="K6" s="151"/>
      <c r="L6" s="151"/>
      <c r="M6" s="151"/>
      <c r="N6" s="151"/>
      <c r="O6" s="151"/>
      <c r="P6" s="151"/>
      <c r="Q6" s="151"/>
      <c r="R6" s="151"/>
      <c r="S6" s="151"/>
      <c r="T6" s="151"/>
      <c r="U6" s="151"/>
    </row>
    <row r="7" spans="1:21" ht="22.05" customHeight="1" x14ac:dyDescent="0.3">
      <c r="A7" s="216" t="s">
        <v>5707</v>
      </c>
      <c r="B7" s="216"/>
      <c r="C7" s="216"/>
      <c r="D7" s="170">
        <f>COUNTIF(P14:P76,A7)</f>
        <v>19</v>
      </c>
      <c r="E7" s="151"/>
      <c r="F7" s="151" t="s">
        <v>5708</v>
      </c>
      <c r="G7" s="151"/>
      <c r="H7" s="151">
        <v>32</v>
      </c>
      <c r="I7" s="151"/>
      <c r="J7" s="151"/>
      <c r="K7" s="151"/>
      <c r="L7" s="151"/>
      <c r="M7" s="151"/>
      <c r="N7" s="151"/>
      <c r="O7" s="151"/>
      <c r="P7" s="151"/>
      <c r="Q7" s="151"/>
      <c r="R7" s="151"/>
      <c r="S7" s="151"/>
      <c r="T7" s="151"/>
      <c r="U7" s="151"/>
    </row>
    <row r="8" spans="1:21" ht="22.05" customHeight="1" x14ac:dyDescent="0.3">
      <c r="A8" s="216" t="s">
        <v>5709</v>
      </c>
      <c r="B8" s="216"/>
      <c r="C8" s="216"/>
      <c r="D8" s="170">
        <f>COUNTIF(P14:P76,A8)</f>
        <v>2</v>
      </c>
      <c r="E8" s="151"/>
      <c r="F8" s="151" t="s">
        <v>5710</v>
      </c>
      <c r="G8" s="151"/>
      <c r="H8" s="151">
        <v>23</v>
      </c>
      <c r="I8" s="151"/>
      <c r="J8" s="151"/>
      <c r="K8" s="151"/>
      <c r="L8" s="151"/>
      <c r="M8" s="151"/>
      <c r="N8" s="151"/>
      <c r="O8" s="151"/>
      <c r="P8" s="151"/>
      <c r="Q8" s="151"/>
      <c r="R8" s="151"/>
      <c r="S8" s="151"/>
      <c r="T8" s="151"/>
      <c r="U8" s="151"/>
    </row>
    <row r="9" spans="1:21" ht="22.05" customHeight="1" x14ac:dyDescent="0.3">
      <c r="A9" s="216" t="s">
        <v>5711</v>
      </c>
      <c r="B9" s="216"/>
      <c r="C9" s="216"/>
      <c r="D9" s="170">
        <f>COUNTIF(P14:P76,A9)</f>
        <v>4</v>
      </c>
      <c r="E9" s="151"/>
      <c r="F9" s="151" t="s">
        <v>5712</v>
      </c>
      <c r="G9" s="151"/>
      <c r="H9" s="151">
        <v>0</v>
      </c>
      <c r="I9" s="151"/>
      <c r="J9" s="151"/>
      <c r="K9" s="151"/>
      <c r="L9" s="151"/>
      <c r="M9" s="151"/>
      <c r="N9" s="151"/>
      <c r="O9" s="151"/>
      <c r="P9" s="151"/>
      <c r="Q9" s="151"/>
      <c r="R9" s="151"/>
      <c r="S9" s="151"/>
      <c r="T9" s="151"/>
      <c r="U9" s="151"/>
    </row>
    <row r="10" spans="1:21" ht="22.05" customHeight="1" x14ac:dyDescent="0.3">
      <c r="A10" s="151"/>
      <c r="B10" s="151"/>
      <c r="C10" s="151"/>
      <c r="D10" s="151"/>
      <c r="E10" s="151"/>
      <c r="F10" s="151"/>
      <c r="G10" s="151"/>
      <c r="H10" s="151"/>
      <c r="I10" s="151"/>
      <c r="J10" s="151"/>
      <c r="K10" s="151"/>
      <c r="L10" s="151"/>
      <c r="M10" s="151"/>
      <c r="N10" s="151"/>
      <c r="O10" s="151"/>
      <c r="P10" s="151"/>
      <c r="Q10" s="151"/>
      <c r="R10" s="151"/>
      <c r="S10" s="151"/>
      <c r="T10" s="151"/>
      <c r="U10" s="151"/>
    </row>
    <row r="11" spans="1:21" ht="22.05" customHeight="1" x14ac:dyDescent="0.3">
      <c r="A11" s="151" t="s">
        <v>5713</v>
      </c>
      <c r="B11" s="151"/>
      <c r="C11" s="151"/>
      <c r="D11" s="151"/>
      <c r="E11" s="151"/>
      <c r="F11" s="151"/>
      <c r="G11" s="151"/>
      <c r="H11" s="151"/>
      <c r="I11" s="151"/>
      <c r="J11" s="151"/>
      <c r="K11" s="151"/>
      <c r="L11" s="151"/>
      <c r="M11" s="151"/>
      <c r="N11" s="151"/>
      <c r="O11" s="151"/>
      <c r="P11" s="151"/>
      <c r="Q11" s="151"/>
      <c r="R11" s="151"/>
      <c r="S11" s="151"/>
      <c r="T11" s="151"/>
      <c r="U11" s="151"/>
    </row>
    <row r="12" spans="1:21" ht="22.05" customHeight="1" x14ac:dyDescent="0.3">
      <c r="A12" s="151" t="s">
        <v>5714</v>
      </c>
      <c r="B12" s="151"/>
      <c r="C12" s="151"/>
      <c r="D12" s="151"/>
      <c r="E12" s="151"/>
      <c r="F12" s="151"/>
      <c r="G12" s="151"/>
      <c r="H12" s="151"/>
      <c r="I12" s="151"/>
      <c r="J12" s="151"/>
      <c r="K12" s="151"/>
      <c r="L12" s="151"/>
      <c r="M12" s="151"/>
      <c r="N12" s="151"/>
      <c r="O12" s="151"/>
      <c r="P12" s="151"/>
      <c r="Q12" s="151"/>
      <c r="R12" s="151"/>
      <c r="S12" s="151"/>
      <c r="T12" s="151"/>
      <c r="U12" s="151"/>
    </row>
    <row r="13" spans="1:21" ht="40.049999999999997" customHeight="1" x14ac:dyDescent="0.3">
      <c r="A13" s="153" t="s">
        <v>5715</v>
      </c>
      <c r="B13" s="153" t="s">
        <v>5716</v>
      </c>
      <c r="C13" s="153" t="s">
        <v>5717</v>
      </c>
      <c r="D13" s="153" t="s">
        <v>4</v>
      </c>
      <c r="E13" s="153" t="s">
        <v>5718</v>
      </c>
      <c r="F13" s="153" t="s">
        <v>5719</v>
      </c>
      <c r="G13" s="153" t="s">
        <v>5720</v>
      </c>
      <c r="H13" s="153" t="s">
        <v>5721</v>
      </c>
      <c r="I13" s="153" t="s">
        <v>5722</v>
      </c>
      <c r="J13" s="153" t="s">
        <v>5723</v>
      </c>
      <c r="K13" s="153" t="s">
        <v>5724</v>
      </c>
      <c r="L13" s="153" t="s">
        <v>5725</v>
      </c>
      <c r="M13" s="153" t="s">
        <v>5726</v>
      </c>
      <c r="N13" s="153" t="s">
        <v>5727</v>
      </c>
      <c r="O13" s="153" t="s">
        <v>5728</v>
      </c>
      <c r="P13" s="153" t="s">
        <v>12</v>
      </c>
      <c r="Q13" s="153" t="s">
        <v>5729</v>
      </c>
      <c r="R13" s="153" t="s">
        <v>5263</v>
      </c>
      <c r="S13" s="153" t="s">
        <v>5730</v>
      </c>
      <c r="T13" s="153" t="s">
        <v>5731</v>
      </c>
      <c r="U13" s="153" t="s">
        <v>5732</v>
      </c>
    </row>
    <row r="14" spans="1:21" ht="210" customHeight="1" x14ac:dyDescent="0.3">
      <c r="A14" s="154" t="s">
        <v>5733</v>
      </c>
      <c r="B14" s="154" t="s">
        <v>5734</v>
      </c>
      <c r="C14" s="154" t="s">
        <v>5735</v>
      </c>
      <c r="D14" s="164">
        <f>'Published Ratio Reconciliation'!D70</f>
        <v>0.23</v>
      </c>
      <c r="E14" s="164">
        <f>'Published Ratio Reconciliation'!E70</f>
        <v>1.8663025958706099</v>
      </c>
      <c r="F14" s="164">
        <f t="shared" ref="F14:F19" si="0">E14</f>
        <v>1.8663025958706099</v>
      </c>
      <c r="G14" s="164">
        <f>KOHC!D130</f>
        <v>206.49</v>
      </c>
      <c r="H14" s="164">
        <f>KOHC!D41/KOHC!D128</f>
        <v>110.64122209168052</v>
      </c>
      <c r="I14" s="164" t="s">
        <v>5736</v>
      </c>
      <c r="J14" s="164">
        <f>D14*KOHC!D41/KOHC!D128</f>
        <v>25.447481081086522</v>
      </c>
      <c r="K14" s="175" t="s">
        <v>5737</v>
      </c>
      <c r="L14" s="164">
        <f>'Forensic Tests'!G10</f>
        <v>41477.857830499997</v>
      </c>
      <c r="M14" s="164">
        <f>'Forensic Tests'!H10</f>
        <v>180400.97763000001</v>
      </c>
      <c r="N14" s="164">
        <f>'Forensic Tests'!I10</f>
        <v>0.22992036060675086</v>
      </c>
      <c r="O14" s="154" t="str">
        <f>'Forensic Tests'!N10</f>
        <v>Numeric fit</v>
      </c>
      <c r="P14" s="154" t="s">
        <v>5702</v>
      </c>
      <c r="Q14" s="173" t="s">
        <v>5738</v>
      </c>
      <c r="R14" s="173" t="s">
        <v>5739</v>
      </c>
      <c r="S14" s="173" t="s">
        <v>5740</v>
      </c>
      <c r="T14" s="154">
        <v>5</v>
      </c>
      <c r="U14" s="154" t="s">
        <v>5741</v>
      </c>
    </row>
    <row r="15" spans="1:21" ht="210" customHeight="1" x14ac:dyDescent="0.3">
      <c r="A15" s="151" t="s">
        <v>5742</v>
      </c>
      <c r="B15" s="151" t="s">
        <v>5743</v>
      </c>
      <c r="C15" s="151" t="s">
        <v>5735</v>
      </c>
      <c r="D15" s="165">
        <f>'Published Ratio Reconciliation'!D71</f>
        <v>0.12</v>
      </c>
      <c r="E15" s="165">
        <f>'Published Ratio Reconciliation'!E71</f>
        <v>0.95932868328175702</v>
      </c>
      <c r="F15" s="165">
        <f t="shared" si="0"/>
        <v>0.95932868328175702</v>
      </c>
      <c r="G15" s="165">
        <f>KOHC!E130</f>
        <v>130.13</v>
      </c>
      <c r="H15" s="165">
        <f>KOHC!E41/KOHC!E128</f>
        <v>135.64693964412666</v>
      </c>
      <c r="I15" s="165" t="s">
        <v>5736</v>
      </c>
      <c r="J15" s="165">
        <f>D15*KOHC!E41/KOHC!E128</f>
        <v>16.277632757295201</v>
      </c>
      <c r="K15" s="176" t="s">
        <v>5737</v>
      </c>
      <c r="L15" s="165">
        <f>'Forensic Tests'!G15</f>
        <v>26142.097804550001</v>
      </c>
      <c r="M15" s="165">
        <f>'Forensic Tests'!H15</f>
        <v>216739.83243499999</v>
      </c>
      <c r="N15" s="165">
        <f>'Forensic Tests'!I15</f>
        <v>0.12061510572769306</v>
      </c>
      <c r="O15" s="151" t="str">
        <f>'Forensic Tests'!N15</f>
        <v>Numeric fit</v>
      </c>
      <c r="P15" s="151" t="s">
        <v>5702</v>
      </c>
      <c r="Q15" s="174" t="s">
        <v>5744</v>
      </c>
      <c r="R15" s="174" t="s">
        <v>5739</v>
      </c>
      <c r="S15" s="174" t="s">
        <v>5740</v>
      </c>
      <c r="T15" s="151">
        <v>5</v>
      </c>
      <c r="U15" s="151" t="s">
        <v>5745</v>
      </c>
    </row>
    <row r="16" spans="1:21" ht="210" customHeight="1" x14ac:dyDescent="0.3">
      <c r="A16" s="154" t="s">
        <v>5746</v>
      </c>
      <c r="B16" s="154" t="s">
        <v>5747</v>
      </c>
      <c r="C16" s="154" t="s">
        <v>5735</v>
      </c>
      <c r="D16" s="164">
        <f>'Published Ratio Reconciliation'!D72</f>
        <v>0.14000000000000001</v>
      </c>
      <c r="E16" s="164">
        <f>'Published Ratio Reconciliation'!E72</f>
        <v>1.0684870021034203</v>
      </c>
      <c r="F16" s="164">
        <f t="shared" si="0"/>
        <v>1.0684870021034203</v>
      </c>
      <c r="G16" s="164">
        <f>KOHC!F130</f>
        <v>173.47</v>
      </c>
      <c r="H16" s="164">
        <f>KOHC!F41/KOHC!F128</f>
        <v>162.35106244484723</v>
      </c>
      <c r="I16" s="164" t="s">
        <v>5736</v>
      </c>
      <c r="J16" s="164">
        <f>D16*KOHC!F41/KOHC!F128</f>
        <v>22.72914874227861</v>
      </c>
      <c r="K16" s="175" t="s">
        <v>5737</v>
      </c>
      <c r="L16" s="164">
        <f>'Forensic Tests'!G20</f>
        <v>34839.391964649993</v>
      </c>
      <c r="M16" s="164">
        <f>'Forensic Tests'!H20</f>
        <v>247642.53917999999</v>
      </c>
      <c r="N16" s="164">
        <f>'Forensic Tests'!I20</f>
        <v>0.14068419779578675</v>
      </c>
      <c r="O16" s="154" t="str">
        <f>'Forensic Tests'!N20</f>
        <v>Numeric fit</v>
      </c>
      <c r="P16" s="154" t="s">
        <v>5702</v>
      </c>
      <c r="Q16" s="173" t="s">
        <v>5748</v>
      </c>
      <c r="R16" s="173" t="s">
        <v>5739</v>
      </c>
      <c r="S16" s="173" t="s">
        <v>5740</v>
      </c>
      <c r="T16" s="154">
        <v>5</v>
      </c>
      <c r="U16" s="154" t="s">
        <v>5749</v>
      </c>
    </row>
    <row r="17" spans="1:21" ht="210" customHeight="1" x14ac:dyDescent="0.3">
      <c r="A17" s="151" t="s">
        <v>5750</v>
      </c>
      <c r="B17" s="151" t="s">
        <v>5751</v>
      </c>
      <c r="C17" s="151" t="s">
        <v>5735</v>
      </c>
      <c r="D17" s="165">
        <f>'Published Ratio Reconciliation'!D73</f>
        <v>0.82</v>
      </c>
      <c r="E17" s="165">
        <f>'Published Ratio Reconciliation'!E73</f>
        <v>1.1937011482475723</v>
      </c>
      <c r="F17" s="165">
        <f t="shared" si="0"/>
        <v>1.1937011482475723</v>
      </c>
      <c r="G17" s="165">
        <f>KOHC!G130</f>
        <v>250.43</v>
      </c>
      <c r="H17" s="165">
        <f>KOHC!G41/KOHC!G128</f>
        <v>209.79287853383309</v>
      </c>
      <c r="I17" s="165" t="s">
        <v>5736</v>
      </c>
      <c r="J17" s="165">
        <f>D17*KOHC!G41/KOHC!G128</f>
        <v>172.03016039774312</v>
      </c>
      <c r="K17" s="176" t="s">
        <v>5752</v>
      </c>
      <c r="L17" s="165">
        <f>'Forensic Tests'!G24</f>
        <v>48126.591415000003</v>
      </c>
      <c r="M17" s="165">
        <f>'Forensic Tests'!H24</f>
        <v>58842.786971000001</v>
      </c>
      <c r="N17" s="165">
        <f>'Forensic Tests'!I24</f>
        <v>0.81788429631517356</v>
      </c>
      <c r="O17" s="151" t="str">
        <f>'Forensic Tests'!N24</f>
        <v>Numeric fit</v>
      </c>
      <c r="P17" s="151" t="s">
        <v>5702</v>
      </c>
      <c r="Q17" s="174" t="s">
        <v>5753</v>
      </c>
      <c r="R17" s="174" t="s">
        <v>5739</v>
      </c>
      <c r="S17" s="174" t="s">
        <v>5740</v>
      </c>
      <c r="T17" s="151">
        <v>5</v>
      </c>
      <c r="U17" s="151" t="s">
        <v>5754</v>
      </c>
    </row>
    <row r="18" spans="1:21" ht="210" customHeight="1" x14ac:dyDescent="0.3">
      <c r="A18" s="154" t="s">
        <v>5755</v>
      </c>
      <c r="B18" s="154" t="s">
        <v>5756</v>
      </c>
      <c r="C18" s="154" t="s">
        <v>5735</v>
      </c>
      <c r="D18" s="164">
        <f>'Published Ratio Reconciliation'!D74</f>
        <v>1.1000000000000001</v>
      </c>
      <c r="E18" s="164">
        <f>'Published Ratio Reconciliation'!E74</f>
        <v>1.4544747850514033</v>
      </c>
      <c r="F18" s="164">
        <f t="shared" si="0"/>
        <v>1.4544747850514033</v>
      </c>
      <c r="G18" s="164">
        <f>KOHC!H130</f>
        <v>379.36</v>
      </c>
      <c r="H18" s="164">
        <f>KOHC!H41/KOHC!H128</f>
        <v>260.8226721418157</v>
      </c>
      <c r="I18" s="164" t="s">
        <v>5736</v>
      </c>
      <c r="J18" s="164">
        <f>D18*KOHC!H41/KOHC!H128</f>
        <v>286.90493935599733</v>
      </c>
      <c r="K18" s="175" t="s">
        <v>5752</v>
      </c>
      <c r="L18" s="164">
        <f>'Forensic Tests'!G29</f>
        <v>73183.642707000006</v>
      </c>
      <c r="M18" s="164">
        <f>'Forensic Tests'!H29</f>
        <v>66794.052026000005</v>
      </c>
      <c r="N18" s="164">
        <f>'Forensic Tests'!I29</f>
        <v>1.0956610729127918</v>
      </c>
      <c r="O18" s="154" t="str">
        <f>'Forensic Tests'!N29</f>
        <v>Numeric fit</v>
      </c>
      <c r="P18" s="154" t="s">
        <v>5702</v>
      </c>
      <c r="Q18" s="173" t="s">
        <v>5753</v>
      </c>
      <c r="R18" s="173" t="s">
        <v>5739</v>
      </c>
      <c r="S18" s="173" t="s">
        <v>5740</v>
      </c>
      <c r="T18" s="154">
        <v>5</v>
      </c>
      <c r="U18" s="154" t="s">
        <v>5757</v>
      </c>
    </row>
    <row r="19" spans="1:21" ht="210" customHeight="1" x14ac:dyDescent="0.3">
      <c r="A19" s="151" t="s">
        <v>5758</v>
      </c>
      <c r="B19" s="151" t="s">
        <v>5759</v>
      </c>
      <c r="C19" s="151" t="s">
        <v>5760</v>
      </c>
      <c r="D19" s="165">
        <f>'Published Ratio Reconciliation'!D89</f>
        <v>19.48</v>
      </c>
      <c r="E19" s="165">
        <f>'Published Ratio Reconciliation'!E89</f>
        <v>19.473145621508603</v>
      </c>
      <c r="F19" s="165">
        <f t="shared" si="0"/>
        <v>19.473145621508603</v>
      </c>
      <c r="G19" s="165">
        <f>365*AVERAGE(LUCK!G32,LUCK!H32)</f>
        <v>2424635.3225000002</v>
      </c>
      <c r="H19" s="165">
        <f>LUCK!H84</f>
        <v>124511.74400000001</v>
      </c>
      <c r="I19" s="165" t="s">
        <v>5761</v>
      </c>
      <c r="J19" s="165">
        <f>D19*LUCK!H84/365</f>
        <v>6645.1747208767129</v>
      </c>
      <c r="K19" s="176" t="s">
        <v>5762</v>
      </c>
      <c r="L19" s="165">
        <f>'Forensic Tests'!G41</f>
        <v>365</v>
      </c>
      <c r="M19" s="165">
        <f>'Forensic Tests'!H41</f>
        <v>18.739999999999998</v>
      </c>
      <c r="N19" s="165">
        <f>'Forensic Tests'!I41</f>
        <v>19.477054429028819</v>
      </c>
      <c r="O19" s="151" t="str">
        <f>'Forensic Tests'!N41</f>
        <v>Numeric fit</v>
      </c>
      <c r="P19" s="151" t="s">
        <v>5704</v>
      </c>
      <c r="Q19" s="174" t="s">
        <v>5763</v>
      </c>
      <c r="R19" s="174" t="s">
        <v>5764</v>
      </c>
      <c r="S19" s="174" t="s">
        <v>5765</v>
      </c>
      <c r="T19" s="151">
        <v>11</v>
      </c>
      <c r="U19" s="151" t="s">
        <v>5766</v>
      </c>
    </row>
    <row r="20" spans="1:21" ht="210" customHeight="1" x14ac:dyDescent="0.3">
      <c r="A20" s="154" t="s">
        <v>5767</v>
      </c>
      <c r="B20" s="154" t="s">
        <v>5768</v>
      </c>
      <c r="C20" s="154" t="s">
        <v>5769</v>
      </c>
      <c r="D20" s="164">
        <f>'Published Ratio Reconciliation'!D112</f>
        <v>8.49</v>
      </c>
      <c r="E20" s="164">
        <f>'Published Ratio Reconciliation'!E112</f>
        <v>43.061512349842658</v>
      </c>
      <c r="F20" s="164">
        <f>E20/5</f>
        <v>8.6123024699685313</v>
      </c>
      <c r="G20" s="164">
        <f>LUCK!F99</f>
        <v>13725.813999999998</v>
      </c>
      <c r="H20" s="164">
        <f>LUCK!F129</f>
        <v>318.74900000000002</v>
      </c>
      <c r="I20" s="164" t="s">
        <v>5770</v>
      </c>
      <c r="J20" s="164">
        <f>LUCK!F99/D20</f>
        <v>1616.7036513545345</v>
      </c>
      <c r="K20" s="175" t="s">
        <v>5771</v>
      </c>
      <c r="L20" s="164">
        <f>'Forensic Tests'!G45</f>
        <v>13725.813999999998</v>
      </c>
      <c r="M20" s="164">
        <f>'Forensic Tests'!H45</f>
        <v>1616.875</v>
      </c>
      <c r="N20" s="164">
        <f>'Forensic Tests'!I45</f>
        <v>8.4891002705836875</v>
      </c>
      <c r="O20" s="154" t="str">
        <f>'Forensic Tests'!N45</f>
        <v>Numeric fit</v>
      </c>
      <c r="P20" s="154" t="s">
        <v>5704</v>
      </c>
      <c r="Q20" s="173" t="s">
        <v>5772</v>
      </c>
      <c r="R20" s="173" t="s">
        <v>5773</v>
      </c>
      <c r="S20" s="173" t="s">
        <v>5774</v>
      </c>
      <c r="T20" s="154">
        <v>4</v>
      </c>
      <c r="U20" s="154" t="s">
        <v>5775</v>
      </c>
    </row>
    <row r="21" spans="1:21" ht="210" customHeight="1" x14ac:dyDescent="0.3">
      <c r="A21" s="151" t="s">
        <v>5776</v>
      </c>
      <c r="B21" s="151" t="s">
        <v>5777</v>
      </c>
      <c r="C21" s="151" t="s">
        <v>5778</v>
      </c>
      <c r="D21" s="165">
        <f>'Published Ratio Reconciliation'!D135</f>
        <v>138</v>
      </c>
      <c r="E21" s="165">
        <f>'Published Ratio Reconciliation'!E135</f>
        <v>57.658360027776368</v>
      </c>
      <c r="F21" s="165">
        <f t="shared" ref="F21:F36" si="1">E21</f>
        <v>57.658360027776368</v>
      </c>
      <c r="G21" s="165">
        <f>365*AVERAGE(DGKC!C51,DGKC!D51)</f>
        <v>2135423.375</v>
      </c>
      <c r="H21" s="165">
        <f>-DGKC!D85</f>
        <v>37035.798000000003</v>
      </c>
      <c r="I21" s="165" t="s">
        <v>5779</v>
      </c>
      <c r="J21" s="165">
        <f>D21*(-DGKC!D85)/365</f>
        <v>14002.575682191782</v>
      </c>
      <c r="K21" s="176" t="s">
        <v>5780</v>
      </c>
      <c r="L21" s="165">
        <f>'Forensic Tests'!G59</f>
        <v>4785394.1849999996</v>
      </c>
      <c r="M21" s="165">
        <f>'Forensic Tests'!H59</f>
        <v>37035.798000000003</v>
      </c>
      <c r="N21" s="165">
        <f>'Forensic Tests'!I59</f>
        <v>129.20996558518866</v>
      </c>
      <c r="O21" s="151" t="str">
        <f>'Forensic Tests'!N59</f>
        <v>No fit</v>
      </c>
      <c r="P21" s="151" t="s">
        <v>5707</v>
      </c>
      <c r="Q21" s="174" t="s">
        <v>5781</v>
      </c>
      <c r="R21" s="174" t="s">
        <v>5782</v>
      </c>
      <c r="S21" s="174" t="s">
        <v>5783</v>
      </c>
      <c r="T21" s="151">
        <v>51</v>
      </c>
      <c r="U21" s="151" t="s">
        <v>5784</v>
      </c>
    </row>
    <row r="22" spans="1:21" ht="210" customHeight="1" x14ac:dyDescent="0.3">
      <c r="A22" s="154" t="s">
        <v>5785</v>
      </c>
      <c r="B22" s="154" t="s">
        <v>5786</v>
      </c>
      <c r="C22" s="154" t="s">
        <v>5778</v>
      </c>
      <c r="D22" s="164">
        <f>'Published Ratio Reconciliation'!D136</f>
        <v>92</v>
      </c>
      <c r="E22" s="164">
        <f>'Published Ratio Reconciliation'!E136</f>
        <v>43.106668082030595</v>
      </c>
      <c r="F22" s="164">
        <f t="shared" si="1"/>
        <v>43.106668082030595</v>
      </c>
      <c r="G22" s="164">
        <f>365*AVERAGE(DGKC!D51,DGKC!E51)</f>
        <v>2052547.7524999999</v>
      </c>
      <c r="H22" s="164">
        <f>-DGKC!E85</f>
        <v>47615.550999999999</v>
      </c>
      <c r="I22" s="164" t="s">
        <v>5779</v>
      </c>
      <c r="J22" s="164">
        <f>D22*(-DGKC!E85)/365</f>
        <v>12001.72792328767</v>
      </c>
      <c r="K22" s="175" t="s">
        <v>5780</v>
      </c>
      <c r="L22" s="164">
        <f>'Forensic Tests'!G110</f>
        <v>5021461.95</v>
      </c>
      <c r="M22" s="164">
        <f>'Forensic Tests'!H110</f>
        <v>47615.550999999999</v>
      </c>
      <c r="N22" s="164">
        <f>'Forensic Tests'!I110</f>
        <v>105.45844465813281</v>
      </c>
      <c r="O22" s="154" t="str">
        <f>'Forensic Tests'!N110</f>
        <v>No fit</v>
      </c>
      <c r="P22" s="154" t="s">
        <v>5707</v>
      </c>
      <c r="Q22" s="173" t="s">
        <v>5787</v>
      </c>
      <c r="R22" s="173" t="s">
        <v>5782</v>
      </c>
      <c r="S22" s="173" t="s">
        <v>5783</v>
      </c>
      <c r="T22" s="154">
        <v>51</v>
      </c>
      <c r="U22" s="154" t="s">
        <v>5788</v>
      </c>
    </row>
    <row r="23" spans="1:21" ht="210" customHeight="1" x14ac:dyDescent="0.3">
      <c r="A23" s="151" t="s">
        <v>5789</v>
      </c>
      <c r="B23" s="151" t="s">
        <v>5790</v>
      </c>
      <c r="C23" s="151" t="s">
        <v>5778</v>
      </c>
      <c r="D23" s="165">
        <f>'Published Ratio Reconciliation'!D138</f>
        <v>76</v>
      </c>
      <c r="E23" s="165">
        <f>'Published Ratio Reconciliation'!E138</f>
        <v>38.06068085872657</v>
      </c>
      <c r="F23" s="165">
        <f t="shared" si="1"/>
        <v>38.06068085872657</v>
      </c>
      <c r="G23" s="165">
        <f>365*AVERAGE(DGKC!F51,DGKC!G51)</f>
        <v>2112764.7225000001</v>
      </c>
      <c r="H23" s="165">
        <f>-DGKC!G85</f>
        <v>55510.428999999996</v>
      </c>
      <c r="I23" s="165" t="s">
        <v>5779</v>
      </c>
      <c r="J23" s="165">
        <f>D23*(-DGKC!G85)/365</f>
        <v>11558.335901369861</v>
      </c>
      <c r="K23" s="176" t="s">
        <v>5780</v>
      </c>
      <c r="L23" s="165">
        <f>'Forensic Tests'!G161</f>
        <v>4777440.1050000004</v>
      </c>
      <c r="M23" s="165">
        <f>'Forensic Tests'!H161</f>
        <v>55510.428999999996</v>
      </c>
      <c r="N23" s="165">
        <f>'Forensic Tests'!I161</f>
        <v>86.063829645416732</v>
      </c>
      <c r="O23" s="151" t="str">
        <f>'Forensic Tests'!N161</f>
        <v>No fit</v>
      </c>
      <c r="P23" s="151" t="s">
        <v>5707</v>
      </c>
      <c r="Q23" s="174" t="s">
        <v>5791</v>
      </c>
      <c r="R23" s="174" t="s">
        <v>5782</v>
      </c>
      <c r="S23" s="174" t="s">
        <v>5783</v>
      </c>
      <c r="T23" s="151">
        <v>51</v>
      </c>
      <c r="U23" s="151" t="s">
        <v>5792</v>
      </c>
    </row>
    <row r="24" spans="1:21" ht="210" customHeight="1" x14ac:dyDescent="0.3">
      <c r="A24" s="154" t="s">
        <v>5793</v>
      </c>
      <c r="B24" s="154" t="s">
        <v>5794</v>
      </c>
      <c r="C24" s="154" t="s">
        <v>5778</v>
      </c>
      <c r="D24" s="164">
        <f>'Published Ratio Reconciliation'!D139</f>
        <v>83</v>
      </c>
      <c r="E24" s="164">
        <f>'Published Ratio Reconciliation'!E139</f>
        <v>30.584254931231971</v>
      </c>
      <c r="F24" s="164">
        <f t="shared" si="1"/>
        <v>30.584254931231971</v>
      </c>
      <c r="G24" s="164">
        <f>365*AVERAGE(DGKC!G51,DGKC!H51)</f>
        <v>1632806.6949999998</v>
      </c>
      <c r="H24" s="164">
        <f>-DGKC!H85</f>
        <v>53387.165999999997</v>
      </c>
      <c r="I24" s="164" t="s">
        <v>5779</v>
      </c>
      <c r="J24" s="164">
        <f>D24*(-DGKC!H85)/365</f>
        <v>12140.09528219178</v>
      </c>
      <c r="K24" s="175" t="s">
        <v>5780</v>
      </c>
      <c r="L24" s="164">
        <f>'Forensic Tests'!G212</f>
        <v>4695342.2974999994</v>
      </c>
      <c r="M24" s="164">
        <f>'Forensic Tests'!H212</f>
        <v>53387.165999999997</v>
      </c>
      <c r="N24" s="164">
        <f>'Forensic Tests'!I212</f>
        <v>87.948895760827611</v>
      </c>
      <c r="O24" s="154" t="str">
        <f>'Forensic Tests'!N212</f>
        <v>No fit</v>
      </c>
      <c r="P24" s="154" t="s">
        <v>5707</v>
      </c>
      <c r="Q24" s="173" t="s">
        <v>5795</v>
      </c>
      <c r="R24" s="173" t="s">
        <v>5782</v>
      </c>
      <c r="S24" s="173" t="s">
        <v>5783</v>
      </c>
      <c r="T24" s="154">
        <v>51</v>
      </c>
      <c r="U24" s="154" t="s">
        <v>5796</v>
      </c>
    </row>
    <row r="25" spans="1:21" ht="210" customHeight="1" x14ac:dyDescent="0.3">
      <c r="A25" s="151" t="s">
        <v>5797</v>
      </c>
      <c r="B25" s="151" t="s">
        <v>5798</v>
      </c>
      <c r="C25" s="151" t="s">
        <v>5799</v>
      </c>
      <c r="D25" s="165">
        <f>'Published Ratio Reconciliation'!D190</f>
        <v>25.99</v>
      </c>
      <c r="E25" s="165">
        <f>'Published Ratio Reconciliation'!E190</f>
        <v>143.11726813096334</v>
      </c>
      <c r="F25" s="165">
        <f t="shared" si="1"/>
        <v>143.11726813096334</v>
      </c>
      <c r="G25" s="165">
        <f>365*AVERAGE(MLCF!C65,MLCF!D65)</f>
        <v>4026664.3050000006</v>
      </c>
      <c r="H25" s="165">
        <f>-MLCF!D85</f>
        <v>28135.419000000002</v>
      </c>
      <c r="I25" s="165" t="s">
        <v>5800</v>
      </c>
      <c r="J25" s="165">
        <f>AVERAGE(MLCF!C31,MLCF!D31)*365/D25</f>
        <v>27593.290784917277</v>
      </c>
      <c r="K25" s="176" t="s">
        <v>5801</v>
      </c>
      <c r="L25" s="165">
        <f>'Forensic Tests'!G253</f>
        <v>717149.62749999994</v>
      </c>
      <c r="M25" s="165">
        <f>'Forensic Tests'!H253</f>
        <v>27591.731000000003</v>
      </c>
      <c r="N25" s="165">
        <f>'Forensic Tests'!I253</f>
        <v>25.991469237649493</v>
      </c>
      <c r="O25" s="151" t="str">
        <f>'Forensic Tests'!N253</f>
        <v>Numeric fit</v>
      </c>
      <c r="P25" s="151" t="s">
        <v>5704</v>
      </c>
      <c r="Q25" s="174" t="s">
        <v>5802</v>
      </c>
      <c r="R25" s="174" t="s">
        <v>5803</v>
      </c>
      <c r="S25" s="174" t="s">
        <v>5765</v>
      </c>
      <c r="T25" s="151">
        <v>4</v>
      </c>
      <c r="U25" s="151" t="s">
        <v>5804</v>
      </c>
    </row>
    <row r="26" spans="1:21" ht="210" customHeight="1" x14ac:dyDescent="0.3">
      <c r="A26" s="154" t="s">
        <v>5805</v>
      </c>
      <c r="B26" s="154" t="s">
        <v>5806</v>
      </c>
      <c r="C26" s="154" t="s">
        <v>5799</v>
      </c>
      <c r="D26" s="164">
        <f>'Published Ratio Reconciliation'!D191</f>
        <v>24.88</v>
      </c>
      <c r="E26" s="164">
        <f>'Published Ratio Reconciliation'!E191</f>
        <v>138.1590454196257</v>
      </c>
      <c r="F26" s="164">
        <f t="shared" si="1"/>
        <v>138.1590454196257</v>
      </c>
      <c r="G26" s="164">
        <f>365*AVERAGE(MLCF!D65,MLCF!E65)</f>
        <v>5007457.9950000001</v>
      </c>
      <c r="H26" s="164">
        <f>-MLCF!E85</f>
        <v>36244.156000000003</v>
      </c>
      <c r="I26" s="164" t="s">
        <v>5800</v>
      </c>
      <c r="J26" s="164">
        <f>AVERAGE(MLCF!D31,MLCF!E31)*365/D26</f>
        <v>35544.985128617365</v>
      </c>
      <c r="K26" s="175" t="s">
        <v>5801</v>
      </c>
      <c r="L26" s="164">
        <f>'Forensic Tests'!G257</f>
        <v>884359.23</v>
      </c>
      <c r="M26" s="164">
        <f>'Forensic Tests'!H257</f>
        <v>35544.492000000006</v>
      </c>
      <c r="N26" s="164">
        <f>'Forensic Tests'!I257</f>
        <v>24.880345174155249</v>
      </c>
      <c r="O26" s="154" t="str">
        <f>'Forensic Tests'!N257</f>
        <v>Numeric fit</v>
      </c>
      <c r="P26" s="154" t="s">
        <v>5704</v>
      </c>
      <c r="Q26" s="173" t="s">
        <v>5807</v>
      </c>
      <c r="R26" s="173" t="s">
        <v>5803</v>
      </c>
      <c r="S26" s="173" t="s">
        <v>5765</v>
      </c>
      <c r="T26" s="154">
        <v>4</v>
      </c>
      <c r="U26" s="154" t="s">
        <v>5808</v>
      </c>
    </row>
    <row r="27" spans="1:21" ht="210" customHeight="1" x14ac:dyDescent="0.3">
      <c r="A27" s="151" t="s">
        <v>5809</v>
      </c>
      <c r="B27" s="151" t="s">
        <v>5810</v>
      </c>
      <c r="C27" s="151" t="s">
        <v>5799</v>
      </c>
      <c r="D27" s="165">
        <f>'Published Ratio Reconciliation'!D193</f>
        <v>28.69</v>
      </c>
      <c r="E27" s="165">
        <f>'Published Ratio Reconciliation'!E193</f>
        <v>117.69043264844159</v>
      </c>
      <c r="F27" s="165">
        <f t="shared" si="1"/>
        <v>117.69043264844159</v>
      </c>
      <c r="G27" s="165">
        <f>365*AVERAGE(MLCF!F65,MLCF!G65)</f>
        <v>5353509.9325000001</v>
      </c>
      <c r="H27" s="165">
        <f>-MLCF!G85</f>
        <v>45488.063999999998</v>
      </c>
      <c r="I27" s="165" t="s">
        <v>5800</v>
      </c>
      <c r="J27" s="165">
        <f>AVERAGE(MLCF!F31,MLCF!G31)*365/D27</f>
        <v>45362.019344719411</v>
      </c>
      <c r="K27" s="176" t="s">
        <v>5801</v>
      </c>
      <c r="L27" s="165">
        <f>'Forensic Tests'!G261</f>
        <v>1305001.9139999999</v>
      </c>
      <c r="M27" s="165">
        <f>'Forensic Tests'!H261</f>
        <v>45488.063999999998</v>
      </c>
      <c r="N27" s="165">
        <f>'Forensic Tests'!I261</f>
        <v>28.688886693441162</v>
      </c>
      <c r="O27" s="151" t="str">
        <f>'Forensic Tests'!N261</f>
        <v>Numeric fit</v>
      </c>
      <c r="P27" s="151" t="s">
        <v>5704</v>
      </c>
      <c r="Q27" s="174" t="s">
        <v>5811</v>
      </c>
      <c r="R27" s="174" t="s">
        <v>5803</v>
      </c>
      <c r="S27" s="174" t="s">
        <v>5765</v>
      </c>
      <c r="T27" s="151">
        <v>4</v>
      </c>
      <c r="U27" s="151" t="s">
        <v>5812</v>
      </c>
    </row>
    <row r="28" spans="1:21" ht="210" customHeight="1" x14ac:dyDescent="0.3">
      <c r="A28" s="154" t="s">
        <v>5813</v>
      </c>
      <c r="B28" s="154" t="s">
        <v>5810</v>
      </c>
      <c r="C28" s="154" t="s">
        <v>5760</v>
      </c>
      <c r="D28" s="164">
        <f>'Published Ratio Reconciliation'!D198</f>
        <v>18.7</v>
      </c>
      <c r="E28" s="164">
        <f>'Published Ratio Reconciliation'!E198</f>
        <v>18.646831335440545</v>
      </c>
      <c r="F28" s="164">
        <f t="shared" si="1"/>
        <v>18.646831335440545</v>
      </c>
      <c r="G28" s="164">
        <f>365*AVERAGE(MLCF!F32,MLCF!G32)</f>
        <v>1239125.7249999999</v>
      </c>
      <c r="H28" s="164">
        <f>MLCF!G84</f>
        <v>66452.347999999998</v>
      </c>
      <c r="I28" s="164" t="s">
        <v>5761</v>
      </c>
      <c r="J28" s="164">
        <f>D28*MLCF!G84/365</f>
        <v>3404.5449523287666</v>
      </c>
      <c r="K28" s="175" t="s">
        <v>5814</v>
      </c>
      <c r="L28" s="164">
        <f>'Forensic Tests'!G264</f>
        <v>1242520.5899999999</v>
      </c>
      <c r="M28" s="164">
        <f>'Forensic Tests'!H264</f>
        <v>66452.347999999998</v>
      </c>
      <c r="N28" s="164">
        <f>'Forensic Tests'!I264</f>
        <v>18.697918544578741</v>
      </c>
      <c r="O28" s="154" t="str">
        <f>'Forensic Tests'!N264</f>
        <v>Numeric fit</v>
      </c>
      <c r="P28" s="154" t="s">
        <v>5704</v>
      </c>
      <c r="Q28" s="173" t="s">
        <v>5811</v>
      </c>
      <c r="R28" s="173" t="s">
        <v>5803</v>
      </c>
      <c r="S28" s="173" t="s">
        <v>5765</v>
      </c>
      <c r="T28" s="154">
        <v>11</v>
      </c>
      <c r="U28" s="154" t="s">
        <v>5815</v>
      </c>
    </row>
    <row r="29" spans="1:21" ht="210" customHeight="1" x14ac:dyDescent="0.3">
      <c r="A29" s="151" t="s">
        <v>5816</v>
      </c>
      <c r="B29" s="151" t="s">
        <v>5798</v>
      </c>
      <c r="C29" s="151" t="s">
        <v>5817</v>
      </c>
      <c r="D29" s="165">
        <f>'Published Ratio Reconciliation'!D200</f>
        <v>48.96</v>
      </c>
      <c r="E29" s="165">
        <f>'Published Ratio Reconciliation'!E200</f>
        <v>50.273995830664546</v>
      </c>
      <c r="F29" s="165">
        <f t="shared" si="1"/>
        <v>50.273995830664546</v>
      </c>
      <c r="G29" s="165">
        <f>365*AVERAGE(MLCF!C51,MLCF!D51)</f>
        <v>1414479.9375000002</v>
      </c>
      <c r="H29" s="165">
        <f>-MLCF!D85</f>
        <v>28135.419000000002</v>
      </c>
      <c r="I29" s="165" t="s">
        <v>5779</v>
      </c>
      <c r="J29" s="165">
        <f>D29*(-MLCF!D85)/365</f>
        <v>3774.0003129863017</v>
      </c>
      <c r="K29" s="176" t="s">
        <v>5818</v>
      </c>
      <c r="L29" s="165">
        <f>'Forensic Tests'!G275</f>
        <v>1350881.79</v>
      </c>
      <c r="M29" s="165">
        <f>'Forensic Tests'!H275</f>
        <v>27591.731000000003</v>
      </c>
      <c r="N29" s="165">
        <f>'Forensic Tests'!I275</f>
        <v>48.95966077662905</v>
      </c>
      <c r="O29" s="151" t="str">
        <f>'Forensic Tests'!N275</f>
        <v>Numeric fit</v>
      </c>
      <c r="P29" s="151" t="s">
        <v>5704</v>
      </c>
      <c r="Q29" s="174" t="s">
        <v>5819</v>
      </c>
      <c r="R29" s="174" t="s">
        <v>5803</v>
      </c>
      <c r="S29" s="174" t="s">
        <v>5765</v>
      </c>
      <c r="T29" s="151">
        <v>4</v>
      </c>
      <c r="U29" s="151" t="s">
        <v>5820</v>
      </c>
    </row>
    <row r="30" spans="1:21" ht="210" customHeight="1" x14ac:dyDescent="0.3">
      <c r="A30" s="154" t="s">
        <v>5821</v>
      </c>
      <c r="B30" s="154" t="s">
        <v>5806</v>
      </c>
      <c r="C30" s="154" t="s">
        <v>5817</v>
      </c>
      <c r="D30" s="164">
        <f>'Published Ratio Reconciliation'!D201</f>
        <v>38.46</v>
      </c>
      <c r="E30" s="164">
        <f>'Published Ratio Reconciliation'!E201</f>
        <v>38.695931214400467</v>
      </c>
      <c r="F30" s="164">
        <f t="shared" si="1"/>
        <v>38.695931214400467</v>
      </c>
      <c r="G30" s="164">
        <f>365*AVERAGE(MLCF!D51,MLCF!E51)</f>
        <v>1402501.3675000002</v>
      </c>
      <c r="H30" s="164">
        <f>-MLCF!E85</f>
        <v>36244.156000000003</v>
      </c>
      <c r="I30" s="164" t="s">
        <v>5779</v>
      </c>
      <c r="J30" s="164">
        <f>D30*(-MLCF!E85)/365</f>
        <v>3819.0417527671234</v>
      </c>
      <c r="K30" s="175" t="s">
        <v>5818</v>
      </c>
      <c r="L30" s="164">
        <f>'Forensic Tests'!G279</f>
        <v>1367129.4</v>
      </c>
      <c r="M30" s="164">
        <f>'Forensic Tests'!H279</f>
        <v>35544.492000000006</v>
      </c>
      <c r="N30" s="164">
        <f>'Forensic Tests'!I279</f>
        <v>38.462482457197581</v>
      </c>
      <c r="O30" s="154" t="str">
        <f>'Forensic Tests'!N279</f>
        <v>Numeric fit</v>
      </c>
      <c r="P30" s="154" t="s">
        <v>5704</v>
      </c>
      <c r="Q30" s="173" t="s">
        <v>5822</v>
      </c>
      <c r="R30" s="173" t="s">
        <v>5803</v>
      </c>
      <c r="S30" s="173" t="s">
        <v>5765</v>
      </c>
      <c r="T30" s="154">
        <v>4</v>
      </c>
      <c r="U30" s="154" t="s">
        <v>5823</v>
      </c>
    </row>
    <row r="31" spans="1:21" ht="210" customHeight="1" x14ac:dyDescent="0.3">
      <c r="A31" s="151" t="s">
        <v>5824</v>
      </c>
      <c r="B31" s="151" t="s">
        <v>5825</v>
      </c>
      <c r="C31" s="151" t="s">
        <v>5826</v>
      </c>
      <c r="D31" s="165">
        <f>'Published Ratio Reconciliation'!D229</f>
        <v>4.84</v>
      </c>
      <c r="E31" s="165">
        <f>'Published Ratio Reconciliation'!E229</f>
        <v>4.8107709914812053</v>
      </c>
      <c r="F31" s="165">
        <f t="shared" si="1"/>
        <v>4.8107709914812053</v>
      </c>
      <c r="G31" s="165">
        <f>FCCL!H108</f>
        <v>27297.651999999987</v>
      </c>
      <c r="H31" s="165">
        <f>FCCL!H106</f>
        <v>5674.2779999999993</v>
      </c>
      <c r="I31" s="165" t="s">
        <v>5827</v>
      </c>
      <c r="J31" s="165">
        <f>FCCL!H108/D31</f>
        <v>5640.0107438016503</v>
      </c>
      <c r="K31" s="176" t="s">
        <v>5828</v>
      </c>
      <c r="L31" s="165">
        <f>'Forensic Tests'!G282</f>
        <v>27297.651999999987</v>
      </c>
      <c r="M31" s="165">
        <f>'Forensic Tests'!H282</f>
        <v>5646.3429999999998</v>
      </c>
      <c r="N31" s="165">
        <f>'Forensic Tests'!I282</f>
        <v>4.8345720406996149</v>
      </c>
      <c r="O31" s="151" t="str">
        <f>'Forensic Tests'!N282</f>
        <v>No fit</v>
      </c>
      <c r="P31" s="151" t="s">
        <v>5707</v>
      </c>
      <c r="Q31" s="174" t="s">
        <v>5829</v>
      </c>
      <c r="R31" s="174" t="s">
        <v>5830</v>
      </c>
      <c r="S31" s="174" t="s">
        <v>5831</v>
      </c>
      <c r="T31" s="151">
        <v>21</v>
      </c>
      <c r="U31" s="151" t="s">
        <v>5832</v>
      </c>
    </row>
    <row r="32" spans="1:21" ht="210" customHeight="1" x14ac:dyDescent="0.3">
      <c r="A32" s="154" t="s">
        <v>5833</v>
      </c>
      <c r="B32" s="154" t="s">
        <v>5834</v>
      </c>
      <c r="C32" s="154" t="s">
        <v>5835</v>
      </c>
      <c r="D32" s="164">
        <f>'Published Ratio Reconciliation'!D240</f>
        <v>7.96</v>
      </c>
      <c r="E32" s="164">
        <f>'Published Ratio Reconciliation'!E240</f>
        <v>9.1421884447870596</v>
      </c>
      <c r="F32" s="164">
        <f t="shared" si="1"/>
        <v>9.1421884447870596</v>
      </c>
      <c r="G32" s="164">
        <f>FCCL!D130</f>
        <v>23</v>
      </c>
      <c r="H32" s="164">
        <f>FCCL!D99/FCCL!D129</f>
        <v>2.5158090033808875</v>
      </c>
      <c r="I32" s="164" t="s">
        <v>5836</v>
      </c>
      <c r="J32" s="164">
        <f>D32*FCCL!D99/'Forensic Inputs'!$G$17</f>
        <v>20.025839666911864</v>
      </c>
      <c r="K32" s="175" t="s">
        <v>5837</v>
      </c>
      <c r="L32" s="164">
        <f>'Forensic Tests'!G304</f>
        <v>23</v>
      </c>
      <c r="M32" s="164">
        <f>'Forensic Tests'!H304</f>
        <v>2.5158090033808875</v>
      </c>
      <c r="N32" s="164">
        <f>'Forensic Tests'!I304</f>
        <v>9.1421884447870596</v>
      </c>
      <c r="O32" s="154" t="str">
        <f>'Forensic Tests'!N304</f>
        <v>No fit</v>
      </c>
      <c r="P32" s="154" t="s">
        <v>5707</v>
      </c>
      <c r="Q32" s="173" t="s">
        <v>5838</v>
      </c>
      <c r="R32" s="173" t="s">
        <v>5839</v>
      </c>
      <c r="S32" s="173" t="s">
        <v>5840</v>
      </c>
      <c r="T32" s="154">
        <v>20</v>
      </c>
      <c r="U32" s="154" t="s">
        <v>5841</v>
      </c>
    </row>
    <row r="33" spans="1:21" ht="210" customHeight="1" x14ac:dyDescent="0.3">
      <c r="A33" s="151" t="s">
        <v>5842</v>
      </c>
      <c r="B33" s="151" t="s">
        <v>5843</v>
      </c>
      <c r="C33" s="151" t="s">
        <v>5835</v>
      </c>
      <c r="D33" s="165">
        <f>'Published Ratio Reconciliation'!D241</f>
        <v>6</v>
      </c>
      <c r="E33" s="165">
        <f>'Published Ratio Reconciliation'!E241</f>
        <v>4.3437335368236942</v>
      </c>
      <c r="F33" s="165">
        <f t="shared" si="1"/>
        <v>4.3437335368236942</v>
      </c>
      <c r="G33" s="165">
        <f>FCCL!E130</f>
        <v>14.17</v>
      </c>
      <c r="H33" s="165">
        <f>FCCL!E99/FCCL!E129</f>
        <v>3.2621706372812294</v>
      </c>
      <c r="I33" s="165" t="s">
        <v>5836</v>
      </c>
      <c r="J33" s="165">
        <f>D33*FCCL!E99/'Forensic Inputs'!$G$18</f>
        <v>18.132370018087656</v>
      </c>
      <c r="K33" s="176" t="s">
        <v>5837</v>
      </c>
      <c r="L33" s="165">
        <f>'Forensic Tests'!G324</f>
        <v>14.17</v>
      </c>
      <c r="M33" s="165">
        <f>'Forensic Tests'!H324</f>
        <v>3.0220616696812757</v>
      </c>
      <c r="N33" s="165">
        <f>'Forensic Tests'!I324</f>
        <v>4.6888520317636173</v>
      </c>
      <c r="O33" s="151" t="str">
        <f>'Forensic Tests'!N324</f>
        <v>No fit</v>
      </c>
      <c r="P33" s="151" t="s">
        <v>5707</v>
      </c>
      <c r="Q33" s="174" t="s">
        <v>5844</v>
      </c>
      <c r="R33" s="174" t="s">
        <v>5839</v>
      </c>
      <c r="S33" s="174" t="s">
        <v>5840</v>
      </c>
      <c r="T33" s="151">
        <v>20</v>
      </c>
      <c r="U33" s="151" t="s">
        <v>5845</v>
      </c>
    </row>
    <row r="34" spans="1:21" ht="210" customHeight="1" x14ac:dyDescent="0.3">
      <c r="A34" s="154" t="s">
        <v>5846</v>
      </c>
      <c r="B34" s="154" t="s">
        <v>5847</v>
      </c>
      <c r="C34" s="154" t="s">
        <v>5835</v>
      </c>
      <c r="D34" s="164">
        <f>'Published Ratio Reconciliation'!D242</f>
        <v>3.92</v>
      </c>
      <c r="E34" s="164">
        <f>'Published Ratio Reconciliation'!E242</f>
        <v>3.877247932539039</v>
      </c>
      <c r="F34" s="164">
        <f t="shared" si="1"/>
        <v>3.877247932539039</v>
      </c>
      <c r="G34" s="164">
        <f>FCCL!F130</f>
        <v>11.76</v>
      </c>
      <c r="H34" s="164">
        <f>FCCL!F99/FCCL!F129</f>
        <v>3.0330791851886794</v>
      </c>
      <c r="I34" s="164" t="s">
        <v>5836</v>
      </c>
      <c r="J34" s="164">
        <f>D34*FCCL!F99/'Forensic Inputs'!$G$19</f>
        <v>12.391360211154362</v>
      </c>
      <c r="K34" s="175" t="s">
        <v>5837</v>
      </c>
      <c r="L34" s="164">
        <f>'Forensic Tests'!G344</f>
        <v>11.76</v>
      </c>
      <c r="M34" s="164">
        <f>'Forensic Tests'!H344</f>
        <v>3.1610612783557048</v>
      </c>
      <c r="N34" s="164">
        <f>'Forensic Tests'!I344</f>
        <v>3.7202695438151143</v>
      </c>
      <c r="O34" s="154" t="str">
        <f>'Forensic Tests'!N344</f>
        <v>No fit</v>
      </c>
      <c r="P34" s="154" t="s">
        <v>5707</v>
      </c>
      <c r="Q34" s="173" t="s">
        <v>5848</v>
      </c>
      <c r="R34" s="173" t="s">
        <v>5839</v>
      </c>
      <c r="S34" s="173" t="s">
        <v>5840</v>
      </c>
      <c r="T34" s="154">
        <v>20</v>
      </c>
      <c r="U34" s="154" t="s">
        <v>5849</v>
      </c>
    </row>
    <row r="35" spans="1:21" ht="210" customHeight="1" x14ac:dyDescent="0.3">
      <c r="A35" s="151" t="s">
        <v>5850</v>
      </c>
      <c r="B35" s="151" t="s">
        <v>5851</v>
      </c>
      <c r="C35" s="151" t="s">
        <v>5835</v>
      </c>
      <c r="D35" s="165">
        <f>'Published Ratio Reconciliation'!D243</f>
        <v>5.26</v>
      </c>
      <c r="E35" s="165">
        <f>'Published Ratio Reconciliation'!E243</f>
        <v>6.8337507059367812</v>
      </c>
      <c r="F35" s="165">
        <f t="shared" si="1"/>
        <v>6.8337507059367812</v>
      </c>
      <c r="G35" s="165">
        <f>FCCL!G130</f>
        <v>22.91</v>
      </c>
      <c r="H35" s="165">
        <f>FCCL!G99/FCCL!G129</f>
        <v>3.3524781610919856</v>
      </c>
      <c r="I35" s="165" t="s">
        <v>5836</v>
      </c>
      <c r="J35" s="165">
        <f>D35*FCCL!G99/'Forensic Inputs'!$G$20</f>
        <v>17.634035127343843</v>
      </c>
      <c r="K35" s="176" t="s">
        <v>5837</v>
      </c>
      <c r="L35" s="165">
        <f>'Forensic Tests'!G364</f>
        <v>22.91</v>
      </c>
      <c r="M35" s="165">
        <f>'Forensic Tests'!H364</f>
        <v>3.3524781610919856</v>
      </c>
      <c r="N35" s="165">
        <f>'Forensic Tests'!I364</f>
        <v>6.8337507059367812</v>
      </c>
      <c r="O35" s="151" t="str">
        <f>'Forensic Tests'!N364</f>
        <v>No fit</v>
      </c>
      <c r="P35" s="151" t="s">
        <v>5707</v>
      </c>
      <c r="Q35" s="174" t="s">
        <v>5852</v>
      </c>
      <c r="R35" s="174" t="s">
        <v>5839</v>
      </c>
      <c r="S35" s="174" t="s">
        <v>5840</v>
      </c>
      <c r="T35" s="151">
        <v>20</v>
      </c>
      <c r="U35" s="151" t="s">
        <v>5853</v>
      </c>
    </row>
    <row r="36" spans="1:21" ht="210" customHeight="1" x14ac:dyDescent="0.3">
      <c r="A36" s="154" t="s">
        <v>5854</v>
      </c>
      <c r="B36" s="154" t="s">
        <v>5825</v>
      </c>
      <c r="C36" s="154" t="s">
        <v>5835</v>
      </c>
      <c r="D36" s="164">
        <f>'Published Ratio Reconciliation'!D244</f>
        <v>6.69</v>
      </c>
      <c r="E36" s="164">
        <f>'Published Ratio Reconciliation'!E244</f>
        <v>8.2220482242427426</v>
      </c>
      <c r="F36" s="164">
        <f t="shared" si="1"/>
        <v>8.2220482242427426</v>
      </c>
      <c r="G36" s="164">
        <f>FCCL!H130</f>
        <v>44.67</v>
      </c>
      <c r="H36" s="164">
        <f>FCCL!H99/FCCL!H129</f>
        <v>5.4329528095311241</v>
      </c>
      <c r="I36" s="164" t="s">
        <v>5836</v>
      </c>
      <c r="J36" s="164">
        <f>D36*FCCL!H99/'Forensic Inputs'!$G$21</f>
        <v>36.346454295763223</v>
      </c>
      <c r="K36" s="175" t="s">
        <v>5837</v>
      </c>
      <c r="L36" s="164">
        <f>'Forensic Tests'!G384</f>
        <v>44.67</v>
      </c>
      <c r="M36" s="164">
        <f>'Forensic Tests'!H384</f>
        <v>5.4329528095311241</v>
      </c>
      <c r="N36" s="164">
        <f>'Forensic Tests'!I384</f>
        <v>8.2220482242427426</v>
      </c>
      <c r="O36" s="154" t="str">
        <f>'Forensic Tests'!N384</f>
        <v>No fit</v>
      </c>
      <c r="P36" s="154" t="s">
        <v>5707</v>
      </c>
      <c r="Q36" s="173" t="s">
        <v>5852</v>
      </c>
      <c r="R36" s="173" t="s">
        <v>5839</v>
      </c>
      <c r="S36" s="173" t="s">
        <v>5840</v>
      </c>
      <c r="T36" s="154">
        <v>20</v>
      </c>
      <c r="U36" s="154" t="s">
        <v>5855</v>
      </c>
    </row>
    <row r="37" spans="1:21" ht="210" customHeight="1" x14ac:dyDescent="0.3">
      <c r="A37" s="151" t="s">
        <v>5856</v>
      </c>
      <c r="B37" s="151" t="s">
        <v>5751</v>
      </c>
      <c r="C37" s="151" t="s">
        <v>5857</v>
      </c>
      <c r="D37" s="165">
        <f>'Published Ratio Reconciliation'!D288</f>
        <v>9.06</v>
      </c>
      <c r="E37" s="165">
        <f>'Published Ratio Reconciliation'!E288</f>
        <v>45.274272678614977</v>
      </c>
      <c r="F37" s="165">
        <f>E37/5</f>
        <v>9.0548545357229955</v>
      </c>
      <c r="G37" s="165">
        <f>KOHC!G99</f>
        <v>8893.4547870000024</v>
      </c>
      <c r="H37" s="165">
        <f>KOHC!G129</f>
        <v>196.435067</v>
      </c>
      <c r="I37" s="165" t="s">
        <v>5770</v>
      </c>
      <c r="J37" s="165">
        <f>KOHC!G99/D37</f>
        <v>981.61752615894056</v>
      </c>
      <c r="K37" s="176" t="s">
        <v>5858</v>
      </c>
      <c r="L37" s="165">
        <f>'Forensic Tests'!G405</f>
        <v>8893.4547870000024</v>
      </c>
      <c r="M37" s="165">
        <f>'Forensic Tests'!H405</f>
        <v>982.11470399999996</v>
      </c>
      <c r="N37" s="165">
        <f>'Forensic Tests'!I405</f>
        <v>9.0554135385391827</v>
      </c>
      <c r="O37" s="151" t="str">
        <f>'Forensic Tests'!N405</f>
        <v>Numeric fit</v>
      </c>
      <c r="P37" s="151" t="s">
        <v>5702</v>
      </c>
      <c r="Q37" s="174" t="s">
        <v>5859</v>
      </c>
      <c r="R37" s="174" t="s">
        <v>5860</v>
      </c>
      <c r="S37" s="174" t="s">
        <v>5861</v>
      </c>
      <c r="T37" s="151">
        <v>5</v>
      </c>
      <c r="U37" s="151" t="s">
        <v>5862</v>
      </c>
    </row>
    <row r="38" spans="1:21" ht="210" customHeight="1" x14ac:dyDescent="0.3">
      <c r="A38" s="154" t="s">
        <v>5863</v>
      </c>
      <c r="B38" s="154" t="s">
        <v>5864</v>
      </c>
      <c r="C38" s="154" t="s">
        <v>5865</v>
      </c>
      <c r="D38" s="164">
        <f>'Published Ratio Reconciliation'!D340</f>
        <v>0.12379999999999999</v>
      </c>
      <c r="E38" s="164">
        <f>'Published Ratio Reconciliation'!E340</f>
        <v>0.13249756211762712</v>
      </c>
      <c r="F38" s="164">
        <f t="shared" ref="F38:F76" si="2">E38</f>
        <v>0.13249756211762712</v>
      </c>
      <c r="G38" s="164">
        <f>LUCK!D99</f>
        <v>14070.189000000004</v>
      </c>
      <c r="H38" s="164">
        <f>AVERAGE(LUCK!C41,LUCK!D41)</f>
        <v>106192.0595</v>
      </c>
      <c r="I38" s="164" t="s">
        <v>5866</v>
      </c>
      <c r="J38" s="164">
        <f>D38*LUCK!D41</f>
        <v>14014.1919404</v>
      </c>
      <c r="K38" s="175" t="s">
        <v>5867</v>
      </c>
      <c r="L38" s="164">
        <f>'Forensic Tests'!G410</f>
        <v>14016.397000000001</v>
      </c>
      <c r="M38" s="164">
        <f>'Forensic Tests'!H410</f>
        <v>113200.258</v>
      </c>
      <c r="N38" s="164">
        <f>'Forensic Tests'!I410</f>
        <v>0.1238194792806921</v>
      </c>
      <c r="O38" s="154" t="str">
        <f>'Forensic Tests'!N410</f>
        <v>Numeric fit</v>
      </c>
      <c r="P38" s="154" t="s">
        <v>5704</v>
      </c>
      <c r="Q38" s="173" t="s">
        <v>5868</v>
      </c>
      <c r="R38" s="173" t="s">
        <v>5869</v>
      </c>
      <c r="S38" s="173" t="s">
        <v>5765</v>
      </c>
      <c r="T38" s="154">
        <v>6</v>
      </c>
      <c r="U38" s="154" t="s">
        <v>5870</v>
      </c>
    </row>
    <row r="39" spans="1:21" ht="210" customHeight="1" x14ac:dyDescent="0.3">
      <c r="A39" s="151" t="s">
        <v>5871</v>
      </c>
      <c r="B39" s="151" t="s">
        <v>5872</v>
      </c>
      <c r="C39" s="151" t="s">
        <v>5865</v>
      </c>
      <c r="D39" s="165">
        <f>'Published Ratio Reconciliation'!D341</f>
        <v>0.1193</v>
      </c>
      <c r="E39" s="165">
        <f>'Published Ratio Reconciliation'!E341</f>
        <v>0.12657053998488341</v>
      </c>
      <c r="F39" s="165">
        <f t="shared" si="2"/>
        <v>0.12657053998488341</v>
      </c>
      <c r="G39" s="165">
        <f>LUCK!E99</f>
        <v>15298.617999999993</v>
      </c>
      <c r="H39" s="165">
        <f>AVERAGE(LUCK!D41,LUCK!E41)</f>
        <v>120870.291</v>
      </c>
      <c r="I39" s="165" t="s">
        <v>5866</v>
      </c>
      <c r="J39" s="165">
        <f>D39*LUCK!E41</f>
        <v>15334.860653199999</v>
      </c>
      <c r="K39" s="176" t="s">
        <v>5867</v>
      </c>
      <c r="L39" s="165">
        <f>'Forensic Tests'!G416</f>
        <v>15340.066000000001</v>
      </c>
      <c r="M39" s="165">
        <f>'Forensic Tests'!H416</f>
        <v>128540.32399999999</v>
      </c>
      <c r="N39" s="165">
        <f>'Forensic Tests'!I416</f>
        <v>0.11934049582759727</v>
      </c>
      <c r="O39" s="151" t="str">
        <f>'Forensic Tests'!N416</f>
        <v>Numeric fit</v>
      </c>
      <c r="P39" s="151" t="s">
        <v>5704</v>
      </c>
      <c r="Q39" s="174" t="s">
        <v>5873</v>
      </c>
      <c r="R39" s="174" t="s">
        <v>5869</v>
      </c>
      <c r="S39" s="174" t="s">
        <v>5765</v>
      </c>
      <c r="T39" s="151">
        <v>6</v>
      </c>
      <c r="U39" s="151" t="s">
        <v>5874</v>
      </c>
    </row>
    <row r="40" spans="1:21" ht="210" customHeight="1" x14ac:dyDescent="0.3">
      <c r="A40" s="154" t="s">
        <v>5875</v>
      </c>
      <c r="B40" s="154" t="s">
        <v>5768</v>
      </c>
      <c r="C40" s="154" t="s">
        <v>5865</v>
      </c>
      <c r="D40" s="164">
        <f>'Published Ratio Reconciliation'!D342</f>
        <v>0.1018</v>
      </c>
      <c r="E40" s="164">
        <f>'Published Ratio Reconciliation'!E342</f>
        <v>0.10323783929435384</v>
      </c>
      <c r="F40" s="164">
        <f t="shared" si="2"/>
        <v>0.10323783929435384</v>
      </c>
      <c r="G40" s="164">
        <f>LUCK!F99</f>
        <v>13725.813999999998</v>
      </c>
      <c r="H40" s="164">
        <f>AVERAGE(LUCK!E41,LUCK!F41)</f>
        <v>132953.32500000001</v>
      </c>
      <c r="I40" s="164" t="s">
        <v>5866</v>
      </c>
      <c r="J40" s="164">
        <f>D40*LUCK!F41</f>
        <v>13983.891986800001</v>
      </c>
      <c r="K40" s="175" t="s">
        <v>5867</v>
      </c>
      <c r="L40" s="164">
        <f>'Forensic Tests'!G422</f>
        <v>13983.656000000001</v>
      </c>
      <c r="M40" s="164">
        <f>'Forensic Tests'!H422</f>
        <v>137366.326</v>
      </c>
      <c r="N40" s="164">
        <f>'Forensic Tests'!I422</f>
        <v>0.10179828206222827</v>
      </c>
      <c r="O40" s="154" t="str">
        <f>'Forensic Tests'!N422</f>
        <v>Numeric fit</v>
      </c>
      <c r="P40" s="154" t="s">
        <v>5704</v>
      </c>
      <c r="Q40" s="173" t="s">
        <v>5876</v>
      </c>
      <c r="R40" s="173" t="s">
        <v>5869</v>
      </c>
      <c r="S40" s="173" t="s">
        <v>5765</v>
      </c>
      <c r="T40" s="154">
        <v>6</v>
      </c>
      <c r="U40" s="154" t="s">
        <v>5877</v>
      </c>
    </row>
    <row r="41" spans="1:21" ht="210" customHeight="1" x14ac:dyDescent="0.3">
      <c r="A41" s="151" t="s">
        <v>5878</v>
      </c>
      <c r="B41" s="151" t="s">
        <v>5879</v>
      </c>
      <c r="C41" s="151" t="s">
        <v>5865</v>
      </c>
      <c r="D41" s="165">
        <f>'Published Ratio Reconciliation'!D343</f>
        <v>0.1893</v>
      </c>
      <c r="E41" s="165">
        <f>'Published Ratio Reconciliation'!E343</f>
        <v>0.19715059997190104</v>
      </c>
      <c r="F41" s="165">
        <f t="shared" si="2"/>
        <v>0.19715059997190104</v>
      </c>
      <c r="G41" s="165">
        <f>LUCK!G99</f>
        <v>28106.539000000004</v>
      </c>
      <c r="H41" s="165">
        <f>AVERAGE(LUCK!F41,LUCK!G41)</f>
        <v>142563.8015</v>
      </c>
      <c r="I41" s="165" t="s">
        <v>5866</v>
      </c>
      <c r="J41" s="165">
        <f>D41*LUCK!G41</f>
        <v>27971.209736100001</v>
      </c>
      <c r="K41" s="176" t="s">
        <v>5867</v>
      </c>
      <c r="L41" s="165">
        <f>'Forensic Tests'!G428</f>
        <v>27971.737000000001</v>
      </c>
      <c r="M41" s="165">
        <f>'Forensic Tests'!H428</f>
        <v>147761.277</v>
      </c>
      <c r="N41" s="165">
        <f>'Forensic Tests'!I428</f>
        <v>0.18930356834964279</v>
      </c>
      <c r="O41" s="151" t="str">
        <f>'Forensic Tests'!N428</f>
        <v>Numeric fit</v>
      </c>
      <c r="P41" s="151" t="s">
        <v>5704</v>
      </c>
      <c r="Q41" s="174" t="s">
        <v>5880</v>
      </c>
      <c r="R41" s="174" t="s">
        <v>5869</v>
      </c>
      <c r="S41" s="174" t="s">
        <v>5765</v>
      </c>
      <c r="T41" s="151">
        <v>6</v>
      </c>
      <c r="U41" s="151" t="s">
        <v>5881</v>
      </c>
    </row>
    <row r="42" spans="1:21" ht="210" customHeight="1" x14ac:dyDescent="0.3">
      <c r="A42" s="154" t="s">
        <v>5882</v>
      </c>
      <c r="B42" s="154" t="s">
        <v>5759</v>
      </c>
      <c r="C42" s="154" t="s">
        <v>5865</v>
      </c>
      <c r="D42" s="164">
        <f>'Published Ratio Reconciliation'!D344</f>
        <v>0.185</v>
      </c>
      <c r="E42" s="164">
        <f>'Published Ratio Reconciliation'!E344</f>
        <v>0.2044798130421526</v>
      </c>
      <c r="F42" s="164">
        <f t="shared" si="2"/>
        <v>0.2044798130421526</v>
      </c>
      <c r="G42" s="164">
        <f>LUCK!H99</f>
        <v>33092.162000000004</v>
      </c>
      <c r="H42" s="164">
        <f>AVERAGE(LUCK!G41,LUCK!H41)</f>
        <v>161835.83850000001</v>
      </c>
      <c r="I42" s="164" t="s">
        <v>5866</v>
      </c>
      <c r="J42" s="164">
        <f>D42*LUCK!H41</f>
        <v>32543.423999999999</v>
      </c>
      <c r="K42" s="175" t="s">
        <v>5867</v>
      </c>
      <c r="L42" s="164">
        <f>'Forensic Tests'!G434</f>
        <v>32544.123</v>
      </c>
      <c r="M42" s="164">
        <f>'Forensic Tests'!H434</f>
        <v>175910.39999999999</v>
      </c>
      <c r="N42" s="164">
        <f>'Forensic Tests'!I434</f>
        <v>0.18500397361383977</v>
      </c>
      <c r="O42" s="154" t="str">
        <f>'Forensic Tests'!N434</f>
        <v>Numeric fit</v>
      </c>
      <c r="P42" s="154" t="s">
        <v>5704</v>
      </c>
      <c r="Q42" s="173" t="s">
        <v>5883</v>
      </c>
      <c r="R42" s="173" t="s">
        <v>5869</v>
      </c>
      <c r="S42" s="173" t="s">
        <v>5765</v>
      </c>
      <c r="T42" s="154">
        <v>6</v>
      </c>
      <c r="U42" s="154" t="s">
        <v>5884</v>
      </c>
    </row>
    <row r="43" spans="1:21" ht="210" customHeight="1" x14ac:dyDescent="0.3">
      <c r="A43" s="151" t="s">
        <v>5885</v>
      </c>
      <c r="B43" s="151" t="s">
        <v>5768</v>
      </c>
      <c r="C43" s="151" t="s">
        <v>5886</v>
      </c>
      <c r="D43" s="165">
        <f>'Published Ratio Reconciliation'!D362</f>
        <v>0.42409999999999998</v>
      </c>
      <c r="E43" s="165">
        <f>'Published Ratio Reconciliation'!E362</f>
        <v>0.41800668433944982</v>
      </c>
      <c r="F43" s="165">
        <f t="shared" si="2"/>
        <v>0.41800668433944982</v>
      </c>
      <c r="G43" s="165">
        <f>LUCK!F131</f>
        <v>18</v>
      </c>
      <c r="H43" s="165">
        <f>LUCK!F99/LUCK!F129</f>
        <v>43.061512349842658</v>
      </c>
      <c r="I43" s="165" t="s">
        <v>5887</v>
      </c>
      <c r="J43" s="165">
        <f>LUCK!F131/D43</f>
        <v>42.442820089601511</v>
      </c>
      <c r="K43" s="176" t="s">
        <v>5888</v>
      </c>
      <c r="L43" s="165">
        <f>'Forensic Tests'!G440</f>
        <v>18</v>
      </c>
      <c r="M43" s="165">
        <f>'Forensic Tests'!H440</f>
        <v>42.445501352918434</v>
      </c>
      <c r="N43" s="165">
        <f>'Forensic Tests'!I440</f>
        <v>0.42407320979287644</v>
      </c>
      <c r="O43" s="151" t="str">
        <f>'Forensic Tests'!N440</f>
        <v>Numeric fit</v>
      </c>
      <c r="P43" s="151" t="s">
        <v>5704</v>
      </c>
      <c r="Q43" s="174" t="s">
        <v>5772</v>
      </c>
      <c r="R43" s="174" t="s">
        <v>5889</v>
      </c>
      <c r="S43" s="174" t="s">
        <v>5890</v>
      </c>
      <c r="T43" s="151">
        <v>6</v>
      </c>
      <c r="U43" s="151" t="s">
        <v>5891</v>
      </c>
    </row>
    <row r="44" spans="1:21" ht="210" customHeight="1" x14ac:dyDescent="0.3">
      <c r="A44" s="154" t="s">
        <v>5892</v>
      </c>
      <c r="B44" s="154" t="s">
        <v>5879</v>
      </c>
      <c r="C44" s="154" t="s">
        <v>5886</v>
      </c>
      <c r="D44" s="164">
        <f>'Published Ratio Reconciliation'!D363</f>
        <v>0.15870000000000001</v>
      </c>
      <c r="E44" s="164">
        <f>'Published Ratio Reconciliation'!E363</f>
        <v>0.15866201100035829</v>
      </c>
      <c r="F44" s="164">
        <f t="shared" si="2"/>
        <v>0.15866201100035829</v>
      </c>
      <c r="G44" s="164">
        <f>LUCK!G131</f>
        <v>15</v>
      </c>
      <c r="H44" s="164">
        <f>LUCK!G99/LUCK!G129</f>
        <v>94.540589177116431</v>
      </c>
      <c r="I44" s="164" t="s">
        <v>5887</v>
      </c>
      <c r="J44" s="164">
        <f>LUCK!G131/D44</f>
        <v>94.517958412098295</v>
      </c>
      <c r="K44" s="175" t="s">
        <v>5893</v>
      </c>
      <c r="L44" s="164">
        <f>'Forensic Tests'!G443</f>
        <v>15</v>
      </c>
      <c r="M44" s="164">
        <f>'Forensic Tests'!H443</f>
        <v>94.540589177116431</v>
      </c>
      <c r="N44" s="164">
        <f>'Forensic Tests'!I443</f>
        <v>0.15866201100035829</v>
      </c>
      <c r="O44" s="154" t="str">
        <f>'Forensic Tests'!N443</f>
        <v>Numeric fit</v>
      </c>
      <c r="P44" s="154" t="s">
        <v>5709</v>
      </c>
      <c r="Q44" s="173" t="s">
        <v>5894</v>
      </c>
      <c r="R44" s="173" t="s">
        <v>5895</v>
      </c>
      <c r="S44" s="173" t="s">
        <v>5765</v>
      </c>
      <c r="T44" s="154">
        <v>3</v>
      </c>
      <c r="U44" s="154" t="s">
        <v>5896</v>
      </c>
    </row>
    <row r="45" spans="1:21" ht="210" customHeight="1" x14ac:dyDescent="0.3">
      <c r="A45" s="151" t="s">
        <v>5897</v>
      </c>
      <c r="B45" s="151" t="s">
        <v>5777</v>
      </c>
      <c r="C45" s="151" t="s">
        <v>5898</v>
      </c>
      <c r="D45" s="165">
        <f>'Published Ratio Reconciliation'!D365</f>
        <v>0.33</v>
      </c>
      <c r="E45" s="165">
        <f>'Published Ratio Reconciliation'!E365</f>
        <v>2.0011480184397672E-2</v>
      </c>
      <c r="F45" s="165">
        <f t="shared" si="2"/>
        <v>2.0011480184397672E-2</v>
      </c>
      <c r="G45" s="165">
        <f>DGKC!D34</f>
        <v>806.37300000000005</v>
      </c>
      <c r="H45" s="165">
        <f>DGKC!D61</f>
        <v>40295.519999999997</v>
      </c>
      <c r="I45" s="165" t="s">
        <v>5899</v>
      </c>
      <c r="J45" s="165">
        <f>D45*DGKC!D61</f>
        <v>13297.5216</v>
      </c>
      <c r="K45" s="176" t="s">
        <v>5900</v>
      </c>
      <c r="L45" s="165">
        <f>'Forensic Tests'!G447</f>
        <v>13753.159</v>
      </c>
      <c r="M45" s="165">
        <f>'Forensic Tests'!H447</f>
        <v>40295.519999999997</v>
      </c>
      <c r="N45" s="165">
        <f>'Forensic Tests'!I447</f>
        <v>0.34130739595865744</v>
      </c>
      <c r="O45" s="151" t="str">
        <f>'Forensic Tests'!N447</f>
        <v>No fit</v>
      </c>
      <c r="P45" s="151" t="s">
        <v>5707</v>
      </c>
      <c r="Q45" s="174" t="s">
        <v>5901</v>
      </c>
      <c r="R45" s="174" t="s">
        <v>5902</v>
      </c>
      <c r="S45" s="174" t="s">
        <v>5903</v>
      </c>
      <c r="T45" s="151">
        <v>5</v>
      </c>
      <c r="U45" s="151" t="s">
        <v>5904</v>
      </c>
    </row>
    <row r="46" spans="1:21" ht="210" customHeight="1" x14ac:dyDescent="0.3">
      <c r="A46" s="154" t="s">
        <v>5905</v>
      </c>
      <c r="B46" s="154" t="s">
        <v>5777</v>
      </c>
      <c r="C46" s="154" t="s">
        <v>5906</v>
      </c>
      <c r="D46" s="164">
        <f>'Published Ratio Reconciliation'!D370</f>
        <v>30</v>
      </c>
      <c r="E46" s="164">
        <f>'Published Ratio Reconciliation'!E370</f>
        <v>97.327557952605858</v>
      </c>
      <c r="F46" s="164">
        <f t="shared" si="2"/>
        <v>97.327557952605858</v>
      </c>
      <c r="G46" s="164">
        <f>365*AVERAGE(DGKC!C65,DGKC!D65)/(-DGKC!D85)+365*AVERAGE(DGKC!C32,DGKC!D32)/DGKC!D84-365*AVERAGE(DGKC!C51,DGKC!D51)/(-DGKC!D85)</f>
        <v>97.327557952605858</v>
      </c>
      <c r="H46" s="164">
        <f>1</f>
        <v>1</v>
      </c>
      <c r="I46" s="164" t="s">
        <v>5907</v>
      </c>
      <c r="J46" s="164">
        <f>365*AVERAGE(DGKC!C65,DGKC!D65)/(-DGKC!D85)+365*AVERAGE(DGKC!C32,DGKC!D32)/DGKC!D84-D46</f>
        <v>124.98591798038223</v>
      </c>
      <c r="K46" s="175" t="s">
        <v>5908</v>
      </c>
      <c r="L46" s="164">
        <f>'Forensic Tests'!G453</f>
        <v>30</v>
      </c>
      <c r="M46" s="164">
        <f>'Forensic Tests'!H453</f>
        <v>1</v>
      </c>
      <c r="N46" s="164">
        <f>'Forensic Tests'!I453</f>
        <v>30</v>
      </c>
      <c r="O46" s="154" t="str">
        <f>'Forensic Tests'!N453</f>
        <v>Numeric fit</v>
      </c>
      <c r="P46" s="154" t="s">
        <v>5711</v>
      </c>
      <c r="Q46" s="173" t="s">
        <v>5909</v>
      </c>
      <c r="R46" s="173" t="s">
        <v>5910</v>
      </c>
      <c r="S46" s="173" t="s">
        <v>5911</v>
      </c>
      <c r="T46" s="154">
        <v>3</v>
      </c>
      <c r="U46" s="154" t="s">
        <v>5912</v>
      </c>
    </row>
    <row r="47" spans="1:21" ht="210" customHeight="1" x14ac:dyDescent="0.3">
      <c r="A47" s="151" t="s">
        <v>5913</v>
      </c>
      <c r="B47" s="151" t="s">
        <v>5786</v>
      </c>
      <c r="C47" s="151" t="s">
        <v>5906</v>
      </c>
      <c r="D47" s="165">
        <f>'Published Ratio Reconciliation'!D371</f>
        <v>92</v>
      </c>
      <c r="E47" s="165">
        <f>'Published Ratio Reconciliation'!E371</f>
        <v>113.97054065366662</v>
      </c>
      <c r="F47" s="165">
        <f t="shared" si="2"/>
        <v>113.97054065366662</v>
      </c>
      <c r="G47" s="165">
        <f>365*AVERAGE(DGKC!D65,DGKC!E65)/(-DGKC!E85)+365*AVERAGE(DGKC!D32,DGKC!E32)/DGKC!E84-365*AVERAGE(DGKC!D51,DGKC!E51)/(-DGKC!E85)</f>
        <v>113.97054065366662</v>
      </c>
      <c r="H47" s="165">
        <f>1</f>
        <v>1</v>
      </c>
      <c r="I47" s="165" t="s">
        <v>5907</v>
      </c>
      <c r="J47" s="165">
        <f>365*AVERAGE(DGKC!D65,DGKC!E65)/(-DGKC!E85)+365*AVERAGE(DGKC!D32,DGKC!E32)/DGKC!E84-D47</f>
        <v>65.077208735697212</v>
      </c>
      <c r="K47" s="176" t="s">
        <v>5908</v>
      </c>
      <c r="L47" s="165">
        <f>'Forensic Tests'!G456</f>
        <v>92</v>
      </c>
      <c r="M47" s="165">
        <f>'Forensic Tests'!H456</f>
        <v>1</v>
      </c>
      <c r="N47" s="165">
        <f>'Forensic Tests'!I456</f>
        <v>92</v>
      </c>
      <c r="O47" s="151" t="str">
        <f>'Forensic Tests'!N456</f>
        <v>Numeric fit</v>
      </c>
      <c r="P47" s="151" t="s">
        <v>5711</v>
      </c>
      <c r="Q47" s="174" t="s">
        <v>5914</v>
      </c>
      <c r="R47" s="174" t="s">
        <v>5910</v>
      </c>
      <c r="S47" s="174" t="s">
        <v>5911</v>
      </c>
      <c r="T47" s="151">
        <v>3</v>
      </c>
      <c r="U47" s="151" t="s">
        <v>5915</v>
      </c>
    </row>
    <row r="48" spans="1:21" ht="210" customHeight="1" x14ac:dyDescent="0.3">
      <c r="A48" s="154" t="s">
        <v>5916</v>
      </c>
      <c r="B48" s="154" t="s">
        <v>5790</v>
      </c>
      <c r="C48" s="154" t="s">
        <v>5906</v>
      </c>
      <c r="D48" s="164">
        <f>'Published Ratio Reconciliation'!D373</f>
        <v>61</v>
      </c>
      <c r="E48" s="164">
        <f>'Published Ratio Reconciliation'!E373</f>
        <v>108.89985368796259</v>
      </c>
      <c r="F48" s="164">
        <f t="shared" si="2"/>
        <v>108.89985368796259</v>
      </c>
      <c r="G48" s="164">
        <f>365*AVERAGE(DGKC!F65,DGKC!G65)/(-DGKC!G85)+365*AVERAGE(DGKC!F32,DGKC!G32)/DGKC!G84-365*AVERAGE(DGKC!F51,DGKC!G51)/(-DGKC!G85)</f>
        <v>108.89985368796259</v>
      </c>
      <c r="H48" s="164">
        <f>1</f>
        <v>1</v>
      </c>
      <c r="I48" s="164" t="s">
        <v>5907</v>
      </c>
      <c r="J48" s="164">
        <f>365*AVERAGE(DGKC!F65,DGKC!G65)/(-DGKC!G85)+365*AVERAGE(DGKC!F32,DGKC!G32)/DGKC!G84-D48</f>
        <v>85.960534546689161</v>
      </c>
      <c r="K48" s="175" t="s">
        <v>5908</v>
      </c>
      <c r="L48" s="164">
        <f>'Forensic Tests'!G459</f>
        <v>62</v>
      </c>
      <c r="M48" s="164">
        <f>'Forensic Tests'!H459</f>
        <v>1</v>
      </c>
      <c r="N48" s="164">
        <f>'Forensic Tests'!I459</f>
        <v>62</v>
      </c>
      <c r="O48" s="154" t="str">
        <f>'Forensic Tests'!N459</f>
        <v>No fit</v>
      </c>
      <c r="P48" s="154" t="s">
        <v>5711</v>
      </c>
      <c r="Q48" s="173" t="s">
        <v>5917</v>
      </c>
      <c r="R48" s="173" t="s">
        <v>5910</v>
      </c>
      <c r="S48" s="173" t="s">
        <v>5911</v>
      </c>
      <c r="T48" s="154">
        <v>3</v>
      </c>
      <c r="U48" s="154" t="s">
        <v>5918</v>
      </c>
    </row>
    <row r="49" spans="1:21" ht="210" customHeight="1" x14ac:dyDescent="0.3">
      <c r="A49" s="151" t="s">
        <v>5919</v>
      </c>
      <c r="B49" s="151" t="s">
        <v>5794</v>
      </c>
      <c r="C49" s="151" t="s">
        <v>5906</v>
      </c>
      <c r="D49" s="165">
        <f>'Published Ratio Reconciliation'!D374</f>
        <v>64</v>
      </c>
      <c r="E49" s="165">
        <f>'Published Ratio Reconciliation'!E374</f>
        <v>114.67287204684449</v>
      </c>
      <c r="F49" s="165">
        <f t="shared" si="2"/>
        <v>114.67287204684449</v>
      </c>
      <c r="G49" s="165">
        <f>365*AVERAGE(DGKC!G65,DGKC!H65)/(-DGKC!H85)+365*AVERAGE(DGKC!G32,DGKC!H32)/DGKC!H84-365*AVERAGE(DGKC!G51,DGKC!H51)/(-DGKC!H85)</f>
        <v>114.67287204684449</v>
      </c>
      <c r="H49" s="165">
        <f>1</f>
        <v>1</v>
      </c>
      <c r="I49" s="165" t="s">
        <v>5907</v>
      </c>
      <c r="J49" s="165">
        <f>365*AVERAGE(DGKC!G65,DGKC!H65)/(-DGKC!H85)+365*AVERAGE(DGKC!G32,DGKC!H32)/DGKC!H84-D49</f>
        <v>81.257126978076457</v>
      </c>
      <c r="K49" s="176" t="s">
        <v>5908</v>
      </c>
      <c r="L49" s="165">
        <f>'Forensic Tests'!G462</f>
        <v>65</v>
      </c>
      <c r="M49" s="165">
        <f>'Forensic Tests'!H462</f>
        <v>1</v>
      </c>
      <c r="N49" s="165">
        <f>'Forensic Tests'!I462</f>
        <v>65</v>
      </c>
      <c r="O49" s="151" t="str">
        <f>'Forensic Tests'!N462</f>
        <v>No fit</v>
      </c>
      <c r="P49" s="151" t="s">
        <v>5711</v>
      </c>
      <c r="Q49" s="174" t="s">
        <v>5920</v>
      </c>
      <c r="R49" s="174" t="s">
        <v>5910</v>
      </c>
      <c r="S49" s="174" t="s">
        <v>5911</v>
      </c>
      <c r="T49" s="151">
        <v>3</v>
      </c>
      <c r="U49" s="151" t="s">
        <v>5921</v>
      </c>
    </row>
    <row r="50" spans="1:21" ht="210" customHeight="1" x14ac:dyDescent="0.3">
      <c r="A50" s="154" t="s">
        <v>5922</v>
      </c>
      <c r="B50" s="154" t="s">
        <v>5798</v>
      </c>
      <c r="C50" s="154" t="s">
        <v>5923</v>
      </c>
      <c r="D50" s="164">
        <f>'Published Ratio Reconciliation'!D405</f>
        <v>14.04</v>
      </c>
      <c r="E50" s="164">
        <f>'Published Ratio Reconciliation'!E405</f>
        <v>2.5503561154199565</v>
      </c>
      <c r="F50" s="164">
        <f t="shared" si="2"/>
        <v>2.5503561154199565</v>
      </c>
      <c r="G50" s="164">
        <f>-MLCF!D85</f>
        <v>28135.419000000002</v>
      </c>
      <c r="H50" s="164">
        <f>AVERAGE(MLCF!C65,MLCF!D65)</f>
        <v>11031.957000000002</v>
      </c>
      <c r="I50" s="164" t="s">
        <v>5924</v>
      </c>
      <c r="J50" s="164">
        <f>D50*AVERAGE(MLCF!C31,MLCF!D31)</f>
        <v>27585.700739999997</v>
      </c>
      <c r="K50" s="175" t="s">
        <v>5925</v>
      </c>
      <c r="L50" s="164">
        <f>'Forensic Tests'!G465</f>
        <v>27591.731000000003</v>
      </c>
      <c r="M50" s="164">
        <f>'Forensic Tests'!H465</f>
        <v>1964.7935</v>
      </c>
      <c r="N50" s="164">
        <f>'Forensic Tests'!I465</f>
        <v>14.043069157140435</v>
      </c>
      <c r="O50" s="154" t="str">
        <f>'Forensic Tests'!N465</f>
        <v>Numeric fit</v>
      </c>
      <c r="P50" s="154" t="s">
        <v>5704</v>
      </c>
      <c r="Q50" s="173" t="s">
        <v>5926</v>
      </c>
      <c r="R50" s="173" t="s">
        <v>5803</v>
      </c>
      <c r="S50" s="173" t="s">
        <v>5765</v>
      </c>
      <c r="T50" s="154">
        <v>4</v>
      </c>
      <c r="U50" s="154" t="s">
        <v>5927</v>
      </c>
    </row>
    <row r="51" spans="1:21" ht="210" customHeight="1" x14ac:dyDescent="0.3">
      <c r="A51" s="151" t="s">
        <v>5928</v>
      </c>
      <c r="B51" s="151" t="s">
        <v>5806</v>
      </c>
      <c r="C51" s="151" t="s">
        <v>5923</v>
      </c>
      <c r="D51" s="165">
        <f>'Published Ratio Reconciliation'!D406</f>
        <v>14.67</v>
      </c>
      <c r="E51" s="165">
        <f>'Published Ratio Reconciliation'!E406</f>
        <v>2.6418827583195736</v>
      </c>
      <c r="F51" s="165">
        <f t="shared" si="2"/>
        <v>2.6418827583195736</v>
      </c>
      <c r="G51" s="165">
        <f>-MLCF!E85</f>
        <v>36244.156000000003</v>
      </c>
      <c r="H51" s="165">
        <f>AVERAGE(MLCF!D65,MLCF!E65)</f>
        <v>13719.063</v>
      </c>
      <c r="I51" s="165" t="s">
        <v>5924</v>
      </c>
      <c r="J51" s="165">
        <f>D51*AVERAGE(MLCF!D31,MLCF!E31)</f>
        <v>35543.97234</v>
      </c>
      <c r="K51" s="176" t="s">
        <v>5925</v>
      </c>
      <c r="L51" s="165">
        <f>'Forensic Tests'!G469</f>
        <v>35544.492000000006</v>
      </c>
      <c r="M51" s="165">
        <f>'Forensic Tests'!H469</f>
        <v>2422.902</v>
      </c>
      <c r="N51" s="165">
        <f>'Forensic Tests'!I469</f>
        <v>14.670214478340439</v>
      </c>
      <c r="O51" s="151" t="str">
        <f>'Forensic Tests'!N469</f>
        <v>Numeric fit</v>
      </c>
      <c r="P51" s="151" t="s">
        <v>5704</v>
      </c>
      <c r="Q51" s="174" t="s">
        <v>5929</v>
      </c>
      <c r="R51" s="174" t="s">
        <v>5803</v>
      </c>
      <c r="S51" s="174" t="s">
        <v>5765</v>
      </c>
      <c r="T51" s="151">
        <v>4</v>
      </c>
      <c r="U51" s="151" t="s">
        <v>5930</v>
      </c>
    </row>
    <row r="52" spans="1:21" ht="210" customHeight="1" x14ac:dyDescent="0.3">
      <c r="A52" s="154" t="s">
        <v>5931</v>
      </c>
      <c r="B52" s="154" t="s">
        <v>5798</v>
      </c>
      <c r="C52" s="154" t="s">
        <v>5932</v>
      </c>
      <c r="D52" s="164">
        <f>'Published Ratio Reconciliation'!D415</f>
        <v>7.46</v>
      </c>
      <c r="E52" s="164">
        <f>'Published Ratio Reconciliation'!E415</f>
        <v>7.2602146292371854</v>
      </c>
      <c r="F52" s="164">
        <f t="shared" si="2"/>
        <v>7.2602146292371854</v>
      </c>
      <c r="G52" s="164">
        <f>-MLCF!D85</f>
        <v>28135.419000000002</v>
      </c>
      <c r="H52" s="164">
        <f>AVERAGE(MLCF!C51,MLCF!D51)</f>
        <v>3875.2875000000004</v>
      </c>
      <c r="I52" s="164" t="s">
        <v>5933</v>
      </c>
      <c r="J52" s="164">
        <f>D52*AVERAGE(MLCF!C51-MLCF!C253,MLCF!D51-MLCF!D253)</f>
        <v>27609.803160000003</v>
      </c>
      <c r="K52" s="175" t="s">
        <v>5934</v>
      </c>
      <c r="L52" s="164">
        <f>'Forensic Tests'!G473</f>
        <v>27591.731000000003</v>
      </c>
      <c r="M52" s="164">
        <f>'Forensic Tests'!H473</f>
        <v>3701.0460000000003</v>
      </c>
      <c r="N52" s="164">
        <f>'Forensic Tests'!I473</f>
        <v>7.4551170128660926</v>
      </c>
      <c r="O52" s="154" t="str">
        <f>'Forensic Tests'!N473</f>
        <v>Numeric fit</v>
      </c>
      <c r="P52" s="154" t="s">
        <v>5704</v>
      </c>
      <c r="Q52" s="173" t="s">
        <v>5935</v>
      </c>
      <c r="R52" s="173" t="s">
        <v>5803</v>
      </c>
      <c r="S52" s="173" t="s">
        <v>5765</v>
      </c>
      <c r="T52" s="154">
        <v>3</v>
      </c>
      <c r="U52" s="154" t="s">
        <v>5936</v>
      </c>
    </row>
    <row r="53" spans="1:21" ht="210" customHeight="1" x14ac:dyDescent="0.3">
      <c r="A53" s="151" t="s">
        <v>5937</v>
      </c>
      <c r="B53" s="151" t="s">
        <v>5806</v>
      </c>
      <c r="C53" s="151" t="s">
        <v>5932</v>
      </c>
      <c r="D53" s="165">
        <f>'Published Ratio Reconciliation'!D416</f>
        <v>9.49</v>
      </c>
      <c r="E53" s="165">
        <f>'Published Ratio Reconciliation'!E416</f>
        <v>9.4325162502916413</v>
      </c>
      <c r="F53" s="165">
        <f t="shared" si="2"/>
        <v>9.4325162502916413</v>
      </c>
      <c r="G53" s="165">
        <f>-MLCF!E85</f>
        <v>36244.156000000003</v>
      </c>
      <c r="H53" s="165">
        <f>AVERAGE(MLCF!D51,MLCF!E51)</f>
        <v>3842.4695000000002</v>
      </c>
      <c r="I53" s="165" t="s">
        <v>5933</v>
      </c>
      <c r="J53" s="165">
        <f>D53*AVERAGE(MLCF!D51-MLCF!D253,MLCF!E51-MLCF!E253)</f>
        <v>35545.364399999999</v>
      </c>
      <c r="K53" s="176" t="s">
        <v>5934</v>
      </c>
      <c r="L53" s="165">
        <f>'Forensic Tests'!G476</f>
        <v>35544.492000000006</v>
      </c>
      <c r="M53" s="165">
        <f>'Forensic Tests'!H476</f>
        <v>3745.56</v>
      </c>
      <c r="N53" s="165">
        <f>'Forensic Tests'!I476</f>
        <v>9.4897670842277275</v>
      </c>
      <c r="O53" s="151" t="str">
        <f>'Forensic Tests'!N476</f>
        <v>Numeric fit</v>
      </c>
      <c r="P53" s="151" t="s">
        <v>5704</v>
      </c>
      <c r="Q53" s="174" t="s">
        <v>5938</v>
      </c>
      <c r="R53" s="174" t="s">
        <v>5803</v>
      </c>
      <c r="S53" s="174" t="s">
        <v>5765</v>
      </c>
      <c r="T53" s="151">
        <v>3</v>
      </c>
      <c r="U53" s="151" t="s">
        <v>5939</v>
      </c>
    </row>
    <row r="54" spans="1:21" ht="210" customHeight="1" x14ac:dyDescent="0.3">
      <c r="A54" s="154" t="s">
        <v>5940</v>
      </c>
      <c r="B54" s="154" t="s">
        <v>5798</v>
      </c>
      <c r="C54" s="154" t="s">
        <v>5906</v>
      </c>
      <c r="D54" s="164">
        <f>'Published Ratio Reconciliation'!D420</f>
        <v>1.33</v>
      </c>
      <c r="E54" s="164">
        <f>'Published Ratio Reconciliation'!E420</f>
        <v>117.14268112684906</v>
      </c>
      <c r="F54" s="164">
        <f t="shared" si="2"/>
        <v>117.14268112684906</v>
      </c>
      <c r="G54" s="164">
        <f>365*AVERAGE(MLCF!C65,MLCF!D65)/(-MLCF!D85)+365*AVERAGE(MLCF!C32,MLCF!D32)/MLCF!D84-365*AVERAGE(MLCF!C51,MLCF!D51)/(-MLCF!D85)</f>
        <v>117.14268112684906</v>
      </c>
      <c r="H54" s="164">
        <f>1</f>
        <v>1</v>
      </c>
      <c r="I54" s="164" t="s">
        <v>5907</v>
      </c>
      <c r="J54" s="164">
        <f>365*AVERAGE(MLCF!C65,MLCF!D65)/(-MLCF!D85)+365*AVERAGE(MLCF!C32,MLCF!D32)/MLCF!D84-D54</f>
        <v>166.08667695751359</v>
      </c>
      <c r="K54" s="175" t="s">
        <v>5941</v>
      </c>
      <c r="L54" s="164">
        <f>'Forensic Tests'!G478</f>
        <v>1.3312172875707091</v>
      </c>
      <c r="M54" s="164">
        <f>'Forensic Tests'!H478</f>
        <v>1</v>
      </c>
      <c r="N54" s="164">
        <f>'Forensic Tests'!I478</f>
        <v>1.3312172875707091</v>
      </c>
      <c r="O54" s="154" t="str">
        <f>'Forensic Tests'!N478</f>
        <v>Numeric fit</v>
      </c>
      <c r="P54" s="154" t="s">
        <v>5704</v>
      </c>
      <c r="Q54" s="173" t="s">
        <v>5942</v>
      </c>
      <c r="R54" s="173" t="s">
        <v>5803</v>
      </c>
      <c r="S54" s="173" t="s">
        <v>5765</v>
      </c>
      <c r="T54" s="154">
        <v>4</v>
      </c>
      <c r="U54" s="154" t="s">
        <v>5943</v>
      </c>
    </row>
    <row r="55" spans="1:21" ht="210" customHeight="1" x14ac:dyDescent="0.3">
      <c r="A55" s="151" t="s">
        <v>5944</v>
      </c>
      <c r="B55" s="151" t="s">
        <v>5806</v>
      </c>
      <c r="C55" s="151" t="s">
        <v>5906</v>
      </c>
      <c r="D55" s="165">
        <f>'Published Ratio Reconciliation'!D421</f>
        <v>0.51</v>
      </c>
      <c r="E55" s="165">
        <f>'Published Ratio Reconciliation'!E421</f>
        <v>113.55287092262091</v>
      </c>
      <c r="F55" s="165">
        <f t="shared" si="2"/>
        <v>113.55287092262091</v>
      </c>
      <c r="G55" s="165">
        <f>365*AVERAGE(MLCF!D65,MLCF!E65)/(-MLCF!E85)+365*AVERAGE(MLCF!D32,MLCF!E32)/MLCF!E84-365*AVERAGE(MLCF!D51,MLCF!E51)/(-MLCF!E85)</f>
        <v>113.55287092262091</v>
      </c>
      <c r="H55" s="165">
        <f>1</f>
        <v>1</v>
      </c>
      <c r="I55" s="165" t="s">
        <v>5907</v>
      </c>
      <c r="J55" s="165">
        <f>365*AVERAGE(MLCF!D65,MLCF!E65)/(-MLCF!E85)+365*AVERAGE(MLCF!D32,MLCF!E32)/MLCF!E84-D55</f>
        <v>151.73880213702139</v>
      </c>
      <c r="K55" s="176" t="s">
        <v>5941</v>
      </c>
      <c r="L55" s="165">
        <f>'Forensic Tests'!G482</f>
        <v>0.50761943435336576</v>
      </c>
      <c r="M55" s="165">
        <f>'Forensic Tests'!H482</f>
        <v>1</v>
      </c>
      <c r="N55" s="165">
        <f>'Forensic Tests'!I482</f>
        <v>0.50761943435336576</v>
      </c>
      <c r="O55" s="151" t="str">
        <f>'Forensic Tests'!N482</f>
        <v>Numeric fit</v>
      </c>
      <c r="P55" s="151" t="s">
        <v>5704</v>
      </c>
      <c r="Q55" s="174" t="s">
        <v>5945</v>
      </c>
      <c r="R55" s="174" t="s">
        <v>5803</v>
      </c>
      <c r="S55" s="174" t="s">
        <v>5765</v>
      </c>
      <c r="T55" s="151">
        <v>4</v>
      </c>
      <c r="U55" s="151" t="s">
        <v>5946</v>
      </c>
    </row>
    <row r="56" spans="1:21" ht="210" customHeight="1" x14ac:dyDescent="0.3">
      <c r="A56" s="154" t="s">
        <v>5947</v>
      </c>
      <c r="B56" s="154" t="s">
        <v>5810</v>
      </c>
      <c r="C56" s="154" t="s">
        <v>5906</v>
      </c>
      <c r="D56" s="164">
        <f>'Published Ratio Reconciliation'!D423</f>
        <v>9.76</v>
      </c>
      <c r="E56" s="164">
        <f>'Published Ratio Reconciliation'!E423</f>
        <v>87.900585188319411</v>
      </c>
      <c r="F56" s="164">
        <f t="shared" si="2"/>
        <v>87.900585188319411</v>
      </c>
      <c r="G56" s="164">
        <f>365*AVERAGE(MLCF!F65,MLCF!G65)/(-MLCF!G85)+365*AVERAGE(MLCF!F32,MLCF!G32)/MLCF!G84-365*AVERAGE(MLCF!F51,MLCF!G51)/(-MLCF!G85)</f>
        <v>87.900585188319411</v>
      </c>
      <c r="H56" s="164">
        <f>1</f>
        <v>1</v>
      </c>
      <c r="I56" s="164" t="s">
        <v>5907</v>
      </c>
      <c r="J56" s="164">
        <f>365*AVERAGE(MLCF!F65,MLCF!G65)/(-MLCF!G85)+365*AVERAGE(MLCF!F32,MLCF!G32)/MLCF!G84-D56</f>
        <v>126.57726398388213</v>
      </c>
      <c r="K56" s="175" t="s">
        <v>5941</v>
      </c>
      <c r="L56" s="164">
        <f>'Forensic Tests'!G486</f>
        <v>9.75571766304639</v>
      </c>
      <c r="M56" s="164">
        <f>'Forensic Tests'!H486</f>
        <v>1</v>
      </c>
      <c r="N56" s="164">
        <f>'Forensic Tests'!I486</f>
        <v>9.75571766304639</v>
      </c>
      <c r="O56" s="154" t="str">
        <f>'Forensic Tests'!N486</f>
        <v>Numeric fit</v>
      </c>
      <c r="P56" s="154" t="s">
        <v>5704</v>
      </c>
      <c r="Q56" s="173" t="s">
        <v>5948</v>
      </c>
      <c r="R56" s="173" t="s">
        <v>5803</v>
      </c>
      <c r="S56" s="173" t="s">
        <v>5765</v>
      </c>
      <c r="T56" s="154">
        <v>4</v>
      </c>
      <c r="U56" s="154" t="s">
        <v>5949</v>
      </c>
    </row>
    <row r="57" spans="1:21" ht="210" customHeight="1" x14ac:dyDescent="0.3">
      <c r="A57" s="151" t="s">
        <v>5950</v>
      </c>
      <c r="B57" s="151" t="s">
        <v>5798</v>
      </c>
      <c r="C57" s="151" t="s">
        <v>5951</v>
      </c>
      <c r="D57" s="165">
        <f>'Published Ratio Reconciliation'!D430</f>
        <v>0.22359999999999999</v>
      </c>
      <c r="E57" s="165">
        <f>'Published Ratio Reconciliation'!E430</f>
        <v>0.20830714445240356</v>
      </c>
      <c r="F57" s="165">
        <f t="shared" si="2"/>
        <v>0.20830714445240356</v>
      </c>
      <c r="G57" s="165">
        <f>MLCF!D86</f>
        <v>7402.8819999999978</v>
      </c>
      <c r="H57" s="165">
        <f>MLCF!D84</f>
        <v>35538.300999999999</v>
      </c>
      <c r="I57" s="165" t="s">
        <v>5952</v>
      </c>
      <c r="J57" s="165">
        <f>MLCF!D84*(1-D57)</f>
        <v>27591.936896399999</v>
      </c>
      <c r="K57" s="176" t="s">
        <v>5953</v>
      </c>
      <c r="L57" s="165">
        <f>'Forensic Tests'!G490</f>
        <v>7946.5699999999961</v>
      </c>
      <c r="M57" s="165">
        <f>'Forensic Tests'!H490</f>
        <v>35538.300999999999</v>
      </c>
      <c r="N57" s="165">
        <f>'Forensic Tests'!I490</f>
        <v>0.22360579364781666</v>
      </c>
      <c r="O57" s="151" t="str">
        <f>'Forensic Tests'!N490</f>
        <v>Numeric fit</v>
      </c>
      <c r="P57" s="151" t="s">
        <v>5704</v>
      </c>
      <c r="Q57" s="174" t="s">
        <v>5954</v>
      </c>
      <c r="R57" s="174" t="s">
        <v>5803</v>
      </c>
      <c r="S57" s="174" t="s">
        <v>5765</v>
      </c>
      <c r="T57" s="151">
        <v>2</v>
      </c>
      <c r="U57" s="151" t="s">
        <v>5955</v>
      </c>
    </row>
    <row r="58" spans="1:21" ht="210" customHeight="1" x14ac:dyDescent="0.3">
      <c r="A58" s="154" t="s">
        <v>5956</v>
      </c>
      <c r="B58" s="154" t="s">
        <v>5806</v>
      </c>
      <c r="C58" s="154" t="s">
        <v>5951</v>
      </c>
      <c r="D58" s="164">
        <f>'Published Ratio Reconciliation'!D431</f>
        <v>0.26740000000000003</v>
      </c>
      <c r="E58" s="164">
        <f>'Published Ratio Reconciliation'!E431</f>
        <v>0.25300003367709667</v>
      </c>
      <c r="F58" s="164">
        <f t="shared" si="2"/>
        <v>0.25300003367709667</v>
      </c>
      <c r="G58" s="164">
        <f>MLCF!E86</f>
        <v>12275.466</v>
      </c>
      <c r="H58" s="164">
        <f>MLCF!E84</f>
        <v>48519.622000000003</v>
      </c>
      <c r="I58" s="164" t="s">
        <v>5952</v>
      </c>
      <c r="J58" s="164">
        <f>MLCF!E84*(1-D58)</f>
        <v>35545.475077199997</v>
      </c>
      <c r="K58" s="175" t="s">
        <v>5953</v>
      </c>
      <c r="L58" s="164">
        <f>'Forensic Tests'!G492</f>
        <v>12975.129999999997</v>
      </c>
      <c r="M58" s="164">
        <f>'Forensic Tests'!H492</f>
        <v>48519.622000000003</v>
      </c>
      <c r="N58" s="164">
        <f>'Forensic Tests'!I492</f>
        <v>0.26742026143567227</v>
      </c>
      <c r="O58" s="154" t="str">
        <f>'Forensic Tests'!N492</f>
        <v>Numeric fit</v>
      </c>
      <c r="P58" s="154" t="s">
        <v>5704</v>
      </c>
      <c r="Q58" s="173" t="s">
        <v>5957</v>
      </c>
      <c r="R58" s="173" t="s">
        <v>5803</v>
      </c>
      <c r="S58" s="173" t="s">
        <v>5765</v>
      </c>
      <c r="T58" s="154">
        <v>2</v>
      </c>
      <c r="U58" s="154" t="s">
        <v>5958</v>
      </c>
    </row>
    <row r="59" spans="1:21" ht="210" customHeight="1" x14ac:dyDescent="0.3">
      <c r="A59" s="151" t="s">
        <v>5959</v>
      </c>
      <c r="B59" s="151" t="s">
        <v>5810</v>
      </c>
      <c r="C59" s="151" t="s">
        <v>5960</v>
      </c>
      <c r="D59" s="165">
        <f>'Published Ratio Reconciliation'!D448</f>
        <v>49.69</v>
      </c>
      <c r="E59" s="165">
        <f>'Published Ratio Reconciliation'!E448</f>
        <v>50.226982139301263</v>
      </c>
      <c r="F59" s="165">
        <f t="shared" si="2"/>
        <v>50.226982139301263</v>
      </c>
      <c r="G59" s="165">
        <f>MLCF!G41</f>
        <v>52615.907999999996</v>
      </c>
      <c r="H59" s="165">
        <f>MLCF!G128</f>
        <v>1047.5626</v>
      </c>
      <c r="I59" s="165" t="s">
        <v>5961</v>
      </c>
      <c r="J59" s="165">
        <f>MLCF!G41/D59</f>
        <v>1058.8832360635943</v>
      </c>
      <c r="K59" s="176" t="s">
        <v>5962</v>
      </c>
      <c r="L59" s="165">
        <f>'Forensic Tests'!G494</f>
        <v>52615.907999999996</v>
      </c>
      <c r="M59" s="165">
        <f>'Forensic Tests'!H494</f>
        <v>1058.9110000000001</v>
      </c>
      <c r="N59" s="165">
        <f>'Forensic Tests'!I494</f>
        <v>49.688697161517815</v>
      </c>
      <c r="O59" s="151" t="str">
        <f>'Forensic Tests'!N494</f>
        <v>Numeric fit</v>
      </c>
      <c r="P59" s="151" t="s">
        <v>5704</v>
      </c>
      <c r="Q59" s="174" t="s">
        <v>5963</v>
      </c>
      <c r="R59" s="174" t="s">
        <v>5964</v>
      </c>
      <c r="S59" s="174" t="s">
        <v>5965</v>
      </c>
      <c r="T59" s="151">
        <v>4</v>
      </c>
      <c r="U59" s="151" t="s">
        <v>5966</v>
      </c>
    </row>
    <row r="60" spans="1:21" ht="210" customHeight="1" x14ac:dyDescent="0.3">
      <c r="A60" s="154" t="s">
        <v>5967</v>
      </c>
      <c r="B60" s="154" t="s">
        <v>5847</v>
      </c>
      <c r="C60" s="154" t="s">
        <v>5968</v>
      </c>
      <c r="D60" s="164">
        <f>'Published Ratio Reconciliation'!D492</f>
        <v>18</v>
      </c>
      <c r="E60" s="164">
        <f>'Published Ratio Reconciliation'!E492</f>
        <v>16.046879229606091</v>
      </c>
      <c r="F60" s="164">
        <f t="shared" si="2"/>
        <v>16.046879229606091</v>
      </c>
      <c r="G60" s="164">
        <f>365*AVERAGE(FCCL!E32,FCCL!F32)</f>
        <v>1092299.5474999999</v>
      </c>
      <c r="H60" s="164">
        <f>FCCL!F84</f>
        <v>68069.282000000007</v>
      </c>
      <c r="I60" s="164" t="s">
        <v>5761</v>
      </c>
      <c r="J60" s="164">
        <f>D60*FCCL!F84/365</f>
        <v>3356.8413041095891</v>
      </c>
      <c r="K60" s="175" t="s">
        <v>5969</v>
      </c>
      <c r="L60" s="164">
        <f>'Forensic Tests'!G510</f>
        <v>1305139.99</v>
      </c>
      <c r="M60" s="164">
        <f>'Forensic Tests'!H510</f>
        <v>68069.282000000007</v>
      </c>
      <c r="N60" s="164">
        <f>'Forensic Tests'!I510</f>
        <v>19.173699966454762</v>
      </c>
      <c r="O60" s="154" t="str">
        <f>'Forensic Tests'!N510</f>
        <v>No fit</v>
      </c>
      <c r="P60" s="154" t="s">
        <v>5707</v>
      </c>
      <c r="Q60" s="173" t="s">
        <v>5970</v>
      </c>
      <c r="R60" s="173" t="s">
        <v>5971</v>
      </c>
      <c r="S60" s="173" t="s">
        <v>5972</v>
      </c>
      <c r="T60" s="154">
        <v>17</v>
      </c>
      <c r="U60" s="154" t="s">
        <v>5973</v>
      </c>
    </row>
    <row r="61" spans="1:21" ht="210" customHeight="1" x14ac:dyDescent="0.3">
      <c r="A61" s="151" t="s">
        <v>5974</v>
      </c>
      <c r="B61" s="151" t="s">
        <v>5851</v>
      </c>
      <c r="C61" s="151" t="s">
        <v>5968</v>
      </c>
      <c r="D61" s="165">
        <f>'Published Ratio Reconciliation'!D493</f>
        <v>26</v>
      </c>
      <c r="E61" s="165">
        <f>'Published Ratio Reconciliation'!E493</f>
        <v>20.792904753499183</v>
      </c>
      <c r="F61" s="165">
        <f t="shared" si="2"/>
        <v>20.792904753499183</v>
      </c>
      <c r="G61" s="165">
        <f>365*AVERAGE(FCCL!F32,FCCL!G32)</f>
        <v>1663977.6949999998</v>
      </c>
      <c r="H61" s="165">
        <f>FCCL!G84</f>
        <v>80026.225999999995</v>
      </c>
      <c r="I61" s="165" t="s">
        <v>5761</v>
      </c>
      <c r="J61" s="165">
        <f>D61*FCCL!G84/365</f>
        <v>5700.4982904109584</v>
      </c>
      <c r="K61" s="176" t="s">
        <v>5969</v>
      </c>
      <c r="L61" s="165">
        <f>'Forensic Tests'!G527</f>
        <v>2025210.53</v>
      </c>
      <c r="M61" s="165">
        <f>'Forensic Tests'!H527</f>
        <v>80026.225999999995</v>
      </c>
      <c r="N61" s="165">
        <f>'Forensic Tests'!I527</f>
        <v>25.306835411681167</v>
      </c>
      <c r="O61" s="151" t="str">
        <f>'Forensic Tests'!N527</f>
        <v>No fit</v>
      </c>
      <c r="P61" s="151" t="s">
        <v>5707</v>
      </c>
      <c r="Q61" s="174" t="s">
        <v>5975</v>
      </c>
      <c r="R61" s="174" t="s">
        <v>5971</v>
      </c>
      <c r="S61" s="174" t="s">
        <v>5972</v>
      </c>
      <c r="T61" s="151">
        <v>17</v>
      </c>
      <c r="U61" s="151" t="s">
        <v>5976</v>
      </c>
    </row>
    <row r="62" spans="1:21" ht="210" customHeight="1" x14ac:dyDescent="0.3">
      <c r="A62" s="154" t="s">
        <v>5977</v>
      </c>
      <c r="B62" s="154" t="s">
        <v>5825</v>
      </c>
      <c r="C62" s="154" t="s">
        <v>5968</v>
      </c>
      <c r="D62" s="164">
        <f>'Published Ratio Reconciliation'!D494</f>
        <v>23</v>
      </c>
      <c r="E62" s="164">
        <f>'Published Ratio Reconciliation'!E494</f>
        <v>25.555492212987932</v>
      </c>
      <c r="F62" s="164">
        <f t="shared" si="2"/>
        <v>25.555492212987932</v>
      </c>
      <c r="G62" s="164">
        <f>365*AVERAGE(FCCL!G32,FCCL!H32)</f>
        <v>2273322.7475000001</v>
      </c>
      <c r="H62" s="164">
        <f>FCCL!H84</f>
        <v>88956.327999999994</v>
      </c>
      <c r="I62" s="164" t="s">
        <v>5761</v>
      </c>
      <c r="J62" s="164">
        <f>D62*FCCL!H84/365</f>
        <v>5605.4672438356156</v>
      </c>
      <c r="K62" s="175" t="s">
        <v>5969</v>
      </c>
      <c r="L62" s="164">
        <f>'Forensic Tests'!G544</f>
        <v>2523830.0950000002</v>
      </c>
      <c r="M62" s="164">
        <f>'Forensic Tests'!H544</f>
        <v>88956.327999999994</v>
      </c>
      <c r="N62" s="164">
        <f>'Forensic Tests'!I544</f>
        <v>28.371563347354002</v>
      </c>
      <c r="O62" s="154" t="str">
        <f>'Forensic Tests'!N544</f>
        <v>No fit</v>
      </c>
      <c r="P62" s="154" t="s">
        <v>5707</v>
      </c>
      <c r="Q62" s="173" t="s">
        <v>5978</v>
      </c>
      <c r="R62" s="173" t="s">
        <v>5971</v>
      </c>
      <c r="S62" s="173" t="s">
        <v>5972</v>
      </c>
      <c r="T62" s="154">
        <v>17</v>
      </c>
      <c r="U62" s="154" t="s">
        <v>5979</v>
      </c>
    </row>
    <row r="63" spans="1:21" ht="210" customHeight="1" x14ac:dyDescent="0.3">
      <c r="A63" s="151" t="s">
        <v>5980</v>
      </c>
      <c r="B63" s="151" t="s">
        <v>5834</v>
      </c>
      <c r="C63" s="151" t="s">
        <v>5981</v>
      </c>
      <c r="D63" s="165">
        <f>'Published Ratio Reconciliation'!D495</f>
        <v>15</v>
      </c>
      <c r="E63" s="165">
        <f>'Published Ratio Reconciliation'!E495</f>
        <v>12.205077421282503</v>
      </c>
      <c r="F63" s="165">
        <f t="shared" si="2"/>
        <v>12.205077421282503</v>
      </c>
      <c r="G63" s="165">
        <f>365*AVERAGE(FCCL!C51,FCCL!D51)</f>
        <v>222216.38</v>
      </c>
      <c r="H63" s="165">
        <f>-FCCL!D85</f>
        <v>18206.88</v>
      </c>
      <c r="I63" s="165" t="s">
        <v>5779</v>
      </c>
      <c r="J63" s="165">
        <f>D63*(-FCCL!D85)/365</f>
        <v>748.2279452054795</v>
      </c>
      <c r="K63" s="176" t="s">
        <v>5780</v>
      </c>
      <c r="L63" s="165">
        <f>'Forensic Tests'!G561</f>
        <v>544924.55999999994</v>
      </c>
      <c r="M63" s="165">
        <f>'Forensic Tests'!H561</f>
        <v>18206.88</v>
      </c>
      <c r="N63" s="165">
        <f>'Forensic Tests'!I561</f>
        <v>29.929595845087128</v>
      </c>
      <c r="O63" s="151" t="str">
        <f>'Forensic Tests'!N561</f>
        <v>No fit</v>
      </c>
      <c r="P63" s="151" t="s">
        <v>5707</v>
      </c>
      <c r="Q63" s="174" t="s">
        <v>5982</v>
      </c>
      <c r="R63" s="174" t="s">
        <v>5983</v>
      </c>
      <c r="S63" s="174" t="s">
        <v>5984</v>
      </c>
      <c r="T63" s="151">
        <v>48</v>
      </c>
      <c r="U63" s="151" t="s">
        <v>5985</v>
      </c>
    </row>
    <row r="64" spans="1:21" ht="210" customHeight="1" x14ac:dyDescent="0.3">
      <c r="A64" s="154" t="s">
        <v>5986</v>
      </c>
      <c r="B64" s="154" t="s">
        <v>5843</v>
      </c>
      <c r="C64" s="154" t="s">
        <v>5981</v>
      </c>
      <c r="D64" s="164">
        <f>'Published Ratio Reconciliation'!D496</f>
        <v>17</v>
      </c>
      <c r="E64" s="164">
        <f>'Published Ratio Reconciliation'!E496</f>
        <v>16.688960895928066</v>
      </c>
      <c r="F64" s="164">
        <f t="shared" si="2"/>
        <v>16.688960895928066</v>
      </c>
      <c r="G64" s="164">
        <f>365*AVERAGE(FCCL!D51,FCCL!E51)</f>
        <v>647190.26</v>
      </c>
      <c r="H64" s="164">
        <f>-FCCL!E85</f>
        <v>38779.542000000001</v>
      </c>
      <c r="I64" s="164" t="s">
        <v>5779</v>
      </c>
      <c r="J64" s="164">
        <f>D64*(-FCCL!E85)/365</f>
        <v>1806.1704493150685</v>
      </c>
      <c r="K64" s="175" t="s">
        <v>5893</v>
      </c>
      <c r="L64" s="164">
        <f>'Forensic Tests'!G596</f>
        <v>647190.26</v>
      </c>
      <c r="M64" s="164">
        <f>'Forensic Tests'!H596</f>
        <v>38779.542000000001</v>
      </c>
      <c r="N64" s="164">
        <f>'Forensic Tests'!I596</f>
        <v>16.688960895928066</v>
      </c>
      <c r="O64" s="154" t="str">
        <f>'Forensic Tests'!N596</f>
        <v>Numeric fit</v>
      </c>
      <c r="P64" s="154" t="s">
        <v>5709</v>
      </c>
      <c r="Q64" s="173" t="s">
        <v>5987</v>
      </c>
      <c r="R64" s="173" t="s">
        <v>5895</v>
      </c>
      <c r="S64" s="173" t="s">
        <v>5765</v>
      </c>
      <c r="T64" s="154">
        <v>48</v>
      </c>
      <c r="U64" s="154" t="s">
        <v>5988</v>
      </c>
    </row>
    <row r="65" spans="1:21" ht="210" customHeight="1" x14ac:dyDescent="0.3">
      <c r="A65" s="151" t="s">
        <v>5989</v>
      </c>
      <c r="B65" s="151" t="s">
        <v>5847</v>
      </c>
      <c r="C65" s="151" t="s">
        <v>5981</v>
      </c>
      <c r="D65" s="165">
        <f>'Published Ratio Reconciliation'!D497</f>
        <v>30</v>
      </c>
      <c r="E65" s="165">
        <f>'Published Ratio Reconciliation'!E497</f>
        <v>20.323804785769745</v>
      </c>
      <c r="F65" s="165">
        <f t="shared" si="2"/>
        <v>20.323804785769745</v>
      </c>
      <c r="G65" s="165">
        <f>365*AVERAGE(FCCL!E51,FCCL!F51)</f>
        <v>968445.74</v>
      </c>
      <c r="H65" s="165">
        <f>-FCCL!F85</f>
        <v>47650.809000000001</v>
      </c>
      <c r="I65" s="165" t="s">
        <v>5779</v>
      </c>
      <c r="J65" s="165">
        <f>D65*(-FCCL!F85)/365</f>
        <v>3916.5048493150684</v>
      </c>
      <c r="K65" s="176" t="s">
        <v>5780</v>
      </c>
      <c r="L65" s="165">
        <f>'Forensic Tests'!G657</f>
        <v>2451634.0075000003</v>
      </c>
      <c r="M65" s="165">
        <f>'Forensic Tests'!H657</f>
        <v>47650.809000000001</v>
      </c>
      <c r="N65" s="165">
        <f>'Forensic Tests'!I657</f>
        <v>51.449997575067407</v>
      </c>
      <c r="O65" s="151" t="str">
        <f>'Forensic Tests'!N657</f>
        <v>No fit</v>
      </c>
      <c r="P65" s="151" t="s">
        <v>5707</v>
      </c>
      <c r="Q65" s="174" t="s">
        <v>5990</v>
      </c>
      <c r="R65" s="174" t="s">
        <v>5983</v>
      </c>
      <c r="S65" s="174" t="s">
        <v>5984</v>
      </c>
      <c r="T65" s="151">
        <v>48</v>
      </c>
      <c r="U65" s="151" t="s">
        <v>5991</v>
      </c>
    </row>
    <row r="66" spans="1:21" ht="210" customHeight="1" x14ac:dyDescent="0.3">
      <c r="A66" s="154" t="s">
        <v>5992</v>
      </c>
      <c r="B66" s="154" t="s">
        <v>5851</v>
      </c>
      <c r="C66" s="154" t="s">
        <v>5981</v>
      </c>
      <c r="D66" s="164">
        <f>'Published Ratio Reconciliation'!D498</f>
        <v>36</v>
      </c>
      <c r="E66" s="164">
        <f>'Published Ratio Reconciliation'!E498</f>
        <v>17.96598297778959</v>
      </c>
      <c r="F66" s="164">
        <f t="shared" si="2"/>
        <v>17.96598297778959</v>
      </c>
      <c r="G66" s="164">
        <f>365*AVERAGE(FCCL!F51,FCCL!G51)</f>
        <v>976376.09500000009</v>
      </c>
      <c r="H66" s="164">
        <f>-FCCL!G85</f>
        <v>54345.821000000004</v>
      </c>
      <c r="I66" s="164" t="s">
        <v>5779</v>
      </c>
      <c r="J66" s="164">
        <f>D66*(-FCCL!G85)/365</f>
        <v>5360.1357698630136</v>
      </c>
      <c r="K66" s="175" t="s">
        <v>5780</v>
      </c>
      <c r="L66" s="164">
        <f>'Forensic Tests'!G705</f>
        <v>2304108.4900000002</v>
      </c>
      <c r="M66" s="164">
        <f>'Forensic Tests'!H705</f>
        <v>54345.821000000004</v>
      </c>
      <c r="N66" s="164">
        <f>'Forensic Tests'!I705</f>
        <v>42.397160399876931</v>
      </c>
      <c r="O66" s="154" t="str">
        <f>'Forensic Tests'!N705</f>
        <v>No fit</v>
      </c>
      <c r="P66" s="154" t="s">
        <v>5707</v>
      </c>
      <c r="Q66" s="173" t="s">
        <v>5993</v>
      </c>
      <c r="R66" s="173" t="s">
        <v>5983</v>
      </c>
      <c r="S66" s="173" t="s">
        <v>5984</v>
      </c>
      <c r="T66" s="154">
        <v>48</v>
      </c>
      <c r="U66" s="154" t="s">
        <v>5994</v>
      </c>
    </row>
    <row r="67" spans="1:21" ht="210" customHeight="1" x14ac:dyDescent="0.3">
      <c r="A67" s="151" t="s">
        <v>5995</v>
      </c>
      <c r="B67" s="151" t="s">
        <v>5825</v>
      </c>
      <c r="C67" s="151" t="s">
        <v>5981</v>
      </c>
      <c r="D67" s="165">
        <f>'Published Ratio Reconciliation'!D499</f>
        <v>30</v>
      </c>
      <c r="E67" s="165">
        <f>'Published Ratio Reconciliation'!E499</f>
        <v>15.14066821634052</v>
      </c>
      <c r="F67" s="165">
        <f t="shared" si="2"/>
        <v>15.14066821634052</v>
      </c>
      <c r="G67" s="165">
        <f>365*AVERAGE(FCCL!G51,FCCL!H51)</f>
        <v>868846.91250000009</v>
      </c>
      <c r="H67" s="165">
        <f>-FCCL!H85</f>
        <v>57384.978000000003</v>
      </c>
      <c r="I67" s="165" t="s">
        <v>5779</v>
      </c>
      <c r="J67" s="165">
        <f>D67*(-FCCL!H85)/365</f>
        <v>4716.5735342465759</v>
      </c>
      <c r="K67" s="176" t="s">
        <v>5780</v>
      </c>
      <c r="L67" s="165">
        <f>'Forensic Tests'!G753</f>
        <v>1832901.8849999998</v>
      </c>
      <c r="M67" s="165">
        <f>'Forensic Tests'!H753</f>
        <v>57384.978000000003</v>
      </c>
      <c r="N67" s="165">
        <f>'Forensic Tests'!I753</f>
        <v>31.94044763770755</v>
      </c>
      <c r="O67" s="151" t="str">
        <f>'Forensic Tests'!N753</f>
        <v>No fit</v>
      </c>
      <c r="P67" s="151" t="s">
        <v>5707</v>
      </c>
      <c r="Q67" s="174" t="s">
        <v>5996</v>
      </c>
      <c r="R67" s="174" t="s">
        <v>5983</v>
      </c>
      <c r="S67" s="174" t="s">
        <v>5984</v>
      </c>
      <c r="T67" s="151">
        <v>48</v>
      </c>
      <c r="U67" s="151" t="s">
        <v>5997</v>
      </c>
    </row>
    <row r="68" spans="1:21" ht="210" customHeight="1" x14ac:dyDescent="0.3">
      <c r="A68" s="154" t="s">
        <v>5998</v>
      </c>
      <c r="B68" s="154" t="s">
        <v>5847</v>
      </c>
      <c r="C68" s="154" t="s">
        <v>5999</v>
      </c>
      <c r="D68" s="164">
        <f>'Published Ratio Reconciliation'!D502</f>
        <v>90</v>
      </c>
      <c r="E68" s="164">
        <f>'Published Ratio Reconciliation'!E502</f>
        <v>133.85744190022098</v>
      </c>
      <c r="F68" s="164">
        <f t="shared" si="2"/>
        <v>133.85744190022098</v>
      </c>
      <c r="G68" s="164">
        <f>365*AVERAGE(FCCL!E65,FCCL!F65)/(-FCCL!F85)+365*AVERAGE(FCCL!E32,FCCL!F32)/FCCL!F84</f>
        <v>133.85744190022098</v>
      </c>
      <c r="H68" s="164">
        <f>1</f>
        <v>1</v>
      </c>
      <c r="I68" s="164" t="s">
        <v>6000</v>
      </c>
      <c r="J68" s="164">
        <f>D68-365*AVERAGE(FCCL!E31,FCCL!F31)/(-FCCL!F85)</f>
        <v>48.598105648111876</v>
      </c>
      <c r="K68" s="175" t="s">
        <v>6001</v>
      </c>
      <c r="L68" s="164">
        <f>'Forensic Tests'!G790</f>
        <v>89.401894351888131</v>
      </c>
      <c r="M68" s="164">
        <f>'Forensic Tests'!H790</f>
        <v>1</v>
      </c>
      <c r="N68" s="164">
        <f>'Forensic Tests'!I790</f>
        <v>89.401894351888131</v>
      </c>
      <c r="O68" s="154" t="str">
        <f>'Forensic Tests'!N790</f>
        <v>No fit</v>
      </c>
      <c r="P68" s="154" t="s">
        <v>5707</v>
      </c>
      <c r="Q68" s="173" t="s">
        <v>6002</v>
      </c>
      <c r="R68" s="173" t="s">
        <v>6003</v>
      </c>
      <c r="S68" s="173" t="s">
        <v>6004</v>
      </c>
      <c r="T68" s="154">
        <v>4</v>
      </c>
      <c r="U68" s="154" t="s">
        <v>6005</v>
      </c>
    </row>
    <row r="69" spans="1:21" ht="210" customHeight="1" x14ac:dyDescent="0.3">
      <c r="A69" s="151" t="s">
        <v>6006</v>
      </c>
      <c r="B69" s="151" t="s">
        <v>5843</v>
      </c>
      <c r="C69" s="151" t="s">
        <v>6007</v>
      </c>
      <c r="D69" s="165">
        <f>'Published Ratio Reconciliation'!D506</f>
        <v>0.08</v>
      </c>
      <c r="E69" s="165">
        <f>'Published Ratio Reconciliation'!E506</f>
        <v>0.7342538737719585</v>
      </c>
      <c r="F69" s="165">
        <f t="shared" si="2"/>
        <v>0.7342538737719585</v>
      </c>
      <c r="G69" s="165">
        <f>FCCL!E84</f>
        <v>54243.118000000002</v>
      </c>
      <c r="H69" s="165">
        <f>AVERAGE(FCCL!D37,FCCL!E37)</f>
        <v>73875.15400000001</v>
      </c>
      <c r="I69" s="165" t="s">
        <v>6008</v>
      </c>
      <c r="J69" s="165">
        <f>FCCL!E84/D69</f>
        <v>678038.97499999998</v>
      </c>
      <c r="K69" s="176" t="s">
        <v>6009</v>
      </c>
      <c r="L69" s="165">
        <f>'Forensic Tests'!G793</f>
        <v>54243.118000000002</v>
      </c>
      <c r="M69" s="165">
        <f>'Forensic Tests'!H793</f>
        <v>113698.07700000002</v>
      </c>
      <c r="N69" s="165">
        <f>'Forensic Tests'!I793</f>
        <v>0.4770803467502796</v>
      </c>
      <c r="O69" s="151" t="str">
        <f>'Forensic Tests'!N793</f>
        <v>No fit</v>
      </c>
      <c r="P69" s="151" t="s">
        <v>5702</v>
      </c>
      <c r="Q69" s="174" t="s">
        <v>6010</v>
      </c>
      <c r="R69" s="174" t="s">
        <v>6011</v>
      </c>
      <c r="S69" s="174" t="s">
        <v>6012</v>
      </c>
      <c r="T69" s="151">
        <v>56</v>
      </c>
      <c r="U69" s="151" t="s">
        <v>6013</v>
      </c>
    </row>
    <row r="70" spans="1:21" ht="210" customHeight="1" x14ac:dyDescent="0.3">
      <c r="A70" s="154" t="s">
        <v>6014</v>
      </c>
      <c r="B70" s="154" t="s">
        <v>5847</v>
      </c>
      <c r="C70" s="154" t="s">
        <v>6007</v>
      </c>
      <c r="D70" s="164">
        <f>'Published Ratio Reconciliation'!D507</f>
        <v>7.0000000000000007E-2</v>
      </c>
      <c r="E70" s="164">
        <f>'Published Ratio Reconciliation'!E507</f>
        <v>0.53910589227730144</v>
      </c>
      <c r="F70" s="164">
        <f t="shared" si="2"/>
        <v>0.53910589227730144</v>
      </c>
      <c r="G70" s="164">
        <f>FCCL!F84</f>
        <v>68069.282000000007</v>
      </c>
      <c r="H70" s="164">
        <f>AVERAGE(FCCL!E37,FCCL!F37)</f>
        <v>126263.28700000001</v>
      </c>
      <c r="I70" s="164" t="s">
        <v>6008</v>
      </c>
      <c r="J70" s="164">
        <f>FCCL!F84/D70</f>
        <v>972418.3142857143</v>
      </c>
      <c r="K70" s="175" t="s">
        <v>6009</v>
      </c>
      <c r="L70" s="164">
        <f>'Forensic Tests'!G849</f>
        <v>68069.282000000007</v>
      </c>
      <c r="M70" s="164">
        <f>'Forensic Tests'!H849</f>
        <v>138828.497</v>
      </c>
      <c r="N70" s="164">
        <f>'Forensic Tests'!I849</f>
        <v>0.49031202866080159</v>
      </c>
      <c r="O70" s="154" t="str">
        <f>'Forensic Tests'!N849</f>
        <v>No fit</v>
      </c>
      <c r="P70" s="154" t="s">
        <v>5702</v>
      </c>
      <c r="Q70" s="173" t="s">
        <v>6015</v>
      </c>
      <c r="R70" s="173" t="s">
        <v>6011</v>
      </c>
      <c r="S70" s="173" t="s">
        <v>6012</v>
      </c>
      <c r="T70" s="154">
        <v>56</v>
      </c>
      <c r="U70" s="154" t="s">
        <v>6016</v>
      </c>
    </row>
    <row r="71" spans="1:21" ht="210" customHeight="1" x14ac:dyDescent="0.3">
      <c r="A71" s="151" t="s">
        <v>6017</v>
      </c>
      <c r="B71" s="151" t="s">
        <v>5851</v>
      </c>
      <c r="C71" s="151" t="s">
        <v>6007</v>
      </c>
      <c r="D71" s="165">
        <f>'Published Ratio Reconciliation'!D508</f>
        <v>7.0000000000000007E-2</v>
      </c>
      <c r="E71" s="165">
        <f>'Published Ratio Reconciliation'!E508</f>
        <v>0.55871595475208058</v>
      </c>
      <c r="F71" s="165">
        <f t="shared" si="2"/>
        <v>0.55871595475208058</v>
      </c>
      <c r="G71" s="165">
        <f>FCCL!G84</f>
        <v>80026.225999999995</v>
      </c>
      <c r="H71" s="165">
        <f>AVERAGE(FCCL!F37,FCCL!G37)</f>
        <v>143232.39799999999</v>
      </c>
      <c r="I71" s="165" t="s">
        <v>6008</v>
      </c>
      <c r="J71" s="165">
        <f>FCCL!G84/D71</f>
        <v>1143231.7999999998</v>
      </c>
      <c r="K71" s="176" t="s">
        <v>6009</v>
      </c>
      <c r="L71" s="165">
        <f>'Forensic Tests'!G905</f>
        <v>80026.225999999995</v>
      </c>
      <c r="M71" s="165">
        <f>'Forensic Tests'!H905</f>
        <v>147636.299</v>
      </c>
      <c r="N71" s="165">
        <f>'Forensic Tests'!I905</f>
        <v>0.54204979765850125</v>
      </c>
      <c r="O71" s="151" t="str">
        <f>'Forensic Tests'!N905</f>
        <v>No fit</v>
      </c>
      <c r="P71" s="151" t="s">
        <v>5702</v>
      </c>
      <c r="Q71" s="174" t="s">
        <v>6018</v>
      </c>
      <c r="R71" s="174" t="s">
        <v>6011</v>
      </c>
      <c r="S71" s="174" t="s">
        <v>6012</v>
      </c>
      <c r="T71" s="151">
        <v>56</v>
      </c>
      <c r="U71" s="151" t="s">
        <v>6019</v>
      </c>
    </row>
    <row r="72" spans="1:21" ht="210" customHeight="1" x14ac:dyDescent="0.3">
      <c r="A72" s="154" t="s">
        <v>6020</v>
      </c>
      <c r="B72" s="154" t="s">
        <v>5825</v>
      </c>
      <c r="C72" s="154" t="s">
        <v>6007</v>
      </c>
      <c r="D72" s="164">
        <f>'Published Ratio Reconciliation'!D509</f>
        <v>0.08</v>
      </c>
      <c r="E72" s="164">
        <f>'Published Ratio Reconciliation'!E509</f>
        <v>0.57673689270626904</v>
      </c>
      <c r="F72" s="164">
        <f t="shared" si="2"/>
        <v>0.57673689270626904</v>
      </c>
      <c r="G72" s="164">
        <f>FCCL!H84</f>
        <v>88956.327999999994</v>
      </c>
      <c r="H72" s="164">
        <f>AVERAGE(FCCL!G37,FCCL!H37)</f>
        <v>154240.745</v>
      </c>
      <c r="I72" s="164" t="s">
        <v>6008</v>
      </c>
      <c r="J72" s="164">
        <f>FCCL!H84/D72</f>
        <v>1111954.0999999999</v>
      </c>
      <c r="K72" s="175" t="s">
        <v>6009</v>
      </c>
      <c r="L72" s="164">
        <f>'Forensic Tests'!G961</f>
        <v>88956.327999999994</v>
      </c>
      <c r="M72" s="164">
        <f>'Forensic Tests'!H961</f>
        <v>160845.19100000002</v>
      </c>
      <c r="N72" s="164">
        <f>'Forensic Tests'!I961</f>
        <v>0.55305556508680442</v>
      </c>
      <c r="O72" s="154" t="str">
        <f>'Forensic Tests'!N961</f>
        <v>No fit</v>
      </c>
      <c r="P72" s="154" t="s">
        <v>5702</v>
      </c>
      <c r="Q72" s="173" t="s">
        <v>6021</v>
      </c>
      <c r="R72" s="173" t="s">
        <v>6011</v>
      </c>
      <c r="S72" s="173" t="s">
        <v>6012</v>
      </c>
      <c r="T72" s="154">
        <v>56</v>
      </c>
      <c r="U72" s="154" t="s">
        <v>6022</v>
      </c>
    </row>
    <row r="73" spans="1:21" ht="210" customHeight="1" x14ac:dyDescent="0.3">
      <c r="A73" s="151" t="s">
        <v>6023</v>
      </c>
      <c r="B73" s="151" t="s">
        <v>5843</v>
      </c>
      <c r="C73" s="151" t="s">
        <v>6024</v>
      </c>
      <c r="D73" s="165">
        <f>'Published Ratio Reconciliation'!D511</f>
        <v>0.16</v>
      </c>
      <c r="E73" s="165">
        <f>'Published Ratio Reconciliation'!E511</f>
        <v>1.6551596506379742</v>
      </c>
      <c r="F73" s="165">
        <f t="shared" si="2"/>
        <v>1.6551596506379742</v>
      </c>
      <c r="G73" s="165">
        <f>FCCL!E84</f>
        <v>54243.118000000002</v>
      </c>
      <c r="H73" s="165">
        <f>AVERAGE(FCCL!D22,FCCL!E22)</f>
        <v>32772.136500000001</v>
      </c>
      <c r="I73" s="165" t="s">
        <v>6008</v>
      </c>
      <c r="J73" s="165">
        <f>FCCL!E84/D73</f>
        <v>339019.48749999999</v>
      </c>
      <c r="K73" s="176" t="s">
        <v>6025</v>
      </c>
      <c r="L73" s="165">
        <f>'Forensic Tests'!G1019</f>
        <v>54243.118000000002</v>
      </c>
      <c r="M73" s="165">
        <f>'Forensic Tests'!H1019</f>
        <v>74126.315000000002</v>
      </c>
      <c r="N73" s="165">
        <f>'Forensic Tests'!I1019</f>
        <v>0.73176601318978285</v>
      </c>
      <c r="O73" s="151" t="str">
        <f>'Forensic Tests'!N1019</f>
        <v>No fit</v>
      </c>
      <c r="P73" s="151" t="s">
        <v>5702</v>
      </c>
      <c r="Q73" s="174" t="s">
        <v>6026</v>
      </c>
      <c r="R73" s="174" t="s">
        <v>6011</v>
      </c>
      <c r="S73" s="174" t="s">
        <v>6012</v>
      </c>
      <c r="T73" s="151">
        <v>56</v>
      </c>
      <c r="U73" s="151" t="s">
        <v>6027</v>
      </c>
    </row>
    <row r="74" spans="1:21" ht="210" customHeight="1" x14ac:dyDescent="0.3">
      <c r="A74" s="154" t="s">
        <v>6028</v>
      </c>
      <c r="B74" s="154" t="s">
        <v>5847</v>
      </c>
      <c r="C74" s="154" t="s">
        <v>6024</v>
      </c>
      <c r="D74" s="164">
        <f>'Published Ratio Reconciliation'!D512</f>
        <v>0.11</v>
      </c>
      <c r="E74" s="164">
        <f>'Published Ratio Reconciliation'!E512</f>
        <v>1.1919170397378338</v>
      </c>
      <c r="F74" s="164">
        <f t="shared" si="2"/>
        <v>1.1919170397378338</v>
      </c>
      <c r="G74" s="164">
        <f>FCCL!F84</f>
        <v>68069.282000000007</v>
      </c>
      <c r="H74" s="164">
        <f>AVERAGE(FCCL!E22,FCCL!F22)</f>
        <v>57109.076999999997</v>
      </c>
      <c r="I74" s="164" t="s">
        <v>6008</v>
      </c>
      <c r="J74" s="164">
        <f>FCCL!F84/D74</f>
        <v>618811.65454545466</v>
      </c>
      <c r="K74" s="175" t="s">
        <v>6025</v>
      </c>
      <c r="L74" s="164">
        <f>'Forensic Tests'!G1075</f>
        <v>68069.282000000007</v>
      </c>
      <c r="M74" s="164">
        <f>'Forensic Tests'!H1075</f>
        <v>104425.181</v>
      </c>
      <c r="N74" s="164">
        <f>'Forensic Tests'!I1075</f>
        <v>0.65184739301529204</v>
      </c>
      <c r="O74" s="154" t="str">
        <f>'Forensic Tests'!N1075</f>
        <v>No fit</v>
      </c>
      <c r="P74" s="154" t="s">
        <v>5702</v>
      </c>
      <c r="Q74" s="173" t="s">
        <v>6029</v>
      </c>
      <c r="R74" s="173" t="s">
        <v>6011</v>
      </c>
      <c r="S74" s="173" t="s">
        <v>6012</v>
      </c>
      <c r="T74" s="154">
        <v>56</v>
      </c>
      <c r="U74" s="154" t="s">
        <v>6030</v>
      </c>
    </row>
    <row r="75" spans="1:21" ht="210" customHeight="1" x14ac:dyDescent="0.3">
      <c r="A75" s="151" t="s">
        <v>6031</v>
      </c>
      <c r="B75" s="151" t="s">
        <v>5851</v>
      </c>
      <c r="C75" s="151" t="s">
        <v>6024</v>
      </c>
      <c r="D75" s="165">
        <f>'Published Ratio Reconciliation'!D513</f>
        <v>0.09</v>
      </c>
      <c r="E75" s="165">
        <f>'Published Ratio Reconciliation'!E513</f>
        <v>0.88898511220750387</v>
      </c>
      <c r="F75" s="165">
        <f t="shared" si="2"/>
        <v>0.88898511220750387</v>
      </c>
      <c r="G75" s="165">
        <f>FCCL!G84</f>
        <v>80026.225999999995</v>
      </c>
      <c r="H75" s="165">
        <f>AVERAGE(FCCL!F22,FCCL!G22)</f>
        <v>90019.759499999986</v>
      </c>
      <c r="I75" s="165" t="s">
        <v>6008</v>
      </c>
      <c r="J75" s="165">
        <f>FCCL!G84/D75</f>
        <v>889180.2888888889</v>
      </c>
      <c r="K75" s="176" t="s">
        <v>6025</v>
      </c>
      <c r="L75" s="165">
        <f>'Forensic Tests'!G1131</f>
        <v>80026.225999999995</v>
      </c>
      <c r="M75" s="165">
        <f>'Forensic Tests'!H1131</f>
        <v>110845.663</v>
      </c>
      <c r="N75" s="165">
        <f>'Forensic Tests'!I1131</f>
        <v>0.72196082222901214</v>
      </c>
      <c r="O75" s="151" t="str">
        <f>'Forensic Tests'!N1131</f>
        <v>No fit</v>
      </c>
      <c r="P75" s="151" t="s">
        <v>5702</v>
      </c>
      <c r="Q75" s="174" t="s">
        <v>6032</v>
      </c>
      <c r="R75" s="174" t="s">
        <v>6011</v>
      </c>
      <c r="S75" s="174" t="s">
        <v>6012</v>
      </c>
      <c r="T75" s="151">
        <v>56</v>
      </c>
      <c r="U75" s="151" t="s">
        <v>6033</v>
      </c>
    </row>
    <row r="76" spans="1:21" ht="210" customHeight="1" x14ac:dyDescent="0.3">
      <c r="A76" s="154" t="s">
        <v>6034</v>
      </c>
      <c r="B76" s="154" t="s">
        <v>5825</v>
      </c>
      <c r="C76" s="154" t="s">
        <v>6024</v>
      </c>
      <c r="D76" s="164">
        <f>'Published Ratio Reconciliation'!D514</f>
        <v>0.12</v>
      </c>
      <c r="E76" s="164">
        <f>'Published Ratio Reconciliation'!E514</f>
        <v>0.81080188367005523</v>
      </c>
      <c r="F76" s="164">
        <f t="shared" si="2"/>
        <v>0.81080188367005523</v>
      </c>
      <c r="G76" s="164">
        <f>FCCL!H84</f>
        <v>88956.327999999994</v>
      </c>
      <c r="H76" s="164">
        <f>AVERAGE(FCCL!G22,FCCL!H22)</f>
        <v>109714.01250000001</v>
      </c>
      <c r="I76" s="164" t="s">
        <v>6008</v>
      </c>
      <c r="J76" s="164">
        <f>FCCL!H84/D76</f>
        <v>741302.73333333328</v>
      </c>
      <c r="K76" s="175" t="s">
        <v>6025</v>
      </c>
      <c r="L76" s="164">
        <f>'Forensic Tests'!G1187</f>
        <v>88956.327999999994</v>
      </c>
      <c r="M76" s="164">
        <f>'Forensic Tests'!H1187</f>
        <v>109579.08900000001</v>
      </c>
      <c r="N76" s="164">
        <f>'Forensic Tests'!I1187</f>
        <v>0.81180021491144161</v>
      </c>
      <c r="O76" s="154" t="str">
        <f>'Forensic Tests'!N1187</f>
        <v>No fit</v>
      </c>
      <c r="P76" s="154" t="s">
        <v>5702</v>
      </c>
      <c r="Q76" s="173" t="s">
        <v>6035</v>
      </c>
      <c r="R76" s="173" t="s">
        <v>6011</v>
      </c>
      <c r="S76" s="173" t="s">
        <v>6012</v>
      </c>
      <c r="T76" s="154">
        <v>56</v>
      </c>
      <c r="U76" s="154" t="s">
        <v>6036</v>
      </c>
    </row>
  </sheetData>
  <mergeCells count="5">
    <mergeCell ref="A5:C5"/>
    <mergeCell ref="A6:C6"/>
    <mergeCell ref="A7:C7"/>
    <mergeCell ref="A8:C8"/>
    <mergeCell ref="A9:C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1686"/>
  <sheetViews>
    <sheetView showGridLines="0" workbookViewId="0">
      <pane xSplit="3" ySplit="5" topLeftCell="D6" activePane="bottomRight" state="frozen"/>
      <selection pane="topRight"/>
      <selection pane="bottomLeft"/>
      <selection pane="bottomRight" activeCell="D6" sqref="D6"/>
    </sheetView>
  </sheetViews>
  <sheetFormatPr defaultRowHeight="14.4" x14ac:dyDescent="0.3"/>
  <cols>
    <col min="1" max="1" width="12" customWidth="1"/>
    <col min="2" max="2" width="11" customWidth="1"/>
    <col min="3" max="3" width="12" customWidth="1"/>
    <col min="4" max="4" width="10" customWidth="1"/>
    <col min="5" max="5" width="42" customWidth="1"/>
    <col min="6" max="6" width="85" customWidth="1"/>
    <col min="7" max="10" width="23" customWidth="1"/>
    <col min="11" max="12" width="20" customWidth="1"/>
    <col min="13" max="13" width="15" customWidth="1"/>
    <col min="14" max="14" width="25" customWidth="1"/>
    <col min="15" max="15" width="110" customWidth="1"/>
    <col min="16" max="16" width="115" customWidth="1"/>
  </cols>
  <sheetData>
    <row r="1" spans="1:16" ht="22.05" customHeight="1" x14ac:dyDescent="0.3">
      <c r="A1" s="151"/>
      <c r="B1" s="151"/>
      <c r="C1" s="151"/>
      <c r="D1" s="151"/>
      <c r="E1" s="151"/>
      <c r="F1" s="151"/>
      <c r="G1" s="151"/>
      <c r="H1" s="151"/>
      <c r="I1" s="151"/>
      <c r="J1" s="151"/>
      <c r="K1" s="151"/>
      <c r="L1" s="151"/>
      <c r="M1" s="151"/>
      <c r="N1" s="151"/>
      <c r="O1" s="151"/>
      <c r="P1" s="151"/>
    </row>
    <row r="2" spans="1:16" ht="22.05" customHeight="1" x14ac:dyDescent="0.3">
      <c r="A2" s="152" t="s">
        <v>6037</v>
      </c>
      <c r="B2" s="151"/>
      <c r="C2" s="151"/>
      <c r="D2" s="151"/>
      <c r="E2" s="151"/>
      <c r="F2" s="151"/>
      <c r="G2" s="151"/>
      <c r="H2" s="151"/>
      <c r="I2" s="151"/>
      <c r="J2" s="151"/>
      <c r="K2" s="151"/>
      <c r="L2" s="151"/>
      <c r="M2" s="151"/>
      <c r="N2" s="151"/>
      <c r="O2" s="151"/>
      <c r="P2" s="151"/>
    </row>
    <row r="3" spans="1:16" ht="22.05" customHeight="1" x14ac:dyDescent="0.3">
      <c r="A3" s="151"/>
      <c r="B3" s="151"/>
      <c r="C3" s="151"/>
      <c r="D3" s="151"/>
      <c r="E3" s="151"/>
      <c r="F3" s="151"/>
      <c r="G3" s="151"/>
      <c r="H3" s="151"/>
      <c r="I3" s="151"/>
      <c r="J3" s="151"/>
      <c r="K3" s="151"/>
      <c r="L3" s="151"/>
      <c r="M3" s="151"/>
      <c r="N3" s="151"/>
      <c r="O3" s="151"/>
      <c r="P3" s="151"/>
    </row>
    <row r="4" spans="1:16" ht="22.05" customHeight="1" x14ac:dyDescent="0.3">
      <c r="A4" s="151"/>
      <c r="B4" s="151"/>
      <c r="C4" s="151"/>
      <c r="D4" s="151"/>
      <c r="E4" s="151"/>
      <c r="F4" s="151"/>
      <c r="G4" s="151"/>
      <c r="H4" s="151"/>
      <c r="I4" s="151"/>
      <c r="J4" s="151"/>
      <c r="K4" s="151"/>
      <c r="L4" s="151"/>
      <c r="M4" s="151"/>
      <c r="N4" s="151"/>
      <c r="O4" s="151"/>
      <c r="P4" s="151"/>
    </row>
    <row r="5" spans="1:16" ht="40.049999999999997" customHeight="1" x14ac:dyDescent="0.3">
      <c r="A5" s="153" t="s">
        <v>6038</v>
      </c>
      <c r="B5" s="153" t="s">
        <v>5715</v>
      </c>
      <c r="C5" s="153" t="s">
        <v>1</v>
      </c>
      <c r="D5" s="153" t="s">
        <v>3</v>
      </c>
      <c r="E5" s="153" t="s">
        <v>908</v>
      </c>
      <c r="F5" s="153" t="s">
        <v>6039</v>
      </c>
      <c r="G5" s="153" t="s">
        <v>6040</v>
      </c>
      <c r="H5" s="153" t="s">
        <v>6041</v>
      </c>
      <c r="I5" s="153" t="s">
        <v>6042</v>
      </c>
      <c r="J5" s="153" t="s">
        <v>6043</v>
      </c>
      <c r="K5" s="153" t="s">
        <v>6044</v>
      </c>
      <c r="L5" s="153" t="s">
        <v>4</v>
      </c>
      <c r="M5" s="153" t="s">
        <v>6045</v>
      </c>
      <c r="N5" s="153" t="s">
        <v>6046</v>
      </c>
      <c r="O5" s="153" t="s">
        <v>6047</v>
      </c>
      <c r="P5" s="153" t="s">
        <v>6048</v>
      </c>
    </row>
    <row r="6" spans="1:16" ht="64.05" customHeight="1" x14ac:dyDescent="0.3">
      <c r="A6" s="154" t="s">
        <v>6049</v>
      </c>
      <c r="B6" s="154" t="s">
        <v>5733</v>
      </c>
      <c r="C6" s="154" t="s">
        <v>18</v>
      </c>
      <c r="D6" s="154">
        <v>2021</v>
      </c>
      <c r="E6" s="154" t="s">
        <v>58</v>
      </c>
      <c r="F6" s="173" t="s">
        <v>5893</v>
      </c>
      <c r="G6" s="166">
        <f>KOHC!D130</f>
        <v>206.49</v>
      </c>
      <c r="H6" s="166">
        <f>KOHC!D41/KOHC!D128</f>
        <v>110.64122209168052</v>
      </c>
      <c r="I6" s="164">
        <f t="shared" ref="I6:I69" si="0">G6/H6</f>
        <v>1.8663025958706099</v>
      </c>
      <c r="J6" s="164">
        <v>1.8663025958706099</v>
      </c>
      <c r="K6" s="168">
        <f t="shared" ref="K6:K69" si="1">I6-J6</f>
        <v>0</v>
      </c>
      <c r="L6" s="164">
        <v>0.23</v>
      </c>
      <c r="M6" s="154">
        <v>2</v>
      </c>
      <c r="N6" s="154" t="str">
        <f t="shared" ref="N6:N69" si="2">IF(ROUND(I6,M6)=ROUND(L6,M6),"Numeric fit","No fit")</f>
        <v>No fit</v>
      </c>
      <c r="O6" s="173" t="s">
        <v>6050</v>
      </c>
      <c r="P6" s="173" t="s">
        <v>6051</v>
      </c>
    </row>
    <row r="7" spans="1:16" ht="64.05" customHeight="1" x14ac:dyDescent="0.3">
      <c r="A7" s="151" t="s">
        <v>6052</v>
      </c>
      <c r="B7" s="151" t="s">
        <v>5733</v>
      </c>
      <c r="C7" s="151" t="s">
        <v>18</v>
      </c>
      <c r="D7" s="151">
        <v>2021</v>
      </c>
      <c r="E7" s="151" t="s">
        <v>58</v>
      </c>
      <c r="F7" s="174" t="s">
        <v>6053</v>
      </c>
      <c r="G7" s="167">
        <f>'PSX Prices'!F6</f>
        <v>41.3</v>
      </c>
      <c r="H7" s="167">
        <f>'PSX Prices'!M6</f>
        <v>22.13</v>
      </c>
      <c r="I7" s="165">
        <f t="shared" si="0"/>
        <v>1.8662449164030728</v>
      </c>
      <c r="J7" s="165">
        <v>1.8662449164030728</v>
      </c>
      <c r="K7" s="169">
        <f t="shared" si="1"/>
        <v>0</v>
      </c>
      <c r="L7" s="165">
        <v>0.23</v>
      </c>
      <c r="M7" s="151">
        <v>2</v>
      </c>
      <c r="N7" s="151" t="str">
        <f t="shared" si="2"/>
        <v>No fit</v>
      </c>
      <c r="O7" s="174" t="s">
        <v>6054</v>
      </c>
      <c r="P7" s="174" t="s">
        <v>6051</v>
      </c>
    </row>
    <row r="8" spans="1:16" ht="64.05" customHeight="1" x14ac:dyDescent="0.3">
      <c r="A8" s="154" t="s">
        <v>6055</v>
      </c>
      <c r="B8" s="154" t="s">
        <v>5733</v>
      </c>
      <c r="C8" s="154" t="s">
        <v>18</v>
      </c>
      <c r="D8" s="154">
        <v>2021</v>
      </c>
      <c r="E8" s="154" t="s">
        <v>58</v>
      </c>
      <c r="F8" s="173" t="s">
        <v>6056</v>
      </c>
      <c r="G8" s="166">
        <f>KOHC!D130</f>
        <v>206.49</v>
      </c>
      <c r="H8" s="166">
        <f>(KOHC!D41/KOHC!D128)</f>
        <v>110.64122209168052</v>
      </c>
      <c r="I8" s="164">
        <f t="shared" si="0"/>
        <v>1.8663025958706099</v>
      </c>
      <c r="J8" s="164">
        <v>1.8663025958706099</v>
      </c>
      <c r="K8" s="168">
        <f t="shared" si="1"/>
        <v>0</v>
      </c>
      <c r="L8" s="164">
        <v>0.23</v>
      </c>
      <c r="M8" s="154">
        <v>2</v>
      </c>
      <c r="N8" s="154" t="str">
        <f t="shared" si="2"/>
        <v>No fit</v>
      </c>
      <c r="O8" s="173" t="s">
        <v>6057</v>
      </c>
      <c r="P8" s="173" t="s">
        <v>6051</v>
      </c>
    </row>
    <row r="9" spans="1:16" ht="64.05" customHeight="1" x14ac:dyDescent="0.3">
      <c r="A9" s="151" t="s">
        <v>6058</v>
      </c>
      <c r="B9" s="151" t="s">
        <v>5733</v>
      </c>
      <c r="C9" s="151" t="s">
        <v>18</v>
      </c>
      <c r="D9" s="151">
        <v>2021</v>
      </c>
      <c r="E9" s="151" t="s">
        <v>58</v>
      </c>
      <c r="F9" s="174" t="s">
        <v>5752</v>
      </c>
      <c r="G9" s="167">
        <f>('PSX Prices'!F6*'PSX Prices'!O6)</f>
        <v>41477.857830499997</v>
      </c>
      <c r="H9" s="167">
        <f>(KOHC!D37-KOHC!D24)</f>
        <v>36080.195526000003</v>
      </c>
      <c r="I9" s="165">
        <f t="shared" si="0"/>
        <v>1.1496018030337543</v>
      </c>
      <c r="J9" s="165">
        <v>1.1496018030337545</v>
      </c>
      <c r="K9" s="169">
        <f t="shared" si="1"/>
        <v>0</v>
      </c>
      <c r="L9" s="165">
        <v>0.23</v>
      </c>
      <c r="M9" s="151">
        <v>2</v>
      </c>
      <c r="N9" s="151" t="str">
        <f t="shared" si="2"/>
        <v>No fit</v>
      </c>
      <c r="O9" s="174" t="s">
        <v>6059</v>
      </c>
      <c r="P9" s="174" t="s">
        <v>6051</v>
      </c>
    </row>
    <row r="10" spans="1:16" ht="64.05" customHeight="1" x14ac:dyDescent="0.3">
      <c r="A10" s="154" t="s">
        <v>6060</v>
      </c>
      <c r="B10" s="154" t="s">
        <v>5733</v>
      </c>
      <c r="C10" s="154" t="s">
        <v>18</v>
      </c>
      <c r="D10" s="154">
        <v>2021</v>
      </c>
      <c r="E10" s="154" t="s">
        <v>58</v>
      </c>
      <c r="F10" s="173" t="s">
        <v>5737</v>
      </c>
      <c r="G10" s="166">
        <f>('PSX Prices'!F6*'PSX Prices'!O6)</f>
        <v>41477.857830499997</v>
      </c>
      <c r="H10" s="166">
        <f>((KOHC!D37-KOHC!D24)*5)</f>
        <v>180400.97763000001</v>
      </c>
      <c r="I10" s="164">
        <f t="shared" si="0"/>
        <v>0.22992036060675086</v>
      </c>
      <c r="J10" s="164">
        <v>0.22992036060675089</v>
      </c>
      <c r="K10" s="168">
        <f t="shared" si="1"/>
        <v>0</v>
      </c>
      <c r="L10" s="164">
        <v>0.23</v>
      </c>
      <c r="M10" s="154">
        <v>2</v>
      </c>
      <c r="N10" s="154" t="str">
        <f t="shared" si="2"/>
        <v>Numeric fit</v>
      </c>
      <c r="O10" s="173" t="s">
        <v>6061</v>
      </c>
      <c r="P10" s="173" t="s">
        <v>6051</v>
      </c>
    </row>
    <row r="11" spans="1:16" ht="64.05" customHeight="1" x14ac:dyDescent="0.3">
      <c r="A11" s="151" t="s">
        <v>6062</v>
      </c>
      <c r="B11" s="151" t="s">
        <v>5742</v>
      </c>
      <c r="C11" s="151" t="s">
        <v>18</v>
      </c>
      <c r="D11" s="151">
        <v>2022</v>
      </c>
      <c r="E11" s="151" t="s">
        <v>58</v>
      </c>
      <c r="F11" s="174" t="s">
        <v>5893</v>
      </c>
      <c r="G11" s="167">
        <f>KOHC!E130</f>
        <v>130.13</v>
      </c>
      <c r="H11" s="167">
        <f>KOHC!E41/KOHC!E128</f>
        <v>135.64693964412666</v>
      </c>
      <c r="I11" s="165">
        <f t="shared" si="0"/>
        <v>0.95932868328175702</v>
      </c>
      <c r="J11" s="165">
        <v>0.95932868328175702</v>
      </c>
      <c r="K11" s="169">
        <f t="shared" si="1"/>
        <v>0</v>
      </c>
      <c r="L11" s="165">
        <v>0.12</v>
      </c>
      <c r="M11" s="151">
        <v>2</v>
      </c>
      <c r="N11" s="151" t="str">
        <f t="shared" si="2"/>
        <v>No fit</v>
      </c>
      <c r="O11" s="174" t="s">
        <v>6050</v>
      </c>
      <c r="P11" s="174" t="s">
        <v>6051</v>
      </c>
    </row>
    <row r="12" spans="1:16" ht="64.05" customHeight="1" x14ac:dyDescent="0.3">
      <c r="A12" s="154" t="s">
        <v>6063</v>
      </c>
      <c r="B12" s="154" t="s">
        <v>5742</v>
      </c>
      <c r="C12" s="154" t="s">
        <v>18</v>
      </c>
      <c r="D12" s="154">
        <v>2022</v>
      </c>
      <c r="E12" s="154" t="s">
        <v>58</v>
      </c>
      <c r="F12" s="173" t="s">
        <v>6053</v>
      </c>
      <c r="G12" s="166">
        <f>'PSX Prices'!F7</f>
        <v>26.03</v>
      </c>
      <c r="H12" s="166">
        <f>'PSX Prices'!M7</f>
        <v>27.13</v>
      </c>
      <c r="I12" s="164">
        <f t="shared" si="0"/>
        <v>0.95945447843715448</v>
      </c>
      <c r="J12" s="164">
        <v>0.95945447843715448</v>
      </c>
      <c r="K12" s="168">
        <f t="shared" si="1"/>
        <v>0</v>
      </c>
      <c r="L12" s="164">
        <v>0.12</v>
      </c>
      <c r="M12" s="154">
        <v>2</v>
      </c>
      <c r="N12" s="154" t="str">
        <f t="shared" si="2"/>
        <v>No fit</v>
      </c>
      <c r="O12" s="173" t="s">
        <v>6054</v>
      </c>
      <c r="P12" s="173" t="s">
        <v>6051</v>
      </c>
    </row>
    <row r="13" spans="1:16" ht="64.05" customHeight="1" x14ac:dyDescent="0.3">
      <c r="A13" s="151" t="s">
        <v>6064</v>
      </c>
      <c r="B13" s="151" t="s">
        <v>5742</v>
      </c>
      <c r="C13" s="151" t="s">
        <v>18</v>
      </c>
      <c r="D13" s="151">
        <v>2022</v>
      </c>
      <c r="E13" s="151" t="s">
        <v>58</v>
      </c>
      <c r="F13" s="174" t="s">
        <v>6056</v>
      </c>
      <c r="G13" s="167">
        <f>KOHC!E130</f>
        <v>130.13</v>
      </c>
      <c r="H13" s="167">
        <f>(KOHC!E41/KOHC!E128)</f>
        <v>135.64693964412666</v>
      </c>
      <c r="I13" s="165">
        <f t="shared" si="0"/>
        <v>0.95932868328175702</v>
      </c>
      <c r="J13" s="165">
        <v>0.95932868328175702</v>
      </c>
      <c r="K13" s="169">
        <f t="shared" si="1"/>
        <v>0</v>
      </c>
      <c r="L13" s="165">
        <v>0.12</v>
      </c>
      <c r="M13" s="151">
        <v>2</v>
      </c>
      <c r="N13" s="151" t="str">
        <f t="shared" si="2"/>
        <v>No fit</v>
      </c>
      <c r="O13" s="174" t="s">
        <v>6057</v>
      </c>
      <c r="P13" s="174" t="s">
        <v>6051</v>
      </c>
    </row>
    <row r="14" spans="1:16" ht="64.05" customHeight="1" x14ac:dyDescent="0.3">
      <c r="A14" s="154" t="s">
        <v>6065</v>
      </c>
      <c r="B14" s="154" t="s">
        <v>5742</v>
      </c>
      <c r="C14" s="154" t="s">
        <v>18</v>
      </c>
      <c r="D14" s="154">
        <v>2022</v>
      </c>
      <c r="E14" s="154" t="s">
        <v>58</v>
      </c>
      <c r="F14" s="173" t="s">
        <v>5752</v>
      </c>
      <c r="G14" s="166">
        <f>('PSX Prices'!F7*'PSX Prices'!O7)</f>
        <v>26142.097804550001</v>
      </c>
      <c r="H14" s="166">
        <f>(KOHC!E37-KOHC!E24)</f>
        <v>43347.966486999998</v>
      </c>
      <c r="I14" s="164">
        <f t="shared" si="0"/>
        <v>0.60307552863846525</v>
      </c>
      <c r="J14" s="164">
        <v>0.60307552863846525</v>
      </c>
      <c r="K14" s="168">
        <f t="shared" si="1"/>
        <v>0</v>
      </c>
      <c r="L14" s="164">
        <v>0.12</v>
      </c>
      <c r="M14" s="154">
        <v>2</v>
      </c>
      <c r="N14" s="154" t="str">
        <f t="shared" si="2"/>
        <v>No fit</v>
      </c>
      <c r="O14" s="173" t="s">
        <v>6059</v>
      </c>
      <c r="P14" s="173" t="s">
        <v>6051</v>
      </c>
    </row>
    <row r="15" spans="1:16" ht="64.05" customHeight="1" x14ac:dyDescent="0.3">
      <c r="A15" s="151" t="s">
        <v>6066</v>
      </c>
      <c r="B15" s="151" t="s">
        <v>5742</v>
      </c>
      <c r="C15" s="151" t="s">
        <v>18</v>
      </c>
      <c r="D15" s="151">
        <v>2022</v>
      </c>
      <c r="E15" s="151" t="s">
        <v>58</v>
      </c>
      <c r="F15" s="174" t="s">
        <v>5737</v>
      </c>
      <c r="G15" s="167">
        <f>('PSX Prices'!F7*'PSX Prices'!O7)</f>
        <v>26142.097804550001</v>
      </c>
      <c r="H15" s="167">
        <f>((KOHC!E37-KOHC!E24)*5)</f>
        <v>216739.83243499999</v>
      </c>
      <c r="I15" s="165">
        <f t="shared" si="0"/>
        <v>0.12061510572769306</v>
      </c>
      <c r="J15" s="165">
        <v>0.12061510572769306</v>
      </c>
      <c r="K15" s="169">
        <f t="shared" si="1"/>
        <v>0</v>
      </c>
      <c r="L15" s="165">
        <v>0.12</v>
      </c>
      <c r="M15" s="151">
        <v>2</v>
      </c>
      <c r="N15" s="151" t="str">
        <f t="shared" si="2"/>
        <v>Numeric fit</v>
      </c>
      <c r="O15" s="174" t="s">
        <v>6061</v>
      </c>
      <c r="P15" s="174" t="s">
        <v>6051</v>
      </c>
    </row>
    <row r="16" spans="1:16" ht="64.05" customHeight="1" x14ac:dyDescent="0.3">
      <c r="A16" s="154" t="s">
        <v>6067</v>
      </c>
      <c r="B16" s="154" t="s">
        <v>5746</v>
      </c>
      <c r="C16" s="154" t="s">
        <v>18</v>
      </c>
      <c r="D16" s="154">
        <v>2023</v>
      </c>
      <c r="E16" s="154" t="s">
        <v>58</v>
      </c>
      <c r="F16" s="173" t="s">
        <v>5893</v>
      </c>
      <c r="G16" s="166">
        <f>KOHC!F130</f>
        <v>173.47</v>
      </c>
      <c r="H16" s="166">
        <f>KOHC!F41/KOHC!F128</f>
        <v>162.35106244484723</v>
      </c>
      <c r="I16" s="164">
        <f t="shared" si="0"/>
        <v>1.0684870021034203</v>
      </c>
      <c r="J16" s="164">
        <v>1.0684870021034203</v>
      </c>
      <c r="K16" s="168">
        <f t="shared" si="1"/>
        <v>0</v>
      </c>
      <c r="L16" s="164">
        <v>0.14000000000000001</v>
      </c>
      <c r="M16" s="154">
        <v>2</v>
      </c>
      <c r="N16" s="154" t="str">
        <f t="shared" si="2"/>
        <v>No fit</v>
      </c>
      <c r="O16" s="173" t="s">
        <v>6050</v>
      </c>
      <c r="P16" s="173" t="s">
        <v>6051</v>
      </c>
    </row>
    <row r="17" spans="1:16" ht="64.05" customHeight="1" x14ac:dyDescent="0.3">
      <c r="A17" s="151" t="s">
        <v>6068</v>
      </c>
      <c r="B17" s="151" t="s">
        <v>5746</v>
      </c>
      <c r="C17" s="151" t="s">
        <v>18</v>
      </c>
      <c r="D17" s="151">
        <v>2023</v>
      </c>
      <c r="E17" s="151" t="s">
        <v>58</v>
      </c>
      <c r="F17" s="174" t="s">
        <v>6053</v>
      </c>
      <c r="G17" s="167">
        <f>'PSX Prices'!F8</f>
        <v>34.69</v>
      </c>
      <c r="H17" s="167">
        <f>'PSX Prices'!M8</f>
        <v>32.47</v>
      </c>
      <c r="I17" s="165">
        <f t="shared" si="0"/>
        <v>1.0683708038189097</v>
      </c>
      <c r="J17" s="165">
        <v>1.0683708038189097</v>
      </c>
      <c r="K17" s="169">
        <f t="shared" si="1"/>
        <v>0</v>
      </c>
      <c r="L17" s="165">
        <v>0.14000000000000001</v>
      </c>
      <c r="M17" s="151">
        <v>2</v>
      </c>
      <c r="N17" s="151" t="str">
        <f t="shared" si="2"/>
        <v>No fit</v>
      </c>
      <c r="O17" s="174" t="s">
        <v>6054</v>
      </c>
      <c r="P17" s="174" t="s">
        <v>6051</v>
      </c>
    </row>
    <row r="18" spans="1:16" ht="64.05" customHeight="1" x14ac:dyDescent="0.3">
      <c r="A18" s="154" t="s">
        <v>6069</v>
      </c>
      <c r="B18" s="154" t="s">
        <v>5746</v>
      </c>
      <c r="C18" s="154" t="s">
        <v>18</v>
      </c>
      <c r="D18" s="154">
        <v>2023</v>
      </c>
      <c r="E18" s="154" t="s">
        <v>58</v>
      </c>
      <c r="F18" s="173" t="s">
        <v>6056</v>
      </c>
      <c r="G18" s="166">
        <f>KOHC!F130</f>
        <v>173.47</v>
      </c>
      <c r="H18" s="166">
        <f>(KOHC!F41/KOHC!F128)</f>
        <v>162.35106244484723</v>
      </c>
      <c r="I18" s="164">
        <f t="shared" si="0"/>
        <v>1.0684870021034203</v>
      </c>
      <c r="J18" s="164">
        <v>1.0684870021034203</v>
      </c>
      <c r="K18" s="168">
        <f t="shared" si="1"/>
        <v>0</v>
      </c>
      <c r="L18" s="164">
        <v>0.14000000000000001</v>
      </c>
      <c r="M18" s="154">
        <v>2</v>
      </c>
      <c r="N18" s="154" t="str">
        <f t="shared" si="2"/>
        <v>No fit</v>
      </c>
      <c r="O18" s="173" t="s">
        <v>6057</v>
      </c>
      <c r="P18" s="173" t="s">
        <v>6051</v>
      </c>
    </row>
    <row r="19" spans="1:16" ht="64.05" customHeight="1" x14ac:dyDescent="0.3">
      <c r="A19" s="151" t="s">
        <v>6070</v>
      </c>
      <c r="B19" s="151" t="s">
        <v>5746</v>
      </c>
      <c r="C19" s="151" t="s">
        <v>18</v>
      </c>
      <c r="D19" s="151">
        <v>2023</v>
      </c>
      <c r="E19" s="151" t="s">
        <v>58</v>
      </c>
      <c r="F19" s="174" t="s">
        <v>5752</v>
      </c>
      <c r="G19" s="167">
        <f>('PSX Prices'!F8*'PSX Prices'!O8)</f>
        <v>34839.391964649993</v>
      </c>
      <c r="H19" s="167">
        <f>(KOHC!F37-KOHC!F24)</f>
        <v>49528.507835999997</v>
      </c>
      <c r="I19" s="165">
        <f t="shared" si="0"/>
        <v>0.70342098897893379</v>
      </c>
      <c r="J19" s="165">
        <v>0.70342098897893379</v>
      </c>
      <c r="K19" s="169">
        <f t="shared" si="1"/>
        <v>0</v>
      </c>
      <c r="L19" s="165">
        <v>0.14000000000000001</v>
      </c>
      <c r="M19" s="151">
        <v>2</v>
      </c>
      <c r="N19" s="151" t="str">
        <f t="shared" si="2"/>
        <v>No fit</v>
      </c>
      <c r="O19" s="174" t="s">
        <v>6059</v>
      </c>
      <c r="P19" s="174" t="s">
        <v>6051</v>
      </c>
    </row>
    <row r="20" spans="1:16" ht="64.05" customHeight="1" x14ac:dyDescent="0.3">
      <c r="A20" s="154" t="s">
        <v>6071</v>
      </c>
      <c r="B20" s="154" t="s">
        <v>5746</v>
      </c>
      <c r="C20" s="154" t="s">
        <v>18</v>
      </c>
      <c r="D20" s="154">
        <v>2023</v>
      </c>
      <c r="E20" s="154" t="s">
        <v>58</v>
      </c>
      <c r="F20" s="173" t="s">
        <v>5737</v>
      </c>
      <c r="G20" s="166">
        <f>('PSX Prices'!F8*'PSX Prices'!O8)</f>
        <v>34839.391964649993</v>
      </c>
      <c r="H20" s="166">
        <f>((KOHC!F37-KOHC!F24)*5)</f>
        <v>247642.53917999999</v>
      </c>
      <c r="I20" s="164">
        <f t="shared" si="0"/>
        <v>0.14068419779578675</v>
      </c>
      <c r="J20" s="164">
        <v>0.14068419779578675</v>
      </c>
      <c r="K20" s="168">
        <f t="shared" si="1"/>
        <v>0</v>
      </c>
      <c r="L20" s="164">
        <v>0.14000000000000001</v>
      </c>
      <c r="M20" s="154">
        <v>2</v>
      </c>
      <c r="N20" s="154" t="str">
        <f t="shared" si="2"/>
        <v>Numeric fit</v>
      </c>
      <c r="O20" s="173" t="s">
        <v>6061</v>
      </c>
      <c r="P20" s="173" t="s">
        <v>6051</v>
      </c>
    </row>
    <row r="21" spans="1:16" ht="64.05" customHeight="1" x14ac:dyDescent="0.3">
      <c r="A21" s="151" t="s">
        <v>6072</v>
      </c>
      <c r="B21" s="151" t="s">
        <v>5750</v>
      </c>
      <c r="C21" s="151" t="s">
        <v>18</v>
      </c>
      <c r="D21" s="151">
        <v>2024</v>
      </c>
      <c r="E21" s="151" t="s">
        <v>58</v>
      </c>
      <c r="F21" s="174" t="s">
        <v>5893</v>
      </c>
      <c r="G21" s="167">
        <f>KOHC!G130</f>
        <v>250.43</v>
      </c>
      <c r="H21" s="167">
        <f>KOHC!G41/KOHC!G128</f>
        <v>209.79287853383309</v>
      </c>
      <c r="I21" s="165">
        <f t="shared" si="0"/>
        <v>1.1937011482475723</v>
      </c>
      <c r="J21" s="165">
        <v>1.1937011482475721</v>
      </c>
      <c r="K21" s="169">
        <f t="shared" si="1"/>
        <v>0</v>
      </c>
      <c r="L21" s="165">
        <v>0.82</v>
      </c>
      <c r="M21" s="151">
        <v>2</v>
      </c>
      <c r="N21" s="151" t="str">
        <f t="shared" si="2"/>
        <v>No fit</v>
      </c>
      <c r="O21" s="174" t="s">
        <v>6050</v>
      </c>
      <c r="P21" s="174" t="s">
        <v>6051</v>
      </c>
    </row>
    <row r="22" spans="1:16" ht="64.05" customHeight="1" x14ac:dyDescent="0.3">
      <c r="A22" s="154" t="s">
        <v>6073</v>
      </c>
      <c r="B22" s="154" t="s">
        <v>5750</v>
      </c>
      <c r="C22" s="154" t="s">
        <v>18</v>
      </c>
      <c r="D22" s="154">
        <v>2024</v>
      </c>
      <c r="E22" s="154" t="s">
        <v>58</v>
      </c>
      <c r="F22" s="173" t="s">
        <v>6053</v>
      </c>
      <c r="G22" s="166">
        <f>'PSX Prices'!F9</f>
        <v>49</v>
      </c>
      <c r="H22" s="166">
        <f>'PSX Prices'!M9</f>
        <v>41.84</v>
      </c>
      <c r="I22" s="164">
        <f t="shared" si="0"/>
        <v>1.1711281070745696</v>
      </c>
      <c r="J22" s="164">
        <v>1.1711281070745696</v>
      </c>
      <c r="K22" s="168">
        <f t="shared" si="1"/>
        <v>0</v>
      </c>
      <c r="L22" s="164">
        <v>0.82</v>
      </c>
      <c r="M22" s="154">
        <v>2</v>
      </c>
      <c r="N22" s="154" t="str">
        <f t="shared" si="2"/>
        <v>No fit</v>
      </c>
      <c r="O22" s="173" t="s">
        <v>6054</v>
      </c>
      <c r="P22" s="173" t="s">
        <v>6051</v>
      </c>
    </row>
    <row r="23" spans="1:16" ht="64.05" customHeight="1" x14ac:dyDescent="0.3">
      <c r="A23" s="151" t="s">
        <v>6074</v>
      </c>
      <c r="B23" s="151" t="s">
        <v>5750</v>
      </c>
      <c r="C23" s="151" t="s">
        <v>18</v>
      </c>
      <c r="D23" s="151">
        <v>2024</v>
      </c>
      <c r="E23" s="151" t="s">
        <v>58</v>
      </c>
      <c r="F23" s="174" t="s">
        <v>6056</v>
      </c>
      <c r="G23" s="167">
        <f>KOHC!G130</f>
        <v>250.43</v>
      </c>
      <c r="H23" s="167">
        <f>(KOHC!G41/KOHC!G128)</f>
        <v>209.79287853383309</v>
      </c>
      <c r="I23" s="165">
        <f t="shared" si="0"/>
        <v>1.1937011482475723</v>
      </c>
      <c r="J23" s="165">
        <v>1.1937011482475721</v>
      </c>
      <c r="K23" s="169">
        <f t="shared" si="1"/>
        <v>0</v>
      </c>
      <c r="L23" s="165">
        <v>0.82</v>
      </c>
      <c r="M23" s="151">
        <v>2</v>
      </c>
      <c r="N23" s="151" t="str">
        <f t="shared" si="2"/>
        <v>No fit</v>
      </c>
      <c r="O23" s="174" t="s">
        <v>6057</v>
      </c>
      <c r="P23" s="174" t="s">
        <v>6051</v>
      </c>
    </row>
    <row r="24" spans="1:16" ht="64.05" customHeight="1" x14ac:dyDescent="0.3">
      <c r="A24" s="154" t="s">
        <v>6075</v>
      </c>
      <c r="B24" s="154" t="s">
        <v>5750</v>
      </c>
      <c r="C24" s="154" t="s">
        <v>18</v>
      </c>
      <c r="D24" s="154">
        <v>2024</v>
      </c>
      <c r="E24" s="154" t="s">
        <v>58</v>
      </c>
      <c r="F24" s="173" t="s">
        <v>5752</v>
      </c>
      <c r="G24" s="166">
        <f>('PSX Prices'!F9*'PSX Prices'!O9)</f>
        <v>48126.591415000003</v>
      </c>
      <c r="H24" s="166">
        <f>(KOHC!G37-KOHC!G24)</f>
        <v>58842.786971000001</v>
      </c>
      <c r="I24" s="164">
        <f t="shared" si="0"/>
        <v>0.81788429631517356</v>
      </c>
      <c r="J24" s="164">
        <v>0.81788429631517356</v>
      </c>
      <c r="K24" s="168">
        <f t="shared" si="1"/>
        <v>0</v>
      </c>
      <c r="L24" s="164">
        <v>0.82</v>
      </c>
      <c r="M24" s="154">
        <v>2</v>
      </c>
      <c r="N24" s="154" t="str">
        <f t="shared" si="2"/>
        <v>Numeric fit</v>
      </c>
      <c r="O24" s="173" t="s">
        <v>6059</v>
      </c>
      <c r="P24" s="173" t="s">
        <v>6051</v>
      </c>
    </row>
    <row r="25" spans="1:16" ht="64.05" customHeight="1" x14ac:dyDescent="0.3">
      <c r="A25" s="151" t="s">
        <v>6076</v>
      </c>
      <c r="B25" s="151" t="s">
        <v>5750</v>
      </c>
      <c r="C25" s="151" t="s">
        <v>18</v>
      </c>
      <c r="D25" s="151">
        <v>2024</v>
      </c>
      <c r="E25" s="151" t="s">
        <v>58</v>
      </c>
      <c r="F25" s="174" t="s">
        <v>5737</v>
      </c>
      <c r="G25" s="167">
        <f>('PSX Prices'!F9*'PSX Prices'!O9)</f>
        <v>48126.591415000003</v>
      </c>
      <c r="H25" s="167">
        <f>((KOHC!G37-KOHC!G24)*5)</f>
        <v>294213.934855</v>
      </c>
      <c r="I25" s="165">
        <f t="shared" si="0"/>
        <v>0.16357685926303472</v>
      </c>
      <c r="J25" s="165">
        <v>0.16357685926303472</v>
      </c>
      <c r="K25" s="169">
        <f t="shared" si="1"/>
        <v>0</v>
      </c>
      <c r="L25" s="165">
        <v>0.82</v>
      </c>
      <c r="M25" s="151">
        <v>2</v>
      </c>
      <c r="N25" s="151" t="str">
        <f t="shared" si="2"/>
        <v>No fit</v>
      </c>
      <c r="O25" s="174" t="s">
        <v>6061</v>
      </c>
      <c r="P25" s="174" t="s">
        <v>6051</v>
      </c>
    </row>
    <row r="26" spans="1:16" ht="64.05" customHeight="1" x14ac:dyDescent="0.3">
      <c r="A26" s="154" t="s">
        <v>6077</v>
      </c>
      <c r="B26" s="154" t="s">
        <v>5755</v>
      </c>
      <c r="C26" s="154" t="s">
        <v>18</v>
      </c>
      <c r="D26" s="154">
        <v>2025</v>
      </c>
      <c r="E26" s="154" t="s">
        <v>58</v>
      </c>
      <c r="F26" s="173" t="s">
        <v>5893</v>
      </c>
      <c r="G26" s="166">
        <f>KOHC!H130</f>
        <v>379.36</v>
      </c>
      <c r="H26" s="166">
        <f>KOHC!H41/KOHC!H128</f>
        <v>260.8226721418157</v>
      </c>
      <c r="I26" s="164">
        <f t="shared" si="0"/>
        <v>1.4544747850514033</v>
      </c>
      <c r="J26" s="164">
        <v>1.4544747850514033</v>
      </c>
      <c r="K26" s="168">
        <f t="shared" si="1"/>
        <v>0</v>
      </c>
      <c r="L26" s="164">
        <v>1.1000000000000001</v>
      </c>
      <c r="M26" s="154">
        <v>2</v>
      </c>
      <c r="N26" s="154" t="str">
        <f t="shared" si="2"/>
        <v>No fit</v>
      </c>
      <c r="O26" s="173" t="s">
        <v>6050</v>
      </c>
      <c r="P26" s="173" t="s">
        <v>6051</v>
      </c>
    </row>
    <row r="27" spans="1:16" ht="64.05" customHeight="1" x14ac:dyDescent="0.3">
      <c r="A27" s="151" t="s">
        <v>6078</v>
      </c>
      <c r="B27" s="151" t="s">
        <v>5755</v>
      </c>
      <c r="C27" s="151" t="s">
        <v>18</v>
      </c>
      <c r="D27" s="151">
        <v>2025</v>
      </c>
      <c r="E27" s="151" t="s">
        <v>58</v>
      </c>
      <c r="F27" s="174" t="s">
        <v>6053</v>
      </c>
      <c r="G27" s="167">
        <f>'PSX Prices'!F10</f>
        <v>75.67</v>
      </c>
      <c r="H27" s="167">
        <f>'PSX Prices'!M10</f>
        <v>49.58</v>
      </c>
      <c r="I27" s="165">
        <f t="shared" si="0"/>
        <v>1.5262202501008473</v>
      </c>
      <c r="J27" s="165">
        <v>1.5262202501008473</v>
      </c>
      <c r="K27" s="169">
        <f t="shared" si="1"/>
        <v>0</v>
      </c>
      <c r="L27" s="165">
        <v>1.1000000000000001</v>
      </c>
      <c r="M27" s="151">
        <v>2</v>
      </c>
      <c r="N27" s="151" t="str">
        <f t="shared" si="2"/>
        <v>No fit</v>
      </c>
      <c r="O27" s="174" t="s">
        <v>6054</v>
      </c>
      <c r="P27" s="174" t="s">
        <v>6051</v>
      </c>
    </row>
    <row r="28" spans="1:16" ht="64.05" customHeight="1" x14ac:dyDescent="0.3">
      <c r="A28" s="154" t="s">
        <v>6079</v>
      </c>
      <c r="B28" s="154" t="s">
        <v>5755</v>
      </c>
      <c r="C28" s="154" t="s">
        <v>18</v>
      </c>
      <c r="D28" s="154">
        <v>2025</v>
      </c>
      <c r="E28" s="154" t="s">
        <v>58</v>
      </c>
      <c r="F28" s="173" t="s">
        <v>6056</v>
      </c>
      <c r="G28" s="166">
        <f>KOHC!H130</f>
        <v>379.36</v>
      </c>
      <c r="H28" s="166">
        <f>(KOHC!H41/KOHC!H128)</f>
        <v>260.8226721418157</v>
      </c>
      <c r="I28" s="164">
        <f t="shared" si="0"/>
        <v>1.4544747850514033</v>
      </c>
      <c r="J28" s="164">
        <v>1.4544747850514033</v>
      </c>
      <c r="K28" s="168">
        <f t="shared" si="1"/>
        <v>0</v>
      </c>
      <c r="L28" s="164">
        <v>1.1000000000000001</v>
      </c>
      <c r="M28" s="154">
        <v>2</v>
      </c>
      <c r="N28" s="154" t="str">
        <f t="shared" si="2"/>
        <v>No fit</v>
      </c>
      <c r="O28" s="173" t="s">
        <v>6057</v>
      </c>
      <c r="P28" s="173" t="s">
        <v>6051</v>
      </c>
    </row>
    <row r="29" spans="1:16" ht="64.05" customHeight="1" x14ac:dyDescent="0.3">
      <c r="A29" s="151" t="s">
        <v>6080</v>
      </c>
      <c r="B29" s="151" t="s">
        <v>5755</v>
      </c>
      <c r="C29" s="151" t="s">
        <v>18</v>
      </c>
      <c r="D29" s="151">
        <v>2025</v>
      </c>
      <c r="E29" s="151" t="s">
        <v>58</v>
      </c>
      <c r="F29" s="174" t="s">
        <v>5752</v>
      </c>
      <c r="G29" s="167">
        <f>('PSX Prices'!F10*'PSX Prices'!O10)</f>
        <v>73183.642707000006</v>
      </c>
      <c r="H29" s="167">
        <f>(KOHC!H37-KOHC!H24)</f>
        <v>66794.052026000005</v>
      </c>
      <c r="I29" s="165">
        <f t="shared" si="0"/>
        <v>1.0956610729127918</v>
      </c>
      <c r="J29" s="165">
        <v>1.0956610729127918</v>
      </c>
      <c r="K29" s="169">
        <f t="shared" si="1"/>
        <v>0</v>
      </c>
      <c r="L29" s="165">
        <v>1.1000000000000001</v>
      </c>
      <c r="M29" s="151">
        <v>2</v>
      </c>
      <c r="N29" s="151" t="str">
        <f t="shared" si="2"/>
        <v>Numeric fit</v>
      </c>
      <c r="O29" s="174" t="s">
        <v>6059</v>
      </c>
      <c r="P29" s="174" t="s">
        <v>6051</v>
      </c>
    </row>
    <row r="30" spans="1:16" ht="64.05" customHeight="1" x14ac:dyDescent="0.3">
      <c r="A30" s="154" t="s">
        <v>6081</v>
      </c>
      <c r="B30" s="154" t="s">
        <v>5755</v>
      </c>
      <c r="C30" s="154" t="s">
        <v>18</v>
      </c>
      <c r="D30" s="154">
        <v>2025</v>
      </c>
      <c r="E30" s="154" t="s">
        <v>58</v>
      </c>
      <c r="F30" s="173" t="s">
        <v>5737</v>
      </c>
      <c r="G30" s="166">
        <f>('PSX Prices'!F10*'PSX Prices'!O10)</f>
        <v>73183.642707000006</v>
      </c>
      <c r="H30" s="166">
        <f>((KOHC!H37-KOHC!H24)*5)</f>
        <v>333970.26013000001</v>
      </c>
      <c r="I30" s="164">
        <f t="shared" si="0"/>
        <v>0.21913221458255838</v>
      </c>
      <c r="J30" s="164">
        <v>0.21913221458255838</v>
      </c>
      <c r="K30" s="168">
        <f t="shared" si="1"/>
        <v>0</v>
      </c>
      <c r="L30" s="164">
        <v>1.1000000000000001</v>
      </c>
      <c r="M30" s="154">
        <v>2</v>
      </c>
      <c r="N30" s="154" t="str">
        <f t="shared" si="2"/>
        <v>No fit</v>
      </c>
      <c r="O30" s="173" t="s">
        <v>6061</v>
      </c>
      <c r="P30" s="173" t="s">
        <v>6051</v>
      </c>
    </row>
    <row r="31" spans="1:16" ht="64.05" customHeight="1" x14ac:dyDescent="0.3">
      <c r="A31" s="151" t="s">
        <v>6082</v>
      </c>
      <c r="B31" s="151" t="s">
        <v>5758</v>
      </c>
      <c r="C31" s="151" t="s">
        <v>68</v>
      </c>
      <c r="D31" s="151">
        <v>2025</v>
      </c>
      <c r="E31" s="151" t="s">
        <v>71</v>
      </c>
      <c r="F31" s="174" t="s">
        <v>5893</v>
      </c>
      <c r="G31" s="167">
        <f>365*AVERAGE(LUCK!G32,LUCK!H32)</f>
        <v>2424635.3225000002</v>
      </c>
      <c r="H31" s="167">
        <f>LUCK!H84</f>
        <v>124511.74400000001</v>
      </c>
      <c r="I31" s="165">
        <f t="shared" si="0"/>
        <v>19.473145621508603</v>
      </c>
      <c r="J31" s="165">
        <v>19.473145621508603</v>
      </c>
      <c r="K31" s="169">
        <f t="shared" si="1"/>
        <v>0</v>
      </c>
      <c r="L31" s="165">
        <v>19.48</v>
      </c>
      <c r="M31" s="151">
        <v>2</v>
      </c>
      <c r="N31" s="151" t="str">
        <f t="shared" si="2"/>
        <v>No fit</v>
      </c>
      <c r="O31" s="174" t="s">
        <v>6050</v>
      </c>
      <c r="P31" s="174" t="s">
        <v>6051</v>
      </c>
    </row>
    <row r="32" spans="1:16" ht="64.05" customHeight="1" x14ac:dyDescent="0.3">
      <c r="A32" s="154" t="s">
        <v>6083</v>
      </c>
      <c r="B32" s="154" t="s">
        <v>5758</v>
      </c>
      <c r="C32" s="154" t="s">
        <v>68</v>
      </c>
      <c r="D32" s="154">
        <v>2025</v>
      </c>
      <c r="E32" s="154" t="s">
        <v>71</v>
      </c>
      <c r="F32" s="173" t="s">
        <v>6084</v>
      </c>
      <c r="G32" s="166">
        <f>(365*AVERAGE(LUCK!G32,LUCK!H32))</f>
        <v>2424635.3225000002</v>
      </c>
      <c r="H32" s="166">
        <f>LUCK!H84</f>
        <v>124511.74400000001</v>
      </c>
      <c r="I32" s="164">
        <f t="shared" si="0"/>
        <v>19.473145621508603</v>
      </c>
      <c r="J32" s="164">
        <v>19.473145621508603</v>
      </c>
      <c r="K32" s="168">
        <f t="shared" si="1"/>
        <v>0</v>
      </c>
      <c r="L32" s="164">
        <v>19.48</v>
      </c>
      <c r="M32" s="154">
        <v>2</v>
      </c>
      <c r="N32" s="154" t="str">
        <f t="shared" si="2"/>
        <v>No fit</v>
      </c>
      <c r="O32" s="173" t="s">
        <v>6085</v>
      </c>
      <c r="P32" s="173" t="s">
        <v>6051</v>
      </c>
    </row>
    <row r="33" spans="1:16" ht="64.05" customHeight="1" x14ac:dyDescent="0.3">
      <c r="A33" s="151" t="s">
        <v>6086</v>
      </c>
      <c r="B33" s="151" t="s">
        <v>5758</v>
      </c>
      <c r="C33" s="151" t="s">
        <v>68</v>
      </c>
      <c r="D33" s="151">
        <v>2025</v>
      </c>
      <c r="E33" s="151" t="s">
        <v>71</v>
      </c>
      <c r="F33" s="174" t="s">
        <v>5814</v>
      </c>
      <c r="G33" s="167">
        <f>(366*AVERAGE(LUCK!G32,LUCK!H32))</f>
        <v>2431278.159</v>
      </c>
      <c r="H33" s="167">
        <f>LUCK!H84</f>
        <v>124511.74400000001</v>
      </c>
      <c r="I33" s="165">
        <f t="shared" si="0"/>
        <v>19.526496705403144</v>
      </c>
      <c r="J33" s="165">
        <v>19.526496705403144</v>
      </c>
      <c r="K33" s="169">
        <f t="shared" si="1"/>
        <v>0</v>
      </c>
      <c r="L33" s="165">
        <v>19.48</v>
      </c>
      <c r="M33" s="151">
        <v>2</v>
      </c>
      <c r="N33" s="151" t="str">
        <f t="shared" si="2"/>
        <v>No fit</v>
      </c>
      <c r="O33" s="174" t="s">
        <v>6085</v>
      </c>
      <c r="P33" s="174" t="s">
        <v>6051</v>
      </c>
    </row>
    <row r="34" spans="1:16" ht="64.05" customHeight="1" x14ac:dyDescent="0.3">
      <c r="A34" s="154" t="s">
        <v>6087</v>
      </c>
      <c r="B34" s="154" t="s">
        <v>5758</v>
      </c>
      <c r="C34" s="154" t="s">
        <v>68</v>
      </c>
      <c r="D34" s="154">
        <v>2025</v>
      </c>
      <c r="E34" s="154" t="s">
        <v>71</v>
      </c>
      <c r="F34" s="173" t="s">
        <v>6088</v>
      </c>
      <c r="G34" s="166">
        <f>(360*AVERAGE(LUCK!G32,LUCK!H32))</f>
        <v>2391421.14</v>
      </c>
      <c r="H34" s="166">
        <f>LUCK!H84</f>
        <v>124511.74400000001</v>
      </c>
      <c r="I34" s="164">
        <f t="shared" si="0"/>
        <v>19.20639020203588</v>
      </c>
      <c r="J34" s="164">
        <v>19.20639020203588</v>
      </c>
      <c r="K34" s="168">
        <f t="shared" si="1"/>
        <v>0</v>
      </c>
      <c r="L34" s="164">
        <v>19.48</v>
      </c>
      <c r="M34" s="154">
        <v>2</v>
      </c>
      <c r="N34" s="154" t="str">
        <f t="shared" si="2"/>
        <v>No fit</v>
      </c>
      <c r="O34" s="173" t="s">
        <v>6085</v>
      </c>
      <c r="P34" s="173" t="s">
        <v>6051</v>
      </c>
    </row>
    <row r="35" spans="1:16" ht="64.05" customHeight="1" x14ac:dyDescent="0.3">
      <c r="A35" s="151" t="s">
        <v>6089</v>
      </c>
      <c r="B35" s="151" t="s">
        <v>5758</v>
      </c>
      <c r="C35" s="151" t="s">
        <v>68</v>
      </c>
      <c r="D35" s="151">
        <v>2025</v>
      </c>
      <c r="E35" s="151" t="s">
        <v>71</v>
      </c>
      <c r="F35" s="174" t="s">
        <v>6090</v>
      </c>
      <c r="G35" s="167">
        <f>(365*LUCK!H32)</f>
        <v>2318915.81</v>
      </c>
      <c r="H35" s="167">
        <f>LUCK!H84</f>
        <v>124511.74400000001</v>
      </c>
      <c r="I35" s="165">
        <f t="shared" si="0"/>
        <v>18.624073003105636</v>
      </c>
      <c r="J35" s="165">
        <v>18.624073003105636</v>
      </c>
      <c r="K35" s="169">
        <f t="shared" si="1"/>
        <v>0</v>
      </c>
      <c r="L35" s="165">
        <v>19.48</v>
      </c>
      <c r="M35" s="151">
        <v>2</v>
      </c>
      <c r="N35" s="151" t="str">
        <f t="shared" si="2"/>
        <v>No fit</v>
      </c>
      <c r="O35" s="174" t="s">
        <v>6091</v>
      </c>
      <c r="P35" s="174" t="s">
        <v>6051</v>
      </c>
    </row>
    <row r="36" spans="1:16" ht="64.05" customHeight="1" x14ac:dyDescent="0.3">
      <c r="A36" s="154" t="s">
        <v>6092</v>
      </c>
      <c r="B36" s="154" t="s">
        <v>5758</v>
      </c>
      <c r="C36" s="154" t="s">
        <v>68</v>
      </c>
      <c r="D36" s="154">
        <v>2025</v>
      </c>
      <c r="E36" s="154" t="s">
        <v>71</v>
      </c>
      <c r="F36" s="173" t="s">
        <v>6093</v>
      </c>
      <c r="G36" s="166">
        <f>(366*LUCK!H32)</f>
        <v>2325269.0040000002</v>
      </c>
      <c r="H36" s="166">
        <f>LUCK!H84</f>
        <v>124511.74400000001</v>
      </c>
      <c r="I36" s="164">
        <f t="shared" si="0"/>
        <v>18.675097860648389</v>
      </c>
      <c r="J36" s="164">
        <v>18.675097860648389</v>
      </c>
      <c r="K36" s="168">
        <f t="shared" si="1"/>
        <v>0</v>
      </c>
      <c r="L36" s="164">
        <v>19.48</v>
      </c>
      <c r="M36" s="154">
        <v>2</v>
      </c>
      <c r="N36" s="154" t="str">
        <f t="shared" si="2"/>
        <v>No fit</v>
      </c>
      <c r="O36" s="173" t="s">
        <v>6091</v>
      </c>
      <c r="P36" s="173" t="s">
        <v>6051</v>
      </c>
    </row>
    <row r="37" spans="1:16" ht="64.05" customHeight="1" x14ac:dyDescent="0.3">
      <c r="A37" s="151" t="s">
        <v>6094</v>
      </c>
      <c r="B37" s="151" t="s">
        <v>5758</v>
      </c>
      <c r="C37" s="151" t="s">
        <v>68</v>
      </c>
      <c r="D37" s="151">
        <v>2025</v>
      </c>
      <c r="E37" s="151" t="s">
        <v>71</v>
      </c>
      <c r="F37" s="174" t="s">
        <v>6095</v>
      </c>
      <c r="G37" s="167">
        <f>(360*LUCK!H32)</f>
        <v>2287149.8400000003</v>
      </c>
      <c r="H37" s="167">
        <f>LUCK!H84</f>
        <v>124511.74400000001</v>
      </c>
      <c r="I37" s="165">
        <f t="shared" si="0"/>
        <v>18.368948715391859</v>
      </c>
      <c r="J37" s="165">
        <v>18.368948715391859</v>
      </c>
      <c r="K37" s="169">
        <f t="shared" si="1"/>
        <v>0</v>
      </c>
      <c r="L37" s="165">
        <v>19.48</v>
      </c>
      <c r="M37" s="151">
        <v>2</v>
      </c>
      <c r="N37" s="151" t="str">
        <f t="shared" si="2"/>
        <v>No fit</v>
      </c>
      <c r="O37" s="174" t="s">
        <v>6091</v>
      </c>
      <c r="P37" s="174" t="s">
        <v>6051</v>
      </c>
    </row>
    <row r="38" spans="1:16" ht="64.05" customHeight="1" x14ac:dyDescent="0.3">
      <c r="A38" s="154" t="s">
        <v>6096</v>
      </c>
      <c r="B38" s="154" t="s">
        <v>5758</v>
      </c>
      <c r="C38" s="154" t="s">
        <v>68</v>
      </c>
      <c r="D38" s="154">
        <v>2025</v>
      </c>
      <c r="E38" s="154" t="s">
        <v>71</v>
      </c>
      <c r="F38" s="173" t="s">
        <v>6097</v>
      </c>
      <c r="G38" s="166">
        <f>(365*LUCK!G32)</f>
        <v>2530354.835</v>
      </c>
      <c r="H38" s="166">
        <f>LUCK!H84</f>
        <v>124511.74400000001</v>
      </c>
      <c r="I38" s="164">
        <f t="shared" si="0"/>
        <v>20.322218239911567</v>
      </c>
      <c r="J38" s="164">
        <v>20.322218239911567</v>
      </c>
      <c r="K38" s="168">
        <f t="shared" si="1"/>
        <v>0</v>
      </c>
      <c r="L38" s="164">
        <v>19.48</v>
      </c>
      <c r="M38" s="154">
        <v>2</v>
      </c>
      <c r="N38" s="154" t="str">
        <f t="shared" si="2"/>
        <v>No fit</v>
      </c>
      <c r="O38" s="173" t="s">
        <v>6091</v>
      </c>
      <c r="P38" s="173" t="s">
        <v>6051</v>
      </c>
    </row>
    <row r="39" spans="1:16" ht="64.05" customHeight="1" x14ac:dyDescent="0.3">
      <c r="A39" s="151" t="s">
        <v>6098</v>
      </c>
      <c r="B39" s="151" t="s">
        <v>5758</v>
      </c>
      <c r="C39" s="151" t="s">
        <v>68</v>
      </c>
      <c r="D39" s="151">
        <v>2025</v>
      </c>
      <c r="E39" s="151" t="s">
        <v>71</v>
      </c>
      <c r="F39" s="174" t="s">
        <v>6099</v>
      </c>
      <c r="G39" s="167">
        <f>(366*LUCK!G32)</f>
        <v>2537287.3140000002</v>
      </c>
      <c r="H39" s="167">
        <f>LUCK!H84</f>
        <v>124511.74400000001</v>
      </c>
      <c r="I39" s="165">
        <f t="shared" si="0"/>
        <v>20.377895550157906</v>
      </c>
      <c r="J39" s="165">
        <v>20.377895550157906</v>
      </c>
      <c r="K39" s="169">
        <f t="shared" si="1"/>
        <v>0</v>
      </c>
      <c r="L39" s="165">
        <v>19.48</v>
      </c>
      <c r="M39" s="151">
        <v>2</v>
      </c>
      <c r="N39" s="151" t="str">
        <f t="shared" si="2"/>
        <v>No fit</v>
      </c>
      <c r="O39" s="174" t="s">
        <v>6091</v>
      </c>
      <c r="P39" s="174" t="s">
        <v>6051</v>
      </c>
    </row>
    <row r="40" spans="1:16" ht="64.05" customHeight="1" x14ac:dyDescent="0.3">
      <c r="A40" s="154" t="s">
        <v>6100</v>
      </c>
      <c r="B40" s="154" t="s">
        <v>5758</v>
      </c>
      <c r="C40" s="154" t="s">
        <v>68</v>
      </c>
      <c r="D40" s="154">
        <v>2025</v>
      </c>
      <c r="E40" s="154" t="s">
        <v>71</v>
      </c>
      <c r="F40" s="173" t="s">
        <v>6101</v>
      </c>
      <c r="G40" s="166">
        <f>(360*LUCK!G32)</f>
        <v>2495692.44</v>
      </c>
      <c r="H40" s="166">
        <f>LUCK!H84</f>
        <v>124511.74400000001</v>
      </c>
      <c r="I40" s="164">
        <f t="shared" si="0"/>
        <v>20.043831688679905</v>
      </c>
      <c r="J40" s="164">
        <v>20.043831688679905</v>
      </c>
      <c r="K40" s="168">
        <f t="shared" si="1"/>
        <v>0</v>
      </c>
      <c r="L40" s="164">
        <v>19.48</v>
      </c>
      <c r="M40" s="154">
        <v>2</v>
      </c>
      <c r="N40" s="154" t="str">
        <f t="shared" si="2"/>
        <v>No fit</v>
      </c>
      <c r="O40" s="173" t="s">
        <v>6091</v>
      </c>
      <c r="P40" s="173" t="s">
        <v>6051</v>
      </c>
    </row>
    <row r="41" spans="1:16" ht="64.05" customHeight="1" x14ac:dyDescent="0.3">
      <c r="A41" s="151" t="s">
        <v>6102</v>
      </c>
      <c r="B41" s="151" t="s">
        <v>5758</v>
      </c>
      <c r="C41" s="151" t="s">
        <v>68</v>
      </c>
      <c r="D41" s="151">
        <v>2025</v>
      </c>
      <c r="E41" s="151" t="s">
        <v>71</v>
      </c>
      <c r="F41" s="174" t="s">
        <v>5762</v>
      </c>
      <c r="G41" s="167">
        <f>365</f>
        <v>365</v>
      </c>
      <c r="H41" s="167">
        <f>ROUND((LUCK!H84/AVERAGE(LUCK!G32,LUCK!H32)),2)</f>
        <v>18.739999999999998</v>
      </c>
      <c r="I41" s="165">
        <f t="shared" si="0"/>
        <v>19.477054429028819</v>
      </c>
      <c r="J41" s="165">
        <v>19.477054429028819</v>
      </c>
      <c r="K41" s="169">
        <f t="shared" si="1"/>
        <v>0</v>
      </c>
      <c r="L41" s="165">
        <v>19.48</v>
      </c>
      <c r="M41" s="151">
        <v>2</v>
      </c>
      <c r="N41" s="151" t="str">
        <f t="shared" si="2"/>
        <v>Numeric fit</v>
      </c>
      <c r="O41" s="174" t="s">
        <v>6103</v>
      </c>
      <c r="P41" s="174" t="s">
        <v>6051</v>
      </c>
    </row>
    <row r="42" spans="1:16" ht="64.05" customHeight="1" x14ac:dyDescent="0.3">
      <c r="A42" s="154" t="s">
        <v>6104</v>
      </c>
      <c r="B42" s="154" t="s">
        <v>5767</v>
      </c>
      <c r="C42" s="154" t="s">
        <v>68</v>
      </c>
      <c r="D42" s="154">
        <v>2023</v>
      </c>
      <c r="E42" s="154" t="s">
        <v>82</v>
      </c>
      <c r="F42" s="173" t="s">
        <v>5893</v>
      </c>
      <c r="G42" s="166">
        <f>LUCK!F99</f>
        <v>13725.813999999998</v>
      </c>
      <c r="H42" s="166">
        <f>LUCK!F129</f>
        <v>318.74900000000002</v>
      </c>
      <c r="I42" s="164">
        <f t="shared" si="0"/>
        <v>43.061512349842658</v>
      </c>
      <c r="J42" s="164">
        <v>43.061512349842658</v>
      </c>
      <c r="K42" s="168">
        <f t="shared" si="1"/>
        <v>0</v>
      </c>
      <c r="L42" s="164">
        <v>8.49</v>
      </c>
      <c r="M42" s="154">
        <v>2</v>
      </c>
      <c r="N42" s="154" t="str">
        <f t="shared" si="2"/>
        <v>No fit</v>
      </c>
      <c r="O42" s="173" t="s">
        <v>6050</v>
      </c>
      <c r="P42" s="173" t="s">
        <v>6051</v>
      </c>
    </row>
    <row r="43" spans="1:16" ht="64.05" customHeight="1" x14ac:dyDescent="0.3">
      <c r="A43" s="151" t="s">
        <v>6105</v>
      </c>
      <c r="B43" s="151" t="s">
        <v>5767</v>
      </c>
      <c r="C43" s="151" t="s">
        <v>68</v>
      </c>
      <c r="D43" s="151">
        <v>2023</v>
      </c>
      <c r="E43" s="151" t="s">
        <v>82</v>
      </c>
      <c r="F43" s="174" t="s">
        <v>6106</v>
      </c>
      <c r="G43" s="167">
        <f>LUCK!F99</f>
        <v>13725.813999999998</v>
      </c>
      <c r="H43" s="167">
        <f>(LUCK!F129*5)</f>
        <v>1593.7450000000001</v>
      </c>
      <c r="I43" s="165">
        <f t="shared" si="0"/>
        <v>8.6123024699685313</v>
      </c>
      <c r="J43" s="165">
        <v>8.6123024699685313</v>
      </c>
      <c r="K43" s="169">
        <f t="shared" si="1"/>
        <v>0</v>
      </c>
      <c r="L43" s="165">
        <v>8.49</v>
      </c>
      <c r="M43" s="151">
        <v>2</v>
      </c>
      <c r="N43" s="151" t="str">
        <f t="shared" si="2"/>
        <v>No fit</v>
      </c>
      <c r="O43" s="174" t="s">
        <v>6107</v>
      </c>
      <c r="P43" s="174" t="s">
        <v>6051</v>
      </c>
    </row>
    <row r="44" spans="1:16" ht="64.05" customHeight="1" x14ac:dyDescent="0.3">
      <c r="A44" s="154" t="s">
        <v>6108</v>
      </c>
      <c r="B44" s="154" t="s">
        <v>5767</v>
      </c>
      <c r="C44" s="154" t="s">
        <v>68</v>
      </c>
      <c r="D44" s="154">
        <v>2023</v>
      </c>
      <c r="E44" s="154" t="s">
        <v>82</v>
      </c>
      <c r="F44" s="173" t="s">
        <v>6109</v>
      </c>
      <c r="G44" s="166">
        <f>LUCK!F99</f>
        <v>13725.813999999998</v>
      </c>
      <c r="H44" s="166">
        <f>(LUCK!F128*5)</f>
        <v>1559.193</v>
      </c>
      <c r="I44" s="164">
        <f t="shared" si="0"/>
        <v>8.8031526565345004</v>
      </c>
      <c r="J44" s="164">
        <v>8.8031526565345004</v>
      </c>
      <c r="K44" s="168">
        <f t="shared" si="1"/>
        <v>0</v>
      </c>
      <c r="L44" s="164">
        <v>8.49</v>
      </c>
      <c r="M44" s="154">
        <v>2</v>
      </c>
      <c r="N44" s="154" t="str">
        <f t="shared" si="2"/>
        <v>No fit</v>
      </c>
      <c r="O44" s="173" t="s">
        <v>6110</v>
      </c>
      <c r="P44" s="173" t="s">
        <v>6051</v>
      </c>
    </row>
    <row r="45" spans="1:16" ht="64.05" customHeight="1" x14ac:dyDescent="0.3">
      <c r="A45" s="151" t="s">
        <v>6111</v>
      </c>
      <c r="B45" s="151" t="s">
        <v>5767</v>
      </c>
      <c r="C45" s="151" t="s">
        <v>68</v>
      </c>
      <c r="D45" s="151">
        <v>2023</v>
      </c>
      <c r="E45" s="151" t="s">
        <v>82</v>
      </c>
      <c r="F45" s="174" t="s">
        <v>5771</v>
      </c>
      <c r="G45" s="167">
        <f>LUCK!F99</f>
        <v>13725.813999999998</v>
      </c>
      <c r="H45" s="167">
        <f>((LUCK!E39/LUCK!E127)*5)</f>
        <v>1616.875</v>
      </c>
      <c r="I45" s="165">
        <f t="shared" si="0"/>
        <v>8.4891002705836875</v>
      </c>
      <c r="J45" s="165">
        <v>8.4891002705836875</v>
      </c>
      <c r="K45" s="169">
        <f t="shared" si="1"/>
        <v>0</v>
      </c>
      <c r="L45" s="165">
        <v>8.49</v>
      </c>
      <c r="M45" s="151">
        <v>2</v>
      </c>
      <c r="N45" s="151" t="str">
        <f t="shared" si="2"/>
        <v>Numeric fit</v>
      </c>
      <c r="O45" s="174" t="s">
        <v>6112</v>
      </c>
      <c r="P45" s="174" t="s">
        <v>6051</v>
      </c>
    </row>
    <row r="46" spans="1:16" ht="64.05" customHeight="1" x14ac:dyDescent="0.3">
      <c r="A46" s="154" t="s">
        <v>6113</v>
      </c>
      <c r="B46" s="154" t="s">
        <v>5776</v>
      </c>
      <c r="C46" s="154" t="s">
        <v>86</v>
      </c>
      <c r="D46" s="154">
        <v>2021</v>
      </c>
      <c r="E46" s="154" t="s">
        <v>74</v>
      </c>
      <c r="F46" s="173" t="s">
        <v>5893</v>
      </c>
      <c r="G46" s="166">
        <f>365*AVERAGE(DGKC!C51,DGKC!D51)</f>
        <v>2135423.375</v>
      </c>
      <c r="H46" s="166">
        <f>-DGKC!D85</f>
        <v>37035.798000000003</v>
      </c>
      <c r="I46" s="164">
        <f t="shared" si="0"/>
        <v>57.658360027776368</v>
      </c>
      <c r="J46" s="164">
        <v>57.658360027776368</v>
      </c>
      <c r="K46" s="168">
        <f t="shared" si="1"/>
        <v>0</v>
      </c>
      <c r="L46" s="164">
        <v>138</v>
      </c>
      <c r="M46" s="154">
        <v>0</v>
      </c>
      <c r="N46" s="154" t="str">
        <f t="shared" si="2"/>
        <v>No fit</v>
      </c>
      <c r="O46" s="173" t="s">
        <v>6050</v>
      </c>
      <c r="P46" s="173" t="s">
        <v>6051</v>
      </c>
    </row>
    <row r="47" spans="1:16" ht="64.05" customHeight="1" x14ac:dyDescent="0.3">
      <c r="A47" s="151" t="s">
        <v>6114</v>
      </c>
      <c r="B47" s="151" t="s">
        <v>5776</v>
      </c>
      <c r="C47" s="151" t="s">
        <v>86</v>
      </c>
      <c r="D47" s="151">
        <v>2021</v>
      </c>
      <c r="E47" s="151" t="s">
        <v>74</v>
      </c>
      <c r="F47" s="174" t="s">
        <v>6115</v>
      </c>
      <c r="G47" s="167">
        <f>(365*DGKC!D51)</f>
        <v>2692104.95</v>
      </c>
      <c r="H47" s="167">
        <f>(DGKC!D85*-1)</f>
        <v>37035.798000000003</v>
      </c>
      <c r="I47" s="165">
        <f t="shared" si="0"/>
        <v>72.689265396684576</v>
      </c>
      <c r="J47" s="165">
        <v>72.689265396684576</v>
      </c>
      <c r="K47" s="169">
        <f t="shared" si="1"/>
        <v>0</v>
      </c>
      <c r="L47" s="165">
        <v>138</v>
      </c>
      <c r="M47" s="151">
        <v>0</v>
      </c>
      <c r="N47" s="151" t="str">
        <f t="shared" si="2"/>
        <v>No fit</v>
      </c>
      <c r="O47" s="174" t="s">
        <v>6116</v>
      </c>
      <c r="P47" s="174" t="s">
        <v>6051</v>
      </c>
    </row>
    <row r="48" spans="1:16" ht="64.05" customHeight="1" x14ac:dyDescent="0.3">
      <c r="A48" s="154" t="s">
        <v>6117</v>
      </c>
      <c r="B48" s="154" t="s">
        <v>5776</v>
      </c>
      <c r="C48" s="154" t="s">
        <v>86</v>
      </c>
      <c r="D48" s="154">
        <v>2021</v>
      </c>
      <c r="E48" s="154" t="s">
        <v>74</v>
      </c>
      <c r="F48" s="173" t="s">
        <v>6118</v>
      </c>
      <c r="G48" s="166">
        <f>(365*DGKC!D51)</f>
        <v>2692104.95</v>
      </c>
      <c r="H48" s="166">
        <f>DGKC!D84</f>
        <v>45107.69</v>
      </c>
      <c r="I48" s="164">
        <f t="shared" si="0"/>
        <v>59.681729434604165</v>
      </c>
      <c r="J48" s="164">
        <v>59.681729434604165</v>
      </c>
      <c r="K48" s="168">
        <f t="shared" si="1"/>
        <v>0</v>
      </c>
      <c r="L48" s="164">
        <v>138</v>
      </c>
      <c r="M48" s="154">
        <v>0</v>
      </c>
      <c r="N48" s="154" t="str">
        <f t="shared" si="2"/>
        <v>No fit</v>
      </c>
      <c r="O48" s="173" t="s">
        <v>6119</v>
      </c>
      <c r="P48" s="173" t="s">
        <v>6051</v>
      </c>
    </row>
    <row r="49" spans="1:16" ht="64.05" customHeight="1" x14ac:dyDescent="0.3">
      <c r="A49" s="151" t="s">
        <v>6120</v>
      </c>
      <c r="B49" s="151" t="s">
        <v>5776</v>
      </c>
      <c r="C49" s="151" t="s">
        <v>86</v>
      </c>
      <c r="D49" s="151">
        <v>2021</v>
      </c>
      <c r="E49" s="151" t="s">
        <v>74</v>
      </c>
      <c r="F49" s="174" t="s">
        <v>6121</v>
      </c>
      <c r="G49" s="167">
        <f>(365*DGKC!D51)</f>
        <v>2692104.95</v>
      </c>
      <c r="H49" s="167">
        <f>((DGKC!D85*-1)+(DGKC!D65-DGKC!C65))</f>
        <v>40052.75</v>
      </c>
      <c r="I49" s="165">
        <f t="shared" si="0"/>
        <v>67.213985306876566</v>
      </c>
      <c r="J49" s="165">
        <v>67.213985306876566</v>
      </c>
      <c r="K49" s="169">
        <f t="shared" si="1"/>
        <v>0</v>
      </c>
      <c r="L49" s="165">
        <v>138</v>
      </c>
      <c r="M49" s="151">
        <v>0</v>
      </c>
      <c r="N49" s="151" t="str">
        <f t="shared" si="2"/>
        <v>No fit</v>
      </c>
      <c r="O49" s="174" t="s">
        <v>6122</v>
      </c>
      <c r="P49" s="174" t="s">
        <v>6051</v>
      </c>
    </row>
    <row r="50" spans="1:16" ht="64.05" customHeight="1" x14ac:dyDescent="0.3">
      <c r="A50" s="154" t="s">
        <v>6123</v>
      </c>
      <c r="B50" s="154" t="s">
        <v>5776</v>
      </c>
      <c r="C50" s="154" t="s">
        <v>86</v>
      </c>
      <c r="D50" s="154">
        <v>2021</v>
      </c>
      <c r="E50" s="154" t="s">
        <v>74</v>
      </c>
      <c r="F50" s="173" t="s">
        <v>6124</v>
      </c>
      <c r="G50" s="166">
        <f>(365*DGKC!D51)</f>
        <v>2692104.95</v>
      </c>
      <c r="H50" s="166">
        <f>((DGKC!D85*-1)+(DGKC!D31-DGKC!C31))</f>
        <v>35411.392</v>
      </c>
      <c r="I50" s="164">
        <f t="shared" si="0"/>
        <v>76.023697402237119</v>
      </c>
      <c r="J50" s="164">
        <v>76.023697402237119</v>
      </c>
      <c r="K50" s="168">
        <f t="shared" si="1"/>
        <v>0</v>
      </c>
      <c r="L50" s="164">
        <v>138</v>
      </c>
      <c r="M50" s="154">
        <v>0</v>
      </c>
      <c r="N50" s="154" t="str">
        <f t="shared" si="2"/>
        <v>No fit</v>
      </c>
      <c r="O50" s="173" t="s">
        <v>6125</v>
      </c>
      <c r="P50" s="173" t="s">
        <v>6051</v>
      </c>
    </row>
    <row r="51" spans="1:16" ht="64.05" customHeight="1" x14ac:dyDescent="0.3">
      <c r="A51" s="151" t="s">
        <v>6126</v>
      </c>
      <c r="B51" s="151" t="s">
        <v>5776</v>
      </c>
      <c r="C51" s="151" t="s">
        <v>86</v>
      </c>
      <c r="D51" s="151">
        <v>2021</v>
      </c>
      <c r="E51" s="151" t="s">
        <v>74</v>
      </c>
      <c r="F51" s="174" t="s">
        <v>6127</v>
      </c>
      <c r="G51" s="167">
        <f>(365*AVERAGE(DGKC!C51,DGKC!D51))</f>
        <v>2135423.375</v>
      </c>
      <c r="H51" s="167">
        <f>(DGKC!D85*-1)</f>
        <v>37035.798000000003</v>
      </c>
      <c r="I51" s="165">
        <f t="shared" si="0"/>
        <v>57.658360027776368</v>
      </c>
      <c r="J51" s="165">
        <v>57.658360027776368</v>
      </c>
      <c r="K51" s="169">
        <f t="shared" si="1"/>
        <v>0</v>
      </c>
      <c r="L51" s="165">
        <v>138</v>
      </c>
      <c r="M51" s="151">
        <v>0</v>
      </c>
      <c r="N51" s="151" t="str">
        <f t="shared" si="2"/>
        <v>No fit</v>
      </c>
      <c r="O51" s="174" t="s">
        <v>6128</v>
      </c>
      <c r="P51" s="174" t="s">
        <v>6051</v>
      </c>
    </row>
    <row r="52" spans="1:16" ht="64.05" customHeight="1" x14ac:dyDescent="0.3">
      <c r="A52" s="154" t="s">
        <v>6129</v>
      </c>
      <c r="B52" s="154" t="s">
        <v>5776</v>
      </c>
      <c r="C52" s="154" t="s">
        <v>86</v>
      </c>
      <c r="D52" s="154">
        <v>2021</v>
      </c>
      <c r="E52" s="154" t="s">
        <v>74</v>
      </c>
      <c r="F52" s="173" t="s">
        <v>6130</v>
      </c>
      <c r="G52" s="166">
        <f>(365*AVERAGE(DGKC!C51,DGKC!D51))</f>
        <v>2135423.375</v>
      </c>
      <c r="H52" s="166">
        <f>DGKC!D84</f>
        <v>45107.69</v>
      </c>
      <c r="I52" s="164">
        <f t="shared" si="0"/>
        <v>47.340561553916856</v>
      </c>
      <c r="J52" s="164">
        <v>47.340561553916856</v>
      </c>
      <c r="K52" s="168">
        <f t="shared" si="1"/>
        <v>0</v>
      </c>
      <c r="L52" s="164">
        <v>138</v>
      </c>
      <c r="M52" s="154">
        <v>0</v>
      </c>
      <c r="N52" s="154" t="str">
        <f t="shared" si="2"/>
        <v>No fit</v>
      </c>
      <c r="O52" s="173" t="s">
        <v>6131</v>
      </c>
      <c r="P52" s="173" t="s">
        <v>6051</v>
      </c>
    </row>
    <row r="53" spans="1:16" ht="64.05" customHeight="1" x14ac:dyDescent="0.3">
      <c r="A53" s="151" t="s">
        <v>6132</v>
      </c>
      <c r="B53" s="151" t="s">
        <v>5776</v>
      </c>
      <c r="C53" s="151" t="s">
        <v>86</v>
      </c>
      <c r="D53" s="151">
        <v>2021</v>
      </c>
      <c r="E53" s="151" t="s">
        <v>74</v>
      </c>
      <c r="F53" s="174" t="s">
        <v>6133</v>
      </c>
      <c r="G53" s="167">
        <f>(365*AVERAGE(DGKC!C51,DGKC!D51))</f>
        <v>2135423.375</v>
      </c>
      <c r="H53" s="167">
        <f>((DGKC!D85*-1)+(DGKC!D65-DGKC!C65))</f>
        <v>40052.75</v>
      </c>
      <c r="I53" s="165">
        <f t="shared" si="0"/>
        <v>53.315274856283274</v>
      </c>
      <c r="J53" s="165">
        <v>53.315274856283274</v>
      </c>
      <c r="K53" s="169">
        <f t="shared" si="1"/>
        <v>0</v>
      </c>
      <c r="L53" s="165">
        <v>138</v>
      </c>
      <c r="M53" s="151">
        <v>0</v>
      </c>
      <c r="N53" s="151" t="str">
        <f t="shared" si="2"/>
        <v>No fit</v>
      </c>
      <c r="O53" s="174" t="s">
        <v>6134</v>
      </c>
      <c r="P53" s="174" t="s">
        <v>6051</v>
      </c>
    </row>
    <row r="54" spans="1:16" ht="64.05" customHeight="1" x14ac:dyDescent="0.3">
      <c r="A54" s="154" t="s">
        <v>6135</v>
      </c>
      <c r="B54" s="154" t="s">
        <v>5776</v>
      </c>
      <c r="C54" s="154" t="s">
        <v>86</v>
      </c>
      <c r="D54" s="154">
        <v>2021</v>
      </c>
      <c r="E54" s="154" t="s">
        <v>74</v>
      </c>
      <c r="F54" s="173" t="s">
        <v>6136</v>
      </c>
      <c r="G54" s="166">
        <f>(365*AVERAGE(DGKC!C51,DGKC!D51))</f>
        <v>2135423.375</v>
      </c>
      <c r="H54" s="166">
        <f>((DGKC!D85*-1)+(DGKC!D31-DGKC!C31))</f>
        <v>35411.392</v>
      </c>
      <c r="I54" s="164">
        <f t="shared" si="0"/>
        <v>60.303288133942885</v>
      </c>
      <c r="J54" s="164">
        <v>60.303288133942885</v>
      </c>
      <c r="K54" s="168">
        <f t="shared" si="1"/>
        <v>0</v>
      </c>
      <c r="L54" s="164">
        <v>138</v>
      </c>
      <c r="M54" s="154">
        <v>0</v>
      </c>
      <c r="N54" s="154" t="str">
        <f t="shared" si="2"/>
        <v>No fit</v>
      </c>
      <c r="O54" s="173" t="s">
        <v>6137</v>
      </c>
      <c r="P54" s="173" t="s">
        <v>6051</v>
      </c>
    </row>
    <row r="55" spans="1:16" ht="64.05" customHeight="1" x14ac:dyDescent="0.3">
      <c r="A55" s="151" t="s">
        <v>6138</v>
      </c>
      <c r="B55" s="151" t="s">
        <v>5776</v>
      </c>
      <c r="C55" s="151" t="s">
        <v>86</v>
      </c>
      <c r="D55" s="151">
        <v>2021</v>
      </c>
      <c r="E55" s="151" t="s">
        <v>74</v>
      </c>
      <c r="F55" s="174" t="s">
        <v>6139</v>
      </c>
      <c r="G55" s="167">
        <f>(365*DGKC!D50)</f>
        <v>5446950.1150000002</v>
      </c>
      <c r="H55" s="167">
        <f>(DGKC!D85*-1)</f>
        <v>37035.798000000003</v>
      </c>
      <c r="I55" s="165">
        <f t="shared" si="0"/>
        <v>147.0725732708662</v>
      </c>
      <c r="J55" s="165">
        <v>147.0725732708662</v>
      </c>
      <c r="K55" s="169">
        <f t="shared" si="1"/>
        <v>0</v>
      </c>
      <c r="L55" s="165">
        <v>138</v>
      </c>
      <c r="M55" s="151">
        <v>0</v>
      </c>
      <c r="N55" s="151" t="str">
        <f t="shared" si="2"/>
        <v>No fit</v>
      </c>
      <c r="O55" s="174" t="s">
        <v>6140</v>
      </c>
      <c r="P55" s="174" t="s">
        <v>6051</v>
      </c>
    </row>
    <row r="56" spans="1:16" ht="64.05" customHeight="1" x14ac:dyDescent="0.3">
      <c r="A56" s="154" t="s">
        <v>6141</v>
      </c>
      <c r="B56" s="154" t="s">
        <v>5776</v>
      </c>
      <c r="C56" s="154" t="s">
        <v>86</v>
      </c>
      <c r="D56" s="154">
        <v>2021</v>
      </c>
      <c r="E56" s="154" t="s">
        <v>74</v>
      </c>
      <c r="F56" s="173" t="s">
        <v>6142</v>
      </c>
      <c r="G56" s="166">
        <f>(365*DGKC!D50)</f>
        <v>5446950.1150000002</v>
      </c>
      <c r="H56" s="166">
        <f>DGKC!D84</f>
        <v>45107.69</v>
      </c>
      <c r="I56" s="164">
        <f t="shared" si="0"/>
        <v>120.75435729473179</v>
      </c>
      <c r="J56" s="164">
        <v>120.75435729473179</v>
      </c>
      <c r="K56" s="168">
        <f t="shared" si="1"/>
        <v>0</v>
      </c>
      <c r="L56" s="164">
        <v>138</v>
      </c>
      <c r="M56" s="154">
        <v>0</v>
      </c>
      <c r="N56" s="154" t="str">
        <f t="shared" si="2"/>
        <v>No fit</v>
      </c>
      <c r="O56" s="173" t="s">
        <v>6143</v>
      </c>
      <c r="P56" s="173" t="s">
        <v>6051</v>
      </c>
    </row>
    <row r="57" spans="1:16" ht="64.05" customHeight="1" x14ac:dyDescent="0.3">
      <c r="A57" s="151" t="s">
        <v>6144</v>
      </c>
      <c r="B57" s="151" t="s">
        <v>5776</v>
      </c>
      <c r="C57" s="151" t="s">
        <v>86</v>
      </c>
      <c r="D57" s="151">
        <v>2021</v>
      </c>
      <c r="E57" s="151" t="s">
        <v>74</v>
      </c>
      <c r="F57" s="174" t="s">
        <v>6145</v>
      </c>
      <c r="G57" s="167">
        <f>(365*DGKC!D50)</f>
        <v>5446950.1150000002</v>
      </c>
      <c r="H57" s="167">
        <f>((DGKC!D85*-1)+(DGKC!D65-DGKC!C65))</f>
        <v>40052.75</v>
      </c>
      <c r="I57" s="165">
        <f t="shared" si="0"/>
        <v>135.99441024648746</v>
      </c>
      <c r="J57" s="165">
        <v>135.99441024648746</v>
      </c>
      <c r="K57" s="169">
        <f t="shared" si="1"/>
        <v>0</v>
      </c>
      <c r="L57" s="165">
        <v>138</v>
      </c>
      <c r="M57" s="151">
        <v>0</v>
      </c>
      <c r="N57" s="151" t="str">
        <f t="shared" si="2"/>
        <v>No fit</v>
      </c>
      <c r="O57" s="174" t="s">
        <v>6146</v>
      </c>
      <c r="P57" s="174" t="s">
        <v>6051</v>
      </c>
    </row>
    <row r="58" spans="1:16" ht="64.05" customHeight="1" x14ac:dyDescent="0.3">
      <c r="A58" s="154" t="s">
        <v>6147</v>
      </c>
      <c r="B58" s="154" t="s">
        <v>5776</v>
      </c>
      <c r="C58" s="154" t="s">
        <v>86</v>
      </c>
      <c r="D58" s="154">
        <v>2021</v>
      </c>
      <c r="E58" s="154" t="s">
        <v>74</v>
      </c>
      <c r="F58" s="173" t="s">
        <v>6148</v>
      </c>
      <c r="G58" s="166">
        <f>(365*DGKC!D50)</f>
        <v>5446950.1150000002</v>
      </c>
      <c r="H58" s="166">
        <f>((DGKC!D85*-1)+(DGKC!D31-DGKC!C31))</f>
        <v>35411.392</v>
      </c>
      <c r="I58" s="164">
        <f t="shared" si="0"/>
        <v>153.81914709819938</v>
      </c>
      <c r="J58" s="164">
        <v>153.81914709819938</v>
      </c>
      <c r="K58" s="168">
        <f t="shared" si="1"/>
        <v>0</v>
      </c>
      <c r="L58" s="164">
        <v>138</v>
      </c>
      <c r="M58" s="154">
        <v>0</v>
      </c>
      <c r="N58" s="154" t="str">
        <f t="shared" si="2"/>
        <v>No fit</v>
      </c>
      <c r="O58" s="173" t="s">
        <v>6149</v>
      </c>
      <c r="P58" s="173" t="s">
        <v>6051</v>
      </c>
    </row>
    <row r="59" spans="1:16" ht="64.05" customHeight="1" x14ac:dyDescent="0.3">
      <c r="A59" s="151" t="s">
        <v>6150</v>
      </c>
      <c r="B59" s="151" t="s">
        <v>5776</v>
      </c>
      <c r="C59" s="151" t="s">
        <v>86</v>
      </c>
      <c r="D59" s="151">
        <v>2021</v>
      </c>
      <c r="E59" s="151" t="s">
        <v>74</v>
      </c>
      <c r="F59" s="174" t="s">
        <v>5780</v>
      </c>
      <c r="G59" s="167">
        <f>(365*AVERAGE(DGKC!C50,DGKC!D50))</f>
        <v>4785394.1849999996</v>
      </c>
      <c r="H59" s="167">
        <f>(DGKC!D85*-1)</f>
        <v>37035.798000000003</v>
      </c>
      <c r="I59" s="165">
        <f t="shared" si="0"/>
        <v>129.20996558518866</v>
      </c>
      <c r="J59" s="165">
        <v>129.20996558518866</v>
      </c>
      <c r="K59" s="169">
        <f t="shared" si="1"/>
        <v>0</v>
      </c>
      <c r="L59" s="165">
        <v>138</v>
      </c>
      <c r="M59" s="151">
        <v>0</v>
      </c>
      <c r="N59" s="151" t="str">
        <f t="shared" si="2"/>
        <v>No fit</v>
      </c>
      <c r="O59" s="174" t="s">
        <v>6151</v>
      </c>
      <c r="P59" s="174" t="s">
        <v>6051</v>
      </c>
    </row>
    <row r="60" spans="1:16" ht="64.05" customHeight="1" x14ac:dyDescent="0.3">
      <c r="A60" s="154" t="s">
        <v>6152</v>
      </c>
      <c r="B60" s="154" t="s">
        <v>5776</v>
      </c>
      <c r="C60" s="154" t="s">
        <v>86</v>
      </c>
      <c r="D60" s="154">
        <v>2021</v>
      </c>
      <c r="E60" s="154" t="s">
        <v>74</v>
      </c>
      <c r="F60" s="173" t="s">
        <v>6153</v>
      </c>
      <c r="G60" s="166">
        <f>(365*AVERAGE(DGKC!C50,DGKC!D50))</f>
        <v>4785394.1849999996</v>
      </c>
      <c r="H60" s="166">
        <f>DGKC!D84</f>
        <v>45107.69</v>
      </c>
      <c r="I60" s="164">
        <f t="shared" si="0"/>
        <v>106.08821212081575</v>
      </c>
      <c r="J60" s="164">
        <v>106.08821212081575</v>
      </c>
      <c r="K60" s="168">
        <f t="shared" si="1"/>
        <v>0</v>
      </c>
      <c r="L60" s="164">
        <v>138</v>
      </c>
      <c r="M60" s="154">
        <v>0</v>
      </c>
      <c r="N60" s="154" t="str">
        <f t="shared" si="2"/>
        <v>No fit</v>
      </c>
      <c r="O60" s="173" t="s">
        <v>6154</v>
      </c>
      <c r="P60" s="173" t="s">
        <v>6051</v>
      </c>
    </row>
    <row r="61" spans="1:16" ht="64.05" customHeight="1" x14ac:dyDescent="0.3">
      <c r="A61" s="151" t="s">
        <v>6155</v>
      </c>
      <c r="B61" s="151" t="s">
        <v>5776</v>
      </c>
      <c r="C61" s="151" t="s">
        <v>86</v>
      </c>
      <c r="D61" s="151">
        <v>2021</v>
      </c>
      <c r="E61" s="151" t="s">
        <v>74</v>
      </c>
      <c r="F61" s="174" t="s">
        <v>6156</v>
      </c>
      <c r="G61" s="167">
        <f>(365*AVERAGE(DGKC!C50,DGKC!D50))</f>
        <v>4785394.1849999996</v>
      </c>
      <c r="H61" s="167">
        <f>((DGKC!D85*-1)+(DGKC!D65-DGKC!C65))</f>
        <v>40052.75</v>
      </c>
      <c r="I61" s="165">
        <f t="shared" si="0"/>
        <v>119.47729394361185</v>
      </c>
      <c r="J61" s="165">
        <v>119.47729394361185</v>
      </c>
      <c r="K61" s="169">
        <f t="shared" si="1"/>
        <v>0</v>
      </c>
      <c r="L61" s="165">
        <v>138</v>
      </c>
      <c r="M61" s="151">
        <v>0</v>
      </c>
      <c r="N61" s="151" t="str">
        <f t="shared" si="2"/>
        <v>No fit</v>
      </c>
      <c r="O61" s="174" t="s">
        <v>6157</v>
      </c>
      <c r="P61" s="174" t="s">
        <v>6051</v>
      </c>
    </row>
    <row r="62" spans="1:16" ht="64.05" customHeight="1" x14ac:dyDescent="0.3">
      <c r="A62" s="154" t="s">
        <v>6158</v>
      </c>
      <c r="B62" s="154" t="s">
        <v>5776</v>
      </c>
      <c r="C62" s="154" t="s">
        <v>86</v>
      </c>
      <c r="D62" s="154">
        <v>2021</v>
      </c>
      <c r="E62" s="154" t="s">
        <v>74</v>
      </c>
      <c r="F62" s="173" t="s">
        <v>6159</v>
      </c>
      <c r="G62" s="166">
        <f>(365*AVERAGE(DGKC!C50,DGKC!D50))</f>
        <v>4785394.1849999996</v>
      </c>
      <c r="H62" s="166">
        <f>((DGKC!D85*-1)+(DGKC!D31-DGKC!C31))</f>
        <v>35411.392</v>
      </c>
      <c r="I62" s="164">
        <f t="shared" si="0"/>
        <v>135.13713849486626</v>
      </c>
      <c r="J62" s="164">
        <v>135.13713849486626</v>
      </c>
      <c r="K62" s="168">
        <f t="shared" si="1"/>
        <v>0</v>
      </c>
      <c r="L62" s="164">
        <v>138</v>
      </c>
      <c r="M62" s="154">
        <v>0</v>
      </c>
      <c r="N62" s="154" t="str">
        <f t="shared" si="2"/>
        <v>No fit</v>
      </c>
      <c r="O62" s="173" t="s">
        <v>6160</v>
      </c>
      <c r="P62" s="173" t="s">
        <v>6051</v>
      </c>
    </row>
    <row r="63" spans="1:16" ht="64.05" customHeight="1" x14ac:dyDescent="0.3">
      <c r="A63" s="151" t="s">
        <v>6161</v>
      </c>
      <c r="B63" s="151" t="s">
        <v>5776</v>
      </c>
      <c r="C63" s="151" t="s">
        <v>86</v>
      </c>
      <c r="D63" s="151">
        <v>2021</v>
      </c>
      <c r="E63" s="151" t="s">
        <v>74</v>
      </c>
      <c r="F63" s="174" t="s">
        <v>6162</v>
      </c>
      <c r="G63" s="167">
        <f>(365*AVERAGE((((DGKC!C61-DGKC!C54)-DGKC!C55)-DGKC!C56),(((DGKC!D61-DGKC!D54)-DGKC!D55)-DGKC!D56)))</f>
        <v>5095479.5699999994</v>
      </c>
      <c r="H63" s="167">
        <f>(DGKC!D85*-1)</f>
        <v>37035.798000000003</v>
      </c>
      <c r="I63" s="165">
        <f t="shared" si="0"/>
        <v>137.58255107666369</v>
      </c>
      <c r="J63" s="165">
        <v>137.58255107666369</v>
      </c>
      <c r="K63" s="169">
        <f t="shared" si="1"/>
        <v>0</v>
      </c>
      <c r="L63" s="165">
        <v>138</v>
      </c>
      <c r="M63" s="151">
        <v>0</v>
      </c>
      <c r="N63" s="151" t="str">
        <f t="shared" si="2"/>
        <v>Numeric fit</v>
      </c>
      <c r="O63" s="174" t="s">
        <v>6163</v>
      </c>
      <c r="P63" s="174" t="s">
        <v>6051</v>
      </c>
    </row>
    <row r="64" spans="1:16" ht="64.05" customHeight="1" x14ac:dyDescent="0.3">
      <c r="A64" s="154" t="s">
        <v>6164</v>
      </c>
      <c r="B64" s="154" t="s">
        <v>5776</v>
      </c>
      <c r="C64" s="154" t="s">
        <v>86</v>
      </c>
      <c r="D64" s="154">
        <v>2021</v>
      </c>
      <c r="E64" s="154" t="s">
        <v>74</v>
      </c>
      <c r="F64" s="173" t="s">
        <v>6165</v>
      </c>
      <c r="G64" s="166">
        <f>(365*AVERAGE((((DGKC!C61-DGKC!C54)-DGKC!C55)-DGKC!C56),(((DGKC!D61-DGKC!D54)-DGKC!D55)-DGKC!D56)))</f>
        <v>5095479.5699999994</v>
      </c>
      <c r="H64" s="166">
        <f>DGKC!D84</f>
        <v>45107.69</v>
      </c>
      <c r="I64" s="164">
        <f t="shared" si="0"/>
        <v>112.9625474059966</v>
      </c>
      <c r="J64" s="164">
        <v>112.9625474059966</v>
      </c>
      <c r="K64" s="168">
        <f t="shared" si="1"/>
        <v>0</v>
      </c>
      <c r="L64" s="164">
        <v>138</v>
      </c>
      <c r="M64" s="154">
        <v>0</v>
      </c>
      <c r="N64" s="154" t="str">
        <f t="shared" si="2"/>
        <v>No fit</v>
      </c>
      <c r="O64" s="173" t="s">
        <v>6166</v>
      </c>
      <c r="P64" s="173" t="s">
        <v>6051</v>
      </c>
    </row>
    <row r="65" spans="1:16" ht="64.05" customHeight="1" x14ac:dyDescent="0.3">
      <c r="A65" s="151" t="s">
        <v>6167</v>
      </c>
      <c r="B65" s="151" t="s">
        <v>5776</v>
      </c>
      <c r="C65" s="151" t="s">
        <v>86</v>
      </c>
      <c r="D65" s="151">
        <v>2021</v>
      </c>
      <c r="E65" s="151" t="s">
        <v>74</v>
      </c>
      <c r="F65" s="174" t="s">
        <v>6168</v>
      </c>
      <c r="G65" s="167">
        <f>(365*AVERAGE((((DGKC!C61-DGKC!C54)-DGKC!C55)-DGKC!C56),(((DGKC!D61-DGKC!D54)-DGKC!D55)-DGKC!D56)))</f>
        <v>5095479.5699999994</v>
      </c>
      <c r="H65" s="167">
        <f>((DGKC!D85*-1)+(DGKC!D65-DGKC!C65))</f>
        <v>40052.75</v>
      </c>
      <c r="I65" s="165">
        <f t="shared" si="0"/>
        <v>127.21921890506893</v>
      </c>
      <c r="J65" s="165">
        <v>127.21921890506893</v>
      </c>
      <c r="K65" s="169">
        <f t="shared" si="1"/>
        <v>0</v>
      </c>
      <c r="L65" s="165">
        <v>138</v>
      </c>
      <c r="M65" s="151">
        <v>0</v>
      </c>
      <c r="N65" s="151" t="str">
        <f t="shared" si="2"/>
        <v>No fit</v>
      </c>
      <c r="O65" s="174" t="s">
        <v>6169</v>
      </c>
      <c r="P65" s="174" t="s">
        <v>6051</v>
      </c>
    </row>
    <row r="66" spans="1:16" ht="64.05" customHeight="1" x14ac:dyDescent="0.3">
      <c r="A66" s="154" t="s">
        <v>6170</v>
      </c>
      <c r="B66" s="154" t="s">
        <v>5776</v>
      </c>
      <c r="C66" s="154" t="s">
        <v>86</v>
      </c>
      <c r="D66" s="154">
        <v>2021</v>
      </c>
      <c r="E66" s="154" t="s">
        <v>74</v>
      </c>
      <c r="F66" s="173" t="s">
        <v>6171</v>
      </c>
      <c r="G66" s="166">
        <f>(365*AVERAGE((((DGKC!C61-DGKC!C54)-DGKC!C55)-DGKC!C56),(((DGKC!D61-DGKC!D54)-DGKC!D55)-DGKC!D56)))</f>
        <v>5095479.5699999994</v>
      </c>
      <c r="H66" s="166">
        <f>((DGKC!D85*-1)+(DGKC!D31-DGKC!C31))</f>
        <v>35411.392</v>
      </c>
      <c r="I66" s="164">
        <f t="shared" si="0"/>
        <v>143.89379468618458</v>
      </c>
      <c r="J66" s="164">
        <v>143.89379468618458</v>
      </c>
      <c r="K66" s="168">
        <f t="shared" si="1"/>
        <v>0</v>
      </c>
      <c r="L66" s="164">
        <v>138</v>
      </c>
      <c r="M66" s="154">
        <v>0</v>
      </c>
      <c r="N66" s="154" t="str">
        <f t="shared" si="2"/>
        <v>No fit</v>
      </c>
      <c r="O66" s="173" t="s">
        <v>6172</v>
      </c>
      <c r="P66" s="173" t="s">
        <v>6051</v>
      </c>
    </row>
    <row r="67" spans="1:16" ht="64.05" customHeight="1" x14ac:dyDescent="0.3">
      <c r="A67" s="151" t="s">
        <v>6173</v>
      </c>
      <c r="B67" s="151" t="s">
        <v>5776</v>
      </c>
      <c r="C67" s="151" t="s">
        <v>86</v>
      </c>
      <c r="D67" s="151">
        <v>2021</v>
      </c>
      <c r="E67" s="151" t="s">
        <v>74</v>
      </c>
      <c r="F67" s="174" t="s">
        <v>6174</v>
      </c>
      <c r="G67" s="167">
        <f>(365*(DGKC!D51+'Forensic Inputs'!$G$41))</f>
        <v>4316732.7250000006</v>
      </c>
      <c r="H67" s="167">
        <f>(DGKC!D85*-1)</f>
        <v>37035.798000000003</v>
      </c>
      <c r="I67" s="165">
        <f t="shared" si="0"/>
        <v>116.55568282881336</v>
      </c>
      <c r="J67" s="165">
        <v>116.55568282881336</v>
      </c>
      <c r="K67" s="169">
        <f t="shared" si="1"/>
        <v>0</v>
      </c>
      <c r="L67" s="165">
        <v>138</v>
      </c>
      <c r="M67" s="151">
        <v>0</v>
      </c>
      <c r="N67" s="151" t="str">
        <f t="shared" si="2"/>
        <v>No fit</v>
      </c>
      <c r="O67" s="174" t="s">
        <v>6175</v>
      </c>
      <c r="P67" s="174" t="s">
        <v>6051</v>
      </c>
    </row>
    <row r="68" spans="1:16" ht="64.05" customHeight="1" x14ac:dyDescent="0.3">
      <c r="A68" s="154" t="s">
        <v>6176</v>
      </c>
      <c r="B68" s="154" t="s">
        <v>5776</v>
      </c>
      <c r="C68" s="154" t="s">
        <v>86</v>
      </c>
      <c r="D68" s="154">
        <v>2021</v>
      </c>
      <c r="E68" s="154" t="s">
        <v>74</v>
      </c>
      <c r="F68" s="173" t="s">
        <v>6177</v>
      </c>
      <c r="G68" s="166">
        <f>(365*(DGKC!D51+'Forensic Inputs'!$G$41))</f>
        <v>4316732.7250000006</v>
      </c>
      <c r="H68" s="166">
        <f>DGKC!D84</f>
        <v>45107.69</v>
      </c>
      <c r="I68" s="164">
        <f t="shared" si="0"/>
        <v>95.69837703948042</v>
      </c>
      <c r="J68" s="164">
        <v>95.69837703948042</v>
      </c>
      <c r="K68" s="168">
        <f t="shared" si="1"/>
        <v>0</v>
      </c>
      <c r="L68" s="164">
        <v>138</v>
      </c>
      <c r="M68" s="154">
        <v>0</v>
      </c>
      <c r="N68" s="154" t="str">
        <f t="shared" si="2"/>
        <v>No fit</v>
      </c>
      <c r="O68" s="173" t="s">
        <v>6178</v>
      </c>
      <c r="P68" s="173" t="s">
        <v>6051</v>
      </c>
    </row>
    <row r="69" spans="1:16" ht="64.05" customHeight="1" x14ac:dyDescent="0.3">
      <c r="A69" s="151" t="s">
        <v>6179</v>
      </c>
      <c r="B69" s="151" t="s">
        <v>5776</v>
      </c>
      <c r="C69" s="151" t="s">
        <v>86</v>
      </c>
      <c r="D69" s="151">
        <v>2021</v>
      </c>
      <c r="E69" s="151" t="s">
        <v>74</v>
      </c>
      <c r="F69" s="174" t="s">
        <v>6180</v>
      </c>
      <c r="G69" s="167">
        <f>(365*(DGKC!D51+'Forensic Inputs'!$G$41))</f>
        <v>4316732.7250000006</v>
      </c>
      <c r="H69" s="167">
        <f>((DGKC!D85*-1)+(DGKC!D65-DGKC!C65))</f>
        <v>40052.75</v>
      </c>
      <c r="I69" s="165">
        <f t="shared" si="0"/>
        <v>107.7761882767101</v>
      </c>
      <c r="J69" s="165">
        <v>107.7761882767101</v>
      </c>
      <c r="K69" s="169">
        <f t="shared" si="1"/>
        <v>0</v>
      </c>
      <c r="L69" s="165">
        <v>138</v>
      </c>
      <c r="M69" s="151">
        <v>0</v>
      </c>
      <c r="N69" s="151" t="str">
        <f t="shared" si="2"/>
        <v>No fit</v>
      </c>
      <c r="O69" s="174" t="s">
        <v>6181</v>
      </c>
      <c r="P69" s="174" t="s">
        <v>6051</v>
      </c>
    </row>
    <row r="70" spans="1:16" ht="64.05" customHeight="1" x14ac:dyDescent="0.3">
      <c r="A70" s="154" t="s">
        <v>6182</v>
      </c>
      <c r="B70" s="154" t="s">
        <v>5776</v>
      </c>
      <c r="C70" s="154" t="s">
        <v>86</v>
      </c>
      <c r="D70" s="154">
        <v>2021</v>
      </c>
      <c r="E70" s="154" t="s">
        <v>74</v>
      </c>
      <c r="F70" s="173" t="s">
        <v>6183</v>
      </c>
      <c r="G70" s="166">
        <f>(365*(DGKC!D51+'Forensic Inputs'!$G$41))</f>
        <v>4316732.7250000006</v>
      </c>
      <c r="H70" s="166">
        <f>((DGKC!D85*-1)+(DGKC!D31-DGKC!C31))</f>
        <v>35411.392</v>
      </c>
      <c r="I70" s="164">
        <f t="shared" ref="I70:I133" si="3">G70/H70</f>
        <v>121.90237325321752</v>
      </c>
      <c r="J70" s="164">
        <v>121.90237325321752</v>
      </c>
      <c r="K70" s="168">
        <f t="shared" ref="K70:K133" si="4">I70-J70</f>
        <v>0</v>
      </c>
      <c r="L70" s="164">
        <v>138</v>
      </c>
      <c r="M70" s="154">
        <v>0</v>
      </c>
      <c r="N70" s="154" t="str">
        <f t="shared" ref="N70:N133" si="5">IF(ROUND(I70,M70)=ROUND(L70,M70),"Numeric fit","No fit")</f>
        <v>No fit</v>
      </c>
      <c r="O70" s="173" t="s">
        <v>6184</v>
      </c>
      <c r="P70" s="173" t="s">
        <v>6051</v>
      </c>
    </row>
    <row r="71" spans="1:16" ht="64.05" customHeight="1" x14ac:dyDescent="0.3">
      <c r="A71" s="151" t="s">
        <v>6185</v>
      </c>
      <c r="B71" s="151" t="s">
        <v>5776</v>
      </c>
      <c r="C71" s="151" t="s">
        <v>86</v>
      </c>
      <c r="D71" s="151">
        <v>2021</v>
      </c>
      <c r="E71" s="151" t="s">
        <v>74</v>
      </c>
      <c r="F71" s="174" t="s">
        <v>6186</v>
      </c>
      <c r="G71" s="167">
        <f>(365*AVERAGE((DGKC!C51+'Forensic Inputs'!$G$36),(DGKC!D51+'Forensic Inputs'!$G$41)))</f>
        <v>3692134.1400000006</v>
      </c>
      <c r="H71" s="167">
        <f>(DGKC!D85*-1)</f>
        <v>37035.798000000003</v>
      </c>
      <c r="I71" s="165">
        <f t="shared" si="3"/>
        <v>99.690956841270179</v>
      </c>
      <c r="J71" s="165">
        <v>99.690956841270179</v>
      </c>
      <c r="K71" s="169">
        <f t="shared" si="4"/>
        <v>0</v>
      </c>
      <c r="L71" s="165">
        <v>138</v>
      </c>
      <c r="M71" s="151">
        <v>0</v>
      </c>
      <c r="N71" s="151" t="str">
        <f t="shared" si="5"/>
        <v>No fit</v>
      </c>
      <c r="O71" s="174" t="s">
        <v>6187</v>
      </c>
      <c r="P71" s="174" t="s">
        <v>6051</v>
      </c>
    </row>
    <row r="72" spans="1:16" ht="64.05" customHeight="1" x14ac:dyDescent="0.3">
      <c r="A72" s="154" t="s">
        <v>6188</v>
      </c>
      <c r="B72" s="154" t="s">
        <v>5776</v>
      </c>
      <c r="C72" s="154" t="s">
        <v>86</v>
      </c>
      <c r="D72" s="154">
        <v>2021</v>
      </c>
      <c r="E72" s="154" t="s">
        <v>74</v>
      </c>
      <c r="F72" s="173" t="s">
        <v>6189</v>
      </c>
      <c r="G72" s="166">
        <f>(365*AVERAGE((DGKC!C51+'Forensic Inputs'!$G$36),(DGKC!D51+'Forensic Inputs'!$G$41)))</f>
        <v>3692134.1400000006</v>
      </c>
      <c r="H72" s="166">
        <f>DGKC!D84</f>
        <v>45107.69</v>
      </c>
      <c r="I72" s="164">
        <f t="shared" si="3"/>
        <v>81.851545490358745</v>
      </c>
      <c r="J72" s="164">
        <v>81.851545490358745</v>
      </c>
      <c r="K72" s="168">
        <f t="shared" si="4"/>
        <v>0</v>
      </c>
      <c r="L72" s="164">
        <v>138</v>
      </c>
      <c r="M72" s="154">
        <v>0</v>
      </c>
      <c r="N72" s="154" t="str">
        <f t="shared" si="5"/>
        <v>No fit</v>
      </c>
      <c r="O72" s="173" t="s">
        <v>6190</v>
      </c>
      <c r="P72" s="173" t="s">
        <v>6051</v>
      </c>
    </row>
    <row r="73" spans="1:16" ht="64.05" customHeight="1" x14ac:dyDescent="0.3">
      <c r="A73" s="151" t="s">
        <v>6191</v>
      </c>
      <c r="B73" s="151" t="s">
        <v>5776</v>
      </c>
      <c r="C73" s="151" t="s">
        <v>86</v>
      </c>
      <c r="D73" s="151">
        <v>2021</v>
      </c>
      <c r="E73" s="151" t="s">
        <v>74</v>
      </c>
      <c r="F73" s="174" t="s">
        <v>6192</v>
      </c>
      <c r="G73" s="167">
        <f>(365*AVERAGE((DGKC!C51+'Forensic Inputs'!$G$36),(DGKC!D51+'Forensic Inputs'!$G$41)))</f>
        <v>3692134.1400000006</v>
      </c>
      <c r="H73" s="167">
        <f>((DGKC!D85*-1)+(DGKC!D65-DGKC!C65))</f>
        <v>40052.75</v>
      </c>
      <c r="I73" s="165">
        <f t="shared" si="3"/>
        <v>92.18178876606477</v>
      </c>
      <c r="J73" s="165">
        <v>92.18178876606477</v>
      </c>
      <c r="K73" s="169">
        <f t="shared" si="4"/>
        <v>0</v>
      </c>
      <c r="L73" s="165">
        <v>138</v>
      </c>
      <c r="M73" s="151">
        <v>0</v>
      </c>
      <c r="N73" s="151" t="str">
        <f t="shared" si="5"/>
        <v>No fit</v>
      </c>
      <c r="O73" s="174" t="s">
        <v>6193</v>
      </c>
      <c r="P73" s="174" t="s">
        <v>6051</v>
      </c>
    </row>
    <row r="74" spans="1:16" ht="64.05" customHeight="1" x14ac:dyDescent="0.3">
      <c r="A74" s="154" t="s">
        <v>6194</v>
      </c>
      <c r="B74" s="154" t="s">
        <v>5776</v>
      </c>
      <c r="C74" s="154" t="s">
        <v>86</v>
      </c>
      <c r="D74" s="154">
        <v>2021</v>
      </c>
      <c r="E74" s="154" t="s">
        <v>74</v>
      </c>
      <c r="F74" s="173" t="s">
        <v>6195</v>
      </c>
      <c r="G74" s="166">
        <f>(365*AVERAGE((DGKC!C51+'Forensic Inputs'!$G$36),(DGKC!D51+'Forensic Inputs'!$G$41)))</f>
        <v>3692134.1400000006</v>
      </c>
      <c r="H74" s="166">
        <f>((DGKC!D85*-1)+(DGKC!D31-DGKC!C31))</f>
        <v>35411.392</v>
      </c>
      <c r="I74" s="164">
        <f t="shared" si="3"/>
        <v>104.26402158943655</v>
      </c>
      <c r="J74" s="164">
        <v>104.26402158943655</v>
      </c>
      <c r="K74" s="168">
        <f t="shared" si="4"/>
        <v>0</v>
      </c>
      <c r="L74" s="164">
        <v>138</v>
      </c>
      <c r="M74" s="154">
        <v>0</v>
      </c>
      <c r="N74" s="154" t="str">
        <f t="shared" si="5"/>
        <v>No fit</v>
      </c>
      <c r="O74" s="173" t="s">
        <v>6196</v>
      </c>
      <c r="P74" s="173" t="s">
        <v>6051</v>
      </c>
    </row>
    <row r="75" spans="1:16" ht="64.05" customHeight="1" x14ac:dyDescent="0.3">
      <c r="A75" s="151" t="s">
        <v>6197</v>
      </c>
      <c r="B75" s="151" t="s">
        <v>5776</v>
      </c>
      <c r="C75" s="151" t="s">
        <v>86</v>
      </c>
      <c r="D75" s="151">
        <v>2021</v>
      </c>
      <c r="E75" s="151" t="s">
        <v>74</v>
      </c>
      <c r="F75" s="174" t="s">
        <v>6198</v>
      </c>
      <c r="G75" s="167">
        <f>(365*(DGKC!D50-'Forensic Inputs'!$G$42))</f>
        <v>4910474.21</v>
      </c>
      <c r="H75" s="167">
        <f>(DGKC!D85*-1)</f>
        <v>37035.798000000003</v>
      </c>
      <c r="I75" s="165">
        <f t="shared" si="3"/>
        <v>132.58723924350164</v>
      </c>
      <c r="J75" s="165">
        <v>132.58723924350164</v>
      </c>
      <c r="K75" s="169">
        <f t="shared" si="4"/>
        <v>0</v>
      </c>
      <c r="L75" s="165">
        <v>138</v>
      </c>
      <c r="M75" s="151">
        <v>0</v>
      </c>
      <c r="N75" s="151" t="str">
        <f t="shared" si="5"/>
        <v>No fit</v>
      </c>
      <c r="O75" s="174" t="s">
        <v>6199</v>
      </c>
      <c r="P75" s="174" t="s">
        <v>6051</v>
      </c>
    </row>
    <row r="76" spans="1:16" ht="64.05" customHeight="1" x14ac:dyDescent="0.3">
      <c r="A76" s="154" t="s">
        <v>6200</v>
      </c>
      <c r="B76" s="154" t="s">
        <v>5776</v>
      </c>
      <c r="C76" s="154" t="s">
        <v>86</v>
      </c>
      <c r="D76" s="154">
        <v>2021</v>
      </c>
      <c r="E76" s="154" t="s">
        <v>74</v>
      </c>
      <c r="F76" s="173" t="s">
        <v>6201</v>
      </c>
      <c r="G76" s="166">
        <f>(365*(DGKC!D50-'Forensic Inputs'!$G$42))</f>
        <v>4910474.21</v>
      </c>
      <c r="H76" s="166">
        <f>DGKC!D84</f>
        <v>45107.69</v>
      </c>
      <c r="I76" s="164">
        <f t="shared" si="3"/>
        <v>108.86113232577416</v>
      </c>
      <c r="J76" s="164">
        <v>108.86113232577416</v>
      </c>
      <c r="K76" s="168">
        <f t="shared" si="4"/>
        <v>0</v>
      </c>
      <c r="L76" s="164">
        <v>138</v>
      </c>
      <c r="M76" s="154">
        <v>0</v>
      </c>
      <c r="N76" s="154" t="str">
        <f t="shared" si="5"/>
        <v>No fit</v>
      </c>
      <c r="O76" s="173" t="s">
        <v>6202</v>
      </c>
      <c r="P76" s="173" t="s">
        <v>6051</v>
      </c>
    </row>
    <row r="77" spans="1:16" ht="64.05" customHeight="1" x14ac:dyDescent="0.3">
      <c r="A77" s="151" t="s">
        <v>6203</v>
      </c>
      <c r="B77" s="151" t="s">
        <v>5776</v>
      </c>
      <c r="C77" s="151" t="s">
        <v>86</v>
      </c>
      <c r="D77" s="151">
        <v>2021</v>
      </c>
      <c r="E77" s="151" t="s">
        <v>74</v>
      </c>
      <c r="F77" s="174" t="s">
        <v>6204</v>
      </c>
      <c r="G77" s="167">
        <f>(365*(DGKC!D50-'Forensic Inputs'!$G$42))</f>
        <v>4910474.21</v>
      </c>
      <c r="H77" s="167">
        <f>((DGKC!D85*-1)+(DGKC!D65-DGKC!C65))</f>
        <v>40052.75</v>
      </c>
      <c r="I77" s="165">
        <f t="shared" si="3"/>
        <v>122.60017626754717</v>
      </c>
      <c r="J77" s="165">
        <v>122.60017626754717</v>
      </c>
      <c r="K77" s="169">
        <f t="shared" si="4"/>
        <v>0</v>
      </c>
      <c r="L77" s="165">
        <v>138</v>
      </c>
      <c r="M77" s="151">
        <v>0</v>
      </c>
      <c r="N77" s="151" t="str">
        <f t="shared" si="5"/>
        <v>No fit</v>
      </c>
      <c r="O77" s="174" t="s">
        <v>6205</v>
      </c>
      <c r="P77" s="174" t="s">
        <v>6051</v>
      </c>
    </row>
    <row r="78" spans="1:16" ht="64.05" customHeight="1" x14ac:dyDescent="0.3">
      <c r="A78" s="154" t="s">
        <v>6206</v>
      </c>
      <c r="B78" s="154" t="s">
        <v>5776</v>
      </c>
      <c r="C78" s="154" t="s">
        <v>86</v>
      </c>
      <c r="D78" s="154">
        <v>2021</v>
      </c>
      <c r="E78" s="154" t="s">
        <v>74</v>
      </c>
      <c r="F78" s="173" t="s">
        <v>6207</v>
      </c>
      <c r="G78" s="166">
        <f>(365*(DGKC!D50-'Forensic Inputs'!$G$42))</f>
        <v>4910474.21</v>
      </c>
      <c r="H78" s="166">
        <f>((DGKC!D85*-1)+(DGKC!D31-DGKC!C31))</f>
        <v>35411.392</v>
      </c>
      <c r="I78" s="164">
        <f t="shared" si="3"/>
        <v>138.66933584536864</v>
      </c>
      <c r="J78" s="164">
        <v>138.66933584536864</v>
      </c>
      <c r="K78" s="168">
        <f t="shared" si="4"/>
        <v>0</v>
      </c>
      <c r="L78" s="164">
        <v>138</v>
      </c>
      <c r="M78" s="154">
        <v>0</v>
      </c>
      <c r="N78" s="154" t="str">
        <f t="shared" si="5"/>
        <v>No fit</v>
      </c>
      <c r="O78" s="173" t="s">
        <v>6208</v>
      </c>
      <c r="P78" s="173" t="s">
        <v>6051</v>
      </c>
    </row>
    <row r="79" spans="1:16" ht="64.05" customHeight="1" x14ac:dyDescent="0.3">
      <c r="A79" s="151" t="s">
        <v>6209</v>
      </c>
      <c r="B79" s="151" t="s">
        <v>5776</v>
      </c>
      <c r="C79" s="151" t="s">
        <v>86</v>
      </c>
      <c r="D79" s="151">
        <v>2021</v>
      </c>
      <c r="E79" s="151" t="s">
        <v>74</v>
      </c>
      <c r="F79" s="174" t="s">
        <v>6210</v>
      </c>
      <c r="G79" s="167">
        <f>(365*AVERAGE((DGKC!C50-'Forensic Inputs'!$G$37),(DGKC!D50-'Forensic Inputs'!$G$42)))</f>
        <v>4234853.5525000002</v>
      </c>
      <c r="H79" s="167">
        <f>(DGKC!D85*-1)</f>
        <v>37035.798000000003</v>
      </c>
      <c r="I79" s="165">
        <f t="shared" si="3"/>
        <v>114.34487121082148</v>
      </c>
      <c r="J79" s="165">
        <v>114.34487121082148</v>
      </c>
      <c r="K79" s="169">
        <f t="shared" si="4"/>
        <v>0</v>
      </c>
      <c r="L79" s="165">
        <v>138</v>
      </c>
      <c r="M79" s="151">
        <v>0</v>
      </c>
      <c r="N79" s="151" t="str">
        <f t="shared" si="5"/>
        <v>No fit</v>
      </c>
      <c r="O79" s="174" t="s">
        <v>6211</v>
      </c>
      <c r="P79" s="174" t="s">
        <v>6051</v>
      </c>
    </row>
    <row r="80" spans="1:16" ht="64.05" customHeight="1" x14ac:dyDescent="0.3">
      <c r="A80" s="154" t="s">
        <v>6212</v>
      </c>
      <c r="B80" s="154" t="s">
        <v>5776</v>
      </c>
      <c r="C80" s="154" t="s">
        <v>86</v>
      </c>
      <c r="D80" s="154">
        <v>2021</v>
      </c>
      <c r="E80" s="154" t="s">
        <v>74</v>
      </c>
      <c r="F80" s="173" t="s">
        <v>6213</v>
      </c>
      <c r="G80" s="166">
        <f>(365*AVERAGE((DGKC!C50-'Forensic Inputs'!$G$37),(DGKC!D50-'Forensic Inputs'!$G$42)))</f>
        <v>4234853.5525000002</v>
      </c>
      <c r="H80" s="166">
        <f>DGKC!D84</f>
        <v>45107.69</v>
      </c>
      <c r="I80" s="164">
        <f t="shared" si="3"/>
        <v>93.883183831847745</v>
      </c>
      <c r="J80" s="164">
        <v>93.883183831847745</v>
      </c>
      <c r="K80" s="168">
        <f t="shared" si="4"/>
        <v>0</v>
      </c>
      <c r="L80" s="164">
        <v>138</v>
      </c>
      <c r="M80" s="154">
        <v>0</v>
      </c>
      <c r="N80" s="154" t="str">
        <f t="shared" si="5"/>
        <v>No fit</v>
      </c>
      <c r="O80" s="173" t="s">
        <v>6214</v>
      </c>
      <c r="P80" s="173" t="s">
        <v>6051</v>
      </c>
    </row>
    <row r="81" spans="1:16" ht="64.05" customHeight="1" x14ac:dyDescent="0.3">
      <c r="A81" s="151" t="s">
        <v>6215</v>
      </c>
      <c r="B81" s="151" t="s">
        <v>5776</v>
      </c>
      <c r="C81" s="151" t="s">
        <v>86</v>
      </c>
      <c r="D81" s="151">
        <v>2021</v>
      </c>
      <c r="E81" s="151" t="s">
        <v>74</v>
      </c>
      <c r="F81" s="174" t="s">
        <v>6216</v>
      </c>
      <c r="G81" s="167">
        <f>(365*AVERAGE((DGKC!C50-'Forensic Inputs'!$G$37),(DGKC!D50-'Forensic Inputs'!$G$42)))</f>
        <v>4234853.5525000002</v>
      </c>
      <c r="H81" s="167">
        <f>((DGKC!D85*-1)+(DGKC!D65-DGKC!C65))</f>
        <v>40052.75</v>
      </c>
      <c r="I81" s="165">
        <f t="shared" si="3"/>
        <v>105.73190486296197</v>
      </c>
      <c r="J81" s="165">
        <v>105.73190486296197</v>
      </c>
      <c r="K81" s="169">
        <f t="shared" si="4"/>
        <v>0</v>
      </c>
      <c r="L81" s="165">
        <v>138</v>
      </c>
      <c r="M81" s="151">
        <v>0</v>
      </c>
      <c r="N81" s="151" t="str">
        <f t="shared" si="5"/>
        <v>No fit</v>
      </c>
      <c r="O81" s="174" t="s">
        <v>6217</v>
      </c>
      <c r="P81" s="174" t="s">
        <v>6051</v>
      </c>
    </row>
    <row r="82" spans="1:16" ht="64.05" customHeight="1" x14ac:dyDescent="0.3">
      <c r="A82" s="154" t="s">
        <v>6218</v>
      </c>
      <c r="B82" s="154" t="s">
        <v>5776</v>
      </c>
      <c r="C82" s="154" t="s">
        <v>86</v>
      </c>
      <c r="D82" s="154">
        <v>2021</v>
      </c>
      <c r="E82" s="154" t="s">
        <v>74</v>
      </c>
      <c r="F82" s="173" t="s">
        <v>6219</v>
      </c>
      <c r="G82" s="166">
        <f>(365*AVERAGE((DGKC!C50-'Forensic Inputs'!$G$37),(DGKC!D50-'Forensic Inputs'!$G$42)))</f>
        <v>4234853.5525000002</v>
      </c>
      <c r="H82" s="166">
        <f>((DGKC!D85*-1)+(DGKC!D31-DGKC!C31))</f>
        <v>35411.392</v>
      </c>
      <c r="I82" s="164">
        <f t="shared" si="3"/>
        <v>119.59014637154056</v>
      </c>
      <c r="J82" s="164">
        <v>119.59014637154056</v>
      </c>
      <c r="K82" s="168">
        <f t="shared" si="4"/>
        <v>0</v>
      </c>
      <c r="L82" s="164">
        <v>138</v>
      </c>
      <c r="M82" s="154">
        <v>0</v>
      </c>
      <c r="N82" s="154" t="str">
        <f t="shared" si="5"/>
        <v>No fit</v>
      </c>
      <c r="O82" s="173" t="s">
        <v>6220</v>
      </c>
      <c r="P82" s="173" t="s">
        <v>6051</v>
      </c>
    </row>
    <row r="83" spans="1:16" ht="64.05" customHeight="1" x14ac:dyDescent="0.3">
      <c r="A83" s="151" t="s">
        <v>6221</v>
      </c>
      <c r="B83" s="151" t="s">
        <v>5776</v>
      </c>
      <c r="C83" s="151" t="s">
        <v>86</v>
      </c>
      <c r="D83" s="151">
        <v>2021</v>
      </c>
      <c r="E83" s="151" t="s">
        <v>74</v>
      </c>
      <c r="F83" s="174" t="s">
        <v>6222</v>
      </c>
      <c r="G83" s="167">
        <f>(365*'Forensic Inputs'!$G$45)</f>
        <v>3977686.7800000003</v>
      </c>
      <c r="H83" s="167">
        <f>(DGKC!D85*-1)</f>
        <v>37035.798000000003</v>
      </c>
      <c r="I83" s="165">
        <f t="shared" si="3"/>
        <v>107.40113605760567</v>
      </c>
      <c r="J83" s="165">
        <v>107.40113605760567</v>
      </c>
      <c r="K83" s="169">
        <f t="shared" si="4"/>
        <v>0</v>
      </c>
      <c r="L83" s="165">
        <v>138</v>
      </c>
      <c r="M83" s="151">
        <v>0</v>
      </c>
      <c r="N83" s="151" t="str">
        <f t="shared" si="5"/>
        <v>No fit</v>
      </c>
      <c r="O83" s="174" t="s">
        <v>6223</v>
      </c>
      <c r="P83" s="174" t="s">
        <v>6051</v>
      </c>
    </row>
    <row r="84" spans="1:16" ht="64.05" customHeight="1" x14ac:dyDescent="0.3">
      <c r="A84" s="154" t="s">
        <v>6224</v>
      </c>
      <c r="B84" s="154" t="s">
        <v>5776</v>
      </c>
      <c r="C84" s="154" t="s">
        <v>86</v>
      </c>
      <c r="D84" s="154">
        <v>2021</v>
      </c>
      <c r="E84" s="154" t="s">
        <v>74</v>
      </c>
      <c r="F84" s="173" t="s">
        <v>6225</v>
      </c>
      <c r="G84" s="166">
        <f>(365*'Forensic Inputs'!$G$45)</f>
        <v>3977686.7800000003</v>
      </c>
      <c r="H84" s="166">
        <f>DGKC!D84</f>
        <v>45107.69</v>
      </c>
      <c r="I84" s="164">
        <f t="shared" si="3"/>
        <v>88.182010207128769</v>
      </c>
      <c r="J84" s="164">
        <v>88.182010207128769</v>
      </c>
      <c r="K84" s="168">
        <f t="shared" si="4"/>
        <v>0</v>
      </c>
      <c r="L84" s="164">
        <v>138</v>
      </c>
      <c r="M84" s="154">
        <v>0</v>
      </c>
      <c r="N84" s="154" t="str">
        <f t="shared" si="5"/>
        <v>No fit</v>
      </c>
      <c r="O84" s="173" t="s">
        <v>6226</v>
      </c>
      <c r="P84" s="173" t="s">
        <v>6051</v>
      </c>
    </row>
    <row r="85" spans="1:16" ht="64.05" customHeight="1" x14ac:dyDescent="0.3">
      <c r="A85" s="151" t="s">
        <v>6227</v>
      </c>
      <c r="B85" s="151" t="s">
        <v>5776</v>
      </c>
      <c r="C85" s="151" t="s">
        <v>86</v>
      </c>
      <c r="D85" s="151">
        <v>2021</v>
      </c>
      <c r="E85" s="151" t="s">
        <v>74</v>
      </c>
      <c r="F85" s="174" t="s">
        <v>6228</v>
      </c>
      <c r="G85" s="167">
        <f>(365*'Forensic Inputs'!$G$45)</f>
        <v>3977686.7800000003</v>
      </c>
      <c r="H85" s="167">
        <f>((DGKC!D85*-1)+(DGKC!D65-DGKC!C65))</f>
        <v>40052.75</v>
      </c>
      <c r="I85" s="165">
        <f t="shared" si="3"/>
        <v>99.311202851239941</v>
      </c>
      <c r="J85" s="165">
        <v>99.311202851239941</v>
      </c>
      <c r="K85" s="169">
        <f t="shared" si="4"/>
        <v>0</v>
      </c>
      <c r="L85" s="165">
        <v>138</v>
      </c>
      <c r="M85" s="151">
        <v>0</v>
      </c>
      <c r="N85" s="151" t="str">
        <f t="shared" si="5"/>
        <v>No fit</v>
      </c>
      <c r="O85" s="174" t="s">
        <v>6229</v>
      </c>
      <c r="P85" s="174" t="s">
        <v>6051</v>
      </c>
    </row>
    <row r="86" spans="1:16" ht="64.05" customHeight="1" x14ac:dyDescent="0.3">
      <c r="A86" s="154" t="s">
        <v>6230</v>
      </c>
      <c r="B86" s="154" t="s">
        <v>5776</v>
      </c>
      <c r="C86" s="154" t="s">
        <v>86</v>
      </c>
      <c r="D86" s="154">
        <v>2021</v>
      </c>
      <c r="E86" s="154" t="s">
        <v>74</v>
      </c>
      <c r="F86" s="173" t="s">
        <v>6231</v>
      </c>
      <c r="G86" s="166">
        <f>(365*'Forensic Inputs'!$G$45)</f>
        <v>3977686.7800000003</v>
      </c>
      <c r="H86" s="166">
        <f>((DGKC!D85*-1)+(DGKC!D31-DGKC!C31))</f>
        <v>35411.392</v>
      </c>
      <c r="I86" s="164">
        <f t="shared" si="3"/>
        <v>112.32788533136456</v>
      </c>
      <c r="J86" s="164">
        <v>112.32788533136456</v>
      </c>
      <c r="K86" s="168">
        <f t="shared" si="4"/>
        <v>0</v>
      </c>
      <c r="L86" s="164">
        <v>138</v>
      </c>
      <c r="M86" s="154">
        <v>0</v>
      </c>
      <c r="N86" s="154" t="str">
        <f t="shared" si="5"/>
        <v>No fit</v>
      </c>
      <c r="O86" s="173" t="s">
        <v>6232</v>
      </c>
      <c r="P86" s="173" t="s">
        <v>6051</v>
      </c>
    </row>
    <row r="87" spans="1:16" ht="64.05" customHeight="1" x14ac:dyDescent="0.3">
      <c r="A87" s="151" t="s">
        <v>6233</v>
      </c>
      <c r="B87" s="151" t="s">
        <v>5776</v>
      </c>
      <c r="C87" s="151" t="s">
        <v>86</v>
      </c>
      <c r="D87" s="151">
        <v>2021</v>
      </c>
      <c r="E87" s="151" t="s">
        <v>74</v>
      </c>
      <c r="F87" s="174" t="s">
        <v>6234</v>
      </c>
      <c r="G87" s="167">
        <f>(365*AVERAGE('Forensic Inputs'!$G$40,'Forensic Inputs'!$G$45))</f>
        <v>3329528.7225000006</v>
      </c>
      <c r="H87" s="167">
        <f>(DGKC!D85*-1)</f>
        <v>37035.798000000003</v>
      </c>
      <c r="I87" s="165">
        <f t="shared" si="3"/>
        <v>89.900283031568549</v>
      </c>
      <c r="J87" s="165">
        <v>89.900283031568549</v>
      </c>
      <c r="K87" s="169">
        <f t="shared" si="4"/>
        <v>0</v>
      </c>
      <c r="L87" s="165">
        <v>138</v>
      </c>
      <c r="M87" s="151">
        <v>0</v>
      </c>
      <c r="N87" s="151" t="str">
        <f t="shared" si="5"/>
        <v>No fit</v>
      </c>
      <c r="O87" s="174" t="s">
        <v>6235</v>
      </c>
      <c r="P87" s="174" t="s">
        <v>6051</v>
      </c>
    </row>
    <row r="88" spans="1:16" ht="64.05" customHeight="1" x14ac:dyDescent="0.3">
      <c r="A88" s="154" t="s">
        <v>6236</v>
      </c>
      <c r="B88" s="154" t="s">
        <v>5776</v>
      </c>
      <c r="C88" s="154" t="s">
        <v>86</v>
      </c>
      <c r="D88" s="154">
        <v>2021</v>
      </c>
      <c r="E88" s="154" t="s">
        <v>74</v>
      </c>
      <c r="F88" s="173" t="s">
        <v>6237</v>
      </c>
      <c r="G88" s="166">
        <f>(365*AVERAGE('Forensic Inputs'!$G$40,'Forensic Inputs'!$G$45))</f>
        <v>3329528.7225000006</v>
      </c>
      <c r="H88" s="166">
        <f>DGKC!D84</f>
        <v>45107.69</v>
      </c>
      <c r="I88" s="164">
        <f t="shared" si="3"/>
        <v>73.812884732071197</v>
      </c>
      <c r="J88" s="164">
        <v>73.812884732071197</v>
      </c>
      <c r="K88" s="168">
        <f t="shared" si="4"/>
        <v>0</v>
      </c>
      <c r="L88" s="164">
        <v>138</v>
      </c>
      <c r="M88" s="154">
        <v>0</v>
      </c>
      <c r="N88" s="154" t="str">
        <f t="shared" si="5"/>
        <v>No fit</v>
      </c>
      <c r="O88" s="173" t="s">
        <v>6238</v>
      </c>
      <c r="P88" s="173" t="s">
        <v>6051</v>
      </c>
    </row>
    <row r="89" spans="1:16" ht="64.05" customHeight="1" x14ac:dyDescent="0.3">
      <c r="A89" s="151" t="s">
        <v>6239</v>
      </c>
      <c r="B89" s="151" t="s">
        <v>5776</v>
      </c>
      <c r="C89" s="151" t="s">
        <v>86</v>
      </c>
      <c r="D89" s="151">
        <v>2021</v>
      </c>
      <c r="E89" s="151" t="s">
        <v>74</v>
      </c>
      <c r="F89" s="174" t="s">
        <v>6240</v>
      </c>
      <c r="G89" s="167">
        <f>(365*AVERAGE('Forensic Inputs'!$G$40,'Forensic Inputs'!$G$45))</f>
        <v>3329528.7225000006</v>
      </c>
      <c r="H89" s="167">
        <f>((DGKC!D85*-1)+(DGKC!D65-DGKC!C65))</f>
        <v>40052.75</v>
      </c>
      <c r="I89" s="165">
        <f t="shared" si="3"/>
        <v>83.128592231494736</v>
      </c>
      <c r="J89" s="165">
        <v>83.128592231494736</v>
      </c>
      <c r="K89" s="169">
        <f t="shared" si="4"/>
        <v>0</v>
      </c>
      <c r="L89" s="165">
        <v>138</v>
      </c>
      <c r="M89" s="151">
        <v>0</v>
      </c>
      <c r="N89" s="151" t="str">
        <f t="shared" si="5"/>
        <v>No fit</v>
      </c>
      <c r="O89" s="174" t="s">
        <v>6241</v>
      </c>
      <c r="P89" s="174" t="s">
        <v>6051</v>
      </c>
    </row>
    <row r="90" spans="1:16" ht="64.05" customHeight="1" x14ac:dyDescent="0.3">
      <c r="A90" s="154" t="s">
        <v>6242</v>
      </c>
      <c r="B90" s="154" t="s">
        <v>5776</v>
      </c>
      <c r="C90" s="154" t="s">
        <v>86</v>
      </c>
      <c r="D90" s="154">
        <v>2021</v>
      </c>
      <c r="E90" s="154" t="s">
        <v>74</v>
      </c>
      <c r="F90" s="173" t="s">
        <v>6243</v>
      </c>
      <c r="G90" s="166">
        <f>(365*AVERAGE('Forensic Inputs'!$G$40,'Forensic Inputs'!$G$45))</f>
        <v>3329528.7225000006</v>
      </c>
      <c r="H90" s="166">
        <f>((DGKC!D85*-1)+(DGKC!D31-DGKC!C31))</f>
        <v>35411.392</v>
      </c>
      <c r="I90" s="164">
        <f t="shared" si="3"/>
        <v>94.024225946836566</v>
      </c>
      <c r="J90" s="164">
        <v>94.024225946836566</v>
      </c>
      <c r="K90" s="168">
        <f t="shared" si="4"/>
        <v>0</v>
      </c>
      <c r="L90" s="164">
        <v>138</v>
      </c>
      <c r="M90" s="154">
        <v>0</v>
      </c>
      <c r="N90" s="154" t="str">
        <f t="shared" si="5"/>
        <v>No fit</v>
      </c>
      <c r="O90" s="173" t="s">
        <v>6244</v>
      </c>
      <c r="P90" s="173" t="s">
        <v>6051</v>
      </c>
    </row>
    <row r="91" spans="1:16" ht="64.05" customHeight="1" x14ac:dyDescent="0.3">
      <c r="A91" s="151" t="s">
        <v>6245</v>
      </c>
      <c r="B91" s="151" t="s">
        <v>5776</v>
      </c>
      <c r="C91" s="151" t="s">
        <v>86</v>
      </c>
      <c r="D91" s="151">
        <v>2021</v>
      </c>
      <c r="E91" s="151" t="s">
        <v>74</v>
      </c>
      <c r="F91" s="174" t="s">
        <v>6246</v>
      </c>
      <c r="G91" s="167">
        <f>(365*DGKC!D50)</f>
        <v>5446950.1150000002</v>
      </c>
      <c r="H91" s="167">
        <f>'Forensic Inputs'!$G$77</f>
        <v>37211.212</v>
      </c>
      <c r="I91" s="165">
        <f t="shared" si="3"/>
        <v>146.37927179044854</v>
      </c>
      <c r="J91" s="165">
        <v>146.37927179044854</v>
      </c>
      <c r="K91" s="169">
        <f t="shared" si="4"/>
        <v>0</v>
      </c>
      <c r="L91" s="165">
        <v>138</v>
      </c>
      <c r="M91" s="151">
        <v>0</v>
      </c>
      <c r="N91" s="151" t="str">
        <f t="shared" si="5"/>
        <v>No fit</v>
      </c>
      <c r="O91" s="174" t="s">
        <v>6247</v>
      </c>
      <c r="P91" s="174" t="s">
        <v>6051</v>
      </c>
    </row>
    <row r="92" spans="1:16" ht="64.05" customHeight="1" x14ac:dyDescent="0.3">
      <c r="A92" s="154" t="s">
        <v>6248</v>
      </c>
      <c r="B92" s="154" t="s">
        <v>5776</v>
      </c>
      <c r="C92" s="154" t="s">
        <v>86</v>
      </c>
      <c r="D92" s="154">
        <v>2021</v>
      </c>
      <c r="E92" s="154" t="s">
        <v>74</v>
      </c>
      <c r="F92" s="173" t="s">
        <v>6249</v>
      </c>
      <c r="G92" s="166">
        <f>(365*AVERAGE(DGKC!C50,DGKC!D50))</f>
        <v>4785394.1849999996</v>
      </c>
      <c r="H92" s="166">
        <f>'Forensic Inputs'!$G$77</f>
        <v>37211.212</v>
      </c>
      <c r="I92" s="164">
        <f t="shared" si="3"/>
        <v>128.60086860379607</v>
      </c>
      <c r="J92" s="164">
        <v>128.60086860379607</v>
      </c>
      <c r="K92" s="168">
        <f t="shared" si="4"/>
        <v>0</v>
      </c>
      <c r="L92" s="164">
        <v>138</v>
      </c>
      <c r="M92" s="154">
        <v>0</v>
      </c>
      <c r="N92" s="154" t="str">
        <f t="shared" si="5"/>
        <v>No fit</v>
      </c>
      <c r="O92" s="173" t="s">
        <v>6250</v>
      </c>
      <c r="P92" s="173" t="s">
        <v>6051</v>
      </c>
    </row>
    <row r="93" spans="1:16" ht="64.05" customHeight="1" x14ac:dyDescent="0.3">
      <c r="A93" s="151" t="s">
        <v>6251</v>
      </c>
      <c r="B93" s="151" t="s">
        <v>5776</v>
      </c>
      <c r="C93" s="151" t="s">
        <v>86</v>
      </c>
      <c r="D93" s="151">
        <v>2021</v>
      </c>
      <c r="E93" s="151" t="s">
        <v>74</v>
      </c>
      <c r="F93" s="174" t="s">
        <v>6252</v>
      </c>
      <c r="G93" s="167">
        <f>(365*'Forensic Inputs'!$G$67)</f>
        <v>5382655.7300000004</v>
      </c>
      <c r="H93" s="167">
        <f>'Forensic Inputs'!$G$72</f>
        <v>40067.472999999998</v>
      </c>
      <c r="I93" s="165">
        <f t="shared" si="3"/>
        <v>134.3397855412544</v>
      </c>
      <c r="J93" s="165">
        <v>134.3397855412544</v>
      </c>
      <c r="K93" s="169">
        <f t="shared" si="4"/>
        <v>0</v>
      </c>
      <c r="L93" s="165">
        <v>138</v>
      </c>
      <c r="M93" s="151">
        <v>0</v>
      </c>
      <c r="N93" s="151" t="str">
        <f t="shared" si="5"/>
        <v>No fit</v>
      </c>
      <c r="O93" s="174" t="s">
        <v>6253</v>
      </c>
      <c r="P93" s="174" t="s">
        <v>6051</v>
      </c>
    </row>
    <row r="94" spans="1:16" ht="64.05" customHeight="1" x14ac:dyDescent="0.3">
      <c r="A94" s="154" t="s">
        <v>6254</v>
      </c>
      <c r="B94" s="154" t="s">
        <v>5776</v>
      </c>
      <c r="C94" s="154" t="s">
        <v>86</v>
      </c>
      <c r="D94" s="154">
        <v>2021</v>
      </c>
      <c r="E94" s="154" t="s">
        <v>74</v>
      </c>
      <c r="F94" s="173" t="s">
        <v>6255</v>
      </c>
      <c r="G94" s="166">
        <f>(365*AVERAGE('Forensic Inputs'!$G$66,'Forensic Inputs'!$G$67))</f>
        <v>4778202.0425000004</v>
      </c>
      <c r="H94" s="166">
        <f>'Forensic Inputs'!$G$72</f>
        <v>40067.472999999998</v>
      </c>
      <c r="I94" s="164">
        <f t="shared" si="3"/>
        <v>119.25389061845753</v>
      </c>
      <c r="J94" s="164">
        <v>119.25389061845753</v>
      </c>
      <c r="K94" s="168">
        <f t="shared" si="4"/>
        <v>0</v>
      </c>
      <c r="L94" s="164">
        <v>138</v>
      </c>
      <c r="M94" s="154">
        <v>0</v>
      </c>
      <c r="N94" s="154" t="str">
        <f t="shared" si="5"/>
        <v>No fit</v>
      </c>
      <c r="O94" s="173" t="s">
        <v>6256</v>
      </c>
      <c r="P94" s="173" t="s">
        <v>6051</v>
      </c>
    </row>
    <row r="95" spans="1:16" ht="64.05" customHeight="1" x14ac:dyDescent="0.3">
      <c r="A95" s="151" t="s">
        <v>6257</v>
      </c>
      <c r="B95" s="151" t="s">
        <v>5776</v>
      </c>
      <c r="C95" s="151" t="s">
        <v>86</v>
      </c>
      <c r="D95" s="151">
        <v>2021</v>
      </c>
      <c r="E95" s="151" t="s">
        <v>74</v>
      </c>
      <c r="F95" s="174" t="s">
        <v>6258</v>
      </c>
      <c r="G95" s="167">
        <f>(365*(((('Forensic Inputs'!$G$118+'Forensic Inputs'!$G$119)+'Forensic Inputs'!$G$120)+DGKC!D50)/4))</f>
        <v>4306606.2562499996</v>
      </c>
      <c r="H95" s="167">
        <f>(DGKC!D85*-1)</f>
        <v>37035.798000000003</v>
      </c>
      <c r="I95" s="165">
        <f t="shared" si="3"/>
        <v>116.28225902544342</v>
      </c>
      <c r="J95" s="165">
        <v>116.28225902544342</v>
      </c>
      <c r="K95" s="169">
        <f t="shared" si="4"/>
        <v>0</v>
      </c>
      <c r="L95" s="165">
        <v>138</v>
      </c>
      <c r="M95" s="151">
        <v>0</v>
      </c>
      <c r="N95" s="151" t="str">
        <f t="shared" si="5"/>
        <v>No fit</v>
      </c>
      <c r="O95" s="174" t="s">
        <v>6259</v>
      </c>
      <c r="P95" s="174" t="s">
        <v>6051</v>
      </c>
    </row>
    <row r="96" spans="1:16" ht="64.05" customHeight="1" x14ac:dyDescent="0.3">
      <c r="A96" s="154" t="s">
        <v>6260</v>
      </c>
      <c r="B96" s="154" t="s">
        <v>5776</v>
      </c>
      <c r="C96" s="154" t="s">
        <v>86</v>
      </c>
      <c r="D96" s="154">
        <v>2021</v>
      </c>
      <c r="E96" s="154" t="s">
        <v>74</v>
      </c>
      <c r="F96" s="173" t="s">
        <v>6261</v>
      </c>
      <c r="G96" s="166">
        <f>(365*((((('Forensic Inputs'!$G$118+'Forensic Inputs'!$G$119)+'Forensic Inputs'!$G$120)+(DGKC!C50/2))+(DGKC!D50/2))/4))</f>
        <v>4141217.2737500002</v>
      </c>
      <c r="H96" s="166">
        <f>(DGKC!D85*-1)</f>
        <v>37035.798000000003</v>
      </c>
      <c r="I96" s="164">
        <f t="shared" si="3"/>
        <v>111.81660710402406</v>
      </c>
      <c r="J96" s="164">
        <v>111.81660710402406</v>
      </c>
      <c r="K96" s="168">
        <f t="shared" si="4"/>
        <v>0</v>
      </c>
      <c r="L96" s="164">
        <v>138</v>
      </c>
      <c r="M96" s="154">
        <v>0</v>
      </c>
      <c r="N96" s="154" t="str">
        <f t="shared" si="5"/>
        <v>No fit</v>
      </c>
      <c r="O96" s="173" t="s">
        <v>6262</v>
      </c>
      <c r="P96" s="173" t="s">
        <v>6051</v>
      </c>
    </row>
    <row r="97" spans="1:16" ht="64.05" customHeight="1" x14ac:dyDescent="0.3">
      <c r="A97" s="151" t="s">
        <v>6263</v>
      </c>
      <c r="B97" s="151" t="s">
        <v>5785</v>
      </c>
      <c r="C97" s="151" t="s">
        <v>86</v>
      </c>
      <c r="D97" s="151">
        <v>2022</v>
      </c>
      <c r="E97" s="151" t="s">
        <v>74</v>
      </c>
      <c r="F97" s="174" t="s">
        <v>5893</v>
      </c>
      <c r="G97" s="167">
        <f>365*AVERAGE(DGKC!D51,DGKC!E51)</f>
        <v>2052547.7524999999</v>
      </c>
      <c r="H97" s="167">
        <f>-DGKC!E85</f>
        <v>47615.550999999999</v>
      </c>
      <c r="I97" s="165">
        <f t="shared" si="3"/>
        <v>43.106668082030595</v>
      </c>
      <c r="J97" s="165">
        <v>43.106668082030595</v>
      </c>
      <c r="K97" s="169">
        <f t="shared" si="4"/>
        <v>0</v>
      </c>
      <c r="L97" s="165">
        <v>92</v>
      </c>
      <c r="M97" s="151">
        <v>0</v>
      </c>
      <c r="N97" s="151" t="str">
        <f t="shared" si="5"/>
        <v>No fit</v>
      </c>
      <c r="O97" s="174" t="s">
        <v>6050</v>
      </c>
      <c r="P97" s="174" t="s">
        <v>6051</v>
      </c>
    </row>
    <row r="98" spans="1:16" ht="64.05" customHeight="1" x14ac:dyDescent="0.3">
      <c r="A98" s="154" t="s">
        <v>6264</v>
      </c>
      <c r="B98" s="154" t="s">
        <v>5785</v>
      </c>
      <c r="C98" s="154" t="s">
        <v>86</v>
      </c>
      <c r="D98" s="154">
        <v>2022</v>
      </c>
      <c r="E98" s="154" t="s">
        <v>74</v>
      </c>
      <c r="F98" s="173" t="s">
        <v>6115</v>
      </c>
      <c r="G98" s="166">
        <f>(365*DGKC!E51)</f>
        <v>1412990.5549999999</v>
      </c>
      <c r="H98" s="166">
        <f>(DGKC!E85*-1)</f>
        <v>47615.550999999999</v>
      </c>
      <c r="I98" s="164">
        <f t="shared" si="3"/>
        <v>29.674980659154819</v>
      </c>
      <c r="J98" s="164">
        <v>29.674980659154819</v>
      </c>
      <c r="K98" s="168">
        <f t="shared" si="4"/>
        <v>0</v>
      </c>
      <c r="L98" s="164">
        <v>92</v>
      </c>
      <c r="M98" s="154">
        <v>0</v>
      </c>
      <c r="N98" s="154" t="str">
        <f t="shared" si="5"/>
        <v>No fit</v>
      </c>
      <c r="O98" s="173" t="s">
        <v>6116</v>
      </c>
      <c r="P98" s="173" t="s">
        <v>6051</v>
      </c>
    </row>
    <row r="99" spans="1:16" ht="64.05" customHeight="1" x14ac:dyDescent="0.3">
      <c r="A99" s="151" t="s">
        <v>6265</v>
      </c>
      <c r="B99" s="151" t="s">
        <v>5785</v>
      </c>
      <c r="C99" s="151" t="s">
        <v>86</v>
      </c>
      <c r="D99" s="151">
        <v>2022</v>
      </c>
      <c r="E99" s="151" t="s">
        <v>74</v>
      </c>
      <c r="F99" s="174" t="s">
        <v>6118</v>
      </c>
      <c r="G99" s="167">
        <f>(365*DGKC!E51)</f>
        <v>1412990.5549999999</v>
      </c>
      <c r="H99" s="167">
        <f>DGKC!E84</f>
        <v>58043.862999999998</v>
      </c>
      <c r="I99" s="165">
        <f t="shared" si="3"/>
        <v>24.343496141874638</v>
      </c>
      <c r="J99" s="165">
        <v>24.343496141874638</v>
      </c>
      <c r="K99" s="169">
        <f t="shared" si="4"/>
        <v>0</v>
      </c>
      <c r="L99" s="165">
        <v>92</v>
      </c>
      <c r="M99" s="151">
        <v>0</v>
      </c>
      <c r="N99" s="151" t="str">
        <f t="shared" si="5"/>
        <v>No fit</v>
      </c>
      <c r="O99" s="174" t="s">
        <v>6119</v>
      </c>
      <c r="P99" s="174" t="s">
        <v>6051</v>
      </c>
    </row>
    <row r="100" spans="1:16" ht="64.05" customHeight="1" x14ac:dyDescent="0.3">
      <c r="A100" s="154" t="s">
        <v>6266</v>
      </c>
      <c r="B100" s="154" t="s">
        <v>5785</v>
      </c>
      <c r="C100" s="154" t="s">
        <v>86</v>
      </c>
      <c r="D100" s="154">
        <v>2022</v>
      </c>
      <c r="E100" s="154" t="s">
        <v>74</v>
      </c>
      <c r="F100" s="173" t="s">
        <v>6121</v>
      </c>
      <c r="G100" s="166">
        <f>(365*DGKC!E51)</f>
        <v>1412990.5549999999</v>
      </c>
      <c r="H100" s="166">
        <f>((DGKC!E85*-1)+(DGKC!E65-DGKC!D65))</f>
        <v>54803.012000000002</v>
      </c>
      <c r="I100" s="164">
        <f t="shared" si="3"/>
        <v>25.783082050307744</v>
      </c>
      <c r="J100" s="164">
        <v>25.783082050307744</v>
      </c>
      <c r="K100" s="168">
        <f t="shared" si="4"/>
        <v>0</v>
      </c>
      <c r="L100" s="164">
        <v>92</v>
      </c>
      <c r="M100" s="154">
        <v>0</v>
      </c>
      <c r="N100" s="154" t="str">
        <f t="shared" si="5"/>
        <v>No fit</v>
      </c>
      <c r="O100" s="173" t="s">
        <v>6122</v>
      </c>
      <c r="P100" s="173" t="s">
        <v>6051</v>
      </c>
    </row>
    <row r="101" spans="1:16" ht="64.05" customHeight="1" x14ac:dyDescent="0.3">
      <c r="A101" s="151" t="s">
        <v>6267</v>
      </c>
      <c r="B101" s="151" t="s">
        <v>5785</v>
      </c>
      <c r="C101" s="151" t="s">
        <v>86</v>
      </c>
      <c r="D101" s="151">
        <v>2022</v>
      </c>
      <c r="E101" s="151" t="s">
        <v>74</v>
      </c>
      <c r="F101" s="174" t="s">
        <v>6124</v>
      </c>
      <c r="G101" s="167">
        <f>(365*DGKC!E51)</f>
        <v>1412990.5549999999</v>
      </c>
      <c r="H101" s="167">
        <f>((DGKC!E85*-1)+(DGKC!E31-DGKC!D31))</f>
        <v>50868.476999999999</v>
      </c>
      <c r="I101" s="165">
        <f t="shared" si="3"/>
        <v>27.777331627207946</v>
      </c>
      <c r="J101" s="165">
        <v>27.777331627207946</v>
      </c>
      <c r="K101" s="169">
        <f t="shared" si="4"/>
        <v>0</v>
      </c>
      <c r="L101" s="165">
        <v>92</v>
      </c>
      <c r="M101" s="151">
        <v>0</v>
      </c>
      <c r="N101" s="151" t="str">
        <f t="shared" si="5"/>
        <v>No fit</v>
      </c>
      <c r="O101" s="174" t="s">
        <v>6125</v>
      </c>
      <c r="P101" s="174" t="s">
        <v>6051</v>
      </c>
    </row>
    <row r="102" spans="1:16" ht="64.05" customHeight="1" x14ac:dyDescent="0.3">
      <c r="A102" s="154" t="s">
        <v>6268</v>
      </c>
      <c r="B102" s="154" t="s">
        <v>5785</v>
      </c>
      <c r="C102" s="154" t="s">
        <v>86</v>
      </c>
      <c r="D102" s="154">
        <v>2022</v>
      </c>
      <c r="E102" s="154" t="s">
        <v>74</v>
      </c>
      <c r="F102" s="173" t="s">
        <v>6127</v>
      </c>
      <c r="G102" s="166">
        <f>(365*AVERAGE(DGKC!D51,DGKC!E51))</f>
        <v>2052547.7524999999</v>
      </c>
      <c r="H102" s="166">
        <f>(DGKC!E85*-1)</f>
        <v>47615.550999999999</v>
      </c>
      <c r="I102" s="164">
        <f t="shared" si="3"/>
        <v>43.106668082030595</v>
      </c>
      <c r="J102" s="164">
        <v>43.106668082030595</v>
      </c>
      <c r="K102" s="168">
        <f t="shared" si="4"/>
        <v>0</v>
      </c>
      <c r="L102" s="164">
        <v>92</v>
      </c>
      <c r="M102" s="154">
        <v>0</v>
      </c>
      <c r="N102" s="154" t="str">
        <f t="shared" si="5"/>
        <v>No fit</v>
      </c>
      <c r="O102" s="173" t="s">
        <v>6128</v>
      </c>
      <c r="P102" s="173" t="s">
        <v>6051</v>
      </c>
    </row>
    <row r="103" spans="1:16" ht="64.05" customHeight="1" x14ac:dyDescent="0.3">
      <c r="A103" s="151" t="s">
        <v>6269</v>
      </c>
      <c r="B103" s="151" t="s">
        <v>5785</v>
      </c>
      <c r="C103" s="151" t="s">
        <v>86</v>
      </c>
      <c r="D103" s="151">
        <v>2022</v>
      </c>
      <c r="E103" s="151" t="s">
        <v>74</v>
      </c>
      <c r="F103" s="174" t="s">
        <v>6130</v>
      </c>
      <c r="G103" s="167">
        <f>(365*AVERAGE(DGKC!D51,DGKC!E51))</f>
        <v>2052547.7524999999</v>
      </c>
      <c r="H103" s="167">
        <f>DGKC!E84</f>
        <v>58043.862999999998</v>
      </c>
      <c r="I103" s="165">
        <f t="shared" si="3"/>
        <v>35.362011527385761</v>
      </c>
      <c r="J103" s="165">
        <v>35.362011527385761</v>
      </c>
      <c r="K103" s="169">
        <f t="shared" si="4"/>
        <v>0</v>
      </c>
      <c r="L103" s="165">
        <v>92</v>
      </c>
      <c r="M103" s="151">
        <v>0</v>
      </c>
      <c r="N103" s="151" t="str">
        <f t="shared" si="5"/>
        <v>No fit</v>
      </c>
      <c r="O103" s="174" t="s">
        <v>6131</v>
      </c>
      <c r="P103" s="174" t="s">
        <v>6051</v>
      </c>
    </row>
    <row r="104" spans="1:16" ht="64.05" customHeight="1" x14ac:dyDescent="0.3">
      <c r="A104" s="154" t="s">
        <v>6270</v>
      </c>
      <c r="B104" s="154" t="s">
        <v>5785</v>
      </c>
      <c r="C104" s="154" t="s">
        <v>86</v>
      </c>
      <c r="D104" s="154">
        <v>2022</v>
      </c>
      <c r="E104" s="154" t="s">
        <v>74</v>
      </c>
      <c r="F104" s="173" t="s">
        <v>6133</v>
      </c>
      <c r="G104" s="166">
        <f>(365*AVERAGE(DGKC!D51,DGKC!E51))</f>
        <v>2052547.7524999999</v>
      </c>
      <c r="H104" s="166">
        <f>((DGKC!E85*-1)+(DGKC!E65-DGKC!D65))</f>
        <v>54803.012000000002</v>
      </c>
      <c r="I104" s="164">
        <f t="shared" si="3"/>
        <v>37.453192399352062</v>
      </c>
      <c r="J104" s="164">
        <v>37.453192399352062</v>
      </c>
      <c r="K104" s="168">
        <f t="shared" si="4"/>
        <v>0</v>
      </c>
      <c r="L104" s="164">
        <v>92</v>
      </c>
      <c r="M104" s="154">
        <v>0</v>
      </c>
      <c r="N104" s="154" t="str">
        <f t="shared" si="5"/>
        <v>No fit</v>
      </c>
      <c r="O104" s="173" t="s">
        <v>6134</v>
      </c>
      <c r="P104" s="173" t="s">
        <v>6051</v>
      </c>
    </row>
    <row r="105" spans="1:16" ht="64.05" customHeight="1" x14ac:dyDescent="0.3">
      <c r="A105" s="151" t="s">
        <v>6271</v>
      </c>
      <c r="B105" s="151" t="s">
        <v>5785</v>
      </c>
      <c r="C105" s="151" t="s">
        <v>86</v>
      </c>
      <c r="D105" s="151">
        <v>2022</v>
      </c>
      <c r="E105" s="151" t="s">
        <v>74</v>
      </c>
      <c r="F105" s="174" t="s">
        <v>6136</v>
      </c>
      <c r="G105" s="167">
        <f>(365*AVERAGE(DGKC!D51,DGKC!E51))</f>
        <v>2052547.7524999999</v>
      </c>
      <c r="H105" s="167">
        <f>((DGKC!E85*-1)+(DGKC!E31-DGKC!D31))</f>
        <v>50868.476999999999</v>
      </c>
      <c r="I105" s="165">
        <f t="shared" si="3"/>
        <v>40.35009250424384</v>
      </c>
      <c r="J105" s="165">
        <v>40.35009250424384</v>
      </c>
      <c r="K105" s="169">
        <f t="shared" si="4"/>
        <v>0</v>
      </c>
      <c r="L105" s="165">
        <v>92</v>
      </c>
      <c r="M105" s="151">
        <v>0</v>
      </c>
      <c r="N105" s="151" t="str">
        <f t="shared" si="5"/>
        <v>No fit</v>
      </c>
      <c r="O105" s="174" t="s">
        <v>6137</v>
      </c>
      <c r="P105" s="174" t="s">
        <v>6051</v>
      </c>
    </row>
    <row r="106" spans="1:16" ht="64.05" customHeight="1" x14ac:dyDescent="0.3">
      <c r="A106" s="154" t="s">
        <v>6272</v>
      </c>
      <c r="B106" s="154" t="s">
        <v>5785</v>
      </c>
      <c r="C106" s="154" t="s">
        <v>86</v>
      </c>
      <c r="D106" s="154">
        <v>2022</v>
      </c>
      <c r="E106" s="154" t="s">
        <v>74</v>
      </c>
      <c r="F106" s="173" t="s">
        <v>6139</v>
      </c>
      <c r="G106" s="166">
        <f>(365*DGKC!E50)</f>
        <v>4595973.7850000001</v>
      </c>
      <c r="H106" s="166">
        <f>(DGKC!E85*-1)</f>
        <v>47615.550999999999</v>
      </c>
      <c r="I106" s="164">
        <f t="shared" si="3"/>
        <v>96.522537038372192</v>
      </c>
      <c r="J106" s="164">
        <v>96.522537038372192</v>
      </c>
      <c r="K106" s="168">
        <f t="shared" si="4"/>
        <v>0</v>
      </c>
      <c r="L106" s="164">
        <v>92</v>
      </c>
      <c r="M106" s="154">
        <v>0</v>
      </c>
      <c r="N106" s="154" t="str">
        <f t="shared" si="5"/>
        <v>No fit</v>
      </c>
      <c r="O106" s="173" t="s">
        <v>6140</v>
      </c>
      <c r="P106" s="173" t="s">
        <v>6051</v>
      </c>
    </row>
    <row r="107" spans="1:16" ht="64.05" customHeight="1" x14ac:dyDescent="0.3">
      <c r="A107" s="151" t="s">
        <v>6273</v>
      </c>
      <c r="B107" s="151" t="s">
        <v>5785</v>
      </c>
      <c r="C107" s="151" t="s">
        <v>86</v>
      </c>
      <c r="D107" s="151">
        <v>2022</v>
      </c>
      <c r="E107" s="151" t="s">
        <v>74</v>
      </c>
      <c r="F107" s="174" t="s">
        <v>6142</v>
      </c>
      <c r="G107" s="167">
        <f>(365*DGKC!E50)</f>
        <v>4595973.7850000001</v>
      </c>
      <c r="H107" s="167">
        <f>DGKC!E84</f>
        <v>58043.862999999998</v>
      </c>
      <c r="I107" s="165">
        <f t="shared" si="3"/>
        <v>79.181045978969394</v>
      </c>
      <c r="J107" s="165">
        <v>79.181045978969394</v>
      </c>
      <c r="K107" s="169">
        <f t="shared" si="4"/>
        <v>0</v>
      </c>
      <c r="L107" s="165">
        <v>92</v>
      </c>
      <c r="M107" s="151">
        <v>0</v>
      </c>
      <c r="N107" s="151" t="str">
        <f t="shared" si="5"/>
        <v>No fit</v>
      </c>
      <c r="O107" s="174" t="s">
        <v>6143</v>
      </c>
      <c r="P107" s="174" t="s">
        <v>6051</v>
      </c>
    </row>
    <row r="108" spans="1:16" ht="64.05" customHeight="1" x14ac:dyDescent="0.3">
      <c r="A108" s="154" t="s">
        <v>6274</v>
      </c>
      <c r="B108" s="154" t="s">
        <v>5785</v>
      </c>
      <c r="C108" s="154" t="s">
        <v>86</v>
      </c>
      <c r="D108" s="154">
        <v>2022</v>
      </c>
      <c r="E108" s="154" t="s">
        <v>74</v>
      </c>
      <c r="F108" s="173" t="s">
        <v>6145</v>
      </c>
      <c r="G108" s="166">
        <f>(365*DGKC!E50)</f>
        <v>4595973.7850000001</v>
      </c>
      <c r="H108" s="166">
        <f>((DGKC!E85*-1)+(DGKC!E65-DGKC!D65))</f>
        <v>54803.012000000002</v>
      </c>
      <c r="I108" s="164">
        <f t="shared" si="3"/>
        <v>83.863525329593202</v>
      </c>
      <c r="J108" s="164">
        <v>83.863525329593202</v>
      </c>
      <c r="K108" s="168">
        <f t="shared" si="4"/>
        <v>0</v>
      </c>
      <c r="L108" s="164">
        <v>92</v>
      </c>
      <c r="M108" s="154">
        <v>0</v>
      </c>
      <c r="N108" s="154" t="str">
        <f t="shared" si="5"/>
        <v>No fit</v>
      </c>
      <c r="O108" s="173" t="s">
        <v>6146</v>
      </c>
      <c r="P108" s="173" t="s">
        <v>6051</v>
      </c>
    </row>
    <row r="109" spans="1:16" ht="64.05" customHeight="1" x14ac:dyDescent="0.3">
      <c r="A109" s="151" t="s">
        <v>6275</v>
      </c>
      <c r="B109" s="151" t="s">
        <v>5785</v>
      </c>
      <c r="C109" s="151" t="s">
        <v>86</v>
      </c>
      <c r="D109" s="151">
        <v>2022</v>
      </c>
      <c r="E109" s="151" t="s">
        <v>74</v>
      </c>
      <c r="F109" s="174" t="s">
        <v>6148</v>
      </c>
      <c r="G109" s="167">
        <f>(365*DGKC!E50)</f>
        <v>4595973.7850000001</v>
      </c>
      <c r="H109" s="167">
        <f>((DGKC!E85*-1)+(DGKC!E31-DGKC!D31))</f>
        <v>50868.476999999999</v>
      </c>
      <c r="I109" s="165">
        <f t="shared" si="3"/>
        <v>90.350135409007834</v>
      </c>
      <c r="J109" s="165">
        <v>90.350135409007834</v>
      </c>
      <c r="K109" s="169">
        <f t="shared" si="4"/>
        <v>0</v>
      </c>
      <c r="L109" s="165">
        <v>92</v>
      </c>
      <c r="M109" s="151">
        <v>0</v>
      </c>
      <c r="N109" s="151" t="str">
        <f t="shared" si="5"/>
        <v>No fit</v>
      </c>
      <c r="O109" s="174" t="s">
        <v>6149</v>
      </c>
      <c r="P109" s="174" t="s">
        <v>6051</v>
      </c>
    </row>
    <row r="110" spans="1:16" ht="64.05" customHeight="1" x14ac:dyDescent="0.3">
      <c r="A110" s="154" t="s">
        <v>6276</v>
      </c>
      <c r="B110" s="154" t="s">
        <v>5785</v>
      </c>
      <c r="C110" s="154" t="s">
        <v>86</v>
      </c>
      <c r="D110" s="154">
        <v>2022</v>
      </c>
      <c r="E110" s="154" t="s">
        <v>74</v>
      </c>
      <c r="F110" s="173" t="s">
        <v>5780</v>
      </c>
      <c r="G110" s="166">
        <f>(365*AVERAGE(DGKC!D50,DGKC!E50))</f>
        <v>5021461.95</v>
      </c>
      <c r="H110" s="166">
        <f>(DGKC!E85*-1)</f>
        <v>47615.550999999999</v>
      </c>
      <c r="I110" s="164">
        <f t="shared" si="3"/>
        <v>105.45844465813281</v>
      </c>
      <c r="J110" s="164">
        <v>105.45844465813281</v>
      </c>
      <c r="K110" s="168">
        <f t="shared" si="4"/>
        <v>0</v>
      </c>
      <c r="L110" s="164">
        <v>92</v>
      </c>
      <c r="M110" s="154">
        <v>0</v>
      </c>
      <c r="N110" s="154" t="str">
        <f t="shared" si="5"/>
        <v>No fit</v>
      </c>
      <c r="O110" s="173" t="s">
        <v>6151</v>
      </c>
      <c r="P110" s="173" t="s">
        <v>6051</v>
      </c>
    </row>
    <row r="111" spans="1:16" ht="64.05" customHeight="1" x14ac:dyDescent="0.3">
      <c r="A111" s="151" t="s">
        <v>6277</v>
      </c>
      <c r="B111" s="151" t="s">
        <v>5785</v>
      </c>
      <c r="C111" s="151" t="s">
        <v>86</v>
      </c>
      <c r="D111" s="151">
        <v>2022</v>
      </c>
      <c r="E111" s="151" t="s">
        <v>74</v>
      </c>
      <c r="F111" s="174" t="s">
        <v>6153</v>
      </c>
      <c r="G111" s="167">
        <f>(365*AVERAGE(DGKC!D50,DGKC!E50))</f>
        <v>5021461.95</v>
      </c>
      <c r="H111" s="167">
        <f>DGKC!E84</f>
        <v>58043.862999999998</v>
      </c>
      <c r="I111" s="165">
        <f t="shared" si="3"/>
        <v>86.511505100892407</v>
      </c>
      <c r="J111" s="165">
        <v>86.511505100892407</v>
      </c>
      <c r="K111" s="169">
        <f t="shared" si="4"/>
        <v>0</v>
      </c>
      <c r="L111" s="165">
        <v>92</v>
      </c>
      <c r="M111" s="151">
        <v>0</v>
      </c>
      <c r="N111" s="151" t="str">
        <f t="shared" si="5"/>
        <v>No fit</v>
      </c>
      <c r="O111" s="174" t="s">
        <v>6154</v>
      </c>
      <c r="P111" s="174" t="s">
        <v>6051</v>
      </c>
    </row>
    <row r="112" spans="1:16" ht="64.05" customHeight="1" x14ac:dyDescent="0.3">
      <c r="A112" s="154" t="s">
        <v>6278</v>
      </c>
      <c r="B112" s="154" t="s">
        <v>5785</v>
      </c>
      <c r="C112" s="154" t="s">
        <v>86</v>
      </c>
      <c r="D112" s="154">
        <v>2022</v>
      </c>
      <c r="E112" s="154" t="s">
        <v>74</v>
      </c>
      <c r="F112" s="173" t="s">
        <v>6156</v>
      </c>
      <c r="G112" s="166">
        <f>(365*AVERAGE(DGKC!D50,DGKC!E50))</f>
        <v>5021461.95</v>
      </c>
      <c r="H112" s="166">
        <f>((DGKC!E85*-1)+(DGKC!E65-DGKC!D65))</f>
        <v>54803.012000000002</v>
      </c>
      <c r="I112" s="164">
        <f t="shared" si="3"/>
        <v>91.627481168370821</v>
      </c>
      <c r="J112" s="164">
        <v>91.627481168370821</v>
      </c>
      <c r="K112" s="168">
        <f t="shared" si="4"/>
        <v>0</v>
      </c>
      <c r="L112" s="164">
        <v>92</v>
      </c>
      <c r="M112" s="154">
        <v>0</v>
      </c>
      <c r="N112" s="154" t="str">
        <f t="shared" si="5"/>
        <v>Numeric fit</v>
      </c>
      <c r="O112" s="173" t="s">
        <v>6157</v>
      </c>
      <c r="P112" s="173" t="s">
        <v>6051</v>
      </c>
    </row>
    <row r="113" spans="1:16" ht="64.05" customHeight="1" x14ac:dyDescent="0.3">
      <c r="A113" s="151" t="s">
        <v>6279</v>
      </c>
      <c r="B113" s="151" t="s">
        <v>5785</v>
      </c>
      <c r="C113" s="151" t="s">
        <v>86</v>
      </c>
      <c r="D113" s="151">
        <v>2022</v>
      </c>
      <c r="E113" s="151" t="s">
        <v>74</v>
      </c>
      <c r="F113" s="174" t="s">
        <v>6159</v>
      </c>
      <c r="G113" s="167">
        <f>(365*AVERAGE(DGKC!D50,DGKC!E50))</f>
        <v>5021461.95</v>
      </c>
      <c r="H113" s="167">
        <f>((DGKC!E85*-1)+(DGKC!E31-DGKC!D31))</f>
        <v>50868.476999999999</v>
      </c>
      <c r="I113" s="165">
        <f t="shared" si="3"/>
        <v>98.714611605140064</v>
      </c>
      <c r="J113" s="165">
        <v>98.714611605140064</v>
      </c>
      <c r="K113" s="169">
        <f t="shared" si="4"/>
        <v>0</v>
      </c>
      <c r="L113" s="165">
        <v>92</v>
      </c>
      <c r="M113" s="151">
        <v>0</v>
      </c>
      <c r="N113" s="151" t="str">
        <f t="shared" si="5"/>
        <v>No fit</v>
      </c>
      <c r="O113" s="174" t="s">
        <v>6160</v>
      </c>
      <c r="P113" s="174" t="s">
        <v>6051</v>
      </c>
    </row>
    <row r="114" spans="1:16" ht="64.05" customHeight="1" x14ac:dyDescent="0.3">
      <c r="A114" s="154" t="s">
        <v>6280</v>
      </c>
      <c r="B114" s="154" t="s">
        <v>5785</v>
      </c>
      <c r="C114" s="154" t="s">
        <v>86</v>
      </c>
      <c r="D114" s="154">
        <v>2022</v>
      </c>
      <c r="E114" s="154" t="s">
        <v>74</v>
      </c>
      <c r="F114" s="173" t="s">
        <v>6162</v>
      </c>
      <c r="G114" s="166">
        <f>(365*AVERAGE((((DGKC!D61-DGKC!D54)-DGKC!D55)-DGKC!D56),(((DGKC!E61-DGKC!E54)-DGKC!E55)-DGKC!E56)))</f>
        <v>5399102.9949999992</v>
      </c>
      <c r="H114" s="166">
        <f>(DGKC!E85*-1)</f>
        <v>47615.550999999999</v>
      </c>
      <c r="I114" s="164">
        <f t="shared" si="3"/>
        <v>113.3894889717857</v>
      </c>
      <c r="J114" s="164">
        <v>113.3894889717857</v>
      </c>
      <c r="K114" s="168">
        <f t="shared" si="4"/>
        <v>0</v>
      </c>
      <c r="L114" s="164">
        <v>92</v>
      </c>
      <c r="M114" s="154">
        <v>0</v>
      </c>
      <c r="N114" s="154" t="str">
        <f t="shared" si="5"/>
        <v>No fit</v>
      </c>
      <c r="O114" s="173" t="s">
        <v>6163</v>
      </c>
      <c r="P114" s="173" t="s">
        <v>6051</v>
      </c>
    </row>
    <row r="115" spans="1:16" ht="64.05" customHeight="1" x14ac:dyDescent="0.3">
      <c r="A115" s="151" t="s">
        <v>6281</v>
      </c>
      <c r="B115" s="151" t="s">
        <v>5785</v>
      </c>
      <c r="C115" s="151" t="s">
        <v>86</v>
      </c>
      <c r="D115" s="151">
        <v>2022</v>
      </c>
      <c r="E115" s="151" t="s">
        <v>74</v>
      </c>
      <c r="F115" s="174" t="s">
        <v>6165</v>
      </c>
      <c r="G115" s="167">
        <f>(365*AVERAGE((((DGKC!D61-DGKC!D54)-DGKC!D55)-DGKC!D56),(((DGKC!E61-DGKC!E54)-DGKC!E55)-DGKC!E56)))</f>
        <v>5399102.9949999992</v>
      </c>
      <c r="H115" s="167">
        <f>DGKC!E84</f>
        <v>58043.862999999998</v>
      </c>
      <c r="I115" s="165">
        <f t="shared" si="3"/>
        <v>93.017637282342832</v>
      </c>
      <c r="J115" s="165">
        <v>93.017637282342832</v>
      </c>
      <c r="K115" s="169">
        <f t="shared" si="4"/>
        <v>0</v>
      </c>
      <c r="L115" s="165">
        <v>92</v>
      </c>
      <c r="M115" s="151">
        <v>0</v>
      </c>
      <c r="N115" s="151" t="str">
        <f t="shared" si="5"/>
        <v>No fit</v>
      </c>
      <c r="O115" s="174" t="s">
        <v>6166</v>
      </c>
      <c r="P115" s="174" t="s">
        <v>6051</v>
      </c>
    </row>
    <row r="116" spans="1:16" ht="64.05" customHeight="1" x14ac:dyDescent="0.3">
      <c r="A116" s="154" t="s">
        <v>6282</v>
      </c>
      <c r="B116" s="154" t="s">
        <v>5785</v>
      </c>
      <c r="C116" s="154" t="s">
        <v>86</v>
      </c>
      <c r="D116" s="154">
        <v>2022</v>
      </c>
      <c r="E116" s="154" t="s">
        <v>74</v>
      </c>
      <c r="F116" s="173" t="s">
        <v>6168</v>
      </c>
      <c r="G116" s="166">
        <f>(365*AVERAGE((((DGKC!D61-DGKC!D54)-DGKC!D55)-DGKC!D56),(((DGKC!E61-DGKC!E54)-DGKC!E55)-DGKC!E56)))</f>
        <v>5399102.9949999992</v>
      </c>
      <c r="H116" s="166">
        <f>((DGKC!E85*-1)+(DGKC!E65-DGKC!D65))</f>
        <v>54803.012000000002</v>
      </c>
      <c r="I116" s="164">
        <f t="shared" si="3"/>
        <v>98.518362366652383</v>
      </c>
      <c r="J116" s="164">
        <v>98.518362366652383</v>
      </c>
      <c r="K116" s="168">
        <f t="shared" si="4"/>
        <v>0</v>
      </c>
      <c r="L116" s="164">
        <v>92</v>
      </c>
      <c r="M116" s="154">
        <v>0</v>
      </c>
      <c r="N116" s="154" t="str">
        <f t="shared" si="5"/>
        <v>No fit</v>
      </c>
      <c r="O116" s="173" t="s">
        <v>6169</v>
      </c>
      <c r="P116" s="173" t="s">
        <v>6051</v>
      </c>
    </row>
    <row r="117" spans="1:16" ht="64.05" customHeight="1" x14ac:dyDescent="0.3">
      <c r="A117" s="151" t="s">
        <v>6283</v>
      </c>
      <c r="B117" s="151" t="s">
        <v>5785</v>
      </c>
      <c r="C117" s="151" t="s">
        <v>86</v>
      </c>
      <c r="D117" s="151">
        <v>2022</v>
      </c>
      <c r="E117" s="151" t="s">
        <v>74</v>
      </c>
      <c r="F117" s="174" t="s">
        <v>6171</v>
      </c>
      <c r="G117" s="167">
        <f>(365*AVERAGE((((DGKC!D61-DGKC!D54)-DGKC!D55)-DGKC!D56),(((DGKC!E61-DGKC!E54)-DGKC!E55)-DGKC!E56)))</f>
        <v>5399102.9949999992</v>
      </c>
      <c r="H117" s="167">
        <f>((DGKC!E85*-1)+(DGKC!E31-DGKC!D31))</f>
        <v>50868.476999999999</v>
      </c>
      <c r="I117" s="165">
        <f t="shared" si="3"/>
        <v>106.13848326931431</v>
      </c>
      <c r="J117" s="165">
        <v>106.13848326931431</v>
      </c>
      <c r="K117" s="169">
        <f t="shared" si="4"/>
        <v>0</v>
      </c>
      <c r="L117" s="165">
        <v>92</v>
      </c>
      <c r="M117" s="151">
        <v>0</v>
      </c>
      <c r="N117" s="151" t="str">
        <f t="shared" si="5"/>
        <v>No fit</v>
      </c>
      <c r="O117" s="174" t="s">
        <v>6172</v>
      </c>
      <c r="P117" s="174" t="s">
        <v>6051</v>
      </c>
    </row>
    <row r="118" spans="1:16" ht="64.05" customHeight="1" x14ac:dyDescent="0.3">
      <c r="A118" s="154" t="s">
        <v>6284</v>
      </c>
      <c r="B118" s="154" t="s">
        <v>5785</v>
      </c>
      <c r="C118" s="154" t="s">
        <v>86</v>
      </c>
      <c r="D118" s="154">
        <v>2022</v>
      </c>
      <c r="E118" s="154" t="s">
        <v>74</v>
      </c>
      <c r="F118" s="173" t="s">
        <v>6174</v>
      </c>
      <c r="G118" s="166">
        <f>(365*(DGKC!E51+'Forensic Inputs'!$G$46))</f>
        <v>3508183.9950000001</v>
      </c>
      <c r="H118" s="166">
        <f>(DGKC!E85*-1)</f>
        <v>47615.550999999999</v>
      </c>
      <c r="I118" s="164">
        <f t="shared" si="3"/>
        <v>73.6772739435484</v>
      </c>
      <c r="J118" s="164">
        <v>73.6772739435484</v>
      </c>
      <c r="K118" s="168">
        <f t="shared" si="4"/>
        <v>0</v>
      </c>
      <c r="L118" s="164">
        <v>92</v>
      </c>
      <c r="M118" s="154">
        <v>0</v>
      </c>
      <c r="N118" s="154" t="str">
        <f t="shared" si="5"/>
        <v>No fit</v>
      </c>
      <c r="O118" s="173" t="s">
        <v>6175</v>
      </c>
      <c r="P118" s="173" t="s">
        <v>6051</v>
      </c>
    </row>
    <row r="119" spans="1:16" ht="64.05" customHeight="1" x14ac:dyDescent="0.3">
      <c r="A119" s="151" t="s">
        <v>6285</v>
      </c>
      <c r="B119" s="151" t="s">
        <v>5785</v>
      </c>
      <c r="C119" s="151" t="s">
        <v>86</v>
      </c>
      <c r="D119" s="151">
        <v>2022</v>
      </c>
      <c r="E119" s="151" t="s">
        <v>74</v>
      </c>
      <c r="F119" s="174" t="s">
        <v>6177</v>
      </c>
      <c r="G119" s="167">
        <f>(365*(DGKC!E51+'Forensic Inputs'!$G$46))</f>
        <v>3508183.9950000001</v>
      </c>
      <c r="H119" s="167">
        <f>DGKC!E84</f>
        <v>58043.862999999998</v>
      </c>
      <c r="I119" s="165">
        <f t="shared" si="3"/>
        <v>60.440222508967061</v>
      </c>
      <c r="J119" s="165">
        <v>60.440222508967061</v>
      </c>
      <c r="K119" s="169">
        <f t="shared" si="4"/>
        <v>0</v>
      </c>
      <c r="L119" s="165">
        <v>92</v>
      </c>
      <c r="M119" s="151">
        <v>0</v>
      </c>
      <c r="N119" s="151" t="str">
        <f t="shared" si="5"/>
        <v>No fit</v>
      </c>
      <c r="O119" s="174" t="s">
        <v>6178</v>
      </c>
      <c r="P119" s="174" t="s">
        <v>6051</v>
      </c>
    </row>
    <row r="120" spans="1:16" ht="64.05" customHeight="1" x14ac:dyDescent="0.3">
      <c r="A120" s="154" t="s">
        <v>6286</v>
      </c>
      <c r="B120" s="154" t="s">
        <v>5785</v>
      </c>
      <c r="C120" s="154" t="s">
        <v>86</v>
      </c>
      <c r="D120" s="154">
        <v>2022</v>
      </c>
      <c r="E120" s="154" t="s">
        <v>74</v>
      </c>
      <c r="F120" s="173" t="s">
        <v>6180</v>
      </c>
      <c r="G120" s="166">
        <f>(365*(DGKC!E51+'Forensic Inputs'!$G$46))</f>
        <v>3508183.9950000001</v>
      </c>
      <c r="H120" s="166">
        <f>((DGKC!E85*-1)+(DGKC!E65-DGKC!D65))</f>
        <v>54803.012000000002</v>
      </c>
      <c r="I120" s="164">
        <f t="shared" si="3"/>
        <v>64.014437655360979</v>
      </c>
      <c r="J120" s="164">
        <v>64.014437655360979</v>
      </c>
      <c r="K120" s="168">
        <f t="shared" si="4"/>
        <v>0</v>
      </c>
      <c r="L120" s="164">
        <v>92</v>
      </c>
      <c r="M120" s="154">
        <v>0</v>
      </c>
      <c r="N120" s="154" t="str">
        <f t="shared" si="5"/>
        <v>No fit</v>
      </c>
      <c r="O120" s="173" t="s">
        <v>6181</v>
      </c>
      <c r="P120" s="173" t="s">
        <v>6051</v>
      </c>
    </row>
    <row r="121" spans="1:16" ht="64.05" customHeight="1" x14ac:dyDescent="0.3">
      <c r="A121" s="151" t="s">
        <v>6287</v>
      </c>
      <c r="B121" s="151" t="s">
        <v>5785</v>
      </c>
      <c r="C121" s="151" t="s">
        <v>86</v>
      </c>
      <c r="D121" s="151">
        <v>2022</v>
      </c>
      <c r="E121" s="151" t="s">
        <v>74</v>
      </c>
      <c r="F121" s="174" t="s">
        <v>6183</v>
      </c>
      <c r="G121" s="167">
        <f>(365*(DGKC!E51+'Forensic Inputs'!$G$46))</f>
        <v>3508183.9950000001</v>
      </c>
      <c r="H121" s="167">
        <f>((DGKC!E85*-1)+(DGKC!E31-DGKC!D31))</f>
        <v>50868.476999999999</v>
      </c>
      <c r="I121" s="165">
        <f t="shared" si="3"/>
        <v>68.965776093512687</v>
      </c>
      <c r="J121" s="165">
        <v>68.965776093512687</v>
      </c>
      <c r="K121" s="169">
        <f t="shared" si="4"/>
        <v>0</v>
      </c>
      <c r="L121" s="165">
        <v>92</v>
      </c>
      <c r="M121" s="151">
        <v>0</v>
      </c>
      <c r="N121" s="151" t="str">
        <f t="shared" si="5"/>
        <v>No fit</v>
      </c>
      <c r="O121" s="174" t="s">
        <v>6184</v>
      </c>
      <c r="P121" s="174" t="s">
        <v>6051</v>
      </c>
    </row>
    <row r="122" spans="1:16" ht="64.05" customHeight="1" x14ac:dyDescent="0.3">
      <c r="A122" s="154" t="s">
        <v>6288</v>
      </c>
      <c r="B122" s="154" t="s">
        <v>5785</v>
      </c>
      <c r="C122" s="154" t="s">
        <v>86</v>
      </c>
      <c r="D122" s="154">
        <v>2022</v>
      </c>
      <c r="E122" s="154" t="s">
        <v>74</v>
      </c>
      <c r="F122" s="173" t="s">
        <v>6186</v>
      </c>
      <c r="G122" s="166">
        <f>(365*AVERAGE((DGKC!D51+'Forensic Inputs'!$G$41),(DGKC!E51+'Forensic Inputs'!$G$46)))</f>
        <v>3912458.3600000003</v>
      </c>
      <c r="H122" s="166">
        <f>(DGKC!E85*-1)</f>
        <v>47615.550999999999</v>
      </c>
      <c r="I122" s="164">
        <f t="shared" si="3"/>
        <v>82.167659049036317</v>
      </c>
      <c r="J122" s="164">
        <v>82.167659049036317</v>
      </c>
      <c r="K122" s="168">
        <f t="shared" si="4"/>
        <v>0</v>
      </c>
      <c r="L122" s="164">
        <v>92</v>
      </c>
      <c r="M122" s="154">
        <v>0</v>
      </c>
      <c r="N122" s="154" t="str">
        <f t="shared" si="5"/>
        <v>No fit</v>
      </c>
      <c r="O122" s="173" t="s">
        <v>6289</v>
      </c>
      <c r="P122" s="173" t="s">
        <v>6051</v>
      </c>
    </row>
    <row r="123" spans="1:16" ht="64.05" customHeight="1" x14ac:dyDescent="0.3">
      <c r="A123" s="151" t="s">
        <v>6290</v>
      </c>
      <c r="B123" s="151" t="s">
        <v>5785</v>
      </c>
      <c r="C123" s="151" t="s">
        <v>86</v>
      </c>
      <c r="D123" s="151">
        <v>2022</v>
      </c>
      <c r="E123" s="151" t="s">
        <v>74</v>
      </c>
      <c r="F123" s="174" t="s">
        <v>6189</v>
      </c>
      <c r="G123" s="167">
        <f>(365*AVERAGE((DGKC!D51+'Forensic Inputs'!$G$41),(DGKC!E51+'Forensic Inputs'!$G$46)))</f>
        <v>3912458.3600000003</v>
      </c>
      <c r="H123" s="167">
        <f>DGKC!E84</f>
        <v>58043.862999999998</v>
      </c>
      <c r="I123" s="165">
        <f t="shared" si="3"/>
        <v>67.40520285495127</v>
      </c>
      <c r="J123" s="165">
        <v>67.40520285495127</v>
      </c>
      <c r="K123" s="169">
        <f t="shared" si="4"/>
        <v>0</v>
      </c>
      <c r="L123" s="165">
        <v>92</v>
      </c>
      <c r="M123" s="151">
        <v>0</v>
      </c>
      <c r="N123" s="151" t="str">
        <f t="shared" si="5"/>
        <v>No fit</v>
      </c>
      <c r="O123" s="174" t="s">
        <v>6291</v>
      </c>
      <c r="P123" s="174" t="s">
        <v>6051</v>
      </c>
    </row>
    <row r="124" spans="1:16" ht="64.05" customHeight="1" x14ac:dyDescent="0.3">
      <c r="A124" s="154" t="s">
        <v>6292</v>
      </c>
      <c r="B124" s="154" t="s">
        <v>5785</v>
      </c>
      <c r="C124" s="154" t="s">
        <v>86</v>
      </c>
      <c r="D124" s="154">
        <v>2022</v>
      </c>
      <c r="E124" s="154" t="s">
        <v>74</v>
      </c>
      <c r="F124" s="173" t="s">
        <v>6192</v>
      </c>
      <c r="G124" s="166">
        <f>(365*AVERAGE((DGKC!D51+'Forensic Inputs'!$G$41),(DGKC!E51+'Forensic Inputs'!$G$46)))</f>
        <v>3912458.3600000003</v>
      </c>
      <c r="H124" s="166">
        <f>((DGKC!E85*-1)+(DGKC!E65-DGKC!D65))</f>
        <v>54803.012000000002</v>
      </c>
      <c r="I124" s="164">
        <f t="shared" si="3"/>
        <v>71.391301631377488</v>
      </c>
      <c r="J124" s="164">
        <v>71.391301631377488</v>
      </c>
      <c r="K124" s="168">
        <f t="shared" si="4"/>
        <v>0</v>
      </c>
      <c r="L124" s="164">
        <v>92</v>
      </c>
      <c r="M124" s="154">
        <v>0</v>
      </c>
      <c r="N124" s="154" t="str">
        <f t="shared" si="5"/>
        <v>No fit</v>
      </c>
      <c r="O124" s="173" t="s">
        <v>6293</v>
      </c>
      <c r="P124" s="173" t="s">
        <v>6051</v>
      </c>
    </row>
    <row r="125" spans="1:16" ht="64.05" customHeight="1" x14ac:dyDescent="0.3">
      <c r="A125" s="151" t="s">
        <v>6294</v>
      </c>
      <c r="B125" s="151" t="s">
        <v>5785</v>
      </c>
      <c r="C125" s="151" t="s">
        <v>86</v>
      </c>
      <c r="D125" s="151">
        <v>2022</v>
      </c>
      <c r="E125" s="151" t="s">
        <v>74</v>
      </c>
      <c r="F125" s="174" t="s">
        <v>6195</v>
      </c>
      <c r="G125" s="167">
        <f>(365*AVERAGE((DGKC!D51+'Forensic Inputs'!$G$41),(DGKC!E51+'Forensic Inputs'!$G$46)))</f>
        <v>3912458.3600000003</v>
      </c>
      <c r="H125" s="167">
        <f>((DGKC!E85*-1)+(DGKC!E31-DGKC!D31))</f>
        <v>50868.476999999999</v>
      </c>
      <c r="I125" s="165">
        <f t="shared" si="3"/>
        <v>76.913219949557373</v>
      </c>
      <c r="J125" s="165">
        <v>76.913219949557373</v>
      </c>
      <c r="K125" s="169">
        <f t="shared" si="4"/>
        <v>0</v>
      </c>
      <c r="L125" s="165">
        <v>92</v>
      </c>
      <c r="M125" s="151">
        <v>0</v>
      </c>
      <c r="N125" s="151" t="str">
        <f t="shared" si="5"/>
        <v>No fit</v>
      </c>
      <c r="O125" s="174" t="s">
        <v>6295</v>
      </c>
      <c r="P125" s="174" t="s">
        <v>6051</v>
      </c>
    </row>
    <row r="126" spans="1:16" ht="64.05" customHeight="1" x14ac:dyDescent="0.3">
      <c r="A126" s="154" t="s">
        <v>6296</v>
      </c>
      <c r="B126" s="154" t="s">
        <v>5785</v>
      </c>
      <c r="C126" s="154" t="s">
        <v>86</v>
      </c>
      <c r="D126" s="154">
        <v>2022</v>
      </c>
      <c r="E126" s="154" t="s">
        <v>74</v>
      </c>
      <c r="F126" s="173" t="s">
        <v>6198</v>
      </c>
      <c r="G126" s="166">
        <f>(365*(DGKC!E50-'Forensic Inputs'!$G$47))</f>
        <v>4059930.77</v>
      </c>
      <c r="H126" s="166">
        <f>(DGKC!E85*-1)</f>
        <v>47615.550999999999</v>
      </c>
      <c r="I126" s="164">
        <f t="shared" si="3"/>
        <v>85.264807079519045</v>
      </c>
      <c r="J126" s="164">
        <v>85.264807079519045</v>
      </c>
      <c r="K126" s="168">
        <f t="shared" si="4"/>
        <v>0</v>
      </c>
      <c r="L126" s="164">
        <v>92</v>
      </c>
      <c r="M126" s="154">
        <v>0</v>
      </c>
      <c r="N126" s="154" t="str">
        <f t="shared" si="5"/>
        <v>No fit</v>
      </c>
      <c r="O126" s="173" t="s">
        <v>6199</v>
      </c>
      <c r="P126" s="173" t="s">
        <v>6051</v>
      </c>
    </row>
    <row r="127" spans="1:16" ht="64.05" customHeight="1" x14ac:dyDescent="0.3">
      <c r="A127" s="151" t="s">
        <v>6297</v>
      </c>
      <c r="B127" s="151" t="s">
        <v>5785</v>
      </c>
      <c r="C127" s="151" t="s">
        <v>86</v>
      </c>
      <c r="D127" s="151">
        <v>2022</v>
      </c>
      <c r="E127" s="151" t="s">
        <v>74</v>
      </c>
      <c r="F127" s="174" t="s">
        <v>6201</v>
      </c>
      <c r="G127" s="167">
        <f>(365*(DGKC!E50-'Forensic Inputs'!$G$47))</f>
        <v>4059930.77</v>
      </c>
      <c r="H127" s="167">
        <f>DGKC!E84</f>
        <v>58043.862999999998</v>
      </c>
      <c r="I127" s="165">
        <f t="shared" si="3"/>
        <v>69.945909182509098</v>
      </c>
      <c r="J127" s="165">
        <v>69.945909182509098</v>
      </c>
      <c r="K127" s="169">
        <f t="shared" si="4"/>
        <v>0</v>
      </c>
      <c r="L127" s="165">
        <v>92</v>
      </c>
      <c r="M127" s="151">
        <v>0</v>
      </c>
      <c r="N127" s="151" t="str">
        <f t="shared" si="5"/>
        <v>No fit</v>
      </c>
      <c r="O127" s="174" t="s">
        <v>6202</v>
      </c>
      <c r="P127" s="174" t="s">
        <v>6051</v>
      </c>
    </row>
    <row r="128" spans="1:16" ht="64.05" customHeight="1" x14ac:dyDescent="0.3">
      <c r="A128" s="154" t="s">
        <v>6298</v>
      </c>
      <c r="B128" s="154" t="s">
        <v>5785</v>
      </c>
      <c r="C128" s="154" t="s">
        <v>86</v>
      </c>
      <c r="D128" s="154">
        <v>2022</v>
      </c>
      <c r="E128" s="154" t="s">
        <v>74</v>
      </c>
      <c r="F128" s="173" t="s">
        <v>6204</v>
      </c>
      <c r="G128" s="166">
        <f>(365*(DGKC!E50-'Forensic Inputs'!$G$47))</f>
        <v>4059930.77</v>
      </c>
      <c r="H128" s="166">
        <f>((DGKC!E85*-1)+(DGKC!E65-DGKC!D65))</f>
        <v>54803.012000000002</v>
      </c>
      <c r="I128" s="164">
        <f t="shared" si="3"/>
        <v>74.082256099354538</v>
      </c>
      <c r="J128" s="164">
        <v>74.082256099354538</v>
      </c>
      <c r="K128" s="168">
        <f t="shared" si="4"/>
        <v>0</v>
      </c>
      <c r="L128" s="164">
        <v>92</v>
      </c>
      <c r="M128" s="154">
        <v>0</v>
      </c>
      <c r="N128" s="154" t="str">
        <f t="shared" si="5"/>
        <v>No fit</v>
      </c>
      <c r="O128" s="173" t="s">
        <v>6205</v>
      </c>
      <c r="P128" s="173" t="s">
        <v>6051</v>
      </c>
    </row>
    <row r="129" spans="1:16" ht="64.05" customHeight="1" x14ac:dyDescent="0.3">
      <c r="A129" s="151" t="s">
        <v>6299</v>
      </c>
      <c r="B129" s="151" t="s">
        <v>5785</v>
      </c>
      <c r="C129" s="151" t="s">
        <v>86</v>
      </c>
      <c r="D129" s="151">
        <v>2022</v>
      </c>
      <c r="E129" s="151" t="s">
        <v>74</v>
      </c>
      <c r="F129" s="174" t="s">
        <v>6207</v>
      </c>
      <c r="G129" s="167">
        <f>(365*(DGKC!E50-'Forensic Inputs'!$G$47))</f>
        <v>4059930.77</v>
      </c>
      <c r="H129" s="167">
        <f>((DGKC!E85*-1)+(DGKC!E31-DGKC!D31))</f>
        <v>50868.476999999999</v>
      </c>
      <c r="I129" s="165">
        <f t="shared" si="3"/>
        <v>79.812312249883163</v>
      </c>
      <c r="J129" s="165">
        <v>79.812312249883163</v>
      </c>
      <c r="K129" s="169">
        <f t="shared" si="4"/>
        <v>0</v>
      </c>
      <c r="L129" s="165">
        <v>92</v>
      </c>
      <c r="M129" s="151">
        <v>0</v>
      </c>
      <c r="N129" s="151" t="str">
        <f t="shared" si="5"/>
        <v>No fit</v>
      </c>
      <c r="O129" s="174" t="s">
        <v>6208</v>
      </c>
      <c r="P129" s="174" t="s">
        <v>6051</v>
      </c>
    </row>
    <row r="130" spans="1:16" ht="64.05" customHeight="1" x14ac:dyDescent="0.3">
      <c r="A130" s="154" t="s">
        <v>6300</v>
      </c>
      <c r="B130" s="154" t="s">
        <v>5785</v>
      </c>
      <c r="C130" s="154" t="s">
        <v>86</v>
      </c>
      <c r="D130" s="154">
        <v>2022</v>
      </c>
      <c r="E130" s="154" t="s">
        <v>74</v>
      </c>
      <c r="F130" s="173" t="s">
        <v>6210</v>
      </c>
      <c r="G130" s="166">
        <f>(365*AVERAGE((DGKC!D50-'Forensic Inputs'!$G$42),(DGKC!E50-'Forensic Inputs'!$G$47)))</f>
        <v>4485202.4899999993</v>
      </c>
      <c r="H130" s="166">
        <f>(DGKC!E85*-1)</f>
        <v>47615.550999999999</v>
      </c>
      <c r="I130" s="164">
        <f t="shared" si="3"/>
        <v>94.196169020494992</v>
      </c>
      <c r="J130" s="164">
        <v>94.196169020494992</v>
      </c>
      <c r="K130" s="168">
        <f t="shared" si="4"/>
        <v>0</v>
      </c>
      <c r="L130" s="164">
        <v>92</v>
      </c>
      <c r="M130" s="154">
        <v>0</v>
      </c>
      <c r="N130" s="154" t="str">
        <f t="shared" si="5"/>
        <v>No fit</v>
      </c>
      <c r="O130" s="173" t="s">
        <v>6301</v>
      </c>
      <c r="P130" s="173" t="s">
        <v>6051</v>
      </c>
    </row>
    <row r="131" spans="1:16" ht="64.05" customHeight="1" x14ac:dyDescent="0.3">
      <c r="A131" s="151" t="s">
        <v>6302</v>
      </c>
      <c r="B131" s="151" t="s">
        <v>5785</v>
      </c>
      <c r="C131" s="151" t="s">
        <v>86</v>
      </c>
      <c r="D131" s="151">
        <v>2022</v>
      </c>
      <c r="E131" s="151" t="s">
        <v>74</v>
      </c>
      <c r="F131" s="174" t="s">
        <v>6213</v>
      </c>
      <c r="G131" s="167">
        <f>(365*AVERAGE((DGKC!D50-'Forensic Inputs'!$G$42),(DGKC!E50-'Forensic Inputs'!$G$47)))</f>
        <v>4485202.4899999993</v>
      </c>
      <c r="H131" s="167">
        <f>DGKC!E84</f>
        <v>58043.862999999998</v>
      </c>
      <c r="I131" s="165">
        <f t="shared" si="3"/>
        <v>77.272639314168316</v>
      </c>
      <c r="J131" s="165">
        <v>77.272639314168316</v>
      </c>
      <c r="K131" s="169">
        <f t="shared" si="4"/>
        <v>0</v>
      </c>
      <c r="L131" s="165">
        <v>92</v>
      </c>
      <c r="M131" s="151">
        <v>0</v>
      </c>
      <c r="N131" s="151" t="str">
        <f t="shared" si="5"/>
        <v>No fit</v>
      </c>
      <c r="O131" s="174" t="s">
        <v>6303</v>
      </c>
      <c r="P131" s="174" t="s">
        <v>6051</v>
      </c>
    </row>
    <row r="132" spans="1:16" ht="64.05" customHeight="1" x14ac:dyDescent="0.3">
      <c r="A132" s="154" t="s">
        <v>6304</v>
      </c>
      <c r="B132" s="154" t="s">
        <v>5785</v>
      </c>
      <c r="C132" s="154" t="s">
        <v>86</v>
      </c>
      <c r="D132" s="154">
        <v>2022</v>
      </c>
      <c r="E132" s="154" t="s">
        <v>74</v>
      </c>
      <c r="F132" s="173" t="s">
        <v>6216</v>
      </c>
      <c r="G132" s="166">
        <f>(365*AVERAGE((DGKC!D50-'Forensic Inputs'!$G$42),(DGKC!E50-'Forensic Inputs'!$G$47)))</f>
        <v>4485202.4899999993</v>
      </c>
      <c r="H132" s="166">
        <f>((DGKC!E85*-1)+(DGKC!E65-DGKC!D65))</f>
        <v>54803.012000000002</v>
      </c>
      <c r="I132" s="164">
        <f t="shared" si="3"/>
        <v>81.842262428933637</v>
      </c>
      <c r="J132" s="164">
        <v>81.842262428933637</v>
      </c>
      <c r="K132" s="168">
        <f t="shared" si="4"/>
        <v>0</v>
      </c>
      <c r="L132" s="164">
        <v>92</v>
      </c>
      <c r="M132" s="154">
        <v>0</v>
      </c>
      <c r="N132" s="154" t="str">
        <f t="shared" si="5"/>
        <v>No fit</v>
      </c>
      <c r="O132" s="173" t="s">
        <v>6305</v>
      </c>
      <c r="P132" s="173" t="s">
        <v>6051</v>
      </c>
    </row>
    <row r="133" spans="1:16" ht="64.05" customHeight="1" x14ac:dyDescent="0.3">
      <c r="A133" s="151" t="s">
        <v>6306</v>
      </c>
      <c r="B133" s="151" t="s">
        <v>5785</v>
      </c>
      <c r="C133" s="151" t="s">
        <v>86</v>
      </c>
      <c r="D133" s="151">
        <v>2022</v>
      </c>
      <c r="E133" s="151" t="s">
        <v>74</v>
      </c>
      <c r="F133" s="174" t="s">
        <v>6219</v>
      </c>
      <c r="G133" s="167">
        <f>(365*AVERAGE((DGKC!D50-'Forensic Inputs'!$G$42),(DGKC!E50-'Forensic Inputs'!$G$47)))</f>
        <v>4485202.4899999993</v>
      </c>
      <c r="H133" s="167">
        <f>((DGKC!E85*-1)+(DGKC!E31-DGKC!D31))</f>
        <v>50868.476999999999</v>
      </c>
      <c r="I133" s="165">
        <f t="shared" si="3"/>
        <v>88.172533453281872</v>
      </c>
      <c r="J133" s="165">
        <v>88.172533453281872</v>
      </c>
      <c r="K133" s="169">
        <f t="shared" si="4"/>
        <v>0</v>
      </c>
      <c r="L133" s="165">
        <v>92</v>
      </c>
      <c r="M133" s="151">
        <v>0</v>
      </c>
      <c r="N133" s="151" t="str">
        <f t="shared" si="5"/>
        <v>No fit</v>
      </c>
      <c r="O133" s="174" t="s">
        <v>6307</v>
      </c>
      <c r="P133" s="174" t="s">
        <v>6051</v>
      </c>
    </row>
    <row r="134" spans="1:16" ht="64.05" customHeight="1" x14ac:dyDescent="0.3">
      <c r="A134" s="154" t="s">
        <v>6308</v>
      </c>
      <c r="B134" s="154" t="s">
        <v>5785</v>
      </c>
      <c r="C134" s="154" t="s">
        <v>86</v>
      </c>
      <c r="D134" s="154">
        <v>2022</v>
      </c>
      <c r="E134" s="154" t="s">
        <v>74</v>
      </c>
      <c r="F134" s="173" t="s">
        <v>6222</v>
      </c>
      <c r="G134" s="166">
        <f>(365*'Forensic Inputs'!$G$50)</f>
        <v>3161445.31</v>
      </c>
      <c r="H134" s="166">
        <f>(DGKC!E85*-1)</f>
        <v>47615.550999999999</v>
      </c>
      <c r="I134" s="164">
        <f t="shared" ref="I134:I197" si="6">G134/H134</f>
        <v>66.395226845112006</v>
      </c>
      <c r="J134" s="164">
        <v>66.395226845112006</v>
      </c>
      <c r="K134" s="168">
        <f t="shared" ref="K134:K197" si="7">I134-J134</f>
        <v>0</v>
      </c>
      <c r="L134" s="164">
        <v>92</v>
      </c>
      <c r="M134" s="154">
        <v>0</v>
      </c>
      <c r="N134" s="154" t="str">
        <f t="shared" ref="N134:N197" si="8">IF(ROUND(I134,M134)=ROUND(L134,M134),"Numeric fit","No fit")</f>
        <v>No fit</v>
      </c>
      <c r="O134" s="173" t="s">
        <v>6223</v>
      </c>
      <c r="P134" s="173" t="s">
        <v>6051</v>
      </c>
    </row>
    <row r="135" spans="1:16" ht="64.05" customHeight="1" x14ac:dyDescent="0.3">
      <c r="A135" s="151" t="s">
        <v>6309</v>
      </c>
      <c r="B135" s="151" t="s">
        <v>5785</v>
      </c>
      <c r="C135" s="151" t="s">
        <v>86</v>
      </c>
      <c r="D135" s="151">
        <v>2022</v>
      </c>
      <c r="E135" s="151" t="s">
        <v>74</v>
      </c>
      <c r="F135" s="174" t="s">
        <v>6225</v>
      </c>
      <c r="G135" s="167">
        <f>(365*'Forensic Inputs'!$G$50)</f>
        <v>3161445.31</v>
      </c>
      <c r="H135" s="167">
        <f>DGKC!E84</f>
        <v>58043.862999999998</v>
      </c>
      <c r="I135" s="165">
        <f t="shared" si="6"/>
        <v>54.466487008282002</v>
      </c>
      <c r="J135" s="165">
        <v>54.466487008282002</v>
      </c>
      <c r="K135" s="169">
        <f t="shared" si="7"/>
        <v>0</v>
      </c>
      <c r="L135" s="165">
        <v>92</v>
      </c>
      <c r="M135" s="151">
        <v>0</v>
      </c>
      <c r="N135" s="151" t="str">
        <f t="shared" si="8"/>
        <v>No fit</v>
      </c>
      <c r="O135" s="174" t="s">
        <v>6226</v>
      </c>
      <c r="P135" s="174" t="s">
        <v>6051</v>
      </c>
    </row>
    <row r="136" spans="1:16" ht="64.05" customHeight="1" x14ac:dyDescent="0.3">
      <c r="A136" s="154" t="s">
        <v>6310</v>
      </c>
      <c r="B136" s="154" t="s">
        <v>5785</v>
      </c>
      <c r="C136" s="154" t="s">
        <v>86</v>
      </c>
      <c r="D136" s="154">
        <v>2022</v>
      </c>
      <c r="E136" s="154" t="s">
        <v>74</v>
      </c>
      <c r="F136" s="173" t="s">
        <v>6228</v>
      </c>
      <c r="G136" s="166">
        <f>(365*'Forensic Inputs'!$G$50)</f>
        <v>3161445.31</v>
      </c>
      <c r="H136" s="166">
        <f>((DGKC!E85*-1)+(DGKC!E65-DGKC!D65))</f>
        <v>54803.012000000002</v>
      </c>
      <c r="I136" s="164">
        <f t="shared" si="6"/>
        <v>57.68743714305338</v>
      </c>
      <c r="J136" s="164">
        <v>57.68743714305338</v>
      </c>
      <c r="K136" s="168">
        <f t="shared" si="7"/>
        <v>0</v>
      </c>
      <c r="L136" s="164">
        <v>92</v>
      </c>
      <c r="M136" s="154">
        <v>0</v>
      </c>
      <c r="N136" s="154" t="str">
        <f t="shared" si="8"/>
        <v>No fit</v>
      </c>
      <c r="O136" s="173" t="s">
        <v>6229</v>
      </c>
      <c r="P136" s="173" t="s">
        <v>6051</v>
      </c>
    </row>
    <row r="137" spans="1:16" ht="64.05" customHeight="1" x14ac:dyDescent="0.3">
      <c r="A137" s="151" t="s">
        <v>6311</v>
      </c>
      <c r="B137" s="151" t="s">
        <v>5785</v>
      </c>
      <c r="C137" s="151" t="s">
        <v>86</v>
      </c>
      <c r="D137" s="151">
        <v>2022</v>
      </c>
      <c r="E137" s="151" t="s">
        <v>74</v>
      </c>
      <c r="F137" s="174" t="s">
        <v>6231</v>
      </c>
      <c r="G137" s="167">
        <f>(365*'Forensic Inputs'!$G$50)</f>
        <v>3161445.31</v>
      </c>
      <c r="H137" s="167">
        <f>((DGKC!E85*-1)+(DGKC!E31-DGKC!D31))</f>
        <v>50868.476999999999</v>
      </c>
      <c r="I137" s="165">
        <f t="shared" si="6"/>
        <v>62.14939971566281</v>
      </c>
      <c r="J137" s="165">
        <v>62.14939971566281</v>
      </c>
      <c r="K137" s="169">
        <f t="shared" si="7"/>
        <v>0</v>
      </c>
      <c r="L137" s="165">
        <v>92</v>
      </c>
      <c r="M137" s="151">
        <v>0</v>
      </c>
      <c r="N137" s="151" t="str">
        <f t="shared" si="8"/>
        <v>No fit</v>
      </c>
      <c r="O137" s="174" t="s">
        <v>6232</v>
      </c>
      <c r="P137" s="174" t="s">
        <v>6051</v>
      </c>
    </row>
    <row r="138" spans="1:16" ht="64.05" customHeight="1" x14ac:dyDescent="0.3">
      <c r="A138" s="154" t="s">
        <v>6312</v>
      </c>
      <c r="B138" s="154" t="s">
        <v>5785</v>
      </c>
      <c r="C138" s="154" t="s">
        <v>86</v>
      </c>
      <c r="D138" s="154">
        <v>2022</v>
      </c>
      <c r="E138" s="154" t="s">
        <v>74</v>
      </c>
      <c r="F138" s="173" t="s">
        <v>6234</v>
      </c>
      <c r="G138" s="166">
        <f>(365*AVERAGE('Forensic Inputs'!$G$45,'Forensic Inputs'!$G$50))</f>
        <v>3569566.0450000004</v>
      </c>
      <c r="H138" s="166">
        <f>(DGKC!E85*-1)</f>
        <v>47615.550999999999</v>
      </c>
      <c r="I138" s="164">
        <f t="shared" si="6"/>
        <v>74.966391652172632</v>
      </c>
      <c r="J138" s="164">
        <v>74.966391652172632</v>
      </c>
      <c r="K138" s="168">
        <f t="shared" si="7"/>
        <v>0</v>
      </c>
      <c r="L138" s="164">
        <v>92</v>
      </c>
      <c r="M138" s="154">
        <v>0</v>
      </c>
      <c r="N138" s="154" t="str">
        <f t="shared" si="8"/>
        <v>No fit</v>
      </c>
      <c r="O138" s="173" t="s">
        <v>6313</v>
      </c>
      <c r="P138" s="173" t="s">
        <v>6051</v>
      </c>
    </row>
    <row r="139" spans="1:16" ht="64.05" customHeight="1" x14ac:dyDescent="0.3">
      <c r="A139" s="151" t="s">
        <v>6314</v>
      </c>
      <c r="B139" s="151" t="s">
        <v>5785</v>
      </c>
      <c r="C139" s="151" t="s">
        <v>86</v>
      </c>
      <c r="D139" s="151">
        <v>2022</v>
      </c>
      <c r="E139" s="151" t="s">
        <v>74</v>
      </c>
      <c r="F139" s="174" t="s">
        <v>6237</v>
      </c>
      <c r="G139" s="167">
        <f>(365*AVERAGE('Forensic Inputs'!$G$45,'Forensic Inputs'!$G$50))</f>
        <v>3569566.0450000004</v>
      </c>
      <c r="H139" s="167">
        <f>DGKC!E84</f>
        <v>58043.862999999998</v>
      </c>
      <c r="I139" s="165">
        <f t="shared" si="6"/>
        <v>61.497733963709486</v>
      </c>
      <c r="J139" s="165">
        <v>61.497733963709486</v>
      </c>
      <c r="K139" s="169">
        <f t="shared" si="7"/>
        <v>0</v>
      </c>
      <c r="L139" s="165">
        <v>92</v>
      </c>
      <c r="M139" s="151">
        <v>0</v>
      </c>
      <c r="N139" s="151" t="str">
        <f t="shared" si="8"/>
        <v>No fit</v>
      </c>
      <c r="O139" s="174" t="s">
        <v>6315</v>
      </c>
      <c r="P139" s="174" t="s">
        <v>6051</v>
      </c>
    </row>
    <row r="140" spans="1:16" ht="64.05" customHeight="1" x14ac:dyDescent="0.3">
      <c r="A140" s="154" t="s">
        <v>6316</v>
      </c>
      <c r="B140" s="154" t="s">
        <v>5785</v>
      </c>
      <c r="C140" s="154" t="s">
        <v>86</v>
      </c>
      <c r="D140" s="154">
        <v>2022</v>
      </c>
      <c r="E140" s="154" t="s">
        <v>74</v>
      </c>
      <c r="F140" s="173" t="s">
        <v>6240</v>
      </c>
      <c r="G140" s="166">
        <f>(365*AVERAGE('Forensic Inputs'!$G$45,'Forensic Inputs'!$G$50))</f>
        <v>3569566.0450000004</v>
      </c>
      <c r="H140" s="166">
        <f>((DGKC!E85*-1)+(DGKC!E65-DGKC!D65))</f>
        <v>54803.012000000002</v>
      </c>
      <c r="I140" s="164">
        <f t="shared" si="6"/>
        <v>65.134486495012354</v>
      </c>
      <c r="J140" s="164">
        <v>65.134486495012354</v>
      </c>
      <c r="K140" s="168">
        <f t="shared" si="7"/>
        <v>0</v>
      </c>
      <c r="L140" s="164">
        <v>92</v>
      </c>
      <c r="M140" s="154">
        <v>0</v>
      </c>
      <c r="N140" s="154" t="str">
        <f t="shared" si="8"/>
        <v>No fit</v>
      </c>
      <c r="O140" s="173" t="s">
        <v>6317</v>
      </c>
      <c r="P140" s="173" t="s">
        <v>6051</v>
      </c>
    </row>
    <row r="141" spans="1:16" ht="64.05" customHeight="1" x14ac:dyDescent="0.3">
      <c r="A141" s="151" t="s">
        <v>6318</v>
      </c>
      <c r="B141" s="151" t="s">
        <v>5785</v>
      </c>
      <c r="C141" s="151" t="s">
        <v>86</v>
      </c>
      <c r="D141" s="151">
        <v>2022</v>
      </c>
      <c r="E141" s="151" t="s">
        <v>74</v>
      </c>
      <c r="F141" s="174" t="s">
        <v>6243</v>
      </c>
      <c r="G141" s="167">
        <f>(365*AVERAGE('Forensic Inputs'!$G$45,'Forensic Inputs'!$G$50))</f>
        <v>3569566.0450000004</v>
      </c>
      <c r="H141" s="167">
        <f>((DGKC!E85*-1)+(DGKC!E31-DGKC!D31))</f>
        <v>50868.476999999999</v>
      </c>
      <c r="I141" s="165">
        <f t="shared" si="6"/>
        <v>70.172457590975256</v>
      </c>
      <c r="J141" s="165">
        <v>70.172457590975256</v>
      </c>
      <c r="K141" s="169">
        <f t="shared" si="7"/>
        <v>0</v>
      </c>
      <c r="L141" s="165">
        <v>92</v>
      </c>
      <c r="M141" s="151">
        <v>0</v>
      </c>
      <c r="N141" s="151" t="str">
        <f t="shared" si="8"/>
        <v>No fit</v>
      </c>
      <c r="O141" s="174" t="s">
        <v>6319</v>
      </c>
      <c r="P141" s="174" t="s">
        <v>6051</v>
      </c>
    </row>
    <row r="142" spans="1:16" ht="64.05" customHeight="1" x14ac:dyDescent="0.3">
      <c r="A142" s="154" t="s">
        <v>6320</v>
      </c>
      <c r="B142" s="154" t="s">
        <v>5785</v>
      </c>
      <c r="C142" s="154" t="s">
        <v>86</v>
      </c>
      <c r="D142" s="154">
        <v>2022</v>
      </c>
      <c r="E142" s="154" t="s">
        <v>74</v>
      </c>
      <c r="F142" s="173" t="s">
        <v>6246</v>
      </c>
      <c r="G142" s="166">
        <f>(365*DGKC!E50)</f>
        <v>4595973.7850000001</v>
      </c>
      <c r="H142" s="166">
        <f>'Forensic Inputs'!$G$78</f>
        <v>47819.951999999997</v>
      </c>
      <c r="I142" s="164">
        <f t="shared" si="6"/>
        <v>96.10996232283965</v>
      </c>
      <c r="J142" s="164">
        <v>96.10996232283965</v>
      </c>
      <c r="K142" s="168">
        <f t="shared" si="7"/>
        <v>0</v>
      </c>
      <c r="L142" s="164">
        <v>92</v>
      </c>
      <c r="M142" s="154">
        <v>0</v>
      </c>
      <c r="N142" s="154" t="str">
        <f t="shared" si="8"/>
        <v>No fit</v>
      </c>
      <c r="O142" s="173" t="s">
        <v>6247</v>
      </c>
      <c r="P142" s="173" t="s">
        <v>6051</v>
      </c>
    </row>
    <row r="143" spans="1:16" ht="64.05" customHeight="1" x14ac:dyDescent="0.3">
      <c r="A143" s="151" t="s">
        <v>6321</v>
      </c>
      <c r="B143" s="151" t="s">
        <v>5785</v>
      </c>
      <c r="C143" s="151" t="s">
        <v>86</v>
      </c>
      <c r="D143" s="151">
        <v>2022</v>
      </c>
      <c r="E143" s="151" t="s">
        <v>74</v>
      </c>
      <c r="F143" s="174" t="s">
        <v>6249</v>
      </c>
      <c r="G143" s="167">
        <f>(365*AVERAGE(DGKC!D50,DGKC!E50))</f>
        <v>5021461.95</v>
      </c>
      <c r="H143" s="167">
        <f>'Forensic Inputs'!$G$78</f>
        <v>47819.951999999997</v>
      </c>
      <c r="I143" s="165">
        <f t="shared" si="6"/>
        <v>105.00767441171837</v>
      </c>
      <c r="J143" s="165">
        <v>105.00767441171837</v>
      </c>
      <c r="K143" s="169">
        <f t="shared" si="7"/>
        <v>0</v>
      </c>
      <c r="L143" s="165">
        <v>92</v>
      </c>
      <c r="M143" s="151">
        <v>0</v>
      </c>
      <c r="N143" s="151" t="str">
        <f t="shared" si="8"/>
        <v>No fit</v>
      </c>
      <c r="O143" s="174" t="s">
        <v>6250</v>
      </c>
      <c r="P143" s="174" t="s">
        <v>6051</v>
      </c>
    </row>
    <row r="144" spans="1:16" ht="64.05" customHeight="1" x14ac:dyDescent="0.3">
      <c r="A144" s="154" t="s">
        <v>6322</v>
      </c>
      <c r="B144" s="154" t="s">
        <v>5785</v>
      </c>
      <c r="C144" s="154" t="s">
        <v>86</v>
      </c>
      <c r="D144" s="154">
        <v>2022</v>
      </c>
      <c r="E144" s="154" t="s">
        <v>74</v>
      </c>
      <c r="F144" s="173" t="s">
        <v>6252</v>
      </c>
      <c r="G144" s="166">
        <f>(365*'Forensic Inputs'!$G$68)</f>
        <v>4569756.1999999993</v>
      </c>
      <c r="H144" s="166">
        <f>'Forensic Inputs'!$G$73</f>
        <v>50934.245000000003</v>
      </c>
      <c r="I144" s="164">
        <f t="shared" si="6"/>
        <v>89.718738345881022</v>
      </c>
      <c r="J144" s="164">
        <v>89.718738345881022</v>
      </c>
      <c r="K144" s="168">
        <f t="shared" si="7"/>
        <v>0</v>
      </c>
      <c r="L144" s="164">
        <v>92</v>
      </c>
      <c r="M144" s="154">
        <v>0</v>
      </c>
      <c r="N144" s="154" t="str">
        <f t="shared" si="8"/>
        <v>No fit</v>
      </c>
      <c r="O144" s="173" t="s">
        <v>6253</v>
      </c>
      <c r="P144" s="173" t="s">
        <v>6051</v>
      </c>
    </row>
    <row r="145" spans="1:16" ht="64.05" customHeight="1" x14ac:dyDescent="0.3">
      <c r="A145" s="151" t="s">
        <v>6323</v>
      </c>
      <c r="B145" s="151" t="s">
        <v>5785</v>
      </c>
      <c r="C145" s="151" t="s">
        <v>86</v>
      </c>
      <c r="D145" s="151">
        <v>2022</v>
      </c>
      <c r="E145" s="151" t="s">
        <v>74</v>
      </c>
      <c r="F145" s="174" t="s">
        <v>6255</v>
      </c>
      <c r="G145" s="167">
        <f>(365*AVERAGE('Forensic Inputs'!$G$67,'Forensic Inputs'!$G$68))</f>
        <v>4976205.9649999999</v>
      </c>
      <c r="H145" s="167">
        <f>'Forensic Inputs'!$G$73</f>
        <v>50934.245000000003</v>
      </c>
      <c r="I145" s="165">
        <f t="shared" si="6"/>
        <v>97.698630165225765</v>
      </c>
      <c r="J145" s="165">
        <v>97.698630165225765</v>
      </c>
      <c r="K145" s="169">
        <f t="shared" si="7"/>
        <v>0</v>
      </c>
      <c r="L145" s="165">
        <v>92</v>
      </c>
      <c r="M145" s="151">
        <v>0</v>
      </c>
      <c r="N145" s="151" t="str">
        <f t="shared" si="8"/>
        <v>No fit</v>
      </c>
      <c r="O145" s="174" t="s">
        <v>6324</v>
      </c>
      <c r="P145" s="174" t="s">
        <v>6051</v>
      </c>
    </row>
    <row r="146" spans="1:16" ht="64.05" customHeight="1" x14ac:dyDescent="0.3">
      <c r="A146" s="154" t="s">
        <v>6325</v>
      </c>
      <c r="B146" s="154" t="s">
        <v>5785</v>
      </c>
      <c r="C146" s="154" t="s">
        <v>86</v>
      </c>
      <c r="D146" s="154">
        <v>2022</v>
      </c>
      <c r="E146" s="154" t="s">
        <v>74</v>
      </c>
      <c r="F146" s="173" t="s">
        <v>6258</v>
      </c>
      <c r="G146" s="166">
        <f>(365*(((('Forensic Inputs'!$G$121+'Forensic Inputs'!$G$122)+'Forensic Inputs'!$G$123)+DGKC!E50)/4))</f>
        <v>4702228.0225</v>
      </c>
      <c r="H146" s="166">
        <f>(DGKC!E85*-1)</f>
        <v>47615.550999999999</v>
      </c>
      <c r="I146" s="164">
        <f t="shared" si="6"/>
        <v>98.75403988289456</v>
      </c>
      <c r="J146" s="164">
        <v>98.75403988289456</v>
      </c>
      <c r="K146" s="168">
        <f t="shared" si="7"/>
        <v>0</v>
      </c>
      <c r="L146" s="164">
        <v>92</v>
      </c>
      <c r="M146" s="154">
        <v>0</v>
      </c>
      <c r="N146" s="154" t="str">
        <f t="shared" si="8"/>
        <v>No fit</v>
      </c>
      <c r="O146" s="173" t="s">
        <v>6326</v>
      </c>
      <c r="P146" s="173" t="s">
        <v>6051</v>
      </c>
    </row>
    <row r="147" spans="1:16" ht="64.05" customHeight="1" x14ac:dyDescent="0.3">
      <c r="A147" s="151" t="s">
        <v>6327</v>
      </c>
      <c r="B147" s="151" t="s">
        <v>5785</v>
      </c>
      <c r="C147" s="151" t="s">
        <v>86</v>
      </c>
      <c r="D147" s="151">
        <v>2022</v>
      </c>
      <c r="E147" s="151" t="s">
        <v>74</v>
      </c>
      <c r="F147" s="174" t="s">
        <v>6261</v>
      </c>
      <c r="G147" s="167">
        <f>(365*((((('Forensic Inputs'!$G$121+'Forensic Inputs'!$G$122)+'Forensic Inputs'!$G$123)+(DGKC!D50/2))+(DGKC!E50/2))/4))</f>
        <v>4808600.0637499997</v>
      </c>
      <c r="H147" s="167">
        <f>(DGKC!E85*-1)</f>
        <v>47615.550999999999</v>
      </c>
      <c r="I147" s="165">
        <f t="shared" si="6"/>
        <v>100.98801678783471</v>
      </c>
      <c r="J147" s="165">
        <v>100.98801678783471</v>
      </c>
      <c r="K147" s="169">
        <f t="shared" si="7"/>
        <v>0</v>
      </c>
      <c r="L147" s="165">
        <v>92</v>
      </c>
      <c r="M147" s="151">
        <v>0</v>
      </c>
      <c r="N147" s="151" t="str">
        <f t="shared" si="8"/>
        <v>No fit</v>
      </c>
      <c r="O147" s="174" t="s">
        <v>6328</v>
      </c>
      <c r="P147" s="174" t="s">
        <v>6051</v>
      </c>
    </row>
    <row r="148" spans="1:16" ht="64.05" customHeight="1" x14ac:dyDescent="0.3">
      <c r="A148" s="154" t="s">
        <v>6329</v>
      </c>
      <c r="B148" s="154" t="s">
        <v>5789</v>
      </c>
      <c r="C148" s="154" t="s">
        <v>86</v>
      </c>
      <c r="D148" s="154">
        <v>2024</v>
      </c>
      <c r="E148" s="154" t="s">
        <v>74</v>
      </c>
      <c r="F148" s="173" t="s">
        <v>5893</v>
      </c>
      <c r="G148" s="166">
        <f>365*AVERAGE(DGKC!F51,DGKC!G51)</f>
        <v>2112764.7225000001</v>
      </c>
      <c r="H148" s="166">
        <f>-DGKC!G85</f>
        <v>55510.428999999996</v>
      </c>
      <c r="I148" s="164">
        <f t="shared" si="6"/>
        <v>38.06068085872657</v>
      </c>
      <c r="J148" s="164">
        <v>38.06068085872657</v>
      </c>
      <c r="K148" s="168">
        <f t="shared" si="7"/>
        <v>0</v>
      </c>
      <c r="L148" s="164">
        <v>76</v>
      </c>
      <c r="M148" s="154">
        <v>0</v>
      </c>
      <c r="N148" s="154" t="str">
        <f t="shared" si="8"/>
        <v>No fit</v>
      </c>
      <c r="O148" s="173" t="s">
        <v>6050</v>
      </c>
      <c r="P148" s="173" t="s">
        <v>6051</v>
      </c>
    </row>
    <row r="149" spans="1:16" ht="64.05" customHeight="1" x14ac:dyDescent="0.3">
      <c r="A149" s="151" t="s">
        <v>6330</v>
      </c>
      <c r="B149" s="151" t="s">
        <v>5789</v>
      </c>
      <c r="C149" s="151" t="s">
        <v>86</v>
      </c>
      <c r="D149" s="151">
        <v>2024</v>
      </c>
      <c r="E149" s="151" t="s">
        <v>74</v>
      </c>
      <c r="F149" s="174" t="s">
        <v>6115</v>
      </c>
      <c r="G149" s="167">
        <f>(365*DGKC!G51)</f>
        <v>1842061.5599999998</v>
      </c>
      <c r="H149" s="167">
        <f>(DGKC!G85*-1)</f>
        <v>55510.428999999996</v>
      </c>
      <c r="I149" s="165">
        <f t="shared" si="6"/>
        <v>33.184062764133927</v>
      </c>
      <c r="J149" s="165">
        <v>33.184062764133927</v>
      </c>
      <c r="K149" s="169">
        <f t="shared" si="7"/>
        <v>0</v>
      </c>
      <c r="L149" s="165">
        <v>76</v>
      </c>
      <c r="M149" s="151">
        <v>0</v>
      </c>
      <c r="N149" s="151" t="str">
        <f t="shared" si="8"/>
        <v>No fit</v>
      </c>
      <c r="O149" s="174" t="s">
        <v>6116</v>
      </c>
      <c r="P149" s="174" t="s">
        <v>6051</v>
      </c>
    </row>
    <row r="150" spans="1:16" ht="64.05" customHeight="1" x14ac:dyDescent="0.3">
      <c r="A150" s="154" t="s">
        <v>6331</v>
      </c>
      <c r="B150" s="154" t="s">
        <v>5789</v>
      </c>
      <c r="C150" s="154" t="s">
        <v>86</v>
      </c>
      <c r="D150" s="154">
        <v>2024</v>
      </c>
      <c r="E150" s="154" t="s">
        <v>74</v>
      </c>
      <c r="F150" s="173" t="s">
        <v>6118</v>
      </c>
      <c r="G150" s="166">
        <f>(365*DGKC!G51)</f>
        <v>1842061.5599999998</v>
      </c>
      <c r="H150" s="166">
        <f>DGKC!G84</f>
        <v>66038.688999999998</v>
      </c>
      <c r="I150" s="164">
        <f t="shared" si="6"/>
        <v>27.893672450099665</v>
      </c>
      <c r="J150" s="164">
        <v>27.893672450099665</v>
      </c>
      <c r="K150" s="168">
        <f t="shared" si="7"/>
        <v>0</v>
      </c>
      <c r="L150" s="164">
        <v>76</v>
      </c>
      <c r="M150" s="154">
        <v>0</v>
      </c>
      <c r="N150" s="154" t="str">
        <f t="shared" si="8"/>
        <v>No fit</v>
      </c>
      <c r="O150" s="173" t="s">
        <v>6119</v>
      </c>
      <c r="P150" s="173" t="s">
        <v>6051</v>
      </c>
    </row>
    <row r="151" spans="1:16" ht="64.05" customHeight="1" x14ac:dyDescent="0.3">
      <c r="A151" s="151" t="s">
        <v>6332</v>
      </c>
      <c r="B151" s="151" t="s">
        <v>5789</v>
      </c>
      <c r="C151" s="151" t="s">
        <v>86</v>
      </c>
      <c r="D151" s="151">
        <v>2024</v>
      </c>
      <c r="E151" s="151" t="s">
        <v>74</v>
      </c>
      <c r="F151" s="174" t="s">
        <v>6121</v>
      </c>
      <c r="G151" s="167">
        <f>(365*DGKC!G51)</f>
        <v>1842061.5599999998</v>
      </c>
      <c r="H151" s="167">
        <f>((DGKC!G85*-1)+(DGKC!G65-DGKC!F65))</f>
        <v>53038.095000000001</v>
      </c>
      <c r="I151" s="165">
        <f t="shared" si="6"/>
        <v>34.730914826409204</v>
      </c>
      <c r="J151" s="165">
        <v>34.730914826409204</v>
      </c>
      <c r="K151" s="169">
        <f t="shared" si="7"/>
        <v>0</v>
      </c>
      <c r="L151" s="165">
        <v>76</v>
      </c>
      <c r="M151" s="151">
        <v>0</v>
      </c>
      <c r="N151" s="151" t="str">
        <f t="shared" si="8"/>
        <v>No fit</v>
      </c>
      <c r="O151" s="174" t="s">
        <v>6122</v>
      </c>
      <c r="P151" s="174" t="s">
        <v>6051</v>
      </c>
    </row>
    <row r="152" spans="1:16" ht="64.05" customHeight="1" x14ac:dyDescent="0.3">
      <c r="A152" s="154" t="s">
        <v>6333</v>
      </c>
      <c r="B152" s="154" t="s">
        <v>5789</v>
      </c>
      <c r="C152" s="154" t="s">
        <v>86</v>
      </c>
      <c r="D152" s="154">
        <v>2024</v>
      </c>
      <c r="E152" s="154" t="s">
        <v>74</v>
      </c>
      <c r="F152" s="173" t="s">
        <v>6124</v>
      </c>
      <c r="G152" s="166">
        <f>(365*DGKC!G51)</f>
        <v>1842061.5599999998</v>
      </c>
      <c r="H152" s="166">
        <f>((DGKC!G85*-1)+(DGKC!G31-DGKC!F31))</f>
        <v>54330.325999999994</v>
      </c>
      <c r="I152" s="164">
        <f t="shared" si="6"/>
        <v>33.904850119986399</v>
      </c>
      <c r="J152" s="164">
        <v>33.904850119986399</v>
      </c>
      <c r="K152" s="168">
        <f t="shared" si="7"/>
        <v>0</v>
      </c>
      <c r="L152" s="164">
        <v>76</v>
      </c>
      <c r="M152" s="154">
        <v>0</v>
      </c>
      <c r="N152" s="154" t="str">
        <f t="shared" si="8"/>
        <v>No fit</v>
      </c>
      <c r="O152" s="173" t="s">
        <v>6125</v>
      </c>
      <c r="P152" s="173" t="s">
        <v>6051</v>
      </c>
    </row>
    <row r="153" spans="1:16" ht="64.05" customHeight="1" x14ac:dyDescent="0.3">
      <c r="A153" s="151" t="s">
        <v>6334</v>
      </c>
      <c r="B153" s="151" t="s">
        <v>5789</v>
      </c>
      <c r="C153" s="151" t="s">
        <v>86</v>
      </c>
      <c r="D153" s="151">
        <v>2024</v>
      </c>
      <c r="E153" s="151" t="s">
        <v>74</v>
      </c>
      <c r="F153" s="174" t="s">
        <v>6127</v>
      </c>
      <c r="G153" s="167">
        <f>(365*AVERAGE(DGKC!F51,DGKC!G51))</f>
        <v>2112764.7225000001</v>
      </c>
      <c r="H153" s="167">
        <f>(DGKC!G85*-1)</f>
        <v>55510.428999999996</v>
      </c>
      <c r="I153" s="165">
        <f t="shared" si="6"/>
        <v>38.06068085872657</v>
      </c>
      <c r="J153" s="165">
        <v>38.06068085872657</v>
      </c>
      <c r="K153" s="169">
        <f t="shared" si="7"/>
        <v>0</v>
      </c>
      <c r="L153" s="165">
        <v>76</v>
      </c>
      <c r="M153" s="151">
        <v>0</v>
      </c>
      <c r="N153" s="151" t="str">
        <f t="shared" si="8"/>
        <v>No fit</v>
      </c>
      <c r="O153" s="174" t="s">
        <v>6128</v>
      </c>
      <c r="P153" s="174" t="s">
        <v>6051</v>
      </c>
    </row>
    <row r="154" spans="1:16" ht="64.05" customHeight="1" x14ac:dyDescent="0.3">
      <c r="A154" s="154" t="s">
        <v>6335</v>
      </c>
      <c r="B154" s="154" t="s">
        <v>5789</v>
      </c>
      <c r="C154" s="154" t="s">
        <v>86</v>
      </c>
      <c r="D154" s="154">
        <v>2024</v>
      </c>
      <c r="E154" s="154" t="s">
        <v>74</v>
      </c>
      <c r="F154" s="173" t="s">
        <v>6130</v>
      </c>
      <c r="G154" s="166">
        <f>(365*AVERAGE(DGKC!F51,DGKC!G51))</f>
        <v>2112764.7225000001</v>
      </c>
      <c r="H154" s="166">
        <f>DGKC!G84</f>
        <v>66038.688999999998</v>
      </c>
      <c r="I154" s="164">
        <f t="shared" si="6"/>
        <v>31.992832603021544</v>
      </c>
      <c r="J154" s="164">
        <v>31.992832603021544</v>
      </c>
      <c r="K154" s="168">
        <f t="shared" si="7"/>
        <v>0</v>
      </c>
      <c r="L154" s="164">
        <v>76</v>
      </c>
      <c r="M154" s="154">
        <v>0</v>
      </c>
      <c r="N154" s="154" t="str">
        <f t="shared" si="8"/>
        <v>No fit</v>
      </c>
      <c r="O154" s="173" t="s">
        <v>6131</v>
      </c>
      <c r="P154" s="173" t="s">
        <v>6051</v>
      </c>
    </row>
    <row r="155" spans="1:16" ht="64.05" customHeight="1" x14ac:dyDescent="0.3">
      <c r="A155" s="151" t="s">
        <v>6336</v>
      </c>
      <c r="B155" s="151" t="s">
        <v>5789</v>
      </c>
      <c r="C155" s="151" t="s">
        <v>86</v>
      </c>
      <c r="D155" s="151">
        <v>2024</v>
      </c>
      <c r="E155" s="151" t="s">
        <v>74</v>
      </c>
      <c r="F155" s="174" t="s">
        <v>6133</v>
      </c>
      <c r="G155" s="167">
        <f>(365*AVERAGE(DGKC!F51,DGKC!G51))</f>
        <v>2112764.7225000001</v>
      </c>
      <c r="H155" s="167">
        <f>((DGKC!G85*-1)+(DGKC!G65-DGKC!F65))</f>
        <v>53038.095000000001</v>
      </c>
      <c r="I155" s="165">
        <f t="shared" si="6"/>
        <v>39.834853090028972</v>
      </c>
      <c r="J155" s="165">
        <v>39.834853090028972</v>
      </c>
      <c r="K155" s="169">
        <f t="shared" si="7"/>
        <v>0</v>
      </c>
      <c r="L155" s="165">
        <v>76</v>
      </c>
      <c r="M155" s="151">
        <v>0</v>
      </c>
      <c r="N155" s="151" t="str">
        <f t="shared" si="8"/>
        <v>No fit</v>
      </c>
      <c r="O155" s="174" t="s">
        <v>6134</v>
      </c>
      <c r="P155" s="174" t="s">
        <v>6051</v>
      </c>
    </row>
    <row r="156" spans="1:16" ht="64.05" customHeight="1" x14ac:dyDescent="0.3">
      <c r="A156" s="154" t="s">
        <v>6337</v>
      </c>
      <c r="B156" s="154" t="s">
        <v>5789</v>
      </c>
      <c r="C156" s="154" t="s">
        <v>86</v>
      </c>
      <c r="D156" s="154">
        <v>2024</v>
      </c>
      <c r="E156" s="154" t="s">
        <v>74</v>
      </c>
      <c r="F156" s="173" t="s">
        <v>6136</v>
      </c>
      <c r="G156" s="166">
        <f>(365*AVERAGE(DGKC!F51,DGKC!G51))</f>
        <v>2112764.7225000001</v>
      </c>
      <c r="H156" s="166">
        <f>((DGKC!G85*-1)+(DGKC!G31-DGKC!F31))</f>
        <v>54330.325999999994</v>
      </c>
      <c r="I156" s="164">
        <f t="shared" si="6"/>
        <v>38.887392696668165</v>
      </c>
      <c r="J156" s="164">
        <v>38.887392696668165</v>
      </c>
      <c r="K156" s="168">
        <f t="shared" si="7"/>
        <v>0</v>
      </c>
      <c r="L156" s="164">
        <v>76</v>
      </c>
      <c r="M156" s="154">
        <v>0</v>
      </c>
      <c r="N156" s="154" t="str">
        <f t="shared" si="8"/>
        <v>No fit</v>
      </c>
      <c r="O156" s="173" t="s">
        <v>6137</v>
      </c>
      <c r="P156" s="173" t="s">
        <v>6051</v>
      </c>
    </row>
    <row r="157" spans="1:16" ht="64.05" customHeight="1" x14ac:dyDescent="0.3">
      <c r="A157" s="151" t="s">
        <v>6338</v>
      </c>
      <c r="B157" s="151" t="s">
        <v>5789</v>
      </c>
      <c r="C157" s="151" t="s">
        <v>86</v>
      </c>
      <c r="D157" s="151">
        <v>2024</v>
      </c>
      <c r="E157" s="151" t="s">
        <v>74</v>
      </c>
      <c r="F157" s="174" t="s">
        <v>6139</v>
      </c>
      <c r="G157" s="167">
        <f>(365*DGKC!G50)</f>
        <v>4523976.0750000002</v>
      </c>
      <c r="H157" s="167">
        <f>(DGKC!G85*-1)</f>
        <v>55510.428999999996</v>
      </c>
      <c r="I157" s="165">
        <f t="shared" si="6"/>
        <v>81.497768194153224</v>
      </c>
      <c r="J157" s="165">
        <v>81.497768194153224</v>
      </c>
      <c r="K157" s="169">
        <f t="shared" si="7"/>
        <v>0</v>
      </c>
      <c r="L157" s="165">
        <v>76</v>
      </c>
      <c r="M157" s="151">
        <v>0</v>
      </c>
      <c r="N157" s="151" t="str">
        <f t="shared" si="8"/>
        <v>No fit</v>
      </c>
      <c r="O157" s="174" t="s">
        <v>6140</v>
      </c>
      <c r="P157" s="174" t="s">
        <v>6051</v>
      </c>
    </row>
    <row r="158" spans="1:16" ht="64.05" customHeight="1" x14ac:dyDescent="0.3">
      <c r="A158" s="154" t="s">
        <v>6339</v>
      </c>
      <c r="B158" s="154" t="s">
        <v>5789</v>
      </c>
      <c r="C158" s="154" t="s">
        <v>86</v>
      </c>
      <c r="D158" s="154">
        <v>2024</v>
      </c>
      <c r="E158" s="154" t="s">
        <v>74</v>
      </c>
      <c r="F158" s="173" t="s">
        <v>6142</v>
      </c>
      <c r="G158" s="166">
        <f>(365*DGKC!G50)</f>
        <v>4523976.0750000002</v>
      </c>
      <c r="H158" s="166">
        <f>DGKC!G84</f>
        <v>66038.688999999998</v>
      </c>
      <c r="I158" s="164">
        <f t="shared" si="6"/>
        <v>68.504934660347359</v>
      </c>
      <c r="J158" s="164">
        <v>68.504934660347359</v>
      </c>
      <c r="K158" s="168">
        <f t="shared" si="7"/>
        <v>0</v>
      </c>
      <c r="L158" s="164">
        <v>76</v>
      </c>
      <c r="M158" s="154">
        <v>0</v>
      </c>
      <c r="N158" s="154" t="str">
        <f t="shared" si="8"/>
        <v>No fit</v>
      </c>
      <c r="O158" s="173" t="s">
        <v>6143</v>
      </c>
      <c r="P158" s="173" t="s">
        <v>6051</v>
      </c>
    </row>
    <row r="159" spans="1:16" ht="64.05" customHeight="1" x14ac:dyDescent="0.3">
      <c r="A159" s="151" t="s">
        <v>6340</v>
      </c>
      <c r="B159" s="151" t="s">
        <v>5789</v>
      </c>
      <c r="C159" s="151" t="s">
        <v>86</v>
      </c>
      <c r="D159" s="151">
        <v>2024</v>
      </c>
      <c r="E159" s="151" t="s">
        <v>74</v>
      </c>
      <c r="F159" s="174" t="s">
        <v>6145</v>
      </c>
      <c r="G159" s="167">
        <f>(365*DGKC!G50)</f>
        <v>4523976.0750000002</v>
      </c>
      <c r="H159" s="167">
        <f>((DGKC!G85*-1)+(DGKC!G65-DGKC!F65))</f>
        <v>53038.095000000001</v>
      </c>
      <c r="I159" s="165">
        <f t="shared" si="6"/>
        <v>85.296730114458299</v>
      </c>
      <c r="J159" s="165">
        <v>85.296730114458299</v>
      </c>
      <c r="K159" s="169">
        <f t="shared" si="7"/>
        <v>0</v>
      </c>
      <c r="L159" s="165">
        <v>76</v>
      </c>
      <c r="M159" s="151">
        <v>0</v>
      </c>
      <c r="N159" s="151" t="str">
        <f t="shared" si="8"/>
        <v>No fit</v>
      </c>
      <c r="O159" s="174" t="s">
        <v>6146</v>
      </c>
      <c r="P159" s="174" t="s">
        <v>6051</v>
      </c>
    </row>
    <row r="160" spans="1:16" ht="64.05" customHeight="1" x14ac:dyDescent="0.3">
      <c r="A160" s="154" t="s">
        <v>6341</v>
      </c>
      <c r="B160" s="154" t="s">
        <v>5789</v>
      </c>
      <c r="C160" s="154" t="s">
        <v>86</v>
      </c>
      <c r="D160" s="154">
        <v>2024</v>
      </c>
      <c r="E160" s="154" t="s">
        <v>74</v>
      </c>
      <c r="F160" s="173" t="s">
        <v>6148</v>
      </c>
      <c r="G160" s="166">
        <f>(365*DGKC!G50)</f>
        <v>4523976.0750000002</v>
      </c>
      <c r="H160" s="166">
        <f>((DGKC!G85*-1)+(DGKC!G31-DGKC!F31))</f>
        <v>54330.325999999994</v>
      </c>
      <c r="I160" s="164">
        <f t="shared" si="6"/>
        <v>83.267972200277256</v>
      </c>
      <c r="J160" s="164">
        <v>83.267972200277256</v>
      </c>
      <c r="K160" s="168">
        <f t="shared" si="7"/>
        <v>0</v>
      </c>
      <c r="L160" s="164">
        <v>76</v>
      </c>
      <c r="M160" s="154">
        <v>0</v>
      </c>
      <c r="N160" s="154" t="str">
        <f t="shared" si="8"/>
        <v>No fit</v>
      </c>
      <c r="O160" s="173" t="s">
        <v>6149</v>
      </c>
      <c r="P160" s="173" t="s">
        <v>6051</v>
      </c>
    </row>
    <row r="161" spans="1:16" ht="64.05" customHeight="1" x14ac:dyDescent="0.3">
      <c r="A161" s="151" t="s">
        <v>6342</v>
      </c>
      <c r="B161" s="151" t="s">
        <v>5789</v>
      </c>
      <c r="C161" s="151" t="s">
        <v>86</v>
      </c>
      <c r="D161" s="151">
        <v>2024</v>
      </c>
      <c r="E161" s="151" t="s">
        <v>74</v>
      </c>
      <c r="F161" s="174" t="s">
        <v>5780</v>
      </c>
      <c r="G161" s="167">
        <f>(365*AVERAGE(DGKC!F50,DGKC!G50))</f>
        <v>4777440.1050000004</v>
      </c>
      <c r="H161" s="167">
        <f>(DGKC!G85*-1)</f>
        <v>55510.428999999996</v>
      </c>
      <c r="I161" s="165">
        <f t="shared" si="6"/>
        <v>86.063829645416732</v>
      </c>
      <c r="J161" s="165">
        <v>86.063829645416732</v>
      </c>
      <c r="K161" s="169">
        <f t="shared" si="7"/>
        <v>0</v>
      </c>
      <c r="L161" s="165">
        <v>76</v>
      </c>
      <c r="M161" s="151">
        <v>0</v>
      </c>
      <c r="N161" s="151" t="str">
        <f t="shared" si="8"/>
        <v>No fit</v>
      </c>
      <c r="O161" s="174" t="s">
        <v>6151</v>
      </c>
      <c r="P161" s="174" t="s">
        <v>6051</v>
      </c>
    </row>
    <row r="162" spans="1:16" ht="64.05" customHeight="1" x14ac:dyDescent="0.3">
      <c r="A162" s="154" t="s">
        <v>6343</v>
      </c>
      <c r="B162" s="154" t="s">
        <v>5789</v>
      </c>
      <c r="C162" s="154" t="s">
        <v>86</v>
      </c>
      <c r="D162" s="154">
        <v>2024</v>
      </c>
      <c r="E162" s="154" t="s">
        <v>74</v>
      </c>
      <c r="F162" s="173" t="s">
        <v>6153</v>
      </c>
      <c r="G162" s="166">
        <f>(365*AVERAGE(DGKC!F50,DGKC!G50))</f>
        <v>4777440.1050000004</v>
      </c>
      <c r="H162" s="166">
        <f>DGKC!G84</f>
        <v>66038.688999999998</v>
      </c>
      <c r="I162" s="164">
        <f t="shared" si="6"/>
        <v>72.343048860343075</v>
      </c>
      <c r="J162" s="164">
        <v>72.343048860343075</v>
      </c>
      <c r="K162" s="168">
        <f t="shared" si="7"/>
        <v>0</v>
      </c>
      <c r="L162" s="164">
        <v>76</v>
      </c>
      <c r="M162" s="154">
        <v>0</v>
      </c>
      <c r="N162" s="154" t="str">
        <f t="shared" si="8"/>
        <v>No fit</v>
      </c>
      <c r="O162" s="173" t="s">
        <v>6154</v>
      </c>
      <c r="P162" s="173" t="s">
        <v>6051</v>
      </c>
    </row>
    <row r="163" spans="1:16" ht="64.05" customHeight="1" x14ac:dyDescent="0.3">
      <c r="A163" s="151" t="s">
        <v>6344</v>
      </c>
      <c r="B163" s="151" t="s">
        <v>5789</v>
      </c>
      <c r="C163" s="151" t="s">
        <v>86</v>
      </c>
      <c r="D163" s="151">
        <v>2024</v>
      </c>
      <c r="E163" s="151" t="s">
        <v>74</v>
      </c>
      <c r="F163" s="174" t="s">
        <v>6156</v>
      </c>
      <c r="G163" s="167">
        <f>(365*AVERAGE(DGKC!F50,DGKC!G50))</f>
        <v>4777440.1050000004</v>
      </c>
      <c r="H163" s="167">
        <f>((DGKC!G85*-1)+(DGKC!G65-DGKC!F65))</f>
        <v>53038.095000000001</v>
      </c>
      <c r="I163" s="165">
        <f t="shared" si="6"/>
        <v>90.075635352287833</v>
      </c>
      <c r="J163" s="165">
        <v>90.075635352287833</v>
      </c>
      <c r="K163" s="169">
        <f t="shared" si="7"/>
        <v>0</v>
      </c>
      <c r="L163" s="165">
        <v>76</v>
      </c>
      <c r="M163" s="151">
        <v>0</v>
      </c>
      <c r="N163" s="151" t="str">
        <f t="shared" si="8"/>
        <v>No fit</v>
      </c>
      <c r="O163" s="174" t="s">
        <v>6157</v>
      </c>
      <c r="P163" s="174" t="s">
        <v>6051</v>
      </c>
    </row>
    <row r="164" spans="1:16" ht="64.05" customHeight="1" x14ac:dyDescent="0.3">
      <c r="A164" s="154" t="s">
        <v>6345</v>
      </c>
      <c r="B164" s="154" t="s">
        <v>5789</v>
      </c>
      <c r="C164" s="154" t="s">
        <v>86</v>
      </c>
      <c r="D164" s="154">
        <v>2024</v>
      </c>
      <c r="E164" s="154" t="s">
        <v>74</v>
      </c>
      <c r="F164" s="173" t="s">
        <v>6159</v>
      </c>
      <c r="G164" s="166">
        <f>(365*AVERAGE(DGKC!F50,DGKC!G50))</f>
        <v>4777440.1050000004</v>
      </c>
      <c r="H164" s="166">
        <f>((DGKC!G85*-1)+(DGKC!G31-DGKC!F31))</f>
        <v>54330.325999999994</v>
      </c>
      <c r="I164" s="164">
        <f t="shared" si="6"/>
        <v>87.933212567139776</v>
      </c>
      <c r="J164" s="164">
        <v>87.933212567139776</v>
      </c>
      <c r="K164" s="168">
        <f t="shared" si="7"/>
        <v>0</v>
      </c>
      <c r="L164" s="164">
        <v>76</v>
      </c>
      <c r="M164" s="154">
        <v>0</v>
      </c>
      <c r="N164" s="154" t="str">
        <f t="shared" si="8"/>
        <v>No fit</v>
      </c>
      <c r="O164" s="173" t="s">
        <v>6160</v>
      </c>
      <c r="P164" s="173" t="s">
        <v>6051</v>
      </c>
    </row>
    <row r="165" spans="1:16" ht="64.05" customHeight="1" x14ac:dyDescent="0.3">
      <c r="A165" s="151" t="s">
        <v>6346</v>
      </c>
      <c r="B165" s="151" t="s">
        <v>5789</v>
      </c>
      <c r="C165" s="151" t="s">
        <v>86</v>
      </c>
      <c r="D165" s="151">
        <v>2024</v>
      </c>
      <c r="E165" s="151" t="s">
        <v>74</v>
      </c>
      <c r="F165" s="174" t="s">
        <v>6162</v>
      </c>
      <c r="G165" s="167">
        <f>(365*AVERAGE((((DGKC!F61-DGKC!F54)-DGKC!F55)-DGKC!F56),(((DGKC!G61-DGKC!G54)-DGKC!G55)-DGKC!G56)))</f>
        <v>5416629.1999999983</v>
      </c>
      <c r="H165" s="167">
        <f>(DGKC!G85*-1)</f>
        <v>55510.428999999996</v>
      </c>
      <c r="I165" s="165">
        <f t="shared" si="6"/>
        <v>97.578586539116799</v>
      </c>
      <c r="J165" s="165">
        <v>97.578586539116813</v>
      </c>
      <c r="K165" s="169">
        <f t="shared" si="7"/>
        <v>0</v>
      </c>
      <c r="L165" s="165">
        <v>76</v>
      </c>
      <c r="M165" s="151">
        <v>0</v>
      </c>
      <c r="N165" s="151" t="str">
        <f t="shared" si="8"/>
        <v>No fit</v>
      </c>
      <c r="O165" s="174" t="s">
        <v>6163</v>
      </c>
      <c r="P165" s="174" t="s">
        <v>6051</v>
      </c>
    </row>
    <row r="166" spans="1:16" ht="64.05" customHeight="1" x14ac:dyDescent="0.3">
      <c r="A166" s="154" t="s">
        <v>6347</v>
      </c>
      <c r="B166" s="154" t="s">
        <v>5789</v>
      </c>
      <c r="C166" s="154" t="s">
        <v>86</v>
      </c>
      <c r="D166" s="154">
        <v>2024</v>
      </c>
      <c r="E166" s="154" t="s">
        <v>74</v>
      </c>
      <c r="F166" s="173" t="s">
        <v>6165</v>
      </c>
      <c r="G166" s="166">
        <f>(365*AVERAGE((((DGKC!F61-DGKC!F54)-DGKC!F55)-DGKC!F56),(((DGKC!G61-DGKC!G54)-DGKC!G55)-DGKC!G56)))</f>
        <v>5416629.1999999983</v>
      </c>
      <c r="H166" s="166">
        <f>DGKC!G84</f>
        <v>66038.688999999998</v>
      </c>
      <c r="I166" s="164">
        <f t="shared" si="6"/>
        <v>82.022058311908623</v>
      </c>
      <c r="J166" s="164">
        <v>82.022058311908637</v>
      </c>
      <c r="K166" s="168">
        <f t="shared" si="7"/>
        <v>0</v>
      </c>
      <c r="L166" s="164">
        <v>76</v>
      </c>
      <c r="M166" s="154">
        <v>0</v>
      </c>
      <c r="N166" s="154" t="str">
        <f t="shared" si="8"/>
        <v>No fit</v>
      </c>
      <c r="O166" s="173" t="s">
        <v>6166</v>
      </c>
      <c r="P166" s="173" t="s">
        <v>6051</v>
      </c>
    </row>
    <row r="167" spans="1:16" ht="64.05" customHeight="1" x14ac:dyDescent="0.3">
      <c r="A167" s="151" t="s">
        <v>6348</v>
      </c>
      <c r="B167" s="151" t="s">
        <v>5789</v>
      </c>
      <c r="C167" s="151" t="s">
        <v>86</v>
      </c>
      <c r="D167" s="151">
        <v>2024</v>
      </c>
      <c r="E167" s="151" t="s">
        <v>74</v>
      </c>
      <c r="F167" s="174" t="s">
        <v>6168</v>
      </c>
      <c r="G167" s="167">
        <f>(365*AVERAGE((((DGKC!F61-DGKC!F54)-DGKC!F55)-DGKC!F56),(((DGKC!G61-DGKC!G54)-DGKC!G55)-DGKC!G56)))</f>
        <v>5416629.1999999983</v>
      </c>
      <c r="H167" s="167">
        <f>((DGKC!G85*-1)+(DGKC!G65-DGKC!F65))</f>
        <v>53038.095000000001</v>
      </c>
      <c r="I167" s="165">
        <f t="shared" si="6"/>
        <v>102.12714464952028</v>
      </c>
      <c r="J167" s="165">
        <v>102.12714464952029</v>
      </c>
      <c r="K167" s="169">
        <f t="shared" si="7"/>
        <v>0</v>
      </c>
      <c r="L167" s="165">
        <v>76</v>
      </c>
      <c r="M167" s="151">
        <v>0</v>
      </c>
      <c r="N167" s="151" t="str">
        <f t="shared" si="8"/>
        <v>No fit</v>
      </c>
      <c r="O167" s="174" t="s">
        <v>6169</v>
      </c>
      <c r="P167" s="174" t="s">
        <v>6051</v>
      </c>
    </row>
    <row r="168" spans="1:16" ht="64.05" customHeight="1" x14ac:dyDescent="0.3">
      <c r="A168" s="154" t="s">
        <v>6349</v>
      </c>
      <c r="B168" s="154" t="s">
        <v>5789</v>
      </c>
      <c r="C168" s="154" t="s">
        <v>86</v>
      </c>
      <c r="D168" s="154">
        <v>2024</v>
      </c>
      <c r="E168" s="154" t="s">
        <v>74</v>
      </c>
      <c r="F168" s="173" t="s">
        <v>6171</v>
      </c>
      <c r="G168" s="166">
        <f>(365*AVERAGE((((DGKC!F61-DGKC!F54)-DGKC!F55)-DGKC!F56),(((DGKC!G61-DGKC!G54)-DGKC!G55)-DGKC!G56)))</f>
        <v>5416629.1999999983</v>
      </c>
      <c r="H168" s="166">
        <f>((DGKC!G85*-1)+(DGKC!G31-DGKC!F31))</f>
        <v>54330.325999999994</v>
      </c>
      <c r="I168" s="164">
        <f t="shared" si="6"/>
        <v>99.698080221348178</v>
      </c>
      <c r="J168" s="164">
        <v>99.698080221348206</v>
      </c>
      <c r="K168" s="168">
        <f t="shared" si="7"/>
        <v>0</v>
      </c>
      <c r="L168" s="164">
        <v>76</v>
      </c>
      <c r="M168" s="154">
        <v>0</v>
      </c>
      <c r="N168" s="154" t="str">
        <f t="shared" si="8"/>
        <v>No fit</v>
      </c>
      <c r="O168" s="173" t="s">
        <v>6172</v>
      </c>
      <c r="P168" s="173" t="s">
        <v>6051</v>
      </c>
    </row>
    <row r="169" spans="1:16" ht="64.05" customHeight="1" x14ac:dyDescent="0.3">
      <c r="A169" s="151" t="s">
        <v>6350</v>
      </c>
      <c r="B169" s="151" t="s">
        <v>5789</v>
      </c>
      <c r="C169" s="151" t="s">
        <v>86</v>
      </c>
      <c r="D169" s="151">
        <v>2024</v>
      </c>
      <c r="E169" s="151" t="s">
        <v>74</v>
      </c>
      <c r="F169" s="174" t="s">
        <v>6174</v>
      </c>
      <c r="G169" s="167">
        <f>(365*(DGKC!G51+'Forensic Inputs'!$G$56))</f>
        <v>3177718.835</v>
      </c>
      <c r="H169" s="167">
        <f>(DGKC!G85*-1)</f>
        <v>55510.428999999996</v>
      </c>
      <c r="I169" s="165">
        <f t="shared" si="6"/>
        <v>57.245438240082784</v>
      </c>
      <c r="J169" s="165">
        <v>57.245438240082784</v>
      </c>
      <c r="K169" s="169">
        <f t="shared" si="7"/>
        <v>0</v>
      </c>
      <c r="L169" s="165">
        <v>76</v>
      </c>
      <c r="M169" s="151">
        <v>0</v>
      </c>
      <c r="N169" s="151" t="str">
        <f t="shared" si="8"/>
        <v>No fit</v>
      </c>
      <c r="O169" s="174" t="s">
        <v>6351</v>
      </c>
      <c r="P169" s="174" t="s">
        <v>6051</v>
      </c>
    </row>
    <row r="170" spans="1:16" ht="64.05" customHeight="1" x14ac:dyDescent="0.3">
      <c r="A170" s="154" t="s">
        <v>6352</v>
      </c>
      <c r="B170" s="154" t="s">
        <v>5789</v>
      </c>
      <c r="C170" s="154" t="s">
        <v>86</v>
      </c>
      <c r="D170" s="154">
        <v>2024</v>
      </c>
      <c r="E170" s="154" t="s">
        <v>74</v>
      </c>
      <c r="F170" s="173" t="s">
        <v>6177</v>
      </c>
      <c r="G170" s="166">
        <f>(365*(DGKC!G51+'Forensic Inputs'!$G$56))</f>
        <v>3177718.835</v>
      </c>
      <c r="H170" s="166">
        <f>DGKC!G84</f>
        <v>66038.688999999998</v>
      </c>
      <c r="I170" s="164">
        <f t="shared" si="6"/>
        <v>48.119047835731564</v>
      </c>
      <c r="J170" s="164">
        <v>48.119047835731564</v>
      </c>
      <c r="K170" s="168">
        <f t="shared" si="7"/>
        <v>0</v>
      </c>
      <c r="L170" s="164">
        <v>76</v>
      </c>
      <c r="M170" s="154">
        <v>0</v>
      </c>
      <c r="N170" s="154" t="str">
        <f t="shared" si="8"/>
        <v>No fit</v>
      </c>
      <c r="O170" s="173" t="s">
        <v>6353</v>
      </c>
      <c r="P170" s="173" t="s">
        <v>6051</v>
      </c>
    </row>
    <row r="171" spans="1:16" ht="64.05" customHeight="1" x14ac:dyDescent="0.3">
      <c r="A171" s="151" t="s">
        <v>6354</v>
      </c>
      <c r="B171" s="151" t="s">
        <v>5789</v>
      </c>
      <c r="C171" s="151" t="s">
        <v>86</v>
      </c>
      <c r="D171" s="151">
        <v>2024</v>
      </c>
      <c r="E171" s="151" t="s">
        <v>74</v>
      </c>
      <c r="F171" s="174" t="s">
        <v>6180</v>
      </c>
      <c r="G171" s="167">
        <f>(365*(DGKC!G51+'Forensic Inputs'!$G$56))</f>
        <v>3177718.835</v>
      </c>
      <c r="H171" s="167">
        <f>((DGKC!G85*-1)+(DGKC!G65-DGKC!F65))</f>
        <v>53038.095000000001</v>
      </c>
      <c r="I171" s="165">
        <f t="shared" si="6"/>
        <v>59.913894626117319</v>
      </c>
      <c r="J171" s="165">
        <v>59.913894626117319</v>
      </c>
      <c r="K171" s="169">
        <f t="shared" si="7"/>
        <v>0</v>
      </c>
      <c r="L171" s="165">
        <v>76</v>
      </c>
      <c r="M171" s="151">
        <v>0</v>
      </c>
      <c r="N171" s="151" t="str">
        <f t="shared" si="8"/>
        <v>No fit</v>
      </c>
      <c r="O171" s="174" t="s">
        <v>6355</v>
      </c>
      <c r="P171" s="174" t="s">
        <v>6051</v>
      </c>
    </row>
    <row r="172" spans="1:16" ht="64.05" customHeight="1" x14ac:dyDescent="0.3">
      <c r="A172" s="154" t="s">
        <v>6356</v>
      </c>
      <c r="B172" s="154" t="s">
        <v>5789</v>
      </c>
      <c r="C172" s="154" t="s">
        <v>86</v>
      </c>
      <c r="D172" s="154">
        <v>2024</v>
      </c>
      <c r="E172" s="154" t="s">
        <v>74</v>
      </c>
      <c r="F172" s="173" t="s">
        <v>6183</v>
      </c>
      <c r="G172" s="166">
        <f>(365*(DGKC!G51+'Forensic Inputs'!$G$56))</f>
        <v>3177718.835</v>
      </c>
      <c r="H172" s="166">
        <f>((DGKC!G85*-1)+(DGKC!G31-DGKC!F31))</f>
        <v>54330.325999999994</v>
      </c>
      <c r="I172" s="164">
        <f t="shared" si="6"/>
        <v>58.488860070524893</v>
      </c>
      <c r="J172" s="164">
        <v>58.488860070524893</v>
      </c>
      <c r="K172" s="168">
        <f t="shared" si="7"/>
        <v>0</v>
      </c>
      <c r="L172" s="164">
        <v>76</v>
      </c>
      <c r="M172" s="154">
        <v>0</v>
      </c>
      <c r="N172" s="154" t="str">
        <f t="shared" si="8"/>
        <v>No fit</v>
      </c>
      <c r="O172" s="173" t="s">
        <v>6357</v>
      </c>
      <c r="P172" s="173" t="s">
        <v>6051</v>
      </c>
    </row>
    <row r="173" spans="1:16" ht="64.05" customHeight="1" x14ac:dyDescent="0.3">
      <c r="A173" s="151" t="s">
        <v>6358</v>
      </c>
      <c r="B173" s="151" t="s">
        <v>5789</v>
      </c>
      <c r="C173" s="151" t="s">
        <v>86</v>
      </c>
      <c r="D173" s="151">
        <v>2024</v>
      </c>
      <c r="E173" s="151" t="s">
        <v>74</v>
      </c>
      <c r="F173" s="174" t="s">
        <v>6186</v>
      </c>
      <c r="G173" s="167">
        <f>(365*AVERAGE((DGKC!F51+'Forensic Inputs'!$G$51),(DGKC!G51+'Forensic Inputs'!$G$56)))</f>
        <v>3545699.6075000004</v>
      </c>
      <c r="H173" s="167">
        <f>(DGKC!G85*-1)</f>
        <v>55510.428999999996</v>
      </c>
      <c r="I173" s="165">
        <f t="shared" si="6"/>
        <v>63.87447676723955</v>
      </c>
      <c r="J173" s="165">
        <v>63.87447676723955</v>
      </c>
      <c r="K173" s="169">
        <f t="shared" si="7"/>
        <v>0</v>
      </c>
      <c r="L173" s="165">
        <v>76</v>
      </c>
      <c r="M173" s="151">
        <v>0</v>
      </c>
      <c r="N173" s="151" t="str">
        <f t="shared" si="8"/>
        <v>No fit</v>
      </c>
      <c r="O173" s="174" t="s">
        <v>6359</v>
      </c>
      <c r="P173" s="174" t="s">
        <v>6051</v>
      </c>
    </row>
    <row r="174" spans="1:16" ht="64.05" customHeight="1" x14ac:dyDescent="0.3">
      <c r="A174" s="154" t="s">
        <v>6360</v>
      </c>
      <c r="B174" s="154" t="s">
        <v>5789</v>
      </c>
      <c r="C174" s="154" t="s">
        <v>86</v>
      </c>
      <c r="D174" s="154">
        <v>2024</v>
      </c>
      <c r="E174" s="154" t="s">
        <v>74</v>
      </c>
      <c r="F174" s="173" t="s">
        <v>6189</v>
      </c>
      <c r="G174" s="166">
        <f>(365*AVERAGE((DGKC!F51+'Forensic Inputs'!$G$51),(DGKC!G51+'Forensic Inputs'!$G$56)))</f>
        <v>3545699.6075000004</v>
      </c>
      <c r="H174" s="166">
        <f>DGKC!G84</f>
        <v>66038.688999999998</v>
      </c>
      <c r="I174" s="164">
        <f t="shared" si="6"/>
        <v>53.691247679068866</v>
      </c>
      <c r="J174" s="164">
        <v>53.691247679068866</v>
      </c>
      <c r="K174" s="168">
        <f t="shared" si="7"/>
        <v>0</v>
      </c>
      <c r="L174" s="164">
        <v>76</v>
      </c>
      <c r="M174" s="154">
        <v>0</v>
      </c>
      <c r="N174" s="154" t="str">
        <f t="shared" si="8"/>
        <v>No fit</v>
      </c>
      <c r="O174" s="173" t="s">
        <v>6361</v>
      </c>
      <c r="P174" s="173" t="s">
        <v>6051</v>
      </c>
    </row>
    <row r="175" spans="1:16" ht="64.05" customHeight="1" x14ac:dyDescent="0.3">
      <c r="A175" s="151" t="s">
        <v>6362</v>
      </c>
      <c r="B175" s="151" t="s">
        <v>5789</v>
      </c>
      <c r="C175" s="151" t="s">
        <v>86</v>
      </c>
      <c r="D175" s="151">
        <v>2024</v>
      </c>
      <c r="E175" s="151" t="s">
        <v>74</v>
      </c>
      <c r="F175" s="174" t="s">
        <v>6192</v>
      </c>
      <c r="G175" s="167">
        <f>(365*AVERAGE((DGKC!F51+'Forensic Inputs'!$G$51),(DGKC!G51+'Forensic Inputs'!$G$56)))</f>
        <v>3545699.6075000004</v>
      </c>
      <c r="H175" s="167">
        <f>((DGKC!G85*-1)+(DGKC!G65-DGKC!F65))</f>
        <v>53038.095000000001</v>
      </c>
      <c r="I175" s="165">
        <f t="shared" si="6"/>
        <v>66.851941184916242</v>
      </c>
      <c r="J175" s="165">
        <v>66.851941184916242</v>
      </c>
      <c r="K175" s="169">
        <f t="shared" si="7"/>
        <v>0</v>
      </c>
      <c r="L175" s="165">
        <v>76</v>
      </c>
      <c r="M175" s="151">
        <v>0</v>
      </c>
      <c r="N175" s="151" t="str">
        <f t="shared" si="8"/>
        <v>No fit</v>
      </c>
      <c r="O175" s="174" t="s">
        <v>6363</v>
      </c>
      <c r="P175" s="174" t="s">
        <v>6051</v>
      </c>
    </row>
    <row r="176" spans="1:16" ht="64.05" customHeight="1" x14ac:dyDescent="0.3">
      <c r="A176" s="154" t="s">
        <v>6364</v>
      </c>
      <c r="B176" s="154" t="s">
        <v>5789</v>
      </c>
      <c r="C176" s="154" t="s">
        <v>86</v>
      </c>
      <c r="D176" s="154">
        <v>2024</v>
      </c>
      <c r="E176" s="154" t="s">
        <v>74</v>
      </c>
      <c r="F176" s="173" t="s">
        <v>6195</v>
      </c>
      <c r="G176" s="166">
        <f>(365*AVERAGE((DGKC!F51+'Forensic Inputs'!$G$51),(DGKC!G51+'Forensic Inputs'!$G$56)))</f>
        <v>3545699.6075000004</v>
      </c>
      <c r="H176" s="166">
        <f>((DGKC!G85*-1)+(DGKC!G31-DGKC!F31))</f>
        <v>54330.325999999994</v>
      </c>
      <c r="I176" s="164">
        <f t="shared" si="6"/>
        <v>65.261887210100682</v>
      </c>
      <c r="J176" s="164">
        <v>65.261887210100682</v>
      </c>
      <c r="K176" s="168">
        <f t="shared" si="7"/>
        <v>0</v>
      </c>
      <c r="L176" s="164">
        <v>76</v>
      </c>
      <c r="M176" s="154">
        <v>0</v>
      </c>
      <c r="N176" s="154" t="str">
        <f t="shared" si="8"/>
        <v>No fit</v>
      </c>
      <c r="O176" s="173" t="s">
        <v>6365</v>
      </c>
      <c r="P176" s="173" t="s">
        <v>6051</v>
      </c>
    </row>
    <row r="177" spans="1:16" ht="64.05" customHeight="1" x14ac:dyDescent="0.3">
      <c r="A177" s="151" t="s">
        <v>6366</v>
      </c>
      <c r="B177" s="151" t="s">
        <v>5789</v>
      </c>
      <c r="C177" s="151" t="s">
        <v>86</v>
      </c>
      <c r="D177" s="151">
        <v>2024</v>
      </c>
      <c r="E177" s="151" t="s">
        <v>74</v>
      </c>
      <c r="F177" s="174" t="s">
        <v>6198</v>
      </c>
      <c r="G177" s="167">
        <f>(365*(DGKC!G50-'Forensic Inputs'!$G$57))</f>
        <v>3895143.855</v>
      </c>
      <c r="H177" s="167">
        <f>(DGKC!G85*-1)</f>
        <v>55510.428999999996</v>
      </c>
      <c r="I177" s="165">
        <f t="shared" si="6"/>
        <v>70.169586601465468</v>
      </c>
      <c r="J177" s="165">
        <v>70.169586601465468</v>
      </c>
      <c r="K177" s="169">
        <f t="shared" si="7"/>
        <v>0</v>
      </c>
      <c r="L177" s="165">
        <v>76</v>
      </c>
      <c r="M177" s="151">
        <v>0</v>
      </c>
      <c r="N177" s="151" t="str">
        <f t="shared" si="8"/>
        <v>No fit</v>
      </c>
      <c r="O177" s="174" t="s">
        <v>6367</v>
      </c>
      <c r="P177" s="174" t="s">
        <v>6051</v>
      </c>
    </row>
    <row r="178" spans="1:16" ht="64.05" customHeight="1" x14ac:dyDescent="0.3">
      <c r="A178" s="154" t="s">
        <v>6368</v>
      </c>
      <c r="B178" s="154" t="s">
        <v>5789</v>
      </c>
      <c r="C178" s="154" t="s">
        <v>86</v>
      </c>
      <c r="D178" s="154">
        <v>2024</v>
      </c>
      <c r="E178" s="154" t="s">
        <v>74</v>
      </c>
      <c r="F178" s="173" t="s">
        <v>6201</v>
      </c>
      <c r="G178" s="166">
        <f>(365*(DGKC!G50-'Forensic Inputs'!$G$57))</f>
        <v>3895143.855</v>
      </c>
      <c r="H178" s="166">
        <f>DGKC!G84</f>
        <v>66038.688999999998</v>
      </c>
      <c r="I178" s="164">
        <f t="shared" si="6"/>
        <v>58.982755623752617</v>
      </c>
      <c r="J178" s="164">
        <v>58.982755623752617</v>
      </c>
      <c r="K178" s="168">
        <f t="shared" si="7"/>
        <v>0</v>
      </c>
      <c r="L178" s="164">
        <v>76</v>
      </c>
      <c r="M178" s="154">
        <v>0</v>
      </c>
      <c r="N178" s="154" t="str">
        <f t="shared" si="8"/>
        <v>No fit</v>
      </c>
      <c r="O178" s="173" t="s">
        <v>6369</v>
      </c>
      <c r="P178" s="173" t="s">
        <v>6051</v>
      </c>
    </row>
    <row r="179" spans="1:16" ht="64.05" customHeight="1" x14ac:dyDescent="0.3">
      <c r="A179" s="151" t="s">
        <v>6370</v>
      </c>
      <c r="B179" s="151" t="s">
        <v>5789</v>
      </c>
      <c r="C179" s="151" t="s">
        <v>86</v>
      </c>
      <c r="D179" s="151">
        <v>2024</v>
      </c>
      <c r="E179" s="151" t="s">
        <v>74</v>
      </c>
      <c r="F179" s="174" t="s">
        <v>6204</v>
      </c>
      <c r="G179" s="167">
        <f>(365*(DGKC!G50-'Forensic Inputs'!$G$57))</f>
        <v>3895143.855</v>
      </c>
      <c r="H179" s="167">
        <f>((DGKC!G85*-1)+(DGKC!G65-DGKC!F65))</f>
        <v>53038.095000000001</v>
      </c>
      <c r="I179" s="165">
        <f t="shared" si="6"/>
        <v>73.440493196446809</v>
      </c>
      <c r="J179" s="165">
        <v>73.440493196446809</v>
      </c>
      <c r="K179" s="169">
        <f t="shared" si="7"/>
        <v>0</v>
      </c>
      <c r="L179" s="165">
        <v>76</v>
      </c>
      <c r="M179" s="151">
        <v>0</v>
      </c>
      <c r="N179" s="151" t="str">
        <f t="shared" si="8"/>
        <v>No fit</v>
      </c>
      <c r="O179" s="174" t="s">
        <v>6371</v>
      </c>
      <c r="P179" s="174" t="s">
        <v>6051</v>
      </c>
    </row>
    <row r="180" spans="1:16" ht="64.05" customHeight="1" x14ac:dyDescent="0.3">
      <c r="A180" s="154" t="s">
        <v>6372</v>
      </c>
      <c r="B180" s="154" t="s">
        <v>5789</v>
      </c>
      <c r="C180" s="154" t="s">
        <v>86</v>
      </c>
      <c r="D180" s="154">
        <v>2024</v>
      </c>
      <c r="E180" s="154" t="s">
        <v>74</v>
      </c>
      <c r="F180" s="173" t="s">
        <v>6207</v>
      </c>
      <c r="G180" s="166">
        <f>(365*(DGKC!G50-'Forensic Inputs'!$G$57))</f>
        <v>3895143.855</v>
      </c>
      <c r="H180" s="166">
        <f>((DGKC!G85*-1)+(DGKC!G31-DGKC!F31))</f>
        <v>54330.325999999994</v>
      </c>
      <c r="I180" s="164">
        <f t="shared" si="6"/>
        <v>71.693732428551968</v>
      </c>
      <c r="J180" s="164">
        <v>71.693732428551968</v>
      </c>
      <c r="K180" s="168">
        <f t="shared" si="7"/>
        <v>0</v>
      </c>
      <c r="L180" s="164">
        <v>76</v>
      </c>
      <c r="M180" s="154">
        <v>0</v>
      </c>
      <c r="N180" s="154" t="str">
        <f t="shared" si="8"/>
        <v>No fit</v>
      </c>
      <c r="O180" s="173" t="s">
        <v>6373</v>
      </c>
      <c r="P180" s="173" t="s">
        <v>6051</v>
      </c>
    </row>
    <row r="181" spans="1:16" ht="64.05" customHeight="1" x14ac:dyDescent="0.3">
      <c r="A181" s="151" t="s">
        <v>6374</v>
      </c>
      <c r="B181" s="151" t="s">
        <v>5789</v>
      </c>
      <c r="C181" s="151" t="s">
        <v>86</v>
      </c>
      <c r="D181" s="151">
        <v>2024</v>
      </c>
      <c r="E181" s="151" t="s">
        <v>74</v>
      </c>
      <c r="F181" s="174" t="s">
        <v>6210</v>
      </c>
      <c r="G181" s="167">
        <f>(365*AVERAGE((DGKC!F50-'Forensic Inputs'!$G$52),(DGKC!G50-'Forensic Inputs'!$G$57)))</f>
        <v>4026273.7550000004</v>
      </c>
      <c r="H181" s="167">
        <f>(DGKC!G85*-1)</f>
        <v>55510.428999999996</v>
      </c>
      <c r="I181" s="165">
        <f t="shared" si="6"/>
        <v>72.531843610864556</v>
      </c>
      <c r="J181" s="165">
        <v>72.531843610864556</v>
      </c>
      <c r="K181" s="169">
        <f t="shared" si="7"/>
        <v>0</v>
      </c>
      <c r="L181" s="165">
        <v>76</v>
      </c>
      <c r="M181" s="151">
        <v>0</v>
      </c>
      <c r="N181" s="151" t="str">
        <f t="shared" si="8"/>
        <v>No fit</v>
      </c>
      <c r="O181" s="174" t="s">
        <v>6375</v>
      </c>
      <c r="P181" s="174" t="s">
        <v>6051</v>
      </c>
    </row>
    <row r="182" spans="1:16" ht="64.05" customHeight="1" x14ac:dyDescent="0.3">
      <c r="A182" s="154" t="s">
        <v>6376</v>
      </c>
      <c r="B182" s="154" t="s">
        <v>5789</v>
      </c>
      <c r="C182" s="154" t="s">
        <v>86</v>
      </c>
      <c r="D182" s="154">
        <v>2024</v>
      </c>
      <c r="E182" s="154" t="s">
        <v>74</v>
      </c>
      <c r="F182" s="173" t="s">
        <v>6213</v>
      </c>
      <c r="G182" s="166">
        <f>(365*AVERAGE((DGKC!F50-'Forensic Inputs'!$G$52),(DGKC!G50-'Forensic Inputs'!$G$57)))</f>
        <v>4026273.7550000004</v>
      </c>
      <c r="H182" s="166">
        <f>DGKC!G84</f>
        <v>66038.688999999998</v>
      </c>
      <c r="I182" s="164">
        <f t="shared" si="6"/>
        <v>60.968408306833595</v>
      </c>
      <c r="J182" s="164">
        <v>60.968408306833595</v>
      </c>
      <c r="K182" s="168">
        <f t="shared" si="7"/>
        <v>0</v>
      </c>
      <c r="L182" s="164">
        <v>76</v>
      </c>
      <c r="M182" s="154">
        <v>0</v>
      </c>
      <c r="N182" s="154" t="str">
        <f t="shared" si="8"/>
        <v>No fit</v>
      </c>
      <c r="O182" s="173" t="s">
        <v>6377</v>
      </c>
      <c r="P182" s="173" t="s">
        <v>6051</v>
      </c>
    </row>
    <row r="183" spans="1:16" ht="64.05" customHeight="1" x14ac:dyDescent="0.3">
      <c r="A183" s="151" t="s">
        <v>6378</v>
      </c>
      <c r="B183" s="151" t="s">
        <v>5789</v>
      </c>
      <c r="C183" s="151" t="s">
        <v>86</v>
      </c>
      <c r="D183" s="151">
        <v>2024</v>
      </c>
      <c r="E183" s="151" t="s">
        <v>74</v>
      </c>
      <c r="F183" s="174" t="s">
        <v>6216</v>
      </c>
      <c r="G183" s="167">
        <f>(365*AVERAGE((DGKC!F50-'Forensic Inputs'!$G$52),(DGKC!G50-'Forensic Inputs'!$G$57)))</f>
        <v>4026273.7550000004</v>
      </c>
      <c r="H183" s="167">
        <f>((DGKC!G85*-1)+(DGKC!G65-DGKC!F65))</f>
        <v>53038.095000000001</v>
      </c>
      <c r="I183" s="165">
        <f t="shared" si="6"/>
        <v>75.912865177378649</v>
      </c>
      <c r="J183" s="165">
        <v>75.912865177378649</v>
      </c>
      <c r="K183" s="169">
        <f t="shared" si="7"/>
        <v>0</v>
      </c>
      <c r="L183" s="165">
        <v>76</v>
      </c>
      <c r="M183" s="151">
        <v>0</v>
      </c>
      <c r="N183" s="151" t="str">
        <f t="shared" si="8"/>
        <v>Numeric fit</v>
      </c>
      <c r="O183" s="174" t="s">
        <v>6379</v>
      </c>
      <c r="P183" s="174" t="s">
        <v>6051</v>
      </c>
    </row>
    <row r="184" spans="1:16" ht="64.05" customHeight="1" x14ac:dyDescent="0.3">
      <c r="A184" s="154" t="s">
        <v>6380</v>
      </c>
      <c r="B184" s="154" t="s">
        <v>5789</v>
      </c>
      <c r="C184" s="154" t="s">
        <v>86</v>
      </c>
      <c r="D184" s="154">
        <v>2024</v>
      </c>
      <c r="E184" s="154" t="s">
        <v>74</v>
      </c>
      <c r="F184" s="173" t="s">
        <v>6219</v>
      </c>
      <c r="G184" s="166">
        <f>(365*AVERAGE((DGKC!F50-'Forensic Inputs'!$G$52),(DGKC!G50-'Forensic Inputs'!$G$57)))</f>
        <v>4026273.7550000004</v>
      </c>
      <c r="H184" s="166">
        <f>((DGKC!G85*-1)+(DGKC!G31-DGKC!F31))</f>
        <v>54330.325999999994</v>
      </c>
      <c r="I184" s="164">
        <f t="shared" si="6"/>
        <v>74.107299761094765</v>
      </c>
      <c r="J184" s="164">
        <v>74.107299761094765</v>
      </c>
      <c r="K184" s="168">
        <f t="shared" si="7"/>
        <v>0</v>
      </c>
      <c r="L184" s="164">
        <v>76</v>
      </c>
      <c r="M184" s="154">
        <v>0</v>
      </c>
      <c r="N184" s="154" t="str">
        <f t="shared" si="8"/>
        <v>No fit</v>
      </c>
      <c r="O184" s="173" t="s">
        <v>6381</v>
      </c>
      <c r="P184" s="173" t="s">
        <v>6051</v>
      </c>
    </row>
    <row r="185" spans="1:16" ht="64.05" customHeight="1" x14ac:dyDescent="0.3">
      <c r="A185" s="151" t="s">
        <v>6382</v>
      </c>
      <c r="B185" s="151" t="s">
        <v>5789</v>
      </c>
      <c r="C185" s="151" t="s">
        <v>86</v>
      </c>
      <c r="D185" s="151">
        <v>2024</v>
      </c>
      <c r="E185" s="151" t="s">
        <v>74</v>
      </c>
      <c r="F185" s="174" t="s">
        <v>6222</v>
      </c>
      <c r="G185" s="167">
        <f>(365*'Forensic Inputs'!$G$60)</f>
        <v>3313262.3150000004</v>
      </c>
      <c r="H185" s="167">
        <f>(DGKC!G85*-1)</f>
        <v>55510.428999999996</v>
      </c>
      <c r="I185" s="165">
        <f t="shared" si="6"/>
        <v>59.687204272912403</v>
      </c>
      <c r="J185" s="165">
        <v>59.687204272912403</v>
      </c>
      <c r="K185" s="169">
        <f t="shared" si="7"/>
        <v>0</v>
      </c>
      <c r="L185" s="165">
        <v>76</v>
      </c>
      <c r="M185" s="151">
        <v>0</v>
      </c>
      <c r="N185" s="151" t="str">
        <f t="shared" si="8"/>
        <v>No fit</v>
      </c>
      <c r="O185" s="174" t="s">
        <v>6383</v>
      </c>
      <c r="P185" s="174" t="s">
        <v>6051</v>
      </c>
    </row>
    <row r="186" spans="1:16" ht="64.05" customHeight="1" x14ac:dyDescent="0.3">
      <c r="A186" s="154" t="s">
        <v>6384</v>
      </c>
      <c r="B186" s="154" t="s">
        <v>5789</v>
      </c>
      <c r="C186" s="154" t="s">
        <v>86</v>
      </c>
      <c r="D186" s="154">
        <v>2024</v>
      </c>
      <c r="E186" s="154" t="s">
        <v>74</v>
      </c>
      <c r="F186" s="173" t="s">
        <v>6225</v>
      </c>
      <c r="G186" s="166">
        <f>(365*'Forensic Inputs'!$G$60)</f>
        <v>3313262.3150000004</v>
      </c>
      <c r="H186" s="166">
        <f>DGKC!G84</f>
        <v>66038.688999999998</v>
      </c>
      <c r="I186" s="164">
        <f t="shared" si="6"/>
        <v>50.171533765608224</v>
      </c>
      <c r="J186" s="164">
        <v>50.171533765608224</v>
      </c>
      <c r="K186" s="168">
        <f t="shared" si="7"/>
        <v>0</v>
      </c>
      <c r="L186" s="164">
        <v>76</v>
      </c>
      <c r="M186" s="154">
        <v>0</v>
      </c>
      <c r="N186" s="154" t="str">
        <f t="shared" si="8"/>
        <v>No fit</v>
      </c>
      <c r="O186" s="173" t="s">
        <v>6385</v>
      </c>
      <c r="P186" s="173" t="s">
        <v>6051</v>
      </c>
    </row>
    <row r="187" spans="1:16" ht="64.05" customHeight="1" x14ac:dyDescent="0.3">
      <c r="A187" s="151" t="s">
        <v>6386</v>
      </c>
      <c r="B187" s="151" t="s">
        <v>5789</v>
      </c>
      <c r="C187" s="151" t="s">
        <v>86</v>
      </c>
      <c r="D187" s="151">
        <v>2024</v>
      </c>
      <c r="E187" s="151" t="s">
        <v>74</v>
      </c>
      <c r="F187" s="174" t="s">
        <v>6228</v>
      </c>
      <c r="G187" s="167">
        <f>(365*'Forensic Inputs'!$G$60)</f>
        <v>3313262.3150000004</v>
      </c>
      <c r="H187" s="167">
        <f>((DGKC!G85*-1)+(DGKC!G65-DGKC!F65))</f>
        <v>53038.095000000001</v>
      </c>
      <c r="I187" s="165">
        <f t="shared" si="6"/>
        <v>62.469481888442644</v>
      </c>
      <c r="J187" s="165">
        <v>62.469481888442644</v>
      </c>
      <c r="K187" s="169">
        <f t="shared" si="7"/>
        <v>0</v>
      </c>
      <c r="L187" s="165">
        <v>76</v>
      </c>
      <c r="M187" s="151">
        <v>0</v>
      </c>
      <c r="N187" s="151" t="str">
        <f t="shared" si="8"/>
        <v>No fit</v>
      </c>
      <c r="O187" s="174" t="s">
        <v>6387</v>
      </c>
      <c r="P187" s="174" t="s">
        <v>6051</v>
      </c>
    </row>
    <row r="188" spans="1:16" ht="64.05" customHeight="1" x14ac:dyDescent="0.3">
      <c r="A188" s="154" t="s">
        <v>6388</v>
      </c>
      <c r="B188" s="154" t="s">
        <v>5789</v>
      </c>
      <c r="C188" s="154" t="s">
        <v>86</v>
      </c>
      <c r="D188" s="154">
        <v>2024</v>
      </c>
      <c r="E188" s="154" t="s">
        <v>74</v>
      </c>
      <c r="F188" s="173" t="s">
        <v>6231</v>
      </c>
      <c r="G188" s="166">
        <f>(365*'Forensic Inputs'!$G$60)</f>
        <v>3313262.3150000004</v>
      </c>
      <c r="H188" s="166">
        <f>((DGKC!G85*-1)+(DGKC!G31-DGKC!F31))</f>
        <v>54330.325999999994</v>
      </c>
      <c r="I188" s="164">
        <f t="shared" si="6"/>
        <v>60.983663433199368</v>
      </c>
      <c r="J188" s="164">
        <v>60.983663433199368</v>
      </c>
      <c r="K188" s="168">
        <f t="shared" si="7"/>
        <v>0</v>
      </c>
      <c r="L188" s="164">
        <v>76</v>
      </c>
      <c r="M188" s="154">
        <v>0</v>
      </c>
      <c r="N188" s="154" t="str">
        <f t="shared" si="8"/>
        <v>No fit</v>
      </c>
      <c r="O188" s="173" t="s">
        <v>6389</v>
      </c>
      <c r="P188" s="173" t="s">
        <v>6051</v>
      </c>
    </row>
    <row r="189" spans="1:16" ht="64.05" customHeight="1" x14ac:dyDescent="0.3">
      <c r="A189" s="151" t="s">
        <v>6390</v>
      </c>
      <c r="B189" s="151" t="s">
        <v>5789</v>
      </c>
      <c r="C189" s="151" t="s">
        <v>86</v>
      </c>
      <c r="D189" s="151">
        <v>2024</v>
      </c>
      <c r="E189" s="151" t="s">
        <v>74</v>
      </c>
      <c r="F189" s="174" t="s">
        <v>6234</v>
      </c>
      <c r="G189" s="167">
        <f>(365*AVERAGE('Forensic Inputs'!$G$55,'Forensic Inputs'!$G$60))</f>
        <v>3446679.6700000004</v>
      </c>
      <c r="H189" s="167">
        <f>(DGKC!G85*-1)</f>
        <v>55510.428999999996</v>
      </c>
      <c r="I189" s="165">
        <f t="shared" si="6"/>
        <v>62.090668944388824</v>
      </c>
      <c r="J189" s="165">
        <v>62.090668944388824</v>
      </c>
      <c r="K189" s="169">
        <f t="shared" si="7"/>
        <v>0</v>
      </c>
      <c r="L189" s="165">
        <v>76</v>
      </c>
      <c r="M189" s="151">
        <v>0</v>
      </c>
      <c r="N189" s="151" t="str">
        <f t="shared" si="8"/>
        <v>No fit</v>
      </c>
      <c r="O189" s="174" t="s">
        <v>6391</v>
      </c>
      <c r="P189" s="174" t="s">
        <v>6051</v>
      </c>
    </row>
    <row r="190" spans="1:16" ht="64.05" customHeight="1" x14ac:dyDescent="0.3">
      <c r="A190" s="154" t="s">
        <v>6392</v>
      </c>
      <c r="B190" s="154" t="s">
        <v>5789</v>
      </c>
      <c r="C190" s="154" t="s">
        <v>86</v>
      </c>
      <c r="D190" s="154">
        <v>2024</v>
      </c>
      <c r="E190" s="154" t="s">
        <v>74</v>
      </c>
      <c r="F190" s="173" t="s">
        <v>6237</v>
      </c>
      <c r="G190" s="166">
        <f>(365*AVERAGE('Forensic Inputs'!$G$55,'Forensic Inputs'!$G$60))</f>
        <v>3446679.6700000004</v>
      </c>
      <c r="H190" s="166">
        <f>DGKC!G84</f>
        <v>66038.688999999998</v>
      </c>
      <c r="I190" s="164">
        <f t="shared" si="6"/>
        <v>52.191824553028312</v>
      </c>
      <c r="J190" s="164">
        <v>52.191824553028312</v>
      </c>
      <c r="K190" s="168">
        <f t="shared" si="7"/>
        <v>0</v>
      </c>
      <c r="L190" s="164">
        <v>76</v>
      </c>
      <c r="M190" s="154">
        <v>0</v>
      </c>
      <c r="N190" s="154" t="str">
        <f t="shared" si="8"/>
        <v>No fit</v>
      </c>
      <c r="O190" s="173" t="s">
        <v>6393</v>
      </c>
      <c r="P190" s="173" t="s">
        <v>6051</v>
      </c>
    </row>
    <row r="191" spans="1:16" ht="64.05" customHeight="1" x14ac:dyDescent="0.3">
      <c r="A191" s="151" t="s">
        <v>6394</v>
      </c>
      <c r="B191" s="151" t="s">
        <v>5789</v>
      </c>
      <c r="C191" s="151" t="s">
        <v>86</v>
      </c>
      <c r="D191" s="151">
        <v>2024</v>
      </c>
      <c r="E191" s="151" t="s">
        <v>74</v>
      </c>
      <c r="F191" s="174" t="s">
        <v>6240</v>
      </c>
      <c r="G191" s="167">
        <f>(365*AVERAGE('Forensic Inputs'!$G$55,'Forensic Inputs'!$G$60))</f>
        <v>3446679.6700000004</v>
      </c>
      <c r="H191" s="167">
        <f>((DGKC!G85*-1)+(DGKC!G65-DGKC!F65))</f>
        <v>53038.095000000001</v>
      </c>
      <c r="I191" s="165">
        <f t="shared" si="6"/>
        <v>64.984982398029203</v>
      </c>
      <c r="J191" s="165">
        <v>64.984982398029203</v>
      </c>
      <c r="K191" s="169">
        <f t="shared" si="7"/>
        <v>0</v>
      </c>
      <c r="L191" s="165">
        <v>76</v>
      </c>
      <c r="M191" s="151">
        <v>0</v>
      </c>
      <c r="N191" s="151" t="str">
        <f t="shared" si="8"/>
        <v>No fit</v>
      </c>
      <c r="O191" s="174" t="s">
        <v>6395</v>
      </c>
      <c r="P191" s="174" t="s">
        <v>6051</v>
      </c>
    </row>
    <row r="192" spans="1:16" ht="64.05" customHeight="1" x14ac:dyDescent="0.3">
      <c r="A192" s="154" t="s">
        <v>6396</v>
      </c>
      <c r="B192" s="154" t="s">
        <v>5789</v>
      </c>
      <c r="C192" s="154" t="s">
        <v>86</v>
      </c>
      <c r="D192" s="154">
        <v>2024</v>
      </c>
      <c r="E192" s="154" t="s">
        <v>74</v>
      </c>
      <c r="F192" s="173" t="s">
        <v>6243</v>
      </c>
      <c r="G192" s="166">
        <f>(365*AVERAGE('Forensic Inputs'!$G$55,'Forensic Inputs'!$G$60))</f>
        <v>3446679.6700000004</v>
      </c>
      <c r="H192" s="166">
        <f>((DGKC!G85*-1)+(DGKC!G31-DGKC!F31))</f>
        <v>54330.325999999994</v>
      </c>
      <c r="I192" s="164">
        <f t="shared" si="6"/>
        <v>63.439333494888302</v>
      </c>
      <c r="J192" s="164">
        <v>63.439333494888302</v>
      </c>
      <c r="K192" s="168">
        <f t="shared" si="7"/>
        <v>0</v>
      </c>
      <c r="L192" s="164">
        <v>76</v>
      </c>
      <c r="M192" s="154">
        <v>0</v>
      </c>
      <c r="N192" s="154" t="str">
        <f t="shared" si="8"/>
        <v>No fit</v>
      </c>
      <c r="O192" s="173" t="s">
        <v>6397</v>
      </c>
      <c r="P192" s="173" t="s">
        <v>6051</v>
      </c>
    </row>
    <row r="193" spans="1:16" ht="64.05" customHeight="1" x14ac:dyDescent="0.3">
      <c r="A193" s="151" t="s">
        <v>6398</v>
      </c>
      <c r="B193" s="151" t="s">
        <v>5789</v>
      </c>
      <c r="C193" s="151" t="s">
        <v>86</v>
      </c>
      <c r="D193" s="151">
        <v>2024</v>
      </c>
      <c r="E193" s="151" t="s">
        <v>74</v>
      </c>
      <c r="F193" s="174" t="s">
        <v>6246</v>
      </c>
      <c r="G193" s="167">
        <f>(365*DGKC!G50)</f>
        <v>4523976.0750000002</v>
      </c>
      <c r="H193" s="167">
        <f>'Forensic Inputs'!$G$80</f>
        <v>55522.915999999997</v>
      </c>
      <c r="I193" s="165">
        <f t="shared" si="6"/>
        <v>81.479439498458632</v>
      </c>
      <c r="J193" s="165">
        <v>81.479439498458632</v>
      </c>
      <c r="K193" s="169">
        <f t="shared" si="7"/>
        <v>0</v>
      </c>
      <c r="L193" s="165">
        <v>76</v>
      </c>
      <c r="M193" s="151">
        <v>0</v>
      </c>
      <c r="N193" s="151" t="str">
        <f t="shared" si="8"/>
        <v>No fit</v>
      </c>
      <c r="O193" s="174" t="s">
        <v>6399</v>
      </c>
      <c r="P193" s="174" t="s">
        <v>6051</v>
      </c>
    </row>
    <row r="194" spans="1:16" ht="64.05" customHeight="1" x14ac:dyDescent="0.3">
      <c r="A194" s="154" t="s">
        <v>6400</v>
      </c>
      <c r="B194" s="154" t="s">
        <v>5789</v>
      </c>
      <c r="C194" s="154" t="s">
        <v>86</v>
      </c>
      <c r="D194" s="154">
        <v>2024</v>
      </c>
      <c r="E194" s="154" t="s">
        <v>74</v>
      </c>
      <c r="F194" s="173" t="s">
        <v>6249</v>
      </c>
      <c r="G194" s="166">
        <f>(365*AVERAGE(DGKC!F50,DGKC!G50))</f>
        <v>4777440.1050000004</v>
      </c>
      <c r="H194" s="166">
        <f>'Forensic Inputs'!$G$80</f>
        <v>55522.915999999997</v>
      </c>
      <c r="I194" s="164">
        <f t="shared" si="6"/>
        <v>86.044474051038691</v>
      </c>
      <c r="J194" s="164">
        <v>86.044474051038691</v>
      </c>
      <c r="K194" s="168">
        <f t="shared" si="7"/>
        <v>0</v>
      </c>
      <c r="L194" s="164">
        <v>76</v>
      </c>
      <c r="M194" s="154">
        <v>0</v>
      </c>
      <c r="N194" s="154" t="str">
        <f t="shared" si="8"/>
        <v>No fit</v>
      </c>
      <c r="O194" s="173" t="s">
        <v>6401</v>
      </c>
      <c r="P194" s="173" t="s">
        <v>6051</v>
      </c>
    </row>
    <row r="195" spans="1:16" ht="64.05" customHeight="1" x14ac:dyDescent="0.3">
      <c r="A195" s="151" t="s">
        <v>6402</v>
      </c>
      <c r="B195" s="151" t="s">
        <v>5789</v>
      </c>
      <c r="C195" s="151" t="s">
        <v>86</v>
      </c>
      <c r="D195" s="151">
        <v>2024</v>
      </c>
      <c r="E195" s="151" t="s">
        <v>74</v>
      </c>
      <c r="F195" s="174" t="s">
        <v>6252</v>
      </c>
      <c r="G195" s="167">
        <f>(365*'Forensic Inputs'!$G$70)</f>
        <v>4861777.0049999999</v>
      </c>
      <c r="H195" s="167">
        <f>'Forensic Inputs'!$G$75</f>
        <v>60276.3</v>
      </c>
      <c r="I195" s="165">
        <f t="shared" si="6"/>
        <v>80.658185804370873</v>
      </c>
      <c r="J195" s="165">
        <v>80.658185804370873</v>
      </c>
      <c r="K195" s="169">
        <f t="shared" si="7"/>
        <v>0</v>
      </c>
      <c r="L195" s="165">
        <v>76</v>
      </c>
      <c r="M195" s="151">
        <v>0</v>
      </c>
      <c r="N195" s="151" t="str">
        <f t="shared" si="8"/>
        <v>No fit</v>
      </c>
      <c r="O195" s="174" t="s">
        <v>6403</v>
      </c>
      <c r="P195" s="174" t="s">
        <v>6051</v>
      </c>
    </row>
    <row r="196" spans="1:16" ht="64.05" customHeight="1" x14ac:dyDescent="0.3">
      <c r="A196" s="154" t="s">
        <v>6404</v>
      </c>
      <c r="B196" s="154" t="s">
        <v>5789</v>
      </c>
      <c r="C196" s="154" t="s">
        <v>86</v>
      </c>
      <c r="D196" s="154">
        <v>2024</v>
      </c>
      <c r="E196" s="154" t="s">
        <v>74</v>
      </c>
      <c r="F196" s="173" t="s">
        <v>6255</v>
      </c>
      <c r="G196" s="166">
        <f>(365*AVERAGE('Forensic Inputs'!$G$69,'Forensic Inputs'!$G$70))</f>
        <v>5069412.5474999994</v>
      </c>
      <c r="H196" s="166">
        <f>'Forensic Inputs'!$G$75</f>
        <v>60276.3</v>
      </c>
      <c r="I196" s="164">
        <f t="shared" si="6"/>
        <v>84.10291520050167</v>
      </c>
      <c r="J196" s="164">
        <v>84.10291520050167</v>
      </c>
      <c r="K196" s="168">
        <f t="shared" si="7"/>
        <v>0</v>
      </c>
      <c r="L196" s="164">
        <v>76</v>
      </c>
      <c r="M196" s="154">
        <v>0</v>
      </c>
      <c r="N196" s="154" t="str">
        <f t="shared" si="8"/>
        <v>No fit</v>
      </c>
      <c r="O196" s="173" t="s">
        <v>6405</v>
      </c>
      <c r="P196" s="173" t="s">
        <v>6051</v>
      </c>
    </row>
    <row r="197" spans="1:16" ht="64.05" customHeight="1" x14ac:dyDescent="0.3">
      <c r="A197" s="151" t="s">
        <v>6406</v>
      </c>
      <c r="B197" s="151" t="s">
        <v>5789</v>
      </c>
      <c r="C197" s="151" t="s">
        <v>86</v>
      </c>
      <c r="D197" s="151">
        <v>2024</v>
      </c>
      <c r="E197" s="151" t="s">
        <v>74</v>
      </c>
      <c r="F197" s="174" t="s">
        <v>6258</v>
      </c>
      <c r="G197" s="167">
        <f>(365*(((('Forensic Inputs'!$G$127+'Forensic Inputs'!$G$128)+'Forensic Inputs'!$G$129)+DGKC!G50)/4))</f>
        <v>5017255.1425000001</v>
      </c>
      <c r="H197" s="167">
        <f>(DGKC!G85*-1)</f>
        <v>55510.428999999996</v>
      </c>
      <c r="I197" s="165">
        <f t="shared" si="6"/>
        <v>90.384009507474715</v>
      </c>
      <c r="J197" s="165">
        <v>90.384009507474715</v>
      </c>
      <c r="K197" s="169">
        <f t="shared" si="7"/>
        <v>0</v>
      </c>
      <c r="L197" s="165">
        <v>76</v>
      </c>
      <c r="M197" s="151">
        <v>0</v>
      </c>
      <c r="N197" s="151" t="str">
        <f t="shared" si="8"/>
        <v>No fit</v>
      </c>
      <c r="O197" s="174" t="s">
        <v>6407</v>
      </c>
      <c r="P197" s="174" t="s">
        <v>6051</v>
      </c>
    </row>
    <row r="198" spans="1:16" ht="64.05" customHeight="1" x14ac:dyDescent="0.3">
      <c r="A198" s="154" t="s">
        <v>6408</v>
      </c>
      <c r="B198" s="154" t="s">
        <v>5789</v>
      </c>
      <c r="C198" s="154" t="s">
        <v>86</v>
      </c>
      <c r="D198" s="154">
        <v>2024</v>
      </c>
      <c r="E198" s="154" t="s">
        <v>74</v>
      </c>
      <c r="F198" s="173" t="s">
        <v>6261</v>
      </c>
      <c r="G198" s="166">
        <f>(365*((((('Forensic Inputs'!$G$127+'Forensic Inputs'!$G$128)+'Forensic Inputs'!$G$129)+(DGKC!F50/2))+(DGKC!G50/2))/4))</f>
        <v>5080621.1500000004</v>
      </c>
      <c r="H198" s="166">
        <f>(DGKC!G85*-1)</f>
        <v>55510.428999999996</v>
      </c>
      <c r="I198" s="164">
        <f t="shared" ref="I198:I261" si="9">G198/H198</f>
        <v>91.525524870290596</v>
      </c>
      <c r="J198" s="164">
        <v>91.525524870290596</v>
      </c>
      <c r="K198" s="168">
        <f t="shared" ref="K198:K261" si="10">I198-J198</f>
        <v>0</v>
      </c>
      <c r="L198" s="164">
        <v>76</v>
      </c>
      <c r="M198" s="154">
        <v>0</v>
      </c>
      <c r="N198" s="154" t="str">
        <f t="shared" ref="N198:N261" si="11">IF(ROUND(I198,M198)=ROUND(L198,M198),"Numeric fit","No fit")</f>
        <v>No fit</v>
      </c>
      <c r="O198" s="173" t="s">
        <v>6409</v>
      </c>
      <c r="P198" s="173" t="s">
        <v>6051</v>
      </c>
    </row>
    <row r="199" spans="1:16" ht="64.05" customHeight="1" x14ac:dyDescent="0.3">
      <c r="A199" s="151" t="s">
        <v>6410</v>
      </c>
      <c r="B199" s="151" t="s">
        <v>5793</v>
      </c>
      <c r="C199" s="151" t="s">
        <v>86</v>
      </c>
      <c r="D199" s="151">
        <v>2025</v>
      </c>
      <c r="E199" s="151" t="s">
        <v>74</v>
      </c>
      <c r="F199" s="174" t="s">
        <v>5893</v>
      </c>
      <c r="G199" s="167">
        <f>365*AVERAGE(DGKC!G51,DGKC!H51)</f>
        <v>1632806.6949999998</v>
      </c>
      <c r="H199" s="167">
        <f>-DGKC!H85</f>
        <v>53387.165999999997</v>
      </c>
      <c r="I199" s="165">
        <f t="shared" si="9"/>
        <v>30.584254931231971</v>
      </c>
      <c r="J199" s="165">
        <v>30.584254931231971</v>
      </c>
      <c r="K199" s="169">
        <f t="shared" si="10"/>
        <v>0</v>
      </c>
      <c r="L199" s="165">
        <v>83</v>
      </c>
      <c r="M199" s="151">
        <v>0</v>
      </c>
      <c r="N199" s="151" t="str">
        <f t="shared" si="11"/>
        <v>No fit</v>
      </c>
      <c r="O199" s="174" t="s">
        <v>6050</v>
      </c>
      <c r="P199" s="174" t="s">
        <v>6051</v>
      </c>
    </row>
    <row r="200" spans="1:16" ht="64.05" customHeight="1" x14ac:dyDescent="0.3">
      <c r="A200" s="154" t="s">
        <v>6411</v>
      </c>
      <c r="B200" s="154" t="s">
        <v>5793</v>
      </c>
      <c r="C200" s="154" t="s">
        <v>86</v>
      </c>
      <c r="D200" s="154">
        <v>2025</v>
      </c>
      <c r="E200" s="154" t="s">
        <v>74</v>
      </c>
      <c r="F200" s="173" t="s">
        <v>6115</v>
      </c>
      <c r="G200" s="166">
        <f>(365*DGKC!H51)</f>
        <v>1423551.8299999998</v>
      </c>
      <c r="H200" s="166">
        <f>(DGKC!H85*-1)</f>
        <v>53387.165999999997</v>
      </c>
      <c r="I200" s="164">
        <f t="shared" si="9"/>
        <v>26.664682481928335</v>
      </c>
      <c r="J200" s="164">
        <v>26.664682481928335</v>
      </c>
      <c r="K200" s="168">
        <f t="shared" si="10"/>
        <v>0</v>
      </c>
      <c r="L200" s="164">
        <v>83</v>
      </c>
      <c r="M200" s="154">
        <v>0</v>
      </c>
      <c r="N200" s="154" t="str">
        <f t="shared" si="11"/>
        <v>No fit</v>
      </c>
      <c r="O200" s="173" t="s">
        <v>6116</v>
      </c>
      <c r="P200" s="173" t="s">
        <v>6051</v>
      </c>
    </row>
    <row r="201" spans="1:16" ht="64.05" customHeight="1" x14ac:dyDescent="0.3">
      <c r="A201" s="151" t="s">
        <v>6412</v>
      </c>
      <c r="B201" s="151" t="s">
        <v>5793</v>
      </c>
      <c r="C201" s="151" t="s">
        <v>86</v>
      </c>
      <c r="D201" s="151">
        <v>2025</v>
      </c>
      <c r="E201" s="151" t="s">
        <v>74</v>
      </c>
      <c r="F201" s="174" t="s">
        <v>6118</v>
      </c>
      <c r="G201" s="167">
        <f>(365*DGKC!H51)</f>
        <v>1423551.8299999998</v>
      </c>
      <c r="H201" s="167">
        <f>DGKC!H84</f>
        <v>71892.837</v>
      </c>
      <c r="I201" s="165">
        <f t="shared" si="9"/>
        <v>19.801024544350639</v>
      </c>
      <c r="J201" s="165">
        <v>19.801024544350639</v>
      </c>
      <c r="K201" s="169">
        <f t="shared" si="10"/>
        <v>0</v>
      </c>
      <c r="L201" s="165">
        <v>83</v>
      </c>
      <c r="M201" s="151">
        <v>0</v>
      </c>
      <c r="N201" s="151" t="str">
        <f t="shared" si="11"/>
        <v>No fit</v>
      </c>
      <c r="O201" s="174" t="s">
        <v>6119</v>
      </c>
      <c r="P201" s="174" t="s">
        <v>6051</v>
      </c>
    </row>
    <row r="202" spans="1:16" ht="64.05" customHeight="1" x14ac:dyDescent="0.3">
      <c r="A202" s="154" t="s">
        <v>6413</v>
      </c>
      <c r="B202" s="154" t="s">
        <v>5793</v>
      </c>
      <c r="C202" s="154" t="s">
        <v>86</v>
      </c>
      <c r="D202" s="154">
        <v>2025</v>
      </c>
      <c r="E202" s="154" t="s">
        <v>74</v>
      </c>
      <c r="F202" s="173" t="s">
        <v>6121</v>
      </c>
      <c r="G202" s="166">
        <f>(365*DGKC!H51)</f>
        <v>1423551.8299999998</v>
      </c>
      <c r="H202" s="166">
        <f>((DGKC!H85*-1)+(DGKC!H65-DGKC!G65))</f>
        <v>53629.682000000001</v>
      </c>
      <c r="I202" s="164">
        <f t="shared" si="9"/>
        <v>26.544103505965218</v>
      </c>
      <c r="J202" s="164">
        <v>26.544103505965218</v>
      </c>
      <c r="K202" s="168">
        <f t="shared" si="10"/>
        <v>0</v>
      </c>
      <c r="L202" s="164">
        <v>83</v>
      </c>
      <c r="M202" s="154">
        <v>0</v>
      </c>
      <c r="N202" s="154" t="str">
        <f t="shared" si="11"/>
        <v>No fit</v>
      </c>
      <c r="O202" s="173" t="s">
        <v>6122</v>
      </c>
      <c r="P202" s="173" t="s">
        <v>6051</v>
      </c>
    </row>
    <row r="203" spans="1:16" ht="64.05" customHeight="1" x14ac:dyDescent="0.3">
      <c r="A203" s="151" t="s">
        <v>6414</v>
      </c>
      <c r="B203" s="151" t="s">
        <v>5793</v>
      </c>
      <c r="C203" s="151" t="s">
        <v>86</v>
      </c>
      <c r="D203" s="151">
        <v>2025</v>
      </c>
      <c r="E203" s="151" t="s">
        <v>74</v>
      </c>
      <c r="F203" s="174" t="s">
        <v>6124</v>
      </c>
      <c r="G203" s="167">
        <f>(365*DGKC!H51)</f>
        <v>1423551.8299999998</v>
      </c>
      <c r="H203" s="167">
        <f>((DGKC!H85*-1)+(DGKC!H31-DGKC!G31))</f>
        <v>53882.776999999995</v>
      </c>
      <c r="I203" s="165">
        <f t="shared" si="9"/>
        <v>26.419422109591714</v>
      </c>
      <c r="J203" s="165">
        <v>26.419422109591714</v>
      </c>
      <c r="K203" s="169">
        <f t="shared" si="10"/>
        <v>0</v>
      </c>
      <c r="L203" s="165">
        <v>83</v>
      </c>
      <c r="M203" s="151">
        <v>0</v>
      </c>
      <c r="N203" s="151" t="str">
        <f t="shared" si="11"/>
        <v>No fit</v>
      </c>
      <c r="O203" s="174" t="s">
        <v>6125</v>
      </c>
      <c r="P203" s="174" t="s">
        <v>6051</v>
      </c>
    </row>
    <row r="204" spans="1:16" ht="64.05" customHeight="1" x14ac:dyDescent="0.3">
      <c r="A204" s="154" t="s">
        <v>6415</v>
      </c>
      <c r="B204" s="154" t="s">
        <v>5793</v>
      </c>
      <c r="C204" s="154" t="s">
        <v>86</v>
      </c>
      <c r="D204" s="154">
        <v>2025</v>
      </c>
      <c r="E204" s="154" t="s">
        <v>74</v>
      </c>
      <c r="F204" s="173" t="s">
        <v>6127</v>
      </c>
      <c r="G204" s="166">
        <f>(365*AVERAGE(DGKC!G51,DGKC!H51))</f>
        <v>1632806.6949999998</v>
      </c>
      <c r="H204" s="166">
        <f>(DGKC!H85*-1)</f>
        <v>53387.165999999997</v>
      </c>
      <c r="I204" s="164">
        <f t="shared" si="9"/>
        <v>30.584254931231971</v>
      </c>
      <c r="J204" s="164">
        <v>30.584254931231971</v>
      </c>
      <c r="K204" s="168">
        <f t="shared" si="10"/>
        <v>0</v>
      </c>
      <c r="L204" s="164">
        <v>83</v>
      </c>
      <c r="M204" s="154">
        <v>0</v>
      </c>
      <c r="N204" s="154" t="str">
        <f t="shared" si="11"/>
        <v>No fit</v>
      </c>
      <c r="O204" s="173" t="s">
        <v>6128</v>
      </c>
      <c r="P204" s="173" t="s">
        <v>6051</v>
      </c>
    </row>
    <row r="205" spans="1:16" ht="64.05" customHeight="1" x14ac:dyDescent="0.3">
      <c r="A205" s="151" t="s">
        <v>6416</v>
      </c>
      <c r="B205" s="151" t="s">
        <v>5793</v>
      </c>
      <c r="C205" s="151" t="s">
        <v>86</v>
      </c>
      <c r="D205" s="151">
        <v>2025</v>
      </c>
      <c r="E205" s="151" t="s">
        <v>74</v>
      </c>
      <c r="F205" s="174" t="s">
        <v>6130</v>
      </c>
      <c r="G205" s="167">
        <f>(365*AVERAGE(DGKC!G51,DGKC!H51))</f>
        <v>1632806.6949999998</v>
      </c>
      <c r="H205" s="167">
        <f>DGKC!H84</f>
        <v>71892.837</v>
      </c>
      <c r="I205" s="165">
        <f t="shared" si="9"/>
        <v>22.711674252053786</v>
      </c>
      <c r="J205" s="165">
        <v>22.711674252053786</v>
      </c>
      <c r="K205" s="169">
        <f t="shared" si="10"/>
        <v>0</v>
      </c>
      <c r="L205" s="165">
        <v>83</v>
      </c>
      <c r="M205" s="151">
        <v>0</v>
      </c>
      <c r="N205" s="151" t="str">
        <f t="shared" si="11"/>
        <v>No fit</v>
      </c>
      <c r="O205" s="174" t="s">
        <v>6131</v>
      </c>
      <c r="P205" s="174" t="s">
        <v>6051</v>
      </c>
    </row>
    <row r="206" spans="1:16" ht="64.05" customHeight="1" x14ac:dyDescent="0.3">
      <c r="A206" s="154" t="s">
        <v>6417</v>
      </c>
      <c r="B206" s="154" t="s">
        <v>5793</v>
      </c>
      <c r="C206" s="154" t="s">
        <v>86</v>
      </c>
      <c r="D206" s="154">
        <v>2025</v>
      </c>
      <c r="E206" s="154" t="s">
        <v>74</v>
      </c>
      <c r="F206" s="173" t="s">
        <v>6133</v>
      </c>
      <c r="G206" s="166">
        <f>(365*AVERAGE(DGKC!G51,DGKC!H51))</f>
        <v>1632806.6949999998</v>
      </c>
      <c r="H206" s="166">
        <f>((DGKC!H85*-1)+(DGKC!H65-DGKC!G65))</f>
        <v>53629.682000000001</v>
      </c>
      <c r="I206" s="164">
        <f t="shared" si="9"/>
        <v>30.445951460238003</v>
      </c>
      <c r="J206" s="164">
        <v>30.445951460238003</v>
      </c>
      <c r="K206" s="168">
        <f t="shared" si="10"/>
        <v>0</v>
      </c>
      <c r="L206" s="164">
        <v>83</v>
      </c>
      <c r="M206" s="154">
        <v>0</v>
      </c>
      <c r="N206" s="154" t="str">
        <f t="shared" si="11"/>
        <v>No fit</v>
      </c>
      <c r="O206" s="173" t="s">
        <v>6134</v>
      </c>
      <c r="P206" s="173" t="s">
        <v>6051</v>
      </c>
    </row>
    <row r="207" spans="1:16" ht="64.05" customHeight="1" x14ac:dyDescent="0.3">
      <c r="A207" s="151" t="s">
        <v>6418</v>
      </c>
      <c r="B207" s="151" t="s">
        <v>5793</v>
      </c>
      <c r="C207" s="151" t="s">
        <v>86</v>
      </c>
      <c r="D207" s="151">
        <v>2025</v>
      </c>
      <c r="E207" s="151" t="s">
        <v>74</v>
      </c>
      <c r="F207" s="174" t="s">
        <v>6136</v>
      </c>
      <c r="G207" s="167">
        <f>(365*AVERAGE(DGKC!G51,DGKC!H51))</f>
        <v>1632806.6949999998</v>
      </c>
      <c r="H207" s="167">
        <f>((DGKC!H85*-1)+(DGKC!H31-DGKC!G31))</f>
        <v>53882.776999999995</v>
      </c>
      <c r="I207" s="165">
        <f t="shared" si="9"/>
        <v>30.302942533938072</v>
      </c>
      <c r="J207" s="165">
        <v>30.302942533938072</v>
      </c>
      <c r="K207" s="169">
        <f t="shared" si="10"/>
        <v>0</v>
      </c>
      <c r="L207" s="165">
        <v>83</v>
      </c>
      <c r="M207" s="151">
        <v>0</v>
      </c>
      <c r="N207" s="151" t="str">
        <f t="shared" si="11"/>
        <v>No fit</v>
      </c>
      <c r="O207" s="174" t="s">
        <v>6137</v>
      </c>
      <c r="P207" s="174" t="s">
        <v>6051</v>
      </c>
    </row>
    <row r="208" spans="1:16" ht="64.05" customHeight="1" x14ac:dyDescent="0.3">
      <c r="A208" s="154" t="s">
        <v>6419</v>
      </c>
      <c r="B208" s="154" t="s">
        <v>5793</v>
      </c>
      <c r="C208" s="154" t="s">
        <v>86</v>
      </c>
      <c r="D208" s="154">
        <v>2025</v>
      </c>
      <c r="E208" s="154" t="s">
        <v>74</v>
      </c>
      <c r="F208" s="173" t="s">
        <v>6139</v>
      </c>
      <c r="G208" s="166">
        <f>(365*DGKC!H50)</f>
        <v>4866708.5200000005</v>
      </c>
      <c r="H208" s="166">
        <f>(DGKC!H85*-1)</f>
        <v>53387.165999999997</v>
      </c>
      <c r="I208" s="164">
        <f t="shared" si="9"/>
        <v>91.158772503488962</v>
      </c>
      <c r="J208" s="164">
        <v>91.158772503488962</v>
      </c>
      <c r="K208" s="168">
        <f t="shared" si="10"/>
        <v>0</v>
      </c>
      <c r="L208" s="164">
        <v>83</v>
      </c>
      <c r="M208" s="154">
        <v>0</v>
      </c>
      <c r="N208" s="154" t="str">
        <f t="shared" si="11"/>
        <v>No fit</v>
      </c>
      <c r="O208" s="173" t="s">
        <v>6140</v>
      </c>
      <c r="P208" s="173" t="s">
        <v>6051</v>
      </c>
    </row>
    <row r="209" spans="1:16" ht="64.05" customHeight="1" x14ac:dyDescent="0.3">
      <c r="A209" s="151" t="s">
        <v>6420</v>
      </c>
      <c r="B209" s="151" t="s">
        <v>5793</v>
      </c>
      <c r="C209" s="151" t="s">
        <v>86</v>
      </c>
      <c r="D209" s="151">
        <v>2025</v>
      </c>
      <c r="E209" s="151" t="s">
        <v>74</v>
      </c>
      <c r="F209" s="174" t="s">
        <v>6142</v>
      </c>
      <c r="G209" s="167">
        <f>(365*DGKC!H50)</f>
        <v>4866708.5200000005</v>
      </c>
      <c r="H209" s="167">
        <f>DGKC!H84</f>
        <v>71892.837</v>
      </c>
      <c r="I209" s="165">
        <f t="shared" si="9"/>
        <v>67.693927838735874</v>
      </c>
      <c r="J209" s="165">
        <v>67.693927838735874</v>
      </c>
      <c r="K209" s="169">
        <f t="shared" si="10"/>
        <v>0</v>
      </c>
      <c r="L209" s="165">
        <v>83</v>
      </c>
      <c r="M209" s="151">
        <v>0</v>
      </c>
      <c r="N209" s="151" t="str">
        <f t="shared" si="11"/>
        <v>No fit</v>
      </c>
      <c r="O209" s="174" t="s">
        <v>6143</v>
      </c>
      <c r="P209" s="174" t="s">
        <v>6051</v>
      </c>
    </row>
    <row r="210" spans="1:16" ht="64.05" customHeight="1" x14ac:dyDescent="0.3">
      <c r="A210" s="154" t="s">
        <v>6421</v>
      </c>
      <c r="B210" s="154" t="s">
        <v>5793</v>
      </c>
      <c r="C210" s="154" t="s">
        <v>86</v>
      </c>
      <c r="D210" s="154">
        <v>2025</v>
      </c>
      <c r="E210" s="154" t="s">
        <v>74</v>
      </c>
      <c r="F210" s="173" t="s">
        <v>6145</v>
      </c>
      <c r="G210" s="166">
        <f>(365*DGKC!H50)</f>
        <v>4866708.5200000005</v>
      </c>
      <c r="H210" s="166">
        <f>((DGKC!H85*-1)+(DGKC!H65-DGKC!G65))</f>
        <v>53629.682000000001</v>
      </c>
      <c r="I210" s="164">
        <f t="shared" si="9"/>
        <v>90.746548152196766</v>
      </c>
      <c r="J210" s="164">
        <v>90.746548152196766</v>
      </c>
      <c r="K210" s="168">
        <f t="shared" si="10"/>
        <v>0</v>
      </c>
      <c r="L210" s="164">
        <v>83</v>
      </c>
      <c r="M210" s="154">
        <v>0</v>
      </c>
      <c r="N210" s="154" t="str">
        <f t="shared" si="11"/>
        <v>No fit</v>
      </c>
      <c r="O210" s="173" t="s">
        <v>6146</v>
      </c>
      <c r="P210" s="173" t="s">
        <v>6051</v>
      </c>
    </row>
    <row r="211" spans="1:16" ht="64.05" customHeight="1" x14ac:dyDescent="0.3">
      <c r="A211" s="151" t="s">
        <v>6422</v>
      </c>
      <c r="B211" s="151" t="s">
        <v>5793</v>
      </c>
      <c r="C211" s="151" t="s">
        <v>86</v>
      </c>
      <c r="D211" s="151">
        <v>2025</v>
      </c>
      <c r="E211" s="151" t="s">
        <v>74</v>
      </c>
      <c r="F211" s="174" t="s">
        <v>6148</v>
      </c>
      <c r="G211" s="167">
        <f>(365*DGKC!H50)</f>
        <v>4866708.5200000005</v>
      </c>
      <c r="H211" s="167">
        <f>((DGKC!H85*-1)+(DGKC!H31-DGKC!G31))</f>
        <v>53882.776999999995</v>
      </c>
      <c r="I211" s="165">
        <f t="shared" si="9"/>
        <v>90.320298822015076</v>
      </c>
      <c r="J211" s="165">
        <v>90.320298822015076</v>
      </c>
      <c r="K211" s="169">
        <f t="shared" si="10"/>
        <v>0</v>
      </c>
      <c r="L211" s="165">
        <v>83</v>
      </c>
      <c r="M211" s="151">
        <v>0</v>
      </c>
      <c r="N211" s="151" t="str">
        <f t="shared" si="11"/>
        <v>No fit</v>
      </c>
      <c r="O211" s="174" t="s">
        <v>6149</v>
      </c>
      <c r="P211" s="174" t="s">
        <v>6051</v>
      </c>
    </row>
    <row r="212" spans="1:16" ht="64.05" customHeight="1" x14ac:dyDescent="0.3">
      <c r="A212" s="154" t="s">
        <v>6423</v>
      </c>
      <c r="B212" s="154" t="s">
        <v>5793</v>
      </c>
      <c r="C212" s="154" t="s">
        <v>86</v>
      </c>
      <c r="D212" s="154">
        <v>2025</v>
      </c>
      <c r="E212" s="154" t="s">
        <v>74</v>
      </c>
      <c r="F212" s="173" t="s">
        <v>5780</v>
      </c>
      <c r="G212" s="166">
        <f>(365*AVERAGE(DGKC!G50,DGKC!H50))</f>
        <v>4695342.2974999994</v>
      </c>
      <c r="H212" s="166">
        <f>(DGKC!H85*-1)</f>
        <v>53387.165999999997</v>
      </c>
      <c r="I212" s="164">
        <f t="shared" si="9"/>
        <v>87.948895760827611</v>
      </c>
      <c r="J212" s="164">
        <v>87.948895760827611</v>
      </c>
      <c r="K212" s="168">
        <f t="shared" si="10"/>
        <v>0</v>
      </c>
      <c r="L212" s="164">
        <v>83</v>
      </c>
      <c r="M212" s="154">
        <v>0</v>
      </c>
      <c r="N212" s="154" t="str">
        <f t="shared" si="11"/>
        <v>No fit</v>
      </c>
      <c r="O212" s="173" t="s">
        <v>6151</v>
      </c>
      <c r="P212" s="173" t="s">
        <v>6051</v>
      </c>
    </row>
    <row r="213" spans="1:16" ht="64.05" customHeight="1" x14ac:dyDescent="0.3">
      <c r="A213" s="151" t="s">
        <v>6424</v>
      </c>
      <c r="B213" s="151" t="s">
        <v>5793</v>
      </c>
      <c r="C213" s="151" t="s">
        <v>86</v>
      </c>
      <c r="D213" s="151">
        <v>2025</v>
      </c>
      <c r="E213" s="151" t="s">
        <v>74</v>
      </c>
      <c r="F213" s="174" t="s">
        <v>6153</v>
      </c>
      <c r="G213" s="167">
        <f>(365*AVERAGE(DGKC!G50,DGKC!H50))</f>
        <v>4695342.2974999994</v>
      </c>
      <c r="H213" s="167">
        <f>DGKC!H84</f>
        <v>71892.837</v>
      </c>
      <c r="I213" s="165">
        <f t="shared" si="9"/>
        <v>65.310293673624244</v>
      </c>
      <c r="J213" s="165">
        <v>65.310293673624244</v>
      </c>
      <c r="K213" s="169">
        <f t="shared" si="10"/>
        <v>0</v>
      </c>
      <c r="L213" s="165">
        <v>83</v>
      </c>
      <c r="M213" s="151">
        <v>0</v>
      </c>
      <c r="N213" s="151" t="str">
        <f t="shared" si="11"/>
        <v>No fit</v>
      </c>
      <c r="O213" s="174" t="s">
        <v>6154</v>
      </c>
      <c r="P213" s="174" t="s">
        <v>6051</v>
      </c>
    </row>
    <row r="214" spans="1:16" ht="64.05" customHeight="1" x14ac:dyDescent="0.3">
      <c r="A214" s="154" t="s">
        <v>6425</v>
      </c>
      <c r="B214" s="154" t="s">
        <v>5793</v>
      </c>
      <c r="C214" s="154" t="s">
        <v>86</v>
      </c>
      <c r="D214" s="154">
        <v>2025</v>
      </c>
      <c r="E214" s="154" t="s">
        <v>74</v>
      </c>
      <c r="F214" s="173" t="s">
        <v>6156</v>
      </c>
      <c r="G214" s="166">
        <f>(365*AVERAGE(DGKC!G50,DGKC!H50))</f>
        <v>4695342.2974999994</v>
      </c>
      <c r="H214" s="166">
        <f>((DGKC!H85*-1)+(DGKC!H65-DGKC!G65))</f>
        <v>53629.682000000001</v>
      </c>
      <c r="I214" s="164">
        <f t="shared" si="9"/>
        <v>87.551186626465537</v>
      </c>
      <c r="J214" s="164">
        <v>87.551186626465537</v>
      </c>
      <c r="K214" s="168">
        <f t="shared" si="10"/>
        <v>0</v>
      </c>
      <c r="L214" s="164">
        <v>83</v>
      </c>
      <c r="M214" s="154">
        <v>0</v>
      </c>
      <c r="N214" s="154" t="str">
        <f t="shared" si="11"/>
        <v>No fit</v>
      </c>
      <c r="O214" s="173" t="s">
        <v>6157</v>
      </c>
      <c r="P214" s="173" t="s">
        <v>6051</v>
      </c>
    </row>
    <row r="215" spans="1:16" ht="64.05" customHeight="1" x14ac:dyDescent="0.3">
      <c r="A215" s="151" t="s">
        <v>6426</v>
      </c>
      <c r="B215" s="151" t="s">
        <v>5793</v>
      </c>
      <c r="C215" s="151" t="s">
        <v>86</v>
      </c>
      <c r="D215" s="151">
        <v>2025</v>
      </c>
      <c r="E215" s="151" t="s">
        <v>74</v>
      </c>
      <c r="F215" s="174" t="s">
        <v>6159</v>
      </c>
      <c r="G215" s="167">
        <f>(365*AVERAGE(DGKC!G50,DGKC!H50))</f>
        <v>4695342.2974999994</v>
      </c>
      <c r="H215" s="167">
        <f>((DGKC!H85*-1)+(DGKC!H31-DGKC!G31))</f>
        <v>53882.776999999995</v>
      </c>
      <c r="I215" s="165">
        <f t="shared" si="9"/>
        <v>87.139946359854463</v>
      </c>
      <c r="J215" s="165">
        <v>87.139946359854463</v>
      </c>
      <c r="K215" s="169">
        <f t="shared" si="10"/>
        <v>0</v>
      </c>
      <c r="L215" s="165">
        <v>83</v>
      </c>
      <c r="M215" s="151">
        <v>0</v>
      </c>
      <c r="N215" s="151" t="str">
        <f t="shared" si="11"/>
        <v>No fit</v>
      </c>
      <c r="O215" s="174" t="s">
        <v>6160</v>
      </c>
      <c r="P215" s="174" t="s">
        <v>6051</v>
      </c>
    </row>
    <row r="216" spans="1:16" ht="64.05" customHeight="1" x14ac:dyDescent="0.3">
      <c r="A216" s="154" t="s">
        <v>6427</v>
      </c>
      <c r="B216" s="154" t="s">
        <v>5793</v>
      </c>
      <c r="C216" s="154" t="s">
        <v>86</v>
      </c>
      <c r="D216" s="154">
        <v>2025</v>
      </c>
      <c r="E216" s="154" t="s">
        <v>74</v>
      </c>
      <c r="F216" s="173" t="s">
        <v>6162</v>
      </c>
      <c r="G216" s="166">
        <f>(365*AVERAGE((((DGKC!G61-DGKC!G54)-DGKC!G55)-DGKC!G56),(((DGKC!H61-DGKC!H54)-DGKC!H55)-DGKC!H56)))</f>
        <v>5103918.37</v>
      </c>
      <c r="H216" s="166">
        <f>(DGKC!H85*-1)</f>
        <v>53387.165999999997</v>
      </c>
      <c r="I216" s="164">
        <f t="shared" si="9"/>
        <v>95.601972391641851</v>
      </c>
      <c r="J216" s="164">
        <v>95.601972391641809</v>
      </c>
      <c r="K216" s="168">
        <f t="shared" si="10"/>
        <v>0</v>
      </c>
      <c r="L216" s="164">
        <v>83</v>
      </c>
      <c r="M216" s="154">
        <v>0</v>
      </c>
      <c r="N216" s="154" t="str">
        <f t="shared" si="11"/>
        <v>No fit</v>
      </c>
      <c r="O216" s="173" t="s">
        <v>6163</v>
      </c>
      <c r="P216" s="173" t="s">
        <v>6051</v>
      </c>
    </row>
    <row r="217" spans="1:16" ht="64.05" customHeight="1" x14ac:dyDescent="0.3">
      <c r="A217" s="151" t="s">
        <v>6428</v>
      </c>
      <c r="B217" s="151" t="s">
        <v>5793</v>
      </c>
      <c r="C217" s="151" t="s">
        <v>86</v>
      </c>
      <c r="D217" s="151">
        <v>2025</v>
      </c>
      <c r="E217" s="151" t="s">
        <v>74</v>
      </c>
      <c r="F217" s="174" t="s">
        <v>6165</v>
      </c>
      <c r="G217" s="167">
        <f>(365*AVERAGE((((DGKC!G61-DGKC!G54)-DGKC!G55)-DGKC!G56),(((DGKC!H61-DGKC!H54)-DGKC!H55)-DGKC!H56)))</f>
        <v>5103918.37</v>
      </c>
      <c r="H217" s="167">
        <f>DGKC!H84</f>
        <v>71892.837</v>
      </c>
      <c r="I217" s="165">
        <f t="shared" si="9"/>
        <v>70.993419970337243</v>
      </c>
      <c r="J217" s="165">
        <v>70.993419970337214</v>
      </c>
      <c r="K217" s="169">
        <f t="shared" si="10"/>
        <v>0</v>
      </c>
      <c r="L217" s="165">
        <v>83</v>
      </c>
      <c r="M217" s="151">
        <v>0</v>
      </c>
      <c r="N217" s="151" t="str">
        <f t="shared" si="11"/>
        <v>No fit</v>
      </c>
      <c r="O217" s="174" t="s">
        <v>6166</v>
      </c>
      <c r="P217" s="174" t="s">
        <v>6051</v>
      </c>
    </row>
    <row r="218" spans="1:16" ht="64.05" customHeight="1" x14ac:dyDescent="0.3">
      <c r="A218" s="154" t="s">
        <v>6429</v>
      </c>
      <c r="B218" s="154" t="s">
        <v>5793</v>
      </c>
      <c r="C218" s="154" t="s">
        <v>86</v>
      </c>
      <c r="D218" s="154">
        <v>2025</v>
      </c>
      <c r="E218" s="154" t="s">
        <v>74</v>
      </c>
      <c r="F218" s="173" t="s">
        <v>6168</v>
      </c>
      <c r="G218" s="166">
        <f>(365*AVERAGE((((DGKC!G61-DGKC!G54)-DGKC!G55)-DGKC!G56),(((DGKC!H61-DGKC!H54)-DGKC!H55)-DGKC!H56)))</f>
        <v>5103918.37</v>
      </c>
      <c r="H218" s="166">
        <f>((DGKC!H85*-1)+(DGKC!H65-DGKC!G65))</f>
        <v>53629.682000000001</v>
      </c>
      <c r="I218" s="164">
        <f t="shared" si="9"/>
        <v>95.169655676869382</v>
      </c>
      <c r="J218" s="164">
        <v>95.169655676869354</v>
      </c>
      <c r="K218" s="168">
        <f t="shared" si="10"/>
        <v>0</v>
      </c>
      <c r="L218" s="164">
        <v>83</v>
      </c>
      <c r="M218" s="154">
        <v>0</v>
      </c>
      <c r="N218" s="154" t="str">
        <f t="shared" si="11"/>
        <v>No fit</v>
      </c>
      <c r="O218" s="173" t="s">
        <v>6169</v>
      </c>
      <c r="P218" s="173" t="s">
        <v>6051</v>
      </c>
    </row>
    <row r="219" spans="1:16" ht="64.05" customHeight="1" x14ac:dyDescent="0.3">
      <c r="A219" s="151" t="s">
        <v>6430</v>
      </c>
      <c r="B219" s="151" t="s">
        <v>5793</v>
      </c>
      <c r="C219" s="151" t="s">
        <v>86</v>
      </c>
      <c r="D219" s="151">
        <v>2025</v>
      </c>
      <c r="E219" s="151" t="s">
        <v>74</v>
      </c>
      <c r="F219" s="174" t="s">
        <v>6171</v>
      </c>
      <c r="G219" s="167">
        <f>(365*AVERAGE((((DGKC!G61-DGKC!G54)-DGKC!G55)-DGKC!G56),(((DGKC!H61-DGKC!H54)-DGKC!H55)-DGKC!H56)))</f>
        <v>5103918.37</v>
      </c>
      <c r="H219" s="167">
        <f>((DGKC!H85*-1)+(DGKC!H31-DGKC!G31))</f>
        <v>53882.776999999995</v>
      </c>
      <c r="I219" s="165">
        <f t="shared" si="9"/>
        <v>94.722630387071561</v>
      </c>
      <c r="J219" s="165">
        <v>94.722630387071533</v>
      </c>
      <c r="K219" s="169">
        <f t="shared" si="10"/>
        <v>0</v>
      </c>
      <c r="L219" s="165">
        <v>83</v>
      </c>
      <c r="M219" s="151">
        <v>0</v>
      </c>
      <c r="N219" s="151" t="str">
        <f t="shared" si="11"/>
        <v>No fit</v>
      </c>
      <c r="O219" s="174" t="s">
        <v>6172</v>
      </c>
      <c r="P219" s="174" t="s">
        <v>6051</v>
      </c>
    </row>
    <row r="220" spans="1:16" ht="64.05" customHeight="1" x14ac:dyDescent="0.3">
      <c r="A220" s="154" t="s">
        <v>6431</v>
      </c>
      <c r="B220" s="154" t="s">
        <v>5793</v>
      </c>
      <c r="C220" s="154" t="s">
        <v>86</v>
      </c>
      <c r="D220" s="154">
        <v>2025</v>
      </c>
      <c r="E220" s="154" t="s">
        <v>74</v>
      </c>
      <c r="F220" s="173" t="s">
        <v>6174</v>
      </c>
      <c r="G220" s="166">
        <f>(365*(DGKC!H51+'Forensic Inputs'!$G$61))</f>
        <v>2656413.79</v>
      </c>
      <c r="H220" s="166">
        <f>(DGKC!H85*-1)</f>
        <v>53387.165999999997</v>
      </c>
      <c r="I220" s="164">
        <f t="shared" si="9"/>
        <v>49.757535172404545</v>
      </c>
      <c r="J220" s="164">
        <v>49.757535172404545</v>
      </c>
      <c r="K220" s="168">
        <f t="shared" si="10"/>
        <v>0</v>
      </c>
      <c r="L220" s="164">
        <v>83</v>
      </c>
      <c r="M220" s="154">
        <v>0</v>
      </c>
      <c r="N220" s="154" t="str">
        <f t="shared" si="11"/>
        <v>No fit</v>
      </c>
      <c r="O220" s="173" t="s">
        <v>6351</v>
      </c>
      <c r="P220" s="173" t="s">
        <v>6051</v>
      </c>
    </row>
    <row r="221" spans="1:16" ht="64.05" customHeight="1" x14ac:dyDescent="0.3">
      <c r="A221" s="151" t="s">
        <v>6432</v>
      </c>
      <c r="B221" s="151" t="s">
        <v>5793</v>
      </c>
      <c r="C221" s="151" t="s">
        <v>86</v>
      </c>
      <c r="D221" s="151">
        <v>2025</v>
      </c>
      <c r="E221" s="151" t="s">
        <v>74</v>
      </c>
      <c r="F221" s="174" t="s">
        <v>6177</v>
      </c>
      <c r="G221" s="167">
        <f>(365*(DGKC!H51+'Forensic Inputs'!$G$61))</f>
        <v>2656413.79</v>
      </c>
      <c r="H221" s="167">
        <f>DGKC!H84</f>
        <v>71892.837</v>
      </c>
      <c r="I221" s="165">
        <f t="shared" si="9"/>
        <v>36.949630879081873</v>
      </c>
      <c r="J221" s="165">
        <v>36.949630879081873</v>
      </c>
      <c r="K221" s="169">
        <f t="shared" si="10"/>
        <v>0</v>
      </c>
      <c r="L221" s="165">
        <v>83</v>
      </c>
      <c r="M221" s="151">
        <v>0</v>
      </c>
      <c r="N221" s="151" t="str">
        <f t="shared" si="11"/>
        <v>No fit</v>
      </c>
      <c r="O221" s="174" t="s">
        <v>6353</v>
      </c>
      <c r="P221" s="174" t="s">
        <v>6051</v>
      </c>
    </row>
    <row r="222" spans="1:16" ht="64.05" customHeight="1" x14ac:dyDescent="0.3">
      <c r="A222" s="154" t="s">
        <v>6433</v>
      </c>
      <c r="B222" s="154" t="s">
        <v>5793</v>
      </c>
      <c r="C222" s="154" t="s">
        <v>86</v>
      </c>
      <c r="D222" s="154">
        <v>2025</v>
      </c>
      <c r="E222" s="154" t="s">
        <v>74</v>
      </c>
      <c r="F222" s="173" t="s">
        <v>6180</v>
      </c>
      <c r="G222" s="166">
        <f>(365*(DGKC!H51+'Forensic Inputs'!$G$61))</f>
        <v>2656413.79</v>
      </c>
      <c r="H222" s="166">
        <f>((DGKC!H85*-1)+(DGKC!H65-DGKC!G65))</f>
        <v>53629.682000000001</v>
      </c>
      <c r="I222" s="164">
        <f t="shared" si="9"/>
        <v>49.532529206494267</v>
      </c>
      <c r="J222" s="164">
        <v>49.532529206494267</v>
      </c>
      <c r="K222" s="168">
        <f t="shared" si="10"/>
        <v>0</v>
      </c>
      <c r="L222" s="164">
        <v>83</v>
      </c>
      <c r="M222" s="154">
        <v>0</v>
      </c>
      <c r="N222" s="154" t="str">
        <f t="shared" si="11"/>
        <v>No fit</v>
      </c>
      <c r="O222" s="173" t="s">
        <v>6355</v>
      </c>
      <c r="P222" s="173" t="s">
        <v>6051</v>
      </c>
    </row>
    <row r="223" spans="1:16" ht="64.05" customHeight="1" x14ac:dyDescent="0.3">
      <c r="A223" s="151" t="s">
        <v>6434</v>
      </c>
      <c r="B223" s="151" t="s">
        <v>5793</v>
      </c>
      <c r="C223" s="151" t="s">
        <v>86</v>
      </c>
      <c r="D223" s="151">
        <v>2025</v>
      </c>
      <c r="E223" s="151" t="s">
        <v>74</v>
      </c>
      <c r="F223" s="174" t="s">
        <v>6183</v>
      </c>
      <c r="G223" s="167">
        <f>(365*(DGKC!H51+'Forensic Inputs'!$G$61))</f>
        <v>2656413.79</v>
      </c>
      <c r="H223" s="167">
        <f>((DGKC!H85*-1)+(DGKC!H31-DGKC!G31))</f>
        <v>53882.776999999995</v>
      </c>
      <c r="I223" s="165">
        <f t="shared" si="9"/>
        <v>49.299867933681298</v>
      </c>
      <c r="J223" s="165">
        <v>49.299867933681298</v>
      </c>
      <c r="K223" s="169">
        <f t="shared" si="10"/>
        <v>0</v>
      </c>
      <c r="L223" s="165">
        <v>83</v>
      </c>
      <c r="M223" s="151">
        <v>0</v>
      </c>
      <c r="N223" s="151" t="str">
        <f t="shared" si="11"/>
        <v>No fit</v>
      </c>
      <c r="O223" s="174" t="s">
        <v>6357</v>
      </c>
      <c r="P223" s="174" t="s">
        <v>6051</v>
      </c>
    </row>
    <row r="224" spans="1:16" ht="64.05" customHeight="1" x14ac:dyDescent="0.3">
      <c r="A224" s="154" t="s">
        <v>6435</v>
      </c>
      <c r="B224" s="154" t="s">
        <v>5793</v>
      </c>
      <c r="C224" s="154" t="s">
        <v>86</v>
      </c>
      <c r="D224" s="154">
        <v>2025</v>
      </c>
      <c r="E224" s="154" t="s">
        <v>74</v>
      </c>
      <c r="F224" s="173" t="s">
        <v>6186</v>
      </c>
      <c r="G224" s="166">
        <f>(365*AVERAGE((DGKC!G51+'Forensic Inputs'!$G$56),(DGKC!H51+'Forensic Inputs'!$G$61)))</f>
        <v>2917066.3125</v>
      </c>
      <c r="H224" s="166">
        <f>(DGKC!H85*-1)</f>
        <v>53387.165999999997</v>
      </c>
      <c r="I224" s="164">
        <f t="shared" si="9"/>
        <v>54.639841951902824</v>
      </c>
      <c r="J224" s="164">
        <v>54.639841951902824</v>
      </c>
      <c r="K224" s="168">
        <f t="shared" si="10"/>
        <v>0</v>
      </c>
      <c r="L224" s="164">
        <v>83</v>
      </c>
      <c r="M224" s="154">
        <v>0</v>
      </c>
      <c r="N224" s="154" t="str">
        <f t="shared" si="11"/>
        <v>No fit</v>
      </c>
      <c r="O224" s="173" t="s">
        <v>6436</v>
      </c>
      <c r="P224" s="173" t="s">
        <v>6051</v>
      </c>
    </row>
    <row r="225" spans="1:16" ht="64.05" customHeight="1" x14ac:dyDescent="0.3">
      <c r="A225" s="151" t="s">
        <v>6437</v>
      </c>
      <c r="B225" s="151" t="s">
        <v>5793</v>
      </c>
      <c r="C225" s="151" t="s">
        <v>86</v>
      </c>
      <c r="D225" s="151">
        <v>2025</v>
      </c>
      <c r="E225" s="151" t="s">
        <v>74</v>
      </c>
      <c r="F225" s="174" t="s">
        <v>6189</v>
      </c>
      <c r="G225" s="167">
        <f>(365*AVERAGE((DGKC!G51+'Forensic Inputs'!$G$56),(DGKC!H51+'Forensic Inputs'!$G$61)))</f>
        <v>2917066.3125</v>
      </c>
      <c r="H225" s="167">
        <f>DGKC!H84</f>
        <v>71892.837</v>
      </c>
      <c r="I225" s="165">
        <f t="shared" si="9"/>
        <v>40.575201010637542</v>
      </c>
      <c r="J225" s="165">
        <v>40.575201010637542</v>
      </c>
      <c r="K225" s="169">
        <f t="shared" si="10"/>
        <v>0</v>
      </c>
      <c r="L225" s="165">
        <v>83</v>
      </c>
      <c r="M225" s="151">
        <v>0</v>
      </c>
      <c r="N225" s="151" t="str">
        <f t="shared" si="11"/>
        <v>No fit</v>
      </c>
      <c r="O225" s="174" t="s">
        <v>6438</v>
      </c>
      <c r="P225" s="174" t="s">
        <v>6051</v>
      </c>
    </row>
    <row r="226" spans="1:16" ht="64.05" customHeight="1" x14ac:dyDescent="0.3">
      <c r="A226" s="154" t="s">
        <v>6439</v>
      </c>
      <c r="B226" s="154" t="s">
        <v>5793</v>
      </c>
      <c r="C226" s="154" t="s">
        <v>86</v>
      </c>
      <c r="D226" s="154">
        <v>2025</v>
      </c>
      <c r="E226" s="154" t="s">
        <v>74</v>
      </c>
      <c r="F226" s="173" t="s">
        <v>6192</v>
      </c>
      <c r="G226" s="166">
        <f>(365*AVERAGE((DGKC!G51+'Forensic Inputs'!$G$56),(DGKC!H51+'Forensic Inputs'!$G$61)))</f>
        <v>2917066.3125</v>
      </c>
      <c r="H226" s="166">
        <f>((DGKC!H85*-1)+(DGKC!H65-DGKC!G65))</f>
        <v>53629.682000000001</v>
      </c>
      <c r="I226" s="164">
        <f t="shared" si="9"/>
        <v>54.392757960041607</v>
      </c>
      <c r="J226" s="164">
        <v>54.392757960041607</v>
      </c>
      <c r="K226" s="168">
        <f t="shared" si="10"/>
        <v>0</v>
      </c>
      <c r="L226" s="164">
        <v>83</v>
      </c>
      <c r="M226" s="154">
        <v>0</v>
      </c>
      <c r="N226" s="154" t="str">
        <f t="shared" si="11"/>
        <v>No fit</v>
      </c>
      <c r="O226" s="173" t="s">
        <v>6440</v>
      </c>
      <c r="P226" s="173" t="s">
        <v>6051</v>
      </c>
    </row>
    <row r="227" spans="1:16" ht="64.05" customHeight="1" x14ac:dyDescent="0.3">
      <c r="A227" s="151" t="s">
        <v>6441</v>
      </c>
      <c r="B227" s="151" t="s">
        <v>5793</v>
      </c>
      <c r="C227" s="151" t="s">
        <v>86</v>
      </c>
      <c r="D227" s="151">
        <v>2025</v>
      </c>
      <c r="E227" s="151" t="s">
        <v>74</v>
      </c>
      <c r="F227" s="174" t="s">
        <v>6195</v>
      </c>
      <c r="G227" s="167">
        <f>(365*AVERAGE((DGKC!G51+'Forensic Inputs'!$G$56),(DGKC!H51+'Forensic Inputs'!$G$61)))</f>
        <v>2917066.3125</v>
      </c>
      <c r="H227" s="167">
        <f>((DGKC!H85*-1)+(DGKC!H31-DGKC!G31))</f>
        <v>53882.776999999995</v>
      </c>
      <c r="I227" s="165">
        <f t="shared" si="9"/>
        <v>54.137267507574826</v>
      </c>
      <c r="J227" s="165">
        <v>54.137267507574826</v>
      </c>
      <c r="K227" s="169">
        <f t="shared" si="10"/>
        <v>0</v>
      </c>
      <c r="L227" s="165">
        <v>83</v>
      </c>
      <c r="M227" s="151">
        <v>0</v>
      </c>
      <c r="N227" s="151" t="str">
        <f t="shared" si="11"/>
        <v>No fit</v>
      </c>
      <c r="O227" s="174" t="s">
        <v>6442</v>
      </c>
      <c r="P227" s="174" t="s">
        <v>6051</v>
      </c>
    </row>
    <row r="228" spans="1:16" ht="64.05" customHeight="1" x14ac:dyDescent="0.3">
      <c r="A228" s="154" t="s">
        <v>6443</v>
      </c>
      <c r="B228" s="154" t="s">
        <v>5793</v>
      </c>
      <c r="C228" s="154" t="s">
        <v>86</v>
      </c>
      <c r="D228" s="154">
        <v>2025</v>
      </c>
      <c r="E228" s="154" t="s">
        <v>74</v>
      </c>
      <c r="F228" s="173" t="s">
        <v>6198</v>
      </c>
      <c r="G228" s="166">
        <f>(365*(DGKC!H50-'Forensic Inputs'!$G$62))</f>
        <v>3703640.4000000004</v>
      </c>
      <c r="H228" s="166">
        <f>(DGKC!H85*-1)</f>
        <v>53387.165999999997</v>
      </c>
      <c r="I228" s="164">
        <f t="shared" si="9"/>
        <v>69.37323475833125</v>
      </c>
      <c r="J228" s="164">
        <v>69.37323475833125</v>
      </c>
      <c r="K228" s="168">
        <f t="shared" si="10"/>
        <v>0</v>
      </c>
      <c r="L228" s="164">
        <v>83</v>
      </c>
      <c r="M228" s="154">
        <v>0</v>
      </c>
      <c r="N228" s="154" t="str">
        <f t="shared" si="11"/>
        <v>No fit</v>
      </c>
      <c r="O228" s="173" t="s">
        <v>6367</v>
      </c>
      <c r="P228" s="173" t="s">
        <v>6051</v>
      </c>
    </row>
    <row r="229" spans="1:16" ht="64.05" customHeight="1" x14ac:dyDescent="0.3">
      <c r="A229" s="151" t="s">
        <v>6444</v>
      </c>
      <c r="B229" s="151" t="s">
        <v>5793</v>
      </c>
      <c r="C229" s="151" t="s">
        <v>86</v>
      </c>
      <c r="D229" s="151">
        <v>2025</v>
      </c>
      <c r="E229" s="151" t="s">
        <v>74</v>
      </c>
      <c r="F229" s="174" t="s">
        <v>6201</v>
      </c>
      <c r="G229" s="167">
        <f>(365*(DGKC!H50-'Forensic Inputs'!$G$62))</f>
        <v>3703640.4000000004</v>
      </c>
      <c r="H229" s="167">
        <f>DGKC!H84</f>
        <v>71892.837</v>
      </c>
      <c r="I229" s="165">
        <f t="shared" si="9"/>
        <v>51.516125313012758</v>
      </c>
      <c r="J229" s="165">
        <v>51.516125313012758</v>
      </c>
      <c r="K229" s="169">
        <f t="shared" si="10"/>
        <v>0</v>
      </c>
      <c r="L229" s="165">
        <v>83</v>
      </c>
      <c r="M229" s="151">
        <v>0</v>
      </c>
      <c r="N229" s="151" t="str">
        <f t="shared" si="11"/>
        <v>No fit</v>
      </c>
      <c r="O229" s="174" t="s">
        <v>6369</v>
      </c>
      <c r="P229" s="174" t="s">
        <v>6051</v>
      </c>
    </row>
    <row r="230" spans="1:16" ht="64.05" customHeight="1" x14ac:dyDescent="0.3">
      <c r="A230" s="154" t="s">
        <v>6445</v>
      </c>
      <c r="B230" s="154" t="s">
        <v>5793</v>
      </c>
      <c r="C230" s="154" t="s">
        <v>86</v>
      </c>
      <c r="D230" s="154">
        <v>2025</v>
      </c>
      <c r="E230" s="154" t="s">
        <v>74</v>
      </c>
      <c r="F230" s="173" t="s">
        <v>6204</v>
      </c>
      <c r="G230" s="166">
        <f>(365*(DGKC!H50-'Forensic Inputs'!$G$62))</f>
        <v>3703640.4000000004</v>
      </c>
      <c r="H230" s="166">
        <f>((DGKC!H85*-1)+(DGKC!H65-DGKC!G65))</f>
        <v>53629.682000000001</v>
      </c>
      <c r="I230" s="164">
        <f t="shared" si="9"/>
        <v>69.059525655960456</v>
      </c>
      <c r="J230" s="164">
        <v>69.059525655960456</v>
      </c>
      <c r="K230" s="168">
        <f t="shared" si="10"/>
        <v>0</v>
      </c>
      <c r="L230" s="164">
        <v>83</v>
      </c>
      <c r="M230" s="154">
        <v>0</v>
      </c>
      <c r="N230" s="154" t="str">
        <f t="shared" si="11"/>
        <v>No fit</v>
      </c>
      <c r="O230" s="173" t="s">
        <v>6371</v>
      </c>
      <c r="P230" s="173" t="s">
        <v>6051</v>
      </c>
    </row>
    <row r="231" spans="1:16" ht="64.05" customHeight="1" x14ac:dyDescent="0.3">
      <c r="A231" s="151" t="s">
        <v>6446</v>
      </c>
      <c r="B231" s="151" t="s">
        <v>5793</v>
      </c>
      <c r="C231" s="151" t="s">
        <v>86</v>
      </c>
      <c r="D231" s="151">
        <v>2025</v>
      </c>
      <c r="E231" s="151" t="s">
        <v>74</v>
      </c>
      <c r="F231" s="174" t="s">
        <v>6207</v>
      </c>
      <c r="G231" s="167">
        <f>(365*(DGKC!H50-'Forensic Inputs'!$G$62))</f>
        <v>3703640.4000000004</v>
      </c>
      <c r="H231" s="167">
        <f>((DGKC!H85*-1)+(DGKC!H31-DGKC!G31))</f>
        <v>53882.776999999995</v>
      </c>
      <c r="I231" s="165">
        <f t="shared" si="9"/>
        <v>68.735143327894932</v>
      </c>
      <c r="J231" s="165">
        <v>68.735143327894932</v>
      </c>
      <c r="K231" s="169">
        <f t="shared" si="10"/>
        <v>0</v>
      </c>
      <c r="L231" s="165">
        <v>83</v>
      </c>
      <c r="M231" s="151">
        <v>0</v>
      </c>
      <c r="N231" s="151" t="str">
        <f t="shared" si="11"/>
        <v>No fit</v>
      </c>
      <c r="O231" s="174" t="s">
        <v>6373</v>
      </c>
      <c r="P231" s="174" t="s">
        <v>6051</v>
      </c>
    </row>
    <row r="232" spans="1:16" ht="64.05" customHeight="1" x14ac:dyDescent="0.3">
      <c r="A232" s="154" t="s">
        <v>6447</v>
      </c>
      <c r="B232" s="154" t="s">
        <v>5793</v>
      </c>
      <c r="C232" s="154" t="s">
        <v>86</v>
      </c>
      <c r="D232" s="154">
        <v>2025</v>
      </c>
      <c r="E232" s="154" t="s">
        <v>74</v>
      </c>
      <c r="F232" s="173" t="s">
        <v>6210</v>
      </c>
      <c r="G232" s="166">
        <f>(365*AVERAGE((DGKC!G50-'Forensic Inputs'!$G$57),(DGKC!H50-'Forensic Inputs'!$G$62)))</f>
        <v>3799392.1274999999</v>
      </c>
      <c r="H232" s="166">
        <f>(DGKC!H85*-1)</f>
        <v>53387.165999999997</v>
      </c>
      <c r="I232" s="164">
        <f t="shared" si="9"/>
        <v>71.166769322424798</v>
      </c>
      <c r="J232" s="164">
        <v>71.166769322424798</v>
      </c>
      <c r="K232" s="168">
        <f t="shared" si="10"/>
        <v>0</v>
      </c>
      <c r="L232" s="164">
        <v>83</v>
      </c>
      <c r="M232" s="154">
        <v>0</v>
      </c>
      <c r="N232" s="154" t="str">
        <f t="shared" si="11"/>
        <v>No fit</v>
      </c>
      <c r="O232" s="173" t="s">
        <v>6448</v>
      </c>
      <c r="P232" s="173" t="s">
        <v>6051</v>
      </c>
    </row>
    <row r="233" spans="1:16" ht="64.05" customHeight="1" x14ac:dyDescent="0.3">
      <c r="A233" s="151" t="s">
        <v>6449</v>
      </c>
      <c r="B233" s="151" t="s">
        <v>5793</v>
      </c>
      <c r="C233" s="151" t="s">
        <v>86</v>
      </c>
      <c r="D233" s="151">
        <v>2025</v>
      </c>
      <c r="E233" s="151" t="s">
        <v>74</v>
      </c>
      <c r="F233" s="174" t="s">
        <v>6213</v>
      </c>
      <c r="G233" s="167">
        <f>(365*AVERAGE((DGKC!G50-'Forensic Inputs'!$G$57),(DGKC!H50-'Forensic Inputs'!$G$62)))</f>
        <v>3799392.1274999999</v>
      </c>
      <c r="H233" s="167">
        <f>DGKC!H84</f>
        <v>71892.837</v>
      </c>
      <c r="I233" s="165">
        <f t="shared" si="9"/>
        <v>52.847992735354147</v>
      </c>
      <c r="J233" s="165">
        <v>52.847992735354147</v>
      </c>
      <c r="K233" s="169">
        <f t="shared" si="10"/>
        <v>0</v>
      </c>
      <c r="L233" s="165">
        <v>83</v>
      </c>
      <c r="M233" s="151">
        <v>0</v>
      </c>
      <c r="N233" s="151" t="str">
        <f t="shared" si="11"/>
        <v>No fit</v>
      </c>
      <c r="O233" s="174" t="s">
        <v>6450</v>
      </c>
      <c r="P233" s="174" t="s">
        <v>6051</v>
      </c>
    </row>
    <row r="234" spans="1:16" ht="64.05" customHeight="1" x14ac:dyDescent="0.3">
      <c r="A234" s="154" t="s">
        <v>6451</v>
      </c>
      <c r="B234" s="154" t="s">
        <v>5793</v>
      </c>
      <c r="C234" s="154" t="s">
        <v>86</v>
      </c>
      <c r="D234" s="154">
        <v>2025</v>
      </c>
      <c r="E234" s="154" t="s">
        <v>74</v>
      </c>
      <c r="F234" s="173" t="s">
        <v>6216</v>
      </c>
      <c r="G234" s="166">
        <f>(365*AVERAGE((DGKC!G50-'Forensic Inputs'!$G$57),(DGKC!H50-'Forensic Inputs'!$G$62)))</f>
        <v>3799392.1274999999</v>
      </c>
      <c r="H234" s="166">
        <f>((DGKC!H85*-1)+(DGKC!H65-DGKC!G65))</f>
        <v>53629.682000000001</v>
      </c>
      <c r="I234" s="164">
        <f t="shared" si="9"/>
        <v>70.844949770539372</v>
      </c>
      <c r="J234" s="164">
        <v>70.844949770539372</v>
      </c>
      <c r="K234" s="168">
        <f t="shared" si="10"/>
        <v>0</v>
      </c>
      <c r="L234" s="164">
        <v>83</v>
      </c>
      <c r="M234" s="154">
        <v>0</v>
      </c>
      <c r="N234" s="154" t="str">
        <f t="shared" si="11"/>
        <v>No fit</v>
      </c>
      <c r="O234" s="173" t="s">
        <v>6452</v>
      </c>
      <c r="P234" s="173" t="s">
        <v>6051</v>
      </c>
    </row>
    <row r="235" spans="1:16" ht="64.05" customHeight="1" x14ac:dyDescent="0.3">
      <c r="A235" s="151" t="s">
        <v>6453</v>
      </c>
      <c r="B235" s="151" t="s">
        <v>5793</v>
      </c>
      <c r="C235" s="151" t="s">
        <v>86</v>
      </c>
      <c r="D235" s="151">
        <v>2025</v>
      </c>
      <c r="E235" s="151" t="s">
        <v>74</v>
      </c>
      <c r="F235" s="174" t="s">
        <v>6219</v>
      </c>
      <c r="G235" s="167">
        <f>(365*AVERAGE((DGKC!G50-'Forensic Inputs'!$G$57),(DGKC!H50-'Forensic Inputs'!$G$62)))</f>
        <v>3799392.1274999999</v>
      </c>
      <c r="H235" s="167">
        <f>((DGKC!H85*-1)+(DGKC!H31-DGKC!G31))</f>
        <v>53882.776999999995</v>
      </c>
      <c r="I235" s="165">
        <f t="shared" si="9"/>
        <v>70.512181053697375</v>
      </c>
      <c r="J235" s="165">
        <v>70.512181053697375</v>
      </c>
      <c r="K235" s="169">
        <f t="shared" si="10"/>
        <v>0</v>
      </c>
      <c r="L235" s="165">
        <v>83</v>
      </c>
      <c r="M235" s="151">
        <v>0</v>
      </c>
      <c r="N235" s="151" t="str">
        <f t="shared" si="11"/>
        <v>No fit</v>
      </c>
      <c r="O235" s="174" t="s">
        <v>6454</v>
      </c>
      <c r="P235" s="174" t="s">
        <v>6051</v>
      </c>
    </row>
    <row r="236" spans="1:16" ht="64.05" customHeight="1" x14ac:dyDescent="0.3">
      <c r="A236" s="154" t="s">
        <v>6455</v>
      </c>
      <c r="B236" s="154" t="s">
        <v>5793</v>
      </c>
      <c r="C236" s="154" t="s">
        <v>86</v>
      </c>
      <c r="D236" s="154">
        <v>2025</v>
      </c>
      <c r="E236" s="154" t="s">
        <v>74</v>
      </c>
      <c r="F236" s="173" t="s">
        <v>6222</v>
      </c>
      <c r="G236" s="166">
        <f>(365*'Forensic Inputs'!$G$65)</f>
        <v>2889318.0999999996</v>
      </c>
      <c r="H236" s="166">
        <f>(DGKC!H85*-1)</f>
        <v>53387.165999999997</v>
      </c>
      <c r="I236" s="164">
        <f t="shared" si="9"/>
        <v>54.120087588091863</v>
      </c>
      <c r="J236" s="164">
        <v>54.120087588091863</v>
      </c>
      <c r="K236" s="168">
        <f t="shared" si="10"/>
        <v>0</v>
      </c>
      <c r="L236" s="164">
        <v>83</v>
      </c>
      <c r="M236" s="154">
        <v>0</v>
      </c>
      <c r="N236" s="154" t="str">
        <f t="shared" si="11"/>
        <v>No fit</v>
      </c>
      <c r="O236" s="173" t="s">
        <v>6383</v>
      </c>
      <c r="P236" s="173" t="s">
        <v>6051</v>
      </c>
    </row>
    <row r="237" spans="1:16" ht="64.05" customHeight="1" x14ac:dyDescent="0.3">
      <c r="A237" s="151" t="s">
        <v>6456</v>
      </c>
      <c r="B237" s="151" t="s">
        <v>5793</v>
      </c>
      <c r="C237" s="151" t="s">
        <v>86</v>
      </c>
      <c r="D237" s="151">
        <v>2025</v>
      </c>
      <c r="E237" s="151" t="s">
        <v>74</v>
      </c>
      <c r="F237" s="174" t="s">
        <v>6225</v>
      </c>
      <c r="G237" s="167">
        <f>(365*'Forensic Inputs'!$G$65)</f>
        <v>2889318.0999999996</v>
      </c>
      <c r="H237" s="167">
        <f>DGKC!H84</f>
        <v>71892.837</v>
      </c>
      <c r="I237" s="165">
        <f t="shared" si="9"/>
        <v>40.189234707763717</v>
      </c>
      <c r="J237" s="165">
        <v>40.189234707763717</v>
      </c>
      <c r="K237" s="169">
        <f t="shared" si="10"/>
        <v>0</v>
      </c>
      <c r="L237" s="165">
        <v>83</v>
      </c>
      <c r="M237" s="151">
        <v>0</v>
      </c>
      <c r="N237" s="151" t="str">
        <f t="shared" si="11"/>
        <v>No fit</v>
      </c>
      <c r="O237" s="174" t="s">
        <v>6385</v>
      </c>
      <c r="P237" s="174" t="s">
        <v>6051</v>
      </c>
    </row>
    <row r="238" spans="1:16" ht="64.05" customHeight="1" x14ac:dyDescent="0.3">
      <c r="A238" s="154" t="s">
        <v>6457</v>
      </c>
      <c r="B238" s="154" t="s">
        <v>5793</v>
      </c>
      <c r="C238" s="154" t="s">
        <v>86</v>
      </c>
      <c r="D238" s="154">
        <v>2025</v>
      </c>
      <c r="E238" s="154" t="s">
        <v>74</v>
      </c>
      <c r="F238" s="173" t="s">
        <v>6228</v>
      </c>
      <c r="G238" s="166">
        <f>(365*'Forensic Inputs'!$G$65)</f>
        <v>2889318.0999999996</v>
      </c>
      <c r="H238" s="166">
        <f>((DGKC!H85*-1)+(DGKC!H65-DGKC!G65))</f>
        <v>53629.682000000001</v>
      </c>
      <c r="I238" s="164">
        <f t="shared" si="9"/>
        <v>53.875353950448549</v>
      </c>
      <c r="J238" s="164">
        <v>53.875353950448549</v>
      </c>
      <c r="K238" s="168">
        <f t="shared" si="10"/>
        <v>0</v>
      </c>
      <c r="L238" s="164">
        <v>83</v>
      </c>
      <c r="M238" s="154">
        <v>0</v>
      </c>
      <c r="N238" s="154" t="str">
        <f t="shared" si="11"/>
        <v>No fit</v>
      </c>
      <c r="O238" s="173" t="s">
        <v>6387</v>
      </c>
      <c r="P238" s="173" t="s">
        <v>6051</v>
      </c>
    </row>
    <row r="239" spans="1:16" ht="64.05" customHeight="1" x14ac:dyDescent="0.3">
      <c r="A239" s="151" t="s">
        <v>6458</v>
      </c>
      <c r="B239" s="151" t="s">
        <v>5793</v>
      </c>
      <c r="C239" s="151" t="s">
        <v>86</v>
      </c>
      <c r="D239" s="151">
        <v>2025</v>
      </c>
      <c r="E239" s="151" t="s">
        <v>74</v>
      </c>
      <c r="F239" s="174" t="s">
        <v>6231</v>
      </c>
      <c r="G239" s="167">
        <f>(365*'Forensic Inputs'!$G$65)</f>
        <v>2889318.0999999996</v>
      </c>
      <c r="H239" s="167">
        <f>((DGKC!H85*-1)+(DGKC!H31-DGKC!G31))</f>
        <v>53882.776999999995</v>
      </c>
      <c r="I239" s="165">
        <f t="shared" si="9"/>
        <v>53.622293817558806</v>
      </c>
      <c r="J239" s="165">
        <v>53.622293817558806</v>
      </c>
      <c r="K239" s="169">
        <f t="shared" si="10"/>
        <v>0</v>
      </c>
      <c r="L239" s="165">
        <v>83</v>
      </c>
      <c r="M239" s="151">
        <v>0</v>
      </c>
      <c r="N239" s="151" t="str">
        <f t="shared" si="11"/>
        <v>No fit</v>
      </c>
      <c r="O239" s="174" t="s">
        <v>6389</v>
      </c>
      <c r="P239" s="174" t="s">
        <v>6051</v>
      </c>
    </row>
    <row r="240" spans="1:16" ht="64.05" customHeight="1" x14ac:dyDescent="0.3">
      <c r="A240" s="154" t="s">
        <v>6459</v>
      </c>
      <c r="B240" s="154" t="s">
        <v>5793</v>
      </c>
      <c r="C240" s="154" t="s">
        <v>86</v>
      </c>
      <c r="D240" s="154">
        <v>2025</v>
      </c>
      <c r="E240" s="154" t="s">
        <v>74</v>
      </c>
      <c r="F240" s="173" t="s">
        <v>6234</v>
      </c>
      <c r="G240" s="166">
        <f>(365*AVERAGE('Forensic Inputs'!$G$60,'Forensic Inputs'!$G$65))</f>
        <v>3101290.2075</v>
      </c>
      <c r="H240" s="166">
        <f>(DGKC!H85*-1)</f>
        <v>53387.165999999997</v>
      </c>
      <c r="I240" s="164">
        <f t="shared" si="9"/>
        <v>58.090556960824635</v>
      </c>
      <c r="J240" s="164">
        <v>58.090556960824635</v>
      </c>
      <c r="K240" s="168">
        <f t="shared" si="10"/>
        <v>0</v>
      </c>
      <c r="L240" s="164">
        <v>83</v>
      </c>
      <c r="M240" s="154">
        <v>0</v>
      </c>
      <c r="N240" s="154" t="str">
        <f t="shared" si="11"/>
        <v>No fit</v>
      </c>
      <c r="O240" s="173" t="s">
        <v>6460</v>
      </c>
      <c r="P240" s="173" t="s">
        <v>6051</v>
      </c>
    </row>
    <row r="241" spans="1:16" ht="64.05" customHeight="1" x14ac:dyDescent="0.3">
      <c r="A241" s="151" t="s">
        <v>6461</v>
      </c>
      <c r="B241" s="151" t="s">
        <v>5793</v>
      </c>
      <c r="C241" s="151" t="s">
        <v>86</v>
      </c>
      <c r="D241" s="151">
        <v>2025</v>
      </c>
      <c r="E241" s="151" t="s">
        <v>74</v>
      </c>
      <c r="F241" s="174" t="s">
        <v>6237</v>
      </c>
      <c r="G241" s="167">
        <f>(365*AVERAGE('Forensic Inputs'!$G$60,'Forensic Inputs'!$G$65))</f>
        <v>3101290.2075</v>
      </c>
      <c r="H241" s="167">
        <f>DGKC!H84</f>
        <v>71892.837</v>
      </c>
      <c r="I241" s="165">
        <f t="shared" si="9"/>
        <v>43.137680148858223</v>
      </c>
      <c r="J241" s="165">
        <v>43.137680148858223</v>
      </c>
      <c r="K241" s="169">
        <f t="shared" si="10"/>
        <v>0</v>
      </c>
      <c r="L241" s="165">
        <v>83</v>
      </c>
      <c r="M241" s="151">
        <v>0</v>
      </c>
      <c r="N241" s="151" t="str">
        <f t="shared" si="11"/>
        <v>No fit</v>
      </c>
      <c r="O241" s="174" t="s">
        <v>6462</v>
      </c>
      <c r="P241" s="174" t="s">
        <v>6051</v>
      </c>
    </row>
    <row r="242" spans="1:16" ht="64.05" customHeight="1" x14ac:dyDescent="0.3">
      <c r="A242" s="154" t="s">
        <v>6463</v>
      </c>
      <c r="B242" s="154" t="s">
        <v>5793</v>
      </c>
      <c r="C242" s="154" t="s">
        <v>86</v>
      </c>
      <c r="D242" s="154">
        <v>2025</v>
      </c>
      <c r="E242" s="154" t="s">
        <v>74</v>
      </c>
      <c r="F242" s="173" t="s">
        <v>6240</v>
      </c>
      <c r="G242" s="166">
        <f>(365*AVERAGE('Forensic Inputs'!$G$60,'Forensic Inputs'!$G$65))</f>
        <v>3101290.2075</v>
      </c>
      <c r="H242" s="166">
        <f>((DGKC!H85*-1)+(DGKC!H65-DGKC!G65))</f>
        <v>53629.682000000001</v>
      </c>
      <c r="I242" s="164">
        <f t="shared" si="9"/>
        <v>57.827868669816091</v>
      </c>
      <c r="J242" s="164">
        <v>57.827868669816091</v>
      </c>
      <c r="K242" s="168">
        <f t="shared" si="10"/>
        <v>0</v>
      </c>
      <c r="L242" s="164">
        <v>83</v>
      </c>
      <c r="M242" s="154">
        <v>0</v>
      </c>
      <c r="N242" s="154" t="str">
        <f t="shared" si="11"/>
        <v>No fit</v>
      </c>
      <c r="O242" s="173" t="s">
        <v>6464</v>
      </c>
      <c r="P242" s="173" t="s">
        <v>6051</v>
      </c>
    </row>
    <row r="243" spans="1:16" ht="64.05" customHeight="1" x14ac:dyDescent="0.3">
      <c r="A243" s="151" t="s">
        <v>6465</v>
      </c>
      <c r="B243" s="151" t="s">
        <v>5793</v>
      </c>
      <c r="C243" s="151" t="s">
        <v>86</v>
      </c>
      <c r="D243" s="151">
        <v>2025</v>
      </c>
      <c r="E243" s="151" t="s">
        <v>74</v>
      </c>
      <c r="F243" s="174" t="s">
        <v>6243</v>
      </c>
      <c r="G243" s="167">
        <f>(365*AVERAGE('Forensic Inputs'!$G$60,'Forensic Inputs'!$G$65))</f>
        <v>3101290.2075</v>
      </c>
      <c r="H243" s="167">
        <f>((DGKC!H85*-1)+(DGKC!H31-DGKC!G31))</f>
        <v>53882.776999999995</v>
      </c>
      <c r="I243" s="165">
        <f t="shared" si="9"/>
        <v>57.556243018061231</v>
      </c>
      <c r="J243" s="165">
        <v>57.556243018061231</v>
      </c>
      <c r="K243" s="169">
        <f t="shared" si="10"/>
        <v>0</v>
      </c>
      <c r="L243" s="165">
        <v>83</v>
      </c>
      <c r="M243" s="151">
        <v>0</v>
      </c>
      <c r="N243" s="151" t="str">
        <f t="shared" si="11"/>
        <v>No fit</v>
      </c>
      <c r="O243" s="174" t="s">
        <v>6466</v>
      </c>
      <c r="P243" s="174" t="s">
        <v>6051</v>
      </c>
    </row>
    <row r="244" spans="1:16" ht="64.05" customHeight="1" x14ac:dyDescent="0.3">
      <c r="A244" s="154" t="s">
        <v>6467</v>
      </c>
      <c r="B244" s="154" t="s">
        <v>5793</v>
      </c>
      <c r="C244" s="154" t="s">
        <v>86</v>
      </c>
      <c r="D244" s="154">
        <v>2025</v>
      </c>
      <c r="E244" s="154" t="s">
        <v>74</v>
      </c>
      <c r="F244" s="173" t="s">
        <v>6246</v>
      </c>
      <c r="G244" s="166">
        <f>(365*DGKC!H50)</f>
        <v>4866708.5200000005</v>
      </c>
      <c r="H244" s="166">
        <f>'Forensic Inputs'!$G$81</f>
        <v>53675.855000000003</v>
      </c>
      <c r="I244" s="164">
        <f t="shared" si="9"/>
        <v>90.668486230913331</v>
      </c>
      <c r="J244" s="164">
        <v>90.668486230913331</v>
      </c>
      <c r="K244" s="168">
        <f t="shared" si="10"/>
        <v>0</v>
      </c>
      <c r="L244" s="164">
        <v>83</v>
      </c>
      <c r="M244" s="154">
        <v>0</v>
      </c>
      <c r="N244" s="154" t="str">
        <f t="shared" si="11"/>
        <v>No fit</v>
      </c>
      <c r="O244" s="173" t="s">
        <v>6399</v>
      </c>
      <c r="P244" s="173" t="s">
        <v>6051</v>
      </c>
    </row>
    <row r="245" spans="1:16" ht="64.05" customHeight="1" x14ac:dyDescent="0.3">
      <c r="A245" s="151" t="s">
        <v>6468</v>
      </c>
      <c r="B245" s="151" t="s">
        <v>5793</v>
      </c>
      <c r="C245" s="151" t="s">
        <v>86</v>
      </c>
      <c r="D245" s="151">
        <v>2025</v>
      </c>
      <c r="E245" s="151" t="s">
        <v>74</v>
      </c>
      <c r="F245" s="174" t="s">
        <v>6249</v>
      </c>
      <c r="G245" s="167">
        <f>(365*AVERAGE(DGKC!G50,DGKC!H50))</f>
        <v>4695342.2974999994</v>
      </c>
      <c r="H245" s="167">
        <f>'Forensic Inputs'!$G$81</f>
        <v>53675.855000000003</v>
      </c>
      <c r="I245" s="165">
        <f t="shared" si="9"/>
        <v>87.475873416455116</v>
      </c>
      <c r="J245" s="165">
        <v>87.475873416455116</v>
      </c>
      <c r="K245" s="169">
        <f t="shared" si="10"/>
        <v>0</v>
      </c>
      <c r="L245" s="165">
        <v>83</v>
      </c>
      <c r="M245" s="151">
        <v>0</v>
      </c>
      <c r="N245" s="151" t="str">
        <f t="shared" si="11"/>
        <v>No fit</v>
      </c>
      <c r="O245" s="174" t="s">
        <v>6401</v>
      </c>
      <c r="P245" s="174" t="s">
        <v>6051</v>
      </c>
    </row>
    <row r="246" spans="1:16" ht="64.05" customHeight="1" x14ac:dyDescent="0.3">
      <c r="A246" s="154" t="s">
        <v>6469</v>
      </c>
      <c r="B246" s="154" t="s">
        <v>5793</v>
      </c>
      <c r="C246" s="154" t="s">
        <v>86</v>
      </c>
      <c r="D246" s="154">
        <v>2025</v>
      </c>
      <c r="E246" s="154" t="s">
        <v>74</v>
      </c>
      <c r="F246" s="173" t="s">
        <v>6252</v>
      </c>
      <c r="G246" s="166">
        <f>(365*'Forensic Inputs'!$G$71)</f>
        <v>5270154.335</v>
      </c>
      <c r="H246" s="166">
        <f>'Forensic Inputs'!$G$76</f>
        <v>58834.576999999997</v>
      </c>
      <c r="I246" s="164">
        <f t="shared" si="9"/>
        <v>89.575800553473854</v>
      </c>
      <c r="J246" s="164">
        <v>89.575800553473854</v>
      </c>
      <c r="K246" s="168">
        <f t="shared" si="10"/>
        <v>0</v>
      </c>
      <c r="L246" s="164">
        <v>83</v>
      </c>
      <c r="M246" s="154">
        <v>0</v>
      </c>
      <c r="N246" s="154" t="str">
        <f t="shared" si="11"/>
        <v>No fit</v>
      </c>
      <c r="O246" s="173" t="s">
        <v>6403</v>
      </c>
      <c r="P246" s="173" t="s">
        <v>6051</v>
      </c>
    </row>
    <row r="247" spans="1:16" ht="64.05" customHeight="1" x14ac:dyDescent="0.3">
      <c r="A247" s="151" t="s">
        <v>6470</v>
      </c>
      <c r="B247" s="151" t="s">
        <v>5793</v>
      </c>
      <c r="C247" s="151" t="s">
        <v>86</v>
      </c>
      <c r="D247" s="151">
        <v>2025</v>
      </c>
      <c r="E247" s="151" t="s">
        <v>74</v>
      </c>
      <c r="F247" s="174" t="s">
        <v>6255</v>
      </c>
      <c r="G247" s="167">
        <f>(365*AVERAGE('Forensic Inputs'!$G$70,'Forensic Inputs'!$G$71))</f>
        <v>5065965.67</v>
      </c>
      <c r="H247" s="167">
        <f>'Forensic Inputs'!$G$76</f>
        <v>58834.576999999997</v>
      </c>
      <c r="I247" s="165">
        <f t="shared" si="9"/>
        <v>86.105245050032394</v>
      </c>
      <c r="J247" s="165">
        <v>86.105245050032394</v>
      </c>
      <c r="K247" s="169">
        <f t="shared" si="10"/>
        <v>0</v>
      </c>
      <c r="L247" s="165">
        <v>83</v>
      </c>
      <c r="M247" s="151">
        <v>0</v>
      </c>
      <c r="N247" s="151" t="str">
        <f t="shared" si="11"/>
        <v>No fit</v>
      </c>
      <c r="O247" s="174" t="s">
        <v>6471</v>
      </c>
      <c r="P247" s="174" t="s">
        <v>6051</v>
      </c>
    </row>
    <row r="248" spans="1:16" ht="64.05" customHeight="1" x14ac:dyDescent="0.3">
      <c r="A248" s="154" t="s">
        <v>6472</v>
      </c>
      <c r="B248" s="154" t="s">
        <v>5793</v>
      </c>
      <c r="C248" s="154" t="s">
        <v>86</v>
      </c>
      <c r="D248" s="154">
        <v>2025</v>
      </c>
      <c r="E248" s="154" t="s">
        <v>74</v>
      </c>
      <c r="F248" s="173" t="s">
        <v>6258</v>
      </c>
      <c r="G248" s="166">
        <f>(365*(((('Forensic Inputs'!$G$130+'Forensic Inputs'!$G$131)+'Forensic Inputs'!$G$132)+DGKC!H50)/4))</f>
        <v>5121805.3774999995</v>
      </c>
      <c r="H248" s="166">
        <f>(DGKC!H85*-1)</f>
        <v>53387.165999999997</v>
      </c>
      <c r="I248" s="164">
        <f t="shared" si="9"/>
        <v>95.937015602214203</v>
      </c>
      <c r="J248" s="164">
        <v>95.937015602214203</v>
      </c>
      <c r="K248" s="168">
        <f t="shared" si="10"/>
        <v>0</v>
      </c>
      <c r="L248" s="164">
        <v>83</v>
      </c>
      <c r="M248" s="154">
        <v>0</v>
      </c>
      <c r="N248" s="154" t="str">
        <f t="shared" si="11"/>
        <v>No fit</v>
      </c>
      <c r="O248" s="173" t="s">
        <v>6473</v>
      </c>
      <c r="P248" s="173" t="s">
        <v>6051</v>
      </c>
    </row>
    <row r="249" spans="1:16" ht="64.05" customHeight="1" x14ac:dyDescent="0.3">
      <c r="A249" s="151" t="s">
        <v>6474</v>
      </c>
      <c r="B249" s="151" t="s">
        <v>5793</v>
      </c>
      <c r="C249" s="151" t="s">
        <v>86</v>
      </c>
      <c r="D249" s="151">
        <v>2025</v>
      </c>
      <c r="E249" s="151" t="s">
        <v>74</v>
      </c>
      <c r="F249" s="174" t="s">
        <v>6261</v>
      </c>
      <c r="G249" s="167">
        <f>(365*((((('Forensic Inputs'!$G$130+'Forensic Inputs'!$G$131)+'Forensic Inputs'!$G$132)+(DGKC!G50/2))+(DGKC!H50/2))/4))</f>
        <v>5078963.8218750004</v>
      </c>
      <c r="H249" s="167">
        <f>(DGKC!H85*-1)</f>
        <v>53387.165999999997</v>
      </c>
      <c r="I249" s="165">
        <f t="shared" si="9"/>
        <v>95.134546416548886</v>
      </c>
      <c r="J249" s="165">
        <v>95.134546416548886</v>
      </c>
      <c r="K249" s="169">
        <f t="shared" si="10"/>
        <v>0</v>
      </c>
      <c r="L249" s="165">
        <v>83</v>
      </c>
      <c r="M249" s="151">
        <v>0</v>
      </c>
      <c r="N249" s="151" t="str">
        <f t="shared" si="11"/>
        <v>No fit</v>
      </c>
      <c r="O249" s="174" t="s">
        <v>6475</v>
      </c>
      <c r="P249" s="174" t="s">
        <v>6051</v>
      </c>
    </row>
    <row r="250" spans="1:16" ht="64.05" customHeight="1" x14ac:dyDescent="0.3">
      <c r="A250" s="154" t="s">
        <v>6476</v>
      </c>
      <c r="B250" s="154" t="s">
        <v>5797</v>
      </c>
      <c r="C250" s="154" t="s">
        <v>106</v>
      </c>
      <c r="D250" s="154">
        <v>2021</v>
      </c>
      <c r="E250" s="154" t="s">
        <v>108</v>
      </c>
      <c r="F250" s="173" t="s">
        <v>5893</v>
      </c>
      <c r="G250" s="166">
        <f>365*AVERAGE(MLCF!C65,MLCF!D65)</f>
        <v>4026664.3050000006</v>
      </c>
      <c r="H250" s="166">
        <f>-MLCF!D85</f>
        <v>28135.419000000002</v>
      </c>
      <c r="I250" s="164">
        <f t="shared" si="9"/>
        <v>143.11726813096334</v>
      </c>
      <c r="J250" s="164">
        <v>143.11726813096334</v>
      </c>
      <c r="K250" s="168">
        <f t="shared" si="10"/>
        <v>0</v>
      </c>
      <c r="L250" s="164">
        <v>25.99</v>
      </c>
      <c r="M250" s="154">
        <v>2</v>
      </c>
      <c r="N250" s="154" t="str">
        <f t="shared" si="11"/>
        <v>No fit</v>
      </c>
      <c r="O250" s="173" t="s">
        <v>6050</v>
      </c>
      <c r="P250" s="173" t="s">
        <v>6051</v>
      </c>
    </row>
    <row r="251" spans="1:16" ht="64.05" customHeight="1" x14ac:dyDescent="0.3">
      <c r="A251" s="151" t="s">
        <v>6477</v>
      </c>
      <c r="B251" s="151" t="s">
        <v>5797</v>
      </c>
      <c r="C251" s="151" t="s">
        <v>106</v>
      </c>
      <c r="D251" s="151">
        <v>2021</v>
      </c>
      <c r="E251" s="151" t="s">
        <v>108</v>
      </c>
      <c r="F251" s="174" t="s">
        <v>6478</v>
      </c>
      <c r="G251" s="167">
        <f>(365*AVERAGE(MLCF!C31,MLCF!D31))</f>
        <v>717149.62749999994</v>
      </c>
      <c r="H251" s="167">
        <f>(MLCF!D85*-1)</f>
        <v>28135.419000000002</v>
      </c>
      <c r="I251" s="165">
        <f t="shared" si="9"/>
        <v>25.489210859095429</v>
      </c>
      <c r="J251" s="165">
        <v>25.489210859095429</v>
      </c>
      <c r="K251" s="169">
        <f t="shared" si="10"/>
        <v>0</v>
      </c>
      <c r="L251" s="165">
        <v>25.99</v>
      </c>
      <c r="M251" s="151">
        <v>2</v>
      </c>
      <c r="N251" s="151" t="str">
        <f t="shared" si="11"/>
        <v>No fit</v>
      </c>
      <c r="O251" s="174" t="s">
        <v>6479</v>
      </c>
      <c r="P251" s="174" t="s">
        <v>6051</v>
      </c>
    </row>
    <row r="252" spans="1:16" ht="64.05" customHeight="1" x14ac:dyDescent="0.3">
      <c r="A252" s="154" t="s">
        <v>6480</v>
      </c>
      <c r="B252" s="154" t="s">
        <v>5797</v>
      </c>
      <c r="C252" s="154" t="s">
        <v>106</v>
      </c>
      <c r="D252" s="154">
        <v>2021</v>
      </c>
      <c r="E252" s="154" t="s">
        <v>108</v>
      </c>
      <c r="F252" s="173" t="s">
        <v>6481</v>
      </c>
      <c r="G252" s="166">
        <f>(365*AVERAGE(MLCF!C31,MLCF!D31))</f>
        <v>717149.62749999994</v>
      </c>
      <c r="H252" s="166">
        <f>((MLCF!D85*-1)-'Forensic Inputs'!$G$11)</f>
        <v>27591.731000000003</v>
      </c>
      <c r="I252" s="164">
        <f t="shared" si="9"/>
        <v>25.991469237649493</v>
      </c>
      <c r="J252" s="164">
        <v>25.991469237649493</v>
      </c>
      <c r="K252" s="168">
        <f t="shared" si="10"/>
        <v>0</v>
      </c>
      <c r="L252" s="164">
        <v>25.99</v>
      </c>
      <c r="M252" s="154">
        <v>2</v>
      </c>
      <c r="N252" s="154" t="str">
        <f t="shared" si="11"/>
        <v>Numeric fit</v>
      </c>
      <c r="O252" s="173" t="s">
        <v>6482</v>
      </c>
      <c r="P252" s="173" t="s">
        <v>6051</v>
      </c>
    </row>
    <row r="253" spans="1:16" ht="64.05" customHeight="1" x14ac:dyDescent="0.3">
      <c r="A253" s="151" t="s">
        <v>6483</v>
      </c>
      <c r="B253" s="151" t="s">
        <v>5797</v>
      </c>
      <c r="C253" s="151" t="s">
        <v>106</v>
      </c>
      <c r="D253" s="151">
        <v>2021</v>
      </c>
      <c r="E253" s="151" t="s">
        <v>108</v>
      </c>
      <c r="F253" s="174" t="s">
        <v>5801</v>
      </c>
      <c r="G253" s="167">
        <f>(365*AVERAGE(MLCF!C31,MLCF!D31))</f>
        <v>717149.62749999994</v>
      </c>
      <c r="H253" s="167">
        <f>((MLCF!D85*-1)-'Forensic Inputs'!$G$11)</f>
        <v>27591.731000000003</v>
      </c>
      <c r="I253" s="165">
        <f t="shared" si="9"/>
        <v>25.991469237649493</v>
      </c>
      <c r="J253" s="165">
        <v>25.991469237649493</v>
      </c>
      <c r="K253" s="169">
        <f t="shared" si="10"/>
        <v>0</v>
      </c>
      <c r="L253" s="165">
        <v>25.99</v>
      </c>
      <c r="M253" s="151">
        <v>2</v>
      </c>
      <c r="N253" s="151" t="str">
        <f t="shared" si="11"/>
        <v>Numeric fit</v>
      </c>
      <c r="O253" s="174" t="s">
        <v>6482</v>
      </c>
      <c r="P253" s="174" t="s">
        <v>6051</v>
      </c>
    </row>
    <row r="254" spans="1:16" ht="64.05" customHeight="1" x14ac:dyDescent="0.3">
      <c r="A254" s="154" t="s">
        <v>6484</v>
      </c>
      <c r="B254" s="154" t="s">
        <v>5805</v>
      </c>
      <c r="C254" s="154" t="s">
        <v>106</v>
      </c>
      <c r="D254" s="154">
        <v>2022</v>
      </c>
      <c r="E254" s="154" t="s">
        <v>108</v>
      </c>
      <c r="F254" s="173" t="s">
        <v>5893</v>
      </c>
      <c r="G254" s="166">
        <f>365*AVERAGE(MLCF!D65,MLCF!E65)</f>
        <v>5007457.9950000001</v>
      </c>
      <c r="H254" s="166">
        <f>-MLCF!E85</f>
        <v>36244.156000000003</v>
      </c>
      <c r="I254" s="164">
        <f t="shared" si="9"/>
        <v>138.1590454196257</v>
      </c>
      <c r="J254" s="164">
        <v>138.1590454196257</v>
      </c>
      <c r="K254" s="168">
        <f t="shared" si="10"/>
        <v>0</v>
      </c>
      <c r="L254" s="164">
        <v>24.88</v>
      </c>
      <c r="M254" s="154">
        <v>2</v>
      </c>
      <c r="N254" s="154" t="str">
        <f t="shared" si="11"/>
        <v>No fit</v>
      </c>
      <c r="O254" s="173" t="s">
        <v>6050</v>
      </c>
      <c r="P254" s="173" t="s">
        <v>6051</v>
      </c>
    </row>
    <row r="255" spans="1:16" ht="64.05" customHeight="1" x14ac:dyDescent="0.3">
      <c r="A255" s="151" t="s">
        <v>6485</v>
      </c>
      <c r="B255" s="151" t="s">
        <v>5805</v>
      </c>
      <c r="C255" s="151" t="s">
        <v>106</v>
      </c>
      <c r="D255" s="151">
        <v>2022</v>
      </c>
      <c r="E255" s="151" t="s">
        <v>108</v>
      </c>
      <c r="F255" s="174" t="s">
        <v>6478</v>
      </c>
      <c r="G255" s="167">
        <f>(365*AVERAGE(MLCF!D31,MLCF!E31))</f>
        <v>884359.23</v>
      </c>
      <c r="H255" s="167">
        <f>(MLCF!E85*-1)</f>
        <v>36244.156000000003</v>
      </c>
      <c r="I255" s="165">
        <f t="shared" si="9"/>
        <v>24.400050314318257</v>
      </c>
      <c r="J255" s="165">
        <v>24.400050314318257</v>
      </c>
      <c r="K255" s="169">
        <f t="shared" si="10"/>
        <v>0</v>
      </c>
      <c r="L255" s="165">
        <v>24.88</v>
      </c>
      <c r="M255" s="151">
        <v>2</v>
      </c>
      <c r="N255" s="151" t="str">
        <f t="shared" si="11"/>
        <v>No fit</v>
      </c>
      <c r="O255" s="174" t="s">
        <v>6479</v>
      </c>
      <c r="P255" s="174" t="s">
        <v>6051</v>
      </c>
    </row>
    <row r="256" spans="1:16" ht="64.05" customHeight="1" x14ac:dyDescent="0.3">
      <c r="A256" s="154" t="s">
        <v>6486</v>
      </c>
      <c r="B256" s="154" t="s">
        <v>5805</v>
      </c>
      <c r="C256" s="154" t="s">
        <v>106</v>
      </c>
      <c r="D256" s="154">
        <v>2022</v>
      </c>
      <c r="E256" s="154" t="s">
        <v>108</v>
      </c>
      <c r="F256" s="173" t="s">
        <v>6481</v>
      </c>
      <c r="G256" s="166">
        <f>(365*AVERAGE(MLCF!D31,MLCF!E31))</f>
        <v>884359.23</v>
      </c>
      <c r="H256" s="166">
        <f>((MLCF!E85*-1)-'Forensic Inputs'!$G$12)</f>
        <v>35544.492000000006</v>
      </c>
      <c r="I256" s="164">
        <f t="shared" si="9"/>
        <v>24.880345174155249</v>
      </c>
      <c r="J256" s="164">
        <v>24.880345174155249</v>
      </c>
      <c r="K256" s="168">
        <f t="shared" si="10"/>
        <v>0</v>
      </c>
      <c r="L256" s="164">
        <v>24.88</v>
      </c>
      <c r="M256" s="154">
        <v>2</v>
      </c>
      <c r="N256" s="154" t="str">
        <f t="shared" si="11"/>
        <v>Numeric fit</v>
      </c>
      <c r="O256" s="173" t="s">
        <v>6482</v>
      </c>
      <c r="P256" s="173" t="s">
        <v>6051</v>
      </c>
    </row>
    <row r="257" spans="1:16" ht="64.05" customHeight="1" x14ac:dyDescent="0.3">
      <c r="A257" s="151" t="s">
        <v>6487</v>
      </c>
      <c r="B257" s="151" t="s">
        <v>5805</v>
      </c>
      <c r="C257" s="151" t="s">
        <v>106</v>
      </c>
      <c r="D257" s="151">
        <v>2022</v>
      </c>
      <c r="E257" s="151" t="s">
        <v>108</v>
      </c>
      <c r="F257" s="174" t="s">
        <v>5801</v>
      </c>
      <c r="G257" s="167">
        <f>(365*AVERAGE(MLCF!D31,MLCF!E31))</f>
        <v>884359.23</v>
      </c>
      <c r="H257" s="167">
        <f>((MLCF!E85*-1)-'Forensic Inputs'!$G$12)</f>
        <v>35544.492000000006</v>
      </c>
      <c r="I257" s="165">
        <f t="shared" si="9"/>
        <v>24.880345174155249</v>
      </c>
      <c r="J257" s="165">
        <v>24.880345174155249</v>
      </c>
      <c r="K257" s="169">
        <f t="shared" si="10"/>
        <v>0</v>
      </c>
      <c r="L257" s="165">
        <v>24.88</v>
      </c>
      <c r="M257" s="151">
        <v>2</v>
      </c>
      <c r="N257" s="151" t="str">
        <f t="shared" si="11"/>
        <v>Numeric fit</v>
      </c>
      <c r="O257" s="174" t="s">
        <v>6482</v>
      </c>
      <c r="P257" s="174" t="s">
        <v>6051</v>
      </c>
    </row>
    <row r="258" spans="1:16" ht="64.05" customHeight="1" x14ac:dyDescent="0.3">
      <c r="A258" s="154" t="s">
        <v>6488</v>
      </c>
      <c r="B258" s="154" t="s">
        <v>5809</v>
      </c>
      <c r="C258" s="154" t="s">
        <v>106</v>
      </c>
      <c r="D258" s="154">
        <v>2024</v>
      </c>
      <c r="E258" s="154" t="s">
        <v>108</v>
      </c>
      <c r="F258" s="173" t="s">
        <v>5893</v>
      </c>
      <c r="G258" s="166">
        <f>365*AVERAGE(MLCF!F65,MLCF!G65)</f>
        <v>5353509.9325000001</v>
      </c>
      <c r="H258" s="166">
        <f>-MLCF!G85</f>
        <v>45488.063999999998</v>
      </c>
      <c r="I258" s="164">
        <f t="shared" si="9"/>
        <v>117.69043264844159</v>
      </c>
      <c r="J258" s="164">
        <v>117.69043264844159</v>
      </c>
      <c r="K258" s="168">
        <f t="shared" si="10"/>
        <v>0</v>
      </c>
      <c r="L258" s="164">
        <v>28.69</v>
      </c>
      <c r="M258" s="154">
        <v>2</v>
      </c>
      <c r="N258" s="154" t="str">
        <f t="shared" si="11"/>
        <v>No fit</v>
      </c>
      <c r="O258" s="173" t="s">
        <v>6050</v>
      </c>
      <c r="P258" s="173" t="s">
        <v>6051</v>
      </c>
    </row>
    <row r="259" spans="1:16" ht="64.05" customHeight="1" x14ac:dyDescent="0.3">
      <c r="A259" s="151" t="s">
        <v>6489</v>
      </c>
      <c r="B259" s="151" t="s">
        <v>5809</v>
      </c>
      <c r="C259" s="151" t="s">
        <v>106</v>
      </c>
      <c r="D259" s="151">
        <v>2024</v>
      </c>
      <c r="E259" s="151" t="s">
        <v>108</v>
      </c>
      <c r="F259" s="174" t="s">
        <v>6478</v>
      </c>
      <c r="G259" s="167">
        <f>(365*AVERAGE(MLCF!F31,MLCF!G31))</f>
        <v>1301436.335</v>
      </c>
      <c r="H259" s="167">
        <f>(MLCF!G85*-1)</f>
        <v>45488.063999999998</v>
      </c>
      <c r="I259" s="165">
        <f t="shared" si="9"/>
        <v>28.610501757120286</v>
      </c>
      <c r="J259" s="165">
        <v>28.610501757120286</v>
      </c>
      <c r="K259" s="169">
        <f t="shared" si="10"/>
        <v>0</v>
      </c>
      <c r="L259" s="165">
        <v>28.69</v>
      </c>
      <c r="M259" s="151">
        <v>2</v>
      </c>
      <c r="N259" s="151" t="str">
        <f t="shared" si="11"/>
        <v>No fit</v>
      </c>
      <c r="O259" s="174" t="s">
        <v>6479</v>
      </c>
      <c r="P259" s="174" t="s">
        <v>6051</v>
      </c>
    </row>
    <row r="260" spans="1:16" ht="64.05" customHeight="1" x14ac:dyDescent="0.3">
      <c r="A260" s="154" t="s">
        <v>6490</v>
      </c>
      <c r="B260" s="154" t="s">
        <v>5809</v>
      </c>
      <c r="C260" s="154" t="s">
        <v>106</v>
      </c>
      <c r="D260" s="154">
        <v>2024</v>
      </c>
      <c r="E260" s="154" t="s">
        <v>108</v>
      </c>
      <c r="F260" s="173" t="s">
        <v>6481</v>
      </c>
      <c r="G260" s="166">
        <f>(365*AVERAGE(MLCF!F31,MLCF!G31))</f>
        <v>1301436.335</v>
      </c>
      <c r="H260" s="166">
        <f>(MLCF!G85*-1)</f>
        <v>45488.063999999998</v>
      </c>
      <c r="I260" s="164">
        <f t="shared" si="9"/>
        <v>28.610501757120286</v>
      </c>
      <c r="J260" s="164">
        <v>28.610501757120286</v>
      </c>
      <c r="K260" s="168">
        <f t="shared" si="10"/>
        <v>0</v>
      </c>
      <c r="L260" s="164">
        <v>28.69</v>
      </c>
      <c r="M260" s="154">
        <v>2</v>
      </c>
      <c r="N260" s="154" t="str">
        <f t="shared" si="11"/>
        <v>No fit</v>
      </c>
      <c r="O260" s="173" t="s">
        <v>6479</v>
      </c>
      <c r="P260" s="173" t="s">
        <v>6051</v>
      </c>
    </row>
    <row r="261" spans="1:16" ht="64.05" customHeight="1" x14ac:dyDescent="0.3">
      <c r="A261" s="151" t="s">
        <v>6491</v>
      </c>
      <c r="B261" s="151" t="s">
        <v>5809</v>
      </c>
      <c r="C261" s="151" t="s">
        <v>106</v>
      </c>
      <c r="D261" s="151">
        <v>2024</v>
      </c>
      <c r="E261" s="151" t="s">
        <v>108</v>
      </c>
      <c r="F261" s="174" t="s">
        <v>5801</v>
      </c>
      <c r="G261" s="167">
        <f>(366*AVERAGE(MLCF!F31,MLCF!G31))</f>
        <v>1305001.9139999999</v>
      </c>
      <c r="H261" s="167">
        <f>(MLCF!G85*-1)</f>
        <v>45488.063999999998</v>
      </c>
      <c r="I261" s="165">
        <f t="shared" si="9"/>
        <v>28.688886693441162</v>
      </c>
      <c r="J261" s="165">
        <v>28.688886693441162</v>
      </c>
      <c r="K261" s="169">
        <f t="shared" si="10"/>
        <v>0</v>
      </c>
      <c r="L261" s="165">
        <v>28.69</v>
      </c>
      <c r="M261" s="151">
        <v>2</v>
      </c>
      <c r="N261" s="151" t="str">
        <f t="shared" si="11"/>
        <v>Numeric fit</v>
      </c>
      <c r="O261" s="174" t="s">
        <v>6479</v>
      </c>
      <c r="P261" s="174" t="s">
        <v>6051</v>
      </c>
    </row>
    <row r="262" spans="1:16" ht="64.05" customHeight="1" x14ac:dyDescent="0.3">
      <c r="A262" s="154" t="s">
        <v>6492</v>
      </c>
      <c r="B262" s="154" t="s">
        <v>5813</v>
      </c>
      <c r="C262" s="154" t="s">
        <v>106</v>
      </c>
      <c r="D262" s="154">
        <v>2024</v>
      </c>
      <c r="E262" s="154" t="s">
        <v>71</v>
      </c>
      <c r="F262" s="173" t="s">
        <v>5893</v>
      </c>
      <c r="G262" s="166">
        <f>365*AVERAGE(MLCF!F32,MLCF!G32)</f>
        <v>1239125.7249999999</v>
      </c>
      <c r="H262" s="166">
        <f>MLCF!G84</f>
        <v>66452.347999999998</v>
      </c>
      <c r="I262" s="164">
        <f t="shared" ref="I262:I325" si="12">G262/H262</f>
        <v>18.646831335440545</v>
      </c>
      <c r="J262" s="164">
        <v>18.646831335440545</v>
      </c>
      <c r="K262" s="168">
        <f t="shared" ref="K262:K325" si="13">I262-J262</f>
        <v>0</v>
      </c>
      <c r="L262" s="164">
        <v>18.7</v>
      </c>
      <c r="M262" s="154">
        <v>2</v>
      </c>
      <c r="N262" s="154" t="str">
        <f t="shared" ref="N262:N325" si="14">IF(ROUND(I262,M262)=ROUND(L262,M262),"Numeric fit","No fit")</f>
        <v>No fit</v>
      </c>
      <c r="O262" s="173" t="s">
        <v>6050</v>
      </c>
      <c r="P262" s="173" t="s">
        <v>6051</v>
      </c>
    </row>
    <row r="263" spans="1:16" ht="64.05" customHeight="1" x14ac:dyDescent="0.3">
      <c r="A263" s="151" t="s">
        <v>6493</v>
      </c>
      <c r="B263" s="151" t="s">
        <v>5813</v>
      </c>
      <c r="C263" s="151" t="s">
        <v>106</v>
      </c>
      <c r="D263" s="151">
        <v>2024</v>
      </c>
      <c r="E263" s="151" t="s">
        <v>71</v>
      </c>
      <c r="F263" s="174" t="s">
        <v>6084</v>
      </c>
      <c r="G263" s="167">
        <f>(365*AVERAGE(MLCF!F32,MLCF!G32))</f>
        <v>1239125.7249999999</v>
      </c>
      <c r="H263" s="167">
        <f>MLCF!G84</f>
        <v>66452.347999999998</v>
      </c>
      <c r="I263" s="165">
        <f t="shared" si="12"/>
        <v>18.646831335440545</v>
      </c>
      <c r="J263" s="165">
        <v>18.646831335440545</v>
      </c>
      <c r="K263" s="169">
        <f t="shared" si="13"/>
        <v>0</v>
      </c>
      <c r="L263" s="165">
        <v>18.7</v>
      </c>
      <c r="M263" s="151">
        <v>2</v>
      </c>
      <c r="N263" s="151" t="str">
        <f t="shared" si="14"/>
        <v>No fit</v>
      </c>
      <c r="O263" s="174" t="s">
        <v>6494</v>
      </c>
      <c r="P263" s="174" t="s">
        <v>6051</v>
      </c>
    </row>
    <row r="264" spans="1:16" ht="64.05" customHeight="1" x14ac:dyDescent="0.3">
      <c r="A264" s="154" t="s">
        <v>6495</v>
      </c>
      <c r="B264" s="154" t="s">
        <v>5813</v>
      </c>
      <c r="C264" s="154" t="s">
        <v>106</v>
      </c>
      <c r="D264" s="154">
        <v>2024</v>
      </c>
      <c r="E264" s="154" t="s">
        <v>71</v>
      </c>
      <c r="F264" s="173" t="s">
        <v>5814</v>
      </c>
      <c r="G264" s="166">
        <f>(366*AVERAGE(MLCF!F32,MLCF!G32))</f>
        <v>1242520.5899999999</v>
      </c>
      <c r="H264" s="166">
        <f>MLCF!G84</f>
        <v>66452.347999999998</v>
      </c>
      <c r="I264" s="164">
        <f t="shared" si="12"/>
        <v>18.697918544578741</v>
      </c>
      <c r="J264" s="164">
        <v>18.697918544578741</v>
      </c>
      <c r="K264" s="168">
        <f t="shared" si="13"/>
        <v>0</v>
      </c>
      <c r="L264" s="164">
        <v>18.7</v>
      </c>
      <c r="M264" s="154">
        <v>2</v>
      </c>
      <c r="N264" s="154" t="str">
        <f t="shared" si="14"/>
        <v>Numeric fit</v>
      </c>
      <c r="O264" s="173" t="s">
        <v>6494</v>
      </c>
      <c r="P264" s="173" t="s">
        <v>6051</v>
      </c>
    </row>
    <row r="265" spans="1:16" ht="64.05" customHeight="1" x14ac:dyDescent="0.3">
      <c r="A265" s="151" t="s">
        <v>6496</v>
      </c>
      <c r="B265" s="151" t="s">
        <v>5813</v>
      </c>
      <c r="C265" s="151" t="s">
        <v>106</v>
      </c>
      <c r="D265" s="151">
        <v>2024</v>
      </c>
      <c r="E265" s="151" t="s">
        <v>71</v>
      </c>
      <c r="F265" s="174" t="s">
        <v>6088</v>
      </c>
      <c r="G265" s="167">
        <f>(360*AVERAGE(MLCF!F32,MLCF!G32))</f>
        <v>1222151.3999999999</v>
      </c>
      <c r="H265" s="167">
        <f>MLCF!G84</f>
        <v>66452.347999999998</v>
      </c>
      <c r="I265" s="165">
        <f t="shared" si="12"/>
        <v>18.391395289749582</v>
      </c>
      <c r="J265" s="165">
        <v>18.391395289749582</v>
      </c>
      <c r="K265" s="169">
        <f t="shared" si="13"/>
        <v>0</v>
      </c>
      <c r="L265" s="165">
        <v>18.7</v>
      </c>
      <c r="M265" s="151">
        <v>2</v>
      </c>
      <c r="N265" s="151" t="str">
        <f t="shared" si="14"/>
        <v>No fit</v>
      </c>
      <c r="O265" s="174" t="s">
        <v>6494</v>
      </c>
      <c r="P265" s="174" t="s">
        <v>6051</v>
      </c>
    </row>
    <row r="266" spans="1:16" ht="64.05" customHeight="1" x14ac:dyDescent="0.3">
      <c r="A266" s="154" t="s">
        <v>6497</v>
      </c>
      <c r="B266" s="154" t="s">
        <v>5813</v>
      </c>
      <c r="C266" s="154" t="s">
        <v>106</v>
      </c>
      <c r="D266" s="154">
        <v>2024</v>
      </c>
      <c r="E266" s="154" t="s">
        <v>71</v>
      </c>
      <c r="F266" s="173" t="s">
        <v>6090</v>
      </c>
      <c r="G266" s="166">
        <f>(365*MLCF!G32)</f>
        <v>1528891.925</v>
      </c>
      <c r="H266" s="166">
        <f>MLCF!G84</f>
        <v>66452.347999999998</v>
      </c>
      <c r="I266" s="164">
        <f t="shared" si="12"/>
        <v>23.007342419262599</v>
      </c>
      <c r="J266" s="164">
        <v>23.007342419262599</v>
      </c>
      <c r="K266" s="168">
        <f t="shared" si="13"/>
        <v>0</v>
      </c>
      <c r="L266" s="164">
        <v>18.7</v>
      </c>
      <c r="M266" s="154">
        <v>2</v>
      </c>
      <c r="N266" s="154" t="str">
        <f t="shared" si="14"/>
        <v>No fit</v>
      </c>
      <c r="O266" s="173" t="s">
        <v>6498</v>
      </c>
      <c r="P266" s="173" t="s">
        <v>6051</v>
      </c>
    </row>
    <row r="267" spans="1:16" ht="64.05" customHeight="1" x14ac:dyDescent="0.3">
      <c r="A267" s="151" t="s">
        <v>6499</v>
      </c>
      <c r="B267" s="151" t="s">
        <v>5813</v>
      </c>
      <c r="C267" s="151" t="s">
        <v>106</v>
      </c>
      <c r="D267" s="151">
        <v>2024</v>
      </c>
      <c r="E267" s="151" t="s">
        <v>71</v>
      </c>
      <c r="F267" s="174" t="s">
        <v>6093</v>
      </c>
      <c r="G267" s="167">
        <f>(366*MLCF!G32)</f>
        <v>1533080.67</v>
      </c>
      <c r="H267" s="167">
        <f>MLCF!G84</f>
        <v>66452.347999999998</v>
      </c>
      <c r="I267" s="165">
        <f t="shared" si="12"/>
        <v>23.07037623410989</v>
      </c>
      <c r="J267" s="165">
        <v>23.07037623410989</v>
      </c>
      <c r="K267" s="169">
        <f t="shared" si="13"/>
        <v>0</v>
      </c>
      <c r="L267" s="165">
        <v>18.7</v>
      </c>
      <c r="M267" s="151">
        <v>2</v>
      </c>
      <c r="N267" s="151" t="str">
        <f t="shared" si="14"/>
        <v>No fit</v>
      </c>
      <c r="O267" s="174" t="s">
        <v>6498</v>
      </c>
      <c r="P267" s="174" t="s">
        <v>6051</v>
      </c>
    </row>
    <row r="268" spans="1:16" ht="64.05" customHeight="1" x14ac:dyDescent="0.3">
      <c r="A268" s="154" t="s">
        <v>6500</v>
      </c>
      <c r="B268" s="154" t="s">
        <v>5813</v>
      </c>
      <c r="C268" s="154" t="s">
        <v>106</v>
      </c>
      <c r="D268" s="154">
        <v>2024</v>
      </c>
      <c r="E268" s="154" t="s">
        <v>71</v>
      </c>
      <c r="F268" s="173" t="s">
        <v>6095</v>
      </c>
      <c r="G268" s="166">
        <f>(360*MLCF!G32)</f>
        <v>1507948.2</v>
      </c>
      <c r="H268" s="166">
        <f>MLCF!G84</f>
        <v>66452.347999999998</v>
      </c>
      <c r="I268" s="164">
        <f t="shared" si="12"/>
        <v>22.692173345026124</v>
      </c>
      <c r="J268" s="164">
        <v>22.692173345026124</v>
      </c>
      <c r="K268" s="168">
        <f t="shared" si="13"/>
        <v>0</v>
      </c>
      <c r="L268" s="164">
        <v>18.7</v>
      </c>
      <c r="M268" s="154">
        <v>2</v>
      </c>
      <c r="N268" s="154" t="str">
        <f t="shared" si="14"/>
        <v>No fit</v>
      </c>
      <c r="O268" s="173" t="s">
        <v>6498</v>
      </c>
      <c r="P268" s="173" t="s">
        <v>6051</v>
      </c>
    </row>
    <row r="269" spans="1:16" ht="64.05" customHeight="1" x14ac:dyDescent="0.3">
      <c r="A269" s="151" t="s">
        <v>6501</v>
      </c>
      <c r="B269" s="151" t="s">
        <v>5813</v>
      </c>
      <c r="C269" s="151" t="s">
        <v>106</v>
      </c>
      <c r="D269" s="151">
        <v>2024</v>
      </c>
      <c r="E269" s="151" t="s">
        <v>71</v>
      </c>
      <c r="F269" s="174" t="s">
        <v>6097</v>
      </c>
      <c r="G269" s="167">
        <f>(365*MLCF!F32)</f>
        <v>949359.52500000002</v>
      </c>
      <c r="H269" s="167">
        <f>MLCF!G84</f>
        <v>66452.347999999998</v>
      </c>
      <c r="I269" s="165">
        <f t="shared" si="12"/>
        <v>14.286320251618498</v>
      </c>
      <c r="J269" s="165">
        <v>14.286320251618498</v>
      </c>
      <c r="K269" s="169">
        <f t="shared" si="13"/>
        <v>0</v>
      </c>
      <c r="L269" s="165">
        <v>18.7</v>
      </c>
      <c r="M269" s="151">
        <v>2</v>
      </c>
      <c r="N269" s="151" t="str">
        <f t="shared" si="14"/>
        <v>No fit</v>
      </c>
      <c r="O269" s="174" t="s">
        <v>6498</v>
      </c>
      <c r="P269" s="174" t="s">
        <v>6051</v>
      </c>
    </row>
    <row r="270" spans="1:16" ht="64.05" customHeight="1" x14ac:dyDescent="0.3">
      <c r="A270" s="154" t="s">
        <v>6502</v>
      </c>
      <c r="B270" s="154" t="s">
        <v>5813</v>
      </c>
      <c r="C270" s="154" t="s">
        <v>106</v>
      </c>
      <c r="D270" s="154">
        <v>2024</v>
      </c>
      <c r="E270" s="154" t="s">
        <v>71</v>
      </c>
      <c r="F270" s="173" t="s">
        <v>6099</v>
      </c>
      <c r="G270" s="166">
        <f>(366*MLCF!F32)</f>
        <v>951960.51</v>
      </c>
      <c r="H270" s="166">
        <f>MLCF!G84</f>
        <v>66452.347999999998</v>
      </c>
      <c r="I270" s="164">
        <f t="shared" si="12"/>
        <v>14.32546085504759</v>
      </c>
      <c r="J270" s="164">
        <v>14.32546085504759</v>
      </c>
      <c r="K270" s="168">
        <f t="shared" si="13"/>
        <v>0</v>
      </c>
      <c r="L270" s="164">
        <v>18.7</v>
      </c>
      <c r="M270" s="154">
        <v>2</v>
      </c>
      <c r="N270" s="154" t="str">
        <f t="shared" si="14"/>
        <v>No fit</v>
      </c>
      <c r="O270" s="173" t="s">
        <v>6498</v>
      </c>
      <c r="P270" s="173" t="s">
        <v>6051</v>
      </c>
    </row>
    <row r="271" spans="1:16" ht="64.05" customHeight="1" x14ac:dyDescent="0.3">
      <c r="A271" s="151" t="s">
        <v>6503</v>
      </c>
      <c r="B271" s="151" t="s">
        <v>5813</v>
      </c>
      <c r="C271" s="151" t="s">
        <v>106</v>
      </c>
      <c r="D271" s="151">
        <v>2024</v>
      </c>
      <c r="E271" s="151" t="s">
        <v>71</v>
      </c>
      <c r="F271" s="174" t="s">
        <v>6101</v>
      </c>
      <c r="G271" s="167">
        <f>(360*MLCF!F32)</f>
        <v>936354.60000000009</v>
      </c>
      <c r="H271" s="167">
        <f>MLCF!G84</f>
        <v>66452.347999999998</v>
      </c>
      <c r="I271" s="165">
        <f t="shared" si="12"/>
        <v>14.090617234473042</v>
      </c>
      <c r="J271" s="165">
        <v>14.090617234473042</v>
      </c>
      <c r="K271" s="169">
        <f t="shared" si="13"/>
        <v>0</v>
      </c>
      <c r="L271" s="165">
        <v>18.7</v>
      </c>
      <c r="M271" s="151">
        <v>2</v>
      </c>
      <c r="N271" s="151" t="str">
        <f t="shared" si="14"/>
        <v>No fit</v>
      </c>
      <c r="O271" s="174" t="s">
        <v>6498</v>
      </c>
      <c r="P271" s="174" t="s">
        <v>6051</v>
      </c>
    </row>
    <row r="272" spans="1:16" ht="64.05" customHeight="1" x14ac:dyDescent="0.3">
      <c r="A272" s="154" t="s">
        <v>6504</v>
      </c>
      <c r="B272" s="154" t="s">
        <v>5813</v>
      </c>
      <c r="C272" s="154" t="s">
        <v>106</v>
      </c>
      <c r="D272" s="154">
        <v>2024</v>
      </c>
      <c r="E272" s="154" t="s">
        <v>71</v>
      </c>
      <c r="F272" s="173" t="s">
        <v>5762</v>
      </c>
      <c r="G272" s="166">
        <f>365</f>
        <v>365</v>
      </c>
      <c r="H272" s="166">
        <f>ROUND((MLCF!G84/AVERAGE(MLCF!F32,MLCF!G32)),2)</f>
        <v>19.57</v>
      </c>
      <c r="I272" s="164">
        <f t="shared" si="12"/>
        <v>18.650996423096576</v>
      </c>
      <c r="J272" s="164">
        <v>18.650996423096576</v>
      </c>
      <c r="K272" s="168">
        <f t="shared" si="13"/>
        <v>0</v>
      </c>
      <c r="L272" s="164">
        <v>18.7</v>
      </c>
      <c r="M272" s="154">
        <v>2</v>
      </c>
      <c r="N272" s="154" t="str">
        <f t="shared" si="14"/>
        <v>No fit</v>
      </c>
      <c r="O272" s="173" t="s">
        <v>6505</v>
      </c>
      <c r="P272" s="173" t="s">
        <v>6051</v>
      </c>
    </row>
    <row r="273" spans="1:16" ht="64.05" customHeight="1" x14ac:dyDescent="0.3">
      <c r="A273" s="151" t="s">
        <v>6506</v>
      </c>
      <c r="B273" s="151" t="s">
        <v>5816</v>
      </c>
      <c r="C273" s="151" t="s">
        <v>106</v>
      </c>
      <c r="D273" s="151">
        <v>2021</v>
      </c>
      <c r="E273" s="151" t="s">
        <v>111</v>
      </c>
      <c r="F273" s="174" t="s">
        <v>5893</v>
      </c>
      <c r="G273" s="167">
        <f>365*AVERAGE(MLCF!C51,MLCF!D51)</f>
        <v>1414479.9375000002</v>
      </c>
      <c r="H273" s="167">
        <f>-MLCF!D85</f>
        <v>28135.419000000002</v>
      </c>
      <c r="I273" s="165">
        <f t="shared" si="12"/>
        <v>50.273995830664546</v>
      </c>
      <c r="J273" s="165">
        <v>50.273995830664546</v>
      </c>
      <c r="K273" s="169">
        <f t="shared" si="13"/>
        <v>0</v>
      </c>
      <c r="L273" s="165">
        <v>48.96</v>
      </c>
      <c r="M273" s="151">
        <v>2</v>
      </c>
      <c r="N273" s="151" t="str">
        <f t="shared" si="14"/>
        <v>No fit</v>
      </c>
      <c r="O273" s="174" t="s">
        <v>6050</v>
      </c>
      <c r="P273" s="174" t="s">
        <v>6051</v>
      </c>
    </row>
    <row r="274" spans="1:16" ht="64.05" customHeight="1" x14ac:dyDescent="0.3">
      <c r="A274" s="154" t="s">
        <v>6507</v>
      </c>
      <c r="B274" s="154" t="s">
        <v>5816</v>
      </c>
      <c r="C274" s="154" t="s">
        <v>106</v>
      </c>
      <c r="D274" s="154">
        <v>2021</v>
      </c>
      <c r="E274" s="154" t="s">
        <v>111</v>
      </c>
      <c r="F274" s="173" t="s">
        <v>6508</v>
      </c>
      <c r="G274" s="166">
        <f>(365*AVERAGE((MLCF!C51-MLCF!C253),(MLCF!D51-MLCF!D253)))</f>
        <v>1350881.79</v>
      </c>
      <c r="H274" s="166">
        <f>(MLCF!D85*-1)</f>
        <v>28135.419000000002</v>
      </c>
      <c r="I274" s="164">
        <f t="shared" si="12"/>
        <v>48.013565747856816</v>
      </c>
      <c r="J274" s="164">
        <v>48.013565747856816</v>
      </c>
      <c r="K274" s="168">
        <f t="shared" si="13"/>
        <v>0</v>
      </c>
      <c r="L274" s="164">
        <v>48.96</v>
      </c>
      <c r="M274" s="154">
        <v>2</v>
      </c>
      <c r="N274" s="154" t="str">
        <f t="shared" si="14"/>
        <v>No fit</v>
      </c>
      <c r="O274" s="173" t="s">
        <v>6509</v>
      </c>
      <c r="P274" s="173" t="s">
        <v>6051</v>
      </c>
    </row>
    <row r="275" spans="1:16" ht="64.05" customHeight="1" x14ac:dyDescent="0.3">
      <c r="A275" s="151" t="s">
        <v>6510</v>
      </c>
      <c r="B275" s="151" t="s">
        <v>5816</v>
      </c>
      <c r="C275" s="151" t="s">
        <v>106</v>
      </c>
      <c r="D275" s="151">
        <v>2021</v>
      </c>
      <c r="E275" s="151" t="s">
        <v>111</v>
      </c>
      <c r="F275" s="174" t="s">
        <v>5818</v>
      </c>
      <c r="G275" s="167">
        <f>(365*AVERAGE((MLCF!C51-MLCF!C253),(MLCF!D51-MLCF!D253)))</f>
        <v>1350881.79</v>
      </c>
      <c r="H275" s="167">
        <f>((MLCF!D85*-1)-'Forensic Inputs'!$G$11)</f>
        <v>27591.731000000003</v>
      </c>
      <c r="I275" s="165">
        <f t="shared" si="12"/>
        <v>48.95966077662905</v>
      </c>
      <c r="J275" s="165">
        <v>48.95966077662905</v>
      </c>
      <c r="K275" s="169">
        <f t="shared" si="13"/>
        <v>0</v>
      </c>
      <c r="L275" s="165">
        <v>48.96</v>
      </c>
      <c r="M275" s="151">
        <v>2</v>
      </c>
      <c r="N275" s="151" t="str">
        <f t="shared" si="14"/>
        <v>Numeric fit</v>
      </c>
      <c r="O275" s="174" t="s">
        <v>6511</v>
      </c>
      <c r="P275" s="174" t="s">
        <v>6051</v>
      </c>
    </row>
    <row r="276" spans="1:16" ht="64.05" customHeight="1" x14ac:dyDescent="0.3">
      <c r="A276" s="154" t="s">
        <v>6512</v>
      </c>
      <c r="B276" s="154" t="s">
        <v>5816</v>
      </c>
      <c r="C276" s="154" t="s">
        <v>106</v>
      </c>
      <c r="D276" s="154">
        <v>2021</v>
      </c>
      <c r="E276" s="154" t="s">
        <v>111</v>
      </c>
      <c r="F276" s="173" t="s">
        <v>6513</v>
      </c>
      <c r="G276" s="166">
        <f>(366*AVERAGE((MLCF!C51-MLCF!C253),(MLCF!D51-MLCF!D253)))</f>
        <v>1354582.8360000001</v>
      </c>
      <c r="H276" s="166">
        <f>((MLCF!D85*-1)-'Forensic Inputs'!$G$11)</f>
        <v>27591.731000000003</v>
      </c>
      <c r="I276" s="164">
        <f t="shared" si="12"/>
        <v>49.093796833551323</v>
      </c>
      <c r="J276" s="164">
        <v>49.093796833551323</v>
      </c>
      <c r="K276" s="168">
        <f t="shared" si="13"/>
        <v>0</v>
      </c>
      <c r="L276" s="164">
        <v>48.96</v>
      </c>
      <c r="M276" s="154">
        <v>2</v>
      </c>
      <c r="N276" s="154" t="str">
        <f t="shared" si="14"/>
        <v>No fit</v>
      </c>
      <c r="O276" s="173" t="s">
        <v>6511</v>
      </c>
      <c r="P276" s="173" t="s">
        <v>6051</v>
      </c>
    </row>
    <row r="277" spans="1:16" ht="64.05" customHeight="1" x14ac:dyDescent="0.3">
      <c r="A277" s="151" t="s">
        <v>6514</v>
      </c>
      <c r="B277" s="151" t="s">
        <v>5821</v>
      </c>
      <c r="C277" s="151" t="s">
        <v>106</v>
      </c>
      <c r="D277" s="151">
        <v>2022</v>
      </c>
      <c r="E277" s="151" t="s">
        <v>111</v>
      </c>
      <c r="F277" s="174" t="s">
        <v>5893</v>
      </c>
      <c r="G277" s="167">
        <f>365*AVERAGE(MLCF!D51,MLCF!E51)</f>
        <v>1402501.3675000002</v>
      </c>
      <c r="H277" s="167">
        <f>-MLCF!E85</f>
        <v>36244.156000000003</v>
      </c>
      <c r="I277" s="165">
        <f t="shared" si="12"/>
        <v>38.695931214400467</v>
      </c>
      <c r="J277" s="165">
        <v>38.695931214400467</v>
      </c>
      <c r="K277" s="169">
        <f t="shared" si="13"/>
        <v>0</v>
      </c>
      <c r="L277" s="165">
        <v>38.46</v>
      </c>
      <c r="M277" s="151">
        <v>2</v>
      </c>
      <c r="N277" s="151" t="str">
        <f t="shared" si="14"/>
        <v>No fit</v>
      </c>
      <c r="O277" s="174" t="s">
        <v>6050</v>
      </c>
      <c r="P277" s="174" t="s">
        <v>6051</v>
      </c>
    </row>
    <row r="278" spans="1:16" ht="64.05" customHeight="1" x14ac:dyDescent="0.3">
      <c r="A278" s="154" t="s">
        <v>6515</v>
      </c>
      <c r="B278" s="154" t="s">
        <v>5821</v>
      </c>
      <c r="C278" s="154" t="s">
        <v>106</v>
      </c>
      <c r="D278" s="154">
        <v>2022</v>
      </c>
      <c r="E278" s="154" t="s">
        <v>111</v>
      </c>
      <c r="F278" s="173" t="s">
        <v>6508</v>
      </c>
      <c r="G278" s="166">
        <f>(365*AVERAGE((MLCF!D51-MLCF!D253),(MLCF!E51-MLCF!E253)))</f>
        <v>1367129.4</v>
      </c>
      <c r="H278" s="166">
        <f>(MLCF!E85*-1)</f>
        <v>36244.156000000003</v>
      </c>
      <c r="I278" s="164">
        <f t="shared" si="12"/>
        <v>37.71999546630358</v>
      </c>
      <c r="J278" s="164">
        <v>37.71999546630358</v>
      </c>
      <c r="K278" s="168">
        <f t="shared" si="13"/>
        <v>0</v>
      </c>
      <c r="L278" s="164">
        <v>38.46</v>
      </c>
      <c r="M278" s="154">
        <v>2</v>
      </c>
      <c r="N278" s="154" t="str">
        <f t="shared" si="14"/>
        <v>No fit</v>
      </c>
      <c r="O278" s="173" t="s">
        <v>6509</v>
      </c>
      <c r="P278" s="173" t="s">
        <v>6051</v>
      </c>
    </row>
    <row r="279" spans="1:16" ht="64.05" customHeight="1" x14ac:dyDescent="0.3">
      <c r="A279" s="151" t="s">
        <v>6516</v>
      </c>
      <c r="B279" s="151" t="s">
        <v>5821</v>
      </c>
      <c r="C279" s="151" t="s">
        <v>106</v>
      </c>
      <c r="D279" s="151">
        <v>2022</v>
      </c>
      <c r="E279" s="151" t="s">
        <v>111</v>
      </c>
      <c r="F279" s="174" t="s">
        <v>5818</v>
      </c>
      <c r="G279" s="167">
        <f>(365*AVERAGE((MLCF!D51-MLCF!D253),(MLCF!E51-MLCF!E253)))</f>
        <v>1367129.4</v>
      </c>
      <c r="H279" s="167">
        <f>((MLCF!E85*-1)-'Forensic Inputs'!$G$12)</f>
        <v>35544.492000000006</v>
      </c>
      <c r="I279" s="165">
        <f t="shared" si="12"/>
        <v>38.462482457197581</v>
      </c>
      <c r="J279" s="165">
        <v>38.462482457197581</v>
      </c>
      <c r="K279" s="169">
        <f t="shared" si="13"/>
        <v>0</v>
      </c>
      <c r="L279" s="165">
        <v>38.46</v>
      </c>
      <c r="M279" s="151">
        <v>2</v>
      </c>
      <c r="N279" s="151" t="str">
        <f t="shared" si="14"/>
        <v>Numeric fit</v>
      </c>
      <c r="O279" s="174" t="s">
        <v>6511</v>
      </c>
      <c r="P279" s="174" t="s">
        <v>6051</v>
      </c>
    </row>
    <row r="280" spans="1:16" ht="64.05" customHeight="1" x14ac:dyDescent="0.3">
      <c r="A280" s="154" t="s">
        <v>6517</v>
      </c>
      <c r="B280" s="154" t="s">
        <v>5821</v>
      </c>
      <c r="C280" s="154" t="s">
        <v>106</v>
      </c>
      <c r="D280" s="154">
        <v>2022</v>
      </c>
      <c r="E280" s="154" t="s">
        <v>111</v>
      </c>
      <c r="F280" s="173" t="s">
        <v>6513</v>
      </c>
      <c r="G280" s="166">
        <f>(366*AVERAGE((MLCF!D51-MLCF!D253),(MLCF!E51-MLCF!E253)))</f>
        <v>1370874.96</v>
      </c>
      <c r="H280" s="166">
        <f>((MLCF!E85*-1)-'Forensic Inputs'!$G$12)</f>
        <v>35544.492000000006</v>
      </c>
      <c r="I280" s="164">
        <f t="shared" si="12"/>
        <v>38.567859121463876</v>
      </c>
      <c r="J280" s="164">
        <v>38.567859121463876</v>
      </c>
      <c r="K280" s="168">
        <f t="shared" si="13"/>
        <v>0</v>
      </c>
      <c r="L280" s="164">
        <v>38.46</v>
      </c>
      <c r="M280" s="154">
        <v>2</v>
      </c>
      <c r="N280" s="154" t="str">
        <f t="shared" si="14"/>
        <v>No fit</v>
      </c>
      <c r="O280" s="173" t="s">
        <v>6511</v>
      </c>
      <c r="P280" s="173" t="s">
        <v>6051</v>
      </c>
    </row>
    <row r="281" spans="1:16" ht="64.05" customHeight="1" x14ac:dyDescent="0.3">
      <c r="A281" s="151" t="s">
        <v>6518</v>
      </c>
      <c r="B281" s="151" t="s">
        <v>5824</v>
      </c>
      <c r="C281" s="151" t="s">
        <v>114</v>
      </c>
      <c r="D281" s="151">
        <v>2025</v>
      </c>
      <c r="E281" s="151" t="s">
        <v>115</v>
      </c>
      <c r="F281" s="174" t="s">
        <v>5893</v>
      </c>
      <c r="G281" s="167">
        <f>FCCL!H108</f>
        <v>27297.651999999987</v>
      </c>
      <c r="H281" s="167">
        <f>FCCL!H106</f>
        <v>5674.2779999999993</v>
      </c>
      <c r="I281" s="165">
        <f t="shared" si="12"/>
        <v>4.8107709914812053</v>
      </c>
      <c r="J281" s="165">
        <v>4.8107709914812062</v>
      </c>
      <c r="K281" s="169">
        <f t="shared" si="13"/>
        <v>0</v>
      </c>
      <c r="L281" s="165">
        <v>4.84</v>
      </c>
      <c r="M281" s="151">
        <v>2</v>
      </c>
      <c r="N281" s="151" t="str">
        <f t="shared" si="14"/>
        <v>No fit</v>
      </c>
      <c r="O281" s="174" t="s">
        <v>6050</v>
      </c>
      <c r="P281" s="174" t="s">
        <v>6051</v>
      </c>
    </row>
    <row r="282" spans="1:16" ht="64.05" customHeight="1" x14ac:dyDescent="0.3">
      <c r="A282" s="154" t="s">
        <v>6519</v>
      </c>
      <c r="B282" s="154" t="s">
        <v>5824</v>
      </c>
      <c r="C282" s="154" t="s">
        <v>114</v>
      </c>
      <c r="D282" s="154">
        <v>2025</v>
      </c>
      <c r="E282" s="154" t="s">
        <v>115</v>
      </c>
      <c r="F282" s="173" t="s">
        <v>5828</v>
      </c>
      <c r="G282" s="166">
        <f>FCCL!H108</f>
        <v>27297.651999999987</v>
      </c>
      <c r="H282" s="166">
        <f>'Forensic Inputs'!$G$35</f>
        <v>5646.3429999999998</v>
      </c>
      <c r="I282" s="164">
        <f t="shared" si="12"/>
        <v>4.8345720406996149</v>
      </c>
      <c r="J282" s="164">
        <v>4.8345720406996167</v>
      </c>
      <c r="K282" s="168">
        <f t="shared" si="13"/>
        <v>0</v>
      </c>
      <c r="L282" s="164">
        <v>4.84</v>
      </c>
      <c r="M282" s="154">
        <v>2</v>
      </c>
      <c r="N282" s="154" t="str">
        <f t="shared" si="14"/>
        <v>No fit</v>
      </c>
      <c r="O282" s="173" t="s">
        <v>6520</v>
      </c>
      <c r="P282" s="173" t="s">
        <v>6051</v>
      </c>
    </row>
    <row r="283" spans="1:16" ht="64.05" customHeight="1" x14ac:dyDescent="0.3">
      <c r="A283" s="151" t="s">
        <v>6521</v>
      </c>
      <c r="B283" s="151" t="s">
        <v>5824</v>
      </c>
      <c r="C283" s="151" t="s">
        <v>114</v>
      </c>
      <c r="D283" s="151">
        <v>2025</v>
      </c>
      <c r="E283" s="151" t="s">
        <v>115</v>
      </c>
      <c r="F283" s="174" t="s">
        <v>6522</v>
      </c>
      <c r="G283" s="167">
        <f>FCCL!H108</f>
        <v>27297.651999999987</v>
      </c>
      <c r="H283" s="167">
        <f>FCCL!H106</f>
        <v>5674.2779999999993</v>
      </c>
      <c r="I283" s="165">
        <f t="shared" si="12"/>
        <v>4.8107709914812053</v>
      </c>
      <c r="J283" s="165">
        <v>4.8107709914812062</v>
      </c>
      <c r="K283" s="169">
        <f t="shared" si="13"/>
        <v>0</v>
      </c>
      <c r="L283" s="165">
        <v>4.84</v>
      </c>
      <c r="M283" s="151">
        <v>2</v>
      </c>
      <c r="N283" s="151" t="str">
        <f t="shared" si="14"/>
        <v>No fit</v>
      </c>
      <c r="O283" s="174" t="s">
        <v>6523</v>
      </c>
      <c r="P283" s="174" t="s">
        <v>6051</v>
      </c>
    </row>
    <row r="284" spans="1:16" ht="64.05" customHeight="1" x14ac:dyDescent="0.3">
      <c r="A284" s="154" t="s">
        <v>6524</v>
      </c>
      <c r="B284" s="154" t="s">
        <v>5824</v>
      </c>
      <c r="C284" s="154" t="s">
        <v>114</v>
      </c>
      <c r="D284" s="154">
        <v>2025</v>
      </c>
      <c r="E284" s="154" t="s">
        <v>115</v>
      </c>
      <c r="F284" s="173" t="s">
        <v>6525</v>
      </c>
      <c r="G284" s="166">
        <f>FCCL!H108</f>
        <v>27297.651999999987</v>
      </c>
      <c r="H284" s="166">
        <f>(FCCL!H95*-1)</f>
        <v>5772.1319999999996</v>
      </c>
      <c r="I284" s="164">
        <f t="shared" si="12"/>
        <v>4.7292147858018474</v>
      </c>
      <c r="J284" s="164">
        <v>4.7292147858018483</v>
      </c>
      <c r="K284" s="168">
        <f t="shared" si="13"/>
        <v>0</v>
      </c>
      <c r="L284" s="164">
        <v>4.84</v>
      </c>
      <c r="M284" s="154">
        <v>2</v>
      </c>
      <c r="N284" s="154" t="str">
        <f t="shared" si="14"/>
        <v>No fit</v>
      </c>
      <c r="O284" s="173" t="s">
        <v>6526</v>
      </c>
      <c r="P284" s="173" t="s">
        <v>6051</v>
      </c>
    </row>
    <row r="285" spans="1:16" ht="64.05" customHeight="1" x14ac:dyDescent="0.3">
      <c r="A285" s="151" t="s">
        <v>6527</v>
      </c>
      <c r="B285" s="151" t="s">
        <v>5824</v>
      </c>
      <c r="C285" s="151" t="s">
        <v>114</v>
      </c>
      <c r="D285" s="151">
        <v>2025</v>
      </c>
      <c r="E285" s="151" t="s">
        <v>115</v>
      </c>
      <c r="F285" s="174" t="s">
        <v>6528</v>
      </c>
      <c r="G285" s="167">
        <f>FCCL!H108</f>
        <v>27297.651999999987</v>
      </c>
      <c r="H285" s="167">
        <f>((FCCL!H95*-1)-FCCL!H93)</f>
        <v>4703.3009999999995</v>
      </c>
      <c r="I285" s="165">
        <f t="shared" si="12"/>
        <v>5.8039347258446758</v>
      </c>
      <c r="J285" s="165">
        <v>5.8039347258446776</v>
      </c>
      <c r="K285" s="169">
        <f t="shared" si="13"/>
        <v>0</v>
      </c>
      <c r="L285" s="165">
        <v>4.84</v>
      </c>
      <c r="M285" s="151">
        <v>2</v>
      </c>
      <c r="N285" s="151" t="str">
        <f t="shared" si="14"/>
        <v>No fit</v>
      </c>
      <c r="O285" s="174" t="s">
        <v>6529</v>
      </c>
      <c r="P285" s="174" t="s">
        <v>6051</v>
      </c>
    </row>
    <row r="286" spans="1:16" ht="64.05" customHeight="1" x14ac:dyDescent="0.3">
      <c r="A286" s="154" t="s">
        <v>6530</v>
      </c>
      <c r="B286" s="154" t="s">
        <v>5824</v>
      </c>
      <c r="C286" s="154" t="s">
        <v>114</v>
      </c>
      <c r="D286" s="154">
        <v>2025</v>
      </c>
      <c r="E286" s="154" t="s">
        <v>115</v>
      </c>
      <c r="F286" s="173" t="s">
        <v>6531</v>
      </c>
      <c r="G286" s="166">
        <f>(FCCL!H108-FCCL!H93)</f>
        <v>26228.820999999989</v>
      </c>
      <c r="H286" s="166">
        <f>'Forensic Inputs'!$G$35</f>
        <v>5646.3429999999998</v>
      </c>
      <c r="I286" s="164">
        <f t="shared" si="12"/>
        <v>4.645275889190577</v>
      </c>
      <c r="J286" s="164">
        <v>4.6452758891905779</v>
      </c>
      <c r="K286" s="168">
        <f t="shared" si="13"/>
        <v>0</v>
      </c>
      <c r="L286" s="164">
        <v>4.84</v>
      </c>
      <c r="M286" s="154">
        <v>2</v>
      </c>
      <c r="N286" s="154" t="str">
        <f t="shared" si="14"/>
        <v>No fit</v>
      </c>
      <c r="O286" s="173" t="s">
        <v>6532</v>
      </c>
      <c r="P286" s="173" t="s">
        <v>6051</v>
      </c>
    </row>
    <row r="287" spans="1:16" ht="64.05" customHeight="1" x14ac:dyDescent="0.3">
      <c r="A287" s="151" t="s">
        <v>6533</v>
      </c>
      <c r="B287" s="151" t="s">
        <v>5824</v>
      </c>
      <c r="C287" s="151" t="s">
        <v>114</v>
      </c>
      <c r="D287" s="151">
        <v>2025</v>
      </c>
      <c r="E287" s="151" t="s">
        <v>115</v>
      </c>
      <c r="F287" s="174" t="s">
        <v>6534</v>
      </c>
      <c r="G287" s="167">
        <f>(FCCL!H108-FCCL!H93)</f>
        <v>26228.820999999989</v>
      </c>
      <c r="H287" s="167">
        <f>FCCL!H106</f>
        <v>5674.2779999999993</v>
      </c>
      <c r="I287" s="165">
        <f t="shared" si="12"/>
        <v>4.6224067625872385</v>
      </c>
      <c r="J287" s="165">
        <v>4.6224067625872403</v>
      </c>
      <c r="K287" s="169">
        <f t="shared" si="13"/>
        <v>0</v>
      </c>
      <c r="L287" s="165">
        <v>4.84</v>
      </c>
      <c r="M287" s="151">
        <v>2</v>
      </c>
      <c r="N287" s="151" t="str">
        <f t="shared" si="14"/>
        <v>No fit</v>
      </c>
      <c r="O287" s="174" t="s">
        <v>6535</v>
      </c>
      <c r="P287" s="174" t="s">
        <v>6051</v>
      </c>
    </row>
    <row r="288" spans="1:16" ht="64.05" customHeight="1" x14ac:dyDescent="0.3">
      <c r="A288" s="154" t="s">
        <v>6536</v>
      </c>
      <c r="B288" s="154" t="s">
        <v>5824</v>
      </c>
      <c r="C288" s="154" t="s">
        <v>114</v>
      </c>
      <c r="D288" s="154">
        <v>2025</v>
      </c>
      <c r="E288" s="154" t="s">
        <v>115</v>
      </c>
      <c r="F288" s="173" t="s">
        <v>6537</v>
      </c>
      <c r="G288" s="166">
        <f>(FCCL!H108-FCCL!H93)</f>
        <v>26228.820999999989</v>
      </c>
      <c r="H288" s="166">
        <f>(FCCL!H95*-1)</f>
        <v>5772.1319999999996</v>
      </c>
      <c r="I288" s="164">
        <f t="shared" si="12"/>
        <v>4.5440438645547241</v>
      </c>
      <c r="J288" s="164">
        <v>4.5440438645547259</v>
      </c>
      <c r="K288" s="168">
        <f t="shared" si="13"/>
        <v>0</v>
      </c>
      <c r="L288" s="164">
        <v>4.84</v>
      </c>
      <c r="M288" s="154">
        <v>2</v>
      </c>
      <c r="N288" s="154" t="str">
        <f t="shared" si="14"/>
        <v>No fit</v>
      </c>
      <c r="O288" s="173" t="s">
        <v>6538</v>
      </c>
      <c r="P288" s="173" t="s">
        <v>6051</v>
      </c>
    </row>
    <row r="289" spans="1:16" ht="64.05" customHeight="1" x14ac:dyDescent="0.3">
      <c r="A289" s="151" t="s">
        <v>6539</v>
      </c>
      <c r="B289" s="151" t="s">
        <v>5824</v>
      </c>
      <c r="C289" s="151" t="s">
        <v>114</v>
      </c>
      <c r="D289" s="151">
        <v>2025</v>
      </c>
      <c r="E289" s="151" t="s">
        <v>115</v>
      </c>
      <c r="F289" s="174" t="s">
        <v>6540</v>
      </c>
      <c r="G289" s="167">
        <f>(FCCL!H108-FCCL!H93)</f>
        <v>26228.820999999989</v>
      </c>
      <c r="H289" s="167">
        <f>((FCCL!H95*-1)-FCCL!H93)</f>
        <v>4703.3009999999995</v>
      </c>
      <c r="I289" s="165">
        <f t="shared" si="12"/>
        <v>5.5766834825157892</v>
      </c>
      <c r="J289" s="165">
        <v>5.57668348251579</v>
      </c>
      <c r="K289" s="169">
        <f t="shared" si="13"/>
        <v>0</v>
      </c>
      <c r="L289" s="165">
        <v>4.84</v>
      </c>
      <c r="M289" s="151">
        <v>2</v>
      </c>
      <c r="N289" s="151" t="str">
        <f t="shared" si="14"/>
        <v>No fit</v>
      </c>
      <c r="O289" s="174" t="s">
        <v>6541</v>
      </c>
      <c r="P289" s="174" t="s">
        <v>6051</v>
      </c>
    </row>
    <row r="290" spans="1:16" ht="64.05" customHeight="1" x14ac:dyDescent="0.3">
      <c r="A290" s="154" t="s">
        <v>6542</v>
      </c>
      <c r="B290" s="154" t="s">
        <v>5824</v>
      </c>
      <c r="C290" s="154" t="s">
        <v>114</v>
      </c>
      <c r="D290" s="154">
        <v>2025</v>
      </c>
      <c r="E290" s="154" t="s">
        <v>115</v>
      </c>
      <c r="F290" s="173" t="s">
        <v>6543</v>
      </c>
      <c r="G290" s="166">
        <f>FCCL!H91</f>
        <v>25468.048999999992</v>
      </c>
      <c r="H290" s="166">
        <f>'Forensic Inputs'!$G$35</f>
        <v>5646.3429999999998</v>
      </c>
      <c r="I290" s="164">
        <f t="shared" si="12"/>
        <v>4.5105387681903126</v>
      </c>
      <c r="J290" s="164">
        <v>4.5105387681903126</v>
      </c>
      <c r="K290" s="168">
        <f t="shared" si="13"/>
        <v>0</v>
      </c>
      <c r="L290" s="164">
        <v>4.84</v>
      </c>
      <c r="M290" s="154">
        <v>2</v>
      </c>
      <c r="N290" s="154" t="str">
        <f t="shared" si="14"/>
        <v>No fit</v>
      </c>
      <c r="O290" s="173" t="s">
        <v>6544</v>
      </c>
      <c r="P290" s="173" t="s">
        <v>6051</v>
      </c>
    </row>
    <row r="291" spans="1:16" ht="64.05" customHeight="1" x14ac:dyDescent="0.3">
      <c r="A291" s="151" t="s">
        <v>6545</v>
      </c>
      <c r="B291" s="151" t="s">
        <v>5824</v>
      </c>
      <c r="C291" s="151" t="s">
        <v>114</v>
      </c>
      <c r="D291" s="151">
        <v>2025</v>
      </c>
      <c r="E291" s="151" t="s">
        <v>115</v>
      </c>
      <c r="F291" s="174" t="s">
        <v>6546</v>
      </c>
      <c r="G291" s="167">
        <f>FCCL!H91</f>
        <v>25468.048999999992</v>
      </c>
      <c r="H291" s="167">
        <f>FCCL!H106</f>
        <v>5674.2779999999993</v>
      </c>
      <c r="I291" s="165">
        <f t="shared" si="12"/>
        <v>4.4883329650045338</v>
      </c>
      <c r="J291" s="165">
        <v>4.4883329650045338</v>
      </c>
      <c r="K291" s="169">
        <f t="shared" si="13"/>
        <v>0</v>
      </c>
      <c r="L291" s="165">
        <v>4.84</v>
      </c>
      <c r="M291" s="151">
        <v>2</v>
      </c>
      <c r="N291" s="151" t="str">
        <f t="shared" si="14"/>
        <v>No fit</v>
      </c>
      <c r="O291" s="174" t="s">
        <v>6547</v>
      </c>
      <c r="P291" s="174" t="s">
        <v>6051</v>
      </c>
    </row>
    <row r="292" spans="1:16" ht="64.05" customHeight="1" x14ac:dyDescent="0.3">
      <c r="A292" s="154" t="s">
        <v>6548</v>
      </c>
      <c r="B292" s="154" t="s">
        <v>5824</v>
      </c>
      <c r="C292" s="154" t="s">
        <v>114</v>
      </c>
      <c r="D292" s="154">
        <v>2025</v>
      </c>
      <c r="E292" s="154" t="s">
        <v>115</v>
      </c>
      <c r="F292" s="173" t="s">
        <v>6549</v>
      </c>
      <c r="G292" s="166">
        <f>FCCL!H91</f>
        <v>25468.048999999992</v>
      </c>
      <c r="H292" s="166">
        <f>(FCCL!H95*-1)</f>
        <v>5772.1319999999996</v>
      </c>
      <c r="I292" s="164">
        <f t="shared" si="12"/>
        <v>4.4122429979078772</v>
      </c>
      <c r="J292" s="164">
        <v>4.4122429979078772</v>
      </c>
      <c r="K292" s="168">
        <f t="shared" si="13"/>
        <v>0</v>
      </c>
      <c r="L292" s="164">
        <v>4.84</v>
      </c>
      <c r="M292" s="154">
        <v>2</v>
      </c>
      <c r="N292" s="154" t="str">
        <f t="shared" si="14"/>
        <v>No fit</v>
      </c>
      <c r="O292" s="173" t="s">
        <v>6550</v>
      </c>
      <c r="P292" s="173" t="s">
        <v>6051</v>
      </c>
    </row>
    <row r="293" spans="1:16" ht="64.05" customHeight="1" x14ac:dyDescent="0.3">
      <c r="A293" s="151" t="s">
        <v>6551</v>
      </c>
      <c r="B293" s="151" t="s">
        <v>5824</v>
      </c>
      <c r="C293" s="151" t="s">
        <v>114</v>
      </c>
      <c r="D293" s="151">
        <v>2025</v>
      </c>
      <c r="E293" s="151" t="s">
        <v>115</v>
      </c>
      <c r="F293" s="174" t="s">
        <v>6552</v>
      </c>
      <c r="G293" s="167">
        <f>FCCL!H91</f>
        <v>25468.048999999992</v>
      </c>
      <c r="H293" s="167">
        <f>((FCCL!H95*-1)-FCCL!H93)</f>
        <v>4703.3009999999995</v>
      </c>
      <c r="I293" s="165">
        <f t="shared" si="12"/>
        <v>5.4149307050516216</v>
      </c>
      <c r="J293" s="165">
        <v>5.4149307050516216</v>
      </c>
      <c r="K293" s="169">
        <f t="shared" si="13"/>
        <v>0</v>
      </c>
      <c r="L293" s="165">
        <v>4.84</v>
      </c>
      <c r="M293" s="151">
        <v>2</v>
      </c>
      <c r="N293" s="151" t="str">
        <f t="shared" si="14"/>
        <v>No fit</v>
      </c>
      <c r="O293" s="174" t="s">
        <v>6553</v>
      </c>
      <c r="P293" s="174" t="s">
        <v>6051</v>
      </c>
    </row>
    <row r="294" spans="1:16" ht="64.05" customHeight="1" x14ac:dyDescent="0.3">
      <c r="A294" s="154" t="s">
        <v>6554</v>
      </c>
      <c r="B294" s="154" t="s">
        <v>5824</v>
      </c>
      <c r="C294" s="154" t="s">
        <v>114</v>
      </c>
      <c r="D294" s="154">
        <v>2025</v>
      </c>
      <c r="E294" s="154" t="s">
        <v>115</v>
      </c>
      <c r="F294" s="173" t="s">
        <v>6555</v>
      </c>
      <c r="G294" s="166">
        <f>(FCCL!H108+FCCL!H107)</f>
        <v>32267.390999999989</v>
      </c>
      <c r="H294" s="166">
        <f>'Forensic Inputs'!$G$35</f>
        <v>5646.3429999999998</v>
      </c>
      <c r="I294" s="164">
        <f t="shared" si="12"/>
        <v>5.7147415592711939</v>
      </c>
      <c r="J294" s="164">
        <v>5.7147415592711948</v>
      </c>
      <c r="K294" s="168">
        <f t="shared" si="13"/>
        <v>0</v>
      </c>
      <c r="L294" s="164">
        <v>4.84</v>
      </c>
      <c r="M294" s="154">
        <v>2</v>
      </c>
      <c r="N294" s="154" t="str">
        <f t="shared" si="14"/>
        <v>No fit</v>
      </c>
      <c r="O294" s="173" t="s">
        <v>6556</v>
      </c>
      <c r="P294" s="173" t="s">
        <v>6051</v>
      </c>
    </row>
    <row r="295" spans="1:16" ht="64.05" customHeight="1" x14ac:dyDescent="0.3">
      <c r="A295" s="151" t="s">
        <v>6557</v>
      </c>
      <c r="B295" s="151" t="s">
        <v>5824</v>
      </c>
      <c r="C295" s="151" t="s">
        <v>114</v>
      </c>
      <c r="D295" s="151">
        <v>2025</v>
      </c>
      <c r="E295" s="151" t="s">
        <v>115</v>
      </c>
      <c r="F295" s="174" t="s">
        <v>6558</v>
      </c>
      <c r="G295" s="167">
        <f>(FCCL!H108+FCCL!H107)</f>
        <v>32267.390999999989</v>
      </c>
      <c r="H295" s="167">
        <f>FCCL!H106</f>
        <v>5674.2779999999993</v>
      </c>
      <c r="I295" s="165">
        <f t="shared" si="12"/>
        <v>5.6866073533936818</v>
      </c>
      <c r="J295" s="165">
        <v>5.6866073533936827</v>
      </c>
      <c r="K295" s="169">
        <f t="shared" si="13"/>
        <v>0</v>
      </c>
      <c r="L295" s="165">
        <v>4.84</v>
      </c>
      <c r="M295" s="151">
        <v>2</v>
      </c>
      <c r="N295" s="151" t="str">
        <f t="shared" si="14"/>
        <v>No fit</v>
      </c>
      <c r="O295" s="174" t="s">
        <v>6559</v>
      </c>
      <c r="P295" s="174" t="s">
        <v>6051</v>
      </c>
    </row>
    <row r="296" spans="1:16" ht="64.05" customHeight="1" x14ac:dyDescent="0.3">
      <c r="A296" s="154" t="s">
        <v>6560</v>
      </c>
      <c r="B296" s="154" t="s">
        <v>5824</v>
      </c>
      <c r="C296" s="154" t="s">
        <v>114</v>
      </c>
      <c r="D296" s="154">
        <v>2025</v>
      </c>
      <c r="E296" s="154" t="s">
        <v>115</v>
      </c>
      <c r="F296" s="173" t="s">
        <v>6561</v>
      </c>
      <c r="G296" s="166">
        <f>(FCCL!H108+FCCL!H107)</f>
        <v>32267.390999999989</v>
      </c>
      <c r="H296" s="166">
        <f>(FCCL!H95*-1)</f>
        <v>5772.1319999999996</v>
      </c>
      <c r="I296" s="164">
        <f t="shared" si="12"/>
        <v>5.5902032385953735</v>
      </c>
      <c r="J296" s="164">
        <v>5.5902032385953753</v>
      </c>
      <c r="K296" s="168">
        <f t="shared" si="13"/>
        <v>0</v>
      </c>
      <c r="L296" s="164">
        <v>4.84</v>
      </c>
      <c r="M296" s="154">
        <v>2</v>
      </c>
      <c r="N296" s="154" t="str">
        <f t="shared" si="14"/>
        <v>No fit</v>
      </c>
      <c r="O296" s="173" t="s">
        <v>6562</v>
      </c>
      <c r="P296" s="173" t="s">
        <v>6051</v>
      </c>
    </row>
    <row r="297" spans="1:16" ht="64.05" customHeight="1" x14ac:dyDescent="0.3">
      <c r="A297" s="151" t="s">
        <v>6563</v>
      </c>
      <c r="B297" s="151" t="s">
        <v>5824</v>
      </c>
      <c r="C297" s="151" t="s">
        <v>114</v>
      </c>
      <c r="D297" s="151">
        <v>2025</v>
      </c>
      <c r="E297" s="151" t="s">
        <v>115</v>
      </c>
      <c r="F297" s="174" t="s">
        <v>6564</v>
      </c>
      <c r="G297" s="167">
        <f>(FCCL!H108+FCCL!H107)</f>
        <v>32267.390999999989</v>
      </c>
      <c r="H297" s="167">
        <f>((FCCL!H95*-1)-FCCL!H93)</f>
        <v>4703.3009999999995</v>
      </c>
      <c r="I297" s="165">
        <f t="shared" si="12"/>
        <v>6.8605838750273458</v>
      </c>
      <c r="J297" s="165">
        <v>6.8605838750273476</v>
      </c>
      <c r="K297" s="169">
        <f t="shared" si="13"/>
        <v>0</v>
      </c>
      <c r="L297" s="165">
        <v>4.84</v>
      </c>
      <c r="M297" s="151">
        <v>2</v>
      </c>
      <c r="N297" s="151" t="str">
        <f t="shared" si="14"/>
        <v>No fit</v>
      </c>
      <c r="O297" s="174" t="s">
        <v>6565</v>
      </c>
      <c r="P297" s="174" t="s">
        <v>6051</v>
      </c>
    </row>
    <row r="298" spans="1:16" ht="64.05" customHeight="1" x14ac:dyDescent="0.3">
      <c r="A298" s="154" t="s">
        <v>6566</v>
      </c>
      <c r="B298" s="154" t="s">
        <v>5824</v>
      </c>
      <c r="C298" s="154" t="s">
        <v>114</v>
      </c>
      <c r="D298" s="154">
        <v>2025</v>
      </c>
      <c r="E298" s="154" t="s">
        <v>115</v>
      </c>
      <c r="F298" s="173" t="s">
        <v>6567</v>
      </c>
      <c r="G298" s="166">
        <f>(FCCL!H96+'Forensic Inputs'!$G$35)</f>
        <v>27171.86299999999</v>
      </c>
      <c r="H298" s="166">
        <f>'Forensic Inputs'!$G$35</f>
        <v>5646.3429999999998</v>
      </c>
      <c r="I298" s="164">
        <f t="shared" si="12"/>
        <v>4.8122940813195356</v>
      </c>
      <c r="J298" s="164">
        <v>4.8122940813195365</v>
      </c>
      <c r="K298" s="168">
        <f t="shared" si="13"/>
        <v>0</v>
      </c>
      <c r="L298" s="164">
        <v>4.84</v>
      </c>
      <c r="M298" s="154">
        <v>2</v>
      </c>
      <c r="N298" s="154" t="str">
        <f t="shared" si="14"/>
        <v>No fit</v>
      </c>
      <c r="O298" s="173" t="s">
        <v>6568</v>
      </c>
      <c r="P298" s="173" t="s">
        <v>6051</v>
      </c>
    </row>
    <row r="299" spans="1:16" ht="64.05" customHeight="1" x14ac:dyDescent="0.3">
      <c r="A299" s="151" t="s">
        <v>6569</v>
      </c>
      <c r="B299" s="151" t="s">
        <v>5824</v>
      </c>
      <c r="C299" s="151" t="s">
        <v>114</v>
      </c>
      <c r="D299" s="151">
        <v>2025</v>
      </c>
      <c r="E299" s="151" t="s">
        <v>115</v>
      </c>
      <c r="F299" s="174" t="s">
        <v>6570</v>
      </c>
      <c r="G299" s="167">
        <f>(FCCL!H96+'Forensic Inputs'!$G$35)</f>
        <v>27171.86299999999</v>
      </c>
      <c r="H299" s="167">
        <f>FCCL!H106</f>
        <v>5674.2779999999993</v>
      </c>
      <c r="I299" s="165">
        <f t="shared" si="12"/>
        <v>4.7886027085736709</v>
      </c>
      <c r="J299" s="165">
        <v>4.7886027085736718</v>
      </c>
      <c r="K299" s="169">
        <f t="shared" si="13"/>
        <v>0</v>
      </c>
      <c r="L299" s="165">
        <v>4.84</v>
      </c>
      <c r="M299" s="151">
        <v>2</v>
      </c>
      <c r="N299" s="151" t="str">
        <f t="shared" si="14"/>
        <v>No fit</v>
      </c>
      <c r="O299" s="174" t="s">
        <v>6571</v>
      </c>
      <c r="P299" s="174" t="s">
        <v>6051</v>
      </c>
    </row>
    <row r="300" spans="1:16" ht="64.05" customHeight="1" x14ac:dyDescent="0.3">
      <c r="A300" s="154" t="s">
        <v>6572</v>
      </c>
      <c r="B300" s="154" t="s">
        <v>5824</v>
      </c>
      <c r="C300" s="154" t="s">
        <v>114</v>
      </c>
      <c r="D300" s="154">
        <v>2025</v>
      </c>
      <c r="E300" s="154" t="s">
        <v>115</v>
      </c>
      <c r="F300" s="173" t="s">
        <v>6573</v>
      </c>
      <c r="G300" s="166">
        <f>(FCCL!H96+'Forensic Inputs'!$G$35)</f>
        <v>27171.86299999999</v>
      </c>
      <c r="H300" s="166">
        <f>(FCCL!H95*-1)</f>
        <v>5772.1319999999996</v>
      </c>
      <c r="I300" s="164">
        <f t="shared" si="12"/>
        <v>4.7074223181313233</v>
      </c>
      <c r="J300" s="164">
        <v>4.7074223181313242</v>
      </c>
      <c r="K300" s="168">
        <f t="shared" si="13"/>
        <v>0</v>
      </c>
      <c r="L300" s="164">
        <v>4.84</v>
      </c>
      <c r="M300" s="154">
        <v>2</v>
      </c>
      <c r="N300" s="154" t="str">
        <f t="shared" si="14"/>
        <v>No fit</v>
      </c>
      <c r="O300" s="173" t="s">
        <v>6574</v>
      </c>
      <c r="P300" s="173" t="s">
        <v>6051</v>
      </c>
    </row>
    <row r="301" spans="1:16" ht="64.05" customHeight="1" x14ac:dyDescent="0.3">
      <c r="A301" s="151" t="s">
        <v>6575</v>
      </c>
      <c r="B301" s="151" t="s">
        <v>5824</v>
      </c>
      <c r="C301" s="151" t="s">
        <v>114</v>
      </c>
      <c r="D301" s="151">
        <v>2025</v>
      </c>
      <c r="E301" s="151" t="s">
        <v>115</v>
      </c>
      <c r="F301" s="174" t="s">
        <v>6576</v>
      </c>
      <c r="G301" s="167">
        <f>(FCCL!H96+'Forensic Inputs'!$G$35)</f>
        <v>27171.86299999999</v>
      </c>
      <c r="H301" s="167">
        <f>((FCCL!H95*-1)-FCCL!H93)</f>
        <v>4703.3009999999995</v>
      </c>
      <c r="I301" s="165">
        <f t="shared" si="12"/>
        <v>5.7771898928008207</v>
      </c>
      <c r="J301" s="165">
        <v>5.7771898928008216</v>
      </c>
      <c r="K301" s="169">
        <f t="shared" si="13"/>
        <v>0</v>
      </c>
      <c r="L301" s="165">
        <v>4.84</v>
      </c>
      <c r="M301" s="151">
        <v>2</v>
      </c>
      <c r="N301" s="151" t="str">
        <f t="shared" si="14"/>
        <v>No fit</v>
      </c>
      <c r="O301" s="174" t="s">
        <v>6577</v>
      </c>
      <c r="P301" s="174" t="s">
        <v>6051</v>
      </c>
    </row>
    <row r="302" spans="1:16" ht="64.05" customHeight="1" x14ac:dyDescent="0.3">
      <c r="A302" s="154" t="s">
        <v>6578</v>
      </c>
      <c r="B302" s="154" t="s">
        <v>5833</v>
      </c>
      <c r="C302" s="154" t="s">
        <v>114</v>
      </c>
      <c r="D302" s="154">
        <v>2021</v>
      </c>
      <c r="E302" s="154" t="s">
        <v>103</v>
      </c>
      <c r="F302" s="173" t="s">
        <v>5893</v>
      </c>
      <c r="G302" s="166">
        <f>FCCL!D130</f>
        <v>23</v>
      </c>
      <c r="H302" s="166">
        <f>FCCL!D99/FCCL!D129</f>
        <v>2.5158090033808875</v>
      </c>
      <c r="I302" s="164">
        <f t="shared" si="12"/>
        <v>9.1421884447870596</v>
      </c>
      <c r="J302" s="164">
        <v>9.1421884447870596</v>
      </c>
      <c r="K302" s="168">
        <f t="shared" si="13"/>
        <v>0</v>
      </c>
      <c r="L302" s="164">
        <v>7.96</v>
      </c>
      <c r="M302" s="154">
        <v>2</v>
      </c>
      <c r="N302" s="154" t="str">
        <f t="shared" si="14"/>
        <v>No fit</v>
      </c>
      <c r="O302" s="173" t="s">
        <v>6050</v>
      </c>
      <c r="P302" s="173" t="s">
        <v>6051</v>
      </c>
    </row>
    <row r="303" spans="1:16" ht="64.05" customHeight="1" x14ac:dyDescent="0.3">
      <c r="A303" s="151" t="s">
        <v>6579</v>
      </c>
      <c r="B303" s="151" t="s">
        <v>5833</v>
      </c>
      <c r="C303" s="151" t="s">
        <v>114</v>
      </c>
      <c r="D303" s="151">
        <v>2021</v>
      </c>
      <c r="E303" s="151" t="s">
        <v>103</v>
      </c>
      <c r="F303" s="174" t="s">
        <v>6580</v>
      </c>
      <c r="G303" s="167">
        <f>FCCL!D130</f>
        <v>23</v>
      </c>
      <c r="H303" s="167">
        <f>'PSX Prices'!L26</f>
        <v>2.52</v>
      </c>
      <c r="I303" s="165">
        <f t="shared" si="12"/>
        <v>9.1269841269841265</v>
      </c>
      <c r="J303" s="165">
        <v>9.1269841269841265</v>
      </c>
      <c r="K303" s="169">
        <f t="shared" si="13"/>
        <v>0</v>
      </c>
      <c r="L303" s="165">
        <v>7.96</v>
      </c>
      <c r="M303" s="151">
        <v>2</v>
      </c>
      <c r="N303" s="151" t="str">
        <f t="shared" si="14"/>
        <v>No fit</v>
      </c>
      <c r="O303" s="174" t="s">
        <v>6581</v>
      </c>
      <c r="P303" s="174" t="s">
        <v>6051</v>
      </c>
    </row>
    <row r="304" spans="1:16" ht="64.05" customHeight="1" x14ac:dyDescent="0.3">
      <c r="A304" s="154" t="s">
        <v>6582</v>
      </c>
      <c r="B304" s="154" t="s">
        <v>5833</v>
      </c>
      <c r="C304" s="154" t="s">
        <v>114</v>
      </c>
      <c r="D304" s="154">
        <v>2021</v>
      </c>
      <c r="E304" s="154" t="s">
        <v>103</v>
      </c>
      <c r="F304" s="173" t="s">
        <v>5837</v>
      </c>
      <c r="G304" s="166">
        <f>FCCL!D130</f>
        <v>23</v>
      </c>
      <c r="H304" s="166">
        <f>(FCCL!D99/'Forensic Inputs'!$G$17)</f>
        <v>2.5158090033808875</v>
      </c>
      <c r="I304" s="164">
        <f t="shared" si="12"/>
        <v>9.1421884447870596</v>
      </c>
      <c r="J304" s="164">
        <v>9.1421884447870596</v>
      </c>
      <c r="K304" s="168">
        <f t="shared" si="13"/>
        <v>0</v>
      </c>
      <c r="L304" s="164">
        <v>7.96</v>
      </c>
      <c r="M304" s="154">
        <v>2</v>
      </c>
      <c r="N304" s="154" t="str">
        <f t="shared" si="14"/>
        <v>No fit</v>
      </c>
      <c r="O304" s="173" t="s">
        <v>6583</v>
      </c>
      <c r="P304" s="173" t="s">
        <v>6051</v>
      </c>
    </row>
    <row r="305" spans="1:16" ht="64.05" customHeight="1" x14ac:dyDescent="0.3">
      <c r="A305" s="151" t="s">
        <v>6584</v>
      </c>
      <c r="B305" s="151" t="s">
        <v>5833</v>
      </c>
      <c r="C305" s="151" t="s">
        <v>114</v>
      </c>
      <c r="D305" s="151">
        <v>2021</v>
      </c>
      <c r="E305" s="151" t="s">
        <v>103</v>
      </c>
      <c r="F305" s="174" t="s">
        <v>6585</v>
      </c>
      <c r="G305" s="167">
        <f>FCCL!D130</f>
        <v>23</v>
      </c>
      <c r="H305" s="167">
        <f>(FCCL!D99/FCCL!D128)</f>
        <v>2.5158090033808875</v>
      </c>
      <c r="I305" s="165">
        <f t="shared" si="12"/>
        <v>9.1421884447870596</v>
      </c>
      <c r="J305" s="165">
        <v>9.1421884447870596</v>
      </c>
      <c r="K305" s="169">
        <f t="shared" si="13"/>
        <v>0</v>
      </c>
      <c r="L305" s="165">
        <v>7.96</v>
      </c>
      <c r="M305" s="151">
        <v>2</v>
      </c>
      <c r="N305" s="151" t="str">
        <f t="shared" si="14"/>
        <v>No fit</v>
      </c>
      <c r="O305" s="174" t="s">
        <v>6586</v>
      </c>
      <c r="P305" s="174" t="s">
        <v>6051</v>
      </c>
    </row>
    <row r="306" spans="1:16" ht="64.05" customHeight="1" x14ac:dyDescent="0.3">
      <c r="A306" s="154" t="s">
        <v>6587</v>
      </c>
      <c r="B306" s="154" t="s">
        <v>5833</v>
      </c>
      <c r="C306" s="154" t="s">
        <v>114</v>
      </c>
      <c r="D306" s="154">
        <v>2021</v>
      </c>
      <c r="E306" s="154" t="s">
        <v>103</v>
      </c>
      <c r="F306" s="173" t="s">
        <v>6588</v>
      </c>
      <c r="G306" s="166">
        <f>FCCL!D130</f>
        <v>23</v>
      </c>
      <c r="H306" s="166">
        <f>(FCCL!D96/'Forensic Inputs'!$G$17)</f>
        <v>3.7017223323416535</v>
      </c>
      <c r="I306" s="164">
        <f t="shared" si="12"/>
        <v>6.2133239435737329</v>
      </c>
      <c r="J306" s="164">
        <v>6.2133239435737329</v>
      </c>
      <c r="K306" s="168">
        <f t="shared" si="13"/>
        <v>0</v>
      </c>
      <c r="L306" s="164">
        <v>7.96</v>
      </c>
      <c r="M306" s="154">
        <v>2</v>
      </c>
      <c r="N306" s="154" t="str">
        <f t="shared" si="14"/>
        <v>No fit</v>
      </c>
      <c r="O306" s="173" t="s">
        <v>6589</v>
      </c>
      <c r="P306" s="173" t="s">
        <v>6051</v>
      </c>
    </row>
    <row r="307" spans="1:16" ht="64.05" customHeight="1" x14ac:dyDescent="0.3">
      <c r="A307" s="151" t="s">
        <v>6590</v>
      </c>
      <c r="B307" s="151" t="s">
        <v>5833</v>
      </c>
      <c r="C307" s="151" t="s">
        <v>114</v>
      </c>
      <c r="D307" s="151">
        <v>2021</v>
      </c>
      <c r="E307" s="151" t="s">
        <v>103</v>
      </c>
      <c r="F307" s="174" t="s">
        <v>6591</v>
      </c>
      <c r="G307" s="167">
        <f>FCCL!D130</f>
        <v>23</v>
      </c>
      <c r="H307" s="167">
        <f>((FCCL!D99+FCCL!D107)/'Forensic Inputs'!$G$17)</f>
        <v>3.6750593376648313</v>
      </c>
      <c r="I307" s="165">
        <f t="shared" si="12"/>
        <v>6.2584023512976596</v>
      </c>
      <c r="J307" s="165">
        <v>6.2584023512976596</v>
      </c>
      <c r="K307" s="169">
        <f t="shared" si="13"/>
        <v>0</v>
      </c>
      <c r="L307" s="165">
        <v>7.96</v>
      </c>
      <c r="M307" s="151">
        <v>2</v>
      </c>
      <c r="N307" s="151" t="str">
        <f t="shared" si="14"/>
        <v>No fit</v>
      </c>
      <c r="O307" s="174" t="s">
        <v>6592</v>
      </c>
      <c r="P307" s="174" t="s">
        <v>6051</v>
      </c>
    </row>
    <row r="308" spans="1:16" ht="64.05" customHeight="1" x14ac:dyDescent="0.3">
      <c r="A308" s="154" t="s">
        <v>6593</v>
      </c>
      <c r="B308" s="154" t="s">
        <v>5833</v>
      </c>
      <c r="C308" s="154" t="s">
        <v>114</v>
      </c>
      <c r="D308" s="154">
        <v>2021</v>
      </c>
      <c r="E308" s="154" t="s">
        <v>103</v>
      </c>
      <c r="F308" s="173" t="s">
        <v>6594</v>
      </c>
      <c r="G308" s="166">
        <f>'Forensic Prices'!C5</f>
        <v>23</v>
      </c>
      <c r="H308" s="166">
        <f>(FCCL!D99/'Forensic Inputs'!$G$17)</f>
        <v>2.5158090033808875</v>
      </c>
      <c r="I308" s="164">
        <f t="shared" si="12"/>
        <v>9.1421884447870596</v>
      </c>
      <c r="J308" s="164">
        <v>9.1421884447870596</v>
      </c>
      <c r="K308" s="168">
        <f t="shared" si="13"/>
        <v>0</v>
      </c>
      <c r="L308" s="164">
        <v>7.96</v>
      </c>
      <c r="M308" s="154">
        <v>2</v>
      </c>
      <c r="N308" s="154" t="str">
        <f t="shared" si="14"/>
        <v>No fit</v>
      </c>
      <c r="O308" s="173" t="s">
        <v>6595</v>
      </c>
      <c r="P308" s="173" t="s">
        <v>6051</v>
      </c>
    </row>
    <row r="309" spans="1:16" ht="64.05" customHeight="1" x14ac:dyDescent="0.3">
      <c r="A309" s="151" t="s">
        <v>6596</v>
      </c>
      <c r="B309" s="151" t="s">
        <v>5833</v>
      </c>
      <c r="C309" s="151" t="s">
        <v>114</v>
      </c>
      <c r="D309" s="151">
        <v>2021</v>
      </c>
      <c r="E309" s="151" t="s">
        <v>103</v>
      </c>
      <c r="F309" s="174" t="s">
        <v>6597</v>
      </c>
      <c r="G309" s="167">
        <f>'Forensic Prices'!D5</f>
        <v>22.061164658634539</v>
      </c>
      <c r="H309" s="167">
        <f>(FCCL!D99/'Forensic Inputs'!$G$17)</f>
        <v>2.5158090033808875</v>
      </c>
      <c r="I309" s="165">
        <f t="shared" si="12"/>
        <v>8.7690141139440581</v>
      </c>
      <c r="J309" s="165">
        <v>8.7690141139440581</v>
      </c>
      <c r="K309" s="169">
        <f t="shared" si="13"/>
        <v>0</v>
      </c>
      <c r="L309" s="165">
        <v>7.96</v>
      </c>
      <c r="M309" s="151">
        <v>2</v>
      </c>
      <c r="N309" s="151" t="str">
        <f t="shared" si="14"/>
        <v>No fit</v>
      </c>
      <c r="O309" s="174" t="s">
        <v>6595</v>
      </c>
      <c r="P309" s="174" t="s">
        <v>6051</v>
      </c>
    </row>
    <row r="310" spans="1:16" ht="64.05" customHeight="1" x14ac:dyDescent="0.3">
      <c r="A310" s="154" t="s">
        <v>6598</v>
      </c>
      <c r="B310" s="154" t="s">
        <v>5833</v>
      </c>
      <c r="C310" s="154" t="s">
        <v>114</v>
      </c>
      <c r="D310" s="154">
        <v>2021</v>
      </c>
      <c r="E310" s="154" t="s">
        <v>103</v>
      </c>
      <c r="F310" s="173" t="s">
        <v>6599</v>
      </c>
      <c r="G310" s="166">
        <f>'Forensic Prices'!E5</f>
        <v>21.66</v>
      </c>
      <c r="H310" s="166">
        <f>(FCCL!D99/'Forensic Inputs'!$G$17)</f>
        <v>2.5158090033808875</v>
      </c>
      <c r="I310" s="164">
        <f t="shared" si="12"/>
        <v>8.6095565962646834</v>
      </c>
      <c r="J310" s="164">
        <v>8.6095565962646834</v>
      </c>
      <c r="K310" s="168">
        <f t="shared" si="13"/>
        <v>0</v>
      </c>
      <c r="L310" s="164">
        <v>7.96</v>
      </c>
      <c r="M310" s="154">
        <v>2</v>
      </c>
      <c r="N310" s="154" t="str">
        <f t="shared" si="14"/>
        <v>No fit</v>
      </c>
      <c r="O310" s="173" t="s">
        <v>6595</v>
      </c>
      <c r="P310" s="173" t="s">
        <v>6051</v>
      </c>
    </row>
    <row r="311" spans="1:16" ht="64.05" customHeight="1" x14ac:dyDescent="0.3">
      <c r="A311" s="151" t="s">
        <v>6600</v>
      </c>
      <c r="B311" s="151" t="s">
        <v>5833</v>
      </c>
      <c r="C311" s="151" t="s">
        <v>114</v>
      </c>
      <c r="D311" s="151">
        <v>2021</v>
      </c>
      <c r="E311" s="151" t="s">
        <v>103</v>
      </c>
      <c r="F311" s="174" t="s">
        <v>6601</v>
      </c>
      <c r="G311" s="167">
        <f>'Forensic Prices'!F5</f>
        <v>22.200340154194269</v>
      </c>
      <c r="H311" s="167">
        <f>(FCCL!D99/'Forensic Inputs'!$G$17)</f>
        <v>2.5158090033808875</v>
      </c>
      <c r="I311" s="165">
        <f t="shared" si="12"/>
        <v>8.824334488174653</v>
      </c>
      <c r="J311" s="165">
        <v>8.824334488174653</v>
      </c>
      <c r="K311" s="169">
        <f t="shared" si="13"/>
        <v>0</v>
      </c>
      <c r="L311" s="165">
        <v>7.96</v>
      </c>
      <c r="M311" s="151">
        <v>2</v>
      </c>
      <c r="N311" s="151" t="str">
        <f t="shared" si="14"/>
        <v>No fit</v>
      </c>
      <c r="O311" s="174" t="s">
        <v>6595</v>
      </c>
      <c r="P311" s="174" t="s">
        <v>6051</v>
      </c>
    </row>
    <row r="312" spans="1:16" ht="64.05" customHeight="1" x14ac:dyDescent="0.3">
      <c r="A312" s="154" t="s">
        <v>6602</v>
      </c>
      <c r="B312" s="154" t="s">
        <v>5833</v>
      </c>
      <c r="C312" s="154" t="s">
        <v>114</v>
      </c>
      <c r="D312" s="154">
        <v>2021</v>
      </c>
      <c r="E312" s="154" t="s">
        <v>103</v>
      </c>
      <c r="F312" s="173" t="s">
        <v>6603</v>
      </c>
      <c r="G312" s="166">
        <f>'Forensic Prices'!G5</f>
        <v>22.418333333333333</v>
      </c>
      <c r="H312" s="166">
        <f>(FCCL!D99/'Forensic Inputs'!$G$17)</f>
        <v>2.5158090033808875</v>
      </c>
      <c r="I312" s="164">
        <f t="shared" si="12"/>
        <v>8.9109838239732415</v>
      </c>
      <c r="J312" s="164">
        <v>8.9109838239732415</v>
      </c>
      <c r="K312" s="168">
        <f t="shared" si="13"/>
        <v>0</v>
      </c>
      <c r="L312" s="164">
        <v>7.96</v>
      </c>
      <c r="M312" s="154">
        <v>2</v>
      </c>
      <c r="N312" s="154" t="str">
        <f t="shared" si="14"/>
        <v>No fit</v>
      </c>
      <c r="O312" s="173" t="s">
        <v>6595</v>
      </c>
      <c r="P312" s="173" t="s">
        <v>6051</v>
      </c>
    </row>
    <row r="313" spans="1:16" ht="64.05" customHeight="1" x14ac:dyDescent="0.3">
      <c r="A313" s="151" t="s">
        <v>6604</v>
      </c>
      <c r="B313" s="151" t="s">
        <v>5833</v>
      </c>
      <c r="C313" s="151" t="s">
        <v>114</v>
      </c>
      <c r="D313" s="151">
        <v>2021</v>
      </c>
      <c r="E313" s="151" t="s">
        <v>103</v>
      </c>
      <c r="F313" s="174" t="s">
        <v>6605</v>
      </c>
      <c r="G313" s="167">
        <f>'Forensic Prices'!H5</f>
        <v>22.114575634161156</v>
      </c>
      <c r="H313" s="167">
        <f>(FCCL!D99/'Forensic Inputs'!$G$17)</f>
        <v>2.5158090033808875</v>
      </c>
      <c r="I313" s="165">
        <f t="shared" si="12"/>
        <v>8.7902442532172866</v>
      </c>
      <c r="J313" s="165">
        <v>8.7902442532172884</v>
      </c>
      <c r="K313" s="169">
        <f t="shared" si="13"/>
        <v>0</v>
      </c>
      <c r="L313" s="165">
        <v>7.96</v>
      </c>
      <c r="M313" s="151">
        <v>2</v>
      </c>
      <c r="N313" s="151" t="str">
        <f t="shared" si="14"/>
        <v>No fit</v>
      </c>
      <c r="O313" s="174" t="s">
        <v>6595</v>
      </c>
      <c r="P313" s="174" t="s">
        <v>6051</v>
      </c>
    </row>
    <row r="314" spans="1:16" ht="64.05" customHeight="1" x14ac:dyDescent="0.3">
      <c r="A314" s="154" t="s">
        <v>6606</v>
      </c>
      <c r="B314" s="154" t="s">
        <v>5833</v>
      </c>
      <c r="C314" s="154" t="s">
        <v>114</v>
      </c>
      <c r="D314" s="154">
        <v>2021</v>
      </c>
      <c r="E314" s="154" t="s">
        <v>103</v>
      </c>
      <c r="F314" s="173" t="s">
        <v>6607</v>
      </c>
      <c r="G314" s="166">
        <f>'Forensic Prices'!I5</f>
        <v>22.074337349397602</v>
      </c>
      <c r="H314" s="166">
        <f>(FCCL!D99/'Forensic Inputs'!$G$17)</f>
        <v>2.5158090033808875</v>
      </c>
      <c r="I314" s="164">
        <f t="shared" si="12"/>
        <v>8.7742500800867038</v>
      </c>
      <c r="J314" s="164">
        <v>8.7742500800866985</v>
      </c>
      <c r="K314" s="168">
        <f t="shared" si="13"/>
        <v>0</v>
      </c>
      <c r="L314" s="164">
        <v>7.96</v>
      </c>
      <c r="M314" s="154">
        <v>2</v>
      </c>
      <c r="N314" s="154" t="str">
        <f t="shared" si="14"/>
        <v>No fit</v>
      </c>
      <c r="O314" s="173" t="s">
        <v>6595</v>
      </c>
      <c r="P314" s="173" t="s">
        <v>6051</v>
      </c>
    </row>
    <row r="315" spans="1:16" ht="64.05" customHeight="1" x14ac:dyDescent="0.3">
      <c r="A315" s="151" t="s">
        <v>6608</v>
      </c>
      <c r="B315" s="151" t="s">
        <v>5833</v>
      </c>
      <c r="C315" s="151" t="s">
        <v>114</v>
      </c>
      <c r="D315" s="151">
        <v>2021</v>
      </c>
      <c r="E315" s="151" t="s">
        <v>103</v>
      </c>
      <c r="F315" s="174" t="s">
        <v>6609</v>
      </c>
      <c r="G315" s="167">
        <f>'Forensic Prices'!J5</f>
        <v>22.428554216867468</v>
      </c>
      <c r="H315" s="167">
        <f>(FCCL!D99/'Forensic Inputs'!$G$17)</f>
        <v>2.5158090033808875</v>
      </c>
      <c r="I315" s="165">
        <f t="shared" si="12"/>
        <v>8.9150464867272117</v>
      </c>
      <c r="J315" s="165">
        <v>8.9150464867272117</v>
      </c>
      <c r="K315" s="169">
        <f t="shared" si="13"/>
        <v>0</v>
      </c>
      <c r="L315" s="165">
        <v>7.96</v>
      </c>
      <c r="M315" s="151">
        <v>2</v>
      </c>
      <c r="N315" s="151" t="str">
        <f t="shared" si="14"/>
        <v>No fit</v>
      </c>
      <c r="O315" s="174" t="s">
        <v>6595</v>
      </c>
      <c r="P315" s="174" t="s">
        <v>6051</v>
      </c>
    </row>
    <row r="316" spans="1:16" ht="64.05" customHeight="1" x14ac:dyDescent="0.3">
      <c r="A316" s="154" t="s">
        <v>6610</v>
      </c>
      <c r="B316" s="154" t="s">
        <v>5833</v>
      </c>
      <c r="C316" s="154" t="s">
        <v>114</v>
      </c>
      <c r="D316" s="154">
        <v>2021</v>
      </c>
      <c r="E316" s="154" t="s">
        <v>103</v>
      </c>
      <c r="F316" s="173" t="s">
        <v>6611</v>
      </c>
      <c r="G316" s="166">
        <f>'Forensic Prices'!K5</f>
        <v>21.736345381526121</v>
      </c>
      <c r="H316" s="166">
        <f>(FCCL!D99/'Forensic Inputs'!$G$17)</f>
        <v>2.5158090033808875</v>
      </c>
      <c r="I316" s="164">
        <f t="shared" si="12"/>
        <v>8.6399028512560303</v>
      </c>
      <c r="J316" s="164">
        <v>8.6399028512560232</v>
      </c>
      <c r="K316" s="168">
        <f t="shared" si="13"/>
        <v>0</v>
      </c>
      <c r="L316" s="164">
        <v>7.96</v>
      </c>
      <c r="M316" s="154">
        <v>2</v>
      </c>
      <c r="N316" s="154" t="str">
        <f t="shared" si="14"/>
        <v>No fit</v>
      </c>
      <c r="O316" s="173" t="s">
        <v>6595</v>
      </c>
      <c r="P316" s="173" t="s">
        <v>6051</v>
      </c>
    </row>
    <row r="317" spans="1:16" ht="64.05" customHeight="1" x14ac:dyDescent="0.3">
      <c r="A317" s="151" t="s">
        <v>6612</v>
      </c>
      <c r="B317" s="151" t="s">
        <v>5833</v>
      </c>
      <c r="C317" s="151" t="s">
        <v>114</v>
      </c>
      <c r="D317" s="151">
        <v>2021</v>
      </c>
      <c r="E317" s="151" t="s">
        <v>103</v>
      </c>
      <c r="F317" s="174" t="s">
        <v>6613</v>
      </c>
      <c r="G317" s="167">
        <f>'Forensic Prices'!L5</f>
        <v>22.234999999999999</v>
      </c>
      <c r="H317" s="167">
        <f>(FCCL!D99/'Forensic Inputs'!$G$17)</f>
        <v>2.5158090033808875</v>
      </c>
      <c r="I317" s="165">
        <f t="shared" si="12"/>
        <v>8.8381113073843593</v>
      </c>
      <c r="J317" s="165">
        <v>8.8381113073843593</v>
      </c>
      <c r="K317" s="169">
        <f t="shared" si="13"/>
        <v>0</v>
      </c>
      <c r="L317" s="165">
        <v>7.96</v>
      </c>
      <c r="M317" s="151">
        <v>2</v>
      </c>
      <c r="N317" s="151" t="str">
        <f t="shared" si="14"/>
        <v>No fit</v>
      </c>
      <c r="O317" s="174" t="s">
        <v>6595</v>
      </c>
      <c r="P317" s="174" t="s">
        <v>6051</v>
      </c>
    </row>
    <row r="318" spans="1:16" ht="64.05" customHeight="1" x14ac:dyDescent="0.3">
      <c r="A318" s="154" t="s">
        <v>6614</v>
      </c>
      <c r="B318" s="154" t="s">
        <v>5833</v>
      </c>
      <c r="C318" s="154" t="s">
        <v>114</v>
      </c>
      <c r="D318" s="154">
        <v>2021</v>
      </c>
      <c r="E318" s="154" t="s">
        <v>103</v>
      </c>
      <c r="F318" s="173" t="s">
        <v>6615</v>
      </c>
      <c r="G318" s="166">
        <f>'Forensic Prices'!M5</f>
        <v>20.495781250000004</v>
      </c>
      <c r="H318" s="166">
        <f>(FCCL!D99/'Forensic Inputs'!$G$17)</f>
        <v>2.5158090033808875</v>
      </c>
      <c r="I318" s="164">
        <f t="shared" si="12"/>
        <v>8.1467954135057958</v>
      </c>
      <c r="J318" s="164">
        <v>8.1467954135057958</v>
      </c>
      <c r="K318" s="168">
        <f t="shared" si="13"/>
        <v>0</v>
      </c>
      <c r="L318" s="164">
        <v>7.96</v>
      </c>
      <c r="M318" s="154">
        <v>2</v>
      </c>
      <c r="N318" s="154" t="str">
        <f t="shared" si="14"/>
        <v>No fit</v>
      </c>
      <c r="O318" s="173" t="s">
        <v>6595</v>
      </c>
      <c r="P318" s="173" t="s">
        <v>6051</v>
      </c>
    </row>
    <row r="319" spans="1:16" ht="64.05" customHeight="1" x14ac:dyDescent="0.3">
      <c r="A319" s="151" t="s">
        <v>6616</v>
      </c>
      <c r="B319" s="151" t="s">
        <v>5833</v>
      </c>
      <c r="C319" s="151" t="s">
        <v>114</v>
      </c>
      <c r="D319" s="151">
        <v>2021</v>
      </c>
      <c r="E319" s="151" t="s">
        <v>103</v>
      </c>
      <c r="F319" s="174" t="s">
        <v>6617</v>
      </c>
      <c r="G319" s="167">
        <f>'Forensic Prices'!N5</f>
        <v>20.871718750000007</v>
      </c>
      <c r="H319" s="167">
        <f>(FCCL!D99/'Forensic Inputs'!$G$17)</f>
        <v>2.5158090033808875</v>
      </c>
      <c r="I319" s="165">
        <f t="shared" si="12"/>
        <v>8.2962254773519781</v>
      </c>
      <c r="J319" s="165">
        <v>8.2962254773519746</v>
      </c>
      <c r="K319" s="169">
        <f t="shared" si="13"/>
        <v>0</v>
      </c>
      <c r="L319" s="165">
        <v>7.96</v>
      </c>
      <c r="M319" s="151">
        <v>2</v>
      </c>
      <c r="N319" s="151" t="str">
        <f t="shared" si="14"/>
        <v>No fit</v>
      </c>
      <c r="O319" s="174" t="s">
        <v>6595</v>
      </c>
      <c r="P319" s="174" t="s">
        <v>6051</v>
      </c>
    </row>
    <row r="320" spans="1:16" ht="64.05" customHeight="1" x14ac:dyDescent="0.3">
      <c r="A320" s="154" t="s">
        <v>6618</v>
      </c>
      <c r="B320" s="154" t="s">
        <v>5833</v>
      </c>
      <c r="C320" s="154" t="s">
        <v>114</v>
      </c>
      <c r="D320" s="154">
        <v>2021</v>
      </c>
      <c r="E320" s="154" t="s">
        <v>103</v>
      </c>
      <c r="F320" s="173" t="s">
        <v>6619</v>
      </c>
      <c r="G320" s="166">
        <f>'Forensic Prices'!O5</f>
        <v>23.376129032258071</v>
      </c>
      <c r="H320" s="166">
        <f>(FCCL!D99/'Forensic Inputs'!$G$17)</f>
        <v>2.5158090033808875</v>
      </c>
      <c r="I320" s="164">
        <f t="shared" si="12"/>
        <v>9.2916946401113503</v>
      </c>
      <c r="J320" s="164">
        <v>9.2916946401113467</v>
      </c>
      <c r="K320" s="168">
        <f t="shared" si="13"/>
        <v>0</v>
      </c>
      <c r="L320" s="164">
        <v>7.96</v>
      </c>
      <c r="M320" s="154">
        <v>2</v>
      </c>
      <c r="N320" s="154" t="str">
        <f t="shared" si="14"/>
        <v>No fit</v>
      </c>
      <c r="O320" s="173" t="s">
        <v>6595</v>
      </c>
      <c r="P320" s="173" t="s">
        <v>6051</v>
      </c>
    </row>
    <row r="321" spans="1:16" ht="64.05" customHeight="1" x14ac:dyDescent="0.3">
      <c r="A321" s="151" t="s">
        <v>6620</v>
      </c>
      <c r="B321" s="151" t="s">
        <v>5833</v>
      </c>
      <c r="C321" s="151" t="s">
        <v>114</v>
      </c>
      <c r="D321" s="151">
        <v>2021</v>
      </c>
      <c r="E321" s="151" t="s">
        <v>103</v>
      </c>
      <c r="F321" s="174" t="s">
        <v>6621</v>
      </c>
      <c r="G321" s="167">
        <f>'Forensic Prices'!P5</f>
        <v>23.667627118644067</v>
      </c>
      <c r="H321" s="167">
        <f>(FCCL!D99/'Forensic Inputs'!$G$17)</f>
        <v>2.5158090033808875</v>
      </c>
      <c r="I321" s="165">
        <f t="shared" si="12"/>
        <v>9.4075611808520279</v>
      </c>
      <c r="J321" s="165">
        <v>9.4075611808520279</v>
      </c>
      <c r="K321" s="169">
        <f t="shared" si="13"/>
        <v>0</v>
      </c>
      <c r="L321" s="165">
        <v>7.96</v>
      </c>
      <c r="M321" s="151">
        <v>2</v>
      </c>
      <c r="N321" s="151" t="str">
        <f t="shared" si="14"/>
        <v>No fit</v>
      </c>
      <c r="O321" s="174" t="s">
        <v>6595</v>
      </c>
      <c r="P321" s="174" t="s">
        <v>6051</v>
      </c>
    </row>
    <row r="322" spans="1:16" ht="64.05" customHeight="1" x14ac:dyDescent="0.3">
      <c r="A322" s="154" t="s">
        <v>6622</v>
      </c>
      <c r="B322" s="154" t="s">
        <v>5842</v>
      </c>
      <c r="C322" s="154" t="s">
        <v>114</v>
      </c>
      <c r="D322" s="154">
        <v>2022</v>
      </c>
      <c r="E322" s="154" t="s">
        <v>103</v>
      </c>
      <c r="F322" s="173" t="s">
        <v>5893</v>
      </c>
      <c r="G322" s="166">
        <f>FCCL!E130</f>
        <v>14.17</v>
      </c>
      <c r="H322" s="166">
        <f>FCCL!E99/FCCL!E129</f>
        <v>3.2621706372812294</v>
      </c>
      <c r="I322" s="164">
        <f t="shared" si="12"/>
        <v>4.3437335368236942</v>
      </c>
      <c r="J322" s="164">
        <v>4.3437335368236942</v>
      </c>
      <c r="K322" s="168">
        <f t="shared" si="13"/>
        <v>0</v>
      </c>
      <c r="L322" s="164">
        <v>6</v>
      </c>
      <c r="M322" s="154">
        <v>2</v>
      </c>
      <c r="N322" s="154" t="str">
        <f t="shared" si="14"/>
        <v>No fit</v>
      </c>
      <c r="O322" s="173" t="s">
        <v>6050</v>
      </c>
      <c r="P322" s="173" t="s">
        <v>6051</v>
      </c>
    </row>
    <row r="323" spans="1:16" ht="64.05" customHeight="1" x14ac:dyDescent="0.3">
      <c r="A323" s="151" t="s">
        <v>6623</v>
      </c>
      <c r="B323" s="151" t="s">
        <v>5842</v>
      </c>
      <c r="C323" s="151" t="s">
        <v>114</v>
      </c>
      <c r="D323" s="151">
        <v>2022</v>
      </c>
      <c r="E323" s="151" t="s">
        <v>103</v>
      </c>
      <c r="F323" s="174" t="s">
        <v>6580</v>
      </c>
      <c r="G323" s="167">
        <f>FCCL!E130</f>
        <v>14.17</v>
      </c>
      <c r="H323" s="167">
        <f>'PSX Prices'!L27</f>
        <v>3.02</v>
      </c>
      <c r="I323" s="165">
        <f t="shared" si="12"/>
        <v>4.6920529801324502</v>
      </c>
      <c r="J323" s="165">
        <v>4.6920529801324502</v>
      </c>
      <c r="K323" s="169">
        <f t="shared" si="13"/>
        <v>0</v>
      </c>
      <c r="L323" s="165">
        <v>6</v>
      </c>
      <c r="M323" s="151">
        <v>2</v>
      </c>
      <c r="N323" s="151" t="str">
        <f t="shared" si="14"/>
        <v>No fit</v>
      </c>
      <c r="O323" s="174" t="s">
        <v>6581</v>
      </c>
      <c r="P323" s="174" t="s">
        <v>6051</v>
      </c>
    </row>
    <row r="324" spans="1:16" ht="64.05" customHeight="1" x14ac:dyDescent="0.3">
      <c r="A324" s="154" t="s">
        <v>6624</v>
      </c>
      <c r="B324" s="154" t="s">
        <v>5842</v>
      </c>
      <c r="C324" s="154" t="s">
        <v>114</v>
      </c>
      <c r="D324" s="154">
        <v>2022</v>
      </c>
      <c r="E324" s="154" t="s">
        <v>103</v>
      </c>
      <c r="F324" s="173" t="s">
        <v>5837</v>
      </c>
      <c r="G324" s="166">
        <f>FCCL!E130</f>
        <v>14.17</v>
      </c>
      <c r="H324" s="166">
        <f>(FCCL!E99/'Forensic Inputs'!$G$18)</f>
        <v>3.0220616696812757</v>
      </c>
      <c r="I324" s="164">
        <f t="shared" si="12"/>
        <v>4.6888520317636173</v>
      </c>
      <c r="J324" s="164">
        <v>4.6888520317636173</v>
      </c>
      <c r="K324" s="168">
        <f t="shared" si="13"/>
        <v>0</v>
      </c>
      <c r="L324" s="164">
        <v>6</v>
      </c>
      <c r="M324" s="154">
        <v>2</v>
      </c>
      <c r="N324" s="154" t="str">
        <f t="shared" si="14"/>
        <v>No fit</v>
      </c>
      <c r="O324" s="173" t="s">
        <v>6625</v>
      </c>
      <c r="P324" s="173" t="s">
        <v>6051</v>
      </c>
    </row>
    <row r="325" spans="1:16" ht="64.05" customHeight="1" x14ac:dyDescent="0.3">
      <c r="A325" s="151" t="s">
        <v>6626</v>
      </c>
      <c r="B325" s="151" t="s">
        <v>5842</v>
      </c>
      <c r="C325" s="151" t="s">
        <v>114</v>
      </c>
      <c r="D325" s="151">
        <v>2022</v>
      </c>
      <c r="E325" s="151" t="s">
        <v>103</v>
      </c>
      <c r="F325" s="174" t="s">
        <v>6585</v>
      </c>
      <c r="G325" s="167">
        <f>FCCL!E130</f>
        <v>14.17</v>
      </c>
      <c r="H325" s="167">
        <f>(FCCL!E99/FCCL!E128)</f>
        <v>3.2621706372812294</v>
      </c>
      <c r="I325" s="165">
        <f t="shared" si="12"/>
        <v>4.3437335368236942</v>
      </c>
      <c r="J325" s="165">
        <v>4.3437335368236942</v>
      </c>
      <c r="K325" s="169">
        <f t="shared" si="13"/>
        <v>0</v>
      </c>
      <c r="L325" s="165">
        <v>6</v>
      </c>
      <c r="M325" s="151">
        <v>2</v>
      </c>
      <c r="N325" s="151" t="str">
        <f t="shared" si="14"/>
        <v>No fit</v>
      </c>
      <c r="O325" s="174" t="s">
        <v>6586</v>
      </c>
      <c r="P325" s="174" t="s">
        <v>6051</v>
      </c>
    </row>
    <row r="326" spans="1:16" ht="64.05" customHeight="1" x14ac:dyDescent="0.3">
      <c r="A326" s="154" t="s">
        <v>6627</v>
      </c>
      <c r="B326" s="154" t="s">
        <v>5842</v>
      </c>
      <c r="C326" s="154" t="s">
        <v>114</v>
      </c>
      <c r="D326" s="154">
        <v>2022</v>
      </c>
      <c r="E326" s="154" t="s">
        <v>103</v>
      </c>
      <c r="F326" s="173" t="s">
        <v>6588</v>
      </c>
      <c r="G326" s="166">
        <f>FCCL!E130</f>
        <v>14.17</v>
      </c>
      <c r="H326" s="166">
        <f>(FCCL!E96/'Forensic Inputs'!$G$18)</f>
        <v>4.8981950161012842</v>
      </c>
      <c r="I326" s="164">
        <f t="shared" ref="I326:I389" si="15">G326/H326</f>
        <v>2.8929023759610546</v>
      </c>
      <c r="J326" s="164">
        <v>2.8929023759610542</v>
      </c>
      <c r="K326" s="168">
        <f t="shared" ref="K326:K389" si="16">I326-J326</f>
        <v>0</v>
      </c>
      <c r="L326" s="164">
        <v>6</v>
      </c>
      <c r="M326" s="154">
        <v>2</v>
      </c>
      <c r="N326" s="154" t="str">
        <f t="shared" ref="N326:N389" si="17">IF(ROUND(I326,M326)=ROUND(L326,M326),"Numeric fit","No fit")</f>
        <v>No fit</v>
      </c>
      <c r="O326" s="173" t="s">
        <v>6628</v>
      </c>
      <c r="P326" s="173" t="s">
        <v>6051</v>
      </c>
    </row>
    <row r="327" spans="1:16" ht="64.05" customHeight="1" x14ac:dyDescent="0.3">
      <c r="A327" s="151" t="s">
        <v>6629</v>
      </c>
      <c r="B327" s="151" t="s">
        <v>5842</v>
      </c>
      <c r="C327" s="151" t="s">
        <v>114</v>
      </c>
      <c r="D327" s="151">
        <v>2022</v>
      </c>
      <c r="E327" s="151" t="s">
        <v>103</v>
      </c>
      <c r="F327" s="174" t="s">
        <v>6591</v>
      </c>
      <c r="G327" s="167">
        <f>FCCL!E130</f>
        <v>14.17</v>
      </c>
      <c r="H327" s="167">
        <f>((FCCL!E99+FCCL!E107)/'Forensic Inputs'!$G$18)</f>
        <v>4.2755539636266917</v>
      </c>
      <c r="I327" s="165">
        <f t="shared" si="15"/>
        <v>3.3141904231704404</v>
      </c>
      <c r="J327" s="165">
        <v>3.3141904231704404</v>
      </c>
      <c r="K327" s="169">
        <f t="shared" si="16"/>
        <v>0</v>
      </c>
      <c r="L327" s="165">
        <v>6</v>
      </c>
      <c r="M327" s="151">
        <v>2</v>
      </c>
      <c r="N327" s="151" t="str">
        <f t="shared" si="17"/>
        <v>No fit</v>
      </c>
      <c r="O327" s="174" t="s">
        <v>6630</v>
      </c>
      <c r="P327" s="174" t="s">
        <v>6051</v>
      </c>
    </row>
    <row r="328" spans="1:16" ht="64.05" customHeight="1" x14ac:dyDescent="0.3">
      <c r="A328" s="154" t="s">
        <v>6631</v>
      </c>
      <c r="B328" s="154" t="s">
        <v>5842</v>
      </c>
      <c r="C328" s="154" t="s">
        <v>114</v>
      </c>
      <c r="D328" s="154">
        <v>2022</v>
      </c>
      <c r="E328" s="154" t="s">
        <v>103</v>
      </c>
      <c r="F328" s="173" t="s">
        <v>6594</v>
      </c>
      <c r="G328" s="166">
        <f>'Forensic Prices'!C6</f>
        <v>14.17</v>
      </c>
      <c r="H328" s="166">
        <f>(FCCL!E99/'Forensic Inputs'!$G$18)</f>
        <v>3.0220616696812757</v>
      </c>
      <c r="I328" s="164">
        <f t="shared" si="15"/>
        <v>4.6888520317636173</v>
      </c>
      <c r="J328" s="164">
        <v>4.6888520317636173</v>
      </c>
      <c r="K328" s="168">
        <f t="shared" si="16"/>
        <v>0</v>
      </c>
      <c r="L328" s="164">
        <v>6</v>
      </c>
      <c r="M328" s="154">
        <v>2</v>
      </c>
      <c r="N328" s="154" t="str">
        <f t="shared" si="17"/>
        <v>No fit</v>
      </c>
      <c r="O328" s="173" t="s">
        <v>6632</v>
      </c>
      <c r="P328" s="173" t="s">
        <v>6051</v>
      </c>
    </row>
    <row r="329" spans="1:16" ht="64.05" customHeight="1" x14ac:dyDescent="0.3">
      <c r="A329" s="151" t="s">
        <v>6633</v>
      </c>
      <c r="B329" s="151" t="s">
        <v>5842</v>
      </c>
      <c r="C329" s="151" t="s">
        <v>114</v>
      </c>
      <c r="D329" s="151">
        <v>2022</v>
      </c>
      <c r="E329" s="151" t="s">
        <v>103</v>
      </c>
      <c r="F329" s="174" t="s">
        <v>6597</v>
      </c>
      <c r="G329" s="167">
        <f>'Forensic Prices'!D6</f>
        <v>18.143132530120486</v>
      </c>
      <c r="H329" s="167">
        <f>(FCCL!E99/'Forensic Inputs'!$G$18)</f>
        <v>3.0220616696812757</v>
      </c>
      <c r="I329" s="165">
        <f t="shared" si="15"/>
        <v>6.0035613144962614</v>
      </c>
      <c r="J329" s="165">
        <v>6.0035613144962605</v>
      </c>
      <c r="K329" s="169">
        <f t="shared" si="16"/>
        <v>0</v>
      </c>
      <c r="L329" s="165">
        <v>6</v>
      </c>
      <c r="M329" s="151">
        <v>2</v>
      </c>
      <c r="N329" s="151" t="str">
        <f t="shared" si="17"/>
        <v>Numeric fit</v>
      </c>
      <c r="O329" s="174" t="s">
        <v>6632</v>
      </c>
      <c r="P329" s="174" t="s">
        <v>6051</v>
      </c>
    </row>
    <row r="330" spans="1:16" ht="64.05" customHeight="1" x14ac:dyDescent="0.3">
      <c r="A330" s="154" t="s">
        <v>6634</v>
      </c>
      <c r="B330" s="154" t="s">
        <v>5842</v>
      </c>
      <c r="C330" s="154" t="s">
        <v>114</v>
      </c>
      <c r="D330" s="154">
        <v>2022</v>
      </c>
      <c r="E330" s="154" t="s">
        <v>103</v>
      </c>
      <c r="F330" s="173" t="s">
        <v>6599</v>
      </c>
      <c r="G330" s="166">
        <f>'Forensic Prices'!E6</f>
        <v>17.850000000000001</v>
      </c>
      <c r="H330" s="166">
        <f>(FCCL!E99/'Forensic Inputs'!$G$18)</f>
        <v>3.0220616696812757</v>
      </c>
      <c r="I330" s="164">
        <f t="shared" si="15"/>
        <v>5.9065637803091446</v>
      </c>
      <c r="J330" s="164">
        <v>5.9065637803091446</v>
      </c>
      <c r="K330" s="168">
        <f t="shared" si="16"/>
        <v>0</v>
      </c>
      <c r="L330" s="164">
        <v>6</v>
      </c>
      <c r="M330" s="154">
        <v>2</v>
      </c>
      <c r="N330" s="154" t="str">
        <f t="shared" si="17"/>
        <v>No fit</v>
      </c>
      <c r="O330" s="173" t="s">
        <v>6632</v>
      </c>
      <c r="P330" s="173" t="s">
        <v>6051</v>
      </c>
    </row>
    <row r="331" spans="1:16" ht="64.05" customHeight="1" x14ac:dyDescent="0.3">
      <c r="A331" s="151" t="s">
        <v>6635</v>
      </c>
      <c r="B331" s="151" t="s">
        <v>5842</v>
      </c>
      <c r="C331" s="151" t="s">
        <v>114</v>
      </c>
      <c r="D331" s="151">
        <v>2022</v>
      </c>
      <c r="E331" s="151" t="s">
        <v>103</v>
      </c>
      <c r="F331" s="174" t="s">
        <v>6601</v>
      </c>
      <c r="G331" s="167">
        <f>'Forensic Prices'!F6</f>
        <v>18.052709980571265</v>
      </c>
      <c r="H331" s="167">
        <f>(FCCL!E99/'Forensic Inputs'!$G$18)</f>
        <v>3.0220616696812757</v>
      </c>
      <c r="I331" s="165">
        <f t="shared" si="15"/>
        <v>5.9736404990289991</v>
      </c>
      <c r="J331" s="165">
        <v>5.9736404990289991</v>
      </c>
      <c r="K331" s="169">
        <f t="shared" si="16"/>
        <v>0</v>
      </c>
      <c r="L331" s="165">
        <v>6</v>
      </c>
      <c r="M331" s="151">
        <v>2</v>
      </c>
      <c r="N331" s="151" t="str">
        <f t="shared" si="17"/>
        <v>No fit</v>
      </c>
      <c r="O331" s="174" t="s">
        <v>6632</v>
      </c>
      <c r="P331" s="174" t="s">
        <v>6051</v>
      </c>
    </row>
    <row r="332" spans="1:16" ht="64.05" customHeight="1" x14ac:dyDescent="0.3">
      <c r="A332" s="154" t="s">
        <v>6636</v>
      </c>
      <c r="B332" s="154" t="s">
        <v>5842</v>
      </c>
      <c r="C332" s="154" t="s">
        <v>114</v>
      </c>
      <c r="D332" s="154">
        <v>2022</v>
      </c>
      <c r="E332" s="154" t="s">
        <v>103</v>
      </c>
      <c r="F332" s="173" t="s">
        <v>6603</v>
      </c>
      <c r="G332" s="166">
        <f>'Forensic Prices'!G6</f>
        <v>18.064166666666669</v>
      </c>
      <c r="H332" s="166">
        <f>(FCCL!E99/'Forensic Inputs'!$G$18)</f>
        <v>3.0220616696812757</v>
      </c>
      <c r="I332" s="164">
        <f t="shared" si="15"/>
        <v>5.9774315156751321</v>
      </c>
      <c r="J332" s="164">
        <v>5.9774315156751312</v>
      </c>
      <c r="K332" s="168">
        <f t="shared" si="16"/>
        <v>0</v>
      </c>
      <c r="L332" s="164">
        <v>6</v>
      </c>
      <c r="M332" s="154">
        <v>2</v>
      </c>
      <c r="N332" s="154" t="str">
        <f t="shared" si="17"/>
        <v>No fit</v>
      </c>
      <c r="O332" s="173" t="s">
        <v>6632</v>
      </c>
      <c r="P332" s="173" t="s">
        <v>6051</v>
      </c>
    </row>
    <row r="333" spans="1:16" ht="64.05" customHeight="1" x14ac:dyDescent="0.3">
      <c r="A333" s="151" t="s">
        <v>6637</v>
      </c>
      <c r="B333" s="151" t="s">
        <v>5842</v>
      </c>
      <c r="C333" s="151" t="s">
        <v>114</v>
      </c>
      <c r="D333" s="151">
        <v>2022</v>
      </c>
      <c r="E333" s="151" t="s">
        <v>103</v>
      </c>
      <c r="F333" s="174" t="s">
        <v>6605</v>
      </c>
      <c r="G333" s="167">
        <f>'Forensic Prices'!H6</f>
        <v>18.167809658506169</v>
      </c>
      <c r="H333" s="167">
        <f>(FCCL!E99/'Forensic Inputs'!$G$18)</f>
        <v>3.0220616696812757</v>
      </c>
      <c r="I333" s="165">
        <f t="shared" si="15"/>
        <v>6.0117269745928956</v>
      </c>
      <c r="J333" s="165">
        <v>6.0117269745928956</v>
      </c>
      <c r="K333" s="169">
        <f t="shared" si="16"/>
        <v>0</v>
      </c>
      <c r="L333" s="165">
        <v>6</v>
      </c>
      <c r="M333" s="151">
        <v>2</v>
      </c>
      <c r="N333" s="151" t="str">
        <f t="shared" si="17"/>
        <v>No fit</v>
      </c>
      <c r="O333" s="174" t="s">
        <v>6632</v>
      </c>
      <c r="P333" s="174" t="s">
        <v>6051</v>
      </c>
    </row>
    <row r="334" spans="1:16" ht="64.05" customHeight="1" x14ac:dyDescent="0.3">
      <c r="A334" s="154" t="s">
        <v>6638</v>
      </c>
      <c r="B334" s="154" t="s">
        <v>5842</v>
      </c>
      <c r="C334" s="154" t="s">
        <v>114</v>
      </c>
      <c r="D334" s="154">
        <v>2022</v>
      </c>
      <c r="E334" s="154" t="s">
        <v>103</v>
      </c>
      <c r="F334" s="173" t="s">
        <v>6607</v>
      </c>
      <c r="G334" s="166">
        <f>'Forensic Prices'!I6</f>
        <v>18.198554216867471</v>
      </c>
      <c r="H334" s="166">
        <f>(FCCL!E99/'Forensic Inputs'!$G$18)</f>
        <v>3.0220616696812757</v>
      </c>
      <c r="I334" s="164">
        <f t="shared" si="15"/>
        <v>6.0219003468538741</v>
      </c>
      <c r="J334" s="164">
        <v>6.0219003468538741</v>
      </c>
      <c r="K334" s="168">
        <f t="shared" si="16"/>
        <v>0</v>
      </c>
      <c r="L334" s="164">
        <v>6</v>
      </c>
      <c r="M334" s="154">
        <v>2</v>
      </c>
      <c r="N334" s="154" t="str">
        <f t="shared" si="17"/>
        <v>No fit</v>
      </c>
      <c r="O334" s="173" t="s">
        <v>6632</v>
      </c>
      <c r="P334" s="173" t="s">
        <v>6051</v>
      </c>
    </row>
    <row r="335" spans="1:16" ht="64.05" customHeight="1" x14ac:dyDescent="0.3">
      <c r="A335" s="151" t="s">
        <v>6639</v>
      </c>
      <c r="B335" s="151" t="s">
        <v>5842</v>
      </c>
      <c r="C335" s="151" t="s">
        <v>114</v>
      </c>
      <c r="D335" s="151">
        <v>2022</v>
      </c>
      <c r="E335" s="151" t="s">
        <v>103</v>
      </c>
      <c r="F335" s="174" t="s">
        <v>6609</v>
      </c>
      <c r="G335" s="167">
        <f>'Forensic Prices'!J6</f>
        <v>18.465060240963844</v>
      </c>
      <c r="H335" s="167">
        <f>(FCCL!E99/'Forensic Inputs'!$G$18)</f>
        <v>3.0220616696812757</v>
      </c>
      <c r="I335" s="165">
        <f t="shared" si="15"/>
        <v>6.1100871720170016</v>
      </c>
      <c r="J335" s="165">
        <v>6.1100871720170051</v>
      </c>
      <c r="K335" s="169">
        <f t="shared" si="16"/>
        <v>0</v>
      </c>
      <c r="L335" s="165">
        <v>6</v>
      </c>
      <c r="M335" s="151">
        <v>2</v>
      </c>
      <c r="N335" s="151" t="str">
        <f t="shared" si="17"/>
        <v>No fit</v>
      </c>
      <c r="O335" s="174" t="s">
        <v>6632</v>
      </c>
      <c r="P335" s="174" t="s">
        <v>6051</v>
      </c>
    </row>
    <row r="336" spans="1:16" ht="64.05" customHeight="1" x14ac:dyDescent="0.3">
      <c r="A336" s="154" t="s">
        <v>6640</v>
      </c>
      <c r="B336" s="154" t="s">
        <v>5842</v>
      </c>
      <c r="C336" s="154" t="s">
        <v>114</v>
      </c>
      <c r="D336" s="154">
        <v>2022</v>
      </c>
      <c r="E336" s="154" t="s">
        <v>103</v>
      </c>
      <c r="F336" s="173" t="s">
        <v>6611</v>
      </c>
      <c r="G336" s="166">
        <f>'Forensic Prices'!K6</f>
        <v>17.894257028112449</v>
      </c>
      <c r="H336" s="166">
        <f>(FCCL!E99/'Forensic Inputs'!$G$18)</f>
        <v>3.0220616696812757</v>
      </c>
      <c r="I336" s="164">
        <f t="shared" si="15"/>
        <v>5.9212084278874704</v>
      </c>
      <c r="J336" s="164">
        <v>5.9212084278874704</v>
      </c>
      <c r="K336" s="168">
        <f t="shared" si="16"/>
        <v>0</v>
      </c>
      <c r="L336" s="164">
        <v>6</v>
      </c>
      <c r="M336" s="154">
        <v>2</v>
      </c>
      <c r="N336" s="154" t="str">
        <f t="shared" si="17"/>
        <v>No fit</v>
      </c>
      <c r="O336" s="173" t="s">
        <v>6632</v>
      </c>
      <c r="P336" s="173" t="s">
        <v>6051</v>
      </c>
    </row>
    <row r="337" spans="1:16" ht="64.05" customHeight="1" x14ac:dyDescent="0.3">
      <c r="A337" s="151" t="s">
        <v>6641</v>
      </c>
      <c r="B337" s="151" t="s">
        <v>5842</v>
      </c>
      <c r="C337" s="151" t="s">
        <v>114</v>
      </c>
      <c r="D337" s="151">
        <v>2022</v>
      </c>
      <c r="E337" s="151" t="s">
        <v>103</v>
      </c>
      <c r="F337" s="174" t="s">
        <v>6613</v>
      </c>
      <c r="G337" s="167">
        <f>'Forensic Prices'!L6</f>
        <v>18.504999999999999</v>
      </c>
      <c r="H337" s="167">
        <f>(FCCL!E99/'Forensic Inputs'!$G$18)</f>
        <v>3.0220616696812757</v>
      </c>
      <c r="I337" s="165">
        <f t="shared" si="15"/>
        <v>6.1233032355529806</v>
      </c>
      <c r="J337" s="165">
        <v>6.1233032355529806</v>
      </c>
      <c r="K337" s="169">
        <f t="shared" si="16"/>
        <v>0</v>
      </c>
      <c r="L337" s="165">
        <v>6</v>
      </c>
      <c r="M337" s="151">
        <v>2</v>
      </c>
      <c r="N337" s="151" t="str">
        <f t="shared" si="17"/>
        <v>No fit</v>
      </c>
      <c r="O337" s="174" t="s">
        <v>6632</v>
      </c>
      <c r="P337" s="174" t="s">
        <v>6051</v>
      </c>
    </row>
    <row r="338" spans="1:16" ht="64.05" customHeight="1" x14ac:dyDescent="0.3">
      <c r="A338" s="154" t="s">
        <v>6642</v>
      </c>
      <c r="B338" s="154" t="s">
        <v>5842</v>
      </c>
      <c r="C338" s="154" t="s">
        <v>114</v>
      </c>
      <c r="D338" s="154">
        <v>2022</v>
      </c>
      <c r="E338" s="154" t="s">
        <v>103</v>
      </c>
      <c r="F338" s="173" t="s">
        <v>6615</v>
      </c>
      <c r="G338" s="166">
        <f>'Forensic Prices'!M6</f>
        <v>20.858196721311472</v>
      </c>
      <c r="H338" s="166">
        <f>(FCCL!E99/'Forensic Inputs'!$G$18)</f>
        <v>3.0220616696812757</v>
      </c>
      <c r="I338" s="164">
        <f t="shared" si="15"/>
        <v>6.9019758698409683</v>
      </c>
      <c r="J338" s="164">
        <v>6.9019758698409701</v>
      </c>
      <c r="K338" s="168">
        <f t="shared" si="16"/>
        <v>0</v>
      </c>
      <c r="L338" s="164">
        <v>6</v>
      </c>
      <c r="M338" s="154">
        <v>2</v>
      </c>
      <c r="N338" s="154" t="str">
        <f t="shared" si="17"/>
        <v>No fit</v>
      </c>
      <c r="O338" s="173" t="s">
        <v>6632</v>
      </c>
      <c r="P338" s="173" t="s">
        <v>6051</v>
      </c>
    </row>
    <row r="339" spans="1:16" ht="64.05" customHeight="1" x14ac:dyDescent="0.3">
      <c r="A339" s="151" t="s">
        <v>6643</v>
      </c>
      <c r="B339" s="151" t="s">
        <v>5842</v>
      </c>
      <c r="C339" s="151" t="s">
        <v>114</v>
      </c>
      <c r="D339" s="151">
        <v>2022</v>
      </c>
      <c r="E339" s="151" t="s">
        <v>103</v>
      </c>
      <c r="F339" s="174" t="s">
        <v>6617</v>
      </c>
      <c r="G339" s="167">
        <f>'Forensic Prices'!N6</f>
        <v>18.17292307692307</v>
      </c>
      <c r="H339" s="167">
        <f>(FCCL!E99/'Forensic Inputs'!$G$18)</f>
        <v>3.0220616696812757</v>
      </c>
      <c r="I339" s="165">
        <f t="shared" si="15"/>
        <v>6.0134190043976474</v>
      </c>
      <c r="J339" s="165">
        <v>6.0134190043976501</v>
      </c>
      <c r="K339" s="169">
        <f t="shared" si="16"/>
        <v>0</v>
      </c>
      <c r="L339" s="165">
        <v>6</v>
      </c>
      <c r="M339" s="151">
        <v>2</v>
      </c>
      <c r="N339" s="151" t="str">
        <f t="shared" si="17"/>
        <v>No fit</v>
      </c>
      <c r="O339" s="174" t="s">
        <v>6632</v>
      </c>
      <c r="P339" s="174" t="s">
        <v>6051</v>
      </c>
    </row>
    <row r="340" spans="1:16" ht="64.05" customHeight="1" x14ac:dyDescent="0.3">
      <c r="A340" s="154" t="s">
        <v>6644</v>
      </c>
      <c r="B340" s="154" t="s">
        <v>5842</v>
      </c>
      <c r="C340" s="154" t="s">
        <v>114</v>
      </c>
      <c r="D340" s="154">
        <v>2022</v>
      </c>
      <c r="E340" s="154" t="s">
        <v>103</v>
      </c>
      <c r="F340" s="173" t="s">
        <v>6619</v>
      </c>
      <c r="G340" s="166">
        <f>'Forensic Prices'!O6</f>
        <v>17.746984126984124</v>
      </c>
      <c r="H340" s="166">
        <f>(FCCL!E99/'Forensic Inputs'!$G$18)</f>
        <v>3.0220616696812757</v>
      </c>
      <c r="I340" s="164">
        <f t="shared" si="15"/>
        <v>5.8724758349672674</v>
      </c>
      <c r="J340" s="164">
        <v>5.8724758349672683</v>
      </c>
      <c r="K340" s="168">
        <f t="shared" si="16"/>
        <v>0</v>
      </c>
      <c r="L340" s="164">
        <v>6</v>
      </c>
      <c r="M340" s="154">
        <v>2</v>
      </c>
      <c r="N340" s="154" t="str">
        <f t="shared" si="17"/>
        <v>No fit</v>
      </c>
      <c r="O340" s="173" t="s">
        <v>6632</v>
      </c>
      <c r="P340" s="173" t="s">
        <v>6051</v>
      </c>
    </row>
    <row r="341" spans="1:16" ht="64.05" customHeight="1" x14ac:dyDescent="0.3">
      <c r="A341" s="151" t="s">
        <v>6645</v>
      </c>
      <c r="B341" s="151" t="s">
        <v>5842</v>
      </c>
      <c r="C341" s="151" t="s">
        <v>114</v>
      </c>
      <c r="D341" s="151">
        <v>2022</v>
      </c>
      <c r="E341" s="151" t="s">
        <v>103</v>
      </c>
      <c r="F341" s="174" t="s">
        <v>6621</v>
      </c>
      <c r="G341" s="167">
        <f>'Forensic Prices'!P6</f>
        <v>15.766500000000001</v>
      </c>
      <c r="H341" s="167">
        <f>(FCCL!E99/'Forensic Inputs'!$G$18)</f>
        <v>3.0220616696812757</v>
      </c>
      <c r="I341" s="165">
        <f t="shared" si="15"/>
        <v>5.2171337726747407</v>
      </c>
      <c r="J341" s="165">
        <v>5.2171337726747407</v>
      </c>
      <c r="K341" s="169">
        <f t="shared" si="16"/>
        <v>0</v>
      </c>
      <c r="L341" s="165">
        <v>6</v>
      </c>
      <c r="M341" s="151">
        <v>2</v>
      </c>
      <c r="N341" s="151" t="str">
        <f t="shared" si="17"/>
        <v>No fit</v>
      </c>
      <c r="O341" s="174" t="s">
        <v>6632</v>
      </c>
      <c r="P341" s="174" t="s">
        <v>6051</v>
      </c>
    </row>
    <row r="342" spans="1:16" ht="64.05" customHeight="1" x14ac:dyDescent="0.3">
      <c r="A342" s="154" t="s">
        <v>6646</v>
      </c>
      <c r="B342" s="154" t="s">
        <v>5846</v>
      </c>
      <c r="C342" s="154" t="s">
        <v>114</v>
      </c>
      <c r="D342" s="154">
        <v>2023</v>
      </c>
      <c r="E342" s="154" t="s">
        <v>103</v>
      </c>
      <c r="F342" s="173" t="s">
        <v>5893</v>
      </c>
      <c r="G342" s="166">
        <f>FCCL!F130</f>
        <v>11.76</v>
      </c>
      <c r="H342" s="166">
        <f>FCCL!F99/FCCL!F129</f>
        <v>3.0330791851886794</v>
      </c>
      <c r="I342" s="164">
        <f t="shared" si="15"/>
        <v>3.877247932539039</v>
      </c>
      <c r="J342" s="164">
        <v>3.8772479325390399</v>
      </c>
      <c r="K342" s="168">
        <f t="shared" si="16"/>
        <v>0</v>
      </c>
      <c r="L342" s="164">
        <v>3.92</v>
      </c>
      <c r="M342" s="154">
        <v>2</v>
      </c>
      <c r="N342" s="154" t="str">
        <f t="shared" si="17"/>
        <v>No fit</v>
      </c>
      <c r="O342" s="173" t="s">
        <v>6050</v>
      </c>
      <c r="P342" s="173" t="s">
        <v>6051</v>
      </c>
    </row>
    <row r="343" spans="1:16" ht="64.05" customHeight="1" x14ac:dyDescent="0.3">
      <c r="A343" s="151" t="s">
        <v>6647</v>
      </c>
      <c r="B343" s="151" t="s">
        <v>5846</v>
      </c>
      <c r="C343" s="151" t="s">
        <v>114</v>
      </c>
      <c r="D343" s="151">
        <v>2023</v>
      </c>
      <c r="E343" s="151" t="s">
        <v>103</v>
      </c>
      <c r="F343" s="174" t="s">
        <v>6580</v>
      </c>
      <c r="G343" s="167">
        <f>FCCL!F130</f>
        <v>11.76</v>
      </c>
      <c r="H343" s="167">
        <f>'PSX Prices'!L28</f>
        <v>3.16</v>
      </c>
      <c r="I343" s="165">
        <f t="shared" si="15"/>
        <v>3.721518987341772</v>
      </c>
      <c r="J343" s="165">
        <v>3.721518987341772</v>
      </c>
      <c r="K343" s="169">
        <f t="shared" si="16"/>
        <v>0</v>
      </c>
      <c r="L343" s="165">
        <v>3.92</v>
      </c>
      <c r="M343" s="151">
        <v>2</v>
      </c>
      <c r="N343" s="151" t="str">
        <f t="shared" si="17"/>
        <v>No fit</v>
      </c>
      <c r="O343" s="174" t="s">
        <v>6581</v>
      </c>
      <c r="P343" s="174" t="s">
        <v>6051</v>
      </c>
    </row>
    <row r="344" spans="1:16" ht="64.05" customHeight="1" x14ac:dyDescent="0.3">
      <c r="A344" s="154" t="s">
        <v>6648</v>
      </c>
      <c r="B344" s="154" t="s">
        <v>5846</v>
      </c>
      <c r="C344" s="154" t="s">
        <v>114</v>
      </c>
      <c r="D344" s="154">
        <v>2023</v>
      </c>
      <c r="E344" s="154" t="s">
        <v>103</v>
      </c>
      <c r="F344" s="173" t="s">
        <v>5837</v>
      </c>
      <c r="G344" s="166">
        <f>FCCL!F130</f>
        <v>11.76</v>
      </c>
      <c r="H344" s="166">
        <f>(FCCL!F99/'Forensic Inputs'!$G$19)</f>
        <v>3.1610612783557048</v>
      </c>
      <c r="I344" s="164">
        <f t="shared" si="15"/>
        <v>3.7202695438151143</v>
      </c>
      <c r="J344" s="164">
        <v>3.7202695438151152</v>
      </c>
      <c r="K344" s="168">
        <f t="shared" si="16"/>
        <v>0</v>
      </c>
      <c r="L344" s="164">
        <v>3.92</v>
      </c>
      <c r="M344" s="154">
        <v>2</v>
      </c>
      <c r="N344" s="154" t="str">
        <f t="shared" si="17"/>
        <v>No fit</v>
      </c>
      <c r="O344" s="173" t="s">
        <v>6625</v>
      </c>
      <c r="P344" s="173" t="s">
        <v>6051</v>
      </c>
    </row>
    <row r="345" spans="1:16" ht="64.05" customHeight="1" x14ac:dyDescent="0.3">
      <c r="A345" s="151" t="s">
        <v>6649</v>
      </c>
      <c r="B345" s="151" t="s">
        <v>5846</v>
      </c>
      <c r="C345" s="151" t="s">
        <v>114</v>
      </c>
      <c r="D345" s="151">
        <v>2023</v>
      </c>
      <c r="E345" s="151" t="s">
        <v>103</v>
      </c>
      <c r="F345" s="174" t="s">
        <v>6585</v>
      </c>
      <c r="G345" s="167">
        <f>FCCL!F130</f>
        <v>11.76</v>
      </c>
      <c r="H345" s="167">
        <f>(FCCL!F99/FCCL!F128)</f>
        <v>3.0330791851886794</v>
      </c>
      <c r="I345" s="165">
        <f t="shared" si="15"/>
        <v>3.877247932539039</v>
      </c>
      <c r="J345" s="165">
        <v>3.8772479325390399</v>
      </c>
      <c r="K345" s="169">
        <f t="shared" si="16"/>
        <v>0</v>
      </c>
      <c r="L345" s="165">
        <v>3.92</v>
      </c>
      <c r="M345" s="151">
        <v>2</v>
      </c>
      <c r="N345" s="151" t="str">
        <f t="shared" si="17"/>
        <v>No fit</v>
      </c>
      <c r="O345" s="174" t="s">
        <v>6586</v>
      </c>
      <c r="P345" s="174" t="s">
        <v>6051</v>
      </c>
    </row>
    <row r="346" spans="1:16" ht="64.05" customHeight="1" x14ac:dyDescent="0.3">
      <c r="A346" s="154" t="s">
        <v>6650</v>
      </c>
      <c r="B346" s="154" t="s">
        <v>5846</v>
      </c>
      <c r="C346" s="154" t="s">
        <v>114</v>
      </c>
      <c r="D346" s="154">
        <v>2023</v>
      </c>
      <c r="E346" s="154" t="s">
        <v>103</v>
      </c>
      <c r="F346" s="173" t="s">
        <v>6588</v>
      </c>
      <c r="G346" s="166">
        <f>FCCL!F130</f>
        <v>11.76</v>
      </c>
      <c r="H346" s="166">
        <f>(FCCL!F96/'Forensic Inputs'!$G$19)</f>
        <v>5.4811537008734534</v>
      </c>
      <c r="I346" s="164">
        <f t="shared" si="15"/>
        <v>2.1455337036299449</v>
      </c>
      <c r="J346" s="164">
        <v>2.1455337036299453</v>
      </c>
      <c r="K346" s="168">
        <f t="shared" si="16"/>
        <v>0</v>
      </c>
      <c r="L346" s="164">
        <v>3.92</v>
      </c>
      <c r="M346" s="154">
        <v>2</v>
      </c>
      <c r="N346" s="154" t="str">
        <f t="shared" si="17"/>
        <v>No fit</v>
      </c>
      <c r="O346" s="173" t="s">
        <v>6628</v>
      </c>
      <c r="P346" s="173" t="s">
        <v>6051</v>
      </c>
    </row>
    <row r="347" spans="1:16" ht="64.05" customHeight="1" x14ac:dyDescent="0.3">
      <c r="A347" s="151" t="s">
        <v>6651</v>
      </c>
      <c r="B347" s="151" t="s">
        <v>5846</v>
      </c>
      <c r="C347" s="151" t="s">
        <v>114</v>
      </c>
      <c r="D347" s="151">
        <v>2023</v>
      </c>
      <c r="E347" s="151" t="s">
        <v>103</v>
      </c>
      <c r="F347" s="174" t="s">
        <v>6591</v>
      </c>
      <c r="G347" s="167">
        <f>FCCL!F130</f>
        <v>11.76</v>
      </c>
      <c r="H347" s="167">
        <f>((FCCL!F99+FCCL!F107)/'Forensic Inputs'!$G$19)</f>
        <v>4.7118688069328813</v>
      </c>
      <c r="I347" s="165">
        <f t="shared" si="15"/>
        <v>2.4958250074146253</v>
      </c>
      <c r="J347" s="165">
        <v>2.4958250074146258</v>
      </c>
      <c r="K347" s="169">
        <f t="shared" si="16"/>
        <v>0</v>
      </c>
      <c r="L347" s="165">
        <v>3.92</v>
      </c>
      <c r="M347" s="151">
        <v>2</v>
      </c>
      <c r="N347" s="151" t="str">
        <f t="shared" si="17"/>
        <v>No fit</v>
      </c>
      <c r="O347" s="174" t="s">
        <v>6630</v>
      </c>
      <c r="P347" s="174" t="s">
        <v>6051</v>
      </c>
    </row>
    <row r="348" spans="1:16" ht="64.05" customHeight="1" x14ac:dyDescent="0.3">
      <c r="A348" s="154" t="s">
        <v>6652</v>
      </c>
      <c r="B348" s="154" t="s">
        <v>5846</v>
      </c>
      <c r="C348" s="154" t="s">
        <v>114</v>
      </c>
      <c r="D348" s="154">
        <v>2023</v>
      </c>
      <c r="E348" s="154" t="s">
        <v>103</v>
      </c>
      <c r="F348" s="173" t="s">
        <v>6594</v>
      </c>
      <c r="G348" s="166">
        <f>'Forensic Prices'!C7</f>
        <v>11.76</v>
      </c>
      <c r="H348" s="166">
        <f>(FCCL!F99/'Forensic Inputs'!$G$19)</f>
        <v>3.1610612783557048</v>
      </c>
      <c r="I348" s="164">
        <f t="shared" si="15"/>
        <v>3.7202695438151143</v>
      </c>
      <c r="J348" s="164">
        <v>3.7202695438151152</v>
      </c>
      <c r="K348" s="168">
        <f t="shared" si="16"/>
        <v>0</v>
      </c>
      <c r="L348" s="164">
        <v>3.92</v>
      </c>
      <c r="M348" s="154">
        <v>2</v>
      </c>
      <c r="N348" s="154" t="str">
        <f t="shared" si="17"/>
        <v>No fit</v>
      </c>
      <c r="O348" s="173" t="s">
        <v>6632</v>
      </c>
      <c r="P348" s="173" t="s">
        <v>6653</v>
      </c>
    </row>
    <row r="349" spans="1:16" ht="64.05" customHeight="1" x14ac:dyDescent="0.3">
      <c r="A349" s="151" t="s">
        <v>6654</v>
      </c>
      <c r="B349" s="151" t="s">
        <v>5846</v>
      </c>
      <c r="C349" s="151" t="s">
        <v>114</v>
      </c>
      <c r="D349" s="151">
        <v>2023</v>
      </c>
      <c r="E349" s="151" t="s">
        <v>103</v>
      </c>
      <c r="F349" s="174" t="s">
        <v>6597</v>
      </c>
      <c r="G349" s="167">
        <f>'Forensic Prices'!D7</f>
        <v>12.950934959349608</v>
      </c>
      <c r="H349" s="167">
        <f>(FCCL!F99/'Forensic Inputs'!$G$19)</f>
        <v>3.1610612783557048</v>
      </c>
      <c r="I349" s="165">
        <f t="shared" si="15"/>
        <v>4.0970211643876517</v>
      </c>
      <c r="J349" s="165">
        <v>4.0970211643876482</v>
      </c>
      <c r="K349" s="169">
        <f t="shared" si="16"/>
        <v>0</v>
      </c>
      <c r="L349" s="165">
        <v>3.92</v>
      </c>
      <c r="M349" s="151">
        <v>2</v>
      </c>
      <c r="N349" s="151" t="str">
        <f t="shared" si="17"/>
        <v>No fit</v>
      </c>
      <c r="O349" s="174" t="s">
        <v>6632</v>
      </c>
      <c r="P349" s="174" t="s">
        <v>6653</v>
      </c>
    </row>
    <row r="350" spans="1:16" ht="64.05" customHeight="1" x14ac:dyDescent="0.3">
      <c r="A350" s="154" t="s">
        <v>6655</v>
      </c>
      <c r="B350" s="154" t="s">
        <v>5846</v>
      </c>
      <c r="C350" s="154" t="s">
        <v>114</v>
      </c>
      <c r="D350" s="154">
        <v>2023</v>
      </c>
      <c r="E350" s="154" t="s">
        <v>103</v>
      </c>
      <c r="F350" s="173" t="s">
        <v>6599</v>
      </c>
      <c r="G350" s="166">
        <f>'Forensic Prices'!E7</f>
        <v>12.274999999999999</v>
      </c>
      <c r="H350" s="166">
        <f>(FCCL!F99/'Forensic Inputs'!$G$19)</f>
        <v>3.1610612783557048</v>
      </c>
      <c r="I350" s="164">
        <f t="shared" si="15"/>
        <v>3.8831895110825276</v>
      </c>
      <c r="J350" s="164">
        <v>3.8831895110825285</v>
      </c>
      <c r="K350" s="168">
        <f t="shared" si="16"/>
        <v>0</v>
      </c>
      <c r="L350" s="164">
        <v>3.92</v>
      </c>
      <c r="M350" s="154">
        <v>2</v>
      </c>
      <c r="N350" s="154" t="str">
        <f t="shared" si="17"/>
        <v>No fit</v>
      </c>
      <c r="O350" s="173" t="s">
        <v>6632</v>
      </c>
      <c r="P350" s="173" t="s">
        <v>6653</v>
      </c>
    </row>
    <row r="351" spans="1:16" ht="64.05" customHeight="1" x14ac:dyDescent="0.3">
      <c r="A351" s="151" t="s">
        <v>6656</v>
      </c>
      <c r="B351" s="151" t="s">
        <v>5846</v>
      </c>
      <c r="C351" s="151" t="s">
        <v>114</v>
      </c>
      <c r="D351" s="151">
        <v>2023</v>
      </c>
      <c r="E351" s="151" t="s">
        <v>103</v>
      </c>
      <c r="F351" s="174" t="s">
        <v>6601</v>
      </c>
      <c r="G351" s="167">
        <f>'Forensic Prices'!F7</f>
        <v>13.122319281050176</v>
      </c>
      <c r="H351" s="167">
        <f>(FCCL!F99/'Forensic Inputs'!$G$19)</f>
        <v>3.1610612783557048</v>
      </c>
      <c r="I351" s="165">
        <f t="shared" si="15"/>
        <v>4.1512385004684367</v>
      </c>
      <c r="J351" s="165">
        <v>4.1512385004684376</v>
      </c>
      <c r="K351" s="169">
        <f t="shared" si="16"/>
        <v>0</v>
      </c>
      <c r="L351" s="165">
        <v>3.92</v>
      </c>
      <c r="M351" s="151">
        <v>2</v>
      </c>
      <c r="N351" s="151" t="str">
        <f t="shared" si="17"/>
        <v>No fit</v>
      </c>
      <c r="O351" s="174" t="s">
        <v>6632</v>
      </c>
      <c r="P351" s="174" t="s">
        <v>6653</v>
      </c>
    </row>
    <row r="352" spans="1:16" ht="64.05" customHeight="1" x14ac:dyDescent="0.3">
      <c r="A352" s="154" t="s">
        <v>6657</v>
      </c>
      <c r="B352" s="154" t="s">
        <v>5846</v>
      </c>
      <c r="C352" s="154" t="s">
        <v>114</v>
      </c>
      <c r="D352" s="154">
        <v>2023</v>
      </c>
      <c r="E352" s="154" t="s">
        <v>103</v>
      </c>
      <c r="F352" s="173" t="s">
        <v>6603</v>
      </c>
      <c r="G352" s="166">
        <f>'Forensic Prices'!G7</f>
        <v>12.759166666666665</v>
      </c>
      <c r="H352" s="166">
        <f>(FCCL!F99/'Forensic Inputs'!$G$19)</f>
        <v>3.1610612783557048</v>
      </c>
      <c r="I352" s="164">
        <f t="shared" si="15"/>
        <v>4.0363553702772963</v>
      </c>
      <c r="J352" s="164">
        <v>4.0363553702772981</v>
      </c>
      <c r="K352" s="168">
        <f t="shared" si="16"/>
        <v>0</v>
      </c>
      <c r="L352" s="164">
        <v>3.92</v>
      </c>
      <c r="M352" s="154">
        <v>2</v>
      </c>
      <c r="N352" s="154" t="str">
        <f t="shared" si="17"/>
        <v>No fit</v>
      </c>
      <c r="O352" s="173" t="s">
        <v>6632</v>
      </c>
      <c r="P352" s="173" t="s">
        <v>6653</v>
      </c>
    </row>
    <row r="353" spans="1:16" ht="64.05" customHeight="1" x14ac:dyDescent="0.3">
      <c r="A353" s="151" t="s">
        <v>6658</v>
      </c>
      <c r="B353" s="151" t="s">
        <v>5846</v>
      </c>
      <c r="C353" s="151" t="s">
        <v>114</v>
      </c>
      <c r="D353" s="151">
        <v>2023</v>
      </c>
      <c r="E353" s="151" t="s">
        <v>103</v>
      </c>
      <c r="F353" s="174" t="s">
        <v>6605</v>
      </c>
      <c r="G353" s="167">
        <f>'Forensic Prices'!H7</f>
        <v>12.929886411103517</v>
      </c>
      <c r="H353" s="167">
        <f>(FCCL!F99/'Forensic Inputs'!$G$19)</f>
        <v>3.1610612783557048</v>
      </c>
      <c r="I353" s="165">
        <f t="shared" si="15"/>
        <v>4.090362467705555</v>
      </c>
      <c r="J353" s="165">
        <v>4.0903624677055559</v>
      </c>
      <c r="K353" s="169">
        <f t="shared" si="16"/>
        <v>0</v>
      </c>
      <c r="L353" s="165">
        <v>3.92</v>
      </c>
      <c r="M353" s="151">
        <v>2</v>
      </c>
      <c r="N353" s="151" t="str">
        <f t="shared" si="17"/>
        <v>No fit</v>
      </c>
      <c r="O353" s="174" t="s">
        <v>6632</v>
      </c>
      <c r="P353" s="174" t="s">
        <v>6653</v>
      </c>
    </row>
    <row r="354" spans="1:16" ht="64.05" customHeight="1" x14ac:dyDescent="0.3">
      <c r="A354" s="154" t="s">
        <v>6659</v>
      </c>
      <c r="B354" s="154" t="s">
        <v>5846</v>
      </c>
      <c r="C354" s="154" t="s">
        <v>114</v>
      </c>
      <c r="D354" s="154">
        <v>2023</v>
      </c>
      <c r="E354" s="154" t="s">
        <v>103</v>
      </c>
      <c r="F354" s="173" t="s">
        <v>6607</v>
      </c>
      <c r="G354" s="166">
        <f>'Forensic Prices'!I7</f>
        <v>12.978943089430896</v>
      </c>
      <c r="H354" s="166">
        <f>(FCCL!F99/'Forensic Inputs'!$G$19)</f>
        <v>3.1610612783557048</v>
      </c>
      <c r="I354" s="164">
        <f t="shared" si="15"/>
        <v>4.1058815209625346</v>
      </c>
      <c r="J354" s="164">
        <v>4.1058815209625354</v>
      </c>
      <c r="K354" s="168">
        <f t="shared" si="16"/>
        <v>0</v>
      </c>
      <c r="L354" s="164">
        <v>3.92</v>
      </c>
      <c r="M354" s="154">
        <v>2</v>
      </c>
      <c r="N354" s="154" t="str">
        <f t="shared" si="17"/>
        <v>No fit</v>
      </c>
      <c r="O354" s="173" t="s">
        <v>6632</v>
      </c>
      <c r="P354" s="173" t="s">
        <v>6653</v>
      </c>
    </row>
    <row r="355" spans="1:16" ht="64.05" customHeight="1" x14ac:dyDescent="0.3">
      <c r="A355" s="151" t="s">
        <v>6660</v>
      </c>
      <c r="B355" s="151" t="s">
        <v>5846</v>
      </c>
      <c r="C355" s="151" t="s">
        <v>114</v>
      </c>
      <c r="D355" s="151">
        <v>2023</v>
      </c>
      <c r="E355" s="151" t="s">
        <v>103</v>
      </c>
      <c r="F355" s="174" t="s">
        <v>6609</v>
      </c>
      <c r="G355" s="167">
        <f>'Forensic Prices'!J7</f>
        <v>13.172804878048792</v>
      </c>
      <c r="H355" s="167">
        <f>(FCCL!F99/'Forensic Inputs'!$G$19)</f>
        <v>3.1610612783557048</v>
      </c>
      <c r="I355" s="165">
        <f t="shared" si="15"/>
        <v>4.1672095913625933</v>
      </c>
      <c r="J355" s="165">
        <v>4.1672095913625906</v>
      </c>
      <c r="K355" s="169">
        <f t="shared" si="16"/>
        <v>0</v>
      </c>
      <c r="L355" s="165">
        <v>3.92</v>
      </c>
      <c r="M355" s="151">
        <v>2</v>
      </c>
      <c r="N355" s="151" t="str">
        <f t="shared" si="17"/>
        <v>No fit</v>
      </c>
      <c r="O355" s="174" t="s">
        <v>6632</v>
      </c>
      <c r="P355" s="174" t="s">
        <v>6653</v>
      </c>
    </row>
    <row r="356" spans="1:16" ht="64.05" customHeight="1" x14ac:dyDescent="0.3">
      <c r="A356" s="154" t="s">
        <v>6661</v>
      </c>
      <c r="B356" s="154" t="s">
        <v>5846</v>
      </c>
      <c r="C356" s="154" t="s">
        <v>114</v>
      </c>
      <c r="D356" s="154">
        <v>2023</v>
      </c>
      <c r="E356" s="154" t="s">
        <v>103</v>
      </c>
      <c r="F356" s="173" t="s">
        <v>6611</v>
      </c>
      <c r="G356" s="166">
        <f>'Forensic Prices'!K7</f>
        <v>12.764308943089434</v>
      </c>
      <c r="H356" s="166">
        <f>(FCCL!F99/'Forensic Inputs'!$G$19)</f>
        <v>3.1610612783557048</v>
      </c>
      <c r="I356" s="164">
        <f t="shared" si="15"/>
        <v>4.0379821266005536</v>
      </c>
      <c r="J356" s="164">
        <v>4.0379821266005536</v>
      </c>
      <c r="K356" s="168">
        <f t="shared" si="16"/>
        <v>0</v>
      </c>
      <c r="L356" s="164">
        <v>3.92</v>
      </c>
      <c r="M356" s="154">
        <v>2</v>
      </c>
      <c r="N356" s="154" t="str">
        <f t="shared" si="17"/>
        <v>No fit</v>
      </c>
      <c r="O356" s="173" t="s">
        <v>6632</v>
      </c>
      <c r="P356" s="173" t="s">
        <v>6653</v>
      </c>
    </row>
    <row r="357" spans="1:16" ht="64.05" customHeight="1" x14ac:dyDescent="0.3">
      <c r="A357" s="151" t="s">
        <v>6662</v>
      </c>
      <c r="B357" s="151" t="s">
        <v>5846</v>
      </c>
      <c r="C357" s="151" t="s">
        <v>114</v>
      </c>
      <c r="D357" s="151">
        <v>2023</v>
      </c>
      <c r="E357" s="151" t="s">
        <v>103</v>
      </c>
      <c r="F357" s="174" t="s">
        <v>6613</v>
      </c>
      <c r="G357" s="167">
        <f>'Forensic Prices'!L7</f>
        <v>13.170000000000002</v>
      </c>
      <c r="H357" s="167">
        <f>(FCCL!F99/'Forensic Inputs'!$G$19)</f>
        <v>3.1610612783557048</v>
      </c>
      <c r="I357" s="165">
        <f t="shared" si="15"/>
        <v>4.1663222697317233</v>
      </c>
      <c r="J357" s="165">
        <v>4.1663222697317241</v>
      </c>
      <c r="K357" s="169">
        <f t="shared" si="16"/>
        <v>0</v>
      </c>
      <c r="L357" s="165">
        <v>3.92</v>
      </c>
      <c r="M357" s="151">
        <v>2</v>
      </c>
      <c r="N357" s="151" t="str">
        <f t="shared" si="17"/>
        <v>No fit</v>
      </c>
      <c r="O357" s="174" t="s">
        <v>6632</v>
      </c>
      <c r="P357" s="174" t="s">
        <v>6653</v>
      </c>
    </row>
    <row r="358" spans="1:16" ht="64.05" customHeight="1" x14ac:dyDescent="0.3">
      <c r="A358" s="154" t="s">
        <v>6663</v>
      </c>
      <c r="B358" s="154" t="s">
        <v>5846</v>
      </c>
      <c r="C358" s="154" t="s">
        <v>114</v>
      </c>
      <c r="D358" s="154">
        <v>2023</v>
      </c>
      <c r="E358" s="154" t="s">
        <v>103</v>
      </c>
      <c r="F358" s="173" t="s">
        <v>6615</v>
      </c>
      <c r="G358" s="166">
        <f>'Forensic Prices'!M7</f>
        <v>14.481639344262295</v>
      </c>
      <c r="H358" s="166">
        <f>(FCCL!F99/'Forensic Inputs'!$G$19)</f>
        <v>3.1610612783557048</v>
      </c>
      <c r="I358" s="164">
        <f t="shared" si="15"/>
        <v>4.5812586562052466</v>
      </c>
      <c r="J358" s="164">
        <v>4.5812586562052475</v>
      </c>
      <c r="K358" s="168">
        <f t="shared" si="16"/>
        <v>0</v>
      </c>
      <c r="L358" s="164">
        <v>3.92</v>
      </c>
      <c r="M358" s="154">
        <v>2</v>
      </c>
      <c r="N358" s="154" t="str">
        <f t="shared" si="17"/>
        <v>No fit</v>
      </c>
      <c r="O358" s="173" t="s">
        <v>6632</v>
      </c>
      <c r="P358" s="173" t="s">
        <v>6653</v>
      </c>
    </row>
    <row r="359" spans="1:16" ht="64.05" customHeight="1" x14ac:dyDescent="0.3">
      <c r="A359" s="151" t="s">
        <v>6664</v>
      </c>
      <c r="B359" s="151" t="s">
        <v>5846</v>
      </c>
      <c r="C359" s="151" t="s">
        <v>114</v>
      </c>
      <c r="D359" s="151">
        <v>2023</v>
      </c>
      <c r="E359" s="151" t="s">
        <v>103</v>
      </c>
      <c r="F359" s="174" t="s">
        <v>6617</v>
      </c>
      <c r="G359" s="167">
        <f>'Forensic Prices'!N7</f>
        <v>13.735156249999999</v>
      </c>
      <c r="H359" s="167">
        <f>(FCCL!F99/'Forensic Inputs'!$G$19)</f>
        <v>3.1610612783557048</v>
      </c>
      <c r="I359" s="165">
        <f t="shared" si="15"/>
        <v>4.3451091391510896</v>
      </c>
      <c r="J359" s="165">
        <v>4.3451091391510905</v>
      </c>
      <c r="K359" s="169">
        <f t="shared" si="16"/>
        <v>0</v>
      </c>
      <c r="L359" s="165">
        <v>3.92</v>
      </c>
      <c r="M359" s="151">
        <v>2</v>
      </c>
      <c r="N359" s="151" t="str">
        <f t="shared" si="17"/>
        <v>No fit</v>
      </c>
      <c r="O359" s="174" t="s">
        <v>6632</v>
      </c>
      <c r="P359" s="174" t="s">
        <v>6653</v>
      </c>
    </row>
    <row r="360" spans="1:16" ht="64.05" customHeight="1" x14ac:dyDescent="0.3">
      <c r="A360" s="154" t="s">
        <v>6665</v>
      </c>
      <c r="B360" s="154" t="s">
        <v>5846</v>
      </c>
      <c r="C360" s="154" t="s">
        <v>114</v>
      </c>
      <c r="D360" s="154">
        <v>2023</v>
      </c>
      <c r="E360" s="154" t="s">
        <v>103</v>
      </c>
      <c r="F360" s="173" t="s">
        <v>6619</v>
      </c>
      <c r="G360" s="166">
        <f>'Forensic Prices'!O7</f>
        <v>11.569843749999999</v>
      </c>
      <c r="H360" s="166">
        <f>(FCCL!F99/'Forensic Inputs'!$G$19)</f>
        <v>3.1610612783557048</v>
      </c>
      <c r="I360" s="164">
        <f t="shared" si="15"/>
        <v>3.6601137185225041</v>
      </c>
      <c r="J360" s="164">
        <v>3.6601137185225054</v>
      </c>
      <c r="K360" s="168">
        <f t="shared" si="16"/>
        <v>0</v>
      </c>
      <c r="L360" s="164">
        <v>3.92</v>
      </c>
      <c r="M360" s="154">
        <v>2</v>
      </c>
      <c r="N360" s="154" t="str">
        <f t="shared" si="17"/>
        <v>No fit</v>
      </c>
      <c r="O360" s="173" t="s">
        <v>6632</v>
      </c>
      <c r="P360" s="173" t="s">
        <v>6653</v>
      </c>
    </row>
    <row r="361" spans="1:16" ht="64.05" customHeight="1" x14ac:dyDescent="0.3">
      <c r="A361" s="151" t="s">
        <v>6666</v>
      </c>
      <c r="B361" s="151" t="s">
        <v>5846</v>
      </c>
      <c r="C361" s="151" t="s">
        <v>114</v>
      </c>
      <c r="D361" s="151">
        <v>2023</v>
      </c>
      <c r="E361" s="151" t="s">
        <v>103</v>
      </c>
      <c r="F361" s="174" t="s">
        <v>6621</v>
      </c>
      <c r="G361" s="167">
        <f>'Forensic Prices'!P7</f>
        <v>11.982982456140352</v>
      </c>
      <c r="H361" s="167">
        <f>(FCCL!F99/'Forensic Inputs'!$G$19)</f>
        <v>3.1610612783557048</v>
      </c>
      <c r="I361" s="165">
        <f t="shared" si="15"/>
        <v>3.7908099213987914</v>
      </c>
      <c r="J361" s="165">
        <v>3.7908099213987918</v>
      </c>
      <c r="K361" s="169">
        <f t="shared" si="16"/>
        <v>0</v>
      </c>
      <c r="L361" s="165">
        <v>3.92</v>
      </c>
      <c r="M361" s="151">
        <v>2</v>
      </c>
      <c r="N361" s="151" t="str">
        <f t="shared" si="17"/>
        <v>No fit</v>
      </c>
      <c r="O361" s="174" t="s">
        <v>6632</v>
      </c>
      <c r="P361" s="174" t="s">
        <v>6653</v>
      </c>
    </row>
    <row r="362" spans="1:16" ht="64.05" customHeight="1" x14ac:dyDescent="0.3">
      <c r="A362" s="154" t="s">
        <v>6667</v>
      </c>
      <c r="B362" s="154" t="s">
        <v>5850</v>
      </c>
      <c r="C362" s="154" t="s">
        <v>114</v>
      </c>
      <c r="D362" s="154">
        <v>2024</v>
      </c>
      <c r="E362" s="154" t="s">
        <v>103</v>
      </c>
      <c r="F362" s="173" t="s">
        <v>5893</v>
      </c>
      <c r="G362" s="166">
        <f>FCCL!G130</f>
        <v>22.91</v>
      </c>
      <c r="H362" s="166">
        <f>FCCL!G99/FCCL!G129</f>
        <v>3.3524781610919856</v>
      </c>
      <c r="I362" s="164">
        <f t="shared" si="15"/>
        <v>6.8337507059367812</v>
      </c>
      <c r="J362" s="164">
        <v>6.8337507059367848</v>
      </c>
      <c r="K362" s="168">
        <f t="shared" si="16"/>
        <v>0</v>
      </c>
      <c r="L362" s="164">
        <v>5.26</v>
      </c>
      <c r="M362" s="154">
        <v>2</v>
      </c>
      <c r="N362" s="154" t="str">
        <f t="shared" si="17"/>
        <v>No fit</v>
      </c>
      <c r="O362" s="173" t="s">
        <v>6050</v>
      </c>
      <c r="P362" s="173" t="s">
        <v>6051</v>
      </c>
    </row>
    <row r="363" spans="1:16" ht="64.05" customHeight="1" x14ac:dyDescent="0.3">
      <c r="A363" s="151" t="s">
        <v>6668</v>
      </c>
      <c r="B363" s="151" t="s">
        <v>5850</v>
      </c>
      <c r="C363" s="151" t="s">
        <v>114</v>
      </c>
      <c r="D363" s="151">
        <v>2024</v>
      </c>
      <c r="E363" s="151" t="s">
        <v>103</v>
      </c>
      <c r="F363" s="174" t="s">
        <v>6580</v>
      </c>
      <c r="G363" s="167">
        <f>FCCL!G130</f>
        <v>22.91</v>
      </c>
      <c r="H363" s="167">
        <f>'PSX Prices'!L29</f>
        <v>3.35</v>
      </c>
      <c r="I363" s="165">
        <f t="shared" si="15"/>
        <v>6.8388059701492532</v>
      </c>
      <c r="J363" s="165">
        <v>6.8388059701492532</v>
      </c>
      <c r="K363" s="169">
        <f t="shared" si="16"/>
        <v>0</v>
      </c>
      <c r="L363" s="165">
        <v>5.26</v>
      </c>
      <c r="M363" s="151">
        <v>2</v>
      </c>
      <c r="N363" s="151" t="str">
        <f t="shared" si="17"/>
        <v>No fit</v>
      </c>
      <c r="O363" s="174" t="s">
        <v>6581</v>
      </c>
      <c r="P363" s="174" t="s">
        <v>6051</v>
      </c>
    </row>
    <row r="364" spans="1:16" ht="64.05" customHeight="1" x14ac:dyDescent="0.3">
      <c r="A364" s="154" t="s">
        <v>6669</v>
      </c>
      <c r="B364" s="154" t="s">
        <v>5850</v>
      </c>
      <c r="C364" s="154" t="s">
        <v>114</v>
      </c>
      <c r="D364" s="154">
        <v>2024</v>
      </c>
      <c r="E364" s="154" t="s">
        <v>103</v>
      </c>
      <c r="F364" s="173" t="s">
        <v>5837</v>
      </c>
      <c r="G364" s="166">
        <f>FCCL!G130</f>
        <v>22.91</v>
      </c>
      <c r="H364" s="166">
        <f>(FCCL!G99/'Forensic Inputs'!$G$20)</f>
        <v>3.3524781610919856</v>
      </c>
      <c r="I364" s="164">
        <f t="shared" si="15"/>
        <v>6.8337507059367812</v>
      </c>
      <c r="J364" s="164">
        <v>6.8337507059367848</v>
      </c>
      <c r="K364" s="168">
        <f t="shared" si="16"/>
        <v>0</v>
      </c>
      <c r="L364" s="164">
        <v>5.26</v>
      </c>
      <c r="M364" s="154">
        <v>2</v>
      </c>
      <c r="N364" s="154" t="str">
        <f t="shared" si="17"/>
        <v>No fit</v>
      </c>
      <c r="O364" s="173" t="s">
        <v>6670</v>
      </c>
      <c r="P364" s="173" t="s">
        <v>6051</v>
      </c>
    </row>
    <row r="365" spans="1:16" ht="64.05" customHeight="1" x14ac:dyDescent="0.3">
      <c r="A365" s="151" t="s">
        <v>6671</v>
      </c>
      <c r="B365" s="151" t="s">
        <v>5850</v>
      </c>
      <c r="C365" s="151" t="s">
        <v>114</v>
      </c>
      <c r="D365" s="151">
        <v>2024</v>
      </c>
      <c r="E365" s="151" t="s">
        <v>103</v>
      </c>
      <c r="F365" s="174" t="s">
        <v>6585</v>
      </c>
      <c r="G365" s="167">
        <f>FCCL!G130</f>
        <v>22.91</v>
      </c>
      <c r="H365" s="167">
        <f>(FCCL!G99/FCCL!G128)</f>
        <v>3.3524773410300721</v>
      </c>
      <c r="I365" s="165">
        <f t="shared" si="15"/>
        <v>6.8337523775658813</v>
      </c>
      <c r="J365" s="165">
        <v>6.8337523775658839</v>
      </c>
      <c r="K365" s="169">
        <f t="shared" si="16"/>
        <v>0</v>
      </c>
      <c r="L365" s="165">
        <v>5.26</v>
      </c>
      <c r="M365" s="151">
        <v>2</v>
      </c>
      <c r="N365" s="151" t="str">
        <f t="shared" si="17"/>
        <v>No fit</v>
      </c>
      <c r="O365" s="174" t="s">
        <v>6586</v>
      </c>
      <c r="P365" s="174" t="s">
        <v>6051</v>
      </c>
    </row>
    <row r="366" spans="1:16" ht="64.05" customHeight="1" x14ac:dyDescent="0.3">
      <c r="A366" s="154" t="s">
        <v>6672</v>
      </c>
      <c r="B366" s="154" t="s">
        <v>5850</v>
      </c>
      <c r="C366" s="154" t="s">
        <v>114</v>
      </c>
      <c r="D366" s="154">
        <v>2024</v>
      </c>
      <c r="E366" s="154" t="s">
        <v>103</v>
      </c>
      <c r="F366" s="173" t="s">
        <v>6588</v>
      </c>
      <c r="G366" s="166">
        <f>FCCL!G130</f>
        <v>22.91</v>
      </c>
      <c r="H366" s="166">
        <f>(FCCL!G96/'Forensic Inputs'!$G$20)</f>
        <v>6.26005372532408</v>
      </c>
      <c r="I366" s="164">
        <f t="shared" si="15"/>
        <v>3.6597130001170974</v>
      </c>
      <c r="J366" s="164">
        <v>3.6597130001170983</v>
      </c>
      <c r="K366" s="168">
        <f t="shared" si="16"/>
        <v>0</v>
      </c>
      <c r="L366" s="164">
        <v>5.26</v>
      </c>
      <c r="M366" s="154">
        <v>2</v>
      </c>
      <c r="N366" s="154" t="str">
        <f t="shared" si="17"/>
        <v>No fit</v>
      </c>
      <c r="O366" s="173" t="s">
        <v>6673</v>
      </c>
      <c r="P366" s="173" t="s">
        <v>6051</v>
      </c>
    </row>
    <row r="367" spans="1:16" ht="64.05" customHeight="1" x14ac:dyDescent="0.3">
      <c r="A367" s="151" t="s">
        <v>6674</v>
      </c>
      <c r="B367" s="151" t="s">
        <v>5850</v>
      </c>
      <c r="C367" s="151" t="s">
        <v>114</v>
      </c>
      <c r="D367" s="151">
        <v>2024</v>
      </c>
      <c r="E367" s="151" t="s">
        <v>103</v>
      </c>
      <c r="F367" s="174" t="s">
        <v>6591</v>
      </c>
      <c r="G367" s="167">
        <f>FCCL!G130</f>
        <v>22.91</v>
      </c>
      <c r="H367" s="167">
        <f>((FCCL!G99+FCCL!G107)/'Forensic Inputs'!$G$20)</f>
        <v>5.0069029988417508</v>
      </c>
      <c r="I367" s="165">
        <f t="shared" si="15"/>
        <v>4.5756828133678207</v>
      </c>
      <c r="J367" s="165">
        <v>4.5756828133678216</v>
      </c>
      <c r="K367" s="169">
        <f t="shared" si="16"/>
        <v>0</v>
      </c>
      <c r="L367" s="165">
        <v>5.26</v>
      </c>
      <c r="M367" s="151">
        <v>2</v>
      </c>
      <c r="N367" s="151" t="str">
        <f t="shared" si="17"/>
        <v>No fit</v>
      </c>
      <c r="O367" s="174" t="s">
        <v>6675</v>
      </c>
      <c r="P367" s="174" t="s">
        <v>6051</v>
      </c>
    </row>
    <row r="368" spans="1:16" ht="64.05" customHeight="1" x14ac:dyDescent="0.3">
      <c r="A368" s="154" t="s">
        <v>6676</v>
      </c>
      <c r="B368" s="154" t="s">
        <v>5850</v>
      </c>
      <c r="C368" s="154" t="s">
        <v>114</v>
      </c>
      <c r="D368" s="154">
        <v>2024</v>
      </c>
      <c r="E368" s="154" t="s">
        <v>103</v>
      </c>
      <c r="F368" s="173" t="s">
        <v>6594</v>
      </c>
      <c r="G368" s="166">
        <f>'Forensic Prices'!C8</f>
        <v>22.91</v>
      </c>
      <c r="H368" s="166">
        <f>(FCCL!G99/'Forensic Inputs'!$G$20)</f>
        <v>3.3524781610919856</v>
      </c>
      <c r="I368" s="164">
        <f t="shared" si="15"/>
        <v>6.8337507059367812</v>
      </c>
      <c r="J368" s="164">
        <v>6.8337507059367848</v>
      </c>
      <c r="K368" s="168">
        <f t="shared" si="16"/>
        <v>0</v>
      </c>
      <c r="L368" s="164">
        <v>5.26</v>
      </c>
      <c r="M368" s="154">
        <v>2</v>
      </c>
      <c r="N368" s="154" t="str">
        <f t="shared" si="17"/>
        <v>No fit</v>
      </c>
      <c r="O368" s="173" t="s">
        <v>6677</v>
      </c>
      <c r="P368" s="173" t="s">
        <v>6051</v>
      </c>
    </row>
    <row r="369" spans="1:16" ht="64.05" customHeight="1" x14ac:dyDescent="0.3">
      <c r="A369" s="151" t="s">
        <v>6678</v>
      </c>
      <c r="B369" s="151" t="s">
        <v>5850</v>
      </c>
      <c r="C369" s="151" t="s">
        <v>114</v>
      </c>
      <c r="D369" s="151">
        <v>2024</v>
      </c>
      <c r="E369" s="151" t="s">
        <v>103</v>
      </c>
      <c r="F369" s="174" t="s">
        <v>6597</v>
      </c>
      <c r="G369" s="167">
        <f>'Forensic Prices'!D8</f>
        <v>16.699221311475416</v>
      </c>
      <c r="H369" s="167">
        <f>(FCCL!G99/'Forensic Inputs'!$G$20)</f>
        <v>3.3524781610919856</v>
      </c>
      <c r="I369" s="165">
        <f t="shared" si="15"/>
        <v>4.9811573734565551</v>
      </c>
      <c r="J369" s="165">
        <v>4.9811573734565551</v>
      </c>
      <c r="K369" s="169">
        <f t="shared" si="16"/>
        <v>0</v>
      </c>
      <c r="L369" s="165">
        <v>5.26</v>
      </c>
      <c r="M369" s="151">
        <v>2</v>
      </c>
      <c r="N369" s="151" t="str">
        <f t="shared" si="17"/>
        <v>No fit</v>
      </c>
      <c r="O369" s="174" t="s">
        <v>6677</v>
      </c>
      <c r="P369" s="174" t="s">
        <v>6051</v>
      </c>
    </row>
    <row r="370" spans="1:16" ht="64.05" customHeight="1" x14ac:dyDescent="0.3">
      <c r="A370" s="154" t="s">
        <v>6679</v>
      </c>
      <c r="B370" s="154" t="s">
        <v>5850</v>
      </c>
      <c r="C370" s="154" t="s">
        <v>114</v>
      </c>
      <c r="D370" s="154">
        <v>2024</v>
      </c>
      <c r="E370" s="154" t="s">
        <v>103</v>
      </c>
      <c r="F370" s="173" t="s">
        <v>6599</v>
      </c>
      <c r="G370" s="166">
        <f>'Forensic Prices'!E8</f>
        <v>17.615000000000002</v>
      </c>
      <c r="H370" s="166">
        <f>(FCCL!G99/'Forensic Inputs'!$G$20)</f>
        <v>3.3524781610919856</v>
      </c>
      <c r="I370" s="164">
        <f t="shared" si="15"/>
        <v>5.254322072679023</v>
      </c>
      <c r="J370" s="164">
        <v>5.2543220726790256</v>
      </c>
      <c r="K370" s="168">
        <f t="shared" si="16"/>
        <v>0</v>
      </c>
      <c r="L370" s="164">
        <v>5.26</v>
      </c>
      <c r="M370" s="154">
        <v>2</v>
      </c>
      <c r="N370" s="154" t="str">
        <f t="shared" si="17"/>
        <v>No fit</v>
      </c>
      <c r="O370" s="173" t="s">
        <v>6677</v>
      </c>
      <c r="P370" s="173" t="s">
        <v>6051</v>
      </c>
    </row>
    <row r="371" spans="1:16" ht="64.05" customHeight="1" x14ac:dyDescent="0.3">
      <c r="A371" s="151" t="s">
        <v>6680</v>
      </c>
      <c r="B371" s="151" t="s">
        <v>5850</v>
      </c>
      <c r="C371" s="151" t="s">
        <v>114</v>
      </c>
      <c r="D371" s="151">
        <v>2024</v>
      </c>
      <c r="E371" s="151" t="s">
        <v>103</v>
      </c>
      <c r="F371" s="174" t="s">
        <v>6601</v>
      </c>
      <c r="G371" s="167">
        <f>'Forensic Prices'!F8</f>
        <v>18.944419632090071</v>
      </c>
      <c r="H371" s="167">
        <f>(FCCL!G99/'Forensic Inputs'!$G$20)</f>
        <v>3.3524781610919856</v>
      </c>
      <c r="I371" s="165">
        <f t="shared" si="15"/>
        <v>5.6508704074359732</v>
      </c>
      <c r="J371" s="165">
        <v>5.6508704074359741</v>
      </c>
      <c r="K371" s="169">
        <f t="shared" si="16"/>
        <v>0</v>
      </c>
      <c r="L371" s="165">
        <v>5.26</v>
      </c>
      <c r="M371" s="151">
        <v>2</v>
      </c>
      <c r="N371" s="151" t="str">
        <f t="shared" si="17"/>
        <v>No fit</v>
      </c>
      <c r="O371" s="174" t="s">
        <v>6677</v>
      </c>
      <c r="P371" s="174" t="s">
        <v>6051</v>
      </c>
    </row>
    <row r="372" spans="1:16" ht="64.05" customHeight="1" x14ac:dyDescent="0.3">
      <c r="A372" s="154" t="s">
        <v>6681</v>
      </c>
      <c r="B372" s="154" t="s">
        <v>5850</v>
      </c>
      <c r="C372" s="154" t="s">
        <v>114</v>
      </c>
      <c r="D372" s="154">
        <v>2024</v>
      </c>
      <c r="E372" s="154" t="s">
        <v>103</v>
      </c>
      <c r="F372" s="173" t="s">
        <v>6603</v>
      </c>
      <c r="G372" s="166">
        <f>'Forensic Prices'!G8</f>
        <v>17.0625</v>
      </c>
      <c r="H372" s="166">
        <f>(FCCL!G99/'Forensic Inputs'!$G$20)</f>
        <v>3.3524781610919856</v>
      </c>
      <c r="I372" s="164">
        <f t="shared" si="15"/>
        <v>5.0895186128348469</v>
      </c>
      <c r="J372" s="164">
        <v>5.0895186128348486</v>
      </c>
      <c r="K372" s="168">
        <f t="shared" si="16"/>
        <v>0</v>
      </c>
      <c r="L372" s="164">
        <v>5.26</v>
      </c>
      <c r="M372" s="154">
        <v>2</v>
      </c>
      <c r="N372" s="154" t="str">
        <f t="shared" si="17"/>
        <v>No fit</v>
      </c>
      <c r="O372" s="173" t="s">
        <v>6677</v>
      </c>
      <c r="P372" s="173" t="s">
        <v>6051</v>
      </c>
    </row>
    <row r="373" spans="1:16" ht="64.05" customHeight="1" x14ac:dyDescent="0.3">
      <c r="A373" s="151" t="s">
        <v>6682</v>
      </c>
      <c r="B373" s="151" t="s">
        <v>5850</v>
      </c>
      <c r="C373" s="151" t="s">
        <v>114</v>
      </c>
      <c r="D373" s="151">
        <v>2024</v>
      </c>
      <c r="E373" s="151" t="s">
        <v>103</v>
      </c>
      <c r="F373" s="174" t="s">
        <v>6605</v>
      </c>
      <c r="G373" s="167">
        <f>'Forensic Prices'!H8</f>
        <v>16.825523552108592</v>
      </c>
      <c r="H373" s="167">
        <f>(FCCL!G99/'Forensic Inputs'!$G$20)</f>
        <v>3.3524781610919856</v>
      </c>
      <c r="I373" s="165">
        <f t="shared" si="15"/>
        <v>5.0188316652980376</v>
      </c>
      <c r="J373" s="165">
        <v>5.0188316652980394</v>
      </c>
      <c r="K373" s="169">
        <f t="shared" si="16"/>
        <v>0</v>
      </c>
      <c r="L373" s="165">
        <v>5.26</v>
      </c>
      <c r="M373" s="151">
        <v>2</v>
      </c>
      <c r="N373" s="151" t="str">
        <f t="shared" si="17"/>
        <v>No fit</v>
      </c>
      <c r="O373" s="174" t="s">
        <v>6677</v>
      </c>
      <c r="P373" s="174" t="s">
        <v>6051</v>
      </c>
    </row>
    <row r="374" spans="1:16" ht="64.05" customHeight="1" x14ac:dyDescent="0.3">
      <c r="A374" s="154" t="s">
        <v>6683</v>
      </c>
      <c r="B374" s="154" t="s">
        <v>5850</v>
      </c>
      <c r="C374" s="154" t="s">
        <v>114</v>
      </c>
      <c r="D374" s="154">
        <v>2024</v>
      </c>
      <c r="E374" s="154" t="s">
        <v>103</v>
      </c>
      <c r="F374" s="173" t="s">
        <v>6607</v>
      </c>
      <c r="G374" s="166">
        <f>'Forensic Prices'!I8</f>
        <v>16.737909836065572</v>
      </c>
      <c r="H374" s="166">
        <f>(FCCL!G99/'Forensic Inputs'!$G$20)</f>
        <v>3.3524781610919856</v>
      </c>
      <c r="I374" s="164">
        <f t="shared" si="15"/>
        <v>4.9926976498524356</v>
      </c>
      <c r="J374" s="164">
        <v>4.9926976498524382</v>
      </c>
      <c r="K374" s="168">
        <f t="shared" si="16"/>
        <v>0</v>
      </c>
      <c r="L374" s="164">
        <v>5.26</v>
      </c>
      <c r="M374" s="154">
        <v>2</v>
      </c>
      <c r="N374" s="154" t="str">
        <f t="shared" si="17"/>
        <v>No fit</v>
      </c>
      <c r="O374" s="173" t="s">
        <v>6677</v>
      </c>
      <c r="P374" s="173" t="s">
        <v>6051</v>
      </c>
    </row>
    <row r="375" spans="1:16" ht="64.05" customHeight="1" x14ac:dyDescent="0.3">
      <c r="A375" s="151" t="s">
        <v>6684</v>
      </c>
      <c r="B375" s="151" t="s">
        <v>5850</v>
      </c>
      <c r="C375" s="151" t="s">
        <v>114</v>
      </c>
      <c r="D375" s="151">
        <v>2024</v>
      </c>
      <c r="E375" s="151" t="s">
        <v>103</v>
      </c>
      <c r="F375" s="174" t="s">
        <v>6609</v>
      </c>
      <c r="G375" s="167">
        <f>'Forensic Prices'!J8</f>
        <v>17.053770491803277</v>
      </c>
      <c r="H375" s="167">
        <f>(FCCL!G99/'Forensic Inputs'!$G$20)</f>
        <v>3.3524781610919856</v>
      </c>
      <c r="I375" s="165">
        <f t="shared" si="15"/>
        <v>5.0869147157243342</v>
      </c>
      <c r="J375" s="165">
        <v>5.0869147157243368</v>
      </c>
      <c r="K375" s="169">
        <f t="shared" si="16"/>
        <v>0</v>
      </c>
      <c r="L375" s="165">
        <v>5.26</v>
      </c>
      <c r="M375" s="151">
        <v>2</v>
      </c>
      <c r="N375" s="151" t="str">
        <f t="shared" si="17"/>
        <v>No fit</v>
      </c>
      <c r="O375" s="174" t="s">
        <v>6677</v>
      </c>
      <c r="P375" s="174" t="s">
        <v>6051</v>
      </c>
    </row>
    <row r="376" spans="1:16" ht="64.05" customHeight="1" x14ac:dyDescent="0.3">
      <c r="A376" s="154" t="s">
        <v>6685</v>
      </c>
      <c r="B376" s="154" t="s">
        <v>5850</v>
      </c>
      <c r="C376" s="154" t="s">
        <v>114</v>
      </c>
      <c r="D376" s="154">
        <v>2024</v>
      </c>
      <c r="E376" s="154" t="s">
        <v>103</v>
      </c>
      <c r="F376" s="173" t="s">
        <v>6611</v>
      </c>
      <c r="G376" s="166">
        <f>'Forensic Prices'!K8</f>
        <v>16.404713114754095</v>
      </c>
      <c r="H376" s="166">
        <f>(FCCL!G99/'Forensic Inputs'!$G$20)</f>
        <v>3.3524781610919856</v>
      </c>
      <c r="I376" s="164">
        <f t="shared" si="15"/>
        <v>4.8933094643667037</v>
      </c>
      <c r="J376" s="164">
        <v>4.8933094643667063</v>
      </c>
      <c r="K376" s="168">
        <f t="shared" si="16"/>
        <v>0</v>
      </c>
      <c r="L376" s="164">
        <v>5.26</v>
      </c>
      <c r="M376" s="154">
        <v>2</v>
      </c>
      <c r="N376" s="154" t="str">
        <f t="shared" si="17"/>
        <v>No fit</v>
      </c>
      <c r="O376" s="173" t="s">
        <v>6677</v>
      </c>
      <c r="P376" s="173" t="s">
        <v>6051</v>
      </c>
    </row>
    <row r="377" spans="1:16" ht="64.05" customHeight="1" x14ac:dyDescent="0.3">
      <c r="A377" s="151" t="s">
        <v>6686</v>
      </c>
      <c r="B377" s="151" t="s">
        <v>5850</v>
      </c>
      <c r="C377" s="151" t="s">
        <v>114</v>
      </c>
      <c r="D377" s="151">
        <v>2024</v>
      </c>
      <c r="E377" s="151" t="s">
        <v>103</v>
      </c>
      <c r="F377" s="174" t="s">
        <v>6613</v>
      </c>
      <c r="G377" s="167">
        <f>'Forensic Prices'!L8</f>
        <v>17.545000000000002</v>
      </c>
      <c r="H377" s="167">
        <f>(FCCL!G99/'Forensic Inputs'!$G$20)</f>
        <v>3.3524781610919856</v>
      </c>
      <c r="I377" s="165">
        <f t="shared" si="15"/>
        <v>5.2334419963186747</v>
      </c>
      <c r="J377" s="165">
        <v>5.2334419963186773</v>
      </c>
      <c r="K377" s="169">
        <f t="shared" si="16"/>
        <v>0</v>
      </c>
      <c r="L377" s="165">
        <v>5.26</v>
      </c>
      <c r="M377" s="151">
        <v>2</v>
      </c>
      <c r="N377" s="151" t="str">
        <f t="shared" si="17"/>
        <v>No fit</v>
      </c>
      <c r="O377" s="174" t="s">
        <v>6677</v>
      </c>
      <c r="P377" s="174" t="s">
        <v>6051</v>
      </c>
    </row>
    <row r="378" spans="1:16" ht="64.05" customHeight="1" x14ac:dyDescent="0.3">
      <c r="A378" s="154" t="s">
        <v>6687</v>
      </c>
      <c r="B378" s="154" t="s">
        <v>5850</v>
      </c>
      <c r="C378" s="154" t="s">
        <v>114</v>
      </c>
      <c r="D378" s="154">
        <v>2024</v>
      </c>
      <c r="E378" s="154" t="s">
        <v>103</v>
      </c>
      <c r="F378" s="173" t="s">
        <v>6615</v>
      </c>
      <c r="G378" s="166">
        <f>'Forensic Prices'!M8</f>
        <v>11.761129032258065</v>
      </c>
      <c r="H378" s="166">
        <f>(FCCL!G99/'Forensic Inputs'!$G$20)</f>
        <v>3.3524781610919856</v>
      </c>
      <c r="I378" s="164">
        <f t="shared" si="15"/>
        <v>3.508189603963646</v>
      </c>
      <c r="J378" s="164">
        <v>3.5081896039636473</v>
      </c>
      <c r="K378" s="168">
        <f t="shared" si="16"/>
        <v>0</v>
      </c>
      <c r="L378" s="164">
        <v>5.26</v>
      </c>
      <c r="M378" s="154">
        <v>2</v>
      </c>
      <c r="N378" s="154" t="str">
        <f t="shared" si="17"/>
        <v>No fit</v>
      </c>
      <c r="O378" s="173" t="s">
        <v>6677</v>
      </c>
      <c r="P378" s="173" t="s">
        <v>6051</v>
      </c>
    </row>
    <row r="379" spans="1:16" ht="64.05" customHeight="1" x14ac:dyDescent="0.3">
      <c r="A379" s="151" t="s">
        <v>6688</v>
      </c>
      <c r="B379" s="151" t="s">
        <v>5850</v>
      </c>
      <c r="C379" s="151" t="s">
        <v>114</v>
      </c>
      <c r="D379" s="151">
        <v>2024</v>
      </c>
      <c r="E379" s="151" t="s">
        <v>103</v>
      </c>
      <c r="F379" s="174" t="s">
        <v>6617</v>
      </c>
      <c r="G379" s="167">
        <f>'Forensic Prices'!N8</f>
        <v>15.850793650793653</v>
      </c>
      <c r="H379" s="167">
        <f>(FCCL!G99/'Forensic Inputs'!$G$20)</f>
        <v>3.3524781610919856</v>
      </c>
      <c r="I379" s="165">
        <f t="shared" si="15"/>
        <v>4.7280825971527447</v>
      </c>
      <c r="J379" s="165">
        <v>4.7280825971527465</v>
      </c>
      <c r="K379" s="169">
        <f t="shared" si="16"/>
        <v>0</v>
      </c>
      <c r="L379" s="165">
        <v>5.26</v>
      </c>
      <c r="M379" s="151">
        <v>2</v>
      </c>
      <c r="N379" s="151" t="str">
        <f t="shared" si="17"/>
        <v>No fit</v>
      </c>
      <c r="O379" s="174" t="s">
        <v>6677</v>
      </c>
      <c r="P379" s="174" t="s">
        <v>6051</v>
      </c>
    </row>
    <row r="380" spans="1:16" ht="64.05" customHeight="1" x14ac:dyDescent="0.3">
      <c r="A380" s="154" t="s">
        <v>6689</v>
      </c>
      <c r="B380" s="154" t="s">
        <v>5850</v>
      </c>
      <c r="C380" s="154" t="s">
        <v>114</v>
      </c>
      <c r="D380" s="154">
        <v>2024</v>
      </c>
      <c r="E380" s="154" t="s">
        <v>103</v>
      </c>
      <c r="F380" s="173" t="s">
        <v>6619</v>
      </c>
      <c r="G380" s="166">
        <f>'Forensic Prices'!O8</f>
        <v>18.164444444444445</v>
      </c>
      <c r="H380" s="166">
        <f>(FCCL!G99/'Forensic Inputs'!$G$20)</f>
        <v>3.3524781610919856</v>
      </c>
      <c r="I380" s="164">
        <f t="shared" si="15"/>
        <v>5.4182141006185809</v>
      </c>
      <c r="J380" s="164">
        <v>5.4182141006185827</v>
      </c>
      <c r="K380" s="168">
        <f t="shared" si="16"/>
        <v>0</v>
      </c>
      <c r="L380" s="164">
        <v>5.26</v>
      </c>
      <c r="M380" s="154">
        <v>2</v>
      </c>
      <c r="N380" s="154" t="str">
        <f t="shared" si="17"/>
        <v>No fit</v>
      </c>
      <c r="O380" s="173" t="s">
        <v>6677</v>
      </c>
      <c r="P380" s="173" t="s">
        <v>6051</v>
      </c>
    </row>
    <row r="381" spans="1:16" ht="64.05" customHeight="1" x14ac:dyDescent="0.3">
      <c r="A381" s="151" t="s">
        <v>6690</v>
      </c>
      <c r="B381" s="151" t="s">
        <v>5850</v>
      </c>
      <c r="C381" s="151" t="s">
        <v>114</v>
      </c>
      <c r="D381" s="151">
        <v>2024</v>
      </c>
      <c r="E381" s="151" t="s">
        <v>103</v>
      </c>
      <c r="F381" s="174" t="s">
        <v>6621</v>
      </c>
      <c r="G381" s="167">
        <f>'Forensic Prices'!P8</f>
        <v>21.4725</v>
      </c>
      <c r="H381" s="167">
        <f>(FCCL!G99/'Forensic Inputs'!$G$20)</f>
        <v>3.3524781610919856</v>
      </c>
      <c r="I381" s="165">
        <f t="shared" si="15"/>
        <v>6.4049634235367758</v>
      </c>
      <c r="J381" s="165">
        <v>6.4049634235367785</v>
      </c>
      <c r="K381" s="169">
        <f t="shared" si="16"/>
        <v>0</v>
      </c>
      <c r="L381" s="165">
        <v>5.26</v>
      </c>
      <c r="M381" s="151">
        <v>2</v>
      </c>
      <c r="N381" s="151" t="str">
        <f t="shared" si="17"/>
        <v>No fit</v>
      </c>
      <c r="O381" s="174" t="s">
        <v>6677</v>
      </c>
      <c r="P381" s="174" t="s">
        <v>6051</v>
      </c>
    </row>
    <row r="382" spans="1:16" ht="64.05" customHeight="1" x14ac:dyDescent="0.3">
      <c r="A382" s="154" t="s">
        <v>6691</v>
      </c>
      <c r="B382" s="154" t="s">
        <v>5854</v>
      </c>
      <c r="C382" s="154" t="s">
        <v>114</v>
      </c>
      <c r="D382" s="154">
        <v>2025</v>
      </c>
      <c r="E382" s="154" t="s">
        <v>103</v>
      </c>
      <c r="F382" s="173" t="s">
        <v>5893</v>
      </c>
      <c r="G382" s="166">
        <f>FCCL!H130</f>
        <v>44.67</v>
      </c>
      <c r="H382" s="166">
        <f>FCCL!H99/FCCL!H129</f>
        <v>5.4329528095311241</v>
      </c>
      <c r="I382" s="164">
        <f t="shared" si="15"/>
        <v>8.2220482242427426</v>
      </c>
      <c r="J382" s="164">
        <v>8.2220482242427408</v>
      </c>
      <c r="K382" s="168">
        <f t="shared" si="16"/>
        <v>0</v>
      </c>
      <c r="L382" s="164">
        <v>6.69</v>
      </c>
      <c r="M382" s="154">
        <v>2</v>
      </c>
      <c r="N382" s="154" t="str">
        <f t="shared" si="17"/>
        <v>No fit</v>
      </c>
      <c r="O382" s="173" t="s">
        <v>6050</v>
      </c>
      <c r="P382" s="173" t="s">
        <v>6051</v>
      </c>
    </row>
    <row r="383" spans="1:16" ht="64.05" customHeight="1" x14ac:dyDescent="0.3">
      <c r="A383" s="151" t="s">
        <v>6692</v>
      </c>
      <c r="B383" s="151" t="s">
        <v>5854</v>
      </c>
      <c r="C383" s="151" t="s">
        <v>114</v>
      </c>
      <c r="D383" s="151">
        <v>2025</v>
      </c>
      <c r="E383" s="151" t="s">
        <v>103</v>
      </c>
      <c r="F383" s="174" t="s">
        <v>6580</v>
      </c>
      <c r="G383" s="167">
        <f>FCCL!H130</f>
        <v>44.67</v>
      </c>
      <c r="H383" s="167">
        <f>'PSX Prices'!L30</f>
        <v>5.43</v>
      </c>
      <c r="I383" s="165">
        <f t="shared" si="15"/>
        <v>8.2265193370165761</v>
      </c>
      <c r="J383" s="165">
        <v>8.2265193370165761</v>
      </c>
      <c r="K383" s="169">
        <f t="shared" si="16"/>
        <v>0</v>
      </c>
      <c r="L383" s="165">
        <v>6.69</v>
      </c>
      <c r="M383" s="151">
        <v>2</v>
      </c>
      <c r="N383" s="151" t="str">
        <f t="shared" si="17"/>
        <v>No fit</v>
      </c>
      <c r="O383" s="174" t="s">
        <v>6581</v>
      </c>
      <c r="P383" s="174" t="s">
        <v>6051</v>
      </c>
    </row>
    <row r="384" spans="1:16" ht="64.05" customHeight="1" x14ac:dyDescent="0.3">
      <c r="A384" s="154" t="s">
        <v>6693</v>
      </c>
      <c r="B384" s="154" t="s">
        <v>5854</v>
      </c>
      <c r="C384" s="154" t="s">
        <v>114</v>
      </c>
      <c r="D384" s="154">
        <v>2025</v>
      </c>
      <c r="E384" s="154" t="s">
        <v>103</v>
      </c>
      <c r="F384" s="173" t="s">
        <v>5837</v>
      </c>
      <c r="G384" s="166">
        <f>FCCL!H130</f>
        <v>44.67</v>
      </c>
      <c r="H384" s="166">
        <f>(FCCL!H99/'Forensic Inputs'!$G$21)</f>
        <v>5.4329528095311241</v>
      </c>
      <c r="I384" s="164">
        <f t="shared" si="15"/>
        <v>8.2220482242427426</v>
      </c>
      <c r="J384" s="164">
        <v>8.2220482242427408</v>
      </c>
      <c r="K384" s="168">
        <f t="shared" si="16"/>
        <v>0</v>
      </c>
      <c r="L384" s="164">
        <v>6.69</v>
      </c>
      <c r="M384" s="154">
        <v>2</v>
      </c>
      <c r="N384" s="154" t="str">
        <f t="shared" si="17"/>
        <v>No fit</v>
      </c>
      <c r="O384" s="173" t="s">
        <v>6670</v>
      </c>
      <c r="P384" s="173" t="s">
        <v>6051</v>
      </c>
    </row>
    <row r="385" spans="1:16" ht="64.05" customHeight="1" x14ac:dyDescent="0.3">
      <c r="A385" s="151" t="s">
        <v>6694</v>
      </c>
      <c r="B385" s="151" t="s">
        <v>5854</v>
      </c>
      <c r="C385" s="151" t="s">
        <v>114</v>
      </c>
      <c r="D385" s="151">
        <v>2025</v>
      </c>
      <c r="E385" s="151" t="s">
        <v>103</v>
      </c>
      <c r="F385" s="174" t="s">
        <v>6585</v>
      </c>
      <c r="G385" s="167">
        <f>FCCL!H130</f>
        <v>44.67</v>
      </c>
      <c r="H385" s="167">
        <f>(FCCL!H99/FCCL!H128)</f>
        <v>5.4329514805567172</v>
      </c>
      <c r="I385" s="165">
        <f t="shared" si="15"/>
        <v>8.2220502354684459</v>
      </c>
      <c r="J385" s="165">
        <v>8.2220502354684459</v>
      </c>
      <c r="K385" s="169">
        <f t="shared" si="16"/>
        <v>0</v>
      </c>
      <c r="L385" s="165">
        <v>6.69</v>
      </c>
      <c r="M385" s="151">
        <v>2</v>
      </c>
      <c r="N385" s="151" t="str">
        <f t="shared" si="17"/>
        <v>No fit</v>
      </c>
      <c r="O385" s="174" t="s">
        <v>6586</v>
      </c>
      <c r="P385" s="174" t="s">
        <v>6051</v>
      </c>
    </row>
    <row r="386" spans="1:16" ht="64.05" customHeight="1" x14ac:dyDescent="0.3">
      <c r="A386" s="154" t="s">
        <v>6695</v>
      </c>
      <c r="B386" s="154" t="s">
        <v>5854</v>
      </c>
      <c r="C386" s="154" t="s">
        <v>114</v>
      </c>
      <c r="D386" s="154">
        <v>2025</v>
      </c>
      <c r="E386" s="154" t="s">
        <v>103</v>
      </c>
      <c r="F386" s="173" t="s">
        <v>6588</v>
      </c>
      <c r="G386" s="166">
        <f>FCCL!H130</f>
        <v>44.67</v>
      </c>
      <c r="H386" s="166">
        <f>(FCCL!H96/'Forensic Inputs'!$G$21)</f>
        <v>8.775728775582003</v>
      </c>
      <c r="I386" s="164">
        <f t="shared" si="15"/>
        <v>5.0901755446558345</v>
      </c>
      <c r="J386" s="164">
        <v>5.0901755446558345</v>
      </c>
      <c r="K386" s="168">
        <f t="shared" si="16"/>
        <v>0</v>
      </c>
      <c r="L386" s="164">
        <v>6.69</v>
      </c>
      <c r="M386" s="154">
        <v>2</v>
      </c>
      <c r="N386" s="154" t="str">
        <f t="shared" si="17"/>
        <v>No fit</v>
      </c>
      <c r="O386" s="173" t="s">
        <v>6673</v>
      </c>
      <c r="P386" s="173" t="s">
        <v>6051</v>
      </c>
    </row>
    <row r="387" spans="1:16" ht="64.05" customHeight="1" x14ac:dyDescent="0.3">
      <c r="A387" s="151" t="s">
        <v>6696</v>
      </c>
      <c r="B387" s="151" t="s">
        <v>5854</v>
      </c>
      <c r="C387" s="151" t="s">
        <v>114</v>
      </c>
      <c r="D387" s="151">
        <v>2025</v>
      </c>
      <c r="E387" s="151" t="s">
        <v>103</v>
      </c>
      <c r="F387" s="174" t="s">
        <v>6591</v>
      </c>
      <c r="G387" s="167">
        <f>FCCL!H130</f>
        <v>44.67</v>
      </c>
      <c r="H387" s="167">
        <f>((FCCL!H99+FCCL!H107)/'Forensic Inputs'!$G$21)</f>
        <v>7.4590632844201004</v>
      </c>
      <c r="I387" s="165">
        <f t="shared" si="15"/>
        <v>5.9886876269441434</v>
      </c>
      <c r="J387" s="165">
        <v>5.9886876269441434</v>
      </c>
      <c r="K387" s="169">
        <f t="shared" si="16"/>
        <v>0</v>
      </c>
      <c r="L387" s="165">
        <v>6.69</v>
      </c>
      <c r="M387" s="151">
        <v>2</v>
      </c>
      <c r="N387" s="151" t="str">
        <f t="shared" si="17"/>
        <v>No fit</v>
      </c>
      <c r="O387" s="174" t="s">
        <v>6675</v>
      </c>
      <c r="P387" s="174" t="s">
        <v>6051</v>
      </c>
    </row>
    <row r="388" spans="1:16" ht="64.05" customHeight="1" x14ac:dyDescent="0.3">
      <c r="A388" s="154" t="s">
        <v>6697</v>
      </c>
      <c r="B388" s="154" t="s">
        <v>5854</v>
      </c>
      <c r="C388" s="154" t="s">
        <v>114</v>
      </c>
      <c r="D388" s="154">
        <v>2025</v>
      </c>
      <c r="E388" s="154" t="s">
        <v>103</v>
      </c>
      <c r="F388" s="173" t="s">
        <v>6594</v>
      </c>
      <c r="G388" s="166">
        <f>'Forensic Prices'!C9</f>
        <v>44.67</v>
      </c>
      <c r="H388" s="166">
        <f>(FCCL!H99/'Forensic Inputs'!$G$21)</f>
        <v>5.4329528095311241</v>
      </c>
      <c r="I388" s="164">
        <f t="shared" si="15"/>
        <v>8.2220482242427426</v>
      </c>
      <c r="J388" s="164">
        <v>8.2220482242427408</v>
      </c>
      <c r="K388" s="168">
        <f t="shared" si="16"/>
        <v>0</v>
      </c>
      <c r="L388" s="164">
        <v>6.69</v>
      </c>
      <c r="M388" s="154">
        <v>2</v>
      </c>
      <c r="N388" s="154" t="str">
        <f t="shared" si="17"/>
        <v>No fit</v>
      </c>
      <c r="O388" s="173" t="s">
        <v>6677</v>
      </c>
      <c r="P388" s="173" t="s">
        <v>6051</v>
      </c>
    </row>
    <row r="389" spans="1:16" ht="64.05" customHeight="1" x14ac:dyDescent="0.3">
      <c r="A389" s="151" t="s">
        <v>6698</v>
      </c>
      <c r="B389" s="151" t="s">
        <v>5854</v>
      </c>
      <c r="C389" s="151" t="s">
        <v>114</v>
      </c>
      <c r="D389" s="151">
        <v>2025</v>
      </c>
      <c r="E389" s="151" t="s">
        <v>103</v>
      </c>
      <c r="F389" s="174" t="s">
        <v>6597</v>
      </c>
      <c r="G389" s="167">
        <f>'Forensic Prices'!D9</f>
        <v>35.080121457489859</v>
      </c>
      <c r="H389" s="167">
        <f>(FCCL!H99/'Forensic Inputs'!$G$21)</f>
        <v>5.4329528095311241</v>
      </c>
      <c r="I389" s="165">
        <f t="shared" si="15"/>
        <v>6.4569162824216306</v>
      </c>
      <c r="J389" s="165">
        <v>6.4569162824216324</v>
      </c>
      <c r="K389" s="169">
        <f t="shared" si="16"/>
        <v>0</v>
      </c>
      <c r="L389" s="165">
        <v>6.69</v>
      </c>
      <c r="M389" s="151">
        <v>2</v>
      </c>
      <c r="N389" s="151" t="str">
        <f t="shared" si="17"/>
        <v>No fit</v>
      </c>
      <c r="O389" s="174" t="s">
        <v>6677</v>
      </c>
      <c r="P389" s="174" t="s">
        <v>6051</v>
      </c>
    </row>
    <row r="390" spans="1:16" ht="64.05" customHeight="1" x14ac:dyDescent="0.3">
      <c r="A390" s="154" t="s">
        <v>6699</v>
      </c>
      <c r="B390" s="154" t="s">
        <v>5854</v>
      </c>
      <c r="C390" s="154" t="s">
        <v>114</v>
      </c>
      <c r="D390" s="154">
        <v>2025</v>
      </c>
      <c r="E390" s="154" t="s">
        <v>103</v>
      </c>
      <c r="F390" s="173" t="s">
        <v>6599</v>
      </c>
      <c r="G390" s="166">
        <f>'Forensic Prices'!E9</f>
        <v>36.340000000000003</v>
      </c>
      <c r="H390" s="166">
        <f>(FCCL!H99/'Forensic Inputs'!$G$21)</f>
        <v>5.4329528095311241</v>
      </c>
      <c r="I390" s="164">
        <f t="shared" ref="I390:I453" si="18">G390/H390</f>
        <v>6.6888120096033425</v>
      </c>
      <c r="J390" s="164">
        <v>6.6888120096033399</v>
      </c>
      <c r="K390" s="168">
        <f t="shared" ref="K390:K453" si="19">I390-J390</f>
        <v>0</v>
      </c>
      <c r="L390" s="164">
        <v>6.69</v>
      </c>
      <c r="M390" s="154">
        <v>2</v>
      </c>
      <c r="N390" s="154" t="str">
        <f t="shared" ref="N390:N453" si="20">IF(ROUND(I390,M390)=ROUND(L390,M390),"Numeric fit","No fit")</f>
        <v>Numeric fit</v>
      </c>
      <c r="O390" s="173" t="s">
        <v>6677</v>
      </c>
      <c r="P390" s="173" t="s">
        <v>6051</v>
      </c>
    </row>
    <row r="391" spans="1:16" ht="64.05" customHeight="1" x14ac:dyDescent="0.3">
      <c r="A391" s="151" t="s">
        <v>6700</v>
      </c>
      <c r="B391" s="151" t="s">
        <v>5854</v>
      </c>
      <c r="C391" s="151" t="s">
        <v>114</v>
      </c>
      <c r="D391" s="151">
        <v>2025</v>
      </c>
      <c r="E391" s="151" t="s">
        <v>103</v>
      </c>
      <c r="F391" s="174" t="s">
        <v>6601</v>
      </c>
      <c r="G391" s="167">
        <f>'Forensic Prices'!F9</f>
        <v>37.265353672247848</v>
      </c>
      <c r="H391" s="167">
        <f>(FCCL!H99/'Forensic Inputs'!$G$21)</f>
        <v>5.4329528095311241</v>
      </c>
      <c r="I391" s="165">
        <f t="shared" si="18"/>
        <v>6.8591344299682824</v>
      </c>
      <c r="J391" s="165">
        <v>6.8591344299682806</v>
      </c>
      <c r="K391" s="169">
        <f t="shared" si="19"/>
        <v>0</v>
      </c>
      <c r="L391" s="165">
        <v>6.69</v>
      </c>
      <c r="M391" s="151">
        <v>2</v>
      </c>
      <c r="N391" s="151" t="str">
        <f t="shared" si="20"/>
        <v>No fit</v>
      </c>
      <c r="O391" s="174" t="s">
        <v>6677</v>
      </c>
      <c r="P391" s="174" t="s">
        <v>6051</v>
      </c>
    </row>
    <row r="392" spans="1:16" ht="64.05" customHeight="1" x14ac:dyDescent="0.3">
      <c r="A392" s="154" t="s">
        <v>6701</v>
      </c>
      <c r="B392" s="154" t="s">
        <v>5854</v>
      </c>
      <c r="C392" s="154" t="s">
        <v>114</v>
      </c>
      <c r="D392" s="154">
        <v>2025</v>
      </c>
      <c r="E392" s="154" t="s">
        <v>103</v>
      </c>
      <c r="F392" s="173" t="s">
        <v>6603</v>
      </c>
      <c r="G392" s="166">
        <f>'Forensic Prices'!G9</f>
        <v>35.895000000000003</v>
      </c>
      <c r="H392" s="166">
        <f>(FCCL!H99/'Forensic Inputs'!$G$21)</f>
        <v>5.4329528095311241</v>
      </c>
      <c r="I392" s="164">
        <f t="shared" si="18"/>
        <v>6.6069044327108415</v>
      </c>
      <c r="J392" s="164">
        <v>6.6069044327108388</v>
      </c>
      <c r="K392" s="168">
        <f t="shared" si="19"/>
        <v>0</v>
      </c>
      <c r="L392" s="164">
        <v>6.69</v>
      </c>
      <c r="M392" s="154">
        <v>2</v>
      </c>
      <c r="N392" s="154" t="str">
        <f t="shared" si="20"/>
        <v>No fit</v>
      </c>
      <c r="O392" s="173" t="s">
        <v>6677</v>
      </c>
      <c r="P392" s="173" t="s">
        <v>6051</v>
      </c>
    </row>
    <row r="393" spans="1:16" ht="64.05" customHeight="1" x14ac:dyDescent="0.3">
      <c r="A393" s="151" t="s">
        <v>6702</v>
      </c>
      <c r="B393" s="151" t="s">
        <v>5854</v>
      </c>
      <c r="C393" s="151" t="s">
        <v>114</v>
      </c>
      <c r="D393" s="151">
        <v>2025</v>
      </c>
      <c r="E393" s="151" t="s">
        <v>103</v>
      </c>
      <c r="F393" s="174" t="s">
        <v>6605</v>
      </c>
      <c r="G393" s="167">
        <f>'Forensic Prices'!H9</f>
        <v>35.343317006283819</v>
      </c>
      <c r="H393" s="167">
        <f>(FCCL!H99/'Forensic Inputs'!$G$21)</f>
        <v>5.4329528095311241</v>
      </c>
      <c r="I393" s="165">
        <f t="shared" si="18"/>
        <v>6.5053605737713056</v>
      </c>
      <c r="J393" s="165">
        <v>6.5053605737713047</v>
      </c>
      <c r="K393" s="169">
        <f t="shared" si="19"/>
        <v>0</v>
      </c>
      <c r="L393" s="165">
        <v>6.69</v>
      </c>
      <c r="M393" s="151">
        <v>2</v>
      </c>
      <c r="N393" s="151" t="str">
        <f t="shared" si="20"/>
        <v>No fit</v>
      </c>
      <c r="O393" s="174" t="s">
        <v>6677</v>
      </c>
      <c r="P393" s="174" t="s">
        <v>6051</v>
      </c>
    </row>
    <row r="394" spans="1:16" ht="64.05" customHeight="1" x14ac:dyDescent="0.3">
      <c r="A394" s="154" t="s">
        <v>6703</v>
      </c>
      <c r="B394" s="154" t="s">
        <v>5854</v>
      </c>
      <c r="C394" s="154" t="s">
        <v>114</v>
      </c>
      <c r="D394" s="154">
        <v>2025</v>
      </c>
      <c r="E394" s="154" t="s">
        <v>103</v>
      </c>
      <c r="F394" s="173" t="s">
        <v>6607</v>
      </c>
      <c r="G394" s="166">
        <f>'Forensic Prices'!I9</f>
        <v>35.120688259109286</v>
      </c>
      <c r="H394" s="166">
        <f>(FCCL!H99/'Forensic Inputs'!$G$21)</f>
        <v>5.4329528095311241</v>
      </c>
      <c r="I394" s="164">
        <f t="shared" si="18"/>
        <v>6.4643830878664081</v>
      </c>
      <c r="J394" s="164">
        <v>6.4643830878664117</v>
      </c>
      <c r="K394" s="168">
        <f t="shared" si="19"/>
        <v>0</v>
      </c>
      <c r="L394" s="164">
        <v>6.69</v>
      </c>
      <c r="M394" s="154">
        <v>2</v>
      </c>
      <c r="N394" s="154" t="str">
        <f t="shared" si="20"/>
        <v>No fit</v>
      </c>
      <c r="O394" s="173" t="s">
        <v>6677</v>
      </c>
      <c r="P394" s="173" t="s">
        <v>6051</v>
      </c>
    </row>
    <row r="395" spans="1:16" ht="64.05" customHeight="1" x14ac:dyDescent="0.3">
      <c r="A395" s="151" t="s">
        <v>6704</v>
      </c>
      <c r="B395" s="151" t="s">
        <v>5854</v>
      </c>
      <c r="C395" s="151" t="s">
        <v>114</v>
      </c>
      <c r="D395" s="151">
        <v>2025</v>
      </c>
      <c r="E395" s="151" t="s">
        <v>103</v>
      </c>
      <c r="F395" s="174" t="s">
        <v>6609</v>
      </c>
      <c r="G395" s="167">
        <f>'Forensic Prices'!J9</f>
        <v>35.864574898785413</v>
      </c>
      <c r="H395" s="167">
        <f>(FCCL!H99/'Forensic Inputs'!$G$21)</f>
        <v>5.4329528095311241</v>
      </c>
      <c r="I395" s="165">
        <f t="shared" si="18"/>
        <v>6.6013043286272541</v>
      </c>
      <c r="J395" s="165">
        <v>6.601304328627255</v>
      </c>
      <c r="K395" s="169">
        <f t="shared" si="19"/>
        <v>0</v>
      </c>
      <c r="L395" s="165">
        <v>6.69</v>
      </c>
      <c r="M395" s="151">
        <v>2</v>
      </c>
      <c r="N395" s="151" t="str">
        <f t="shared" si="20"/>
        <v>No fit</v>
      </c>
      <c r="O395" s="174" t="s">
        <v>6677</v>
      </c>
      <c r="P395" s="174" t="s">
        <v>6051</v>
      </c>
    </row>
    <row r="396" spans="1:16" ht="64.05" customHeight="1" x14ac:dyDescent="0.3">
      <c r="A396" s="154" t="s">
        <v>6705</v>
      </c>
      <c r="B396" s="154" t="s">
        <v>5854</v>
      </c>
      <c r="C396" s="154" t="s">
        <v>114</v>
      </c>
      <c r="D396" s="154">
        <v>2025</v>
      </c>
      <c r="E396" s="154" t="s">
        <v>103</v>
      </c>
      <c r="F396" s="173" t="s">
        <v>6611</v>
      </c>
      <c r="G396" s="166">
        <f>'Forensic Prices'!K9</f>
        <v>34.381052631578974</v>
      </c>
      <c r="H396" s="166">
        <f>(FCCL!H99/'Forensic Inputs'!$G$21)</f>
        <v>5.4329528095311241</v>
      </c>
      <c r="I396" s="164">
        <f t="shared" si="18"/>
        <v>6.3282442967779309</v>
      </c>
      <c r="J396" s="164">
        <v>6.3282442967779238</v>
      </c>
      <c r="K396" s="168">
        <f t="shared" si="19"/>
        <v>7.1054273576010019E-15</v>
      </c>
      <c r="L396" s="164">
        <v>6.69</v>
      </c>
      <c r="M396" s="154">
        <v>2</v>
      </c>
      <c r="N396" s="154" t="str">
        <f t="shared" si="20"/>
        <v>No fit</v>
      </c>
      <c r="O396" s="173" t="s">
        <v>6677</v>
      </c>
      <c r="P396" s="173" t="s">
        <v>6051</v>
      </c>
    </row>
    <row r="397" spans="1:16" ht="64.05" customHeight="1" x14ac:dyDescent="0.3">
      <c r="A397" s="151" t="s">
        <v>6706</v>
      </c>
      <c r="B397" s="151" t="s">
        <v>5854</v>
      </c>
      <c r="C397" s="151" t="s">
        <v>114</v>
      </c>
      <c r="D397" s="151">
        <v>2025</v>
      </c>
      <c r="E397" s="151" t="s">
        <v>103</v>
      </c>
      <c r="F397" s="174" t="s">
        <v>6613</v>
      </c>
      <c r="G397" s="167">
        <f>'Forensic Prices'!L9</f>
        <v>34.774999999999999</v>
      </c>
      <c r="H397" s="167">
        <f>(FCCL!H99/'Forensic Inputs'!$G$21)</f>
        <v>5.4329528095311241</v>
      </c>
      <c r="I397" s="165">
        <f t="shared" si="18"/>
        <v>6.4007550257005006</v>
      </c>
      <c r="J397" s="165">
        <v>6.4007550257004988</v>
      </c>
      <c r="K397" s="169">
        <f t="shared" si="19"/>
        <v>0</v>
      </c>
      <c r="L397" s="165">
        <v>6.69</v>
      </c>
      <c r="M397" s="151">
        <v>2</v>
      </c>
      <c r="N397" s="151" t="str">
        <f t="shared" si="20"/>
        <v>No fit</v>
      </c>
      <c r="O397" s="174" t="s">
        <v>6677</v>
      </c>
      <c r="P397" s="174" t="s">
        <v>6051</v>
      </c>
    </row>
    <row r="398" spans="1:16" ht="64.05" customHeight="1" x14ac:dyDescent="0.3">
      <c r="A398" s="154" t="s">
        <v>6707</v>
      </c>
      <c r="B398" s="154" t="s">
        <v>5854</v>
      </c>
      <c r="C398" s="154" t="s">
        <v>114</v>
      </c>
      <c r="D398" s="154">
        <v>2025</v>
      </c>
      <c r="E398" s="154" t="s">
        <v>103</v>
      </c>
      <c r="F398" s="173" t="s">
        <v>6615</v>
      </c>
      <c r="G398" s="166">
        <f>'Forensic Prices'!M9</f>
        <v>22.462903225806446</v>
      </c>
      <c r="H398" s="166">
        <f>(FCCL!H99/'Forensic Inputs'!$G$21)</f>
        <v>5.4329528095311241</v>
      </c>
      <c r="I398" s="164">
        <f t="shared" si="18"/>
        <v>4.1345662319023608</v>
      </c>
      <c r="J398" s="164">
        <v>4.1345662319023608</v>
      </c>
      <c r="K398" s="168">
        <f t="shared" si="19"/>
        <v>0</v>
      </c>
      <c r="L398" s="164">
        <v>6.69</v>
      </c>
      <c r="M398" s="154">
        <v>2</v>
      </c>
      <c r="N398" s="154" t="str">
        <f t="shared" si="20"/>
        <v>No fit</v>
      </c>
      <c r="O398" s="173" t="s">
        <v>6677</v>
      </c>
      <c r="P398" s="173" t="s">
        <v>6051</v>
      </c>
    </row>
    <row r="399" spans="1:16" ht="64.05" customHeight="1" x14ac:dyDescent="0.3">
      <c r="A399" s="151" t="s">
        <v>6708</v>
      </c>
      <c r="B399" s="151" t="s">
        <v>5854</v>
      </c>
      <c r="C399" s="151" t="s">
        <v>114</v>
      </c>
      <c r="D399" s="151">
        <v>2025</v>
      </c>
      <c r="E399" s="151" t="s">
        <v>103</v>
      </c>
      <c r="F399" s="174" t="s">
        <v>6617</v>
      </c>
      <c r="G399" s="167">
        <f>'Forensic Prices'!N9</f>
        <v>33.24984615384615</v>
      </c>
      <c r="H399" s="167">
        <f>(FCCL!H99/'Forensic Inputs'!$G$21)</f>
        <v>5.4329528095311241</v>
      </c>
      <c r="I399" s="165">
        <f t="shared" si="18"/>
        <v>6.1200322033932197</v>
      </c>
      <c r="J399" s="165">
        <v>6.1200322033932189</v>
      </c>
      <c r="K399" s="169">
        <f t="shared" si="19"/>
        <v>0</v>
      </c>
      <c r="L399" s="165">
        <v>6.69</v>
      </c>
      <c r="M399" s="151">
        <v>2</v>
      </c>
      <c r="N399" s="151" t="str">
        <f t="shared" si="20"/>
        <v>No fit</v>
      </c>
      <c r="O399" s="174" t="s">
        <v>6677</v>
      </c>
      <c r="P399" s="174" t="s">
        <v>6051</v>
      </c>
    </row>
    <row r="400" spans="1:16" ht="64.05" customHeight="1" x14ac:dyDescent="0.3">
      <c r="A400" s="154" t="s">
        <v>6709</v>
      </c>
      <c r="B400" s="154" t="s">
        <v>5854</v>
      </c>
      <c r="C400" s="154" t="s">
        <v>114</v>
      </c>
      <c r="D400" s="154">
        <v>2025</v>
      </c>
      <c r="E400" s="154" t="s">
        <v>103</v>
      </c>
      <c r="F400" s="173" t="s">
        <v>6619</v>
      </c>
      <c r="G400" s="166">
        <f>'Forensic Prices'!O9</f>
        <v>39.766393442622949</v>
      </c>
      <c r="H400" s="166">
        <f>(FCCL!H99/'Forensic Inputs'!$G$21)</f>
        <v>5.4329528095311241</v>
      </c>
      <c r="I400" s="164">
        <f t="shared" si="18"/>
        <v>7.3194807385148035</v>
      </c>
      <c r="J400" s="164">
        <v>7.3194807385148009</v>
      </c>
      <c r="K400" s="168">
        <f t="shared" si="19"/>
        <v>0</v>
      </c>
      <c r="L400" s="164">
        <v>6.69</v>
      </c>
      <c r="M400" s="154">
        <v>2</v>
      </c>
      <c r="N400" s="154" t="str">
        <f t="shared" si="20"/>
        <v>No fit</v>
      </c>
      <c r="O400" s="173" t="s">
        <v>6677</v>
      </c>
      <c r="P400" s="173" t="s">
        <v>6051</v>
      </c>
    </row>
    <row r="401" spans="1:16" ht="64.05" customHeight="1" x14ac:dyDescent="0.3">
      <c r="A401" s="151" t="s">
        <v>6710</v>
      </c>
      <c r="B401" s="151" t="s">
        <v>5854</v>
      </c>
      <c r="C401" s="151" t="s">
        <v>114</v>
      </c>
      <c r="D401" s="151">
        <v>2025</v>
      </c>
      <c r="E401" s="151" t="s">
        <v>103</v>
      </c>
      <c r="F401" s="174" t="s">
        <v>6621</v>
      </c>
      <c r="G401" s="167">
        <f>'Forensic Prices'!P9</f>
        <v>45.510169491525431</v>
      </c>
      <c r="H401" s="167">
        <f>(FCCL!H99/'Forensic Inputs'!$G$21)</f>
        <v>5.4329528095311241</v>
      </c>
      <c r="I401" s="165">
        <f t="shared" si="18"/>
        <v>8.3766914764446589</v>
      </c>
      <c r="J401" s="165">
        <v>8.3766914764446554</v>
      </c>
      <c r="K401" s="169">
        <f t="shared" si="19"/>
        <v>0</v>
      </c>
      <c r="L401" s="165">
        <v>6.69</v>
      </c>
      <c r="M401" s="151">
        <v>2</v>
      </c>
      <c r="N401" s="151" t="str">
        <f t="shared" si="20"/>
        <v>No fit</v>
      </c>
      <c r="O401" s="174" t="s">
        <v>6677</v>
      </c>
      <c r="P401" s="174" t="s">
        <v>6051</v>
      </c>
    </row>
    <row r="402" spans="1:16" ht="64.05" customHeight="1" x14ac:dyDescent="0.3">
      <c r="A402" s="154" t="s">
        <v>6711</v>
      </c>
      <c r="B402" s="154" t="s">
        <v>5856</v>
      </c>
      <c r="C402" s="154" t="s">
        <v>18</v>
      </c>
      <c r="D402" s="154">
        <v>2024</v>
      </c>
      <c r="E402" s="154" t="s">
        <v>143</v>
      </c>
      <c r="F402" s="173" t="s">
        <v>5893</v>
      </c>
      <c r="G402" s="166">
        <f>KOHC!G99</f>
        <v>8893.4547870000024</v>
      </c>
      <c r="H402" s="166">
        <f>KOHC!G129</f>
        <v>196.435067</v>
      </c>
      <c r="I402" s="164">
        <f t="shared" si="18"/>
        <v>45.274272678614977</v>
      </c>
      <c r="J402" s="164">
        <v>45.274272678614977</v>
      </c>
      <c r="K402" s="168">
        <f t="shared" si="19"/>
        <v>0</v>
      </c>
      <c r="L402" s="164">
        <v>9.06</v>
      </c>
      <c r="M402" s="154">
        <v>2</v>
      </c>
      <c r="N402" s="154" t="str">
        <f t="shared" si="20"/>
        <v>No fit</v>
      </c>
      <c r="O402" s="173" t="s">
        <v>6050</v>
      </c>
      <c r="P402" s="173" t="s">
        <v>6051</v>
      </c>
    </row>
    <row r="403" spans="1:16" ht="64.05" customHeight="1" x14ac:dyDescent="0.3">
      <c r="A403" s="151" t="s">
        <v>6712</v>
      </c>
      <c r="B403" s="151" t="s">
        <v>5856</v>
      </c>
      <c r="C403" s="151" t="s">
        <v>18</v>
      </c>
      <c r="D403" s="151">
        <v>2024</v>
      </c>
      <c r="E403" s="151" t="s">
        <v>143</v>
      </c>
      <c r="F403" s="174" t="s">
        <v>6106</v>
      </c>
      <c r="G403" s="167">
        <f>KOHC!G99</f>
        <v>8893.4547870000024</v>
      </c>
      <c r="H403" s="167">
        <f>(KOHC!G129*5)</f>
        <v>982.17533500000002</v>
      </c>
      <c r="I403" s="165">
        <f t="shared" si="18"/>
        <v>9.0548545357229955</v>
      </c>
      <c r="J403" s="165">
        <v>9.0548545357229955</v>
      </c>
      <c r="K403" s="169">
        <f t="shared" si="19"/>
        <v>0</v>
      </c>
      <c r="L403" s="165">
        <v>9.06</v>
      </c>
      <c r="M403" s="151">
        <v>2</v>
      </c>
      <c r="N403" s="151" t="str">
        <f t="shared" si="20"/>
        <v>No fit</v>
      </c>
      <c r="O403" s="174" t="s">
        <v>6713</v>
      </c>
      <c r="P403" s="174" t="s">
        <v>6051</v>
      </c>
    </row>
    <row r="404" spans="1:16" ht="64.05" customHeight="1" x14ac:dyDescent="0.3">
      <c r="A404" s="154" t="s">
        <v>6714</v>
      </c>
      <c r="B404" s="154" t="s">
        <v>5856</v>
      </c>
      <c r="C404" s="154" t="s">
        <v>18</v>
      </c>
      <c r="D404" s="154">
        <v>2024</v>
      </c>
      <c r="E404" s="154" t="s">
        <v>143</v>
      </c>
      <c r="F404" s="173" t="s">
        <v>6109</v>
      </c>
      <c r="G404" s="166">
        <f>KOHC!G99</f>
        <v>8893.4547870000024</v>
      </c>
      <c r="H404" s="166">
        <f>(KOHC!G128*5)</f>
        <v>979.30648499999984</v>
      </c>
      <c r="I404" s="164">
        <f t="shared" si="18"/>
        <v>9.0813804699761622</v>
      </c>
      <c r="J404" s="164">
        <v>9.0813804699761622</v>
      </c>
      <c r="K404" s="168">
        <f t="shared" si="19"/>
        <v>0</v>
      </c>
      <c r="L404" s="164">
        <v>9.06</v>
      </c>
      <c r="M404" s="154">
        <v>2</v>
      </c>
      <c r="N404" s="154" t="str">
        <f t="shared" si="20"/>
        <v>No fit</v>
      </c>
      <c r="O404" s="173" t="s">
        <v>6715</v>
      </c>
      <c r="P404" s="173" t="s">
        <v>6051</v>
      </c>
    </row>
    <row r="405" spans="1:16" ht="64.05" customHeight="1" x14ac:dyDescent="0.3">
      <c r="A405" s="151" t="s">
        <v>6716</v>
      </c>
      <c r="B405" s="151" t="s">
        <v>5856</v>
      </c>
      <c r="C405" s="151" t="s">
        <v>18</v>
      </c>
      <c r="D405" s="151">
        <v>2024</v>
      </c>
      <c r="E405" s="151" t="s">
        <v>143</v>
      </c>
      <c r="F405" s="174" t="s">
        <v>5858</v>
      </c>
      <c r="G405" s="167">
        <f>KOHC!G99</f>
        <v>8893.4547870000024</v>
      </c>
      <c r="H405" s="167">
        <f>'Forensic Inputs'!$G$28</f>
        <v>982.11470399999996</v>
      </c>
      <c r="I405" s="165">
        <f t="shared" si="18"/>
        <v>9.0554135385391827</v>
      </c>
      <c r="J405" s="165">
        <v>9.0554135385391827</v>
      </c>
      <c r="K405" s="169">
        <f t="shared" si="19"/>
        <v>0</v>
      </c>
      <c r="L405" s="165">
        <v>9.06</v>
      </c>
      <c r="M405" s="151">
        <v>2</v>
      </c>
      <c r="N405" s="151" t="str">
        <f t="shared" si="20"/>
        <v>Numeric fit</v>
      </c>
      <c r="O405" s="174" t="s">
        <v>6717</v>
      </c>
      <c r="P405" s="174" t="s">
        <v>6051</v>
      </c>
    </row>
    <row r="406" spans="1:16" ht="64.05" customHeight="1" x14ac:dyDescent="0.3">
      <c r="A406" s="154" t="s">
        <v>6718</v>
      </c>
      <c r="B406" s="154" t="s">
        <v>5856</v>
      </c>
      <c r="C406" s="154" t="s">
        <v>18</v>
      </c>
      <c r="D406" s="154">
        <v>2024</v>
      </c>
      <c r="E406" s="154" t="s">
        <v>143</v>
      </c>
      <c r="F406" s="173" t="s">
        <v>6719</v>
      </c>
      <c r="G406" s="166">
        <f>KOHC!G99</f>
        <v>8893.4547870000024</v>
      </c>
      <c r="H406" s="166">
        <f>'Forensic Inputs'!$G$29</f>
        <v>982.18319699999995</v>
      </c>
      <c r="I406" s="164">
        <f t="shared" si="18"/>
        <v>9.0547820550833578</v>
      </c>
      <c r="J406" s="164">
        <v>9.0547820550833578</v>
      </c>
      <c r="K406" s="168">
        <f t="shared" si="19"/>
        <v>0</v>
      </c>
      <c r="L406" s="164">
        <v>9.06</v>
      </c>
      <c r="M406" s="154">
        <v>2</v>
      </c>
      <c r="N406" s="154" t="str">
        <f t="shared" si="20"/>
        <v>No fit</v>
      </c>
      <c r="O406" s="173" t="s">
        <v>6717</v>
      </c>
      <c r="P406" s="173" t="s">
        <v>6051</v>
      </c>
    </row>
    <row r="407" spans="1:16" ht="64.05" customHeight="1" x14ac:dyDescent="0.3">
      <c r="A407" s="151" t="s">
        <v>6720</v>
      </c>
      <c r="B407" s="151" t="s">
        <v>5863</v>
      </c>
      <c r="C407" s="151" t="s">
        <v>68</v>
      </c>
      <c r="D407" s="151">
        <v>2021</v>
      </c>
      <c r="E407" s="151" t="s">
        <v>53</v>
      </c>
      <c r="F407" s="174" t="s">
        <v>5893</v>
      </c>
      <c r="G407" s="167">
        <f>LUCK!D99</f>
        <v>14070.189000000004</v>
      </c>
      <c r="H407" s="167">
        <f>AVERAGE(LUCK!C41,LUCK!D41)</f>
        <v>106192.0595</v>
      </c>
      <c r="I407" s="165">
        <f t="shared" si="18"/>
        <v>0.13249756211762712</v>
      </c>
      <c r="J407" s="165">
        <v>0.13249756211762712</v>
      </c>
      <c r="K407" s="169">
        <f t="shared" si="19"/>
        <v>0</v>
      </c>
      <c r="L407" s="165">
        <v>0.12379999999999999</v>
      </c>
      <c r="M407" s="151">
        <v>4</v>
      </c>
      <c r="N407" s="151" t="str">
        <f t="shared" si="20"/>
        <v>No fit</v>
      </c>
      <c r="O407" s="174" t="s">
        <v>6050</v>
      </c>
      <c r="P407" s="174" t="s">
        <v>6051</v>
      </c>
    </row>
    <row r="408" spans="1:16" ht="64.05" customHeight="1" x14ac:dyDescent="0.3">
      <c r="A408" s="154" t="s">
        <v>6721</v>
      </c>
      <c r="B408" s="154" t="s">
        <v>5863</v>
      </c>
      <c r="C408" s="154" t="s">
        <v>68</v>
      </c>
      <c r="D408" s="154">
        <v>2021</v>
      </c>
      <c r="E408" s="154" t="s">
        <v>53</v>
      </c>
      <c r="F408" s="173" t="s">
        <v>54</v>
      </c>
      <c r="G408" s="166">
        <f>LUCK!D99</f>
        <v>14070.189000000004</v>
      </c>
      <c r="H408" s="166">
        <f>LUCK!D41</f>
        <v>113200.258</v>
      </c>
      <c r="I408" s="164">
        <f t="shared" si="18"/>
        <v>0.12429467254394423</v>
      </c>
      <c r="J408" s="164">
        <v>0.12429467254394423</v>
      </c>
      <c r="K408" s="168">
        <f t="shared" si="19"/>
        <v>0</v>
      </c>
      <c r="L408" s="164">
        <v>0.12379999999999999</v>
      </c>
      <c r="M408" s="154">
        <v>4</v>
      </c>
      <c r="N408" s="154" t="str">
        <f t="shared" si="20"/>
        <v>No fit</v>
      </c>
      <c r="O408" s="173" t="s">
        <v>6722</v>
      </c>
      <c r="P408" s="173" t="s">
        <v>6051</v>
      </c>
    </row>
    <row r="409" spans="1:16" ht="64.05" customHeight="1" x14ac:dyDescent="0.3">
      <c r="A409" s="151" t="s">
        <v>6723</v>
      </c>
      <c r="B409" s="151" t="s">
        <v>5863</v>
      </c>
      <c r="C409" s="151" t="s">
        <v>68</v>
      </c>
      <c r="D409" s="151">
        <v>2021</v>
      </c>
      <c r="E409" s="151" t="s">
        <v>53</v>
      </c>
      <c r="F409" s="174" t="s">
        <v>102</v>
      </c>
      <c r="G409" s="167">
        <f>LUCK!D99</f>
        <v>14070.189000000004</v>
      </c>
      <c r="H409" s="167">
        <f>AVERAGE(LUCK!C41,LUCK!D41)</f>
        <v>106192.0595</v>
      </c>
      <c r="I409" s="165">
        <f t="shared" si="18"/>
        <v>0.13249756211762712</v>
      </c>
      <c r="J409" s="165">
        <v>0.13249756211762712</v>
      </c>
      <c r="K409" s="169">
        <f t="shared" si="19"/>
        <v>0</v>
      </c>
      <c r="L409" s="165">
        <v>0.12379999999999999</v>
      </c>
      <c r="M409" s="151">
        <v>4</v>
      </c>
      <c r="N409" s="151" t="str">
        <f t="shared" si="20"/>
        <v>No fit</v>
      </c>
      <c r="O409" s="174" t="s">
        <v>6724</v>
      </c>
      <c r="P409" s="174" t="s">
        <v>6051</v>
      </c>
    </row>
    <row r="410" spans="1:16" ht="64.05" customHeight="1" x14ac:dyDescent="0.3">
      <c r="A410" s="154" t="s">
        <v>6725</v>
      </c>
      <c r="B410" s="154" t="s">
        <v>5863</v>
      </c>
      <c r="C410" s="154" t="s">
        <v>68</v>
      </c>
      <c r="D410" s="154">
        <v>2021</v>
      </c>
      <c r="E410" s="154" t="s">
        <v>53</v>
      </c>
      <c r="F410" s="173" t="s">
        <v>5867</v>
      </c>
      <c r="G410" s="166">
        <f>'Forensic Inputs'!$G$6</f>
        <v>14016.397000000001</v>
      </c>
      <c r="H410" s="166">
        <f>LUCK!D41</f>
        <v>113200.258</v>
      </c>
      <c r="I410" s="164">
        <f t="shared" si="18"/>
        <v>0.1238194792806921</v>
      </c>
      <c r="J410" s="164">
        <v>0.1238194792806921</v>
      </c>
      <c r="K410" s="168">
        <f t="shared" si="19"/>
        <v>0</v>
      </c>
      <c r="L410" s="164">
        <v>0.12379999999999999</v>
      </c>
      <c r="M410" s="154">
        <v>4</v>
      </c>
      <c r="N410" s="154" t="str">
        <f t="shared" si="20"/>
        <v>Numeric fit</v>
      </c>
      <c r="O410" s="173" t="s">
        <v>6726</v>
      </c>
      <c r="P410" s="173" t="s">
        <v>6051</v>
      </c>
    </row>
    <row r="411" spans="1:16" ht="64.05" customHeight="1" x14ac:dyDescent="0.3">
      <c r="A411" s="151" t="s">
        <v>6727</v>
      </c>
      <c r="B411" s="151" t="s">
        <v>5863</v>
      </c>
      <c r="C411" s="151" t="s">
        <v>68</v>
      </c>
      <c r="D411" s="151">
        <v>2021</v>
      </c>
      <c r="E411" s="151" t="s">
        <v>53</v>
      </c>
      <c r="F411" s="174" t="s">
        <v>6728</v>
      </c>
      <c r="G411" s="167">
        <f>'Forensic Inputs'!$G$6</f>
        <v>14016.397000000001</v>
      </c>
      <c r="H411" s="167">
        <f>AVERAGE(LUCK!C41,LUCK!D41)</f>
        <v>106192.0595</v>
      </c>
      <c r="I411" s="165">
        <f t="shared" si="18"/>
        <v>0.13199100823541332</v>
      </c>
      <c r="J411" s="165">
        <v>0.13199100823541332</v>
      </c>
      <c r="K411" s="169">
        <f t="shared" si="19"/>
        <v>0</v>
      </c>
      <c r="L411" s="165">
        <v>0.12379999999999999</v>
      </c>
      <c r="M411" s="151">
        <v>4</v>
      </c>
      <c r="N411" s="151" t="str">
        <f t="shared" si="20"/>
        <v>No fit</v>
      </c>
      <c r="O411" s="174" t="s">
        <v>6729</v>
      </c>
      <c r="P411" s="174" t="s">
        <v>6051</v>
      </c>
    </row>
    <row r="412" spans="1:16" ht="64.05" customHeight="1" x14ac:dyDescent="0.3">
      <c r="A412" s="154" t="s">
        <v>6730</v>
      </c>
      <c r="B412" s="154" t="s">
        <v>5863</v>
      </c>
      <c r="C412" s="154" t="s">
        <v>68</v>
      </c>
      <c r="D412" s="154">
        <v>2021</v>
      </c>
      <c r="E412" s="154" t="s">
        <v>53</v>
      </c>
      <c r="F412" s="173" t="s">
        <v>6731</v>
      </c>
      <c r="G412" s="166">
        <f>LUCK!D99</f>
        <v>14070.189000000004</v>
      </c>
      <c r="H412" s="166">
        <f>LUCK!D40</f>
        <v>109966.508</v>
      </c>
      <c r="I412" s="164">
        <f t="shared" si="18"/>
        <v>0.12794976630520999</v>
      </c>
      <c r="J412" s="164">
        <v>0.12794976630520999</v>
      </c>
      <c r="K412" s="168">
        <f t="shared" si="19"/>
        <v>0</v>
      </c>
      <c r="L412" s="164">
        <v>0.12379999999999999</v>
      </c>
      <c r="M412" s="154">
        <v>4</v>
      </c>
      <c r="N412" s="154" t="str">
        <f t="shared" si="20"/>
        <v>No fit</v>
      </c>
      <c r="O412" s="173" t="s">
        <v>6732</v>
      </c>
      <c r="P412" s="173" t="s">
        <v>6051</v>
      </c>
    </row>
    <row r="413" spans="1:16" ht="64.05" customHeight="1" x14ac:dyDescent="0.3">
      <c r="A413" s="151" t="s">
        <v>6733</v>
      </c>
      <c r="B413" s="151" t="s">
        <v>5871</v>
      </c>
      <c r="C413" s="151" t="s">
        <v>68</v>
      </c>
      <c r="D413" s="151">
        <v>2022</v>
      </c>
      <c r="E413" s="151" t="s">
        <v>53</v>
      </c>
      <c r="F413" s="174" t="s">
        <v>5893</v>
      </c>
      <c r="G413" s="167">
        <f>LUCK!E99</f>
        <v>15298.617999999993</v>
      </c>
      <c r="H413" s="167">
        <f>AVERAGE(LUCK!D41,LUCK!E41)</f>
        <v>120870.291</v>
      </c>
      <c r="I413" s="165">
        <f t="shared" si="18"/>
        <v>0.12657053998488341</v>
      </c>
      <c r="J413" s="165">
        <v>0.12657053998488341</v>
      </c>
      <c r="K413" s="169">
        <f t="shared" si="19"/>
        <v>0</v>
      </c>
      <c r="L413" s="165">
        <v>0.1193</v>
      </c>
      <c r="M413" s="151">
        <v>4</v>
      </c>
      <c r="N413" s="151" t="str">
        <f t="shared" si="20"/>
        <v>No fit</v>
      </c>
      <c r="O413" s="174" t="s">
        <v>6050</v>
      </c>
      <c r="P413" s="174" t="s">
        <v>6051</v>
      </c>
    </row>
    <row r="414" spans="1:16" ht="64.05" customHeight="1" x14ac:dyDescent="0.3">
      <c r="A414" s="154" t="s">
        <v>6734</v>
      </c>
      <c r="B414" s="154" t="s">
        <v>5871</v>
      </c>
      <c r="C414" s="154" t="s">
        <v>68</v>
      </c>
      <c r="D414" s="154">
        <v>2022</v>
      </c>
      <c r="E414" s="154" t="s">
        <v>53</v>
      </c>
      <c r="F414" s="173" t="s">
        <v>54</v>
      </c>
      <c r="G414" s="166">
        <f>LUCK!E99</f>
        <v>15298.617999999993</v>
      </c>
      <c r="H414" s="166">
        <f>LUCK!E41</f>
        <v>128540.32399999999</v>
      </c>
      <c r="I414" s="164">
        <f t="shared" si="18"/>
        <v>0.11901804448540206</v>
      </c>
      <c r="J414" s="164">
        <v>0.11901804448540206</v>
      </c>
      <c r="K414" s="168">
        <f t="shared" si="19"/>
        <v>0</v>
      </c>
      <c r="L414" s="164">
        <v>0.1193</v>
      </c>
      <c r="M414" s="154">
        <v>4</v>
      </c>
      <c r="N414" s="154" t="str">
        <f t="shared" si="20"/>
        <v>No fit</v>
      </c>
      <c r="O414" s="173" t="s">
        <v>6722</v>
      </c>
      <c r="P414" s="173" t="s">
        <v>6051</v>
      </c>
    </row>
    <row r="415" spans="1:16" ht="64.05" customHeight="1" x14ac:dyDescent="0.3">
      <c r="A415" s="151" t="s">
        <v>6735</v>
      </c>
      <c r="B415" s="151" t="s">
        <v>5871</v>
      </c>
      <c r="C415" s="151" t="s">
        <v>68</v>
      </c>
      <c r="D415" s="151">
        <v>2022</v>
      </c>
      <c r="E415" s="151" t="s">
        <v>53</v>
      </c>
      <c r="F415" s="174" t="s">
        <v>102</v>
      </c>
      <c r="G415" s="167">
        <f>LUCK!E99</f>
        <v>15298.617999999993</v>
      </c>
      <c r="H415" s="167">
        <f>AVERAGE(LUCK!D41,LUCK!E41)</f>
        <v>120870.291</v>
      </c>
      <c r="I415" s="165">
        <f t="shared" si="18"/>
        <v>0.12657053998488341</v>
      </c>
      <c r="J415" s="165">
        <v>0.12657053998488341</v>
      </c>
      <c r="K415" s="169">
        <f t="shared" si="19"/>
        <v>0</v>
      </c>
      <c r="L415" s="165">
        <v>0.1193</v>
      </c>
      <c r="M415" s="151">
        <v>4</v>
      </c>
      <c r="N415" s="151" t="str">
        <f t="shared" si="20"/>
        <v>No fit</v>
      </c>
      <c r="O415" s="174" t="s">
        <v>6724</v>
      </c>
      <c r="P415" s="174" t="s">
        <v>6051</v>
      </c>
    </row>
    <row r="416" spans="1:16" ht="64.05" customHeight="1" x14ac:dyDescent="0.3">
      <c r="A416" s="154" t="s">
        <v>6736</v>
      </c>
      <c r="B416" s="154" t="s">
        <v>5871</v>
      </c>
      <c r="C416" s="154" t="s">
        <v>68</v>
      </c>
      <c r="D416" s="154">
        <v>2022</v>
      </c>
      <c r="E416" s="154" t="s">
        <v>53</v>
      </c>
      <c r="F416" s="173" t="s">
        <v>5867</v>
      </c>
      <c r="G416" s="166">
        <f>'Forensic Inputs'!$G$7</f>
        <v>15340.066000000001</v>
      </c>
      <c r="H416" s="166">
        <f>LUCK!E41</f>
        <v>128540.32399999999</v>
      </c>
      <c r="I416" s="164">
        <f t="shared" si="18"/>
        <v>0.11934049582759727</v>
      </c>
      <c r="J416" s="164">
        <v>0.11934049582759727</v>
      </c>
      <c r="K416" s="168">
        <f t="shared" si="19"/>
        <v>0</v>
      </c>
      <c r="L416" s="164">
        <v>0.1193</v>
      </c>
      <c r="M416" s="154">
        <v>4</v>
      </c>
      <c r="N416" s="154" t="str">
        <f t="shared" si="20"/>
        <v>Numeric fit</v>
      </c>
      <c r="O416" s="173" t="s">
        <v>6726</v>
      </c>
      <c r="P416" s="173" t="s">
        <v>6051</v>
      </c>
    </row>
    <row r="417" spans="1:16" ht="64.05" customHeight="1" x14ac:dyDescent="0.3">
      <c r="A417" s="151" t="s">
        <v>6737</v>
      </c>
      <c r="B417" s="151" t="s">
        <v>5871</v>
      </c>
      <c r="C417" s="151" t="s">
        <v>68</v>
      </c>
      <c r="D417" s="151">
        <v>2022</v>
      </c>
      <c r="E417" s="151" t="s">
        <v>53</v>
      </c>
      <c r="F417" s="174" t="s">
        <v>6728</v>
      </c>
      <c r="G417" s="167">
        <f>'Forensic Inputs'!$G$7</f>
        <v>15340.066000000001</v>
      </c>
      <c r="H417" s="167">
        <f>AVERAGE(LUCK!D41,LUCK!E41)</f>
        <v>120870.291</v>
      </c>
      <c r="I417" s="165">
        <f t="shared" si="18"/>
        <v>0.12691345303371529</v>
      </c>
      <c r="J417" s="165">
        <v>0.12691345303371529</v>
      </c>
      <c r="K417" s="169">
        <f t="shared" si="19"/>
        <v>0</v>
      </c>
      <c r="L417" s="165">
        <v>0.1193</v>
      </c>
      <c r="M417" s="151">
        <v>4</v>
      </c>
      <c r="N417" s="151" t="str">
        <f t="shared" si="20"/>
        <v>No fit</v>
      </c>
      <c r="O417" s="174" t="s">
        <v>6729</v>
      </c>
      <c r="P417" s="174" t="s">
        <v>6051</v>
      </c>
    </row>
    <row r="418" spans="1:16" ht="64.05" customHeight="1" x14ac:dyDescent="0.3">
      <c r="A418" s="154" t="s">
        <v>6738</v>
      </c>
      <c r="B418" s="154" t="s">
        <v>5871</v>
      </c>
      <c r="C418" s="154" t="s">
        <v>68</v>
      </c>
      <c r="D418" s="154">
        <v>2022</v>
      </c>
      <c r="E418" s="154" t="s">
        <v>53</v>
      </c>
      <c r="F418" s="173" t="s">
        <v>6731</v>
      </c>
      <c r="G418" s="166">
        <f>LUCK!E99</f>
        <v>15298.617999999993</v>
      </c>
      <c r="H418" s="166">
        <f>LUCK!E40</f>
        <v>125306.57399999999</v>
      </c>
      <c r="I418" s="164">
        <f t="shared" si="18"/>
        <v>0.12208950824878505</v>
      </c>
      <c r="J418" s="164">
        <v>0.12208950824878505</v>
      </c>
      <c r="K418" s="168">
        <f t="shared" si="19"/>
        <v>0</v>
      </c>
      <c r="L418" s="164">
        <v>0.1193</v>
      </c>
      <c r="M418" s="154">
        <v>4</v>
      </c>
      <c r="N418" s="154" t="str">
        <f t="shared" si="20"/>
        <v>No fit</v>
      </c>
      <c r="O418" s="173" t="s">
        <v>6732</v>
      </c>
      <c r="P418" s="173" t="s">
        <v>6051</v>
      </c>
    </row>
    <row r="419" spans="1:16" ht="64.05" customHeight="1" x14ac:dyDescent="0.3">
      <c r="A419" s="151" t="s">
        <v>6739</v>
      </c>
      <c r="B419" s="151" t="s">
        <v>5875</v>
      </c>
      <c r="C419" s="151" t="s">
        <v>68</v>
      </c>
      <c r="D419" s="151">
        <v>2023</v>
      </c>
      <c r="E419" s="151" t="s">
        <v>53</v>
      </c>
      <c r="F419" s="174" t="s">
        <v>5893</v>
      </c>
      <c r="G419" s="167">
        <f>LUCK!F99</f>
        <v>13725.813999999998</v>
      </c>
      <c r="H419" s="167">
        <f>AVERAGE(LUCK!E41,LUCK!F41)</f>
        <v>132953.32500000001</v>
      </c>
      <c r="I419" s="165">
        <f t="shared" si="18"/>
        <v>0.10323783929435384</v>
      </c>
      <c r="J419" s="165">
        <v>0.10323783929435384</v>
      </c>
      <c r="K419" s="169">
        <f t="shared" si="19"/>
        <v>0</v>
      </c>
      <c r="L419" s="165">
        <v>0.1018</v>
      </c>
      <c r="M419" s="151">
        <v>4</v>
      </c>
      <c r="N419" s="151" t="str">
        <f t="shared" si="20"/>
        <v>No fit</v>
      </c>
      <c r="O419" s="174" t="s">
        <v>6050</v>
      </c>
      <c r="P419" s="174" t="s">
        <v>6051</v>
      </c>
    </row>
    <row r="420" spans="1:16" ht="64.05" customHeight="1" x14ac:dyDescent="0.3">
      <c r="A420" s="154" t="s">
        <v>6740</v>
      </c>
      <c r="B420" s="154" t="s">
        <v>5875</v>
      </c>
      <c r="C420" s="154" t="s">
        <v>68</v>
      </c>
      <c r="D420" s="154">
        <v>2023</v>
      </c>
      <c r="E420" s="154" t="s">
        <v>53</v>
      </c>
      <c r="F420" s="173" t="s">
        <v>54</v>
      </c>
      <c r="G420" s="166">
        <f>LUCK!F99</f>
        <v>13725.813999999998</v>
      </c>
      <c r="H420" s="166">
        <f>LUCK!F41</f>
        <v>137366.326</v>
      </c>
      <c r="I420" s="164">
        <f t="shared" si="18"/>
        <v>9.9921242706891636E-2</v>
      </c>
      <c r="J420" s="164">
        <v>9.9921242706891636E-2</v>
      </c>
      <c r="K420" s="168">
        <f t="shared" si="19"/>
        <v>0</v>
      </c>
      <c r="L420" s="164">
        <v>0.1018</v>
      </c>
      <c r="M420" s="154">
        <v>4</v>
      </c>
      <c r="N420" s="154" t="str">
        <f t="shared" si="20"/>
        <v>No fit</v>
      </c>
      <c r="O420" s="173" t="s">
        <v>6722</v>
      </c>
      <c r="P420" s="173" t="s">
        <v>6051</v>
      </c>
    </row>
    <row r="421" spans="1:16" ht="64.05" customHeight="1" x14ac:dyDescent="0.3">
      <c r="A421" s="151" t="s">
        <v>6741</v>
      </c>
      <c r="B421" s="151" t="s">
        <v>5875</v>
      </c>
      <c r="C421" s="151" t="s">
        <v>68</v>
      </c>
      <c r="D421" s="151">
        <v>2023</v>
      </c>
      <c r="E421" s="151" t="s">
        <v>53</v>
      </c>
      <c r="F421" s="174" t="s">
        <v>102</v>
      </c>
      <c r="G421" s="167">
        <f>LUCK!F99</f>
        <v>13725.813999999998</v>
      </c>
      <c r="H421" s="167">
        <f>AVERAGE(LUCK!E41,LUCK!F41)</f>
        <v>132953.32500000001</v>
      </c>
      <c r="I421" s="165">
        <f t="shared" si="18"/>
        <v>0.10323783929435384</v>
      </c>
      <c r="J421" s="165">
        <v>0.10323783929435384</v>
      </c>
      <c r="K421" s="169">
        <f t="shared" si="19"/>
        <v>0</v>
      </c>
      <c r="L421" s="165">
        <v>0.1018</v>
      </c>
      <c r="M421" s="151">
        <v>4</v>
      </c>
      <c r="N421" s="151" t="str">
        <f t="shared" si="20"/>
        <v>No fit</v>
      </c>
      <c r="O421" s="174" t="s">
        <v>6724</v>
      </c>
      <c r="P421" s="174" t="s">
        <v>6051</v>
      </c>
    </row>
    <row r="422" spans="1:16" ht="64.05" customHeight="1" x14ac:dyDescent="0.3">
      <c r="A422" s="154" t="s">
        <v>6742</v>
      </c>
      <c r="B422" s="154" t="s">
        <v>5875</v>
      </c>
      <c r="C422" s="154" t="s">
        <v>68</v>
      </c>
      <c r="D422" s="154">
        <v>2023</v>
      </c>
      <c r="E422" s="154" t="s">
        <v>53</v>
      </c>
      <c r="F422" s="173" t="s">
        <v>5867</v>
      </c>
      <c r="G422" s="166">
        <f>'Forensic Inputs'!$G$8</f>
        <v>13983.656000000001</v>
      </c>
      <c r="H422" s="166">
        <f>LUCK!F41</f>
        <v>137366.326</v>
      </c>
      <c r="I422" s="164">
        <f t="shared" si="18"/>
        <v>0.10179828206222827</v>
      </c>
      <c r="J422" s="164">
        <v>0.10179828206222827</v>
      </c>
      <c r="K422" s="168">
        <f t="shared" si="19"/>
        <v>0</v>
      </c>
      <c r="L422" s="164">
        <v>0.1018</v>
      </c>
      <c r="M422" s="154">
        <v>4</v>
      </c>
      <c r="N422" s="154" t="str">
        <f t="shared" si="20"/>
        <v>Numeric fit</v>
      </c>
      <c r="O422" s="173" t="s">
        <v>6743</v>
      </c>
      <c r="P422" s="173" t="s">
        <v>6051</v>
      </c>
    </row>
    <row r="423" spans="1:16" ht="64.05" customHeight="1" x14ac:dyDescent="0.3">
      <c r="A423" s="151" t="s">
        <v>6744</v>
      </c>
      <c r="B423" s="151" t="s">
        <v>5875</v>
      </c>
      <c r="C423" s="151" t="s">
        <v>68</v>
      </c>
      <c r="D423" s="151">
        <v>2023</v>
      </c>
      <c r="E423" s="151" t="s">
        <v>53</v>
      </c>
      <c r="F423" s="174" t="s">
        <v>6728</v>
      </c>
      <c r="G423" s="167">
        <f>'Forensic Inputs'!$G$8</f>
        <v>13983.656000000001</v>
      </c>
      <c r="H423" s="167">
        <f>AVERAGE(LUCK!E41,LUCK!F41)</f>
        <v>132953.32500000001</v>
      </c>
      <c r="I423" s="165">
        <f t="shared" si="18"/>
        <v>0.1051771815409656</v>
      </c>
      <c r="J423" s="165">
        <v>0.1051771815409656</v>
      </c>
      <c r="K423" s="169">
        <f t="shared" si="19"/>
        <v>0</v>
      </c>
      <c r="L423" s="165">
        <v>0.1018</v>
      </c>
      <c r="M423" s="151">
        <v>4</v>
      </c>
      <c r="N423" s="151" t="str">
        <f t="shared" si="20"/>
        <v>No fit</v>
      </c>
      <c r="O423" s="174" t="s">
        <v>6745</v>
      </c>
      <c r="P423" s="174" t="s">
        <v>6051</v>
      </c>
    </row>
    <row r="424" spans="1:16" ht="64.05" customHeight="1" x14ac:dyDescent="0.3">
      <c r="A424" s="154" t="s">
        <v>6746</v>
      </c>
      <c r="B424" s="154" t="s">
        <v>5875</v>
      </c>
      <c r="C424" s="154" t="s">
        <v>68</v>
      </c>
      <c r="D424" s="154">
        <v>2023</v>
      </c>
      <c r="E424" s="154" t="s">
        <v>53</v>
      </c>
      <c r="F424" s="173" t="s">
        <v>6731</v>
      </c>
      <c r="G424" s="166">
        <f>LUCK!F99</f>
        <v>13725.813999999998</v>
      </c>
      <c r="H424" s="166">
        <f>LUCK!F40</f>
        <v>134247.94</v>
      </c>
      <c r="I424" s="164">
        <f t="shared" si="18"/>
        <v>0.10224226904338345</v>
      </c>
      <c r="J424" s="164">
        <v>0.10224226904338345</v>
      </c>
      <c r="K424" s="168">
        <f t="shared" si="19"/>
        <v>0</v>
      </c>
      <c r="L424" s="164">
        <v>0.1018</v>
      </c>
      <c r="M424" s="154">
        <v>4</v>
      </c>
      <c r="N424" s="154" t="str">
        <f t="shared" si="20"/>
        <v>No fit</v>
      </c>
      <c r="O424" s="173" t="s">
        <v>6732</v>
      </c>
      <c r="P424" s="173" t="s">
        <v>6051</v>
      </c>
    </row>
    <row r="425" spans="1:16" ht="64.05" customHeight="1" x14ac:dyDescent="0.3">
      <c r="A425" s="151" t="s">
        <v>6747</v>
      </c>
      <c r="B425" s="151" t="s">
        <v>5878</v>
      </c>
      <c r="C425" s="151" t="s">
        <v>68</v>
      </c>
      <c r="D425" s="151">
        <v>2024</v>
      </c>
      <c r="E425" s="151" t="s">
        <v>53</v>
      </c>
      <c r="F425" s="174" t="s">
        <v>5893</v>
      </c>
      <c r="G425" s="167">
        <f>LUCK!G99</f>
        <v>28106.539000000004</v>
      </c>
      <c r="H425" s="167">
        <f>AVERAGE(LUCK!F41,LUCK!G41)</f>
        <v>142563.8015</v>
      </c>
      <c r="I425" s="165">
        <f t="shared" si="18"/>
        <v>0.19715059997190104</v>
      </c>
      <c r="J425" s="165">
        <v>0.19715059997190099</v>
      </c>
      <c r="K425" s="169">
        <f t="shared" si="19"/>
        <v>0</v>
      </c>
      <c r="L425" s="165">
        <v>0.1893</v>
      </c>
      <c r="M425" s="151">
        <v>4</v>
      </c>
      <c r="N425" s="151" t="str">
        <f t="shared" si="20"/>
        <v>No fit</v>
      </c>
      <c r="O425" s="174" t="s">
        <v>6050</v>
      </c>
      <c r="P425" s="174" t="s">
        <v>6051</v>
      </c>
    </row>
    <row r="426" spans="1:16" ht="64.05" customHeight="1" x14ac:dyDescent="0.3">
      <c r="A426" s="154" t="s">
        <v>6748</v>
      </c>
      <c r="B426" s="154" t="s">
        <v>5878</v>
      </c>
      <c r="C426" s="154" t="s">
        <v>68</v>
      </c>
      <c r="D426" s="154">
        <v>2024</v>
      </c>
      <c r="E426" s="154" t="s">
        <v>53</v>
      </c>
      <c r="F426" s="173" t="s">
        <v>54</v>
      </c>
      <c r="G426" s="166">
        <f>LUCK!G99</f>
        <v>28106.539000000004</v>
      </c>
      <c r="H426" s="166">
        <f>LUCK!G41</f>
        <v>147761.277</v>
      </c>
      <c r="I426" s="164">
        <f t="shared" si="18"/>
        <v>0.19021586420101122</v>
      </c>
      <c r="J426" s="164">
        <v>0.19021586420101119</v>
      </c>
      <c r="K426" s="168">
        <f t="shared" si="19"/>
        <v>0</v>
      </c>
      <c r="L426" s="164">
        <v>0.1893</v>
      </c>
      <c r="M426" s="154">
        <v>4</v>
      </c>
      <c r="N426" s="154" t="str">
        <f t="shared" si="20"/>
        <v>No fit</v>
      </c>
      <c r="O426" s="173" t="s">
        <v>6722</v>
      </c>
      <c r="P426" s="173" t="s">
        <v>6051</v>
      </c>
    </row>
    <row r="427" spans="1:16" ht="64.05" customHeight="1" x14ac:dyDescent="0.3">
      <c r="A427" s="151" t="s">
        <v>6749</v>
      </c>
      <c r="B427" s="151" t="s">
        <v>5878</v>
      </c>
      <c r="C427" s="151" t="s">
        <v>68</v>
      </c>
      <c r="D427" s="151">
        <v>2024</v>
      </c>
      <c r="E427" s="151" t="s">
        <v>53</v>
      </c>
      <c r="F427" s="174" t="s">
        <v>102</v>
      </c>
      <c r="G427" s="167">
        <f>LUCK!G99</f>
        <v>28106.539000000004</v>
      </c>
      <c r="H427" s="167">
        <f>AVERAGE(LUCK!F41,LUCK!G41)</f>
        <v>142563.8015</v>
      </c>
      <c r="I427" s="165">
        <f t="shared" si="18"/>
        <v>0.19715059997190104</v>
      </c>
      <c r="J427" s="165">
        <v>0.19715059997190099</v>
      </c>
      <c r="K427" s="169">
        <f t="shared" si="19"/>
        <v>0</v>
      </c>
      <c r="L427" s="165">
        <v>0.1893</v>
      </c>
      <c r="M427" s="151">
        <v>4</v>
      </c>
      <c r="N427" s="151" t="str">
        <f t="shared" si="20"/>
        <v>No fit</v>
      </c>
      <c r="O427" s="174" t="s">
        <v>6724</v>
      </c>
      <c r="P427" s="174" t="s">
        <v>6051</v>
      </c>
    </row>
    <row r="428" spans="1:16" ht="64.05" customHeight="1" x14ac:dyDescent="0.3">
      <c r="A428" s="154" t="s">
        <v>6750</v>
      </c>
      <c r="B428" s="154" t="s">
        <v>5878</v>
      </c>
      <c r="C428" s="154" t="s">
        <v>68</v>
      </c>
      <c r="D428" s="154">
        <v>2024</v>
      </c>
      <c r="E428" s="154" t="s">
        <v>53</v>
      </c>
      <c r="F428" s="173" t="s">
        <v>5867</v>
      </c>
      <c r="G428" s="166">
        <f>'Forensic Inputs'!$G$9</f>
        <v>27971.737000000001</v>
      </c>
      <c r="H428" s="166">
        <f>LUCK!G41</f>
        <v>147761.277</v>
      </c>
      <c r="I428" s="164">
        <f t="shared" si="18"/>
        <v>0.18930356834964279</v>
      </c>
      <c r="J428" s="164">
        <v>0.18930356834964279</v>
      </c>
      <c r="K428" s="168">
        <f t="shared" si="19"/>
        <v>0</v>
      </c>
      <c r="L428" s="164">
        <v>0.1893</v>
      </c>
      <c r="M428" s="154">
        <v>4</v>
      </c>
      <c r="N428" s="154" t="str">
        <f t="shared" si="20"/>
        <v>Numeric fit</v>
      </c>
      <c r="O428" s="173" t="s">
        <v>6751</v>
      </c>
      <c r="P428" s="173" t="s">
        <v>6051</v>
      </c>
    </row>
    <row r="429" spans="1:16" ht="64.05" customHeight="1" x14ac:dyDescent="0.3">
      <c r="A429" s="151" t="s">
        <v>6752</v>
      </c>
      <c r="B429" s="151" t="s">
        <v>5878</v>
      </c>
      <c r="C429" s="151" t="s">
        <v>68</v>
      </c>
      <c r="D429" s="151">
        <v>2024</v>
      </c>
      <c r="E429" s="151" t="s">
        <v>53</v>
      </c>
      <c r="F429" s="174" t="s">
        <v>6728</v>
      </c>
      <c r="G429" s="167">
        <f>'Forensic Inputs'!$G$9</f>
        <v>27971.737000000001</v>
      </c>
      <c r="H429" s="167">
        <f>AVERAGE(LUCK!F41,LUCK!G41)</f>
        <v>142563.8015</v>
      </c>
      <c r="I429" s="165">
        <f t="shared" si="18"/>
        <v>0.19620504437797276</v>
      </c>
      <c r="J429" s="165">
        <v>0.19620504437797276</v>
      </c>
      <c r="K429" s="169">
        <f t="shared" si="19"/>
        <v>0</v>
      </c>
      <c r="L429" s="165">
        <v>0.1893</v>
      </c>
      <c r="M429" s="151">
        <v>4</v>
      </c>
      <c r="N429" s="151" t="str">
        <f t="shared" si="20"/>
        <v>No fit</v>
      </c>
      <c r="O429" s="174" t="s">
        <v>6753</v>
      </c>
      <c r="P429" s="174" t="s">
        <v>6051</v>
      </c>
    </row>
    <row r="430" spans="1:16" ht="64.05" customHeight="1" x14ac:dyDescent="0.3">
      <c r="A430" s="154" t="s">
        <v>6754</v>
      </c>
      <c r="B430" s="154" t="s">
        <v>5878</v>
      </c>
      <c r="C430" s="154" t="s">
        <v>68</v>
      </c>
      <c r="D430" s="154">
        <v>2024</v>
      </c>
      <c r="E430" s="154" t="s">
        <v>53</v>
      </c>
      <c r="F430" s="173" t="s">
        <v>6731</v>
      </c>
      <c r="G430" s="166">
        <f>LUCK!G99</f>
        <v>28106.539000000004</v>
      </c>
      <c r="H430" s="166">
        <f>LUCK!G40</f>
        <v>144831.277</v>
      </c>
      <c r="I430" s="164">
        <f t="shared" si="18"/>
        <v>0.19406401422532513</v>
      </c>
      <c r="J430" s="164">
        <v>0.19406401422532507</v>
      </c>
      <c r="K430" s="168">
        <f t="shared" si="19"/>
        <v>0</v>
      </c>
      <c r="L430" s="164">
        <v>0.1893</v>
      </c>
      <c r="M430" s="154">
        <v>4</v>
      </c>
      <c r="N430" s="154" t="str">
        <f t="shared" si="20"/>
        <v>No fit</v>
      </c>
      <c r="O430" s="173" t="s">
        <v>6732</v>
      </c>
      <c r="P430" s="173" t="s">
        <v>6051</v>
      </c>
    </row>
    <row r="431" spans="1:16" ht="64.05" customHeight="1" x14ac:dyDescent="0.3">
      <c r="A431" s="151" t="s">
        <v>6755</v>
      </c>
      <c r="B431" s="151" t="s">
        <v>5882</v>
      </c>
      <c r="C431" s="151" t="s">
        <v>68</v>
      </c>
      <c r="D431" s="151">
        <v>2025</v>
      </c>
      <c r="E431" s="151" t="s">
        <v>53</v>
      </c>
      <c r="F431" s="174" t="s">
        <v>5893</v>
      </c>
      <c r="G431" s="167">
        <f>LUCK!H99</f>
        <v>33092.162000000004</v>
      </c>
      <c r="H431" s="167">
        <f>AVERAGE(LUCK!G41,LUCK!H41)</f>
        <v>161835.83850000001</v>
      </c>
      <c r="I431" s="165">
        <f t="shared" si="18"/>
        <v>0.2044798130421526</v>
      </c>
      <c r="J431" s="165">
        <v>0.20447981304215265</v>
      </c>
      <c r="K431" s="169">
        <f t="shared" si="19"/>
        <v>0</v>
      </c>
      <c r="L431" s="165">
        <v>0.185</v>
      </c>
      <c r="M431" s="151">
        <v>4</v>
      </c>
      <c r="N431" s="151" t="str">
        <f t="shared" si="20"/>
        <v>No fit</v>
      </c>
      <c r="O431" s="174" t="s">
        <v>6050</v>
      </c>
      <c r="P431" s="174" t="s">
        <v>6051</v>
      </c>
    </row>
    <row r="432" spans="1:16" ht="64.05" customHeight="1" x14ac:dyDescent="0.3">
      <c r="A432" s="154" t="s">
        <v>6756</v>
      </c>
      <c r="B432" s="154" t="s">
        <v>5882</v>
      </c>
      <c r="C432" s="154" t="s">
        <v>68</v>
      </c>
      <c r="D432" s="154">
        <v>2025</v>
      </c>
      <c r="E432" s="154" t="s">
        <v>53</v>
      </c>
      <c r="F432" s="173" t="s">
        <v>54</v>
      </c>
      <c r="G432" s="166">
        <f>LUCK!H99</f>
        <v>33092.162000000004</v>
      </c>
      <c r="H432" s="166">
        <f>LUCK!H41</f>
        <v>175910.39999999999</v>
      </c>
      <c r="I432" s="164">
        <f t="shared" si="18"/>
        <v>0.18811941761260281</v>
      </c>
      <c r="J432" s="164">
        <v>0.18811941761260284</v>
      </c>
      <c r="K432" s="168">
        <f t="shared" si="19"/>
        <v>0</v>
      </c>
      <c r="L432" s="164">
        <v>0.185</v>
      </c>
      <c r="M432" s="154">
        <v>4</v>
      </c>
      <c r="N432" s="154" t="str">
        <f t="shared" si="20"/>
        <v>No fit</v>
      </c>
      <c r="O432" s="173" t="s">
        <v>6722</v>
      </c>
      <c r="P432" s="173" t="s">
        <v>6051</v>
      </c>
    </row>
    <row r="433" spans="1:16" ht="64.05" customHeight="1" x14ac:dyDescent="0.3">
      <c r="A433" s="151" t="s">
        <v>6757</v>
      </c>
      <c r="B433" s="151" t="s">
        <v>5882</v>
      </c>
      <c r="C433" s="151" t="s">
        <v>68</v>
      </c>
      <c r="D433" s="151">
        <v>2025</v>
      </c>
      <c r="E433" s="151" t="s">
        <v>53</v>
      </c>
      <c r="F433" s="174" t="s">
        <v>102</v>
      </c>
      <c r="G433" s="167">
        <f>LUCK!H99</f>
        <v>33092.162000000004</v>
      </c>
      <c r="H433" s="167">
        <f>AVERAGE(LUCK!G41,LUCK!H41)</f>
        <v>161835.83850000001</v>
      </c>
      <c r="I433" s="165">
        <f t="shared" si="18"/>
        <v>0.2044798130421526</v>
      </c>
      <c r="J433" s="165">
        <v>0.20447981304215265</v>
      </c>
      <c r="K433" s="169">
        <f t="shared" si="19"/>
        <v>0</v>
      </c>
      <c r="L433" s="165">
        <v>0.185</v>
      </c>
      <c r="M433" s="151">
        <v>4</v>
      </c>
      <c r="N433" s="151" t="str">
        <f t="shared" si="20"/>
        <v>No fit</v>
      </c>
      <c r="O433" s="174" t="s">
        <v>6724</v>
      </c>
      <c r="P433" s="174" t="s">
        <v>6051</v>
      </c>
    </row>
    <row r="434" spans="1:16" ht="64.05" customHeight="1" x14ac:dyDescent="0.3">
      <c r="A434" s="154" t="s">
        <v>6758</v>
      </c>
      <c r="B434" s="154" t="s">
        <v>5882</v>
      </c>
      <c r="C434" s="154" t="s">
        <v>68</v>
      </c>
      <c r="D434" s="154">
        <v>2025</v>
      </c>
      <c r="E434" s="154" t="s">
        <v>53</v>
      </c>
      <c r="F434" s="173" t="s">
        <v>5867</v>
      </c>
      <c r="G434" s="166">
        <f>'Forensic Inputs'!$G$10</f>
        <v>32544.123</v>
      </c>
      <c r="H434" s="166">
        <f>LUCK!H41</f>
        <v>175910.39999999999</v>
      </c>
      <c r="I434" s="164">
        <f t="shared" si="18"/>
        <v>0.18500397361383977</v>
      </c>
      <c r="J434" s="164">
        <v>0.18500397361383977</v>
      </c>
      <c r="K434" s="168">
        <f t="shared" si="19"/>
        <v>0</v>
      </c>
      <c r="L434" s="164">
        <v>0.185</v>
      </c>
      <c r="M434" s="154">
        <v>4</v>
      </c>
      <c r="N434" s="154" t="str">
        <f t="shared" si="20"/>
        <v>Numeric fit</v>
      </c>
      <c r="O434" s="173" t="s">
        <v>6751</v>
      </c>
      <c r="P434" s="173" t="s">
        <v>6051</v>
      </c>
    </row>
    <row r="435" spans="1:16" ht="64.05" customHeight="1" x14ac:dyDescent="0.3">
      <c r="A435" s="151" t="s">
        <v>6759</v>
      </c>
      <c r="B435" s="151" t="s">
        <v>5882</v>
      </c>
      <c r="C435" s="151" t="s">
        <v>68</v>
      </c>
      <c r="D435" s="151">
        <v>2025</v>
      </c>
      <c r="E435" s="151" t="s">
        <v>53</v>
      </c>
      <c r="F435" s="174" t="s">
        <v>6728</v>
      </c>
      <c r="G435" s="167">
        <f>'Forensic Inputs'!$G$10</f>
        <v>32544.123</v>
      </c>
      <c r="H435" s="167">
        <f>AVERAGE(LUCK!G41,LUCK!H41)</f>
        <v>161835.83850000001</v>
      </c>
      <c r="I435" s="165">
        <f t="shared" si="18"/>
        <v>0.20109342468046715</v>
      </c>
      <c r="J435" s="165">
        <v>0.20109342468046715</v>
      </c>
      <c r="K435" s="169">
        <f t="shared" si="19"/>
        <v>0</v>
      </c>
      <c r="L435" s="165">
        <v>0.185</v>
      </c>
      <c r="M435" s="151">
        <v>4</v>
      </c>
      <c r="N435" s="151" t="str">
        <f t="shared" si="20"/>
        <v>No fit</v>
      </c>
      <c r="O435" s="174" t="s">
        <v>6753</v>
      </c>
      <c r="P435" s="174" t="s">
        <v>6051</v>
      </c>
    </row>
    <row r="436" spans="1:16" ht="64.05" customHeight="1" x14ac:dyDescent="0.3">
      <c r="A436" s="154" t="s">
        <v>6760</v>
      </c>
      <c r="B436" s="154" t="s">
        <v>5882</v>
      </c>
      <c r="C436" s="154" t="s">
        <v>68</v>
      </c>
      <c r="D436" s="154">
        <v>2025</v>
      </c>
      <c r="E436" s="154" t="s">
        <v>53</v>
      </c>
      <c r="F436" s="173" t="s">
        <v>6731</v>
      </c>
      <c r="G436" s="166">
        <f>LUCK!H99</f>
        <v>33092.162000000004</v>
      </c>
      <c r="H436" s="166">
        <f>LUCK!H40</f>
        <v>172980.4</v>
      </c>
      <c r="I436" s="164">
        <f t="shared" si="18"/>
        <v>0.19130584736767867</v>
      </c>
      <c r="J436" s="164">
        <v>0.19130584736767872</v>
      </c>
      <c r="K436" s="168">
        <f t="shared" si="19"/>
        <v>0</v>
      </c>
      <c r="L436" s="164">
        <v>0.185</v>
      </c>
      <c r="M436" s="154">
        <v>4</v>
      </c>
      <c r="N436" s="154" t="str">
        <f t="shared" si="20"/>
        <v>No fit</v>
      </c>
      <c r="O436" s="173" t="s">
        <v>6732</v>
      </c>
      <c r="P436" s="173" t="s">
        <v>6051</v>
      </c>
    </row>
    <row r="437" spans="1:16" ht="64.05" customHeight="1" x14ac:dyDescent="0.3">
      <c r="A437" s="151" t="s">
        <v>6761</v>
      </c>
      <c r="B437" s="151" t="s">
        <v>5885</v>
      </c>
      <c r="C437" s="151" t="s">
        <v>68</v>
      </c>
      <c r="D437" s="151">
        <v>2023</v>
      </c>
      <c r="E437" s="151" t="s">
        <v>124</v>
      </c>
      <c r="F437" s="174" t="s">
        <v>5893</v>
      </c>
      <c r="G437" s="167">
        <f>LUCK!F131</f>
        <v>18</v>
      </c>
      <c r="H437" s="167">
        <f>LUCK!F99/LUCK!F129</f>
        <v>43.061512349842658</v>
      </c>
      <c r="I437" s="165">
        <f t="shared" si="18"/>
        <v>0.41800668433944982</v>
      </c>
      <c r="J437" s="165">
        <v>0.41800668433944982</v>
      </c>
      <c r="K437" s="169">
        <f t="shared" si="19"/>
        <v>0</v>
      </c>
      <c r="L437" s="165">
        <v>0.42409999999999998</v>
      </c>
      <c r="M437" s="151">
        <v>4</v>
      </c>
      <c r="N437" s="151" t="str">
        <f t="shared" si="20"/>
        <v>No fit</v>
      </c>
      <c r="O437" s="174" t="s">
        <v>6050</v>
      </c>
      <c r="P437" s="174" t="s">
        <v>6051</v>
      </c>
    </row>
    <row r="438" spans="1:16" ht="64.05" customHeight="1" x14ac:dyDescent="0.3">
      <c r="A438" s="154" t="s">
        <v>6762</v>
      </c>
      <c r="B438" s="154" t="s">
        <v>5885</v>
      </c>
      <c r="C438" s="154" t="s">
        <v>68</v>
      </c>
      <c r="D438" s="154">
        <v>2023</v>
      </c>
      <c r="E438" s="154" t="s">
        <v>124</v>
      </c>
      <c r="F438" s="173" t="s">
        <v>6763</v>
      </c>
      <c r="G438" s="166">
        <f>LUCK!F131</f>
        <v>18</v>
      </c>
      <c r="H438" s="166">
        <f>(LUCK!F99/LUCK!F129)</f>
        <v>43.061512349842658</v>
      </c>
      <c r="I438" s="164">
        <f t="shared" si="18"/>
        <v>0.41800668433944982</v>
      </c>
      <c r="J438" s="164">
        <v>0.41800668433944982</v>
      </c>
      <c r="K438" s="168">
        <f t="shared" si="19"/>
        <v>0</v>
      </c>
      <c r="L438" s="164">
        <v>0.42409999999999998</v>
      </c>
      <c r="M438" s="154">
        <v>4</v>
      </c>
      <c r="N438" s="154" t="str">
        <f t="shared" si="20"/>
        <v>No fit</v>
      </c>
      <c r="O438" s="173" t="s">
        <v>6764</v>
      </c>
      <c r="P438" s="173" t="s">
        <v>6051</v>
      </c>
    </row>
    <row r="439" spans="1:16" ht="64.05" customHeight="1" x14ac:dyDescent="0.3">
      <c r="A439" s="151" t="s">
        <v>6765</v>
      </c>
      <c r="B439" s="151" t="s">
        <v>5885</v>
      </c>
      <c r="C439" s="151" t="s">
        <v>68</v>
      </c>
      <c r="D439" s="151">
        <v>2023</v>
      </c>
      <c r="E439" s="151" t="s">
        <v>124</v>
      </c>
      <c r="F439" s="174" t="s">
        <v>6766</v>
      </c>
      <c r="G439" s="167">
        <f>LUCK!F131</f>
        <v>18</v>
      </c>
      <c r="H439" s="167">
        <f>ROUND((LUCK!F99/LUCK!F129),2)</f>
        <v>43.06</v>
      </c>
      <c r="I439" s="165">
        <f t="shared" si="18"/>
        <v>0.41802136553646074</v>
      </c>
      <c r="J439" s="165">
        <v>0.41802136553646074</v>
      </c>
      <c r="K439" s="169">
        <f t="shared" si="19"/>
        <v>0</v>
      </c>
      <c r="L439" s="165">
        <v>0.42409999999999998</v>
      </c>
      <c r="M439" s="151">
        <v>4</v>
      </c>
      <c r="N439" s="151" t="str">
        <f t="shared" si="20"/>
        <v>No fit</v>
      </c>
      <c r="O439" s="174" t="s">
        <v>6764</v>
      </c>
      <c r="P439" s="174" t="s">
        <v>6051</v>
      </c>
    </row>
    <row r="440" spans="1:16" ht="64.05" customHeight="1" x14ac:dyDescent="0.3">
      <c r="A440" s="154" t="s">
        <v>6767</v>
      </c>
      <c r="B440" s="154" t="s">
        <v>5885</v>
      </c>
      <c r="C440" s="154" t="s">
        <v>68</v>
      </c>
      <c r="D440" s="154">
        <v>2023</v>
      </c>
      <c r="E440" s="154" t="s">
        <v>124</v>
      </c>
      <c r="F440" s="173" t="s">
        <v>5888</v>
      </c>
      <c r="G440" s="166">
        <f>LUCK!F131</f>
        <v>18</v>
      </c>
      <c r="H440" s="166">
        <f>(LUCK!F99/(LUCK!E39/LUCK!E127))</f>
        <v>42.445501352918434</v>
      </c>
      <c r="I440" s="164">
        <f t="shared" si="18"/>
        <v>0.42407320979287644</v>
      </c>
      <c r="J440" s="164">
        <v>0.42407320979287644</v>
      </c>
      <c r="K440" s="168">
        <f t="shared" si="19"/>
        <v>0</v>
      </c>
      <c r="L440" s="164">
        <v>0.42409999999999998</v>
      </c>
      <c r="M440" s="154">
        <v>4</v>
      </c>
      <c r="N440" s="154" t="str">
        <f t="shared" si="20"/>
        <v>Numeric fit</v>
      </c>
      <c r="O440" s="173" t="s">
        <v>6768</v>
      </c>
      <c r="P440" s="173" t="s">
        <v>6051</v>
      </c>
    </row>
    <row r="441" spans="1:16" ht="64.05" customHeight="1" x14ac:dyDescent="0.3">
      <c r="A441" s="151" t="s">
        <v>6769</v>
      </c>
      <c r="B441" s="151" t="s">
        <v>5885</v>
      </c>
      <c r="C441" s="151" t="s">
        <v>68</v>
      </c>
      <c r="D441" s="151">
        <v>2023</v>
      </c>
      <c r="E441" s="151" t="s">
        <v>124</v>
      </c>
      <c r="F441" s="174" t="s">
        <v>6770</v>
      </c>
      <c r="G441" s="167">
        <f>(LUCK!F131/5)</f>
        <v>3.6</v>
      </c>
      <c r="H441" s="167">
        <f>8.49</f>
        <v>8.49</v>
      </c>
      <c r="I441" s="165">
        <f t="shared" si="18"/>
        <v>0.42402826855123676</v>
      </c>
      <c r="J441" s="165">
        <v>0.42402826855123676</v>
      </c>
      <c r="K441" s="169">
        <f t="shared" si="19"/>
        <v>0</v>
      </c>
      <c r="L441" s="165">
        <v>0.42409999999999998</v>
      </c>
      <c r="M441" s="151">
        <v>4</v>
      </c>
      <c r="N441" s="151" t="str">
        <f t="shared" si="20"/>
        <v>No fit</v>
      </c>
      <c r="O441" s="174" t="s">
        <v>6771</v>
      </c>
      <c r="P441" s="174" t="s">
        <v>6051</v>
      </c>
    </row>
    <row r="442" spans="1:16" ht="64.05" customHeight="1" x14ac:dyDescent="0.3">
      <c r="A442" s="154" t="s">
        <v>6772</v>
      </c>
      <c r="B442" s="154" t="s">
        <v>5885</v>
      </c>
      <c r="C442" s="154" t="s">
        <v>68</v>
      </c>
      <c r="D442" s="154">
        <v>2023</v>
      </c>
      <c r="E442" s="154" t="s">
        <v>124</v>
      </c>
      <c r="F442" s="173" t="s">
        <v>6773</v>
      </c>
      <c r="G442" s="166">
        <f>ROUNDUP((LUCK!F131/(LUCK!F99/(LUCK!E39/LUCK!E127))),4)</f>
        <v>0.42409999999999998</v>
      </c>
      <c r="H442" s="166">
        <f>1</f>
        <v>1</v>
      </c>
      <c r="I442" s="164">
        <f t="shared" si="18"/>
        <v>0.42409999999999998</v>
      </c>
      <c r="J442" s="164">
        <v>0.42409999999999998</v>
      </c>
      <c r="K442" s="168">
        <f t="shared" si="19"/>
        <v>0</v>
      </c>
      <c r="L442" s="164">
        <v>0.42409999999999998</v>
      </c>
      <c r="M442" s="154">
        <v>4</v>
      </c>
      <c r="N442" s="154" t="str">
        <f t="shared" si="20"/>
        <v>Numeric fit</v>
      </c>
      <c r="O442" s="173" t="s">
        <v>6774</v>
      </c>
      <c r="P442" s="173" t="s">
        <v>6775</v>
      </c>
    </row>
    <row r="443" spans="1:16" ht="64.05" customHeight="1" x14ac:dyDescent="0.3">
      <c r="A443" s="151" t="s">
        <v>6776</v>
      </c>
      <c r="B443" s="151" t="s">
        <v>5892</v>
      </c>
      <c r="C443" s="151" t="s">
        <v>68</v>
      </c>
      <c r="D443" s="151">
        <v>2024</v>
      </c>
      <c r="E443" s="151" t="s">
        <v>124</v>
      </c>
      <c r="F443" s="174" t="s">
        <v>5893</v>
      </c>
      <c r="G443" s="167">
        <f>LUCK!G131</f>
        <v>15</v>
      </c>
      <c r="H443" s="167">
        <f>LUCK!G99/LUCK!G129</f>
        <v>94.540589177116431</v>
      </c>
      <c r="I443" s="165">
        <f t="shared" si="18"/>
        <v>0.15866201100035829</v>
      </c>
      <c r="J443" s="165">
        <v>0.15866201100035832</v>
      </c>
      <c r="K443" s="169">
        <f t="shared" si="19"/>
        <v>0</v>
      </c>
      <c r="L443" s="165">
        <v>0.15870000000000001</v>
      </c>
      <c r="M443" s="151">
        <v>4</v>
      </c>
      <c r="N443" s="151" t="str">
        <f t="shared" si="20"/>
        <v>Numeric fit</v>
      </c>
      <c r="O443" s="174" t="s">
        <v>6050</v>
      </c>
      <c r="P443" s="174" t="s">
        <v>6051</v>
      </c>
    </row>
    <row r="444" spans="1:16" ht="64.05" customHeight="1" x14ac:dyDescent="0.3">
      <c r="A444" s="154" t="s">
        <v>6777</v>
      </c>
      <c r="B444" s="154" t="s">
        <v>5892</v>
      </c>
      <c r="C444" s="154" t="s">
        <v>68</v>
      </c>
      <c r="D444" s="154">
        <v>2024</v>
      </c>
      <c r="E444" s="154" t="s">
        <v>124</v>
      </c>
      <c r="F444" s="173" t="s">
        <v>6763</v>
      </c>
      <c r="G444" s="166">
        <f>LUCK!G131</f>
        <v>15</v>
      </c>
      <c r="H444" s="166">
        <f>(LUCK!G99/LUCK!G129)</f>
        <v>94.540589177116431</v>
      </c>
      <c r="I444" s="164">
        <f t="shared" si="18"/>
        <v>0.15866201100035829</v>
      </c>
      <c r="J444" s="164">
        <v>0.15866201100035832</v>
      </c>
      <c r="K444" s="168">
        <f t="shared" si="19"/>
        <v>0</v>
      </c>
      <c r="L444" s="164">
        <v>0.15870000000000001</v>
      </c>
      <c r="M444" s="154">
        <v>4</v>
      </c>
      <c r="N444" s="154" t="str">
        <f t="shared" si="20"/>
        <v>Numeric fit</v>
      </c>
      <c r="O444" s="173" t="s">
        <v>6764</v>
      </c>
      <c r="P444" s="173" t="s">
        <v>6051</v>
      </c>
    </row>
    <row r="445" spans="1:16" ht="64.05" customHeight="1" x14ac:dyDescent="0.3">
      <c r="A445" s="151" t="s">
        <v>6778</v>
      </c>
      <c r="B445" s="151" t="s">
        <v>5892</v>
      </c>
      <c r="C445" s="151" t="s">
        <v>68</v>
      </c>
      <c r="D445" s="151">
        <v>2024</v>
      </c>
      <c r="E445" s="151" t="s">
        <v>124</v>
      </c>
      <c r="F445" s="174" t="s">
        <v>6766</v>
      </c>
      <c r="G445" s="167">
        <f>LUCK!G131</f>
        <v>15</v>
      </c>
      <c r="H445" s="167">
        <f>ROUND((LUCK!G99/LUCK!G129),2)</f>
        <v>94.54</v>
      </c>
      <c r="I445" s="165">
        <f t="shared" si="18"/>
        <v>0.15866299978844933</v>
      </c>
      <c r="J445" s="165">
        <v>0.15866299978844933</v>
      </c>
      <c r="K445" s="169">
        <f t="shared" si="19"/>
        <v>0</v>
      </c>
      <c r="L445" s="165">
        <v>0.15870000000000001</v>
      </c>
      <c r="M445" s="151">
        <v>4</v>
      </c>
      <c r="N445" s="151" t="str">
        <f t="shared" si="20"/>
        <v>Numeric fit</v>
      </c>
      <c r="O445" s="174" t="s">
        <v>6764</v>
      </c>
      <c r="P445" s="174" t="s">
        <v>6051</v>
      </c>
    </row>
    <row r="446" spans="1:16" ht="64.05" customHeight="1" x14ac:dyDescent="0.3">
      <c r="A446" s="154" t="s">
        <v>6779</v>
      </c>
      <c r="B446" s="154" t="s">
        <v>5897</v>
      </c>
      <c r="C446" s="154" t="s">
        <v>86</v>
      </c>
      <c r="D446" s="154">
        <v>2021</v>
      </c>
      <c r="E446" s="154" t="s">
        <v>145</v>
      </c>
      <c r="F446" s="173" t="s">
        <v>5893</v>
      </c>
      <c r="G446" s="166">
        <f>DGKC!D34</f>
        <v>806.37300000000005</v>
      </c>
      <c r="H446" s="166">
        <f>DGKC!D61</f>
        <v>40295.519999999997</v>
      </c>
      <c r="I446" s="164">
        <f t="shared" si="18"/>
        <v>2.0011480184397672E-2</v>
      </c>
      <c r="J446" s="164">
        <v>2.0011480184397672E-2</v>
      </c>
      <c r="K446" s="168">
        <f t="shared" si="19"/>
        <v>0</v>
      </c>
      <c r="L446" s="164">
        <v>0.33</v>
      </c>
      <c r="M446" s="154">
        <v>2</v>
      </c>
      <c r="N446" s="154" t="str">
        <f t="shared" si="20"/>
        <v>No fit</v>
      </c>
      <c r="O446" s="173" t="s">
        <v>6050</v>
      </c>
      <c r="P446" s="173" t="s">
        <v>6051</v>
      </c>
    </row>
    <row r="447" spans="1:16" ht="64.05" customHeight="1" x14ac:dyDescent="0.3">
      <c r="A447" s="151" t="s">
        <v>6780</v>
      </c>
      <c r="B447" s="151" t="s">
        <v>5897</v>
      </c>
      <c r="C447" s="151" t="s">
        <v>86</v>
      </c>
      <c r="D447" s="151">
        <v>2021</v>
      </c>
      <c r="E447" s="151" t="s">
        <v>145</v>
      </c>
      <c r="F447" s="174" t="s">
        <v>5900</v>
      </c>
      <c r="G447" s="167">
        <f>(DGKC!D34+DGKC!D33)</f>
        <v>13753.159</v>
      </c>
      <c r="H447" s="167">
        <f>DGKC!D61</f>
        <v>40295.519999999997</v>
      </c>
      <c r="I447" s="165">
        <f t="shared" si="18"/>
        <v>0.34130739595865744</v>
      </c>
      <c r="J447" s="165">
        <v>0.34130739595865744</v>
      </c>
      <c r="K447" s="169">
        <f t="shared" si="19"/>
        <v>0</v>
      </c>
      <c r="L447" s="165">
        <v>0.33</v>
      </c>
      <c r="M447" s="151">
        <v>2</v>
      </c>
      <c r="N447" s="151" t="str">
        <f t="shared" si="20"/>
        <v>No fit</v>
      </c>
      <c r="O447" s="174" t="s">
        <v>6781</v>
      </c>
      <c r="P447" s="174" t="s">
        <v>6051</v>
      </c>
    </row>
    <row r="448" spans="1:16" ht="64.05" customHeight="1" x14ac:dyDescent="0.3">
      <c r="A448" s="154" t="s">
        <v>6782</v>
      </c>
      <c r="B448" s="154" t="s">
        <v>5897</v>
      </c>
      <c r="C448" s="154" t="s">
        <v>86</v>
      </c>
      <c r="D448" s="154">
        <v>2021</v>
      </c>
      <c r="E448" s="154" t="s">
        <v>145</v>
      </c>
      <c r="F448" s="173" t="s">
        <v>6783</v>
      </c>
      <c r="G448" s="166">
        <f>(DGKC!D34+DGKC!D33)</f>
        <v>13753.159</v>
      </c>
      <c r="H448" s="166">
        <f>AVERAGE(DGKC!C61,DGKC!D61)</f>
        <v>38959.888500000001</v>
      </c>
      <c r="I448" s="164">
        <f t="shared" si="18"/>
        <v>0.35300817146845787</v>
      </c>
      <c r="J448" s="164">
        <v>0.35300817146845787</v>
      </c>
      <c r="K448" s="168">
        <f t="shared" si="19"/>
        <v>0</v>
      </c>
      <c r="L448" s="164">
        <v>0.33</v>
      </c>
      <c r="M448" s="154">
        <v>2</v>
      </c>
      <c r="N448" s="154" t="str">
        <f t="shared" si="20"/>
        <v>No fit</v>
      </c>
      <c r="O448" s="173" t="s">
        <v>6784</v>
      </c>
      <c r="P448" s="173" t="s">
        <v>6051</v>
      </c>
    </row>
    <row r="449" spans="1:16" ht="64.05" customHeight="1" x14ac:dyDescent="0.3">
      <c r="A449" s="151" t="s">
        <v>6785</v>
      </c>
      <c r="B449" s="151" t="s">
        <v>5897</v>
      </c>
      <c r="C449" s="151" t="s">
        <v>86</v>
      </c>
      <c r="D449" s="151">
        <v>2021</v>
      </c>
      <c r="E449" s="151" t="s">
        <v>145</v>
      </c>
      <c r="F449" s="174" t="s">
        <v>6786</v>
      </c>
      <c r="G449" s="167">
        <f>AVERAGE((DGKC!C34+DGKC!C33),(DGKC!D34+DGKC!D33))</f>
        <v>13613.690500000001</v>
      </c>
      <c r="H449" s="167">
        <f>DGKC!D61</f>
        <v>40295.519999999997</v>
      </c>
      <c r="I449" s="165">
        <f t="shared" si="18"/>
        <v>0.33784625437269455</v>
      </c>
      <c r="J449" s="165">
        <v>0.33784625437269455</v>
      </c>
      <c r="K449" s="169">
        <f t="shared" si="19"/>
        <v>0</v>
      </c>
      <c r="L449" s="165">
        <v>0.33</v>
      </c>
      <c r="M449" s="151">
        <v>2</v>
      </c>
      <c r="N449" s="151" t="str">
        <f t="shared" si="20"/>
        <v>No fit</v>
      </c>
      <c r="O449" s="174" t="s">
        <v>6787</v>
      </c>
      <c r="P449" s="174" t="s">
        <v>6051</v>
      </c>
    </row>
    <row r="450" spans="1:16" ht="64.05" customHeight="1" x14ac:dyDescent="0.3">
      <c r="A450" s="154" t="s">
        <v>6788</v>
      </c>
      <c r="B450" s="154" t="s">
        <v>5897</v>
      </c>
      <c r="C450" s="154" t="s">
        <v>86</v>
      </c>
      <c r="D450" s="154">
        <v>2021</v>
      </c>
      <c r="E450" s="154" t="s">
        <v>145</v>
      </c>
      <c r="F450" s="173" t="s">
        <v>6789</v>
      </c>
      <c r="G450" s="166">
        <f>DGKC!D33</f>
        <v>12946.786</v>
      </c>
      <c r="H450" s="166">
        <f>DGKC!D61</f>
        <v>40295.519999999997</v>
      </c>
      <c r="I450" s="164">
        <f t="shared" si="18"/>
        <v>0.32129591577425981</v>
      </c>
      <c r="J450" s="164">
        <v>0.32129591577425981</v>
      </c>
      <c r="K450" s="168">
        <f t="shared" si="19"/>
        <v>0</v>
      </c>
      <c r="L450" s="164">
        <v>0.33</v>
      </c>
      <c r="M450" s="154">
        <v>2</v>
      </c>
      <c r="N450" s="154" t="str">
        <f t="shared" si="20"/>
        <v>No fit</v>
      </c>
      <c r="O450" s="173" t="s">
        <v>6790</v>
      </c>
      <c r="P450" s="173" t="s">
        <v>6051</v>
      </c>
    </row>
    <row r="451" spans="1:16" ht="64.05" customHeight="1" x14ac:dyDescent="0.3">
      <c r="A451" s="151" t="s">
        <v>6791</v>
      </c>
      <c r="B451" s="151" t="s">
        <v>5905</v>
      </c>
      <c r="C451" s="151" t="s">
        <v>86</v>
      </c>
      <c r="D451" s="151">
        <v>2021</v>
      </c>
      <c r="E451" s="151" t="s">
        <v>150</v>
      </c>
      <c r="F451" s="174" t="s">
        <v>5893</v>
      </c>
      <c r="G451" s="167">
        <f>365*AVERAGE(DGKC!C65,DGKC!D65)/(-DGKC!D85)+365*AVERAGE(DGKC!C32,DGKC!D32)/DGKC!D84-365*AVERAGE(DGKC!C51,DGKC!D51)/(-DGKC!D85)</f>
        <v>97.327557952605858</v>
      </c>
      <c r="H451" s="167">
        <f>1</f>
        <v>1</v>
      </c>
      <c r="I451" s="165">
        <f t="shared" si="18"/>
        <v>97.327557952605858</v>
      </c>
      <c r="J451" s="165">
        <v>97.327557952605858</v>
      </c>
      <c r="K451" s="169">
        <f t="shared" si="19"/>
        <v>0</v>
      </c>
      <c r="L451" s="165">
        <v>30</v>
      </c>
      <c r="M451" s="151">
        <v>0</v>
      </c>
      <c r="N451" s="151" t="str">
        <f t="shared" si="20"/>
        <v>No fit</v>
      </c>
      <c r="O451" s="174" t="s">
        <v>6050</v>
      </c>
      <c r="P451" s="174" t="s">
        <v>6051</v>
      </c>
    </row>
    <row r="452" spans="1:16" ht="64.05" customHeight="1" x14ac:dyDescent="0.3">
      <c r="A452" s="154" t="s">
        <v>6792</v>
      </c>
      <c r="B452" s="154" t="s">
        <v>5905</v>
      </c>
      <c r="C452" s="154" t="s">
        <v>86</v>
      </c>
      <c r="D452" s="154">
        <v>2021</v>
      </c>
      <c r="E452" s="154" t="s">
        <v>150</v>
      </c>
      <c r="F452" s="173" t="s">
        <v>6793</v>
      </c>
      <c r="G452" s="166">
        <f>((((365*DGKC!D65)/(DGKC!D85*-1))+((365*DGKC!D32)/DGKC!D84))-138)</f>
        <v>29.385114958836198</v>
      </c>
      <c r="H452" s="166">
        <f>1</f>
        <v>1</v>
      </c>
      <c r="I452" s="164">
        <f t="shared" si="18"/>
        <v>29.385114958836198</v>
      </c>
      <c r="J452" s="164">
        <v>29.385114958836198</v>
      </c>
      <c r="K452" s="168">
        <f t="shared" si="19"/>
        <v>0</v>
      </c>
      <c r="L452" s="164">
        <v>30</v>
      </c>
      <c r="M452" s="154">
        <v>0</v>
      </c>
      <c r="N452" s="154" t="str">
        <f t="shared" si="20"/>
        <v>No fit</v>
      </c>
      <c r="O452" s="173" t="s">
        <v>6794</v>
      </c>
      <c r="P452" s="173" t="s">
        <v>6051</v>
      </c>
    </row>
    <row r="453" spans="1:16" ht="64.05" customHeight="1" x14ac:dyDescent="0.3">
      <c r="A453" s="151" t="s">
        <v>6795</v>
      </c>
      <c r="B453" s="151" t="s">
        <v>5905</v>
      </c>
      <c r="C453" s="151" t="s">
        <v>86</v>
      </c>
      <c r="D453" s="151">
        <v>2021</v>
      </c>
      <c r="E453" s="151" t="s">
        <v>150</v>
      </c>
      <c r="F453" s="174" t="s">
        <v>5908</v>
      </c>
      <c r="G453" s="167">
        <f>30</f>
        <v>30</v>
      </c>
      <c r="H453" s="167">
        <f>1</f>
        <v>1</v>
      </c>
      <c r="I453" s="165">
        <f t="shared" si="18"/>
        <v>30</v>
      </c>
      <c r="J453" s="165">
        <v>30</v>
      </c>
      <c r="K453" s="169">
        <f t="shared" si="19"/>
        <v>0</v>
      </c>
      <c r="L453" s="165">
        <v>30</v>
      </c>
      <c r="M453" s="151">
        <v>0</v>
      </c>
      <c r="N453" s="151" t="str">
        <f t="shared" si="20"/>
        <v>Numeric fit</v>
      </c>
      <c r="O453" s="174" t="s">
        <v>6796</v>
      </c>
      <c r="P453" s="174" t="s">
        <v>6797</v>
      </c>
    </row>
    <row r="454" spans="1:16" ht="64.05" customHeight="1" x14ac:dyDescent="0.3">
      <c r="A454" s="154" t="s">
        <v>6798</v>
      </c>
      <c r="B454" s="154" t="s">
        <v>5913</v>
      </c>
      <c r="C454" s="154" t="s">
        <v>86</v>
      </c>
      <c r="D454" s="154">
        <v>2022</v>
      </c>
      <c r="E454" s="154" t="s">
        <v>150</v>
      </c>
      <c r="F454" s="173" t="s">
        <v>5893</v>
      </c>
      <c r="G454" s="166">
        <f>365*AVERAGE(DGKC!D65,DGKC!E65)/(-DGKC!E85)+365*AVERAGE(DGKC!D32,DGKC!E32)/DGKC!E84-365*AVERAGE(DGKC!D51,DGKC!E51)/(-DGKC!E85)</f>
        <v>113.97054065366662</v>
      </c>
      <c r="H454" s="166">
        <f>1</f>
        <v>1</v>
      </c>
      <c r="I454" s="164">
        <f t="shared" ref="I454:I517" si="21">G454/H454</f>
        <v>113.97054065366662</v>
      </c>
      <c r="J454" s="164">
        <v>113.97054065366662</v>
      </c>
      <c r="K454" s="168">
        <f t="shared" ref="K454:K517" si="22">I454-J454</f>
        <v>0</v>
      </c>
      <c r="L454" s="164">
        <v>92</v>
      </c>
      <c r="M454" s="154">
        <v>0</v>
      </c>
      <c r="N454" s="154" t="str">
        <f t="shared" ref="N454:N517" si="23">IF(ROUND(I454,M454)=ROUND(L454,M454),"Numeric fit","No fit")</f>
        <v>No fit</v>
      </c>
      <c r="O454" s="173" t="s">
        <v>6050</v>
      </c>
      <c r="P454" s="173" t="s">
        <v>6051</v>
      </c>
    </row>
    <row r="455" spans="1:16" ht="64.05" customHeight="1" x14ac:dyDescent="0.3">
      <c r="A455" s="151" t="s">
        <v>6799</v>
      </c>
      <c r="B455" s="151" t="s">
        <v>5913</v>
      </c>
      <c r="C455" s="151" t="s">
        <v>86</v>
      </c>
      <c r="D455" s="151">
        <v>2022</v>
      </c>
      <c r="E455" s="151" t="s">
        <v>150</v>
      </c>
      <c r="F455" s="174" t="s">
        <v>6793</v>
      </c>
      <c r="G455" s="167">
        <f>((((365*DGKC!E65)/(DGKC!E85*-1))+((365*DGKC!E32)/DGKC!E84))-92)</f>
        <v>91.969983444837993</v>
      </c>
      <c r="H455" s="167">
        <f>1</f>
        <v>1</v>
      </c>
      <c r="I455" s="165">
        <f t="shared" si="21"/>
        <v>91.969983444837993</v>
      </c>
      <c r="J455" s="165">
        <v>91.969983444837993</v>
      </c>
      <c r="K455" s="169">
        <f t="shared" si="22"/>
        <v>0</v>
      </c>
      <c r="L455" s="165">
        <v>92</v>
      </c>
      <c r="M455" s="151">
        <v>0</v>
      </c>
      <c r="N455" s="151" t="str">
        <f t="shared" si="23"/>
        <v>Numeric fit</v>
      </c>
      <c r="O455" s="174" t="s">
        <v>6794</v>
      </c>
      <c r="P455" s="174" t="s">
        <v>6051</v>
      </c>
    </row>
    <row r="456" spans="1:16" ht="64.05" customHeight="1" x14ac:dyDescent="0.3">
      <c r="A456" s="154" t="s">
        <v>6800</v>
      </c>
      <c r="B456" s="154" t="s">
        <v>5913</v>
      </c>
      <c r="C456" s="154" t="s">
        <v>86</v>
      </c>
      <c r="D456" s="154">
        <v>2022</v>
      </c>
      <c r="E456" s="154" t="s">
        <v>150</v>
      </c>
      <c r="F456" s="173" t="s">
        <v>5908</v>
      </c>
      <c r="G456" s="166">
        <f>92</f>
        <v>92</v>
      </c>
      <c r="H456" s="166">
        <f>1</f>
        <v>1</v>
      </c>
      <c r="I456" s="164">
        <f t="shared" si="21"/>
        <v>92</v>
      </c>
      <c r="J456" s="164">
        <v>92</v>
      </c>
      <c r="K456" s="168">
        <f t="shared" si="22"/>
        <v>0</v>
      </c>
      <c r="L456" s="164">
        <v>92</v>
      </c>
      <c r="M456" s="154">
        <v>0</v>
      </c>
      <c r="N456" s="154" t="str">
        <f t="shared" si="23"/>
        <v>Numeric fit</v>
      </c>
      <c r="O456" s="173" t="s">
        <v>6796</v>
      </c>
      <c r="P456" s="173" t="s">
        <v>6797</v>
      </c>
    </row>
    <row r="457" spans="1:16" ht="64.05" customHeight="1" x14ac:dyDescent="0.3">
      <c r="A457" s="151" t="s">
        <v>6801</v>
      </c>
      <c r="B457" s="151" t="s">
        <v>5916</v>
      </c>
      <c r="C457" s="151" t="s">
        <v>86</v>
      </c>
      <c r="D457" s="151">
        <v>2024</v>
      </c>
      <c r="E457" s="151" t="s">
        <v>150</v>
      </c>
      <c r="F457" s="174" t="s">
        <v>5893</v>
      </c>
      <c r="G457" s="167">
        <f>365*AVERAGE(DGKC!F65,DGKC!G65)/(-DGKC!G85)+365*AVERAGE(DGKC!F32,DGKC!G32)/DGKC!G84-365*AVERAGE(DGKC!F51,DGKC!G51)/(-DGKC!G85)</f>
        <v>108.89985368796259</v>
      </c>
      <c r="H457" s="167">
        <f>1</f>
        <v>1</v>
      </c>
      <c r="I457" s="165">
        <f t="shared" si="21"/>
        <v>108.89985368796259</v>
      </c>
      <c r="J457" s="165">
        <v>108.89985368796259</v>
      </c>
      <c r="K457" s="169">
        <f t="shared" si="22"/>
        <v>0</v>
      </c>
      <c r="L457" s="165">
        <v>61</v>
      </c>
      <c r="M457" s="151">
        <v>0</v>
      </c>
      <c r="N457" s="151" t="str">
        <f t="shared" si="23"/>
        <v>No fit</v>
      </c>
      <c r="O457" s="174" t="s">
        <v>6050</v>
      </c>
      <c r="P457" s="174" t="s">
        <v>6051</v>
      </c>
    </row>
    <row r="458" spans="1:16" ht="64.05" customHeight="1" x14ac:dyDescent="0.3">
      <c r="A458" s="154" t="s">
        <v>6802</v>
      </c>
      <c r="B458" s="154" t="s">
        <v>5916</v>
      </c>
      <c r="C458" s="154" t="s">
        <v>86</v>
      </c>
      <c r="D458" s="154">
        <v>2024</v>
      </c>
      <c r="E458" s="154" t="s">
        <v>150</v>
      </c>
      <c r="F458" s="173" t="s">
        <v>6793</v>
      </c>
      <c r="G458" s="166">
        <f>((((365*DGKC!G65)/(DGKC!G85*-1))+((365*DGKC!G32)/DGKC!G84))-76)</f>
        <v>61.899075908312</v>
      </c>
      <c r="H458" s="166">
        <f>1</f>
        <v>1</v>
      </c>
      <c r="I458" s="164">
        <f t="shared" si="21"/>
        <v>61.899075908312</v>
      </c>
      <c r="J458" s="164">
        <v>61.899075908312</v>
      </c>
      <c r="K458" s="168">
        <f t="shared" si="22"/>
        <v>0</v>
      </c>
      <c r="L458" s="164">
        <v>61</v>
      </c>
      <c r="M458" s="154">
        <v>0</v>
      </c>
      <c r="N458" s="154" t="str">
        <f t="shared" si="23"/>
        <v>No fit</v>
      </c>
      <c r="O458" s="173" t="s">
        <v>6794</v>
      </c>
      <c r="P458" s="173" t="s">
        <v>6051</v>
      </c>
    </row>
    <row r="459" spans="1:16" ht="64.05" customHeight="1" x14ac:dyDescent="0.3">
      <c r="A459" s="151" t="s">
        <v>6803</v>
      </c>
      <c r="B459" s="151" t="s">
        <v>5916</v>
      </c>
      <c r="C459" s="151" t="s">
        <v>86</v>
      </c>
      <c r="D459" s="151">
        <v>2024</v>
      </c>
      <c r="E459" s="151" t="s">
        <v>150</v>
      </c>
      <c r="F459" s="174" t="s">
        <v>5908</v>
      </c>
      <c r="G459" s="167">
        <f>62</f>
        <v>62</v>
      </c>
      <c r="H459" s="167">
        <f>1</f>
        <v>1</v>
      </c>
      <c r="I459" s="165">
        <f t="shared" si="21"/>
        <v>62</v>
      </c>
      <c r="J459" s="165">
        <v>62</v>
      </c>
      <c r="K459" s="169">
        <f t="shared" si="22"/>
        <v>0</v>
      </c>
      <c r="L459" s="165">
        <v>61</v>
      </c>
      <c r="M459" s="151">
        <v>0</v>
      </c>
      <c r="N459" s="151" t="str">
        <f t="shared" si="23"/>
        <v>No fit</v>
      </c>
      <c r="O459" s="174" t="s">
        <v>6796</v>
      </c>
      <c r="P459" s="174" t="s">
        <v>6797</v>
      </c>
    </row>
    <row r="460" spans="1:16" ht="64.05" customHeight="1" x14ac:dyDescent="0.3">
      <c r="A460" s="154" t="s">
        <v>6804</v>
      </c>
      <c r="B460" s="154" t="s">
        <v>5919</v>
      </c>
      <c r="C460" s="154" t="s">
        <v>86</v>
      </c>
      <c r="D460" s="154">
        <v>2025</v>
      </c>
      <c r="E460" s="154" t="s">
        <v>150</v>
      </c>
      <c r="F460" s="173" t="s">
        <v>5893</v>
      </c>
      <c r="G460" s="166">
        <f>365*AVERAGE(DGKC!G65,DGKC!H65)/(-DGKC!H85)+365*AVERAGE(DGKC!G32,DGKC!H32)/DGKC!H84-365*AVERAGE(DGKC!G51,DGKC!H51)/(-DGKC!H85)</f>
        <v>114.67287204684449</v>
      </c>
      <c r="H460" s="166">
        <f>1</f>
        <v>1</v>
      </c>
      <c r="I460" s="164">
        <f t="shared" si="21"/>
        <v>114.67287204684449</v>
      </c>
      <c r="J460" s="164">
        <v>114.67287204684449</v>
      </c>
      <c r="K460" s="168">
        <f t="shared" si="22"/>
        <v>0</v>
      </c>
      <c r="L460" s="164">
        <v>64</v>
      </c>
      <c r="M460" s="154">
        <v>0</v>
      </c>
      <c r="N460" s="154" t="str">
        <f t="shared" si="23"/>
        <v>No fit</v>
      </c>
      <c r="O460" s="173" t="s">
        <v>6050</v>
      </c>
      <c r="P460" s="173" t="s">
        <v>6051</v>
      </c>
    </row>
    <row r="461" spans="1:16" ht="64.05" customHeight="1" x14ac:dyDescent="0.3">
      <c r="A461" s="151" t="s">
        <v>6805</v>
      </c>
      <c r="B461" s="151" t="s">
        <v>5919</v>
      </c>
      <c r="C461" s="151" t="s">
        <v>86</v>
      </c>
      <c r="D461" s="151">
        <v>2025</v>
      </c>
      <c r="E461" s="151" t="s">
        <v>150</v>
      </c>
      <c r="F461" s="174" t="s">
        <v>6793</v>
      </c>
      <c r="G461" s="167">
        <f>((((365*DGKC!H65)/(DGKC!H85*-1))+((365*DGKC!H32)/DGKC!H84))-83)</f>
        <v>64.704032439189717</v>
      </c>
      <c r="H461" s="167">
        <f>1</f>
        <v>1</v>
      </c>
      <c r="I461" s="165">
        <f t="shared" si="21"/>
        <v>64.704032439189717</v>
      </c>
      <c r="J461" s="165">
        <v>64.704032439189717</v>
      </c>
      <c r="K461" s="169">
        <f t="shared" si="22"/>
        <v>0</v>
      </c>
      <c r="L461" s="165">
        <v>64</v>
      </c>
      <c r="M461" s="151">
        <v>0</v>
      </c>
      <c r="N461" s="151" t="str">
        <f t="shared" si="23"/>
        <v>No fit</v>
      </c>
      <c r="O461" s="174" t="s">
        <v>6794</v>
      </c>
      <c r="P461" s="174" t="s">
        <v>6051</v>
      </c>
    </row>
    <row r="462" spans="1:16" ht="64.05" customHeight="1" x14ac:dyDescent="0.3">
      <c r="A462" s="154" t="s">
        <v>6806</v>
      </c>
      <c r="B462" s="154" t="s">
        <v>5919</v>
      </c>
      <c r="C462" s="154" t="s">
        <v>86</v>
      </c>
      <c r="D462" s="154">
        <v>2025</v>
      </c>
      <c r="E462" s="154" t="s">
        <v>150</v>
      </c>
      <c r="F462" s="173" t="s">
        <v>5908</v>
      </c>
      <c r="G462" s="166">
        <f>65</f>
        <v>65</v>
      </c>
      <c r="H462" s="166">
        <f>1</f>
        <v>1</v>
      </c>
      <c r="I462" s="164">
        <f t="shared" si="21"/>
        <v>65</v>
      </c>
      <c r="J462" s="164">
        <v>65</v>
      </c>
      <c r="K462" s="168">
        <f t="shared" si="22"/>
        <v>0</v>
      </c>
      <c r="L462" s="164">
        <v>64</v>
      </c>
      <c r="M462" s="154">
        <v>0</v>
      </c>
      <c r="N462" s="154" t="str">
        <f t="shared" si="23"/>
        <v>No fit</v>
      </c>
      <c r="O462" s="173" t="s">
        <v>6796</v>
      </c>
      <c r="P462" s="173" t="s">
        <v>6797</v>
      </c>
    </row>
    <row r="463" spans="1:16" ht="64.05" customHeight="1" x14ac:dyDescent="0.3">
      <c r="A463" s="151" t="s">
        <v>6807</v>
      </c>
      <c r="B463" s="151" t="s">
        <v>5922</v>
      </c>
      <c r="C463" s="151" t="s">
        <v>106</v>
      </c>
      <c r="D463" s="151">
        <v>2021</v>
      </c>
      <c r="E463" s="151" t="s">
        <v>31</v>
      </c>
      <c r="F463" s="174" t="s">
        <v>5893</v>
      </c>
      <c r="G463" s="167">
        <f>-MLCF!D85</f>
        <v>28135.419000000002</v>
      </c>
      <c r="H463" s="167">
        <f>AVERAGE(MLCF!C65,MLCF!D65)</f>
        <v>11031.957000000002</v>
      </c>
      <c r="I463" s="165">
        <f t="shared" si="21"/>
        <v>2.5503561154199565</v>
      </c>
      <c r="J463" s="165">
        <v>2.5503561154199565</v>
      </c>
      <c r="K463" s="169">
        <f t="shared" si="22"/>
        <v>0</v>
      </c>
      <c r="L463" s="165">
        <v>14.04</v>
      </c>
      <c r="M463" s="151">
        <v>2</v>
      </c>
      <c r="N463" s="151" t="str">
        <f t="shared" si="23"/>
        <v>No fit</v>
      </c>
      <c r="O463" s="174" t="s">
        <v>6050</v>
      </c>
      <c r="P463" s="174" t="s">
        <v>6051</v>
      </c>
    </row>
    <row r="464" spans="1:16" ht="64.05" customHeight="1" x14ac:dyDescent="0.3">
      <c r="A464" s="154" t="s">
        <v>6808</v>
      </c>
      <c r="B464" s="154" t="s">
        <v>5922</v>
      </c>
      <c r="C464" s="154" t="s">
        <v>106</v>
      </c>
      <c r="D464" s="154">
        <v>2021</v>
      </c>
      <c r="E464" s="154" t="s">
        <v>31</v>
      </c>
      <c r="F464" s="173" t="s">
        <v>6809</v>
      </c>
      <c r="G464" s="166">
        <f>(MLCF!D85*-1)</f>
        <v>28135.419000000002</v>
      </c>
      <c r="H464" s="166">
        <f>AVERAGE(MLCF!C31,MLCF!D31)</f>
        <v>1964.7935</v>
      </c>
      <c r="I464" s="164">
        <f t="shared" si="21"/>
        <v>14.319784241957235</v>
      </c>
      <c r="J464" s="164">
        <v>14.319784241957235</v>
      </c>
      <c r="K464" s="168">
        <f t="shared" si="22"/>
        <v>0</v>
      </c>
      <c r="L464" s="164">
        <v>14.04</v>
      </c>
      <c r="M464" s="154">
        <v>2</v>
      </c>
      <c r="N464" s="154" t="str">
        <f t="shared" si="23"/>
        <v>No fit</v>
      </c>
      <c r="O464" s="173" t="s">
        <v>6810</v>
      </c>
      <c r="P464" s="173" t="s">
        <v>6051</v>
      </c>
    </row>
    <row r="465" spans="1:16" ht="64.05" customHeight="1" x14ac:dyDescent="0.3">
      <c r="A465" s="151" t="s">
        <v>6811</v>
      </c>
      <c r="B465" s="151" t="s">
        <v>5922</v>
      </c>
      <c r="C465" s="151" t="s">
        <v>106</v>
      </c>
      <c r="D465" s="151">
        <v>2021</v>
      </c>
      <c r="E465" s="151" t="s">
        <v>31</v>
      </c>
      <c r="F465" s="174" t="s">
        <v>5925</v>
      </c>
      <c r="G465" s="167">
        <f>((MLCF!D85*-1)-'Forensic Inputs'!$G$11)</f>
        <v>27591.731000000003</v>
      </c>
      <c r="H465" s="167">
        <f>AVERAGE(MLCF!C31,MLCF!D31)</f>
        <v>1964.7935</v>
      </c>
      <c r="I465" s="165">
        <f t="shared" si="21"/>
        <v>14.043069157140435</v>
      </c>
      <c r="J465" s="165">
        <v>14.043069157140435</v>
      </c>
      <c r="K465" s="169">
        <f t="shared" si="22"/>
        <v>0</v>
      </c>
      <c r="L465" s="165">
        <v>14.04</v>
      </c>
      <c r="M465" s="151">
        <v>2</v>
      </c>
      <c r="N465" s="151" t="str">
        <f t="shared" si="23"/>
        <v>Numeric fit</v>
      </c>
      <c r="O465" s="174" t="s">
        <v>6812</v>
      </c>
      <c r="P465" s="174" t="s">
        <v>6051</v>
      </c>
    </row>
    <row r="466" spans="1:16" ht="64.05" customHeight="1" x14ac:dyDescent="0.3">
      <c r="A466" s="154" t="s">
        <v>6813</v>
      </c>
      <c r="B466" s="154" t="s">
        <v>5922</v>
      </c>
      <c r="C466" s="154" t="s">
        <v>106</v>
      </c>
      <c r="D466" s="154">
        <v>2021</v>
      </c>
      <c r="E466" s="154" t="s">
        <v>31</v>
      </c>
      <c r="F466" s="173" t="s">
        <v>6814</v>
      </c>
      <c r="G466" s="166">
        <f>((MLCF!D85*-1)-'Forensic Inputs'!$G$11)</f>
        <v>27591.731000000003</v>
      </c>
      <c r="H466" s="166">
        <f>MLCF!D31</f>
        <v>2150.183</v>
      </c>
      <c r="I466" s="164">
        <f t="shared" si="21"/>
        <v>12.832271020652662</v>
      </c>
      <c r="J466" s="164">
        <v>12.832271020652662</v>
      </c>
      <c r="K466" s="168">
        <f t="shared" si="22"/>
        <v>0</v>
      </c>
      <c r="L466" s="164">
        <v>14.04</v>
      </c>
      <c r="M466" s="154">
        <v>2</v>
      </c>
      <c r="N466" s="154" t="str">
        <f t="shared" si="23"/>
        <v>No fit</v>
      </c>
      <c r="O466" s="173" t="s">
        <v>6815</v>
      </c>
      <c r="P466" s="173" t="s">
        <v>6051</v>
      </c>
    </row>
    <row r="467" spans="1:16" ht="64.05" customHeight="1" x14ac:dyDescent="0.3">
      <c r="A467" s="151" t="s">
        <v>6816</v>
      </c>
      <c r="B467" s="151" t="s">
        <v>5928</v>
      </c>
      <c r="C467" s="151" t="s">
        <v>106</v>
      </c>
      <c r="D467" s="151">
        <v>2022</v>
      </c>
      <c r="E467" s="151" t="s">
        <v>31</v>
      </c>
      <c r="F467" s="174" t="s">
        <v>5893</v>
      </c>
      <c r="G467" s="167">
        <f>-MLCF!E85</f>
        <v>36244.156000000003</v>
      </c>
      <c r="H467" s="167">
        <f>AVERAGE(MLCF!D65,MLCF!E65)</f>
        <v>13719.063</v>
      </c>
      <c r="I467" s="165">
        <f t="shared" si="21"/>
        <v>2.6418827583195736</v>
      </c>
      <c r="J467" s="165">
        <v>2.6418827583195736</v>
      </c>
      <c r="K467" s="169">
        <f t="shared" si="22"/>
        <v>0</v>
      </c>
      <c r="L467" s="165">
        <v>14.67</v>
      </c>
      <c r="M467" s="151">
        <v>2</v>
      </c>
      <c r="N467" s="151" t="str">
        <f t="shared" si="23"/>
        <v>No fit</v>
      </c>
      <c r="O467" s="174" t="s">
        <v>6050</v>
      </c>
      <c r="P467" s="174" t="s">
        <v>6051</v>
      </c>
    </row>
    <row r="468" spans="1:16" ht="64.05" customHeight="1" x14ac:dyDescent="0.3">
      <c r="A468" s="154" t="s">
        <v>6817</v>
      </c>
      <c r="B468" s="154" t="s">
        <v>5928</v>
      </c>
      <c r="C468" s="154" t="s">
        <v>106</v>
      </c>
      <c r="D468" s="154">
        <v>2022</v>
      </c>
      <c r="E468" s="154" t="s">
        <v>31</v>
      </c>
      <c r="F468" s="173" t="s">
        <v>6809</v>
      </c>
      <c r="G468" s="166">
        <f>(MLCF!E85*-1)</f>
        <v>36244.156000000003</v>
      </c>
      <c r="H468" s="166">
        <f>AVERAGE(MLCF!D31,MLCF!E31)</f>
        <v>2422.902</v>
      </c>
      <c r="I468" s="164">
        <f t="shared" si="21"/>
        <v>14.958985547083621</v>
      </c>
      <c r="J468" s="164">
        <v>14.958985547083621</v>
      </c>
      <c r="K468" s="168">
        <f t="shared" si="22"/>
        <v>0</v>
      </c>
      <c r="L468" s="164">
        <v>14.67</v>
      </c>
      <c r="M468" s="154">
        <v>2</v>
      </c>
      <c r="N468" s="154" t="str">
        <f t="shared" si="23"/>
        <v>No fit</v>
      </c>
      <c r="O468" s="173" t="s">
        <v>6810</v>
      </c>
      <c r="P468" s="173" t="s">
        <v>6051</v>
      </c>
    </row>
    <row r="469" spans="1:16" ht="64.05" customHeight="1" x14ac:dyDescent="0.3">
      <c r="A469" s="151" t="s">
        <v>6818</v>
      </c>
      <c r="B469" s="151" t="s">
        <v>5928</v>
      </c>
      <c r="C469" s="151" t="s">
        <v>106</v>
      </c>
      <c r="D469" s="151">
        <v>2022</v>
      </c>
      <c r="E469" s="151" t="s">
        <v>31</v>
      </c>
      <c r="F469" s="174" t="s">
        <v>5925</v>
      </c>
      <c r="G469" s="167">
        <f>((MLCF!E85*-1)-'Forensic Inputs'!$G$12)</f>
        <v>35544.492000000006</v>
      </c>
      <c r="H469" s="167">
        <f>AVERAGE(MLCF!D31,MLCF!E31)</f>
        <v>2422.902</v>
      </c>
      <c r="I469" s="165">
        <f t="shared" si="21"/>
        <v>14.670214478340439</v>
      </c>
      <c r="J469" s="165">
        <v>14.670214478340439</v>
      </c>
      <c r="K469" s="169">
        <f t="shared" si="22"/>
        <v>0</v>
      </c>
      <c r="L469" s="165">
        <v>14.67</v>
      </c>
      <c r="M469" s="151">
        <v>2</v>
      </c>
      <c r="N469" s="151" t="str">
        <f t="shared" si="23"/>
        <v>Numeric fit</v>
      </c>
      <c r="O469" s="174" t="s">
        <v>6812</v>
      </c>
      <c r="P469" s="174" t="s">
        <v>6051</v>
      </c>
    </row>
    <row r="470" spans="1:16" ht="64.05" customHeight="1" x14ac:dyDescent="0.3">
      <c r="A470" s="154" t="s">
        <v>6819</v>
      </c>
      <c r="B470" s="154" t="s">
        <v>5928</v>
      </c>
      <c r="C470" s="154" t="s">
        <v>106</v>
      </c>
      <c r="D470" s="154">
        <v>2022</v>
      </c>
      <c r="E470" s="154" t="s">
        <v>31</v>
      </c>
      <c r="F470" s="173" t="s">
        <v>6814</v>
      </c>
      <c r="G470" s="166">
        <f>((MLCF!E85*-1)-'Forensic Inputs'!$G$12)</f>
        <v>35544.492000000006</v>
      </c>
      <c r="H470" s="166">
        <f>MLCF!E31</f>
        <v>2695.6210000000001</v>
      </c>
      <c r="I470" s="164">
        <f t="shared" si="21"/>
        <v>13.186012425337243</v>
      </c>
      <c r="J470" s="164">
        <v>13.186012425337243</v>
      </c>
      <c r="K470" s="168">
        <f t="shared" si="22"/>
        <v>0</v>
      </c>
      <c r="L470" s="164">
        <v>14.67</v>
      </c>
      <c r="M470" s="154">
        <v>2</v>
      </c>
      <c r="N470" s="154" t="str">
        <f t="shared" si="23"/>
        <v>No fit</v>
      </c>
      <c r="O470" s="173" t="s">
        <v>6815</v>
      </c>
      <c r="P470" s="173" t="s">
        <v>6051</v>
      </c>
    </row>
    <row r="471" spans="1:16" ht="64.05" customHeight="1" x14ac:dyDescent="0.3">
      <c r="A471" s="151" t="s">
        <v>6820</v>
      </c>
      <c r="B471" s="151" t="s">
        <v>5931</v>
      </c>
      <c r="C471" s="151" t="s">
        <v>106</v>
      </c>
      <c r="D471" s="151">
        <v>2021</v>
      </c>
      <c r="E471" s="151" t="s">
        <v>133</v>
      </c>
      <c r="F471" s="174" t="s">
        <v>5893</v>
      </c>
      <c r="G471" s="167">
        <f>-MLCF!D85</f>
        <v>28135.419000000002</v>
      </c>
      <c r="H471" s="167">
        <f>AVERAGE(MLCF!C51,MLCF!D51)</f>
        <v>3875.2875000000004</v>
      </c>
      <c r="I471" s="165">
        <f t="shared" si="21"/>
        <v>7.2602146292371854</v>
      </c>
      <c r="J471" s="165">
        <v>7.2602146292371854</v>
      </c>
      <c r="K471" s="169">
        <f t="shared" si="22"/>
        <v>0</v>
      </c>
      <c r="L471" s="165">
        <v>7.46</v>
      </c>
      <c r="M471" s="151">
        <v>2</v>
      </c>
      <c r="N471" s="151" t="str">
        <f t="shared" si="23"/>
        <v>No fit</v>
      </c>
      <c r="O471" s="174" t="s">
        <v>6050</v>
      </c>
      <c r="P471" s="174" t="s">
        <v>6051</v>
      </c>
    </row>
    <row r="472" spans="1:16" ht="64.05" customHeight="1" x14ac:dyDescent="0.3">
      <c r="A472" s="154" t="s">
        <v>6821</v>
      </c>
      <c r="B472" s="154" t="s">
        <v>5931</v>
      </c>
      <c r="C472" s="154" t="s">
        <v>106</v>
      </c>
      <c r="D472" s="154">
        <v>2021</v>
      </c>
      <c r="E472" s="154" t="s">
        <v>133</v>
      </c>
      <c r="F472" s="173" t="s">
        <v>6822</v>
      </c>
      <c r="G472" s="166">
        <f>(MLCF!D85*-1)</f>
        <v>28135.419000000002</v>
      </c>
      <c r="H472" s="166">
        <f>AVERAGE((MLCF!C51-MLCF!C253),(MLCF!D51-MLCF!D253))</f>
        <v>3701.0460000000003</v>
      </c>
      <c r="I472" s="164">
        <f t="shared" si="21"/>
        <v>7.6020181862100609</v>
      </c>
      <c r="J472" s="164">
        <v>7.6020181862100609</v>
      </c>
      <c r="K472" s="168">
        <f t="shared" si="22"/>
        <v>0</v>
      </c>
      <c r="L472" s="164">
        <v>7.46</v>
      </c>
      <c r="M472" s="154">
        <v>2</v>
      </c>
      <c r="N472" s="154" t="str">
        <f t="shared" si="23"/>
        <v>No fit</v>
      </c>
      <c r="O472" s="173" t="s">
        <v>6823</v>
      </c>
      <c r="P472" s="173" t="s">
        <v>6051</v>
      </c>
    </row>
    <row r="473" spans="1:16" ht="64.05" customHeight="1" x14ac:dyDescent="0.3">
      <c r="A473" s="151" t="s">
        <v>6824</v>
      </c>
      <c r="B473" s="151" t="s">
        <v>5931</v>
      </c>
      <c r="C473" s="151" t="s">
        <v>106</v>
      </c>
      <c r="D473" s="151">
        <v>2021</v>
      </c>
      <c r="E473" s="151" t="s">
        <v>133</v>
      </c>
      <c r="F473" s="174" t="s">
        <v>5934</v>
      </c>
      <c r="G473" s="167">
        <f>((MLCF!D85*-1)-'Forensic Inputs'!$G$11)</f>
        <v>27591.731000000003</v>
      </c>
      <c r="H473" s="167">
        <f>AVERAGE((MLCF!C51-MLCF!C253),(MLCF!D51-MLCF!D253))</f>
        <v>3701.0460000000003</v>
      </c>
      <c r="I473" s="165">
        <f t="shared" si="21"/>
        <v>7.4551170128660926</v>
      </c>
      <c r="J473" s="165">
        <v>7.4551170128660926</v>
      </c>
      <c r="K473" s="169">
        <f t="shared" si="22"/>
        <v>0</v>
      </c>
      <c r="L473" s="165">
        <v>7.46</v>
      </c>
      <c r="M473" s="151">
        <v>2</v>
      </c>
      <c r="N473" s="151" t="str">
        <f t="shared" si="23"/>
        <v>Numeric fit</v>
      </c>
      <c r="O473" s="174" t="s">
        <v>6825</v>
      </c>
      <c r="P473" s="174" t="s">
        <v>6051</v>
      </c>
    </row>
    <row r="474" spans="1:16" ht="64.05" customHeight="1" x14ac:dyDescent="0.3">
      <c r="A474" s="154" t="s">
        <v>6826</v>
      </c>
      <c r="B474" s="154" t="s">
        <v>5937</v>
      </c>
      <c r="C474" s="154" t="s">
        <v>106</v>
      </c>
      <c r="D474" s="154">
        <v>2022</v>
      </c>
      <c r="E474" s="154" t="s">
        <v>133</v>
      </c>
      <c r="F474" s="173" t="s">
        <v>5893</v>
      </c>
      <c r="G474" s="166">
        <f>-MLCF!E85</f>
        <v>36244.156000000003</v>
      </c>
      <c r="H474" s="166">
        <f>AVERAGE(MLCF!D51,MLCF!E51)</f>
        <v>3842.4695000000002</v>
      </c>
      <c r="I474" s="164">
        <f t="shared" si="21"/>
        <v>9.4325162502916413</v>
      </c>
      <c r="J474" s="164">
        <v>9.4325162502916413</v>
      </c>
      <c r="K474" s="168">
        <f t="shared" si="22"/>
        <v>0</v>
      </c>
      <c r="L474" s="164">
        <v>9.49</v>
      </c>
      <c r="M474" s="154">
        <v>2</v>
      </c>
      <c r="N474" s="154" t="str">
        <f t="shared" si="23"/>
        <v>No fit</v>
      </c>
      <c r="O474" s="173" t="s">
        <v>6050</v>
      </c>
      <c r="P474" s="173" t="s">
        <v>6051</v>
      </c>
    </row>
    <row r="475" spans="1:16" ht="64.05" customHeight="1" x14ac:dyDescent="0.3">
      <c r="A475" s="151" t="s">
        <v>6827</v>
      </c>
      <c r="B475" s="151" t="s">
        <v>5937</v>
      </c>
      <c r="C475" s="151" t="s">
        <v>106</v>
      </c>
      <c r="D475" s="151">
        <v>2022</v>
      </c>
      <c r="E475" s="151" t="s">
        <v>133</v>
      </c>
      <c r="F475" s="174" t="s">
        <v>6822</v>
      </c>
      <c r="G475" s="167">
        <f>(MLCF!E85*-1)</f>
        <v>36244.156000000003</v>
      </c>
      <c r="H475" s="167">
        <f>AVERAGE((MLCF!D51-MLCF!D253),(MLCF!E51-MLCF!E253))</f>
        <v>3745.56</v>
      </c>
      <c r="I475" s="165">
        <f t="shared" si="21"/>
        <v>9.6765653200055546</v>
      </c>
      <c r="J475" s="165">
        <v>9.6765653200055546</v>
      </c>
      <c r="K475" s="169">
        <f t="shared" si="22"/>
        <v>0</v>
      </c>
      <c r="L475" s="165">
        <v>9.49</v>
      </c>
      <c r="M475" s="151">
        <v>2</v>
      </c>
      <c r="N475" s="151" t="str">
        <f t="shared" si="23"/>
        <v>No fit</v>
      </c>
      <c r="O475" s="174" t="s">
        <v>6823</v>
      </c>
      <c r="P475" s="174" t="s">
        <v>6051</v>
      </c>
    </row>
    <row r="476" spans="1:16" ht="64.05" customHeight="1" x14ac:dyDescent="0.3">
      <c r="A476" s="154" t="s">
        <v>6828</v>
      </c>
      <c r="B476" s="154" t="s">
        <v>5937</v>
      </c>
      <c r="C476" s="154" t="s">
        <v>106</v>
      </c>
      <c r="D476" s="154">
        <v>2022</v>
      </c>
      <c r="E476" s="154" t="s">
        <v>133</v>
      </c>
      <c r="F476" s="173" t="s">
        <v>5934</v>
      </c>
      <c r="G476" s="166">
        <f>((MLCF!E85*-1)-'Forensic Inputs'!$G$12)</f>
        <v>35544.492000000006</v>
      </c>
      <c r="H476" s="166">
        <f>AVERAGE((MLCF!D51-MLCF!D253),(MLCF!E51-MLCF!E253))</f>
        <v>3745.56</v>
      </c>
      <c r="I476" s="164">
        <f t="shared" si="21"/>
        <v>9.4897670842277275</v>
      </c>
      <c r="J476" s="164">
        <v>9.4897670842277275</v>
      </c>
      <c r="K476" s="168">
        <f t="shared" si="22"/>
        <v>0</v>
      </c>
      <c r="L476" s="164">
        <v>9.49</v>
      </c>
      <c r="M476" s="154">
        <v>2</v>
      </c>
      <c r="N476" s="154" t="str">
        <f t="shared" si="23"/>
        <v>Numeric fit</v>
      </c>
      <c r="O476" s="173" t="s">
        <v>6825</v>
      </c>
      <c r="P476" s="173" t="s">
        <v>6051</v>
      </c>
    </row>
    <row r="477" spans="1:16" ht="64.05" customHeight="1" x14ac:dyDescent="0.3">
      <c r="A477" s="151" t="s">
        <v>6829</v>
      </c>
      <c r="B477" s="151" t="s">
        <v>5940</v>
      </c>
      <c r="C477" s="151" t="s">
        <v>106</v>
      </c>
      <c r="D477" s="151">
        <v>2021</v>
      </c>
      <c r="E477" s="151" t="s">
        <v>150</v>
      </c>
      <c r="F477" s="174" t="s">
        <v>5893</v>
      </c>
      <c r="G477" s="167">
        <f>365*AVERAGE(MLCF!C65,MLCF!D65)/(-MLCF!D85)+365*AVERAGE(MLCF!C32,MLCF!D32)/MLCF!D84-365*AVERAGE(MLCF!C51,MLCF!D51)/(-MLCF!D85)</f>
        <v>117.14268112684906</v>
      </c>
      <c r="H477" s="167">
        <f>1</f>
        <v>1</v>
      </c>
      <c r="I477" s="165">
        <f t="shared" si="21"/>
        <v>117.14268112684906</v>
      </c>
      <c r="J477" s="165">
        <v>117.14268112684906</v>
      </c>
      <c r="K477" s="169">
        <f t="shared" si="22"/>
        <v>0</v>
      </c>
      <c r="L477" s="165">
        <v>1.33</v>
      </c>
      <c r="M477" s="151">
        <v>2</v>
      </c>
      <c r="N477" s="151" t="str">
        <f t="shared" si="23"/>
        <v>No fit</v>
      </c>
      <c r="O477" s="174" t="s">
        <v>6050</v>
      </c>
      <c r="P477" s="174" t="s">
        <v>6051</v>
      </c>
    </row>
    <row r="478" spans="1:16" ht="64.05" customHeight="1" x14ac:dyDescent="0.3">
      <c r="A478" s="154" t="s">
        <v>6830</v>
      </c>
      <c r="B478" s="154" t="s">
        <v>5940</v>
      </c>
      <c r="C478" s="154" t="s">
        <v>106</v>
      </c>
      <c r="D478" s="154">
        <v>2021</v>
      </c>
      <c r="E478" s="154" t="s">
        <v>150</v>
      </c>
      <c r="F478" s="173" t="s">
        <v>5941</v>
      </c>
      <c r="G478" s="166">
        <f>((((365*AVERAGE(MLCF!C31,MLCF!D31))/((MLCF!D85*-1)-'Forensic Inputs'!$G$11))+((365*AVERAGE(MLCF!C32,MLCF!D32))/MLCF!D84))-((365*AVERAGE((MLCF!C51-MLCF!C253),(MLCF!D51-MLCF!D253)))/((MLCF!D85*-1)-'Forensic Inputs'!$G$11)))</f>
        <v>1.3312172875707091</v>
      </c>
      <c r="H478" s="166">
        <f>1</f>
        <v>1</v>
      </c>
      <c r="I478" s="164">
        <f t="shared" si="21"/>
        <v>1.3312172875707091</v>
      </c>
      <c r="J478" s="164">
        <v>1.3312172875707091</v>
      </c>
      <c r="K478" s="168">
        <f t="shared" si="22"/>
        <v>0</v>
      </c>
      <c r="L478" s="164">
        <v>1.33</v>
      </c>
      <c r="M478" s="154">
        <v>2</v>
      </c>
      <c r="N478" s="154" t="str">
        <f t="shared" si="23"/>
        <v>Numeric fit</v>
      </c>
      <c r="O478" s="173" t="s">
        <v>6831</v>
      </c>
      <c r="P478" s="173" t="s">
        <v>6051</v>
      </c>
    </row>
    <row r="479" spans="1:16" ht="64.05" customHeight="1" x14ac:dyDescent="0.3">
      <c r="A479" s="151" t="s">
        <v>6832</v>
      </c>
      <c r="B479" s="151" t="s">
        <v>5940</v>
      </c>
      <c r="C479" s="151" t="s">
        <v>106</v>
      </c>
      <c r="D479" s="151">
        <v>2021</v>
      </c>
      <c r="E479" s="151" t="s">
        <v>150</v>
      </c>
      <c r="F479" s="174" t="s">
        <v>6833</v>
      </c>
      <c r="G479" s="167">
        <f>((((365*AVERAGE(MLCF!C31,MLCF!D31))/((MLCF!D85*-1)-'Forensic Inputs'!$G$11))+((365*AVERAGE(MLCF!C32,MLCF!D32))/MLCF!D84))-((365*AVERAGE((MLCF!C51-MLCF!C253),(MLCF!D51-MLCF!D253)))/((MLCF!D85*-1)-'Forensic Inputs'!$G$11)))</f>
        <v>1.3312172875707091</v>
      </c>
      <c r="H479" s="167">
        <f>1</f>
        <v>1</v>
      </c>
      <c r="I479" s="165">
        <f t="shared" si="21"/>
        <v>1.3312172875707091</v>
      </c>
      <c r="J479" s="165">
        <v>1.3312172875707091</v>
      </c>
      <c r="K479" s="169">
        <f t="shared" si="22"/>
        <v>0</v>
      </c>
      <c r="L479" s="165">
        <v>1.33</v>
      </c>
      <c r="M479" s="151">
        <v>2</v>
      </c>
      <c r="N479" s="151" t="str">
        <f t="shared" si="23"/>
        <v>Numeric fit</v>
      </c>
      <c r="O479" s="174" t="s">
        <v>6831</v>
      </c>
      <c r="P479" s="174" t="s">
        <v>6051</v>
      </c>
    </row>
    <row r="480" spans="1:16" ht="64.05" customHeight="1" x14ac:dyDescent="0.3">
      <c r="A480" s="154" t="s">
        <v>6834</v>
      </c>
      <c r="B480" s="154" t="s">
        <v>5940</v>
      </c>
      <c r="C480" s="154" t="s">
        <v>106</v>
      </c>
      <c r="D480" s="154">
        <v>2021</v>
      </c>
      <c r="E480" s="154" t="s">
        <v>150</v>
      </c>
      <c r="F480" s="173" t="s">
        <v>6835</v>
      </c>
      <c r="G480" s="166">
        <f>((ROUND(((365*AVERAGE(MLCF!C31,MLCF!D31))/((MLCF!D85*-1)-'Forensic Inputs'!$G$11)),2)+ROUND(((365*AVERAGE(MLCF!C32,MLCF!D32))/MLCF!D84),2))-ROUND(((365*AVERAGE((MLCF!C51-MLCF!C253),(MLCF!D51-MLCF!D253)))/((MLCF!D85*-1)-'Forensic Inputs'!$G$11)),2))</f>
        <v>1.3299999999999983</v>
      </c>
      <c r="H480" s="166">
        <f>1</f>
        <v>1</v>
      </c>
      <c r="I480" s="164">
        <f t="shared" si="21"/>
        <v>1.3299999999999983</v>
      </c>
      <c r="J480" s="164">
        <v>1.3299999999999983</v>
      </c>
      <c r="K480" s="168">
        <f t="shared" si="22"/>
        <v>0</v>
      </c>
      <c r="L480" s="164">
        <v>1.33</v>
      </c>
      <c r="M480" s="154">
        <v>2</v>
      </c>
      <c r="N480" s="154" t="str">
        <f t="shared" si="23"/>
        <v>Numeric fit</v>
      </c>
      <c r="O480" s="173" t="s">
        <v>6831</v>
      </c>
      <c r="P480" s="173" t="s">
        <v>6051</v>
      </c>
    </row>
    <row r="481" spans="1:16" ht="64.05" customHeight="1" x14ac:dyDescent="0.3">
      <c r="A481" s="151" t="s">
        <v>6836</v>
      </c>
      <c r="B481" s="151" t="s">
        <v>5944</v>
      </c>
      <c r="C481" s="151" t="s">
        <v>106</v>
      </c>
      <c r="D481" s="151">
        <v>2022</v>
      </c>
      <c r="E481" s="151" t="s">
        <v>150</v>
      </c>
      <c r="F481" s="174" t="s">
        <v>5893</v>
      </c>
      <c r="G481" s="167">
        <f>365*AVERAGE(MLCF!D65,MLCF!E65)/(-MLCF!E85)+365*AVERAGE(MLCF!D32,MLCF!E32)/MLCF!E84-365*AVERAGE(MLCF!D51,MLCF!E51)/(-MLCF!E85)</f>
        <v>113.55287092262091</v>
      </c>
      <c r="H481" s="167">
        <f>1</f>
        <v>1</v>
      </c>
      <c r="I481" s="165">
        <f t="shared" si="21"/>
        <v>113.55287092262091</v>
      </c>
      <c r="J481" s="165">
        <v>113.55287092262091</v>
      </c>
      <c r="K481" s="169">
        <f t="shared" si="22"/>
        <v>0</v>
      </c>
      <c r="L481" s="165">
        <v>0.51</v>
      </c>
      <c r="M481" s="151">
        <v>2</v>
      </c>
      <c r="N481" s="151" t="str">
        <f t="shared" si="23"/>
        <v>No fit</v>
      </c>
      <c r="O481" s="174" t="s">
        <v>6050</v>
      </c>
      <c r="P481" s="174" t="s">
        <v>6051</v>
      </c>
    </row>
    <row r="482" spans="1:16" ht="64.05" customHeight="1" x14ac:dyDescent="0.3">
      <c r="A482" s="154" t="s">
        <v>6837</v>
      </c>
      <c r="B482" s="154" t="s">
        <v>5944</v>
      </c>
      <c r="C482" s="154" t="s">
        <v>106</v>
      </c>
      <c r="D482" s="154">
        <v>2022</v>
      </c>
      <c r="E482" s="154" t="s">
        <v>150</v>
      </c>
      <c r="F482" s="173" t="s">
        <v>5941</v>
      </c>
      <c r="G482" s="166">
        <f>((((365*AVERAGE(MLCF!D31,MLCF!E31))/((MLCF!E85*-1)-'Forensic Inputs'!$G$12))+((365*AVERAGE(MLCF!D32,MLCF!E32))/MLCF!E84))-((365*AVERAGE((MLCF!D51-MLCF!D253),(MLCF!E51-MLCF!E253)))/((MLCF!E85*-1)-'Forensic Inputs'!$G$12)))</f>
        <v>0.50761943435336576</v>
      </c>
      <c r="H482" s="166">
        <f>1</f>
        <v>1</v>
      </c>
      <c r="I482" s="164">
        <f t="shared" si="21"/>
        <v>0.50761943435336576</v>
      </c>
      <c r="J482" s="164">
        <v>0.50761943435336576</v>
      </c>
      <c r="K482" s="168">
        <f t="shared" si="22"/>
        <v>0</v>
      </c>
      <c r="L482" s="164">
        <v>0.51</v>
      </c>
      <c r="M482" s="154">
        <v>2</v>
      </c>
      <c r="N482" s="154" t="str">
        <f t="shared" si="23"/>
        <v>Numeric fit</v>
      </c>
      <c r="O482" s="173" t="s">
        <v>6831</v>
      </c>
      <c r="P482" s="173" t="s">
        <v>6051</v>
      </c>
    </row>
    <row r="483" spans="1:16" ht="64.05" customHeight="1" x14ac:dyDescent="0.3">
      <c r="A483" s="151" t="s">
        <v>6838</v>
      </c>
      <c r="B483" s="151" t="s">
        <v>5944</v>
      </c>
      <c r="C483" s="151" t="s">
        <v>106</v>
      </c>
      <c r="D483" s="151">
        <v>2022</v>
      </c>
      <c r="E483" s="151" t="s">
        <v>150</v>
      </c>
      <c r="F483" s="174" t="s">
        <v>6833</v>
      </c>
      <c r="G483" s="167">
        <f>((((365*AVERAGE(MLCF!D31,MLCF!E31))/((MLCF!E85*-1)-'Forensic Inputs'!$G$12))+((365*AVERAGE(MLCF!D32,MLCF!E32))/MLCF!E84))-((365*AVERAGE((MLCF!D51-MLCF!D253),(MLCF!E51-MLCF!E253)))/((MLCF!E85*-1)-'Forensic Inputs'!$G$12)))</f>
        <v>0.50761943435336576</v>
      </c>
      <c r="H483" s="167">
        <f>1</f>
        <v>1</v>
      </c>
      <c r="I483" s="165">
        <f t="shared" si="21"/>
        <v>0.50761943435336576</v>
      </c>
      <c r="J483" s="165">
        <v>0.50761943435336576</v>
      </c>
      <c r="K483" s="169">
        <f t="shared" si="22"/>
        <v>0</v>
      </c>
      <c r="L483" s="165">
        <v>0.51</v>
      </c>
      <c r="M483" s="151">
        <v>2</v>
      </c>
      <c r="N483" s="151" t="str">
        <f t="shared" si="23"/>
        <v>Numeric fit</v>
      </c>
      <c r="O483" s="174" t="s">
        <v>6831</v>
      </c>
      <c r="P483" s="174" t="s">
        <v>6051</v>
      </c>
    </row>
    <row r="484" spans="1:16" ht="64.05" customHeight="1" x14ac:dyDescent="0.3">
      <c r="A484" s="154" t="s">
        <v>6839</v>
      </c>
      <c r="B484" s="154" t="s">
        <v>5944</v>
      </c>
      <c r="C484" s="154" t="s">
        <v>106</v>
      </c>
      <c r="D484" s="154">
        <v>2022</v>
      </c>
      <c r="E484" s="154" t="s">
        <v>150</v>
      </c>
      <c r="F484" s="173" t="s">
        <v>6835</v>
      </c>
      <c r="G484" s="166">
        <f>((ROUND(((365*AVERAGE(MLCF!D31,MLCF!E31))/((MLCF!E85*-1)-'Forensic Inputs'!$G$12)),2)+ROUND(((365*AVERAGE(MLCF!D32,MLCF!E32))/MLCF!E84),2))-ROUND(((365*AVERAGE((MLCF!D51-MLCF!D253),(MLCF!E51-MLCF!E253)))/((MLCF!E85*-1)-'Forensic Inputs'!$G$12)),2))</f>
        <v>0.50999999999999801</v>
      </c>
      <c r="H484" s="166">
        <f>1</f>
        <v>1</v>
      </c>
      <c r="I484" s="164">
        <f t="shared" si="21"/>
        <v>0.50999999999999801</v>
      </c>
      <c r="J484" s="164">
        <v>0.50999999999999801</v>
      </c>
      <c r="K484" s="168">
        <f t="shared" si="22"/>
        <v>0</v>
      </c>
      <c r="L484" s="164">
        <v>0.51</v>
      </c>
      <c r="M484" s="154">
        <v>2</v>
      </c>
      <c r="N484" s="154" t="str">
        <f t="shared" si="23"/>
        <v>Numeric fit</v>
      </c>
      <c r="O484" s="173" t="s">
        <v>6831</v>
      </c>
      <c r="P484" s="173" t="s">
        <v>6051</v>
      </c>
    </row>
    <row r="485" spans="1:16" ht="64.05" customHeight="1" x14ac:dyDescent="0.3">
      <c r="A485" s="151" t="s">
        <v>6840</v>
      </c>
      <c r="B485" s="151" t="s">
        <v>5947</v>
      </c>
      <c r="C485" s="151" t="s">
        <v>106</v>
      </c>
      <c r="D485" s="151">
        <v>2024</v>
      </c>
      <c r="E485" s="151" t="s">
        <v>150</v>
      </c>
      <c r="F485" s="174" t="s">
        <v>5893</v>
      </c>
      <c r="G485" s="167">
        <f>365*AVERAGE(MLCF!F65,MLCF!G65)/(-MLCF!G85)+365*AVERAGE(MLCF!F32,MLCF!G32)/MLCF!G84-365*AVERAGE(MLCF!F51,MLCF!G51)/(-MLCF!G85)</f>
        <v>87.900585188319411</v>
      </c>
      <c r="H485" s="167">
        <f>1</f>
        <v>1</v>
      </c>
      <c r="I485" s="165">
        <f t="shared" si="21"/>
        <v>87.900585188319411</v>
      </c>
      <c r="J485" s="165">
        <v>87.900585188319425</v>
      </c>
      <c r="K485" s="169">
        <f t="shared" si="22"/>
        <v>0</v>
      </c>
      <c r="L485" s="165">
        <v>9.76</v>
      </c>
      <c r="M485" s="151">
        <v>2</v>
      </c>
      <c r="N485" s="151" t="str">
        <f t="shared" si="23"/>
        <v>No fit</v>
      </c>
      <c r="O485" s="174" t="s">
        <v>6050</v>
      </c>
      <c r="P485" s="174" t="s">
        <v>6051</v>
      </c>
    </row>
    <row r="486" spans="1:16" ht="64.05" customHeight="1" x14ac:dyDescent="0.3">
      <c r="A486" s="154" t="s">
        <v>6841</v>
      </c>
      <c r="B486" s="154" t="s">
        <v>5947</v>
      </c>
      <c r="C486" s="154" t="s">
        <v>106</v>
      </c>
      <c r="D486" s="154">
        <v>2024</v>
      </c>
      <c r="E486" s="154" t="s">
        <v>150</v>
      </c>
      <c r="F486" s="173" t="s">
        <v>5941</v>
      </c>
      <c r="G486" s="166">
        <f>((((366*AVERAGE(MLCF!F31,MLCF!G31))/(MLCF!G85*-1))+((366*AVERAGE(MLCF!F32,MLCF!G32))/MLCF!G84))-((365*AVERAGE((MLCF!F51-MLCF!F253),(MLCF!G51-MLCF!G253)))/(MLCF!G85*-1)))</f>
        <v>9.75571766304639</v>
      </c>
      <c r="H486" s="166">
        <f>1</f>
        <v>1</v>
      </c>
      <c r="I486" s="164">
        <f t="shared" si="21"/>
        <v>9.75571766304639</v>
      </c>
      <c r="J486" s="164">
        <v>9.75571766304639</v>
      </c>
      <c r="K486" s="168">
        <f t="shared" si="22"/>
        <v>0</v>
      </c>
      <c r="L486" s="164">
        <v>9.76</v>
      </c>
      <c r="M486" s="154">
        <v>2</v>
      </c>
      <c r="N486" s="154" t="str">
        <f t="shared" si="23"/>
        <v>Numeric fit</v>
      </c>
      <c r="O486" s="173" t="s">
        <v>6842</v>
      </c>
      <c r="P486" s="173" t="s">
        <v>6051</v>
      </c>
    </row>
    <row r="487" spans="1:16" ht="64.05" customHeight="1" x14ac:dyDescent="0.3">
      <c r="A487" s="151" t="s">
        <v>6843</v>
      </c>
      <c r="B487" s="151" t="s">
        <v>5947</v>
      </c>
      <c r="C487" s="151" t="s">
        <v>106</v>
      </c>
      <c r="D487" s="151">
        <v>2024</v>
      </c>
      <c r="E487" s="151" t="s">
        <v>150</v>
      </c>
      <c r="F487" s="174" t="s">
        <v>6833</v>
      </c>
      <c r="G487" s="167">
        <f>((((365*AVERAGE(MLCF!F31,MLCF!G31))/(MLCF!G85*-1))+((365*AVERAGE(MLCF!F32,MLCF!G32))/MLCF!G84))-((365*AVERAGE((MLCF!F51-MLCF!F253),(MLCF!G51-MLCF!G253)))/(MLCF!G85*-1)))</f>
        <v>9.6262455175873143</v>
      </c>
      <c r="H487" s="167">
        <f>1</f>
        <v>1</v>
      </c>
      <c r="I487" s="165">
        <f t="shared" si="21"/>
        <v>9.6262455175873143</v>
      </c>
      <c r="J487" s="165">
        <v>9.6262455175873143</v>
      </c>
      <c r="K487" s="169">
        <f t="shared" si="22"/>
        <v>0</v>
      </c>
      <c r="L487" s="165">
        <v>9.76</v>
      </c>
      <c r="M487" s="151">
        <v>2</v>
      </c>
      <c r="N487" s="151" t="str">
        <f t="shared" si="23"/>
        <v>No fit</v>
      </c>
      <c r="O487" s="174" t="s">
        <v>6842</v>
      </c>
      <c r="P487" s="174" t="s">
        <v>6051</v>
      </c>
    </row>
    <row r="488" spans="1:16" ht="64.05" customHeight="1" x14ac:dyDescent="0.3">
      <c r="A488" s="154" t="s">
        <v>6844</v>
      </c>
      <c r="B488" s="154" t="s">
        <v>5947</v>
      </c>
      <c r="C488" s="154" t="s">
        <v>106</v>
      </c>
      <c r="D488" s="154">
        <v>2024</v>
      </c>
      <c r="E488" s="154" t="s">
        <v>150</v>
      </c>
      <c r="F488" s="173" t="s">
        <v>6835</v>
      </c>
      <c r="G488" s="166">
        <f>((ROUND(((366*AVERAGE(MLCF!F31,MLCF!G31))/(MLCF!G85*-1)),2)+ROUND(((366*AVERAGE(MLCF!F32,MLCF!G32))/MLCF!G84),2))-ROUND(((365*AVERAGE((MLCF!F51-MLCF!F253),(MLCF!G51-MLCF!G253)))/(MLCF!G85*-1)),2))</f>
        <v>9.759999999999998</v>
      </c>
      <c r="H488" s="166">
        <f>1</f>
        <v>1</v>
      </c>
      <c r="I488" s="164">
        <f t="shared" si="21"/>
        <v>9.759999999999998</v>
      </c>
      <c r="J488" s="164">
        <v>9.759999999999998</v>
      </c>
      <c r="K488" s="168">
        <f t="shared" si="22"/>
        <v>0</v>
      </c>
      <c r="L488" s="164">
        <v>9.76</v>
      </c>
      <c r="M488" s="154">
        <v>2</v>
      </c>
      <c r="N488" s="154" t="str">
        <f t="shared" si="23"/>
        <v>Numeric fit</v>
      </c>
      <c r="O488" s="173" t="s">
        <v>6842</v>
      </c>
      <c r="P488" s="173" t="s">
        <v>6051</v>
      </c>
    </row>
    <row r="489" spans="1:16" ht="64.05" customHeight="1" x14ac:dyDescent="0.3">
      <c r="A489" s="151" t="s">
        <v>6845</v>
      </c>
      <c r="B489" s="151" t="s">
        <v>5950</v>
      </c>
      <c r="C489" s="151" t="s">
        <v>106</v>
      </c>
      <c r="D489" s="151">
        <v>2021</v>
      </c>
      <c r="E489" s="151" t="s">
        <v>154</v>
      </c>
      <c r="F489" s="174" t="s">
        <v>5893</v>
      </c>
      <c r="G489" s="167">
        <f>MLCF!D86</f>
        <v>7402.8819999999978</v>
      </c>
      <c r="H489" s="167">
        <f>MLCF!D84</f>
        <v>35538.300999999999</v>
      </c>
      <c r="I489" s="165">
        <f t="shared" si="21"/>
        <v>0.20830714445240356</v>
      </c>
      <c r="J489" s="165">
        <v>0.20830714445240356</v>
      </c>
      <c r="K489" s="169">
        <f t="shared" si="22"/>
        <v>0</v>
      </c>
      <c r="L489" s="165">
        <v>0.22359999999999999</v>
      </c>
      <c r="M489" s="151">
        <v>4</v>
      </c>
      <c r="N489" s="151" t="str">
        <f t="shared" si="23"/>
        <v>No fit</v>
      </c>
      <c r="O489" s="174" t="s">
        <v>6050</v>
      </c>
      <c r="P489" s="174" t="s">
        <v>6051</v>
      </c>
    </row>
    <row r="490" spans="1:16" ht="64.05" customHeight="1" x14ac:dyDescent="0.3">
      <c r="A490" s="154" t="s">
        <v>6846</v>
      </c>
      <c r="B490" s="154" t="s">
        <v>5950</v>
      </c>
      <c r="C490" s="154" t="s">
        <v>106</v>
      </c>
      <c r="D490" s="154">
        <v>2021</v>
      </c>
      <c r="E490" s="154" t="s">
        <v>154</v>
      </c>
      <c r="F490" s="173" t="s">
        <v>5953</v>
      </c>
      <c r="G490" s="166">
        <f>(MLCF!D84-((MLCF!D85*-1)-'Forensic Inputs'!$G$11))</f>
        <v>7946.5699999999961</v>
      </c>
      <c r="H490" s="166">
        <f>MLCF!D84</f>
        <v>35538.300999999999</v>
      </c>
      <c r="I490" s="164">
        <f t="shared" si="21"/>
        <v>0.22360579364781666</v>
      </c>
      <c r="J490" s="164">
        <v>0.22360579364781666</v>
      </c>
      <c r="K490" s="168">
        <f t="shared" si="22"/>
        <v>0</v>
      </c>
      <c r="L490" s="164">
        <v>0.22359999999999999</v>
      </c>
      <c r="M490" s="154">
        <v>4</v>
      </c>
      <c r="N490" s="154" t="str">
        <f t="shared" si="23"/>
        <v>Numeric fit</v>
      </c>
      <c r="O490" s="173" t="s">
        <v>6847</v>
      </c>
      <c r="P490" s="173" t="s">
        <v>6051</v>
      </c>
    </row>
    <row r="491" spans="1:16" ht="64.05" customHeight="1" x14ac:dyDescent="0.3">
      <c r="A491" s="151" t="s">
        <v>6848</v>
      </c>
      <c r="B491" s="151" t="s">
        <v>5956</v>
      </c>
      <c r="C491" s="151" t="s">
        <v>106</v>
      </c>
      <c r="D491" s="151">
        <v>2022</v>
      </c>
      <c r="E491" s="151" t="s">
        <v>154</v>
      </c>
      <c r="F491" s="174" t="s">
        <v>5893</v>
      </c>
      <c r="G491" s="167">
        <f>MLCF!E86</f>
        <v>12275.466</v>
      </c>
      <c r="H491" s="167">
        <f>MLCF!E84</f>
        <v>48519.622000000003</v>
      </c>
      <c r="I491" s="165">
        <f t="shared" si="21"/>
        <v>0.25300003367709667</v>
      </c>
      <c r="J491" s="165">
        <v>0.25300003367709667</v>
      </c>
      <c r="K491" s="169">
        <f t="shared" si="22"/>
        <v>0</v>
      </c>
      <c r="L491" s="165">
        <v>0.26740000000000003</v>
      </c>
      <c r="M491" s="151">
        <v>4</v>
      </c>
      <c r="N491" s="151" t="str">
        <f t="shared" si="23"/>
        <v>No fit</v>
      </c>
      <c r="O491" s="174" t="s">
        <v>6050</v>
      </c>
      <c r="P491" s="174" t="s">
        <v>6051</v>
      </c>
    </row>
    <row r="492" spans="1:16" ht="64.05" customHeight="1" x14ac:dyDescent="0.3">
      <c r="A492" s="154" t="s">
        <v>6849</v>
      </c>
      <c r="B492" s="154" t="s">
        <v>5956</v>
      </c>
      <c r="C492" s="154" t="s">
        <v>106</v>
      </c>
      <c r="D492" s="154">
        <v>2022</v>
      </c>
      <c r="E492" s="154" t="s">
        <v>154</v>
      </c>
      <c r="F492" s="173" t="s">
        <v>5953</v>
      </c>
      <c r="G492" s="166">
        <f>(MLCF!E84-((MLCF!E85*-1)-'Forensic Inputs'!$G$12))</f>
        <v>12975.129999999997</v>
      </c>
      <c r="H492" s="166">
        <f>MLCF!E84</f>
        <v>48519.622000000003</v>
      </c>
      <c r="I492" s="164">
        <f t="shared" si="21"/>
        <v>0.26742026143567227</v>
      </c>
      <c r="J492" s="164">
        <v>0.26742026143567227</v>
      </c>
      <c r="K492" s="168">
        <f t="shared" si="22"/>
        <v>0</v>
      </c>
      <c r="L492" s="164">
        <v>0.26740000000000003</v>
      </c>
      <c r="M492" s="154">
        <v>4</v>
      </c>
      <c r="N492" s="154" t="str">
        <f t="shared" si="23"/>
        <v>Numeric fit</v>
      </c>
      <c r="O492" s="173" t="s">
        <v>6847</v>
      </c>
      <c r="P492" s="173" t="s">
        <v>6051</v>
      </c>
    </row>
    <row r="493" spans="1:16" ht="64.05" customHeight="1" x14ac:dyDescent="0.3">
      <c r="A493" s="151" t="s">
        <v>6850</v>
      </c>
      <c r="B493" s="151" t="s">
        <v>5959</v>
      </c>
      <c r="C493" s="151" t="s">
        <v>106</v>
      </c>
      <c r="D493" s="151">
        <v>2024</v>
      </c>
      <c r="E493" s="151" t="s">
        <v>139</v>
      </c>
      <c r="F493" s="174" t="s">
        <v>5893</v>
      </c>
      <c r="G493" s="167">
        <f>MLCF!G41</f>
        <v>52615.907999999996</v>
      </c>
      <c r="H493" s="167">
        <f>MLCF!G128</f>
        <v>1047.5626</v>
      </c>
      <c r="I493" s="165">
        <f t="shared" si="21"/>
        <v>50.226982139301263</v>
      </c>
      <c r="J493" s="165">
        <v>50.226982139301263</v>
      </c>
      <c r="K493" s="169">
        <f t="shared" si="22"/>
        <v>0</v>
      </c>
      <c r="L493" s="165">
        <v>49.69</v>
      </c>
      <c r="M493" s="151">
        <v>2</v>
      </c>
      <c r="N493" s="151" t="str">
        <f t="shared" si="23"/>
        <v>No fit</v>
      </c>
      <c r="O493" s="174" t="s">
        <v>6050</v>
      </c>
      <c r="P493" s="174" t="s">
        <v>6051</v>
      </c>
    </row>
    <row r="494" spans="1:16" ht="64.05" customHeight="1" x14ac:dyDescent="0.3">
      <c r="A494" s="154" t="s">
        <v>6851</v>
      </c>
      <c r="B494" s="154" t="s">
        <v>5959</v>
      </c>
      <c r="C494" s="154" t="s">
        <v>106</v>
      </c>
      <c r="D494" s="154">
        <v>2024</v>
      </c>
      <c r="E494" s="154" t="s">
        <v>139</v>
      </c>
      <c r="F494" s="173" t="s">
        <v>5962</v>
      </c>
      <c r="G494" s="166">
        <f>MLCF!G41</f>
        <v>52615.907999999996</v>
      </c>
      <c r="H494" s="166">
        <f>MLCF!G129</f>
        <v>1058.9110000000001</v>
      </c>
      <c r="I494" s="164">
        <f t="shared" si="21"/>
        <v>49.688697161517815</v>
      </c>
      <c r="J494" s="164">
        <v>49.688697161517815</v>
      </c>
      <c r="K494" s="168">
        <f t="shared" si="22"/>
        <v>0</v>
      </c>
      <c r="L494" s="164">
        <v>49.69</v>
      </c>
      <c r="M494" s="154">
        <v>2</v>
      </c>
      <c r="N494" s="154" t="str">
        <f t="shared" si="23"/>
        <v>Numeric fit</v>
      </c>
      <c r="O494" s="173" t="s">
        <v>6852</v>
      </c>
      <c r="P494" s="173" t="s">
        <v>6051</v>
      </c>
    </row>
    <row r="495" spans="1:16" ht="64.05" customHeight="1" x14ac:dyDescent="0.3">
      <c r="A495" s="151" t="s">
        <v>6853</v>
      </c>
      <c r="B495" s="151" t="s">
        <v>5959</v>
      </c>
      <c r="C495" s="151" t="s">
        <v>106</v>
      </c>
      <c r="D495" s="151">
        <v>2024</v>
      </c>
      <c r="E495" s="151" t="s">
        <v>139</v>
      </c>
      <c r="F495" s="174" t="s">
        <v>6854</v>
      </c>
      <c r="G495" s="167">
        <f>MLCF!G41</f>
        <v>52615.907999999996</v>
      </c>
      <c r="H495" s="167">
        <f>(MLCF!G39/MLCF!G127)</f>
        <v>1047.5626</v>
      </c>
      <c r="I495" s="165">
        <f t="shared" si="21"/>
        <v>50.226982139301263</v>
      </c>
      <c r="J495" s="165">
        <v>50.226982139301263</v>
      </c>
      <c r="K495" s="169">
        <f t="shared" si="22"/>
        <v>0</v>
      </c>
      <c r="L495" s="165">
        <v>49.69</v>
      </c>
      <c r="M495" s="151">
        <v>2</v>
      </c>
      <c r="N495" s="151" t="str">
        <f t="shared" si="23"/>
        <v>No fit</v>
      </c>
      <c r="O495" s="174" t="s">
        <v>6855</v>
      </c>
      <c r="P495" s="174" t="s">
        <v>6051</v>
      </c>
    </row>
    <row r="496" spans="1:16" ht="64.05" customHeight="1" x14ac:dyDescent="0.3">
      <c r="A496" s="154" t="s">
        <v>6856</v>
      </c>
      <c r="B496" s="154" t="s">
        <v>5959</v>
      </c>
      <c r="C496" s="154" t="s">
        <v>106</v>
      </c>
      <c r="D496" s="154">
        <v>2024</v>
      </c>
      <c r="E496" s="154" t="s">
        <v>139</v>
      </c>
      <c r="F496" s="173" t="s">
        <v>6857</v>
      </c>
      <c r="G496" s="166">
        <f>(MLCF!G41-'Forensic Inputs'!$G$16)</f>
        <v>48600.683999999994</v>
      </c>
      <c r="H496" s="166">
        <f>MLCF!G128</f>
        <v>1047.5626</v>
      </c>
      <c r="I496" s="164">
        <f t="shared" si="21"/>
        <v>46.394061796402426</v>
      </c>
      <c r="J496" s="164">
        <v>46.394061796402426</v>
      </c>
      <c r="K496" s="168">
        <f t="shared" si="22"/>
        <v>0</v>
      </c>
      <c r="L496" s="164">
        <v>49.69</v>
      </c>
      <c r="M496" s="154">
        <v>2</v>
      </c>
      <c r="N496" s="154" t="str">
        <f t="shared" si="23"/>
        <v>No fit</v>
      </c>
      <c r="O496" s="173" t="s">
        <v>6858</v>
      </c>
      <c r="P496" s="173" t="s">
        <v>6859</v>
      </c>
    </row>
    <row r="497" spans="1:16" ht="64.05" customHeight="1" x14ac:dyDescent="0.3">
      <c r="A497" s="151" t="s">
        <v>6860</v>
      </c>
      <c r="B497" s="151" t="s">
        <v>5967</v>
      </c>
      <c r="C497" s="151" t="s">
        <v>114</v>
      </c>
      <c r="D497" s="151">
        <v>2023</v>
      </c>
      <c r="E497" s="151" t="s">
        <v>187</v>
      </c>
      <c r="F497" s="174" t="s">
        <v>5893</v>
      </c>
      <c r="G497" s="167">
        <f>365*AVERAGE(FCCL!E32,FCCL!F32)</f>
        <v>1092299.5474999999</v>
      </c>
      <c r="H497" s="167">
        <f>FCCL!F84</f>
        <v>68069.282000000007</v>
      </c>
      <c r="I497" s="165">
        <f t="shared" si="21"/>
        <v>16.046879229606091</v>
      </c>
      <c r="J497" s="165">
        <v>16.046879229606091</v>
      </c>
      <c r="K497" s="169">
        <f t="shared" si="22"/>
        <v>0</v>
      </c>
      <c r="L497" s="165">
        <v>18</v>
      </c>
      <c r="M497" s="151">
        <v>0</v>
      </c>
      <c r="N497" s="151" t="str">
        <f t="shared" si="23"/>
        <v>No fit</v>
      </c>
      <c r="O497" s="174" t="s">
        <v>6050</v>
      </c>
      <c r="P497" s="174" t="s">
        <v>6051</v>
      </c>
    </row>
    <row r="498" spans="1:16" ht="64.05" customHeight="1" x14ac:dyDescent="0.3">
      <c r="A498" s="154" t="s">
        <v>6861</v>
      </c>
      <c r="B498" s="154" t="s">
        <v>5967</v>
      </c>
      <c r="C498" s="154" t="s">
        <v>114</v>
      </c>
      <c r="D498" s="154">
        <v>2023</v>
      </c>
      <c r="E498" s="154" t="s">
        <v>187</v>
      </c>
      <c r="F498" s="173" t="s">
        <v>6084</v>
      </c>
      <c r="G498" s="166">
        <f>(365*AVERAGE(FCCL!E32,FCCL!F32))</f>
        <v>1092299.5474999999</v>
      </c>
      <c r="H498" s="166">
        <f>FCCL!F84</f>
        <v>68069.282000000007</v>
      </c>
      <c r="I498" s="164">
        <f t="shared" si="21"/>
        <v>16.046879229606091</v>
      </c>
      <c r="J498" s="164">
        <v>16.046879229606091</v>
      </c>
      <c r="K498" s="168">
        <f t="shared" si="22"/>
        <v>0</v>
      </c>
      <c r="L498" s="164">
        <v>18</v>
      </c>
      <c r="M498" s="154">
        <v>0</v>
      </c>
      <c r="N498" s="154" t="str">
        <f t="shared" si="23"/>
        <v>No fit</v>
      </c>
      <c r="O498" s="173" t="s">
        <v>6862</v>
      </c>
      <c r="P498" s="173" t="s">
        <v>6051</v>
      </c>
    </row>
    <row r="499" spans="1:16" ht="64.05" customHeight="1" x14ac:dyDescent="0.3">
      <c r="A499" s="151" t="s">
        <v>6863</v>
      </c>
      <c r="B499" s="151" t="s">
        <v>5967</v>
      </c>
      <c r="C499" s="151" t="s">
        <v>114</v>
      </c>
      <c r="D499" s="151">
        <v>2023</v>
      </c>
      <c r="E499" s="151" t="s">
        <v>187</v>
      </c>
      <c r="F499" s="174" t="s">
        <v>5814</v>
      </c>
      <c r="G499" s="167">
        <f>(366*AVERAGE(FCCL!E32,FCCL!F32))</f>
        <v>1095292.149</v>
      </c>
      <c r="H499" s="167">
        <f>FCCL!F84</f>
        <v>68069.282000000007</v>
      </c>
      <c r="I499" s="165">
        <f t="shared" si="21"/>
        <v>16.090843282289946</v>
      </c>
      <c r="J499" s="165">
        <v>16.090843282289946</v>
      </c>
      <c r="K499" s="169">
        <f t="shared" si="22"/>
        <v>0</v>
      </c>
      <c r="L499" s="165">
        <v>18</v>
      </c>
      <c r="M499" s="151">
        <v>0</v>
      </c>
      <c r="N499" s="151" t="str">
        <f t="shared" si="23"/>
        <v>No fit</v>
      </c>
      <c r="O499" s="174" t="s">
        <v>6862</v>
      </c>
      <c r="P499" s="174" t="s">
        <v>6051</v>
      </c>
    </row>
    <row r="500" spans="1:16" ht="64.05" customHeight="1" x14ac:dyDescent="0.3">
      <c r="A500" s="154" t="s">
        <v>6864</v>
      </c>
      <c r="B500" s="154" t="s">
        <v>5967</v>
      </c>
      <c r="C500" s="154" t="s">
        <v>114</v>
      </c>
      <c r="D500" s="154">
        <v>2023</v>
      </c>
      <c r="E500" s="154" t="s">
        <v>187</v>
      </c>
      <c r="F500" s="173" t="s">
        <v>6088</v>
      </c>
      <c r="G500" s="166">
        <f>(360*AVERAGE(FCCL!E32,FCCL!F32))</f>
        <v>1077336.5399999998</v>
      </c>
      <c r="H500" s="166">
        <f>FCCL!F84</f>
        <v>68069.282000000007</v>
      </c>
      <c r="I500" s="164">
        <f t="shared" si="21"/>
        <v>15.827058966186829</v>
      </c>
      <c r="J500" s="164">
        <v>15.827058966186829</v>
      </c>
      <c r="K500" s="168">
        <f t="shared" si="22"/>
        <v>0</v>
      </c>
      <c r="L500" s="164">
        <v>18</v>
      </c>
      <c r="M500" s="154">
        <v>0</v>
      </c>
      <c r="N500" s="154" t="str">
        <f t="shared" si="23"/>
        <v>No fit</v>
      </c>
      <c r="O500" s="173" t="s">
        <v>6862</v>
      </c>
      <c r="P500" s="173" t="s">
        <v>6051</v>
      </c>
    </row>
    <row r="501" spans="1:16" ht="64.05" customHeight="1" x14ac:dyDescent="0.3">
      <c r="A501" s="151" t="s">
        <v>6865</v>
      </c>
      <c r="B501" s="151" t="s">
        <v>5967</v>
      </c>
      <c r="C501" s="151" t="s">
        <v>114</v>
      </c>
      <c r="D501" s="151">
        <v>2023</v>
      </c>
      <c r="E501" s="151" t="s">
        <v>187</v>
      </c>
      <c r="F501" s="174" t="s">
        <v>6090</v>
      </c>
      <c r="G501" s="167">
        <f>(365*FCCL!F32)</f>
        <v>1303942.425</v>
      </c>
      <c r="H501" s="167">
        <f>FCCL!F84</f>
        <v>68069.282000000007</v>
      </c>
      <c r="I501" s="165">
        <f t="shared" si="21"/>
        <v>19.156106641465676</v>
      </c>
      <c r="J501" s="165">
        <v>19.156106641465676</v>
      </c>
      <c r="K501" s="169">
        <f t="shared" si="22"/>
        <v>0</v>
      </c>
      <c r="L501" s="165">
        <v>18</v>
      </c>
      <c r="M501" s="151">
        <v>0</v>
      </c>
      <c r="N501" s="151" t="str">
        <f t="shared" si="23"/>
        <v>No fit</v>
      </c>
      <c r="O501" s="174" t="s">
        <v>6866</v>
      </c>
      <c r="P501" s="174" t="s">
        <v>6051</v>
      </c>
    </row>
    <row r="502" spans="1:16" ht="64.05" customHeight="1" x14ac:dyDescent="0.3">
      <c r="A502" s="154" t="s">
        <v>6867</v>
      </c>
      <c r="B502" s="154" t="s">
        <v>5967</v>
      </c>
      <c r="C502" s="154" t="s">
        <v>114</v>
      </c>
      <c r="D502" s="154">
        <v>2023</v>
      </c>
      <c r="E502" s="154" t="s">
        <v>187</v>
      </c>
      <c r="F502" s="173" t="s">
        <v>6093</v>
      </c>
      <c r="G502" s="166">
        <f>(366*FCCL!F32)</f>
        <v>1307514.8700000001</v>
      </c>
      <c r="H502" s="166">
        <f>FCCL!F84</f>
        <v>68069.282000000007</v>
      </c>
      <c r="I502" s="164">
        <f t="shared" si="21"/>
        <v>19.208589125414896</v>
      </c>
      <c r="J502" s="164">
        <v>19.208589125414896</v>
      </c>
      <c r="K502" s="168">
        <f t="shared" si="22"/>
        <v>0</v>
      </c>
      <c r="L502" s="164">
        <v>18</v>
      </c>
      <c r="M502" s="154">
        <v>0</v>
      </c>
      <c r="N502" s="154" t="str">
        <f t="shared" si="23"/>
        <v>No fit</v>
      </c>
      <c r="O502" s="173" t="s">
        <v>6866</v>
      </c>
      <c r="P502" s="173" t="s">
        <v>6051</v>
      </c>
    </row>
    <row r="503" spans="1:16" ht="64.05" customHeight="1" x14ac:dyDescent="0.3">
      <c r="A503" s="151" t="s">
        <v>6868</v>
      </c>
      <c r="B503" s="151" t="s">
        <v>5967</v>
      </c>
      <c r="C503" s="151" t="s">
        <v>114</v>
      </c>
      <c r="D503" s="151">
        <v>2023</v>
      </c>
      <c r="E503" s="151" t="s">
        <v>187</v>
      </c>
      <c r="F503" s="174" t="s">
        <v>6095</v>
      </c>
      <c r="G503" s="167">
        <f>(360*FCCL!F32)</f>
        <v>1286080.2</v>
      </c>
      <c r="H503" s="167">
        <f>FCCL!F84</f>
        <v>68069.282000000007</v>
      </c>
      <c r="I503" s="165">
        <f t="shared" si="21"/>
        <v>18.893694221719567</v>
      </c>
      <c r="J503" s="165">
        <v>18.893694221719567</v>
      </c>
      <c r="K503" s="169">
        <f t="shared" si="22"/>
        <v>0</v>
      </c>
      <c r="L503" s="165">
        <v>18</v>
      </c>
      <c r="M503" s="151">
        <v>0</v>
      </c>
      <c r="N503" s="151" t="str">
        <f t="shared" si="23"/>
        <v>No fit</v>
      </c>
      <c r="O503" s="174" t="s">
        <v>6866</v>
      </c>
      <c r="P503" s="174" t="s">
        <v>6051</v>
      </c>
    </row>
    <row r="504" spans="1:16" ht="64.05" customHeight="1" x14ac:dyDescent="0.3">
      <c r="A504" s="154" t="s">
        <v>6869</v>
      </c>
      <c r="B504" s="154" t="s">
        <v>5967</v>
      </c>
      <c r="C504" s="154" t="s">
        <v>114</v>
      </c>
      <c r="D504" s="154">
        <v>2023</v>
      </c>
      <c r="E504" s="154" t="s">
        <v>187</v>
      </c>
      <c r="F504" s="173" t="s">
        <v>6097</v>
      </c>
      <c r="G504" s="166">
        <f>(365*FCCL!E32)</f>
        <v>880656.66999999993</v>
      </c>
      <c r="H504" s="166">
        <f>FCCL!F84</f>
        <v>68069.282000000007</v>
      </c>
      <c r="I504" s="164">
        <f t="shared" si="21"/>
        <v>12.937651817746511</v>
      </c>
      <c r="J504" s="164">
        <v>12.937651817746511</v>
      </c>
      <c r="K504" s="168">
        <f t="shared" si="22"/>
        <v>0</v>
      </c>
      <c r="L504" s="164">
        <v>18</v>
      </c>
      <c r="M504" s="154">
        <v>0</v>
      </c>
      <c r="N504" s="154" t="str">
        <f t="shared" si="23"/>
        <v>No fit</v>
      </c>
      <c r="O504" s="173" t="s">
        <v>6866</v>
      </c>
      <c r="P504" s="173" t="s">
        <v>6051</v>
      </c>
    </row>
    <row r="505" spans="1:16" ht="64.05" customHeight="1" x14ac:dyDescent="0.3">
      <c r="A505" s="151" t="s">
        <v>6870</v>
      </c>
      <c r="B505" s="151" t="s">
        <v>5967</v>
      </c>
      <c r="C505" s="151" t="s">
        <v>114</v>
      </c>
      <c r="D505" s="151">
        <v>2023</v>
      </c>
      <c r="E505" s="151" t="s">
        <v>187</v>
      </c>
      <c r="F505" s="174" t="s">
        <v>6099</v>
      </c>
      <c r="G505" s="167">
        <f>(366*FCCL!E32)</f>
        <v>883069.42799999996</v>
      </c>
      <c r="H505" s="167">
        <f>FCCL!F84</f>
        <v>68069.282000000007</v>
      </c>
      <c r="I505" s="165">
        <f t="shared" si="21"/>
        <v>12.973097439164995</v>
      </c>
      <c r="J505" s="165">
        <v>12.973097439164995</v>
      </c>
      <c r="K505" s="169">
        <f t="shared" si="22"/>
        <v>0</v>
      </c>
      <c r="L505" s="165">
        <v>18</v>
      </c>
      <c r="M505" s="151">
        <v>0</v>
      </c>
      <c r="N505" s="151" t="str">
        <f t="shared" si="23"/>
        <v>No fit</v>
      </c>
      <c r="O505" s="174" t="s">
        <v>6866</v>
      </c>
      <c r="P505" s="174" t="s">
        <v>6051</v>
      </c>
    </row>
    <row r="506" spans="1:16" ht="64.05" customHeight="1" x14ac:dyDescent="0.3">
      <c r="A506" s="154" t="s">
        <v>6871</v>
      </c>
      <c r="B506" s="154" t="s">
        <v>5967</v>
      </c>
      <c r="C506" s="154" t="s">
        <v>114</v>
      </c>
      <c r="D506" s="154">
        <v>2023</v>
      </c>
      <c r="E506" s="154" t="s">
        <v>187</v>
      </c>
      <c r="F506" s="173" t="s">
        <v>6101</v>
      </c>
      <c r="G506" s="166">
        <f>(360*FCCL!E32)</f>
        <v>868592.87999999989</v>
      </c>
      <c r="H506" s="166">
        <f>FCCL!F84</f>
        <v>68069.282000000007</v>
      </c>
      <c r="I506" s="164">
        <f t="shared" si="21"/>
        <v>12.760423710654091</v>
      </c>
      <c r="J506" s="164">
        <v>12.760423710654091</v>
      </c>
      <c r="K506" s="168">
        <f t="shared" si="22"/>
        <v>0</v>
      </c>
      <c r="L506" s="164">
        <v>18</v>
      </c>
      <c r="M506" s="154">
        <v>0</v>
      </c>
      <c r="N506" s="154" t="str">
        <f t="shared" si="23"/>
        <v>No fit</v>
      </c>
      <c r="O506" s="173" t="s">
        <v>6866</v>
      </c>
      <c r="P506" s="173" t="s">
        <v>6051</v>
      </c>
    </row>
    <row r="507" spans="1:16" ht="64.05" customHeight="1" x14ac:dyDescent="0.3">
      <c r="A507" s="151" t="s">
        <v>6872</v>
      </c>
      <c r="B507" s="151" t="s">
        <v>5967</v>
      </c>
      <c r="C507" s="151" t="s">
        <v>114</v>
      </c>
      <c r="D507" s="151">
        <v>2023</v>
      </c>
      <c r="E507" s="151" t="s">
        <v>187</v>
      </c>
      <c r="F507" s="174" t="s">
        <v>5762</v>
      </c>
      <c r="G507" s="167">
        <f>365</f>
        <v>365</v>
      </c>
      <c r="H507" s="167">
        <f>ROUND((FCCL!F84/AVERAGE(FCCL!E32,FCCL!F32)),2)</f>
        <v>22.75</v>
      </c>
      <c r="I507" s="165">
        <f t="shared" si="21"/>
        <v>16.043956043956044</v>
      </c>
      <c r="J507" s="165">
        <v>16.043956043956044</v>
      </c>
      <c r="K507" s="169">
        <f t="shared" si="22"/>
        <v>0</v>
      </c>
      <c r="L507" s="165">
        <v>18</v>
      </c>
      <c r="M507" s="151">
        <v>0</v>
      </c>
      <c r="N507" s="151" t="str">
        <f t="shared" si="23"/>
        <v>No fit</v>
      </c>
      <c r="O507" s="174" t="s">
        <v>6873</v>
      </c>
      <c r="P507" s="174" t="s">
        <v>6051</v>
      </c>
    </row>
    <row r="508" spans="1:16" ht="64.05" customHeight="1" x14ac:dyDescent="0.3">
      <c r="A508" s="154" t="s">
        <v>6874</v>
      </c>
      <c r="B508" s="154" t="s">
        <v>5967</v>
      </c>
      <c r="C508" s="154" t="s">
        <v>114</v>
      </c>
      <c r="D508" s="154">
        <v>2023</v>
      </c>
      <c r="E508" s="154" t="s">
        <v>187</v>
      </c>
      <c r="F508" s="173" t="s">
        <v>6875</v>
      </c>
      <c r="G508" s="166">
        <f>(365*AVERAGE(FCCL!E32,FCCL!F32))</f>
        <v>1092299.5474999999</v>
      </c>
      <c r="H508" s="166">
        <f>(FCCL!F85*-1)</f>
        <v>47650.809000000001</v>
      </c>
      <c r="I508" s="164">
        <f t="shared" si="21"/>
        <v>22.923001107914029</v>
      </c>
      <c r="J508" s="164">
        <v>22.923001107914029</v>
      </c>
      <c r="K508" s="168">
        <f t="shared" si="22"/>
        <v>0</v>
      </c>
      <c r="L508" s="164">
        <v>18</v>
      </c>
      <c r="M508" s="154">
        <v>0</v>
      </c>
      <c r="N508" s="154" t="str">
        <f t="shared" si="23"/>
        <v>No fit</v>
      </c>
      <c r="O508" s="173" t="s">
        <v>6876</v>
      </c>
      <c r="P508" s="173" t="s">
        <v>6051</v>
      </c>
    </row>
    <row r="509" spans="1:16" ht="64.05" customHeight="1" x14ac:dyDescent="0.3">
      <c r="A509" s="151" t="s">
        <v>6877</v>
      </c>
      <c r="B509" s="151" t="s">
        <v>5967</v>
      </c>
      <c r="C509" s="151" t="s">
        <v>114</v>
      </c>
      <c r="D509" s="151">
        <v>2023</v>
      </c>
      <c r="E509" s="151" t="s">
        <v>187</v>
      </c>
      <c r="F509" s="174" t="s">
        <v>6878</v>
      </c>
      <c r="G509" s="167">
        <f>(365*AVERAGE((FCCL!E32+'Forensic Inputs'!$G$94),(FCCL!F32+'Forensic Inputs'!$G$95)))</f>
        <v>1093497.1124999998</v>
      </c>
      <c r="H509" s="167">
        <f>FCCL!F84</f>
        <v>68069.282000000007</v>
      </c>
      <c r="I509" s="165">
        <f t="shared" si="21"/>
        <v>16.064472554595181</v>
      </c>
      <c r="J509" s="165">
        <v>16.064472554595181</v>
      </c>
      <c r="K509" s="169">
        <f t="shared" si="22"/>
        <v>0</v>
      </c>
      <c r="L509" s="165">
        <v>18</v>
      </c>
      <c r="M509" s="151">
        <v>0</v>
      </c>
      <c r="N509" s="151" t="str">
        <f t="shared" si="23"/>
        <v>No fit</v>
      </c>
      <c r="O509" s="174" t="s">
        <v>6879</v>
      </c>
      <c r="P509" s="174" t="s">
        <v>6051</v>
      </c>
    </row>
    <row r="510" spans="1:16" ht="64.05" customHeight="1" x14ac:dyDescent="0.3">
      <c r="A510" s="154" t="s">
        <v>6880</v>
      </c>
      <c r="B510" s="154" t="s">
        <v>5967</v>
      </c>
      <c r="C510" s="154" t="s">
        <v>114</v>
      </c>
      <c r="D510" s="154">
        <v>2023</v>
      </c>
      <c r="E510" s="154" t="s">
        <v>187</v>
      </c>
      <c r="F510" s="173" t="s">
        <v>5969</v>
      </c>
      <c r="G510" s="166">
        <f>(365*(FCCL!F32+'Forensic Inputs'!$G$95))</f>
        <v>1305139.99</v>
      </c>
      <c r="H510" s="166">
        <f>FCCL!F84</f>
        <v>68069.282000000007</v>
      </c>
      <c r="I510" s="164">
        <f t="shared" si="21"/>
        <v>19.173699966454762</v>
      </c>
      <c r="J510" s="164">
        <v>19.173699966454762</v>
      </c>
      <c r="K510" s="168">
        <f t="shared" si="22"/>
        <v>0</v>
      </c>
      <c r="L510" s="164">
        <v>18</v>
      </c>
      <c r="M510" s="154">
        <v>0</v>
      </c>
      <c r="N510" s="154" t="str">
        <f t="shared" si="23"/>
        <v>No fit</v>
      </c>
      <c r="O510" s="173" t="s">
        <v>6881</v>
      </c>
      <c r="P510" s="173" t="s">
        <v>6051</v>
      </c>
    </row>
    <row r="511" spans="1:16" ht="64.05" customHeight="1" x14ac:dyDescent="0.3">
      <c r="A511" s="151" t="s">
        <v>6882</v>
      </c>
      <c r="B511" s="151" t="s">
        <v>5967</v>
      </c>
      <c r="C511" s="151" t="s">
        <v>114</v>
      </c>
      <c r="D511" s="151">
        <v>2023</v>
      </c>
      <c r="E511" s="151" t="s">
        <v>187</v>
      </c>
      <c r="F511" s="174" t="s">
        <v>6883</v>
      </c>
      <c r="G511" s="167">
        <f>(365*FCCL!F32)</f>
        <v>1303942.425</v>
      </c>
      <c r="H511" s="167">
        <f>(4*'Forensic Inputs'!$G$112)</f>
        <v>70812.543999999994</v>
      </c>
      <c r="I511" s="165">
        <f t="shared" si="21"/>
        <v>18.414003386179715</v>
      </c>
      <c r="J511" s="165">
        <v>18.414003386179715</v>
      </c>
      <c r="K511" s="169">
        <f t="shared" si="22"/>
        <v>0</v>
      </c>
      <c r="L511" s="165">
        <v>18</v>
      </c>
      <c r="M511" s="151">
        <v>0</v>
      </c>
      <c r="N511" s="151" t="str">
        <f t="shared" si="23"/>
        <v>Numeric fit</v>
      </c>
      <c r="O511" s="174" t="s">
        <v>6884</v>
      </c>
      <c r="P511" s="174" t="s">
        <v>6885</v>
      </c>
    </row>
    <row r="512" spans="1:16" ht="64.05" customHeight="1" x14ac:dyDescent="0.3">
      <c r="A512" s="154" t="s">
        <v>6886</v>
      </c>
      <c r="B512" s="154" t="s">
        <v>5967</v>
      </c>
      <c r="C512" s="154" t="s">
        <v>114</v>
      </c>
      <c r="D512" s="154">
        <v>2023</v>
      </c>
      <c r="E512" s="154" t="s">
        <v>187</v>
      </c>
      <c r="F512" s="173" t="s">
        <v>6887</v>
      </c>
      <c r="G512" s="166">
        <f>(90*FCCL!F32)</f>
        <v>321520.05</v>
      </c>
      <c r="H512" s="166">
        <f>'Forensic Inputs'!$G$112</f>
        <v>17703.135999999999</v>
      </c>
      <c r="I512" s="164">
        <f t="shared" si="21"/>
        <v>18.161756764451226</v>
      </c>
      <c r="J512" s="164">
        <v>18.161756764451226</v>
      </c>
      <c r="K512" s="168">
        <f t="shared" si="22"/>
        <v>0</v>
      </c>
      <c r="L512" s="164">
        <v>18</v>
      </c>
      <c r="M512" s="154">
        <v>0</v>
      </c>
      <c r="N512" s="154" t="str">
        <f t="shared" si="23"/>
        <v>Numeric fit</v>
      </c>
      <c r="O512" s="173" t="s">
        <v>6888</v>
      </c>
      <c r="P512" s="173" t="s">
        <v>6051</v>
      </c>
    </row>
    <row r="513" spans="1:16" ht="64.05" customHeight="1" x14ac:dyDescent="0.3">
      <c r="A513" s="151" t="s">
        <v>6889</v>
      </c>
      <c r="B513" s="151" t="s">
        <v>5967</v>
      </c>
      <c r="C513" s="151" t="s">
        <v>114</v>
      </c>
      <c r="D513" s="151">
        <v>2023</v>
      </c>
      <c r="E513" s="151" t="s">
        <v>187</v>
      </c>
      <c r="F513" s="174" t="s">
        <v>6890</v>
      </c>
      <c r="G513" s="167">
        <f>(90*FCCL!E32)</f>
        <v>217148.21999999997</v>
      </c>
      <c r="H513" s="167">
        <f>'Forensic Inputs'!$G$112</f>
        <v>17703.135999999999</v>
      </c>
      <c r="I513" s="165">
        <f t="shared" si="21"/>
        <v>12.266087771115807</v>
      </c>
      <c r="J513" s="165">
        <v>12.266087771115807</v>
      </c>
      <c r="K513" s="169">
        <f t="shared" si="22"/>
        <v>0</v>
      </c>
      <c r="L513" s="165">
        <v>18</v>
      </c>
      <c r="M513" s="151">
        <v>0</v>
      </c>
      <c r="N513" s="151" t="str">
        <f t="shared" si="23"/>
        <v>No fit</v>
      </c>
      <c r="O513" s="174" t="s">
        <v>6888</v>
      </c>
      <c r="P513" s="174" t="s">
        <v>6051</v>
      </c>
    </row>
    <row r="514" spans="1:16" ht="64.05" customHeight="1" x14ac:dyDescent="0.3">
      <c r="A514" s="154" t="s">
        <v>6891</v>
      </c>
      <c r="B514" s="154" t="s">
        <v>5974</v>
      </c>
      <c r="C514" s="154" t="s">
        <v>114</v>
      </c>
      <c r="D514" s="154">
        <v>2024</v>
      </c>
      <c r="E514" s="154" t="s">
        <v>187</v>
      </c>
      <c r="F514" s="173" t="s">
        <v>5893</v>
      </c>
      <c r="G514" s="166">
        <f>365*AVERAGE(FCCL!F32,FCCL!G32)</f>
        <v>1663977.6949999998</v>
      </c>
      <c r="H514" s="166">
        <f>FCCL!G84</f>
        <v>80026.225999999995</v>
      </c>
      <c r="I514" s="164">
        <f t="shared" si="21"/>
        <v>20.792904753499183</v>
      </c>
      <c r="J514" s="164">
        <v>20.792904753499183</v>
      </c>
      <c r="K514" s="168">
        <f t="shared" si="22"/>
        <v>0</v>
      </c>
      <c r="L514" s="164">
        <v>26</v>
      </c>
      <c r="M514" s="154">
        <v>0</v>
      </c>
      <c r="N514" s="154" t="str">
        <f t="shared" si="23"/>
        <v>No fit</v>
      </c>
      <c r="O514" s="173" t="s">
        <v>6050</v>
      </c>
      <c r="P514" s="173" t="s">
        <v>6051</v>
      </c>
    </row>
    <row r="515" spans="1:16" ht="64.05" customHeight="1" x14ac:dyDescent="0.3">
      <c r="A515" s="151" t="s">
        <v>6892</v>
      </c>
      <c r="B515" s="151" t="s">
        <v>5974</v>
      </c>
      <c r="C515" s="151" t="s">
        <v>114</v>
      </c>
      <c r="D515" s="151">
        <v>2024</v>
      </c>
      <c r="E515" s="151" t="s">
        <v>187</v>
      </c>
      <c r="F515" s="174" t="s">
        <v>6084</v>
      </c>
      <c r="G515" s="167">
        <f>(365*AVERAGE(FCCL!F32,FCCL!G32))</f>
        <v>1663977.6949999998</v>
      </c>
      <c r="H515" s="167">
        <f>FCCL!G84</f>
        <v>80026.225999999995</v>
      </c>
      <c r="I515" s="165">
        <f t="shared" si="21"/>
        <v>20.792904753499183</v>
      </c>
      <c r="J515" s="165">
        <v>20.792904753499183</v>
      </c>
      <c r="K515" s="169">
        <f t="shared" si="22"/>
        <v>0</v>
      </c>
      <c r="L515" s="165">
        <v>26</v>
      </c>
      <c r="M515" s="151">
        <v>0</v>
      </c>
      <c r="N515" s="151" t="str">
        <f t="shared" si="23"/>
        <v>No fit</v>
      </c>
      <c r="O515" s="174" t="s">
        <v>6862</v>
      </c>
      <c r="P515" s="174" t="s">
        <v>6051</v>
      </c>
    </row>
    <row r="516" spans="1:16" ht="64.05" customHeight="1" x14ac:dyDescent="0.3">
      <c r="A516" s="154" t="s">
        <v>6893</v>
      </c>
      <c r="B516" s="154" t="s">
        <v>5974</v>
      </c>
      <c r="C516" s="154" t="s">
        <v>114</v>
      </c>
      <c r="D516" s="154">
        <v>2024</v>
      </c>
      <c r="E516" s="154" t="s">
        <v>187</v>
      </c>
      <c r="F516" s="173" t="s">
        <v>5814</v>
      </c>
      <c r="G516" s="166">
        <f>(366*AVERAGE(FCCL!F32,FCCL!G32))</f>
        <v>1668536.5379999999</v>
      </c>
      <c r="H516" s="166">
        <f>FCCL!G84</f>
        <v>80026.225999999995</v>
      </c>
      <c r="I516" s="164">
        <f t="shared" si="21"/>
        <v>20.849871615837539</v>
      </c>
      <c r="J516" s="164">
        <v>20.849871615837539</v>
      </c>
      <c r="K516" s="168">
        <f t="shared" si="22"/>
        <v>0</v>
      </c>
      <c r="L516" s="164">
        <v>26</v>
      </c>
      <c r="M516" s="154">
        <v>0</v>
      </c>
      <c r="N516" s="154" t="str">
        <f t="shared" si="23"/>
        <v>No fit</v>
      </c>
      <c r="O516" s="173" t="s">
        <v>6862</v>
      </c>
      <c r="P516" s="173" t="s">
        <v>6051</v>
      </c>
    </row>
    <row r="517" spans="1:16" ht="64.05" customHeight="1" x14ac:dyDescent="0.3">
      <c r="A517" s="151" t="s">
        <v>6894</v>
      </c>
      <c r="B517" s="151" t="s">
        <v>5974</v>
      </c>
      <c r="C517" s="151" t="s">
        <v>114</v>
      </c>
      <c r="D517" s="151">
        <v>2024</v>
      </c>
      <c r="E517" s="151" t="s">
        <v>187</v>
      </c>
      <c r="F517" s="174" t="s">
        <v>6088</v>
      </c>
      <c r="G517" s="167">
        <f>(360*AVERAGE(FCCL!F32,FCCL!G32))</f>
        <v>1641183.48</v>
      </c>
      <c r="H517" s="167">
        <f>FCCL!G84</f>
        <v>80026.225999999995</v>
      </c>
      <c r="I517" s="165">
        <f t="shared" si="21"/>
        <v>20.508070441807416</v>
      </c>
      <c r="J517" s="165">
        <v>20.508070441807416</v>
      </c>
      <c r="K517" s="169">
        <f t="shared" si="22"/>
        <v>0</v>
      </c>
      <c r="L517" s="165">
        <v>26</v>
      </c>
      <c r="M517" s="151">
        <v>0</v>
      </c>
      <c r="N517" s="151" t="str">
        <f t="shared" si="23"/>
        <v>No fit</v>
      </c>
      <c r="O517" s="174" t="s">
        <v>6862</v>
      </c>
      <c r="P517" s="174" t="s">
        <v>6051</v>
      </c>
    </row>
    <row r="518" spans="1:16" ht="64.05" customHeight="1" x14ac:dyDescent="0.3">
      <c r="A518" s="154" t="s">
        <v>6895</v>
      </c>
      <c r="B518" s="154" t="s">
        <v>5974</v>
      </c>
      <c r="C518" s="154" t="s">
        <v>114</v>
      </c>
      <c r="D518" s="154">
        <v>2024</v>
      </c>
      <c r="E518" s="154" t="s">
        <v>187</v>
      </c>
      <c r="F518" s="173" t="s">
        <v>6090</v>
      </c>
      <c r="G518" s="166">
        <f>(365*FCCL!G32)</f>
        <v>2024012.9650000001</v>
      </c>
      <c r="H518" s="166">
        <f>FCCL!G84</f>
        <v>80026.225999999995</v>
      </c>
      <c r="I518" s="164">
        <f t="shared" ref="I518:I581" si="24">G518/H518</f>
        <v>25.291870754969754</v>
      </c>
      <c r="J518" s="164">
        <v>25.291870754969754</v>
      </c>
      <c r="K518" s="168">
        <f t="shared" ref="K518:K581" si="25">I518-J518</f>
        <v>0</v>
      </c>
      <c r="L518" s="164">
        <v>26</v>
      </c>
      <c r="M518" s="154">
        <v>0</v>
      </c>
      <c r="N518" s="154" t="str">
        <f t="shared" ref="N518:N581" si="26">IF(ROUND(I518,M518)=ROUND(L518,M518),"Numeric fit","No fit")</f>
        <v>No fit</v>
      </c>
      <c r="O518" s="173" t="s">
        <v>6866</v>
      </c>
      <c r="P518" s="173" t="s">
        <v>6051</v>
      </c>
    </row>
    <row r="519" spans="1:16" ht="64.05" customHeight="1" x14ac:dyDescent="0.3">
      <c r="A519" s="151" t="s">
        <v>6896</v>
      </c>
      <c r="B519" s="151" t="s">
        <v>5974</v>
      </c>
      <c r="C519" s="151" t="s">
        <v>114</v>
      </c>
      <c r="D519" s="151">
        <v>2024</v>
      </c>
      <c r="E519" s="151" t="s">
        <v>187</v>
      </c>
      <c r="F519" s="174" t="s">
        <v>6093</v>
      </c>
      <c r="G519" s="167">
        <f>(366*FCCL!G32)</f>
        <v>2029558.206</v>
      </c>
      <c r="H519" s="167">
        <f>FCCL!G84</f>
        <v>80026.225999999995</v>
      </c>
      <c r="I519" s="165">
        <f t="shared" si="24"/>
        <v>25.361163551558711</v>
      </c>
      <c r="J519" s="165">
        <v>25.361163551558711</v>
      </c>
      <c r="K519" s="169">
        <f t="shared" si="25"/>
        <v>0</v>
      </c>
      <c r="L519" s="165">
        <v>26</v>
      </c>
      <c r="M519" s="151">
        <v>0</v>
      </c>
      <c r="N519" s="151" t="str">
        <f t="shared" si="26"/>
        <v>No fit</v>
      </c>
      <c r="O519" s="174" t="s">
        <v>6866</v>
      </c>
      <c r="P519" s="174" t="s">
        <v>6051</v>
      </c>
    </row>
    <row r="520" spans="1:16" ht="64.05" customHeight="1" x14ac:dyDescent="0.3">
      <c r="A520" s="154" t="s">
        <v>6897</v>
      </c>
      <c r="B520" s="154" t="s">
        <v>5974</v>
      </c>
      <c r="C520" s="154" t="s">
        <v>114</v>
      </c>
      <c r="D520" s="154">
        <v>2024</v>
      </c>
      <c r="E520" s="154" t="s">
        <v>187</v>
      </c>
      <c r="F520" s="173" t="s">
        <v>6095</v>
      </c>
      <c r="G520" s="166">
        <f>(360*FCCL!G32)</f>
        <v>1996286.76</v>
      </c>
      <c r="H520" s="166">
        <f>FCCL!G84</f>
        <v>80026.225999999995</v>
      </c>
      <c r="I520" s="164">
        <f t="shared" si="24"/>
        <v>24.945406772024963</v>
      </c>
      <c r="J520" s="164">
        <v>24.945406772024963</v>
      </c>
      <c r="K520" s="168">
        <f t="shared" si="25"/>
        <v>0</v>
      </c>
      <c r="L520" s="164">
        <v>26</v>
      </c>
      <c r="M520" s="154">
        <v>0</v>
      </c>
      <c r="N520" s="154" t="str">
        <f t="shared" si="26"/>
        <v>No fit</v>
      </c>
      <c r="O520" s="173" t="s">
        <v>6866</v>
      </c>
      <c r="P520" s="173" t="s">
        <v>6051</v>
      </c>
    </row>
    <row r="521" spans="1:16" ht="64.05" customHeight="1" x14ac:dyDescent="0.3">
      <c r="A521" s="151" t="s">
        <v>6898</v>
      </c>
      <c r="B521" s="151" t="s">
        <v>5974</v>
      </c>
      <c r="C521" s="151" t="s">
        <v>114</v>
      </c>
      <c r="D521" s="151">
        <v>2024</v>
      </c>
      <c r="E521" s="151" t="s">
        <v>187</v>
      </c>
      <c r="F521" s="174" t="s">
        <v>6097</v>
      </c>
      <c r="G521" s="167">
        <f>(365*FCCL!F32)</f>
        <v>1303942.425</v>
      </c>
      <c r="H521" s="167">
        <f>FCCL!G84</f>
        <v>80026.225999999995</v>
      </c>
      <c r="I521" s="165">
        <f t="shared" si="24"/>
        <v>16.293938752028616</v>
      </c>
      <c r="J521" s="165">
        <v>16.293938752028616</v>
      </c>
      <c r="K521" s="169">
        <f t="shared" si="25"/>
        <v>0</v>
      </c>
      <c r="L521" s="165">
        <v>26</v>
      </c>
      <c r="M521" s="151">
        <v>0</v>
      </c>
      <c r="N521" s="151" t="str">
        <f t="shared" si="26"/>
        <v>No fit</v>
      </c>
      <c r="O521" s="174" t="s">
        <v>6866</v>
      </c>
      <c r="P521" s="174" t="s">
        <v>6051</v>
      </c>
    </row>
    <row r="522" spans="1:16" ht="64.05" customHeight="1" x14ac:dyDescent="0.3">
      <c r="A522" s="154" t="s">
        <v>6899</v>
      </c>
      <c r="B522" s="154" t="s">
        <v>5974</v>
      </c>
      <c r="C522" s="154" t="s">
        <v>114</v>
      </c>
      <c r="D522" s="154">
        <v>2024</v>
      </c>
      <c r="E522" s="154" t="s">
        <v>187</v>
      </c>
      <c r="F522" s="173" t="s">
        <v>6099</v>
      </c>
      <c r="G522" s="166">
        <f>(366*FCCL!F32)</f>
        <v>1307514.8700000001</v>
      </c>
      <c r="H522" s="166">
        <f>FCCL!G84</f>
        <v>80026.225999999995</v>
      </c>
      <c r="I522" s="164">
        <f t="shared" si="24"/>
        <v>16.338579680116368</v>
      </c>
      <c r="J522" s="164">
        <v>16.338579680116368</v>
      </c>
      <c r="K522" s="168">
        <f t="shared" si="25"/>
        <v>0</v>
      </c>
      <c r="L522" s="164">
        <v>26</v>
      </c>
      <c r="M522" s="154">
        <v>0</v>
      </c>
      <c r="N522" s="154" t="str">
        <f t="shared" si="26"/>
        <v>No fit</v>
      </c>
      <c r="O522" s="173" t="s">
        <v>6866</v>
      </c>
      <c r="P522" s="173" t="s">
        <v>6051</v>
      </c>
    </row>
    <row r="523" spans="1:16" ht="64.05" customHeight="1" x14ac:dyDescent="0.3">
      <c r="A523" s="151" t="s">
        <v>6900</v>
      </c>
      <c r="B523" s="151" t="s">
        <v>5974</v>
      </c>
      <c r="C523" s="151" t="s">
        <v>114</v>
      </c>
      <c r="D523" s="151">
        <v>2024</v>
      </c>
      <c r="E523" s="151" t="s">
        <v>187</v>
      </c>
      <c r="F523" s="174" t="s">
        <v>6101</v>
      </c>
      <c r="G523" s="167">
        <f>(360*FCCL!F32)</f>
        <v>1286080.2</v>
      </c>
      <c r="H523" s="167">
        <f>FCCL!G84</f>
        <v>80026.225999999995</v>
      </c>
      <c r="I523" s="165">
        <f t="shared" si="24"/>
        <v>16.070734111589868</v>
      </c>
      <c r="J523" s="165">
        <v>16.070734111589868</v>
      </c>
      <c r="K523" s="169">
        <f t="shared" si="25"/>
        <v>0</v>
      </c>
      <c r="L523" s="165">
        <v>26</v>
      </c>
      <c r="M523" s="151">
        <v>0</v>
      </c>
      <c r="N523" s="151" t="str">
        <f t="shared" si="26"/>
        <v>No fit</v>
      </c>
      <c r="O523" s="174" t="s">
        <v>6866</v>
      </c>
      <c r="P523" s="174" t="s">
        <v>6051</v>
      </c>
    </row>
    <row r="524" spans="1:16" ht="64.05" customHeight="1" x14ac:dyDescent="0.3">
      <c r="A524" s="154" t="s">
        <v>6901</v>
      </c>
      <c r="B524" s="154" t="s">
        <v>5974</v>
      </c>
      <c r="C524" s="154" t="s">
        <v>114</v>
      </c>
      <c r="D524" s="154">
        <v>2024</v>
      </c>
      <c r="E524" s="154" t="s">
        <v>187</v>
      </c>
      <c r="F524" s="173" t="s">
        <v>5762</v>
      </c>
      <c r="G524" s="166">
        <f>365</f>
        <v>365</v>
      </c>
      <c r="H524" s="166">
        <f>ROUND((FCCL!G84/AVERAGE(FCCL!F32,FCCL!G32)),2)</f>
        <v>17.55</v>
      </c>
      <c r="I524" s="164">
        <f t="shared" si="24"/>
        <v>20.797720797720796</v>
      </c>
      <c r="J524" s="164">
        <v>20.797720797720796</v>
      </c>
      <c r="K524" s="168">
        <f t="shared" si="25"/>
        <v>0</v>
      </c>
      <c r="L524" s="164">
        <v>26</v>
      </c>
      <c r="M524" s="154">
        <v>0</v>
      </c>
      <c r="N524" s="154" t="str">
        <f t="shared" si="26"/>
        <v>No fit</v>
      </c>
      <c r="O524" s="173" t="s">
        <v>6873</v>
      </c>
      <c r="P524" s="173" t="s">
        <v>6051</v>
      </c>
    </row>
    <row r="525" spans="1:16" ht="64.05" customHeight="1" x14ac:dyDescent="0.3">
      <c r="A525" s="151" t="s">
        <v>6902</v>
      </c>
      <c r="B525" s="151" t="s">
        <v>5974</v>
      </c>
      <c r="C525" s="151" t="s">
        <v>114</v>
      </c>
      <c r="D525" s="151">
        <v>2024</v>
      </c>
      <c r="E525" s="151" t="s">
        <v>187</v>
      </c>
      <c r="F525" s="174" t="s">
        <v>6875</v>
      </c>
      <c r="G525" s="167">
        <f>(365*AVERAGE(FCCL!F32,FCCL!G32))</f>
        <v>1663977.6949999998</v>
      </c>
      <c r="H525" s="167">
        <f>(FCCL!G85*-1)</f>
        <v>54345.821000000004</v>
      </c>
      <c r="I525" s="165">
        <f t="shared" si="24"/>
        <v>30.618319208021529</v>
      </c>
      <c r="J525" s="165">
        <v>30.618319208021529</v>
      </c>
      <c r="K525" s="169">
        <f t="shared" si="25"/>
        <v>0</v>
      </c>
      <c r="L525" s="165">
        <v>26</v>
      </c>
      <c r="M525" s="151">
        <v>0</v>
      </c>
      <c r="N525" s="151" t="str">
        <f t="shared" si="26"/>
        <v>No fit</v>
      </c>
      <c r="O525" s="174" t="s">
        <v>6876</v>
      </c>
      <c r="P525" s="174" t="s">
        <v>6051</v>
      </c>
    </row>
    <row r="526" spans="1:16" ht="64.05" customHeight="1" x14ac:dyDescent="0.3">
      <c r="A526" s="154" t="s">
        <v>6903</v>
      </c>
      <c r="B526" s="154" t="s">
        <v>5974</v>
      </c>
      <c r="C526" s="154" t="s">
        <v>114</v>
      </c>
      <c r="D526" s="154">
        <v>2024</v>
      </c>
      <c r="E526" s="154" t="s">
        <v>187</v>
      </c>
      <c r="F526" s="173" t="s">
        <v>6878</v>
      </c>
      <c r="G526" s="166">
        <f>(365*AVERAGE((FCCL!F32+'Forensic Inputs'!$G$95),(FCCL!G32+'Forensic Inputs'!$G$96)))</f>
        <v>1665175.26</v>
      </c>
      <c r="H526" s="166">
        <f>FCCL!G84</f>
        <v>80026.225999999995</v>
      </c>
      <c r="I526" s="164">
        <f t="shared" si="24"/>
        <v>20.8078694102106</v>
      </c>
      <c r="J526" s="164">
        <v>20.8078694102106</v>
      </c>
      <c r="K526" s="168">
        <f t="shared" si="25"/>
        <v>0</v>
      </c>
      <c r="L526" s="164">
        <v>26</v>
      </c>
      <c r="M526" s="154">
        <v>0</v>
      </c>
      <c r="N526" s="154" t="str">
        <f t="shared" si="26"/>
        <v>No fit</v>
      </c>
      <c r="O526" s="173" t="s">
        <v>6904</v>
      </c>
      <c r="P526" s="173" t="s">
        <v>6051</v>
      </c>
    </row>
    <row r="527" spans="1:16" ht="64.05" customHeight="1" x14ac:dyDescent="0.3">
      <c r="A527" s="151" t="s">
        <v>6905</v>
      </c>
      <c r="B527" s="151" t="s">
        <v>5974</v>
      </c>
      <c r="C527" s="151" t="s">
        <v>114</v>
      </c>
      <c r="D527" s="151">
        <v>2024</v>
      </c>
      <c r="E527" s="151" t="s">
        <v>187</v>
      </c>
      <c r="F527" s="174" t="s">
        <v>5969</v>
      </c>
      <c r="G527" s="167">
        <f>(365*(FCCL!G32+'Forensic Inputs'!$G$96))</f>
        <v>2025210.53</v>
      </c>
      <c r="H527" s="167">
        <f>FCCL!G84</f>
        <v>80026.225999999995</v>
      </c>
      <c r="I527" s="165">
        <f t="shared" si="24"/>
        <v>25.306835411681167</v>
      </c>
      <c r="J527" s="165">
        <v>25.306835411681167</v>
      </c>
      <c r="K527" s="169">
        <f t="shared" si="25"/>
        <v>0</v>
      </c>
      <c r="L527" s="165">
        <v>26</v>
      </c>
      <c r="M527" s="151">
        <v>0</v>
      </c>
      <c r="N527" s="151" t="str">
        <f t="shared" si="26"/>
        <v>No fit</v>
      </c>
      <c r="O527" s="174" t="s">
        <v>6906</v>
      </c>
      <c r="P527" s="174" t="s">
        <v>6051</v>
      </c>
    </row>
    <row r="528" spans="1:16" ht="64.05" customHeight="1" x14ac:dyDescent="0.3">
      <c r="A528" s="154" t="s">
        <v>6907</v>
      </c>
      <c r="B528" s="154" t="s">
        <v>5974</v>
      </c>
      <c r="C528" s="154" t="s">
        <v>114</v>
      </c>
      <c r="D528" s="154">
        <v>2024</v>
      </c>
      <c r="E528" s="154" t="s">
        <v>187</v>
      </c>
      <c r="F528" s="173" t="s">
        <v>6883</v>
      </c>
      <c r="G528" s="166">
        <f>(365*FCCL!G32)</f>
        <v>2024012.9650000001</v>
      </c>
      <c r="H528" s="166">
        <f>(4*'Forensic Inputs'!$G$114)</f>
        <v>82504.42</v>
      </c>
      <c r="I528" s="164">
        <f t="shared" si="24"/>
        <v>24.532176154926006</v>
      </c>
      <c r="J528" s="164">
        <v>24.532176154926006</v>
      </c>
      <c r="K528" s="168">
        <f t="shared" si="25"/>
        <v>0</v>
      </c>
      <c r="L528" s="164">
        <v>26</v>
      </c>
      <c r="M528" s="154">
        <v>0</v>
      </c>
      <c r="N528" s="154" t="str">
        <f t="shared" si="26"/>
        <v>No fit</v>
      </c>
      <c r="O528" s="173" t="s">
        <v>6908</v>
      </c>
      <c r="P528" s="173" t="s">
        <v>6885</v>
      </c>
    </row>
    <row r="529" spans="1:16" ht="64.05" customHeight="1" x14ac:dyDescent="0.3">
      <c r="A529" s="151" t="s">
        <v>6909</v>
      </c>
      <c r="B529" s="151" t="s">
        <v>5974</v>
      </c>
      <c r="C529" s="151" t="s">
        <v>114</v>
      </c>
      <c r="D529" s="151">
        <v>2024</v>
      </c>
      <c r="E529" s="151" t="s">
        <v>187</v>
      </c>
      <c r="F529" s="174" t="s">
        <v>6887</v>
      </c>
      <c r="G529" s="167">
        <f>(90*FCCL!G32)</f>
        <v>499071.69</v>
      </c>
      <c r="H529" s="167">
        <f>'Forensic Inputs'!$G$114</f>
        <v>20626.105</v>
      </c>
      <c r="I529" s="165">
        <f t="shared" si="24"/>
        <v>24.196118947324276</v>
      </c>
      <c r="J529" s="165">
        <v>24.196118947324276</v>
      </c>
      <c r="K529" s="169">
        <f t="shared" si="25"/>
        <v>0</v>
      </c>
      <c r="L529" s="165">
        <v>26</v>
      </c>
      <c r="M529" s="151">
        <v>0</v>
      </c>
      <c r="N529" s="151" t="str">
        <f t="shared" si="26"/>
        <v>No fit</v>
      </c>
      <c r="O529" s="174" t="s">
        <v>6910</v>
      </c>
      <c r="P529" s="174" t="s">
        <v>6051</v>
      </c>
    </row>
    <row r="530" spans="1:16" ht="64.05" customHeight="1" x14ac:dyDescent="0.3">
      <c r="A530" s="154" t="s">
        <v>6911</v>
      </c>
      <c r="B530" s="154" t="s">
        <v>5974</v>
      </c>
      <c r="C530" s="154" t="s">
        <v>114</v>
      </c>
      <c r="D530" s="154">
        <v>2024</v>
      </c>
      <c r="E530" s="154" t="s">
        <v>187</v>
      </c>
      <c r="F530" s="173" t="s">
        <v>6890</v>
      </c>
      <c r="G530" s="166">
        <f>(90*FCCL!F32)</f>
        <v>321520.05</v>
      </c>
      <c r="H530" s="166">
        <f>'Forensic Inputs'!$G$114</f>
        <v>20626.105</v>
      </c>
      <c r="I530" s="164">
        <f t="shared" si="24"/>
        <v>15.588015769336964</v>
      </c>
      <c r="J530" s="164">
        <v>15.588015769336964</v>
      </c>
      <c r="K530" s="168">
        <f t="shared" si="25"/>
        <v>0</v>
      </c>
      <c r="L530" s="164">
        <v>26</v>
      </c>
      <c r="M530" s="154">
        <v>0</v>
      </c>
      <c r="N530" s="154" t="str">
        <f t="shared" si="26"/>
        <v>No fit</v>
      </c>
      <c r="O530" s="173" t="s">
        <v>6910</v>
      </c>
      <c r="P530" s="173" t="s">
        <v>6051</v>
      </c>
    </row>
    <row r="531" spans="1:16" ht="64.05" customHeight="1" x14ac:dyDescent="0.3">
      <c r="A531" s="151" t="s">
        <v>6912</v>
      </c>
      <c r="B531" s="151" t="s">
        <v>5977</v>
      </c>
      <c r="C531" s="151" t="s">
        <v>114</v>
      </c>
      <c r="D531" s="151">
        <v>2025</v>
      </c>
      <c r="E531" s="151" t="s">
        <v>187</v>
      </c>
      <c r="F531" s="174" t="s">
        <v>5893</v>
      </c>
      <c r="G531" s="167">
        <f>365*AVERAGE(FCCL!G32,FCCL!H32)</f>
        <v>2273322.7475000001</v>
      </c>
      <c r="H531" s="167">
        <f>FCCL!H84</f>
        <v>88956.327999999994</v>
      </c>
      <c r="I531" s="165">
        <f t="shared" si="24"/>
        <v>25.555492212987932</v>
      </c>
      <c r="J531" s="165">
        <v>25.555492212987932</v>
      </c>
      <c r="K531" s="169">
        <f t="shared" si="25"/>
        <v>0</v>
      </c>
      <c r="L531" s="165">
        <v>23</v>
      </c>
      <c r="M531" s="151">
        <v>0</v>
      </c>
      <c r="N531" s="151" t="str">
        <f t="shared" si="26"/>
        <v>No fit</v>
      </c>
      <c r="O531" s="174" t="s">
        <v>6050</v>
      </c>
      <c r="P531" s="174" t="s">
        <v>6051</v>
      </c>
    </row>
    <row r="532" spans="1:16" ht="64.05" customHeight="1" x14ac:dyDescent="0.3">
      <c r="A532" s="154" t="s">
        <v>6913</v>
      </c>
      <c r="B532" s="154" t="s">
        <v>5977</v>
      </c>
      <c r="C532" s="154" t="s">
        <v>114</v>
      </c>
      <c r="D532" s="154">
        <v>2025</v>
      </c>
      <c r="E532" s="154" t="s">
        <v>187</v>
      </c>
      <c r="F532" s="173" t="s">
        <v>6084</v>
      </c>
      <c r="G532" s="166">
        <f>(365*AVERAGE(FCCL!G32,FCCL!H32))</f>
        <v>2273322.7475000001</v>
      </c>
      <c r="H532" s="166">
        <f>FCCL!H84</f>
        <v>88956.327999999994</v>
      </c>
      <c r="I532" s="164">
        <f t="shared" si="24"/>
        <v>25.555492212987932</v>
      </c>
      <c r="J532" s="164">
        <v>25.555492212987932</v>
      </c>
      <c r="K532" s="168">
        <f t="shared" si="25"/>
        <v>0</v>
      </c>
      <c r="L532" s="164">
        <v>23</v>
      </c>
      <c r="M532" s="154">
        <v>0</v>
      </c>
      <c r="N532" s="154" t="str">
        <f t="shared" si="26"/>
        <v>No fit</v>
      </c>
      <c r="O532" s="173" t="s">
        <v>6862</v>
      </c>
      <c r="P532" s="173" t="s">
        <v>6051</v>
      </c>
    </row>
    <row r="533" spans="1:16" ht="64.05" customHeight="1" x14ac:dyDescent="0.3">
      <c r="A533" s="151" t="s">
        <v>6914</v>
      </c>
      <c r="B533" s="151" t="s">
        <v>5977</v>
      </c>
      <c r="C533" s="151" t="s">
        <v>114</v>
      </c>
      <c r="D533" s="151">
        <v>2025</v>
      </c>
      <c r="E533" s="151" t="s">
        <v>187</v>
      </c>
      <c r="F533" s="174" t="s">
        <v>5814</v>
      </c>
      <c r="G533" s="167">
        <f>(366*AVERAGE(FCCL!G32,FCCL!H32))</f>
        <v>2279551.0290000001</v>
      </c>
      <c r="H533" s="167">
        <f>FCCL!H84</f>
        <v>88956.327999999994</v>
      </c>
      <c r="I533" s="165">
        <f t="shared" si="24"/>
        <v>25.625507260146801</v>
      </c>
      <c r="J533" s="165">
        <v>25.625507260146801</v>
      </c>
      <c r="K533" s="169">
        <f t="shared" si="25"/>
        <v>0</v>
      </c>
      <c r="L533" s="165">
        <v>23</v>
      </c>
      <c r="M533" s="151">
        <v>0</v>
      </c>
      <c r="N533" s="151" t="str">
        <f t="shared" si="26"/>
        <v>No fit</v>
      </c>
      <c r="O533" s="174" t="s">
        <v>6862</v>
      </c>
      <c r="P533" s="174" t="s">
        <v>6051</v>
      </c>
    </row>
    <row r="534" spans="1:16" ht="64.05" customHeight="1" x14ac:dyDescent="0.3">
      <c r="A534" s="154" t="s">
        <v>6915</v>
      </c>
      <c r="B534" s="154" t="s">
        <v>5977</v>
      </c>
      <c r="C534" s="154" t="s">
        <v>114</v>
      </c>
      <c r="D534" s="154">
        <v>2025</v>
      </c>
      <c r="E534" s="154" t="s">
        <v>187</v>
      </c>
      <c r="F534" s="173" t="s">
        <v>6088</v>
      </c>
      <c r="G534" s="166">
        <f>(360*AVERAGE(FCCL!G32,FCCL!H32))</f>
        <v>2242181.34</v>
      </c>
      <c r="H534" s="166">
        <f>FCCL!H84</f>
        <v>88956.327999999994</v>
      </c>
      <c r="I534" s="164">
        <f t="shared" si="24"/>
        <v>25.205416977193572</v>
      </c>
      <c r="J534" s="164">
        <v>25.205416977193572</v>
      </c>
      <c r="K534" s="168">
        <f t="shared" si="25"/>
        <v>0</v>
      </c>
      <c r="L534" s="164">
        <v>23</v>
      </c>
      <c r="M534" s="154">
        <v>0</v>
      </c>
      <c r="N534" s="154" t="str">
        <f t="shared" si="26"/>
        <v>No fit</v>
      </c>
      <c r="O534" s="173" t="s">
        <v>6862</v>
      </c>
      <c r="P534" s="173" t="s">
        <v>6051</v>
      </c>
    </row>
    <row r="535" spans="1:16" ht="64.05" customHeight="1" x14ac:dyDescent="0.3">
      <c r="A535" s="151" t="s">
        <v>6916</v>
      </c>
      <c r="B535" s="151" t="s">
        <v>5977</v>
      </c>
      <c r="C535" s="151" t="s">
        <v>114</v>
      </c>
      <c r="D535" s="151">
        <v>2025</v>
      </c>
      <c r="E535" s="151" t="s">
        <v>187</v>
      </c>
      <c r="F535" s="174" t="s">
        <v>6090</v>
      </c>
      <c r="G535" s="167">
        <f>(365*FCCL!H32)</f>
        <v>2522632.5300000003</v>
      </c>
      <c r="H535" s="167">
        <f>FCCL!H84</f>
        <v>88956.327999999994</v>
      </c>
      <c r="I535" s="165">
        <f t="shared" si="24"/>
        <v>28.358100954886542</v>
      </c>
      <c r="J535" s="165">
        <v>28.358100954886542</v>
      </c>
      <c r="K535" s="169">
        <f t="shared" si="25"/>
        <v>0</v>
      </c>
      <c r="L535" s="165">
        <v>23</v>
      </c>
      <c r="M535" s="151">
        <v>0</v>
      </c>
      <c r="N535" s="151" t="str">
        <f t="shared" si="26"/>
        <v>No fit</v>
      </c>
      <c r="O535" s="174" t="s">
        <v>6866</v>
      </c>
      <c r="P535" s="174" t="s">
        <v>6051</v>
      </c>
    </row>
    <row r="536" spans="1:16" ht="64.05" customHeight="1" x14ac:dyDescent="0.3">
      <c r="A536" s="154" t="s">
        <v>6917</v>
      </c>
      <c r="B536" s="154" t="s">
        <v>5977</v>
      </c>
      <c r="C536" s="154" t="s">
        <v>114</v>
      </c>
      <c r="D536" s="154">
        <v>2025</v>
      </c>
      <c r="E536" s="154" t="s">
        <v>187</v>
      </c>
      <c r="F536" s="173" t="s">
        <v>6093</v>
      </c>
      <c r="G536" s="166">
        <f>(366*FCCL!H32)</f>
        <v>2529543.852</v>
      </c>
      <c r="H536" s="166">
        <f>FCCL!H84</f>
        <v>88956.327999999994</v>
      </c>
      <c r="I536" s="164">
        <f t="shared" si="24"/>
        <v>28.4357943821602</v>
      </c>
      <c r="J536" s="164">
        <v>28.4357943821602</v>
      </c>
      <c r="K536" s="168">
        <f t="shared" si="25"/>
        <v>0</v>
      </c>
      <c r="L536" s="164">
        <v>23</v>
      </c>
      <c r="M536" s="154">
        <v>0</v>
      </c>
      <c r="N536" s="154" t="str">
        <f t="shared" si="26"/>
        <v>No fit</v>
      </c>
      <c r="O536" s="173" t="s">
        <v>6866</v>
      </c>
      <c r="P536" s="173" t="s">
        <v>6051</v>
      </c>
    </row>
    <row r="537" spans="1:16" ht="64.05" customHeight="1" x14ac:dyDescent="0.3">
      <c r="A537" s="151" t="s">
        <v>6918</v>
      </c>
      <c r="B537" s="151" t="s">
        <v>5977</v>
      </c>
      <c r="C537" s="151" t="s">
        <v>114</v>
      </c>
      <c r="D537" s="151">
        <v>2025</v>
      </c>
      <c r="E537" s="151" t="s">
        <v>187</v>
      </c>
      <c r="F537" s="174" t="s">
        <v>6095</v>
      </c>
      <c r="G537" s="167">
        <f>(360*FCCL!H32)</f>
        <v>2488075.92</v>
      </c>
      <c r="H537" s="167">
        <f>FCCL!H84</f>
        <v>88956.327999999994</v>
      </c>
      <c r="I537" s="165">
        <f t="shared" si="24"/>
        <v>27.969633818518229</v>
      </c>
      <c r="J537" s="165">
        <v>27.969633818518229</v>
      </c>
      <c r="K537" s="169">
        <f t="shared" si="25"/>
        <v>0</v>
      </c>
      <c r="L537" s="165">
        <v>23</v>
      </c>
      <c r="M537" s="151">
        <v>0</v>
      </c>
      <c r="N537" s="151" t="str">
        <f t="shared" si="26"/>
        <v>No fit</v>
      </c>
      <c r="O537" s="174" t="s">
        <v>6866</v>
      </c>
      <c r="P537" s="174" t="s">
        <v>6051</v>
      </c>
    </row>
    <row r="538" spans="1:16" ht="64.05" customHeight="1" x14ac:dyDescent="0.3">
      <c r="A538" s="154" t="s">
        <v>6919</v>
      </c>
      <c r="B538" s="154" t="s">
        <v>5977</v>
      </c>
      <c r="C538" s="154" t="s">
        <v>114</v>
      </c>
      <c r="D538" s="154">
        <v>2025</v>
      </c>
      <c r="E538" s="154" t="s">
        <v>187</v>
      </c>
      <c r="F538" s="173" t="s">
        <v>6097</v>
      </c>
      <c r="G538" s="166">
        <f>(365*FCCL!G32)</f>
        <v>2024012.9650000001</v>
      </c>
      <c r="H538" s="166">
        <f>FCCL!H84</f>
        <v>88956.327999999994</v>
      </c>
      <c r="I538" s="164">
        <f t="shared" si="24"/>
        <v>22.752883471089323</v>
      </c>
      <c r="J538" s="164">
        <v>22.752883471089323</v>
      </c>
      <c r="K538" s="168">
        <f t="shared" si="25"/>
        <v>0</v>
      </c>
      <c r="L538" s="164">
        <v>23</v>
      </c>
      <c r="M538" s="154">
        <v>0</v>
      </c>
      <c r="N538" s="154" t="str">
        <f t="shared" si="26"/>
        <v>Numeric fit</v>
      </c>
      <c r="O538" s="173" t="s">
        <v>6866</v>
      </c>
      <c r="P538" s="173" t="s">
        <v>6051</v>
      </c>
    </row>
    <row r="539" spans="1:16" ht="64.05" customHeight="1" x14ac:dyDescent="0.3">
      <c r="A539" s="151" t="s">
        <v>6920</v>
      </c>
      <c r="B539" s="151" t="s">
        <v>5977</v>
      </c>
      <c r="C539" s="151" t="s">
        <v>114</v>
      </c>
      <c r="D539" s="151">
        <v>2025</v>
      </c>
      <c r="E539" s="151" t="s">
        <v>187</v>
      </c>
      <c r="F539" s="174" t="s">
        <v>6099</v>
      </c>
      <c r="G539" s="167">
        <f>(366*FCCL!G32)</f>
        <v>2029558.206</v>
      </c>
      <c r="H539" s="167">
        <f>FCCL!H84</f>
        <v>88956.327999999994</v>
      </c>
      <c r="I539" s="165">
        <f t="shared" si="24"/>
        <v>22.815220138133402</v>
      </c>
      <c r="J539" s="165">
        <v>22.815220138133402</v>
      </c>
      <c r="K539" s="169">
        <f t="shared" si="25"/>
        <v>0</v>
      </c>
      <c r="L539" s="165">
        <v>23</v>
      </c>
      <c r="M539" s="151">
        <v>0</v>
      </c>
      <c r="N539" s="151" t="str">
        <f t="shared" si="26"/>
        <v>Numeric fit</v>
      </c>
      <c r="O539" s="174" t="s">
        <v>6866</v>
      </c>
      <c r="P539" s="174" t="s">
        <v>6051</v>
      </c>
    </row>
    <row r="540" spans="1:16" ht="64.05" customHeight="1" x14ac:dyDescent="0.3">
      <c r="A540" s="154" t="s">
        <v>6921</v>
      </c>
      <c r="B540" s="154" t="s">
        <v>5977</v>
      </c>
      <c r="C540" s="154" t="s">
        <v>114</v>
      </c>
      <c r="D540" s="154">
        <v>2025</v>
      </c>
      <c r="E540" s="154" t="s">
        <v>187</v>
      </c>
      <c r="F540" s="173" t="s">
        <v>6101</v>
      </c>
      <c r="G540" s="166">
        <f>(360*FCCL!G32)</f>
        <v>1996286.76</v>
      </c>
      <c r="H540" s="166">
        <f>FCCL!H84</f>
        <v>88956.327999999994</v>
      </c>
      <c r="I540" s="164">
        <f t="shared" si="24"/>
        <v>22.441200135868918</v>
      </c>
      <c r="J540" s="164">
        <v>22.441200135868918</v>
      </c>
      <c r="K540" s="168">
        <f t="shared" si="25"/>
        <v>0</v>
      </c>
      <c r="L540" s="164">
        <v>23</v>
      </c>
      <c r="M540" s="154">
        <v>0</v>
      </c>
      <c r="N540" s="154" t="str">
        <f t="shared" si="26"/>
        <v>No fit</v>
      </c>
      <c r="O540" s="173" t="s">
        <v>6866</v>
      </c>
      <c r="P540" s="173" t="s">
        <v>6051</v>
      </c>
    </row>
    <row r="541" spans="1:16" ht="64.05" customHeight="1" x14ac:dyDescent="0.3">
      <c r="A541" s="151" t="s">
        <v>6922</v>
      </c>
      <c r="B541" s="151" t="s">
        <v>5977</v>
      </c>
      <c r="C541" s="151" t="s">
        <v>114</v>
      </c>
      <c r="D541" s="151">
        <v>2025</v>
      </c>
      <c r="E541" s="151" t="s">
        <v>187</v>
      </c>
      <c r="F541" s="174" t="s">
        <v>5762</v>
      </c>
      <c r="G541" s="167">
        <f>365</f>
        <v>365</v>
      </c>
      <c r="H541" s="167">
        <f>ROUND((FCCL!H84/AVERAGE(FCCL!G32,FCCL!H32)),2)</f>
        <v>14.28</v>
      </c>
      <c r="I541" s="165">
        <f t="shared" si="24"/>
        <v>25.560224089635856</v>
      </c>
      <c r="J541" s="165">
        <v>25.560224089635856</v>
      </c>
      <c r="K541" s="169">
        <f t="shared" si="25"/>
        <v>0</v>
      </c>
      <c r="L541" s="165">
        <v>23</v>
      </c>
      <c r="M541" s="151">
        <v>0</v>
      </c>
      <c r="N541" s="151" t="str">
        <f t="shared" si="26"/>
        <v>No fit</v>
      </c>
      <c r="O541" s="174" t="s">
        <v>6873</v>
      </c>
      <c r="P541" s="174" t="s">
        <v>6051</v>
      </c>
    </row>
    <row r="542" spans="1:16" ht="64.05" customHeight="1" x14ac:dyDescent="0.3">
      <c r="A542" s="154" t="s">
        <v>6923</v>
      </c>
      <c r="B542" s="154" t="s">
        <v>5977</v>
      </c>
      <c r="C542" s="154" t="s">
        <v>114</v>
      </c>
      <c r="D542" s="154">
        <v>2025</v>
      </c>
      <c r="E542" s="154" t="s">
        <v>187</v>
      </c>
      <c r="F542" s="173" t="s">
        <v>6875</v>
      </c>
      <c r="G542" s="166">
        <f>(365*AVERAGE(FCCL!G32,FCCL!H32))</f>
        <v>2273322.7475000001</v>
      </c>
      <c r="H542" s="166">
        <f>(FCCL!H85*-1)</f>
        <v>57384.978000000003</v>
      </c>
      <c r="I542" s="164">
        <f t="shared" si="24"/>
        <v>39.615293526818114</v>
      </c>
      <c r="J542" s="164">
        <v>39.615293526818114</v>
      </c>
      <c r="K542" s="168">
        <f t="shared" si="25"/>
        <v>0</v>
      </c>
      <c r="L542" s="164">
        <v>23</v>
      </c>
      <c r="M542" s="154">
        <v>0</v>
      </c>
      <c r="N542" s="154" t="str">
        <f t="shared" si="26"/>
        <v>No fit</v>
      </c>
      <c r="O542" s="173" t="s">
        <v>6876</v>
      </c>
      <c r="P542" s="173" t="s">
        <v>6051</v>
      </c>
    </row>
    <row r="543" spans="1:16" ht="64.05" customHeight="1" x14ac:dyDescent="0.3">
      <c r="A543" s="151" t="s">
        <v>6924</v>
      </c>
      <c r="B543" s="151" t="s">
        <v>5977</v>
      </c>
      <c r="C543" s="151" t="s">
        <v>114</v>
      </c>
      <c r="D543" s="151">
        <v>2025</v>
      </c>
      <c r="E543" s="151" t="s">
        <v>187</v>
      </c>
      <c r="F543" s="174" t="s">
        <v>6878</v>
      </c>
      <c r="G543" s="167">
        <f>(365*AVERAGE((FCCL!G32+'Forensic Inputs'!$G$96),(FCCL!H32+'Forensic Inputs'!$G$97)))</f>
        <v>2274520.3125</v>
      </c>
      <c r="H543" s="167">
        <f>FCCL!H84</f>
        <v>88956.327999999994</v>
      </c>
      <c r="I543" s="165">
        <f t="shared" si="24"/>
        <v>25.568954605455389</v>
      </c>
      <c r="J543" s="165">
        <v>25.568954605455389</v>
      </c>
      <c r="K543" s="169">
        <f t="shared" si="25"/>
        <v>0</v>
      </c>
      <c r="L543" s="165">
        <v>23</v>
      </c>
      <c r="M543" s="151">
        <v>0</v>
      </c>
      <c r="N543" s="151" t="str">
        <f t="shared" si="26"/>
        <v>No fit</v>
      </c>
      <c r="O543" s="174" t="s">
        <v>6925</v>
      </c>
      <c r="P543" s="174" t="s">
        <v>6051</v>
      </c>
    </row>
    <row r="544" spans="1:16" ht="64.05" customHeight="1" x14ac:dyDescent="0.3">
      <c r="A544" s="154" t="s">
        <v>6926</v>
      </c>
      <c r="B544" s="154" t="s">
        <v>5977</v>
      </c>
      <c r="C544" s="154" t="s">
        <v>114</v>
      </c>
      <c r="D544" s="154">
        <v>2025</v>
      </c>
      <c r="E544" s="154" t="s">
        <v>187</v>
      </c>
      <c r="F544" s="173" t="s">
        <v>5969</v>
      </c>
      <c r="G544" s="166">
        <f>(365*(FCCL!H32+'Forensic Inputs'!$G$97))</f>
        <v>2523830.0950000002</v>
      </c>
      <c r="H544" s="166">
        <f>FCCL!H84</f>
        <v>88956.327999999994</v>
      </c>
      <c r="I544" s="164">
        <f t="shared" si="24"/>
        <v>28.371563347354002</v>
      </c>
      <c r="J544" s="164">
        <v>28.371563347354002</v>
      </c>
      <c r="K544" s="168">
        <f t="shared" si="25"/>
        <v>0</v>
      </c>
      <c r="L544" s="164">
        <v>23</v>
      </c>
      <c r="M544" s="154">
        <v>0</v>
      </c>
      <c r="N544" s="154" t="str">
        <f t="shared" si="26"/>
        <v>No fit</v>
      </c>
      <c r="O544" s="173" t="s">
        <v>6906</v>
      </c>
      <c r="P544" s="173" t="s">
        <v>6051</v>
      </c>
    </row>
    <row r="545" spans="1:16" ht="64.05" customHeight="1" x14ac:dyDescent="0.3">
      <c r="A545" s="151" t="s">
        <v>6927</v>
      </c>
      <c r="B545" s="151" t="s">
        <v>5977</v>
      </c>
      <c r="C545" s="151" t="s">
        <v>114</v>
      </c>
      <c r="D545" s="151">
        <v>2025</v>
      </c>
      <c r="E545" s="151" t="s">
        <v>187</v>
      </c>
      <c r="F545" s="174" t="s">
        <v>6883</v>
      </c>
      <c r="G545" s="167">
        <f>(365*FCCL!H32)</f>
        <v>2522632.5300000003</v>
      </c>
      <c r="H545" s="167">
        <f>(4*'Forensic Inputs'!$G$116)</f>
        <v>87208.576000000001</v>
      </c>
      <c r="I545" s="165">
        <f t="shared" si="24"/>
        <v>28.926427258713641</v>
      </c>
      <c r="J545" s="165">
        <v>28.926427258713641</v>
      </c>
      <c r="K545" s="169">
        <f t="shared" si="25"/>
        <v>0</v>
      </c>
      <c r="L545" s="165">
        <v>23</v>
      </c>
      <c r="M545" s="151">
        <v>0</v>
      </c>
      <c r="N545" s="151" t="str">
        <f t="shared" si="26"/>
        <v>No fit</v>
      </c>
      <c r="O545" s="174" t="s">
        <v>6928</v>
      </c>
      <c r="P545" s="174" t="s">
        <v>6885</v>
      </c>
    </row>
    <row r="546" spans="1:16" ht="64.05" customHeight="1" x14ac:dyDescent="0.3">
      <c r="A546" s="154" t="s">
        <v>6929</v>
      </c>
      <c r="B546" s="154" t="s">
        <v>5977</v>
      </c>
      <c r="C546" s="154" t="s">
        <v>114</v>
      </c>
      <c r="D546" s="154">
        <v>2025</v>
      </c>
      <c r="E546" s="154" t="s">
        <v>187</v>
      </c>
      <c r="F546" s="173" t="s">
        <v>6887</v>
      </c>
      <c r="G546" s="166">
        <f>(90*FCCL!H32)</f>
        <v>622018.98</v>
      </c>
      <c r="H546" s="166">
        <f>'Forensic Inputs'!$G$116</f>
        <v>21802.144</v>
      </c>
      <c r="I546" s="164">
        <f t="shared" si="24"/>
        <v>28.530174830512081</v>
      </c>
      <c r="J546" s="164">
        <v>28.530174830512081</v>
      </c>
      <c r="K546" s="168">
        <f t="shared" si="25"/>
        <v>0</v>
      </c>
      <c r="L546" s="164">
        <v>23</v>
      </c>
      <c r="M546" s="154">
        <v>0</v>
      </c>
      <c r="N546" s="154" t="str">
        <f t="shared" si="26"/>
        <v>No fit</v>
      </c>
      <c r="O546" s="173" t="s">
        <v>6930</v>
      </c>
      <c r="P546" s="173" t="s">
        <v>6051</v>
      </c>
    </row>
    <row r="547" spans="1:16" ht="64.05" customHeight="1" x14ac:dyDescent="0.3">
      <c r="A547" s="151" t="s">
        <v>6931</v>
      </c>
      <c r="B547" s="151" t="s">
        <v>5977</v>
      </c>
      <c r="C547" s="151" t="s">
        <v>114</v>
      </c>
      <c r="D547" s="151">
        <v>2025</v>
      </c>
      <c r="E547" s="151" t="s">
        <v>187</v>
      </c>
      <c r="F547" s="174" t="s">
        <v>6890</v>
      </c>
      <c r="G547" s="167">
        <f>(90*FCCL!G32)</f>
        <v>499071.69</v>
      </c>
      <c r="H547" s="167">
        <f>'Forensic Inputs'!$G$116</f>
        <v>21802.144</v>
      </c>
      <c r="I547" s="165">
        <f t="shared" si="24"/>
        <v>22.890945496002594</v>
      </c>
      <c r="J547" s="165">
        <v>22.890945496002594</v>
      </c>
      <c r="K547" s="169">
        <f t="shared" si="25"/>
        <v>0</v>
      </c>
      <c r="L547" s="165">
        <v>23</v>
      </c>
      <c r="M547" s="151">
        <v>0</v>
      </c>
      <c r="N547" s="151" t="str">
        <f t="shared" si="26"/>
        <v>Numeric fit</v>
      </c>
      <c r="O547" s="174" t="s">
        <v>6930</v>
      </c>
      <c r="P547" s="174" t="s">
        <v>6051</v>
      </c>
    </row>
    <row r="548" spans="1:16" ht="64.05" customHeight="1" x14ac:dyDescent="0.3">
      <c r="A548" s="154" t="s">
        <v>6932</v>
      </c>
      <c r="B548" s="154" t="s">
        <v>5980</v>
      </c>
      <c r="C548" s="154" t="s">
        <v>114</v>
      </c>
      <c r="D548" s="154">
        <v>2021</v>
      </c>
      <c r="E548" s="154" t="s">
        <v>190</v>
      </c>
      <c r="F548" s="173" t="s">
        <v>5893</v>
      </c>
      <c r="G548" s="166">
        <f>365*AVERAGE(FCCL!C51,FCCL!D51)</f>
        <v>222216.38</v>
      </c>
      <c r="H548" s="166">
        <f>-FCCL!D85</f>
        <v>18206.88</v>
      </c>
      <c r="I548" s="164">
        <f t="shared" si="24"/>
        <v>12.205077421282503</v>
      </c>
      <c r="J548" s="164">
        <v>12.205077421282503</v>
      </c>
      <c r="K548" s="168">
        <f t="shared" si="25"/>
        <v>0</v>
      </c>
      <c r="L548" s="164">
        <v>15</v>
      </c>
      <c r="M548" s="154">
        <v>0</v>
      </c>
      <c r="N548" s="154" t="str">
        <f t="shared" si="26"/>
        <v>No fit</v>
      </c>
      <c r="O548" s="173" t="s">
        <v>6050</v>
      </c>
      <c r="P548" s="173" t="s">
        <v>6051</v>
      </c>
    </row>
    <row r="549" spans="1:16" ht="64.05" customHeight="1" x14ac:dyDescent="0.3">
      <c r="A549" s="151" t="s">
        <v>6933</v>
      </c>
      <c r="B549" s="151" t="s">
        <v>5980</v>
      </c>
      <c r="C549" s="151" t="s">
        <v>114</v>
      </c>
      <c r="D549" s="151">
        <v>2021</v>
      </c>
      <c r="E549" s="151" t="s">
        <v>190</v>
      </c>
      <c r="F549" s="174" t="s">
        <v>6115</v>
      </c>
      <c r="G549" s="167">
        <f>(365*FCCL!D51)</f>
        <v>315008.87</v>
      </c>
      <c r="H549" s="167">
        <f>(FCCL!D85*-1)</f>
        <v>18206.88</v>
      </c>
      <c r="I549" s="165">
        <f t="shared" si="24"/>
        <v>17.301639270429639</v>
      </c>
      <c r="J549" s="165">
        <v>17.301639270429639</v>
      </c>
      <c r="K549" s="169">
        <f t="shared" si="25"/>
        <v>0</v>
      </c>
      <c r="L549" s="165">
        <v>15</v>
      </c>
      <c r="M549" s="151">
        <v>0</v>
      </c>
      <c r="N549" s="151" t="str">
        <f t="shared" si="26"/>
        <v>No fit</v>
      </c>
      <c r="O549" s="174" t="s">
        <v>6934</v>
      </c>
      <c r="P549" s="174" t="s">
        <v>6051</v>
      </c>
    </row>
    <row r="550" spans="1:16" ht="64.05" customHeight="1" x14ac:dyDescent="0.3">
      <c r="A550" s="154" t="s">
        <v>6935</v>
      </c>
      <c r="B550" s="154" t="s">
        <v>5980</v>
      </c>
      <c r="C550" s="154" t="s">
        <v>114</v>
      </c>
      <c r="D550" s="154">
        <v>2021</v>
      </c>
      <c r="E550" s="154" t="s">
        <v>190</v>
      </c>
      <c r="F550" s="173" t="s">
        <v>6118</v>
      </c>
      <c r="G550" s="166">
        <f>(365*FCCL!D51)</f>
        <v>315008.87</v>
      </c>
      <c r="H550" s="166">
        <f>FCCL!D84</f>
        <v>24271.285</v>
      </c>
      <c r="I550" s="164">
        <f t="shared" si="24"/>
        <v>12.978664706050791</v>
      </c>
      <c r="J550" s="164">
        <v>12.978664706050791</v>
      </c>
      <c r="K550" s="168">
        <f t="shared" si="25"/>
        <v>0</v>
      </c>
      <c r="L550" s="164">
        <v>15</v>
      </c>
      <c r="M550" s="154">
        <v>0</v>
      </c>
      <c r="N550" s="154" t="str">
        <f t="shared" si="26"/>
        <v>No fit</v>
      </c>
      <c r="O550" s="173" t="s">
        <v>6936</v>
      </c>
      <c r="P550" s="173" t="s">
        <v>6051</v>
      </c>
    </row>
    <row r="551" spans="1:16" ht="64.05" customHeight="1" x14ac:dyDescent="0.3">
      <c r="A551" s="151" t="s">
        <v>6937</v>
      </c>
      <c r="B551" s="151" t="s">
        <v>5980</v>
      </c>
      <c r="C551" s="151" t="s">
        <v>114</v>
      </c>
      <c r="D551" s="151">
        <v>2021</v>
      </c>
      <c r="E551" s="151" t="s">
        <v>190</v>
      </c>
      <c r="F551" s="174" t="s">
        <v>6121</v>
      </c>
      <c r="G551" s="167">
        <f>(365*FCCL!D51)</f>
        <v>315008.87</v>
      </c>
      <c r="H551" s="167">
        <f>((FCCL!D85*-1)+(FCCL!D65-FCCL!C65))</f>
        <v>18953.271000000001</v>
      </c>
      <c r="I551" s="165">
        <f t="shared" si="24"/>
        <v>16.620290502889976</v>
      </c>
      <c r="J551" s="165">
        <v>16.620290502889976</v>
      </c>
      <c r="K551" s="169">
        <f t="shared" si="25"/>
        <v>0</v>
      </c>
      <c r="L551" s="165">
        <v>15</v>
      </c>
      <c r="M551" s="151">
        <v>0</v>
      </c>
      <c r="N551" s="151" t="str">
        <f t="shared" si="26"/>
        <v>No fit</v>
      </c>
      <c r="O551" s="174" t="s">
        <v>6938</v>
      </c>
      <c r="P551" s="174" t="s">
        <v>6051</v>
      </c>
    </row>
    <row r="552" spans="1:16" ht="64.05" customHeight="1" x14ac:dyDescent="0.3">
      <c r="A552" s="154" t="s">
        <v>6939</v>
      </c>
      <c r="B552" s="154" t="s">
        <v>5980</v>
      </c>
      <c r="C552" s="154" t="s">
        <v>114</v>
      </c>
      <c r="D552" s="154">
        <v>2021</v>
      </c>
      <c r="E552" s="154" t="s">
        <v>190</v>
      </c>
      <c r="F552" s="173" t="s">
        <v>6124</v>
      </c>
      <c r="G552" s="166">
        <f>(365*FCCL!D51)</f>
        <v>315008.87</v>
      </c>
      <c r="H552" s="166">
        <f>((FCCL!D85*-1)+(FCCL!D31-FCCL!C31))</f>
        <v>18208.326000000001</v>
      </c>
      <c r="I552" s="164">
        <f t="shared" si="24"/>
        <v>17.300265274248712</v>
      </c>
      <c r="J552" s="164">
        <v>17.300265274248712</v>
      </c>
      <c r="K552" s="168">
        <f t="shared" si="25"/>
        <v>0</v>
      </c>
      <c r="L552" s="164">
        <v>15</v>
      </c>
      <c r="M552" s="154">
        <v>0</v>
      </c>
      <c r="N552" s="154" t="str">
        <f t="shared" si="26"/>
        <v>No fit</v>
      </c>
      <c r="O552" s="173" t="s">
        <v>6940</v>
      </c>
      <c r="P552" s="173" t="s">
        <v>6051</v>
      </c>
    </row>
    <row r="553" spans="1:16" ht="64.05" customHeight="1" x14ac:dyDescent="0.3">
      <c r="A553" s="151" t="s">
        <v>6941</v>
      </c>
      <c r="B553" s="151" t="s">
        <v>5980</v>
      </c>
      <c r="C553" s="151" t="s">
        <v>114</v>
      </c>
      <c r="D553" s="151">
        <v>2021</v>
      </c>
      <c r="E553" s="151" t="s">
        <v>190</v>
      </c>
      <c r="F553" s="174" t="s">
        <v>6127</v>
      </c>
      <c r="G553" s="167">
        <f>(365*AVERAGE(FCCL!C51,FCCL!D51))</f>
        <v>222216.38</v>
      </c>
      <c r="H553" s="167">
        <f>(FCCL!D85*-1)</f>
        <v>18206.88</v>
      </c>
      <c r="I553" s="165">
        <f t="shared" si="24"/>
        <v>12.205077421282503</v>
      </c>
      <c r="J553" s="165">
        <v>12.205077421282503</v>
      </c>
      <c r="K553" s="169">
        <f t="shared" si="25"/>
        <v>0</v>
      </c>
      <c r="L553" s="165">
        <v>15</v>
      </c>
      <c r="M553" s="151">
        <v>0</v>
      </c>
      <c r="N553" s="151" t="str">
        <f t="shared" si="26"/>
        <v>No fit</v>
      </c>
      <c r="O553" s="174" t="s">
        <v>6942</v>
      </c>
      <c r="P553" s="174" t="s">
        <v>6051</v>
      </c>
    </row>
    <row r="554" spans="1:16" ht="64.05" customHeight="1" x14ac:dyDescent="0.3">
      <c r="A554" s="154" t="s">
        <v>6943</v>
      </c>
      <c r="B554" s="154" t="s">
        <v>5980</v>
      </c>
      <c r="C554" s="154" t="s">
        <v>114</v>
      </c>
      <c r="D554" s="154">
        <v>2021</v>
      </c>
      <c r="E554" s="154" t="s">
        <v>190</v>
      </c>
      <c r="F554" s="173" t="s">
        <v>6130</v>
      </c>
      <c r="G554" s="166">
        <f>(365*AVERAGE(FCCL!C51,FCCL!D51))</f>
        <v>222216.38</v>
      </c>
      <c r="H554" s="166">
        <f>FCCL!D84</f>
        <v>24271.285</v>
      </c>
      <c r="I554" s="164">
        <f t="shared" si="24"/>
        <v>9.1555259641176807</v>
      </c>
      <c r="J554" s="164">
        <v>9.1555259641176807</v>
      </c>
      <c r="K554" s="168">
        <f t="shared" si="25"/>
        <v>0</v>
      </c>
      <c r="L554" s="164">
        <v>15</v>
      </c>
      <c r="M554" s="154">
        <v>0</v>
      </c>
      <c r="N554" s="154" t="str">
        <f t="shared" si="26"/>
        <v>No fit</v>
      </c>
      <c r="O554" s="173" t="s">
        <v>6944</v>
      </c>
      <c r="P554" s="173" t="s">
        <v>6051</v>
      </c>
    </row>
    <row r="555" spans="1:16" ht="64.05" customHeight="1" x14ac:dyDescent="0.3">
      <c r="A555" s="151" t="s">
        <v>6945</v>
      </c>
      <c r="B555" s="151" t="s">
        <v>5980</v>
      </c>
      <c r="C555" s="151" t="s">
        <v>114</v>
      </c>
      <c r="D555" s="151">
        <v>2021</v>
      </c>
      <c r="E555" s="151" t="s">
        <v>190</v>
      </c>
      <c r="F555" s="174" t="s">
        <v>6133</v>
      </c>
      <c r="G555" s="167">
        <f>(365*AVERAGE(FCCL!C51,FCCL!D51))</f>
        <v>222216.38</v>
      </c>
      <c r="H555" s="167">
        <f>((FCCL!D85*-1)+(FCCL!D65-FCCL!C65))</f>
        <v>18953.271000000001</v>
      </c>
      <c r="I555" s="165">
        <f t="shared" si="24"/>
        <v>11.724434267836934</v>
      </c>
      <c r="J555" s="165">
        <v>11.724434267836934</v>
      </c>
      <c r="K555" s="169">
        <f t="shared" si="25"/>
        <v>0</v>
      </c>
      <c r="L555" s="165">
        <v>15</v>
      </c>
      <c r="M555" s="151">
        <v>0</v>
      </c>
      <c r="N555" s="151" t="str">
        <f t="shared" si="26"/>
        <v>No fit</v>
      </c>
      <c r="O555" s="174" t="s">
        <v>6946</v>
      </c>
      <c r="P555" s="174" t="s">
        <v>6051</v>
      </c>
    </row>
    <row r="556" spans="1:16" ht="64.05" customHeight="1" x14ac:dyDescent="0.3">
      <c r="A556" s="154" t="s">
        <v>6947</v>
      </c>
      <c r="B556" s="154" t="s">
        <v>5980</v>
      </c>
      <c r="C556" s="154" t="s">
        <v>114</v>
      </c>
      <c r="D556" s="154">
        <v>2021</v>
      </c>
      <c r="E556" s="154" t="s">
        <v>190</v>
      </c>
      <c r="F556" s="173" t="s">
        <v>6136</v>
      </c>
      <c r="G556" s="166">
        <f>(365*AVERAGE(FCCL!C51,FCCL!D51))</f>
        <v>222216.38</v>
      </c>
      <c r="H556" s="166">
        <f>((FCCL!D85*-1)+(FCCL!D31-FCCL!C31))</f>
        <v>18208.326000000001</v>
      </c>
      <c r="I556" s="164">
        <f t="shared" si="24"/>
        <v>12.204108164583609</v>
      </c>
      <c r="J556" s="164">
        <v>12.204108164583609</v>
      </c>
      <c r="K556" s="168">
        <f t="shared" si="25"/>
        <v>0</v>
      </c>
      <c r="L556" s="164">
        <v>15</v>
      </c>
      <c r="M556" s="154">
        <v>0</v>
      </c>
      <c r="N556" s="154" t="str">
        <f t="shared" si="26"/>
        <v>No fit</v>
      </c>
      <c r="O556" s="173" t="s">
        <v>6948</v>
      </c>
      <c r="P556" s="173" t="s">
        <v>6051</v>
      </c>
    </row>
    <row r="557" spans="1:16" ht="64.05" customHeight="1" x14ac:dyDescent="0.3">
      <c r="A557" s="151" t="s">
        <v>6949</v>
      </c>
      <c r="B557" s="151" t="s">
        <v>5980</v>
      </c>
      <c r="C557" s="151" t="s">
        <v>114</v>
      </c>
      <c r="D557" s="151">
        <v>2021</v>
      </c>
      <c r="E557" s="151" t="s">
        <v>190</v>
      </c>
      <c r="F557" s="174" t="s">
        <v>6139</v>
      </c>
      <c r="G557" s="167">
        <f>(365*FCCL!D50)</f>
        <v>665264.33000000007</v>
      </c>
      <c r="H557" s="167">
        <f>(FCCL!D85*-1)</f>
        <v>18206.88</v>
      </c>
      <c r="I557" s="165">
        <f t="shared" si="24"/>
        <v>36.539172554550809</v>
      </c>
      <c r="J557" s="165">
        <v>36.539172554550809</v>
      </c>
      <c r="K557" s="169">
        <f t="shared" si="25"/>
        <v>0</v>
      </c>
      <c r="L557" s="165">
        <v>15</v>
      </c>
      <c r="M557" s="151">
        <v>0</v>
      </c>
      <c r="N557" s="151" t="str">
        <f t="shared" si="26"/>
        <v>No fit</v>
      </c>
      <c r="O557" s="174" t="s">
        <v>6950</v>
      </c>
      <c r="P557" s="174" t="s">
        <v>6051</v>
      </c>
    </row>
    <row r="558" spans="1:16" ht="64.05" customHeight="1" x14ac:dyDescent="0.3">
      <c r="A558" s="154" t="s">
        <v>6951</v>
      </c>
      <c r="B558" s="154" t="s">
        <v>5980</v>
      </c>
      <c r="C558" s="154" t="s">
        <v>114</v>
      </c>
      <c r="D558" s="154">
        <v>2021</v>
      </c>
      <c r="E558" s="154" t="s">
        <v>190</v>
      </c>
      <c r="F558" s="173" t="s">
        <v>6142</v>
      </c>
      <c r="G558" s="166">
        <f>(365*FCCL!D50)</f>
        <v>665264.33000000007</v>
      </c>
      <c r="H558" s="166">
        <f>FCCL!D84</f>
        <v>24271.285</v>
      </c>
      <c r="I558" s="164">
        <f t="shared" si="24"/>
        <v>27.409522404767614</v>
      </c>
      <c r="J558" s="164">
        <v>27.409522404767614</v>
      </c>
      <c r="K558" s="168">
        <f t="shared" si="25"/>
        <v>0</v>
      </c>
      <c r="L558" s="164">
        <v>15</v>
      </c>
      <c r="M558" s="154">
        <v>0</v>
      </c>
      <c r="N558" s="154" t="str">
        <f t="shared" si="26"/>
        <v>No fit</v>
      </c>
      <c r="O558" s="173" t="s">
        <v>6952</v>
      </c>
      <c r="P558" s="173" t="s">
        <v>6051</v>
      </c>
    </row>
    <row r="559" spans="1:16" ht="64.05" customHeight="1" x14ac:dyDescent="0.3">
      <c r="A559" s="151" t="s">
        <v>6953</v>
      </c>
      <c r="B559" s="151" t="s">
        <v>5980</v>
      </c>
      <c r="C559" s="151" t="s">
        <v>114</v>
      </c>
      <c r="D559" s="151">
        <v>2021</v>
      </c>
      <c r="E559" s="151" t="s">
        <v>190</v>
      </c>
      <c r="F559" s="174" t="s">
        <v>6145</v>
      </c>
      <c r="G559" s="167">
        <f>(365*FCCL!D50)</f>
        <v>665264.33000000007</v>
      </c>
      <c r="H559" s="167">
        <f>((FCCL!D85*-1)+(FCCL!D65-FCCL!C65))</f>
        <v>18953.271000000001</v>
      </c>
      <c r="I559" s="165">
        <f t="shared" si="24"/>
        <v>35.100238370463863</v>
      </c>
      <c r="J559" s="165">
        <v>35.100238370463863</v>
      </c>
      <c r="K559" s="169">
        <f t="shared" si="25"/>
        <v>0</v>
      </c>
      <c r="L559" s="165">
        <v>15</v>
      </c>
      <c r="M559" s="151">
        <v>0</v>
      </c>
      <c r="N559" s="151" t="str">
        <f t="shared" si="26"/>
        <v>No fit</v>
      </c>
      <c r="O559" s="174" t="s">
        <v>6954</v>
      </c>
      <c r="P559" s="174" t="s">
        <v>6051</v>
      </c>
    </row>
    <row r="560" spans="1:16" ht="64.05" customHeight="1" x14ac:dyDescent="0.3">
      <c r="A560" s="154" t="s">
        <v>6955</v>
      </c>
      <c r="B560" s="154" t="s">
        <v>5980</v>
      </c>
      <c r="C560" s="154" t="s">
        <v>114</v>
      </c>
      <c r="D560" s="154">
        <v>2021</v>
      </c>
      <c r="E560" s="154" t="s">
        <v>190</v>
      </c>
      <c r="F560" s="173" t="s">
        <v>6148</v>
      </c>
      <c r="G560" s="166">
        <f>(365*FCCL!D50)</f>
        <v>665264.33000000007</v>
      </c>
      <c r="H560" s="166">
        <f>((FCCL!D85*-1)+(FCCL!D31-FCCL!C31))</f>
        <v>18208.326000000001</v>
      </c>
      <c r="I560" s="164">
        <f t="shared" si="24"/>
        <v>36.536270824676585</v>
      </c>
      <c r="J560" s="164">
        <v>36.536270824676585</v>
      </c>
      <c r="K560" s="168">
        <f t="shared" si="25"/>
        <v>0</v>
      </c>
      <c r="L560" s="164">
        <v>15</v>
      </c>
      <c r="M560" s="154">
        <v>0</v>
      </c>
      <c r="N560" s="154" t="str">
        <f t="shared" si="26"/>
        <v>No fit</v>
      </c>
      <c r="O560" s="173" t="s">
        <v>6956</v>
      </c>
      <c r="P560" s="173" t="s">
        <v>6051</v>
      </c>
    </row>
    <row r="561" spans="1:16" ht="64.05" customHeight="1" x14ac:dyDescent="0.3">
      <c r="A561" s="151" t="s">
        <v>6957</v>
      </c>
      <c r="B561" s="151" t="s">
        <v>5980</v>
      </c>
      <c r="C561" s="151" t="s">
        <v>114</v>
      </c>
      <c r="D561" s="151">
        <v>2021</v>
      </c>
      <c r="E561" s="151" t="s">
        <v>190</v>
      </c>
      <c r="F561" s="174" t="s">
        <v>5780</v>
      </c>
      <c r="G561" s="167">
        <f>(365*AVERAGE(FCCL!C50,FCCL!D50))</f>
        <v>544924.55999999994</v>
      </c>
      <c r="H561" s="167">
        <f>(FCCL!D85*-1)</f>
        <v>18206.88</v>
      </c>
      <c r="I561" s="165">
        <f t="shared" si="24"/>
        <v>29.929595845087128</v>
      </c>
      <c r="J561" s="165">
        <v>29.929595845087128</v>
      </c>
      <c r="K561" s="169">
        <f t="shared" si="25"/>
        <v>0</v>
      </c>
      <c r="L561" s="165">
        <v>15</v>
      </c>
      <c r="M561" s="151">
        <v>0</v>
      </c>
      <c r="N561" s="151" t="str">
        <f t="shared" si="26"/>
        <v>No fit</v>
      </c>
      <c r="O561" s="174" t="s">
        <v>6958</v>
      </c>
      <c r="P561" s="174" t="s">
        <v>6051</v>
      </c>
    </row>
    <row r="562" spans="1:16" ht="64.05" customHeight="1" x14ac:dyDescent="0.3">
      <c r="A562" s="154" t="s">
        <v>6959</v>
      </c>
      <c r="B562" s="154" t="s">
        <v>5980</v>
      </c>
      <c r="C562" s="154" t="s">
        <v>114</v>
      </c>
      <c r="D562" s="154">
        <v>2021</v>
      </c>
      <c r="E562" s="154" t="s">
        <v>190</v>
      </c>
      <c r="F562" s="173" t="s">
        <v>6153</v>
      </c>
      <c r="G562" s="166">
        <f>(365*AVERAGE(FCCL!C50,FCCL!D50))</f>
        <v>544924.55999999994</v>
      </c>
      <c r="H562" s="166">
        <f>FCCL!D84</f>
        <v>24271.285</v>
      </c>
      <c r="I562" s="164">
        <f t="shared" si="24"/>
        <v>22.451409556601554</v>
      </c>
      <c r="J562" s="164">
        <v>22.451409556601554</v>
      </c>
      <c r="K562" s="168">
        <f t="shared" si="25"/>
        <v>0</v>
      </c>
      <c r="L562" s="164">
        <v>15</v>
      </c>
      <c r="M562" s="154">
        <v>0</v>
      </c>
      <c r="N562" s="154" t="str">
        <f t="shared" si="26"/>
        <v>No fit</v>
      </c>
      <c r="O562" s="173" t="s">
        <v>6960</v>
      </c>
      <c r="P562" s="173" t="s">
        <v>6051</v>
      </c>
    </row>
    <row r="563" spans="1:16" ht="64.05" customHeight="1" x14ac:dyDescent="0.3">
      <c r="A563" s="151" t="s">
        <v>6961</v>
      </c>
      <c r="B563" s="151" t="s">
        <v>5980</v>
      </c>
      <c r="C563" s="151" t="s">
        <v>114</v>
      </c>
      <c r="D563" s="151">
        <v>2021</v>
      </c>
      <c r="E563" s="151" t="s">
        <v>190</v>
      </c>
      <c r="F563" s="174" t="s">
        <v>6156</v>
      </c>
      <c r="G563" s="167">
        <f>(365*AVERAGE(FCCL!C50,FCCL!D50))</f>
        <v>544924.55999999994</v>
      </c>
      <c r="H563" s="167">
        <f>((FCCL!D85*-1)+(FCCL!D65-FCCL!C65))</f>
        <v>18953.271000000001</v>
      </c>
      <c r="I563" s="165">
        <f t="shared" si="24"/>
        <v>28.750950693418563</v>
      </c>
      <c r="J563" s="165">
        <v>28.750950693418563</v>
      </c>
      <c r="K563" s="169">
        <f t="shared" si="25"/>
        <v>0</v>
      </c>
      <c r="L563" s="165">
        <v>15</v>
      </c>
      <c r="M563" s="151">
        <v>0</v>
      </c>
      <c r="N563" s="151" t="str">
        <f t="shared" si="26"/>
        <v>No fit</v>
      </c>
      <c r="O563" s="174" t="s">
        <v>6962</v>
      </c>
      <c r="P563" s="174" t="s">
        <v>6051</v>
      </c>
    </row>
    <row r="564" spans="1:16" ht="64.05" customHeight="1" x14ac:dyDescent="0.3">
      <c r="A564" s="154" t="s">
        <v>6963</v>
      </c>
      <c r="B564" s="154" t="s">
        <v>5980</v>
      </c>
      <c r="C564" s="154" t="s">
        <v>114</v>
      </c>
      <c r="D564" s="154">
        <v>2021</v>
      </c>
      <c r="E564" s="154" t="s">
        <v>190</v>
      </c>
      <c r="F564" s="173" t="s">
        <v>6159</v>
      </c>
      <c r="G564" s="166">
        <f>(365*AVERAGE(FCCL!C50,FCCL!D50))</f>
        <v>544924.55999999994</v>
      </c>
      <c r="H564" s="166">
        <f>((FCCL!D85*-1)+(FCCL!D31-FCCL!C31))</f>
        <v>18208.326000000001</v>
      </c>
      <c r="I564" s="164">
        <f t="shared" si="24"/>
        <v>29.927219009589344</v>
      </c>
      <c r="J564" s="164">
        <v>29.927219009589344</v>
      </c>
      <c r="K564" s="168">
        <f t="shared" si="25"/>
        <v>0</v>
      </c>
      <c r="L564" s="164">
        <v>15</v>
      </c>
      <c r="M564" s="154">
        <v>0</v>
      </c>
      <c r="N564" s="154" t="str">
        <f t="shared" si="26"/>
        <v>No fit</v>
      </c>
      <c r="O564" s="173" t="s">
        <v>6964</v>
      </c>
      <c r="P564" s="173" t="s">
        <v>6051</v>
      </c>
    </row>
    <row r="565" spans="1:16" ht="64.05" customHeight="1" x14ac:dyDescent="0.3">
      <c r="A565" s="151" t="s">
        <v>6965</v>
      </c>
      <c r="B565" s="151" t="s">
        <v>5980</v>
      </c>
      <c r="C565" s="151" t="s">
        <v>114</v>
      </c>
      <c r="D565" s="151">
        <v>2021</v>
      </c>
      <c r="E565" s="151" t="s">
        <v>190</v>
      </c>
      <c r="F565" s="174" t="s">
        <v>6162</v>
      </c>
      <c r="G565" s="167">
        <f>(365*AVERAGE((((FCCL!C61-FCCL!C54)-FCCL!C55)-FCCL!C56),(((FCCL!D61-FCCL!D54)-FCCL!D55)-FCCL!D56)))</f>
        <v>1303896.2524999999</v>
      </c>
      <c r="H565" s="167">
        <f>(FCCL!D85*-1)</f>
        <v>18206.88</v>
      </c>
      <c r="I565" s="165">
        <f t="shared" si="24"/>
        <v>71.615578973442993</v>
      </c>
      <c r="J565" s="165">
        <v>71.615578973443007</v>
      </c>
      <c r="K565" s="169">
        <f t="shared" si="25"/>
        <v>0</v>
      </c>
      <c r="L565" s="165">
        <v>15</v>
      </c>
      <c r="M565" s="151">
        <v>0</v>
      </c>
      <c r="N565" s="151" t="str">
        <f t="shared" si="26"/>
        <v>No fit</v>
      </c>
      <c r="O565" s="174" t="s">
        <v>6966</v>
      </c>
      <c r="P565" s="174" t="s">
        <v>6051</v>
      </c>
    </row>
    <row r="566" spans="1:16" ht="64.05" customHeight="1" x14ac:dyDescent="0.3">
      <c r="A566" s="154" t="s">
        <v>6967</v>
      </c>
      <c r="B566" s="154" t="s">
        <v>5980</v>
      </c>
      <c r="C566" s="154" t="s">
        <v>114</v>
      </c>
      <c r="D566" s="154">
        <v>2021</v>
      </c>
      <c r="E566" s="154" t="s">
        <v>190</v>
      </c>
      <c r="F566" s="173" t="s">
        <v>6165</v>
      </c>
      <c r="G566" s="166">
        <f>(365*AVERAGE((((FCCL!C61-FCCL!C54)-FCCL!C55)-FCCL!C56),(((FCCL!D61-FCCL!D54)-FCCL!D55)-FCCL!D56)))</f>
        <v>1303896.2524999999</v>
      </c>
      <c r="H566" s="166">
        <f>FCCL!D84</f>
        <v>24271.285</v>
      </c>
      <c r="I566" s="164">
        <f t="shared" si="24"/>
        <v>53.721764319441675</v>
      </c>
      <c r="J566" s="164">
        <v>53.721764319441682</v>
      </c>
      <c r="K566" s="168">
        <f t="shared" si="25"/>
        <v>0</v>
      </c>
      <c r="L566" s="164">
        <v>15</v>
      </c>
      <c r="M566" s="154">
        <v>0</v>
      </c>
      <c r="N566" s="154" t="str">
        <f t="shared" si="26"/>
        <v>No fit</v>
      </c>
      <c r="O566" s="173" t="s">
        <v>6968</v>
      </c>
      <c r="P566" s="173" t="s">
        <v>6051</v>
      </c>
    </row>
    <row r="567" spans="1:16" ht="64.05" customHeight="1" x14ac:dyDescent="0.3">
      <c r="A567" s="151" t="s">
        <v>6969</v>
      </c>
      <c r="B567" s="151" t="s">
        <v>5980</v>
      </c>
      <c r="C567" s="151" t="s">
        <v>114</v>
      </c>
      <c r="D567" s="151">
        <v>2021</v>
      </c>
      <c r="E567" s="151" t="s">
        <v>190</v>
      </c>
      <c r="F567" s="174" t="s">
        <v>6168</v>
      </c>
      <c r="G567" s="167">
        <f>(365*AVERAGE((((FCCL!C61-FCCL!C54)-FCCL!C55)-FCCL!C56),(((FCCL!D61-FCCL!D54)-FCCL!D55)-FCCL!D56)))</f>
        <v>1303896.2524999999</v>
      </c>
      <c r="H567" s="167">
        <f>((FCCL!D85*-1)+(FCCL!D65-FCCL!C65))</f>
        <v>18953.271000000001</v>
      </c>
      <c r="I567" s="165">
        <f t="shared" si="24"/>
        <v>68.7953151991548</v>
      </c>
      <c r="J567" s="165">
        <v>68.795315199154814</v>
      </c>
      <c r="K567" s="169">
        <f t="shared" si="25"/>
        <v>0</v>
      </c>
      <c r="L567" s="165">
        <v>15</v>
      </c>
      <c r="M567" s="151">
        <v>0</v>
      </c>
      <c r="N567" s="151" t="str">
        <f t="shared" si="26"/>
        <v>No fit</v>
      </c>
      <c r="O567" s="174" t="s">
        <v>6970</v>
      </c>
      <c r="P567" s="174" t="s">
        <v>6051</v>
      </c>
    </row>
    <row r="568" spans="1:16" ht="64.05" customHeight="1" x14ac:dyDescent="0.3">
      <c r="A568" s="154" t="s">
        <v>6971</v>
      </c>
      <c r="B568" s="154" t="s">
        <v>5980</v>
      </c>
      <c r="C568" s="154" t="s">
        <v>114</v>
      </c>
      <c r="D568" s="154">
        <v>2021</v>
      </c>
      <c r="E568" s="154" t="s">
        <v>190</v>
      </c>
      <c r="F568" s="173" t="s">
        <v>6171</v>
      </c>
      <c r="G568" s="166">
        <f>(365*AVERAGE((((FCCL!C61-FCCL!C54)-FCCL!C55)-FCCL!C56),(((FCCL!D61-FCCL!D54)-FCCL!D55)-FCCL!D56)))</f>
        <v>1303896.2524999999</v>
      </c>
      <c r="H568" s="166">
        <f>((FCCL!D85*-1)+(FCCL!D31-FCCL!C31))</f>
        <v>18208.326000000001</v>
      </c>
      <c r="I568" s="164">
        <f t="shared" si="24"/>
        <v>71.609891678125706</v>
      </c>
      <c r="J568" s="164">
        <v>71.60989167812572</v>
      </c>
      <c r="K568" s="168">
        <f t="shared" si="25"/>
        <v>0</v>
      </c>
      <c r="L568" s="164">
        <v>15</v>
      </c>
      <c r="M568" s="154">
        <v>0</v>
      </c>
      <c r="N568" s="154" t="str">
        <f t="shared" si="26"/>
        <v>No fit</v>
      </c>
      <c r="O568" s="173" t="s">
        <v>6972</v>
      </c>
      <c r="P568" s="173" t="s">
        <v>6051</v>
      </c>
    </row>
    <row r="569" spans="1:16" ht="64.05" customHeight="1" x14ac:dyDescent="0.3">
      <c r="A569" s="151" t="s">
        <v>6973</v>
      </c>
      <c r="B569" s="151" t="s">
        <v>5980</v>
      </c>
      <c r="C569" s="151" t="s">
        <v>114</v>
      </c>
      <c r="D569" s="151">
        <v>2021</v>
      </c>
      <c r="E569" s="151" t="s">
        <v>190</v>
      </c>
      <c r="F569" s="174" t="s">
        <v>6974</v>
      </c>
      <c r="G569" s="167">
        <f>(365*(FCCL!D51+'Forensic Inputs'!$G$83))</f>
        <v>326941.08500000002</v>
      </c>
      <c r="H569" s="167">
        <f>(FCCL!D85*-1)</f>
        <v>18206.88</v>
      </c>
      <c r="I569" s="165">
        <f t="shared" si="24"/>
        <v>17.957007735537335</v>
      </c>
      <c r="J569" s="165">
        <v>17.957007735537335</v>
      </c>
      <c r="K569" s="169">
        <f t="shared" si="25"/>
        <v>0</v>
      </c>
      <c r="L569" s="165">
        <v>15</v>
      </c>
      <c r="M569" s="151">
        <v>0</v>
      </c>
      <c r="N569" s="151" t="str">
        <f t="shared" si="26"/>
        <v>No fit</v>
      </c>
      <c r="O569" s="174" t="s">
        <v>6975</v>
      </c>
      <c r="P569" s="174" t="s">
        <v>6051</v>
      </c>
    </row>
    <row r="570" spans="1:16" ht="64.05" customHeight="1" x14ac:dyDescent="0.3">
      <c r="A570" s="154" t="s">
        <v>6976</v>
      </c>
      <c r="B570" s="154" t="s">
        <v>5980</v>
      </c>
      <c r="C570" s="154" t="s">
        <v>114</v>
      </c>
      <c r="D570" s="154">
        <v>2021</v>
      </c>
      <c r="E570" s="154" t="s">
        <v>190</v>
      </c>
      <c r="F570" s="173" t="s">
        <v>6977</v>
      </c>
      <c r="G570" s="166">
        <f>(365*(FCCL!D51+'Forensic Inputs'!$G$83))</f>
        <v>326941.08500000002</v>
      </c>
      <c r="H570" s="166">
        <f>FCCL!D84</f>
        <v>24271.285</v>
      </c>
      <c r="I570" s="164">
        <f t="shared" si="24"/>
        <v>13.470283299792328</v>
      </c>
      <c r="J570" s="164">
        <v>13.470283299792328</v>
      </c>
      <c r="K570" s="168">
        <f t="shared" si="25"/>
        <v>0</v>
      </c>
      <c r="L570" s="164">
        <v>15</v>
      </c>
      <c r="M570" s="154">
        <v>0</v>
      </c>
      <c r="N570" s="154" t="str">
        <f t="shared" si="26"/>
        <v>No fit</v>
      </c>
      <c r="O570" s="173" t="s">
        <v>6978</v>
      </c>
      <c r="P570" s="173" t="s">
        <v>6051</v>
      </c>
    </row>
    <row r="571" spans="1:16" ht="64.05" customHeight="1" x14ac:dyDescent="0.3">
      <c r="A571" s="151" t="s">
        <v>6979</v>
      </c>
      <c r="B571" s="151" t="s">
        <v>5980</v>
      </c>
      <c r="C571" s="151" t="s">
        <v>114</v>
      </c>
      <c r="D571" s="151">
        <v>2021</v>
      </c>
      <c r="E571" s="151" t="s">
        <v>190</v>
      </c>
      <c r="F571" s="174" t="s">
        <v>6980</v>
      </c>
      <c r="G571" s="167">
        <f>(365*(FCCL!D51+'Forensic Inputs'!$G$83))</f>
        <v>326941.08500000002</v>
      </c>
      <c r="H571" s="167">
        <f>((FCCL!D85*-1)+(FCCL!D65-FCCL!C65))</f>
        <v>18953.271000000001</v>
      </c>
      <c r="I571" s="165">
        <f t="shared" si="24"/>
        <v>17.249850170981041</v>
      </c>
      <c r="J571" s="165">
        <v>17.249850170981041</v>
      </c>
      <c r="K571" s="169">
        <f t="shared" si="25"/>
        <v>0</v>
      </c>
      <c r="L571" s="165">
        <v>15</v>
      </c>
      <c r="M571" s="151">
        <v>0</v>
      </c>
      <c r="N571" s="151" t="str">
        <f t="shared" si="26"/>
        <v>No fit</v>
      </c>
      <c r="O571" s="174" t="s">
        <v>6981</v>
      </c>
      <c r="P571" s="174" t="s">
        <v>6051</v>
      </c>
    </row>
    <row r="572" spans="1:16" ht="64.05" customHeight="1" x14ac:dyDescent="0.3">
      <c r="A572" s="154" t="s">
        <v>6982</v>
      </c>
      <c r="B572" s="154" t="s">
        <v>5980</v>
      </c>
      <c r="C572" s="154" t="s">
        <v>114</v>
      </c>
      <c r="D572" s="154">
        <v>2021</v>
      </c>
      <c r="E572" s="154" t="s">
        <v>190</v>
      </c>
      <c r="F572" s="173" t="s">
        <v>6983</v>
      </c>
      <c r="G572" s="166">
        <f>(365*(FCCL!D51+'Forensic Inputs'!$G$83))</f>
        <v>326941.08500000002</v>
      </c>
      <c r="H572" s="166">
        <f>((FCCL!D85*-1)+(FCCL!D31-FCCL!C31))</f>
        <v>18208.326000000001</v>
      </c>
      <c r="I572" s="164">
        <f t="shared" si="24"/>
        <v>17.955581693781184</v>
      </c>
      <c r="J572" s="164">
        <v>17.955581693781184</v>
      </c>
      <c r="K572" s="168">
        <f t="shared" si="25"/>
        <v>0</v>
      </c>
      <c r="L572" s="164">
        <v>15</v>
      </c>
      <c r="M572" s="154">
        <v>0</v>
      </c>
      <c r="N572" s="154" t="str">
        <f t="shared" si="26"/>
        <v>No fit</v>
      </c>
      <c r="O572" s="173" t="s">
        <v>6984</v>
      </c>
      <c r="P572" s="173" t="s">
        <v>6051</v>
      </c>
    </row>
    <row r="573" spans="1:16" ht="64.05" customHeight="1" x14ac:dyDescent="0.3">
      <c r="A573" s="151" t="s">
        <v>6985</v>
      </c>
      <c r="B573" s="151" t="s">
        <v>5980</v>
      </c>
      <c r="C573" s="151" t="s">
        <v>114</v>
      </c>
      <c r="D573" s="151">
        <v>2021</v>
      </c>
      <c r="E573" s="151" t="s">
        <v>190</v>
      </c>
      <c r="F573" s="174" t="s">
        <v>6986</v>
      </c>
      <c r="G573" s="167">
        <f>(365*AVERAGE((FCCL!C51+'Forensic Inputs'!$G$82),(FCCL!D51+'Forensic Inputs'!$G$83)))</f>
        <v>235278.63500000001</v>
      </c>
      <c r="H573" s="167">
        <f>(FCCL!D85*-1)</f>
        <v>18206.88</v>
      </c>
      <c r="I573" s="165">
        <f t="shared" si="24"/>
        <v>12.922512533723514</v>
      </c>
      <c r="J573" s="165">
        <v>12.922512533723514</v>
      </c>
      <c r="K573" s="169">
        <f t="shared" si="25"/>
        <v>0</v>
      </c>
      <c r="L573" s="165">
        <v>15</v>
      </c>
      <c r="M573" s="151">
        <v>0</v>
      </c>
      <c r="N573" s="151" t="str">
        <f t="shared" si="26"/>
        <v>No fit</v>
      </c>
      <c r="O573" s="174" t="s">
        <v>6987</v>
      </c>
      <c r="P573" s="174" t="s">
        <v>6051</v>
      </c>
    </row>
    <row r="574" spans="1:16" ht="64.05" customHeight="1" x14ac:dyDescent="0.3">
      <c r="A574" s="154" t="s">
        <v>6988</v>
      </c>
      <c r="B574" s="154" t="s">
        <v>5980</v>
      </c>
      <c r="C574" s="154" t="s">
        <v>114</v>
      </c>
      <c r="D574" s="154">
        <v>2021</v>
      </c>
      <c r="E574" s="154" t="s">
        <v>190</v>
      </c>
      <c r="F574" s="173" t="s">
        <v>6989</v>
      </c>
      <c r="G574" s="166">
        <f>(365*AVERAGE((FCCL!C51+'Forensic Inputs'!$G$82),(FCCL!D51+'Forensic Inputs'!$G$83)))</f>
        <v>235278.63500000001</v>
      </c>
      <c r="H574" s="166">
        <f>FCCL!D84</f>
        <v>24271.285</v>
      </c>
      <c r="I574" s="164">
        <f t="shared" si="24"/>
        <v>9.6937032794102169</v>
      </c>
      <c r="J574" s="164">
        <v>9.6937032794102169</v>
      </c>
      <c r="K574" s="168">
        <f t="shared" si="25"/>
        <v>0</v>
      </c>
      <c r="L574" s="164">
        <v>15</v>
      </c>
      <c r="M574" s="154">
        <v>0</v>
      </c>
      <c r="N574" s="154" t="str">
        <f t="shared" si="26"/>
        <v>No fit</v>
      </c>
      <c r="O574" s="173" t="s">
        <v>6990</v>
      </c>
      <c r="P574" s="173" t="s">
        <v>6051</v>
      </c>
    </row>
    <row r="575" spans="1:16" ht="64.05" customHeight="1" x14ac:dyDescent="0.3">
      <c r="A575" s="151" t="s">
        <v>6991</v>
      </c>
      <c r="B575" s="151" t="s">
        <v>5980</v>
      </c>
      <c r="C575" s="151" t="s">
        <v>114</v>
      </c>
      <c r="D575" s="151">
        <v>2021</v>
      </c>
      <c r="E575" s="151" t="s">
        <v>190</v>
      </c>
      <c r="F575" s="174" t="s">
        <v>6992</v>
      </c>
      <c r="G575" s="167">
        <f>(365*AVERAGE((FCCL!C51+'Forensic Inputs'!$G$82),(FCCL!D51+'Forensic Inputs'!$G$83)))</f>
        <v>235278.63500000001</v>
      </c>
      <c r="H575" s="167">
        <f>((FCCL!D85*-1)+(FCCL!D65-FCCL!C65))</f>
        <v>18953.271000000001</v>
      </c>
      <c r="I575" s="165">
        <f t="shared" si="24"/>
        <v>12.4136163620517</v>
      </c>
      <c r="J575" s="165">
        <v>12.4136163620517</v>
      </c>
      <c r="K575" s="169">
        <f t="shared" si="25"/>
        <v>0</v>
      </c>
      <c r="L575" s="165">
        <v>15</v>
      </c>
      <c r="M575" s="151">
        <v>0</v>
      </c>
      <c r="N575" s="151" t="str">
        <f t="shared" si="26"/>
        <v>No fit</v>
      </c>
      <c r="O575" s="174" t="s">
        <v>6993</v>
      </c>
      <c r="P575" s="174" t="s">
        <v>6051</v>
      </c>
    </row>
    <row r="576" spans="1:16" ht="64.05" customHeight="1" x14ac:dyDescent="0.3">
      <c r="A576" s="154" t="s">
        <v>6994</v>
      </c>
      <c r="B576" s="154" t="s">
        <v>5980</v>
      </c>
      <c r="C576" s="154" t="s">
        <v>114</v>
      </c>
      <c r="D576" s="154">
        <v>2021</v>
      </c>
      <c r="E576" s="154" t="s">
        <v>190</v>
      </c>
      <c r="F576" s="173" t="s">
        <v>6995</v>
      </c>
      <c r="G576" s="166">
        <f>(365*AVERAGE((FCCL!C51+'Forensic Inputs'!$G$82),(FCCL!D51+'Forensic Inputs'!$G$83)))</f>
        <v>235278.63500000001</v>
      </c>
      <c r="H576" s="166">
        <f>((FCCL!D85*-1)+(FCCL!D31-FCCL!C31))</f>
        <v>18208.326000000001</v>
      </c>
      <c r="I576" s="164">
        <f t="shared" si="24"/>
        <v>12.921486302475033</v>
      </c>
      <c r="J576" s="164">
        <v>12.921486302475033</v>
      </c>
      <c r="K576" s="168">
        <f t="shared" si="25"/>
        <v>0</v>
      </c>
      <c r="L576" s="164">
        <v>15</v>
      </c>
      <c r="M576" s="154">
        <v>0</v>
      </c>
      <c r="N576" s="154" t="str">
        <f t="shared" si="26"/>
        <v>No fit</v>
      </c>
      <c r="O576" s="173" t="s">
        <v>6996</v>
      </c>
      <c r="P576" s="173" t="s">
        <v>6051</v>
      </c>
    </row>
    <row r="577" spans="1:16" ht="64.05" customHeight="1" x14ac:dyDescent="0.3">
      <c r="A577" s="151" t="s">
        <v>6997</v>
      </c>
      <c r="B577" s="151" t="s">
        <v>5980</v>
      </c>
      <c r="C577" s="151" t="s">
        <v>114</v>
      </c>
      <c r="D577" s="151">
        <v>2021</v>
      </c>
      <c r="E577" s="151" t="s">
        <v>190</v>
      </c>
      <c r="F577" s="174" t="s">
        <v>6998</v>
      </c>
      <c r="G577" s="167">
        <f>(365*(FCCL!D51+'Forensic Inputs'!$G$89))</f>
        <v>882545.54500000004</v>
      </c>
      <c r="H577" s="167">
        <f>(FCCL!D85*-1)</f>
        <v>18206.88</v>
      </c>
      <c r="I577" s="165">
        <f t="shared" si="24"/>
        <v>48.473189530551089</v>
      </c>
      <c r="J577" s="165">
        <v>48.473189530551089</v>
      </c>
      <c r="K577" s="169">
        <f t="shared" si="25"/>
        <v>0</v>
      </c>
      <c r="L577" s="165">
        <v>15</v>
      </c>
      <c r="M577" s="151">
        <v>0</v>
      </c>
      <c r="N577" s="151" t="str">
        <f t="shared" si="26"/>
        <v>No fit</v>
      </c>
      <c r="O577" s="174" t="s">
        <v>6999</v>
      </c>
      <c r="P577" s="174" t="s">
        <v>6051</v>
      </c>
    </row>
    <row r="578" spans="1:16" ht="64.05" customHeight="1" x14ac:dyDescent="0.3">
      <c r="A578" s="154" t="s">
        <v>7000</v>
      </c>
      <c r="B578" s="154" t="s">
        <v>5980</v>
      </c>
      <c r="C578" s="154" t="s">
        <v>114</v>
      </c>
      <c r="D578" s="154">
        <v>2021</v>
      </c>
      <c r="E578" s="154" t="s">
        <v>190</v>
      </c>
      <c r="F578" s="173" t="s">
        <v>7001</v>
      </c>
      <c r="G578" s="166">
        <f>(365*(FCCL!D51+'Forensic Inputs'!$G$89))</f>
        <v>882545.54500000004</v>
      </c>
      <c r="H578" s="166">
        <f>FCCL!D84</f>
        <v>24271.285</v>
      </c>
      <c r="I578" s="164">
        <f t="shared" si="24"/>
        <v>36.361714882421758</v>
      </c>
      <c r="J578" s="164">
        <v>36.361714882421758</v>
      </c>
      <c r="K578" s="168">
        <f t="shared" si="25"/>
        <v>0</v>
      </c>
      <c r="L578" s="164">
        <v>15</v>
      </c>
      <c r="M578" s="154">
        <v>0</v>
      </c>
      <c r="N578" s="154" t="str">
        <f t="shared" si="26"/>
        <v>No fit</v>
      </c>
      <c r="O578" s="173" t="s">
        <v>7002</v>
      </c>
      <c r="P578" s="173" t="s">
        <v>6051</v>
      </c>
    </row>
    <row r="579" spans="1:16" ht="64.05" customHeight="1" x14ac:dyDescent="0.3">
      <c r="A579" s="151" t="s">
        <v>7003</v>
      </c>
      <c r="B579" s="151" t="s">
        <v>5980</v>
      </c>
      <c r="C579" s="151" t="s">
        <v>114</v>
      </c>
      <c r="D579" s="151">
        <v>2021</v>
      </c>
      <c r="E579" s="151" t="s">
        <v>190</v>
      </c>
      <c r="F579" s="174" t="s">
        <v>7004</v>
      </c>
      <c r="G579" s="167">
        <f>(365*(FCCL!D51+'Forensic Inputs'!$G$89))</f>
        <v>882545.54500000004</v>
      </c>
      <c r="H579" s="167">
        <f>((FCCL!D85*-1)+(FCCL!D65-FCCL!C65))</f>
        <v>18953.271000000001</v>
      </c>
      <c r="I579" s="165">
        <f t="shared" si="24"/>
        <v>46.564286713359401</v>
      </c>
      <c r="J579" s="165">
        <v>46.564286713359401</v>
      </c>
      <c r="K579" s="169">
        <f t="shared" si="25"/>
        <v>0</v>
      </c>
      <c r="L579" s="165">
        <v>15</v>
      </c>
      <c r="M579" s="151">
        <v>0</v>
      </c>
      <c r="N579" s="151" t="str">
        <f t="shared" si="26"/>
        <v>No fit</v>
      </c>
      <c r="O579" s="174" t="s">
        <v>7005</v>
      </c>
      <c r="P579" s="174" t="s">
        <v>6051</v>
      </c>
    </row>
    <row r="580" spans="1:16" ht="64.05" customHeight="1" x14ac:dyDescent="0.3">
      <c r="A580" s="154" t="s">
        <v>7006</v>
      </c>
      <c r="B580" s="154" t="s">
        <v>5980</v>
      </c>
      <c r="C580" s="154" t="s">
        <v>114</v>
      </c>
      <c r="D580" s="154">
        <v>2021</v>
      </c>
      <c r="E580" s="154" t="s">
        <v>190</v>
      </c>
      <c r="F580" s="173" t="s">
        <v>7007</v>
      </c>
      <c r="G580" s="166">
        <f>(365*(FCCL!D51+'Forensic Inputs'!$G$89))</f>
        <v>882545.54500000004</v>
      </c>
      <c r="H580" s="166">
        <f>((FCCL!D85*-1)+(FCCL!D31-FCCL!C31))</f>
        <v>18208.326000000001</v>
      </c>
      <c r="I580" s="164">
        <f t="shared" si="24"/>
        <v>48.469340070031699</v>
      </c>
      <c r="J580" s="164">
        <v>48.469340070031699</v>
      </c>
      <c r="K580" s="168">
        <f t="shared" si="25"/>
        <v>0</v>
      </c>
      <c r="L580" s="164">
        <v>15</v>
      </c>
      <c r="M580" s="154">
        <v>0</v>
      </c>
      <c r="N580" s="154" t="str">
        <f t="shared" si="26"/>
        <v>No fit</v>
      </c>
      <c r="O580" s="173" t="s">
        <v>7008</v>
      </c>
      <c r="P580" s="173" t="s">
        <v>6051</v>
      </c>
    </row>
    <row r="581" spans="1:16" ht="64.05" customHeight="1" x14ac:dyDescent="0.3">
      <c r="A581" s="151" t="s">
        <v>7009</v>
      </c>
      <c r="B581" s="151" t="s">
        <v>5980</v>
      </c>
      <c r="C581" s="151" t="s">
        <v>114</v>
      </c>
      <c r="D581" s="151">
        <v>2021</v>
      </c>
      <c r="E581" s="151" t="s">
        <v>190</v>
      </c>
      <c r="F581" s="174" t="s">
        <v>7010</v>
      </c>
      <c r="G581" s="167">
        <f>(365*AVERAGE((FCCL!C51+'Forensic Inputs'!$G$88),(FCCL!D51+'Forensic Inputs'!$G$89)))</f>
        <v>710789.32</v>
      </c>
      <c r="H581" s="167">
        <f>(FCCL!D85*-1)</f>
        <v>18206.88</v>
      </c>
      <c r="I581" s="165">
        <f t="shared" si="24"/>
        <v>39.039600414788254</v>
      </c>
      <c r="J581" s="165">
        <v>39.039600414788254</v>
      </c>
      <c r="K581" s="169">
        <f t="shared" si="25"/>
        <v>0</v>
      </c>
      <c r="L581" s="165">
        <v>15</v>
      </c>
      <c r="M581" s="151">
        <v>0</v>
      </c>
      <c r="N581" s="151" t="str">
        <f t="shared" si="26"/>
        <v>No fit</v>
      </c>
      <c r="O581" s="174" t="s">
        <v>7011</v>
      </c>
      <c r="P581" s="174" t="s">
        <v>6051</v>
      </c>
    </row>
    <row r="582" spans="1:16" ht="64.05" customHeight="1" x14ac:dyDescent="0.3">
      <c r="A582" s="154" t="s">
        <v>7012</v>
      </c>
      <c r="B582" s="154" t="s">
        <v>5980</v>
      </c>
      <c r="C582" s="154" t="s">
        <v>114</v>
      </c>
      <c r="D582" s="154">
        <v>2021</v>
      </c>
      <c r="E582" s="154" t="s">
        <v>190</v>
      </c>
      <c r="F582" s="173" t="s">
        <v>7013</v>
      </c>
      <c r="G582" s="166">
        <f>(365*AVERAGE((FCCL!C51+'Forensic Inputs'!$G$88),(FCCL!D51+'Forensic Inputs'!$G$89)))</f>
        <v>710789.32</v>
      </c>
      <c r="H582" s="166">
        <f>FCCL!D84</f>
        <v>24271.285</v>
      </c>
      <c r="I582" s="164">
        <f t="shared" ref="I582:I645" si="27">G582/H582</f>
        <v>29.28519524203189</v>
      </c>
      <c r="J582" s="164">
        <v>29.28519524203189</v>
      </c>
      <c r="K582" s="168">
        <f t="shared" ref="K582:K645" si="28">I582-J582</f>
        <v>0</v>
      </c>
      <c r="L582" s="164">
        <v>15</v>
      </c>
      <c r="M582" s="154">
        <v>0</v>
      </c>
      <c r="N582" s="154" t="str">
        <f t="shared" ref="N582:N645" si="29">IF(ROUND(I582,M582)=ROUND(L582,M582),"Numeric fit","No fit")</f>
        <v>No fit</v>
      </c>
      <c r="O582" s="173" t="s">
        <v>7014</v>
      </c>
      <c r="P582" s="173" t="s">
        <v>6051</v>
      </c>
    </row>
    <row r="583" spans="1:16" ht="64.05" customHeight="1" x14ac:dyDescent="0.3">
      <c r="A583" s="151" t="s">
        <v>7015</v>
      </c>
      <c r="B583" s="151" t="s">
        <v>5980</v>
      </c>
      <c r="C583" s="151" t="s">
        <v>114</v>
      </c>
      <c r="D583" s="151">
        <v>2021</v>
      </c>
      <c r="E583" s="151" t="s">
        <v>190</v>
      </c>
      <c r="F583" s="174" t="s">
        <v>7016</v>
      </c>
      <c r="G583" s="167">
        <f>(365*AVERAGE((FCCL!C51+'Forensic Inputs'!$G$88),(FCCL!D51+'Forensic Inputs'!$G$89)))</f>
        <v>710789.32</v>
      </c>
      <c r="H583" s="167">
        <f>((FCCL!D85*-1)+(FCCL!D65-FCCL!C65))</f>
        <v>18953.271000000001</v>
      </c>
      <c r="I583" s="165">
        <f t="shared" si="27"/>
        <v>37.502197905575237</v>
      </c>
      <c r="J583" s="165">
        <v>37.502197905575237</v>
      </c>
      <c r="K583" s="169">
        <f t="shared" si="28"/>
        <v>0</v>
      </c>
      <c r="L583" s="165">
        <v>15</v>
      </c>
      <c r="M583" s="151">
        <v>0</v>
      </c>
      <c r="N583" s="151" t="str">
        <f t="shared" si="29"/>
        <v>No fit</v>
      </c>
      <c r="O583" s="174" t="s">
        <v>7017</v>
      </c>
      <c r="P583" s="174" t="s">
        <v>6051</v>
      </c>
    </row>
    <row r="584" spans="1:16" ht="64.05" customHeight="1" x14ac:dyDescent="0.3">
      <c r="A584" s="154" t="s">
        <v>7018</v>
      </c>
      <c r="B584" s="154" t="s">
        <v>5980</v>
      </c>
      <c r="C584" s="154" t="s">
        <v>114</v>
      </c>
      <c r="D584" s="154">
        <v>2021</v>
      </c>
      <c r="E584" s="154" t="s">
        <v>190</v>
      </c>
      <c r="F584" s="173" t="s">
        <v>7019</v>
      </c>
      <c r="G584" s="166">
        <f>(365*AVERAGE((FCCL!C51+'Forensic Inputs'!$G$88),(FCCL!D51+'Forensic Inputs'!$G$89)))</f>
        <v>710789.32</v>
      </c>
      <c r="H584" s="166">
        <f>((FCCL!D85*-1)+(FCCL!D31-FCCL!C31))</f>
        <v>18208.326000000001</v>
      </c>
      <c r="I584" s="164">
        <f t="shared" si="27"/>
        <v>39.036500115386772</v>
      </c>
      <c r="J584" s="164">
        <v>39.036500115386772</v>
      </c>
      <c r="K584" s="168">
        <f t="shared" si="28"/>
        <v>0</v>
      </c>
      <c r="L584" s="164">
        <v>15</v>
      </c>
      <c r="M584" s="154">
        <v>0</v>
      </c>
      <c r="N584" s="154" t="str">
        <f t="shared" si="29"/>
        <v>No fit</v>
      </c>
      <c r="O584" s="173" t="s">
        <v>7020</v>
      </c>
      <c r="P584" s="173" t="s">
        <v>6051</v>
      </c>
    </row>
    <row r="585" spans="1:16" ht="64.05" customHeight="1" x14ac:dyDescent="0.3">
      <c r="A585" s="151" t="s">
        <v>7021</v>
      </c>
      <c r="B585" s="151" t="s">
        <v>5980</v>
      </c>
      <c r="C585" s="151" t="s">
        <v>114</v>
      </c>
      <c r="D585" s="151">
        <v>2021</v>
      </c>
      <c r="E585" s="151" t="s">
        <v>190</v>
      </c>
      <c r="F585" s="174" t="s">
        <v>7022</v>
      </c>
      <c r="G585" s="167">
        <f>(365*(FCCL!D50+'Forensic Inputs'!$G$89))</f>
        <v>1232801.0050000001</v>
      </c>
      <c r="H585" s="167">
        <f>(FCCL!D85*-1)</f>
        <v>18206.88</v>
      </c>
      <c r="I585" s="165">
        <f t="shared" si="27"/>
        <v>67.710722814672252</v>
      </c>
      <c r="J585" s="165">
        <v>67.710722814672252</v>
      </c>
      <c r="K585" s="169">
        <f t="shared" si="28"/>
        <v>0</v>
      </c>
      <c r="L585" s="165">
        <v>15</v>
      </c>
      <c r="M585" s="151">
        <v>0</v>
      </c>
      <c r="N585" s="151" t="str">
        <f t="shared" si="29"/>
        <v>No fit</v>
      </c>
      <c r="O585" s="174" t="s">
        <v>7023</v>
      </c>
      <c r="P585" s="174" t="s">
        <v>6051</v>
      </c>
    </row>
    <row r="586" spans="1:16" ht="64.05" customHeight="1" x14ac:dyDescent="0.3">
      <c r="A586" s="154" t="s">
        <v>7024</v>
      </c>
      <c r="B586" s="154" t="s">
        <v>5980</v>
      </c>
      <c r="C586" s="154" t="s">
        <v>114</v>
      </c>
      <c r="D586" s="154">
        <v>2021</v>
      </c>
      <c r="E586" s="154" t="s">
        <v>190</v>
      </c>
      <c r="F586" s="173" t="s">
        <v>7025</v>
      </c>
      <c r="G586" s="166">
        <f>(365*(FCCL!D50+'Forensic Inputs'!$G$89))</f>
        <v>1232801.0050000001</v>
      </c>
      <c r="H586" s="166">
        <f>FCCL!D84</f>
        <v>24271.285</v>
      </c>
      <c r="I586" s="164">
        <f t="shared" si="27"/>
        <v>50.792572581138579</v>
      </c>
      <c r="J586" s="164">
        <v>50.792572581138579</v>
      </c>
      <c r="K586" s="168">
        <f t="shared" si="28"/>
        <v>0</v>
      </c>
      <c r="L586" s="164">
        <v>15</v>
      </c>
      <c r="M586" s="154">
        <v>0</v>
      </c>
      <c r="N586" s="154" t="str">
        <f t="shared" si="29"/>
        <v>No fit</v>
      </c>
      <c r="O586" s="173" t="s">
        <v>7026</v>
      </c>
      <c r="P586" s="173" t="s">
        <v>6051</v>
      </c>
    </row>
    <row r="587" spans="1:16" ht="64.05" customHeight="1" x14ac:dyDescent="0.3">
      <c r="A587" s="151" t="s">
        <v>7027</v>
      </c>
      <c r="B587" s="151" t="s">
        <v>5980</v>
      </c>
      <c r="C587" s="151" t="s">
        <v>114</v>
      </c>
      <c r="D587" s="151">
        <v>2021</v>
      </c>
      <c r="E587" s="151" t="s">
        <v>190</v>
      </c>
      <c r="F587" s="174" t="s">
        <v>7028</v>
      </c>
      <c r="G587" s="167">
        <f>(365*(FCCL!D50+'Forensic Inputs'!$G$89))</f>
        <v>1232801.0050000001</v>
      </c>
      <c r="H587" s="167">
        <f>((FCCL!D85*-1)+(FCCL!D65-FCCL!C65))</f>
        <v>18953.271000000001</v>
      </c>
      <c r="I587" s="165">
        <f t="shared" si="27"/>
        <v>65.044234580933292</v>
      </c>
      <c r="J587" s="165">
        <v>65.044234580933292</v>
      </c>
      <c r="K587" s="169">
        <f t="shared" si="28"/>
        <v>0</v>
      </c>
      <c r="L587" s="165">
        <v>15</v>
      </c>
      <c r="M587" s="151">
        <v>0</v>
      </c>
      <c r="N587" s="151" t="str">
        <f t="shared" si="29"/>
        <v>No fit</v>
      </c>
      <c r="O587" s="174" t="s">
        <v>7029</v>
      </c>
      <c r="P587" s="174" t="s">
        <v>6051</v>
      </c>
    </row>
    <row r="588" spans="1:16" ht="64.05" customHeight="1" x14ac:dyDescent="0.3">
      <c r="A588" s="154" t="s">
        <v>7030</v>
      </c>
      <c r="B588" s="154" t="s">
        <v>5980</v>
      </c>
      <c r="C588" s="154" t="s">
        <v>114</v>
      </c>
      <c r="D588" s="154">
        <v>2021</v>
      </c>
      <c r="E588" s="154" t="s">
        <v>190</v>
      </c>
      <c r="F588" s="173" t="s">
        <v>7031</v>
      </c>
      <c r="G588" s="166">
        <f>(365*(FCCL!D50+'Forensic Inputs'!$G$89))</f>
        <v>1232801.0050000001</v>
      </c>
      <c r="H588" s="166">
        <f>((FCCL!D85*-1)+(FCCL!D31-FCCL!C31))</f>
        <v>18208.326000000001</v>
      </c>
      <c r="I588" s="164">
        <f t="shared" si="27"/>
        <v>67.705345620459568</v>
      </c>
      <c r="J588" s="164">
        <v>67.705345620459568</v>
      </c>
      <c r="K588" s="168">
        <f t="shared" si="28"/>
        <v>0</v>
      </c>
      <c r="L588" s="164">
        <v>15</v>
      </c>
      <c r="M588" s="154">
        <v>0</v>
      </c>
      <c r="N588" s="154" t="str">
        <f t="shared" si="29"/>
        <v>No fit</v>
      </c>
      <c r="O588" s="173" t="s">
        <v>7032</v>
      </c>
      <c r="P588" s="173" t="s">
        <v>6051</v>
      </c>
    </row>
    <row r="589" spans="1:16" ht="64.05" customHeight="1" x14ac:dyDescent="0.3">
      <c r="A589" s="151" t="s">
        <v>7033</v>
      </c>
      <c r="B589" s="151" t="s">
        <v>5980</v>
      </c>
      <c r="C589" s="151" t="s">
        <v>114</v>
      </c>
      <c r="D589" s="151">
        <v>2021</v>
      </c>
      <c r="E589" s="151" t="s">
        <v>190</v>
      </c>
      <c r="F589" s="174" t="s">
        <v>7034</v>
      </c>
      <c r="G589" s="167">
        <f>(365*AVERAGE((FCCL!C50+'Forensic Inputs'!$G$88),(FCCL!D50+'Forensic Inputs'!$G$89)))</f>
        <v>1033497.5</v>
      </c>
      <c r="H589" s="167">
        <f>(FCCL!D85*-1)</f>
        <v>18206.88</v>
      </c>
      <c r="I589" s="165">
        <f t="shared" si="27"/>
        <v>56.764118838592879</v>
      </c>
      <c r="J589" s="165">
        <v>56.764118838592879</v>
      </c>
      <c r="K589" s="169">
        <f t="shared" si="28"/>
        <v>0</v>
      </c>
      <c r="L589" s="165">
        <v>15</v>
      </c>
      <c r="M589" s="151">
        <v>0</v>
      </c>
      <c r="N589" s="151" t="str">
        <f t="shared" si="29"/>
        <v>No fit</v>
      </c>
      <c r="O589" s="174" t="s">
        <v>7035</v>
      </c>
      <c r="P589" s="174" t="s">
        <v>6051</v>
      </c>
    </row>
    <row r="590" spans="1:16" ht="64.05" customHeight="1" x14ac:dyDescent="0.3">
      <c r="A590" s="154" t="s">
        <v>7036</v>
      </c>
      <c r="B590" s="154" t="s">
        <v>5980</v>
      </c>
      <c r="C590" s="154" t="s">
        <v>114</v>
      </c>
      <c r="D590" s="154">
        <v>2021</v>
      </c>
      <c r="E590" s="154" t="s">
        <v>190</v>
      </c>
      <c r="F590" s="173" t="s">
        <v>7037</v>
      </c>
      <c r="G590" s="166">
        <f>(365*AVERAGE((FCCL!C50+'Forensic Inputs'!$G$88),(FCCL!D50+'Forensic Inputs'!$G$89)))</f>
        <v>1033497.5</v>
      </c>
      <c r="H590" s="166">
        <f>FCCL!D84</f>
        <v>24271.285</v>
      </c>
      <c r="I590" s="164">
        <f t="shared" si="27"/>
        <v>42.581078834515765</v>
      </c>
      <c r="J590" s="164">
        <v>42.581078834515765</v>
      </c>
      <c r="K590" s="168">
        <f t="shared" si="28"/>
        <v>0</v>
      </c>
      <c r="L590" s="164">
        <v>15</v>
      </c>
      <c r="M590" s="154">
        <v>0</v>
      </c>
      <c r="N590" s="154" t="str">
        <f t="shared" si="29"/>
        <v>No fit</v>
      </c>
      <c r="O590" s="173" t="s">
        <v>7038</v>
      </c>
      <c r="P590" s="173" t="s">
        <v>6051</v>
      </c>
    </row>
    <row r="591" spans="1:16" ht="64.05" customHeight="1" x14ac:dyDescent="0.3">
      <c r="A591" s="151" t="s">
        <v>7039</v>
      </c>
      <c r="B591" s="151" t="s">
        <v>5980</v>
      </c>
      <c r="C591" s="151" t="s">
        <v>114</v>
      </c>
      <c r="D591" s="151">
        <v>2021</v>
      </c>
      <c r="E591" s="151" t="s">
        <v>190</v>
      </c>
      <c r="F591" s="174" t="s">
        <v>7040</v>
      </c>
      <c r="G591" s="167">
        <f>(365*AVERAGE((FCCL!C50+'Forensic Inputs'!$G$88),(FCCL!D50+'Forensic Inputs'!$G$89)))</f>
        <v>1033497.5</v>
      </c>
      <c r="H591" s="167">
        <f>((FCCL!D85*-1)+(FCCL!D65-FCCL!C65))</f>
        <v>18953.271000000001</v>
      </c>
      <c r="I591" s="165">
        <f t="shared" si="27"/>
        <v>54.528714331156877</v>
      </c>
      <c r="J591" s="165">
        <v>54.528714331156877</v>
      </c>
      <c r="K591" s="169">
        <f t="shared" si="28"/>
        <v>0</v>
      </c>
      <c r="L591" s="165">
        <v>15</v>
      </c>
      <c r="M591" s="151">
        <v>0</v>
      </c>
      <c r="N591" s="151" t="str">
        <f t="shared" si="29"/>
        <v>No fit</v>
      </c>
      <c r="O591" s="174" t="s">
        <v>7041</v>
      </c>
      <c r="P591" s="174" t="s">
        <v>6051</v>
      </c>
    </row>
    <row r="592" spans="1:16" ht="64.05" customHeight="1" x14ac:dyDescent="0.3">
      <c r="A592" s="154" t="s">
        <v>7042</v>
      </c>
      <c r="B592" s="154" t="s">
        <v>5980</v>
      </c>
      <c r="C592" s="154" t="s">
        <v>114</v>
      </c>
      <c r="D592" s="154">
        <v>2021</v>
      </c>
      <c r="E592" s="154" t="s">
        <v>190</v>
      </c>
      <c r="F592" s="173" t="s">
        <v>7043</v>
      </c>
      <c r="G592" s="166">
        <f>(365*AVERAGE((FCCL!C50+'Forensic Inputs'!$G$88),(FCCL!D50+'Forensic Inputs'!$G$89)))</f>
        <v>1033497.5</v>
      </c>
      <c r="H592" s="166">
        <f>((FCCL!D85*-1)+(FCCL!D31-FCCL!C31))</f>
        <v>18208.326000000001</v>
      </c>
      <c r="I592" s="164">
        <f t="shared" si="27"/>
        <v>56.759610960392514</v>
      </c>
      <c r="J592" s="164">
        <v>56.759610960392514</v>
      </c>
      <c r="K592" s="168">
        <f t="shared" si="28"/>
        <v>0</v>
      </c>
      <c r="L592" s="164">
        <v>15</v>
      </c>
      <c r="M592" s="154">
        <v>0</v>
      </c>
      <c r="N592" s="154" t="str">
        <f t="shared" si="29"/>
        <v>No fit</v>
      </c>
      <c r="O592" s="173" t="s">
        <v>7044</v>
      </c>
      <c r="P592" s="173" t="s">
        <v>6051</v>
      </c>
    </row>
    <row r="593" spans="1:16" ht="64.05" customHeight="1" x14ac:dyDescent="0.3">
      <c r="A593" s="151" t="s">
        <v>7045</v>
      </c>
      <c r="B593" s="151" t="s">
        <v>5980</v>
      </c>
      <c r="C593" s="151" t="s">
        <v>114</v>
      </c>
      <c r="D593" s="151">
        <v>2021</v>
      </c>
      <c r="E593" s="151" t="s">
        <v>190</v>
      </c>
      <c r="F593" s="174" t="s">
        <v>7046</v>
      </c>
      <c r="G593" s="167">
        <f>(90*FCCL!D51)</f>
        <v>77673.42</v>
      </c>
      <c r="H593" s="167">
        <f>'Forensic Inputs'!$G$109</f>
        <v>5158.97</v>
      </c>
      <c r="I593" s="165">
        <f t="shared" si="27"/>
        <v>15.055993735183572</v>
      </c>
      <c r="J593" s="165">
        <v>15.055993735183572</v>
      </c>
      <c r="K593" s="169">
        <f t="shared" si="28"/>
        <v>0</v>
      </c>
      <c r="L593" s="165">
        <v>15</v>
      </c>
      <c r="M593" s="151">
        <v>0</v>
      </c>
      <c r="N593" s="151" t="str">
        <f t="shared" si="29"/>
        <v>Numeric fit</v>
      </c>
      <c r="O593" s="174" t="s">
        <v>7047</v>
      </c>
      <c r="P593" s="174" t="s">
        <v>7048</v>
      </c>
    </row>
    <row r="594" spans="1:16" ht="64.05" customHeight="1" x14ac:dyDescent="0.3">
      <c r="A594" s="154" t="s">
        <v>7049</v>
      </c>
      <c r="B594" s="154" t="s">
        <v>5980</v>
      </c>
      <c r="C594" s="154" t="s">
        <v>114</v>
      </c>
      <c r="D594" s="154">
        <v>2021</v>
      </c>
      <c r="E594" s="154" t="s">
        <v>190</v>
      </c>
      <c r="F594" s="173" t="s">
        <v>7050</v>
      </c>
      <c r="G594" s="166">
        <f>(90*FCCL!D50)</f>
        <v>164037.78</v>
      </c>
      <c r="H594" s="166">
        <f>'Forensic Inputs'!$G$109</f>
        <v>5158.97</v>
      </c>
      <c r="I594" s="164">
        <f t="shared" si="27"/>
        <v>31.796614440479395</v>
      </c>
      <c r="J594" s="164">
        <v>31.796614440479395</v>
      </c>
      <c r="K594" s="168">
        <f t="shared" si="28"/>
        <v>0</v>
      </c>
      <c r="L594" s="164">
        <v>15</v>
      </c>
      <c r="M594" s="154">
        <v>0</v>
      </c>
      <c r="N594" s="154" t="str">
        <f t="shared" si="29"/>
        <v>No fit</v>
      </c>
      <c r="O594" s="173" t="s">
        <v>7051</v>
      </c>
      <c r="P594" s="173" t="s">
        <v>7048</v>
      </c>
    </row>
    <row r="595" spans="1:16" ht="64.05" customHeight="1" x14ac:dyDescent="0.3">
      <c r="A595" s="151" t="s">
        <v>7052</v>
      </c>
      <c r="B595" s="151" t="s">
        <v>5980</v>
      </c>
      <c r="C595" s="151" t="s">
        <v>114</v>
      </c>
      <c r="D595" s="151">
        <v>2021</v>
      </c>
      <c r="E595" s="151" t="s">
        <v>190</v>
      </c>
      <c r="F595" s="174" t="s">
        <v>7053</v>
      </c>
      <c r="G595" s="167">
        <f>(90*(FCCL!D51+'Forensic Inputs'!$G$83))</f>
        <v>80615.61</v>
      </c>
      <c r="H595" s="167">
        <f>'Forensic Inputs'!$G$109</f>
        <v>5158.97</v>
      </c>
      <c r="I595" s="165">
        <f t="shared" si="27"/>
        <v>15.62629943574008</v>
      </c>
      <c r="J595" s="165">
        <v>15.62629943574008</v>
      </c>
      <c r="K595" s="169">
        <f t="shared" si="28"/>
        <v>0</v>
      </c>
      <c r="L595" s="165">
        <v>15</v>
      </c>
      <c r="M595" s="151">
        <v>0</v>
      </c>
      <c r="N595" s="151" t="str">
        <f t="shared" si="29"/>
        <v>No fit</v>
      </c>
      <c r="O595" s="174" t="s">
        <v>7054</v>
      </c>
      <c r="P595" s="174" t="s">
        <v>7048</v>
      </c>
    </row>
    <row r="596" spans="1:16" ht="64.05" customHeight="1" x14ac:dyDescent="0.3">
      <c r="A596" s="154" t="s">
        <v>7055</v>
      </c>
      <c r="B596" s="154" t="s">
        <v>5986</v>
      </c>
      <c r="C596" s="154" t="s">
        <v>114</v>
      </c>
      <c r="D596" s="154">
        <v>2022</v>
      </c>
      <c r="E596" s="154" t="s">
        <v>190</v>
      </c>
      <c r="F596" s="173" t="s">
        <v>5893</v>
      </c>
      <c r="G596" s="166">
        <f>365*AVERAGE(FCCL!D51,FCCL!E51)</f>
        <v>647190.26</v>
      </c>
      <c r="H596" s="166">
        <f>-FCCL!E85</f>
        <v>38779.542000000001</v>
      </c>
      <c r="I596" s="164">
        <f t="shared" si="27"/>
        <v>16.688960895928066</v>
      </c>
      <c r="J596" s="164">
        <v>16.688960895928066</v>
      </c>
      <c r="K596" s="168">
        <f t="shared" si="28"/>
        <v>0</v>
      </c>
      <c r="L596" s="164">
        <v>17</v>
      </c>
      <c r="M596" s="154">
        <v>0</v>
      </c>
      <c r="N596" s="154" t="str">
        <f t="shared" si="29"/>
        <v>Numeric fit</v>
      </c>
      <c r="O596" s="173" t="s">
        <v>6050</v>
      </c>
      <c r="P596" s="173" t="s">
        <v>6051</v>
      </c>
    </row>
    <row r="597" spans="1:16" ht="64.05" customHeight="1" x14ac:dyDescent="0.3">
      <c r="A597" s="151" t="s">
        <v>7056</v>
      </c>
      <c r="B597" s="151" t="s">
        <v>5986</v>
      </c>
      <c r="C597" s="151" t="s">
        <v>114</v>
      </c>
      <c r="D597" s="151">
        <v>2022</v>
      </c>
      <c r="E597" s="151" t="s">
        <v>190</v>
      </c>
      <c r="F597" s="174" t="s">
        <v>6115</v>
      </c>
      <c r="G597" s="167">
        <f>(365*FCCL!E51)</f>
        <v>979371.65</v>
      </c>
      <c r="H597" s="167">
        <f>(FCCL!E85*-1)</f>
        <v>38779.542000000001</v>
      </c>
      <c r="I597" s="165">
        <f t="shared" si="27"/>
        <v>25.254853448243406</v>
      </c>
      <c r="J597" s="165">
        <v>25.254853448243406</v>
      </c>
      <c r="K597" s="169">
        <f t="shared" si="28"/>
        <v>0</v>
      </c>
      <c r="L597" s="165">
        <v>17</v>
      </c>
      <c r="M597" s="151">
        <v>0</v>
      </c>
      <c r="N597" s="151" t="str">
        <f t="shared" si="29"/>
        <v>No fit</v>
      </c>
      <c r="O597" s="174" t="s">
        <v>6934</v>
      </c>
      <c r="P597" s="174" t="s">
        <v>6051</v>
      </c>
    </row>
    <row r="598" spans="1:16" ht="64.05" customHeight="1" x14ac:dyDescent="0.3">
      <c r="A598" s="154" t="s">
        <v>7057</v>
      </c>
      <c r="B598" s="154" t="s">
        <v>5986</v>
      </c>
      <c r="C598" s="154" t="s">
        <v>114</v>
      </c>
      <c r="D598" s="154">
        <v>2022</v>
      </c>
      <c r="E598" s="154" t="s">
        <v>190</v>
      </c>
      <c r="F598" s="173" t="s">
        <v>6118</v>
      </c>
      <c r="G598" s="166">
        <f>(365*FCCL!E51)</f>
        <v>979371.65</v>
      </c>
      <c r="H598" s="166">
        <f>FCCL!E84</f>
        <v>54243.118000000002</v>
      </c>
      <c r="I598" s="164">
        <f t="shared" si="27"/>
        <v>18.055224074692756</v>
      </c>
      <c r="J598" s="164">
        <v>18.055224074692756</v>
      </c>
      <c r="K598" s="168">
        <f t="shared" si="28"/>
        <v>0</v>
      </c>
      <c r="L598" s="164">
        <v>17</v>
      </c>
      <c r="M598" s="154">
        <v>0</v>
      </c>
      <c r="N598" s="154" t="str">
        <f t="shared" si="29"/>
        <v>No fit</v>
      </c>
      <c r="O598" s="173" t="s">
        <v>6936</v>
      </c>
      <c r="P598" s="173" t="s">
        <v>6051</v>
      </c>
    </row>
    <row r="599" spans="1:16" ht="64.05" customHeight="1" x14ac:dyDescent="0.3">
      <c r="A599" s="151" t="s">
        <v>7058</v>
      </c>
      <c r="B599" s="151" t="s">
        <v>5986</v>
      </c>
      <c r="C599" s="151" t="s">
        <v>114</v>
      </c>
      <c r="D599" s="151">
        <v>2022</v>
      </c>
      <c r="E599" s="151" t="s">
        <v>190</v>
      </c>
      <c r="F599" s="174" t="s">
        <v>6121</v>
      </c>
      <c r="G599" s="167">
        <f>(365*FCCL!E51)</f>
        <v>979371.65</v>
      </c>
      <c r="H599" s="167">
        <f>((FCCL!E85*-1)+(FCCL!E65-FCCL!D65))</f>
        <v>48976.457999999999</v>
      </c>
      <c r="I599" s="165">
        <f t="shared" si="27"/>
        <v>19.996783965063379</v>
      </c>
      <c r="J599" s="165">
        <v>19.996783965063379</v>
      </c>
      <c r="K599" s="169">
        <f t="shared" si="28"/>
        <v>0</v>
      </c>
      <c r="L599" s="165">
        <v>17</v>
      </c>
      <c r="M599" s="151">
        <v>0</v>
      </c>
      <c r="N599" s="151" t="str">
        <f t="shared" si="29"/>
        <v>No fit</v>
      </c>
      <c r="O599" s="174" t="s">
        <v>6938</v>
      </c>
      <c r="P599" s="174" t="s">
        <v>6051</v>
      </c>
    </row>
    <row r="600" spans="1:16" ht="64.05" customHeight="1" x14ac:dyDescent="0.3">
      <c r="A600" s="154" t="s">
        <v>7059</v>
      </c>
      <c r="B600" s="154" t="s">
        <v>5986</v>
      </c>
      <c r="C600" s="154" t="s">
        <v>114</v>
      </c>
      <c r="D600" s="154">
        <v>2022</v>
      </c>
      <c r="E600" s="154" t="s">
        <v>190</v>
      </c>
      <c r="F600" s="173" t="s">
        <v>6124</v>
      </c>
      <c r="G600" s="166">
        <f>(365*FCCL!E51)</f>
        <v>979371.65</v>
      </c>
      <c r="H600" s="166">
        <f>((FCCL!E85*-1)+(FCCL!E31-FCCL!D31))</f>
        <v>41288.065000000002</v>
      </c>
      <c r="I600" s="164">
        <f t="shared" si="27"/>
        <v>23.720454082796081</v>
      </c>
      <c r="J600" s="164">
        <v>23.720454082796081</v>
      </c>
      <c r="K600" s="168">
        <f t="shared" si="28"/>
        <v>0</v>
      </c>
      <c r="L600" s="164">
        <v>17</v>
      </c>
      <c r="M600" s="154">
        <v>0</v>
      </c>
      <c r="N600" s="154" t="str">
        <f t="shared" si="29"/>
        <v>No fit</v>
      </c>
      <c r="O600" s="173" t="s">
        <v>6940</v>
      </c>
      <c r="P600" s="173" t="s">
        <v>6051</v>
      </c>
    </row>
    <row r="601" spans="1:16" ht="64.05" customHeight="1" x14ac:dyDescent="0.3">
      <c r="A601" s="151" t="s">
        <v>7060</v>
      </c>
      <c r="B601" s="151" t="s">
        <v>5986</v>
      </c>
      <c r="C601" s="151" t="s">
        <v>114</v>
      </c>
      <c r="D601" s="151">
        <v>2022</v>
      </c>
      <c r="E601" s="151" t="s">
        <v>190</v>
      </c>
      <c r="F601" s="174" t="s">
        <v>6127</v>
      </c>
      <c r="G601" s="167">
        <f>(365*AVERAGE(FCCL!D51,FCCL!E51))</f>
        <v>647190.26</v>
      </c>
      <c r="H601" s="167">
        <f>(FCCL!E85*-1)</f>
        <v>38779.542000000001</v>
      </c>
      <c r="I601" s="165">
        <f t="shared" si="27"/>
        <v>16.688960895928066</v>
      </c>
      <c r="J601" s="165">
        <v>16.688960895928066</v>
      </c>
      <c r="K601" s="169">
        <f t="shared" si="28"/>
        <v>0</v>
      </c>
      <c r="L601" s="165">
        <v>17</v>
      </c>
      <c r="M601" s="151">
        <v>0</v>
      </c>
      <c r="N601" s="151" t="str">
        <f t="shared" si="29"/>
        <v>Numeric fit</v>
      </c>
      <c r="O601" s="174" t="s">
        <v>6942</v>
      </c>
      <c r="P601" s="174" t="s">
        <v>6051</v>
      </c>
    </row>
    <row r="602" spans="1:16" ht="64.05" customHeight="1" x14ac:dyDescent="0.3">
      <c r="A602" s="154" t="s">
        <v>7061</v>
      </c>
      <c r="B602" s="154" t="s">
        <v>5986</v>
      </c>
      <c r="C602" s="154" t="s">
        <v>114</v>
      </c>
      <c r="D602" s="154">
        <v>2022</v>
      </c>
      <c r="E602" s="154" t="s">
        <v>190</v>
      </c>
      <c r="F602" s="173" t="s">
        <v>6130</v>
      </c>
      <c r="G602" s="166">
        <f>(365*AVERAGE(FCCL!D51,FCCL!E51))</f>
        <v>647190.26</v>
      </c>
      <c r="H602" s="166">
        <f>FCCL!E84</f>
        <v>54243.118000000002</v>
      </c>
      <c r="I602" s="164">
        <f t="shared" si="27"/>
        <v>11.931287946979744</v>
      </c>
      <c r="J602" s="164">
        <v>11.931287946979744</v>
      </c>
      <c r="K602" s="168">
        <f t="shared" si="28"/>
        <v>0</v>
      </c>
      <c r="L602" s="164">
        <v>17</v>
      </c>
      <c r="M602" s="154">
        <v>0</v>
      </c>
      <c r="N602" s="154" t="str">
        <f t="shared" si="29"/>
        <v>No fit</v>
      </c>
      <c r="O602" s="173" t="s">
        <v>6944</v>
      </c>
      <c r="P602" s="173" t="s">
        <v>6051</v>
      </c>
    </row>
    <row r="603" spans="1:16" ht="64.05" customHeight="1" x14ac:dyDescent="0.3">
      <c r="A603" s="151" t="s">
        <v>7062</v>
      </c>
      <c r="B603" s="151" t="s">
        <v>5986</v>
      </c>
      <c r="C603" s="151" t="s">
        <v>114</v>
      </c>
      <c r="D603" s="151">
        <v>2022</v>
      </c>
      <c r="E603" s="151" t="s">
        <v>190</v>
      </c>
      <c r="F603" s="174" t="s">
        <v>6133</v>
      </c>
      <c r="G603" s="167">
        <f>(365*AVERAGE(FCCL!D51,FCCL!E51))</f>
        <v>647190.26</v>
      </c>
      <c r="H603" s="167">
        <f>((FCCL!E85*-1)+(FCCL!E65-FCCL!D65))</f>
        <v>48976.457999999999</v>
      </c>
      <c r="I603" s="165">
        <f t="shared" si="27"/>
        <v>13.214313293133612</v>
      </c>
      <c r="J603" s="165">
        <v>13.214313293133612</v>
      </c>
      <c r="K603" s="169">
        <f t="shared" si="28"/>
        <v>0</v>
      </c>
      <c r="L603" s="165">
        <v>17</v>
      </c>
      <c r="M603" s="151">
        <v>0</v>
      </c>
      <c r="N603" s="151" t="str">
        <f t="shared" si="29"/>
        <v>No fit</v>
      </c>
      <c r="O603" s="174" t="s">
        <v>6946</v>
      </c>
      <c r="P603" s="174" t="s">
        <v>6051</v>
      </c>
    </row>
    <row r="604" spans="1:16" ht="64.05" customHeight="1" x14ac:dyDescent="0.3">
      <c r="A604" s="154" t="s">
        <v>7063</v>
      </c>
      <c r="B604" s="154" t="s">
        <v>5986</v>
      </c>
      <c r="C604" s="154" t="s">
        <v>114</v>
      </c>
      <c r="D604" s="154">
        <v>2022</v>
      </c>
      <c r="E604" s="154" t="s">
        <v>190</v>
      </c>
      <c r="F604" s="173" t="s">
        <v>6136</v>
      </c>
      <c r="G604" s="166">
        <f>(365*AVERAGE(FCCL!D51,FCCL!E51))</f>
        <v>647190.26</v>
      </c>
      <c r="H604" s="166">
        <f>((FCCL!E85*-1)+(FCCL!E31-FCCL!D31))</f>
        <v>41288.065000000002</v>
      </c>
      <c r="I604" s="164">
        <f t="shared" si="27"/>
        <v>15.674996152035703</v>
      </c>
      <c r="J604" s="164">
        <v>15.674996152035703</v>
      </c>
      <c r="K604" s="168">
        <f t="shared" si="28"/>
        <v>0</v>
      </c>
      <c r="L604" s="164">
        <v>17</v>
      </c>
      <c r="M604" s="154">
        <v>0</v>
      </c>
      <c r="N604" s="154" t="str">
        <f t="shared" si="29"/>
        <v>No fit</v>
      </c>
      <c r="O604" s="173" t="s">
        <v>6948</v>
      </c>
      <c r="P604" s="173" t="s">
        <v>6051</v>
      </c>
    </row>
    <row r="605" spans="1:16" ht="64.05" customHeight="1" x14ac:dyDescent="0.3">
      <c r="A605" s="151" t="s">
        <v>7064</v>
      </c>
      <c r="B605" s="151" t="s">
        <v>5986</v>
      </c>
      <c r="C605" s="151" t="s">
        <v>114</v>
      </c>
      <c r="D605" s="151">
        <v>2022</v>
      </c>
      <c r="E605" s="151" t="s">
        <v>190</v>
      </c>
      <c r="F605" s="174" t="s">
        <v>6139</v>
      </c>
      <c r="G605" s="167">
        <f>(365*FCCL!E50)</f>
        <v>2524759.3850000002</v>
      </c>
      <c r="H605" s="167">
        <f>(FCCL!E85*-1)</f>
        <v>38779.542000000001</v>
      </c>
      <c r="I605" s="165">
        <f t="shared" si="27"/>
        <v>65.105446191190197</v>
      </c>
      <c r="J605" s="165">
        <v>65.105446191190197</v>
      </c>
      <c r="K605" s="169">
        <f t="shared" si="28"/>
        <v>0</v>
      </c>
      <c r="L605" s="165">
        <v>17</v>
      </c>
      <c r="M605" s="151">
        <v>0</v>
      </c>
      <c r="N605" s="151" t="str">
        <f t="shared" si="29"/>
        <v>No fit</v>
      </c>
      <c r="O605" s="174" t="s">
        <v>6950</v>
      </c>
      <c r="P605" s="174" t="s">
        <v>6051</v>
      </c>
    </row>
    <row r="606" spans="1:16" ht="64.05" customHeight="1" x14ac:dyDescent="0.3">
      <c r="A606" s="154" t="s">
        <v>7065</v>
      </c>
      <c r="B606" s="154" t="s">
        <v>5986</v>
      </c>
      <c r="C606" s="154" t="s">
        <v>114</v>
      </c>
      <c r="D606" s="154">
        <v>2022</v>
      </c>
      <c r="E606" s="154" t="s">
        <v>190</v>
      </c>
      <c r="F606" s="173" t="s">
        <v>6142</v>
      </c>
      <c r="G606" s="166">
        <f>(365*FCCL!E50)</f>
        <v>2524759.3850000002</v>
      </c>
      <c r="H606" s="166">
        <f>FCCL!E84</f>
        <v>54243.118000000002</v>
      </c>
      <c r="I606" s="164">
        <f t="shared" si="27"/>
        <v>46.54524809949163</v>
      </c>
      <c r="J606" s="164">
        <v>46.54524809949163</v>
      </c>
      <c r="K606" s="168">
        <f t="shared" si="28"/>
        <v>0</v>
      </c>
      <c r="L606" s="164">
        <v>17</v>
      </c>
      <c r="M606" s="154">
        <v>0</v>
      </c>
      <c r="N606" s="154" t="str">
        <f t="shared" si="29"/>
        <v>No fit</v>
      </c>
      <c r="O606" s="173" t="s">
        <v>6952</v>
      </c>
      <c r="P606" s="173" t="s">
        <v>6051</v>
      </c>
    </row>
    <row r="607" spans="1:16" ht="64.05" customHeight="1" x14ac:dyDescent="0.3">
      <c r="A607" s="151" t="s">
        <v>7066</v>
      </c>
      <c r="B607" s="151" t="s">
        <v>5986</v>
      </c>
      <c r="C607" s="151" t="s">
        <v>114</v>
      </c>
      <c r="D607" s="151">
        <v>2022</v>
      </c>
      <c r="E607" s="151" t="s">
        <v>190</v>
      </c>
      <c r="F607" s="174" t="s">
        <v>6145</v>
      </c>
      <c r="G607" s="167">
        <f>(365*FCCL!E50)</f>
        <v>2524759.3850000002</v>
      </c>
      <c r="H607" s="167">
        <f>((FCCL!E85*-1)+(FCCL!E65-FCCL!D65))</f>
        <v>48976.457999999999</v>
      </c>
      <c r="I607" s="165">
        <f t="shared" si="27"/>
        <v>51.550469104972848</v>
      </c>
      <c r="J607" s="165">
        <v>51.550469104972848</v>
      </c>
      <c r="K607" s="169">
        <f t="shared" si="28"/>
        <v>0</v>
      </c>
      <c r="L607" s="165">
        <v>17</v>
      </c>
      <c r="M607" s="151">
        <v>0</v>
      </c>
      <c r="N607" s="151" t="str">
        <f t="shared" si="29"/>
        <v>No fit</v>
      </c>
      <c r="O607" s="174" t="s">
        <v>6954</v>
      </c>
      <c r="P607" s="174" t="s">
        <v>6051</v>
      </c>
    </row>
    <row r="608" spans="1:16" ht="64.05" customHeight="1" x14ac:dyDescent="0.3">
      <c r="A608" s="154" t="s">
        <v>7067</v>
      </c>
      <c r="B608" s="154" t="s">
        <v>5986</v>
      </c>
      <c r="C608" s="154" t="s">
        <v>114</v>
      </c>
      <c r="D608" s="154">
        <v>2022</v>
      </c>
      <c r="E608" s="154" t="s">
        <v>190</v>
      </c>
      <c r="F608" s="173" t="s">
        <v>6148</v>
      </c>
      <c r="G608" s="166">
        <f>(365*FCCL!E50)</f>
        <v>2524759.3850000002</v>
      </c>
      <c r="H608" s="166">
        <f>((FCCL!E85*-1)+(FCCL!E31-FCCL!D31))</f>
        <v>41288.065000000002</v>
      </c>
      <c r="I608" s="164">
        <f t="shared" si="27"/>
        <v>61.149859771825106</v>
      </c>
      <c r="J608" s="164">
        <v>61.149859771825106</v>
      </c>
      <c r="K608" s="168">
        <f t="shared" si="28"/>
        <v>0</v>
      </c>
      <c r="L608" s="164">
        <v>17</v>
      </c>
      <c r="M608" s="154">
        <v>0</v>
      </c>
      <c r="N608" s="154" t="str">
        <f t="shared" si="29"/>
        <v>No fit</v>
      </c>
      <c r="O608" s="173" t="s">
        <v>6956</v>
      </c>
      <c r="P608" s="173" t="s">
        <v>6051</v>
      </c>
    </row>
    <row r="609" spans="1:16" ht="64.05" customHeight="1" x14ac:dyDescent="0.3">
      <c r="A609" s="151" t="s">
        <v>7068</v>
      </c>
      <c r="B609" s="151" t="s">
        <v>5986</v>
      </c>
      <c r="C609" s="151" t="s">
        <v>114</v>
      </c>
      <c r="D609" s="151">
        <v>2022</v>
      </c>
      <c r="E609" s="151" t="s">
        <v>190</v>
      </c>
      <c r="F609" s="174" t="s">
        <v>5780</v>
      </c>
      <c r="G609" s="167">
        <f>(365*AVERAGE(FCCL!D50,FCCL!E50))</f>
        <v>1595011.8575000002</v>
      </c>
      <c r="H609" s="167">
        <f>(FCCL!E85*-1)</f>
        <v>38779.542000000001</v>
      </c>
      <c r="I609" s="165">
        <f t="shared" si="27"/>
        <v>41.130239689267093</v>
      </c>
      <c r="J609" s="165">
        <v>41.130239689267093</v>
      </c>
      <c r="K609" s="169">
        <f t="shared" si="28"/>
        <v>0</v>
      </c>
      <c r="L609" s="165">
        <v>17</v>
      </c>
      <c r="M609" s="151">
        <v>0</v>
      </c>
      <c r="N609" s="151" t="str">
        <f t="shared" si="29"/>
        <v>No fit</v>
      </c>
      <c r="O609" s="174" t="s">
        <v>6958</v>
      </c>
      <c r="P609" s="174" t="s">
        <v>6051</v>
      </c>
    </row>
    <row r="610" spans="1:16" ht="64.05" customHeight="1" x14ac:dyDescent="0.3">
      <c r="A610" s="154" t="s">
        <v>7069</v>
      </c>
      <c r="B610" s="154" t="s">
        <v>5986</v>
      </c>
      <c r="C610" s="154" t="s">
        <v>114</v>
      </c>
      <c r="D610" s="154">
        <v>2022</v>
      </c>
      <c r="E610" s="154" t="s">
        <v>190</v>
      </c>
      <c r="F610" s="173" t="s">
        <v>6153</v>
      </c>
      <c r="G610" s="166">
        <f>(365*AVERAGE(FCCL!D50,FCCL!E50))</f>
        <v>1595011.8575000002</v>
      </c>
      <c r="H610" s="166">
        <f>FCCL!E84</f>
        <v>54243.118000000002</v>
      </c>
      <c r="I610" s="164">
        <f t="shared" si="27"/>
        <v>29.4048704482659</v>
      </c>
      <c r="J610" s="164">
        <v>29.4048704482659</v>
      </c>
      <c r="K610" s="168">
        <f t="shared" si="28"/>
        <v>0</v>
      </c>
      <c r="L610" s="164">
        <v>17</v>
      </c>
      <c r="M610" s="154">
        <v>0</v>
      </c>
      <c r="N610" s="154" t="str">
        <f t="shared" si="29"/>
        <v>No fit</v>
      </c>
      <c r="O610" s="173" t="s">
        <v>6960</v>
      </c>
      <c r="P610" s="173" t="s">
        <v>6051</v>
      </c>
    </row>
    <row r="611" spans="1:16" ht="64.05" customHeight="1" x14ac:dyDescent="0.3">
      <c r="A611" s="151" t="s">
        <v>7070</v>
      </c>
      <c r="B611" s="151" t="s">
        <v>5986</v>
      </c>
      <c r="C611" s="151" t="s">
        <v>114</v>
      </c>
      <c r="D611" s="151">
        <v>2022</v>
      </c>
      <c r="E611" s="151" t="s">
        <v>190</v>
      </c>
      <c r="F611" s="174" t="s">
        <v>6156</v>
      </c>
      <c r="G611" s="167">
        <f>(365*AVERAGE(FCCL!D50,FCCL!E50))</f>
        <v>1595011.8575000002</v>
      </c>
      <c r="H611" s="167">
        <f>((FCCL!E85*-1)+(FCCL!E65-FCCL!D65))</f>
        <v>48976.457999999999</v>
      </c>
      <c r="I611" s="165">
        <f t="shared" si="27"/>
        <v>32.566909136222144</v>
      </c>
      <c r="J611" s="165">
        <v>32.566909136222144</v>
      </c>
      <c r="K611" s="169">
        <f t="shared" si="28"/>
        <v>0</v>
      </c>
      <c r="L611" s="165">
        <v>17</v>
      </c>
      <c r="M611" s="151">
        <v>0</v>
      </c>
      <c r="N611" s="151" t="str">
        <f t="shared" si="29"/>
        <v>No fit</v>
      </c>
      <c r="O611" s="174" t="s">
        <v>6962</v>
      </c>
      <c r="P611" s="174" t="s">
        <v>6051</v>
      </c>
    </row>
    <row r="612" spans="1:16" ht="64.05" customHeight="1" x14ac:dyDescent="0.3">
      <c r="A612" s="154" t="s">
        <v>7071</v>
      </c>
      <c r="B612" s="154" t="s">
        <v>5986</v>
      </c>
      <c r="C612" s="154" t="s">
        <v>114</v>
      </c>
      <c r="D612" s="154">
        <v>2022</v>
      </c>
      <c r="E612" s="154" t="s">
        <v>190</v>
      </c>
      <c r="F612" s="173" t="s">
        <v>6159</v>
      </c>
      <c r="G612" s="166">
        <f>(365*AVERAGE(FCCL!D50,FCCL!E50))</f>
        <v>1595011.8575000002</v>
      </c>
      <c r="H612" s="166">
        <f>((FCCL!E85*-1)+(FCCL!E31-FCCL!D31))</f>
        <v>41288.065000000002</v>
      </c>
      <c r="I612" s="164">
        <f t="shared" si="27"/>
        <v>38.631305620643644</v>
      </c>
      <c r="J612" s="164">
        <v>38.631305620643644</v>
      </c>
      <c r="K612" s="168">
        <f t="shared" si="28"/>
        <v>0</v>
      </c>
      <c r="L612" s="164">
        <v>17</v>
      </c>
      <c r="M612" s="154">
        <v>0</v>
      </c>
      <c r="N612" s="154" t="str">
        <f t="shared" si="29"/>
        <v>No fit</v>
      </c>
      <c r="O612" s="173" t="s">
        <v>6964</v>
      </c>
      <c r="P612" s="173" t="s">
        <v>6051</v>
      </c>
    </row>
    <row r="613" spans="1:16" ht="64.05" customHeight="1" x14ac:dyDescent="0.3">
      <c r="A613" s="151" t="s">
        <v>7072</v>
      </c>
      <c r="B613" s="151" t="s">
        <v>5986</v>
      </c>
      <c r="C613" s="151" t="s">
        <v>114</v>
      </c>
      <c r="D613" s="151">
        <v>2022</v>
      </c>
      <c r="E613" s="151" t="s">
        <v>190</v>
      </c>
      <c r="F613" s="174" t="s">
        <v>6162</v>
      </c>
      <c r="G613" s="167">
        <f>(365*AVERAGE((((FCCL!D61-FCCL!D54)-FCCL!D55)-FCCL!D56),(((FCCL!E61-FCCL!E54)-FCCL!E55)-FCCL!E56)))</f>
        <v>3142938.35</v>
      </c>
      <c r="H613" s="167">
        <f>(FCCL!E85*-1)</f>
        <v>38779.542000000001</v>
      </c>
      <c r="I613" s="165">
        <f t="shared" si="27"/>
        <v>81.046298844890941</v>
      </c>
      <c r="J613" s="165">
        <v>81.046298844890941</v>
      </c>
      <c r="K613" s="169">
        <f t="shared" si="28"/>
        <v>0</v>
      </c>
      <c r="L613" s="165">
        <v>17</v>
      </c>
      <c r="M613" s="151">
        <v>0</v>
      </c>
      <c r="N613" s="151" t="str">
        <f t="shared" si="29"/>
        <v>No fit</v>
      </c>
      <c r="O613" s="174" t="s">
        <v>6966</v>
      </c>
      <c r="P613" s="174" t="s">
        <v>6051</v>
      </c>
    </row>
    <row r="614" spans="1:16" ht="64.05" customHeight="1" x14ac:dyDescent="0.3">
      <c r="A614" s="154" t="s">
        <v>7073</v>
      </c>
      <c r="B614" s="154" t="s">
        <v>5986</v>
      </c>
      <c r="C614" s="154" t="s">
        <v>114</v>
      </c>
      <c r="D614" s="154">
        <v>2022</v>
      </c>
      <c r="E614" s="154" t="s">
        <v>190</v>
      </c>
      <c r="F614" s="173" t="s">
        <v>6165</v>
      </c>
      <c r="G614" s="166">
        <f>(365*AVERAGE((((FCCL!D61-FCCL!D54)-FCCL!D55)-FCCL!D56),(((FCCL!E61-FCCL!E54)-FCCL!E55)-FCCL!E56)))</f>
        <v>3142938.35</v>
      </c>
      <c r="H614" s="166">
        <f>FCCL!E84</f>
        <v>54243.118000000002</v>
      </c>
      <c r="I614" s="164">
        <f t="shared" si="27"/>
        <v>57.941697783670918</v>
      </c>
      <c r="J614" s="164">
        <v>57.941697783670918</v>
      </c>
      <c r="K614" s="168">
        <f t="shared" si="28"/>
        <v>0</v>
      </c>
      <c r="L614" s="164">
        <v>17</v>
      </c>
      <c r="M614" s="154">
        <v>0</v>
      </c>
      <c r="N614" s="154" t="str">
        <f t="shared" si="29"/>
        <v>No fit</v>
      </c>
      <c r="O614" s="173" t="s">
        <v>6968</v>
      </c>
      <c r="P614" s="173" t="s">
        <v>6051</v>
      </c>
    </row>
    <row r="615" spans="1:16" ht="64.05" customHeight="1" x14ac:dyDescent="0.3">
      <c r="A615" s="151" t="s">
        <v>7074</v>
      </c>
      <c r="B615" s="151" t="s">
        <v>5986</v>
      </c>
      <c r="C615" s="151" t="s">
        <v>114</v>
      </c>
      <c r="D615" s="151">
        <v>2022</v>
      </c>
      <c r="E615" s="151" t="s">
        <v>190</v>
      </c>
      <c r="F615" s="174" t="s">
        <v>6168</v>
      </c>
      <c r="G615" s="167">
        <f>(365*AVERAGE((((FCCL!D61-FCCL!D54)-FCCL!D55)-FCCL!D56),(((FCCL!E61-FCCL!E54)-FCCL!E55)-FCCL!E56)))</f>
        <v>3142938.35</v>
      </c>
      <c r="H615" s="167">
        <f>((FCCL!E85*-1)+(FCCL!E65-FCCL!D65))</f>
        <v>48976.457999999999</v>
      </c>
      <c r="I615" s="165">
        <f t="shared" si="27"/>
        <v>64.172430558371545</v>
      </c>
      <c r="J615" s="165">
        <v>64.172430558371545</v>
      </c>
      <c r="K615" s="169">
        <f t="shared" si="28"/>
        <v>0</v>
      </c>
      <c r="L615" s="165">
        <v>17</v>
      </c>
      <c r="M615" s="151">
        <v>0</v>
      </c>
      <c r="N615" s="151" t="str">
        <f t="shared" si="29"/>
        <v>No fit</v>
      </c>
      <c r="O615" s="174" t="s">
        <v>6970</v>
      </c>
      <c r="P615" s="174" t="s">
        <v>6051</v>
      </c>
    </row>
    <row r="616" spans="1:16" ht="64.05" customHeight="1" x14ac:dyDescent="0.3">
      <c r="A616" s="154" t="s">
        <v>7075</v>
      </c>
      <c r="B616" s="154" t="s">
        <v>5986</v>
      </c>
      <c r="C616" s="154" t="s">
        <v>114</v>
      </c>
      <c r="D616" s="154">
        <v>2022</v>
      </c>
      <c r="E616" s="154" t="s">
        <v>190</v>
      </c>
      <c r="F616" s="173" t="s">
        <v>6171</v>
      </c>
      <c r="G616" s="166">
        <f>(365*AVERAGE((((FCCL!D61-FCCL!D54)-FCCL!D55)-FCCL!D56),(((FCCL!E61-FCCL!E54)-FCCL!E55)-FCCL!E56)))</f>
        <v>3142938.35</v>
      </c>
      <c r="H616" s="166">
        <f>((FCCL!E85*-1)+(FCCL!E31-FCCL!D31))</f>
        <v>41288.065000000002</v>
      </c>
      <c r="I616" s="164">
        <f t="shared" si="27"/>
        <v>76.12220020482917</v>
      </c>
      <c r="J616" s="164">
        <v>76.12220020482917</v>
      </c>
      <c r="K616" s="168">
        <f t="shared" si="28"/>
        <v>0</v>
      </c>
      <c r="L616" s="164">
        <v>17</v>
      </c>
      <c r="M616" s="154">
        <v>0</v>
      </c>
      <c r="N616" s="154" t="str">
        <f t="shared" si="29"/>
        <v>No fit</v>
      </c>
      <c r="O616" s="173" t="s">
        <v>6972</v>
      </c>
      <c r="P616" s="173" t="s">
        <v>6051</v>
      </c>
    </row>
    <row r="617" spans="1:16" ht="64.05" customHeight="1" x14ac:dyDescent="0.3">
      <c r="A617" s="151" t="s">
        <v>7076</v>
      </c>
      <c r="B617" s="151" t="s">
        <v>5986</v>
      </c>
      <c r="C617" s="151" t="s">
        <v>114</v>
      </c>
      <c r="D617" s="151">
        <v>2022</v>
      </c>
      <c r="E617" s="151" t="s">
        <v>190</v>
      </c>
      <c r="F617" s="174" t="s">
        <v>6974</v>
      </c>
      <c r="G617" s="167">
        <f>(365*(FCCL!E51+'Forensic Inputs'!$G$84))</f>
        <v>1909758.1099999999</v>
      </c>
      <c r="H617" s="167">
        <f>(FCCL!E85*-1)</f>
        <v>38779.542000000001</v>
      </c>
      <c r="I617" s="165">
        <f t="shared" si="27"/>
        <v>49.246535969919393</v>
      </c>
      <c r="J617" s="165">
        <v>49.246535969919393</v>
      </c>
      <c r="K617" s="169">
        <f t="shared" si="28"/>
        <v>0</v>
      </c>
      <c r="L617" s="165">
        <v>17</v>
      </c>
      <c r="M617" s="151">
        <v>0</v>
      </c>
      <c r="N617" s="151" t="str">
        <f t="shared" si="29"/>
        <v>No fit</v>
      </c>
      <c r="O617" s="174" t="s">
        <v>7077</v>
      </c>
      <c r="P617" s="174" t="s">
        <v>6051</v>
      </c>
    </row>
    <row r="618" spans="1:16" ht="64.05" customHeight="1" x14ac:dyDescent="0.3">
      <c r="A618" s="154" t="s">
        <v>7078</v>
      </c>
      <c r="B618" s="154" t="s">
        <v>5986</v>
      </c>
      <c r="C618" s="154" t="s">
        <v>114</v>
      </c>
      <c r="D618" s="154">
        <v>2022</v>
      </c>
      <c r="E618" s="154" t="s">
        <v>190</v>
      </c>
      <c r="F618" s="173" t="s">
        <v>6977</v>
      </c>
      <c r="G618" s="166">
        <f>(365*(FCCL!E51+'Forensic Inputs'!$G$84))</f>
        <v>1909758.1099999999</v>
      </c>
      <c r="H618" s="166">
        <f>FCCL!E84</f>
        <v>54243.118000000002</v>
      </c>
      <c r="I618" s="164">
        <f t="shared" si="27"/>
        <v>35.207380777779029</v>
      </c>
      <c r="J618" s="164">
        <v>35.207380777779029</v>
      </c>
      <c r="K618" s="168">
        <f t="shared" si="28"/>
        <v>0</v>
      </c>
      <c r="L618" s="164">
        <v>17</v>
      </c>
      <c r="M618" s="154">
        <v>0</v>
      </c>
      <c r="N618" s="154" t="str">
        <f t="shared" si="29"/>
        <v>No fit</v>
      </c>
      <c r="O618" s="173" t="s">
        <v>7079</v>
      </c>
      <c r="P618" s="173" t="s">
        <v>6051</v>
      </c>
    </row>
    <row r="619" spans="1:16" ht="64.05" customHeight="1" x14ac:dyDescent="0.3">
      <c r="A619" s="151" t="s">
        <v>7080</v>
      </c>
      <c r="B619" s="151" t="s">
        <v>5986</v>
      </c>
      <c r="C619" s="151" t="s">
        <v>114</v>
      </c>
      <c r="D619" s="151">
        <v>2022</v>
      </c>
      <c r="E619" s="151" t="s">
        <v>190</v>
      </c>
      <c r="F619" s="174" t="s">
        <v>6980</v>
      </c>
      <c r="G619" s="167">
        <f>(365*(FCCL!E51+'Forensic Inputs'!$G$84))</f>
        <v>1909758.1099999999</v>
      </c>
      <c r="H619" s="167">
        <f>((FCCL!E85*-1)+(FCCL!E65-FCCL!D65))</f>
        <v>48976.457999999999</v>
      </c>
      <c r="I619" s="165">
        <f t="shared" si="27"/>
        <v>38.993389640385999</v>
      </c>
      <c r="J619" s="165">
        <v>38.993389640385999</v>
      </c>
      <c r="K619" s="169">
        <f t="shared" si="28"/>
        <v>0</v>
      </c>
      <c r="L619" s="165">
        <v>17</v>
      </c>
      <c r="M619" s="151">
        <v>0</v>
      </c>
      <c r="N619" s="151" t="str">
        <f t="shared" si="29"/>
        <v>No fit</v>
      </c>
      <c r="O619" s="174" t="s">
        <v>7081</v>
      </c>
      <c r="P619" s="174" t="s">
        <v>6051</v>
      </c>
    </row>
    <row r="620" spans="1:16" ht="64.05" customHeight="1" x14ac:dyDescent="0.3">
      <c r="A620" s="154" t="s">
        <v>7082</v>
      </c>
      <c r="B620" s="154" t="s">
        <v>5986</v>
      </c>
      <c r="C620" s="154" t="s">
        <v>114</v>
      </c>
      <c r="D620" s="154">
        <v>2022</v>
      </c>
      <c r="E620" s="154" t="s">
        <v>190</v>
      </c>
      <c r="F620" s="173" t="s">
        <v>6983</v>
      </c>
      <c r="G620" s="166">
        <f>(365*(FCCL!E51+'Forensic Inputs'!$G$84))</f>
        <v>1909758.1099999999</v>
      </c>
      <c r="H620" s="166">
        <f>((FCCL!E85*-1)+(FCCL!E31-FCCL!D31))</f>
        <v>41288.065000000002</v>
      </c>
      <c r="I620" s="164">
        <f t="shared" si="27"/>
        <v>46.254483226569221</v>
      </c>
      <c r="J620" s="164">
        <v>46.254483226569221</v>
      </c>
      <c r="K620" s="168">
        <f t="shared" si="28"/>
        <v>0</v>
      </c>
      <c r="L620" s="164">
        <v>17</v>
      </c>
      <c r="M620" s="154">
        <v>0</v>
      </c>
      <c r="N620" s="154" t="str">
        <f t="shared" si="29"/>
        <v>No fit</v>
      </c>
      <c r="O620" s="173" t="s">
        <v>7083</v>
      </c>
      <c r="P620" s="173" t="s">
        <v>6051</v>
      </c>
    </row>
    <row r="621" spans="1:16" ht="64.05" customHeight="1" x14ac:dyDescent="0.3">
      <c r="A621" s="151" t="s">
        <v>7084</v>
      </c>
      <c r="B621" s="151" t="s">
        <v>5986</v>
      </c>
      <c r="C621" s="151" t="s">
        <v>114</v>
      </c>
      <c r="D621" s="151">
        <v>2022</v>
      </c>
      <c r="E621" s="151" t="s">
        <v>190</v>
      </c>
      <c r="F621" s="174" t="s">
        <v>6986</v>
      </c>
      <c r="G621" s="167">
        <f>(365*AVERAGE((FCCL!D51+'Forensic Inputs'!$G$83),(FCCL!E51+'Forensic Inputs'!$G$84)))</f>
        <v>1118349.5975000001</v>
      </c>
      <c r="H621" s="167">
        <f>(FCCL!E85*-1)</f>
        <v>38779.542000000001</v>
      </c>
      <c r="I621" s="165">
        <f t="shared" si="27"/>
        <v>28.838648932470633</v>
      </c>
      <c r="J621" s="165">
        <v>28.838648932470633</v>
      </c>
      <c r="K621" s="169">
        <f t="shared" si="28"/>
        <v>0</v>
      </c>
      <c r="L621" s="165">
        <v>17</v>
      </c>
      <c r="M621" s="151">
        <v>0</v>
      </c>
      <c r="N621" s="151" t="str">
        <f t="shared" si="29"/>
        <v>No fit</v>
      </c>
      <c r="O621" s="174" t="s">
        <v>7085</v>
      </c>
      <c r="P621" s="174" t="s">
        <v>6051</v>
      </c>
    </row>
    <row r="622" spans="1:16" ht="64.05" customHeight="1" x14ac:dyDescent="0.3">
      <c r="A622" s="154" t="s">
        <v>7086</v>
      </c>
      <c r="B622" s="154" t="s">
        <v>5986</v>
      </c>
      <c r="C622" s="154" t="s">
        <v>114</v>
      </c>
      <c r="D622" s="154">
        <v>2022</v>
      </c>
      <c r="E622" s="154" t="s">
        <v>190</v>
      </c>
      <c r="F622" s="173" t="s">
        <v>6989</v>
      </c>
      <c r="G622" s="166">
        <f>(365*AVERAGE((FCCL!D51+'Forensic Inputs'!$G$83),(FCCL!E51+'Forensic Inputs'!$G$84)))</f>
        <v>1118349.5975000001</v>
      </c>
      <c r="H622" s="166">
        <f>FCCL!E84</f>
        <v>54243.118000000002</v>
      </c>
      <c r="I622" s="164">
        <f t="shared" si="27"/>
        <v>20.617354583119653</v>
      </c>
      <c r="J622" s="164">
        <v>20.617354583119653</v>
      </c>
      <c r="K622" s="168">
        <f t="shared" si="28"/>
        <v>0</v>
      </c>
      <c r="L622" s="164">
        <v>17</v>
      </c>
      <c r="M622" s="154">
        <v>0</v>
      </c>
      <c r="N622" s="154" t="str">
        <f t="shared" si="29"/>
        <v>No fit</v>
      </c>
      <c r="O622" s="173" t="s">
        <v>7087</v>
      </c>
      <c r="P622" s="173" t="s">
        <v>6051</v>
      </c>
    </row>
    <row r="623" spans="1:16" ht="64.05" customHeight="1" x14ac:dyDescent="0.3">
      <c r="A623" s="151" t="s">
        <v>7088</v>
      </c>
      <c r="B623" s="151" t="s">
        <v>5986</v>
      </c>
      <c r="C623" s="151" t="s">
        <v>114</v>
      </c>
      <c r="D623" s="151">
        <v>2022</v>
      </c>
      <c r="E623" s="151" t="s">
        <v>190</v>
      </c>
      <c r="F623" s="174" t="s">
        <v>6992</v>
      </c>
      <c r="G623" s="167">
        <f>(365*AVERAGE((FCCL!D51+'Forensic Inputs'!$G$83),(FCCL!E51+'Forensic Inputs'!$G$84)))</f>
        <v>1118349.5975000001</v>
      </c>
      <c r="H623" s="167">
        <f>((FCCL!E85*-1)+(FCCL!E65-FCCL!D65))</f>
        <v>48976.457999999999</v>
      </c>
      <c r="I623" s="165">
        <f t="shared" si="27"/>
        <v>22.83443195300077</v>
      </c>
      <c r="J623" s="165">
        <v>22.83443195300077</v>
      </c>
      <c r="K623" s="169">
        <f t="shared" si="28"/>
        <v>0</v>
      </c>
      <c r="L623" s="165">
        <v>17</v>
      </c>
      <c r="M623" s="151">
        <v>0</v>
      </c>
      <c r="N623" s="151" t="str">
        <f t="shared" si="29"/>
        <v>No fit</v>
      </c>
      <c r="O623" s="174" t="s">
        <v>7089</v>
      </c>
      <c r="P623" s="174" t="s">
        <v>6051</v>
      </c>
    </row>
    <row r="624" spans="1:16" ht="64.05" customHeight="1" x14ac:dyDescent="0.3">
      <c r="A624" s="154" t="s">
        <v>7090</v>
      </c>
      <c r="B624" s="154" t="s">
        <v>5986</v>
      </c>
      <c r="C624" s="154" t="s">
        <v>114</v>
      </c>
      <c r="D624" s="154">
        <v>2022</v>
      </c>
      <c r="E624" s="154" t="s">
        <v>190</v>
      </c>
      <c r="F624" s="173" t="s">
        <v>6995</v>
      </c>
      <c r="G624" s="166">
        <f>(365*AVERAGE((FCCL!D51+'Forensic Inputs'!$G$83),(FCCL!E51+'Forensic Inputs'!$G$84)))</f>
        <v>1118349.5975000001</v>
      </c>
      <c r="H624" s="166">
        <f>((FCCL!E85*-1)+(FCCL!E31-FCCL!D31))</f>
        <v>41288.065000000002</v>
      </c>
      <c r="I624" s="164">
        <f t="shared" si="27"/>
        <v>27.0865102905646</v>
      </c>
      <c r="J624" s="164">
        <v>27.0865102905646</v>
      </c>
      <c r="K624" s="168">
        <f t="shared" si="28"/>
        <v>0</v>
      </c>
      <c r="L624" s="164">
        <v>17</v>
      </c>
      <c r="M624" s="154">
        <v>0</v>
      </c>
      <c r="N624" s="154" t="str">
        <f t="shared" si="29"/>
        <v>No fit</v>
      </c>
      <c r="O624" s="173" t="s">
        <v>7091</v>
      </c>
      <c r="P624" s="173" t="s">
        <v>6051</v>
      </c>
    </row>
    <row r="625" spans="1:16" ht="64.05" customHeight="1" x14ac:dyDescent="0.3">
      <c r="A625" s="151" t="s">
        <v>7092</v>
      </c>
      <c r="B625" s="151" t="s">
        <v>5986</v>
      </c>
      <c r="C625" s="151" t="s">
        <v>114</v>
      </c>
      <c r="D625" s="151">
        <v>2022</v>
      </c>
      <c r="E625" s="151" t="s">
        <v>190</v>
      </c>
      <c r="F625" s="174" t="s">
        <v>6998</v>
      </c>
      <c r="G625" s="167">
        <f>(365*(FCCL!E51+'Forensic Inputs'!$G$90))</f>
        <v>2556596.145</v>
      </c>
      <c r="H625" s="167">
        <f>(FCCL!E85*-1)</f>
        <v>38779.542000000001</v>
      </c>
      <c r="I625" s="165">
        <f t="shared" si="27"/>
        <v>65.926414112884572</v>
      </c>
      <c r="J625" s="165">
        <v>65.926414112884572</v>
      </c>
      <c r="K625" s="169">
        <f t="shared" si="28"/>
        <v>0</v>
      </c>
      <c r="L625" s="165">
        <v>17</v>
      </c>
      <c r="M625" s="151">
        <v>0</v>
      </c>
      <c r="N625" s="151" t="str">
        <f t="shared" si="29"/>
        <v>No fit</v>
      </c>
      <c r="O625" s="174" t="s">
        <v>7093</v>
      </c>
      <c r="P625" s="174" t="s">
        <v>6051</v>
      </c>
    </row>
    <row r="626" spans="1:16" ht="64.05" customHeight="1" x14ac:dyDescent="0.3">
      <c r="A626" s="154" t="s">
        <v>7094</v>
      </c>
      <c r="B626" s="154" t="s">
        <v>5986</v>
      </c>
      <c r="C626" s="154" t="s">
        <v>114</v>
      </c>
      <c r="D626" s="154">
        <v>2022</v>
      </c>
      <c r="E626" s="154" t="s">
        <v>190</v>
      </c>
      <c r="F626" s="173" t="s">
        <v>7001</v>
      </c>
      <c r="G626" s="166">
        <f>(365*(FCCL!E51+'Forensic Inputs'!$G$90))</f>
        <v>2556596.145</v>
      </c>
      <c r="H626" s="166">
        <f>FCCL!E84</f>
        <v>54243.118000000002</v>
      </c>
      <c r="I626" s="164">
        <f t="shared" si="27"/>
        <v>47.132175274290091</v>
      </c>
      <c r="J626" s="164">
        <v>47.132175274290091</v>
      </c>
      <c r="K626" s="168">
        <f t="shared" si="28"/>
        <v>0</v>
      </c>
      <c r="L626" s="164">
        <v>17</v>
      </c>
      <c r="M626" s="154">
        <v>0</v>
      </c>
      <c r="N626" s="154" t="str">
        <f t="shared" si="29"/>
        <v>No fit</v>
      </c>
      <c r="O626" s="173" t="s">
        <v>7095</v>
      </c>
      <c r="P626" s="173" t="s">
        <v>6051</v>
      </c>
    </row>
    <row r="627" spans="1:16" ht="64.05" customHeight="1" x14ac:dyDescent="0.3">
      <c r="A627" s="151" t="s">
        <v>7096</v>
      </c>
      <c r="B627" s="151" t="s">
        <v>5986</v>
      </c>
      <c r="C627" s="151" t="s">
        <v>114</v>
      </c>
      <c r="D627" s="151">
        <v>2022</v>
      </c>
      <c r="E627" s="151" t="s">
        <v>190</v>
      </c>
      <c r="F627" s="174" t="s">
        <v>7004</v>
      </c>
      <c r="G627" s="167">
        <f>(365*(FCCL!E51+'Forensic Inputs'!$G$90))</f>
        <v>2556596.145</v>
      </c>
      <c r="H627" s="167">
        <f>((FCCL!E85*-1)+(FCCL!E65-FCCL!D65))</f>
        <v>48976.457999999999</v>
      </c>
      <c r="I627" s="165">
        <f t="shared" si="27"/>
        <v>52.200511212958688</v>
      </c>
      <c r="J627" s="165">
        <v>52.200511212958688</v>
      </c>
      <c r="K627" s="169">
        <f t="shared" si="28"/>
        <v>0</v>
      </c>
      <c r="L627" s="165">
        <v>17</v>
      </c>
      <c r="M627" s="151">
        <v>0</v>
      </c>
      <c r="N627" s="151" t="str">
        <f t="shared" si="29"/>
        <v>No fit</v>
      </c>
      <c r="O627" s="174" t="s">
        <v>7097</v>
      </c>
      <c r="P627" s="174" t="s">
        <v>6051</v>
      </c>
    </row>
    <row r="628" spans="1:16" ht="64.05" customHeight="1" x14ac:dyDescent="0.3">
      <c r="A628" s="154" t="s">
        <v>7098</v>
      </c>
      <c r="B628" s="154" t="s">
        <v>5986</v>
      </c>
      <c r="C628" s="154" t="s">
        <v>114</v>
      </c>
      <c r="D628" s="154">
        <v>2022</v>
      </c>
      <c r="E628" s="154" t="s">
        <v>190</v>
      </c>
      <c r="F628" s="173" t="s">
        <v>7007</v>
      </c>
      <c r="G628" s="166">
        <f>(365*(FCCL!E51+'Forensic Inputs'!$G$90))</f>
        <v>2556596.145</v>
      </c>
      <c r="H628" s="166">
        <f>((FCCL!E85*-1)+(FCCL!E31-FCCL!D31))</f>
        <v>41288.065000000002</v>
      </c>
      <c r="I628" s="164">
        <f t="shared" si="27"/>
        <v>61.920948462951699</v>
      </c>
      <c r="J628" s="164">
        <v>61.920948462951699</v>
      </c>
      <c r="K628" s="168">
        <f t="shared" si="28"/>
        <v>0</v>
      </c>
      <c r="L628" s="164">
        <v>17</v>
      </c>
      <c r="M628" s="154">
        <v>0</v>
      </c>
      <c r="N628" s="154" t="str">
        <f t="shared" si="29"/>
        <v>No fit</v>
      </c>
      <c r="O628" s="173" t="s">
        <v>7099</v>
      </c>
      <c r="P628" s="173" t="s">
        <v>6051</v>
      </c>
    </row>
    <row r="629" spans="1:16" ht="64.05" customHeight="1" x14ac:dyDescent="0.3">
      <c r="A629" s="151" t="s">
        <v>7100</v>
      </c>
      <c r="B629" s="151" t="s">
        <v>5986</v>
      </c>
      <c r="C629" s="151" t="s">
        <v>114</v>
      </c>
      <c r="D629" s="151">
        <v>2022</v>
      </c>
      <c r="E629" s="151" t="s">
        <v>190</v>
      </c>
      <c r="F629" s="174" t="s">
        <v>7010</v>
      </c>
      <c r="G629" s="167">
        <f>(365*AVERAGE((FCCL!D51+'Forensic Inputs'!$G$89),(FCCL!E51+'Forensic Inputs'!$G$90)))</f>
        <v>1719570.8450000002</v>
      </c>
      <c r="H629" s="167">
        <f>(FCCL!E85*-1)</f>
        <v>38779.542000000001</v>
      </c>
      <c r="I629" s="165">
        <f t="shared" si="27"/>
        <v>44.342216444949251</v>
      </c>
      <c r="J629" s="165">
        <v>44.342216444949251</v>
      </c>
      <c r="K629" s="169">
        <f t="shared" si="28"/>
        <v>0</v>
      </c>
      <c r="L629" s="165">
        <v>17</v>
      </c>
      <c r="M629" s="151">
        <v>0</v>
      </c>
      <c r="N629" s="151" t="str">
        <f t="shared" si="29"/>
        <v>No fit</v>
      </c>
      <c r="O629" s="174" t="s">
        <v>7101</v>
      </c>
      <c r="P629" s="174" t="s">
        <v>6051</v>
      </c>
    </row>
    <row r="630" spans="1:16" ht="64.05" customHeight="1" x14ac:dyDescent="0.3">
      <c r="A630" s="154" t="s">
        <v>7102</v>
      </c>
      <c r="B630" s="154" t="s">
        <v>5986</v>
      </c>
      <c r="C630" s="154" t="s">
        <v>114</v>
      </c>
      <c r="D630" s="154">
        <v>2022</v>
      </c>
      <c r="E630" s="154" t="s">
        <v>190</v>
      </c>
      <c r="F630" s="173" t="s">
        <v>7013</v>
      </c>
      <c r="G630" s="166">
        <f>(365*AVERAGE((FCCL!D51+'Forensic Inputs'!$G$89),(FCCL!E51+'Forensic Inputs'!$G$90)))</f>
        <v>1719570.8450000002</v>
      </c>
      <c r="H630" s="166">
        <f>FCCL!E84</f>
        <v>54243.118000000002</v>
      </c>
      <c r="I630" s="164">
        <f t="shared" si="27"/>
        <v>31.701179954293927</v>
      </c>
      <c r="J630" s="164">
        <v>31.701179954293927</v>
      </c>
      <c r="K630" s="168">
        <f t="shared" si="28"/>
        <v>0</v>
      </c>
      <c r="L630" s="164">
        <v>17</v>
      </c>
      <c r="M630" s="154">
        <v>0</v>
      </c>
      <c r="N630" s="154" t="str">
        <f t="shared" si="29"/>
        <v>No fit</v>
      </c>
      <c r="O630" s="173" t="s">
        <v>7103</v>
      </c>
      <c r="P630" s="173" t="s">
        <v>6051</v>
      </c>
    </row>
    <row r="631" spans="1:16" ht="64.05" customHeight="1" x14ac:dyDescent="0.3">
      <c r="A631" s="151" t="s">
        <v>7104</v>
      </c>
      <c r="B631" s="151" t="s">
        <v>5986</v>
      </c>
      <c r="C631" s="151" t="s">
        <v>114</v>
      </c>
      <c r="D631" s="151">
        <v>2022</v>
      </c>
      <c r="E631" s="151" t="s">
        <v>190</v>
      </c>
      <c r="F631" s="174" t="s">
        <v>7016</v>
      </c>
      <c r="G631" s="167">
        <f>(365*AVERAGE((FCCL!D51+'Forensic Inputs'!$G$89),(FCCL!E51+'Forensic Inputs'!$G$90)))</f>
        <v>1719570.8450000002</v>
      </c>
      <c r="H631" s="167">
        <f>((FCCL!E85*-1)+(FCCL!E65-FCCL!D65))</f>
        <v>48976.457999999999</v>
      </c>
      <c r="I631" s="165">
        <f t="shared" si="27"/>
        <v>35.110151187331681</v>
      </c>
      <c r="J631" s="165">
        <v>35.110151187331681</v>
      </c>
      <c r="K631" s="169">
        <f t="shared" si="28"/>
        <v>0</v>
      </c>
      <c r="L631" s="165">
        <v>17</v>
      </c>
      <c r="M631" s="151">
        <v>0</v>
      </c>
      <c r="N631" s="151" t="str">
        <f t="shared" si="29"/>
        <v>No fit</v>
      </c>
      <c r="O631" s="174" t="s">
        <v>7105</v>
      </c>
      <c r="P631" s="174" t="s">
        <v>6051</v>
      </c>
    </row>
    <row r="632" spans="1:16" ht="64.05" customHeight="1" x14ac:dyDescent="0.3">
      <c r="A632" s="154" t="s">
        <v>7106</v>
      </c>
      <c r="B632" s="154" t="s">
        <v>5986</v>
      </c>
      <c r="C632" s="154" t="s">
        <v>114</v>
      </c>
      <c r="D632" s="154">
        <v>2022</v>
      </c>
      <c r="E632" s="154" t="s">
        <v>190</v>
      </c>
      <c r="F632" s="173" t="s">
        <v>7019</v>
      </c>
      <c r="G632" s="166">
        <f>(365*AVERAGE((FCCL!D51+'Forensic Inputs'!$G$89),(FCCL!E51+'Forensic Inputs'!$G$90)))</f>
        <v>1719570.8450000002</v>
      </c>
      <c r="H632" s="166">
        <f>((FCCL!E85*-1)+(FCCL!E31-FCCL!D31))</f>
        <v>41288.065000000002</v>
      </c>
      <c r="I632" s="164">
        <f t="shared" si="27"/>
        <v>41.648133546583018</v>
      </c>
      <c r="J632" s="164">
        <v>41.648133546583018</v>
      </c>
      <c r="K632" s="168">
        <f t="shared" si="28"/>
        <v>0</v>
      </c>
      <c r="L632" s="164">
        <v>17</v>
      </c>
      <c r="M632" s="154">
        <v>0</v>
      </c>
      <c r="N632" s="154" t="str">
        <f t="shared" si="29"/>
        <v>No fit</v>
      </c>
      <c r="O632" s="173" t="s">
        <v>7107</v>
      </c>
      <c r="P632" s="173" t="s">
        <v>6051</v>
      </c>
    </row>
    <row r="633" spans="1:16" ht="64.05" customHeight="1" x14ac:dyDescent="0.3">
      <c r="A633" s="151" t="s">
        <v>7108</v>
      </c>
      <c r="B633" s="151" t="s">
        <v>5986</v>
      </c>
      <c r="C633" s="151" t="s">
        <v>114</v>
      </c>
      <c r="D633" s="151">
        <v>2022</v>
      </c>
      <c r="E633" s="151" t="s">
        <v>190</v>
      </c>
      <c r="F633" s="174" t="s">
        <v>7022</v>
      </c>
      <c r="G633" s="167">
        <f>(365*(FCCL!E50+'Forensic Inputs'!$G$90))</f>
        <v>4101983.88</v>
      </c>
      <c r="H633" s="167">
        <f>(FCCL!E85*-1)</f>
        <v>38779.542000000001</v>
      </c>
      <c r="I633" s="165">
        <f t="shared" si="27"/>
        <v>105.77700685583135</v>
      </c>
      <c r="J633" s="165">
        <v>105.77700685583135</v>
      </c>
      <c r="K633" s="169">
        <f t="shared" si="28"/>
        <v>0</v>
      </c>
      <c r="L633" s="165">
        <v>17</v>
      </c>
      <c r="M633" s="151">
        <v>0</v>
      </c>
      <c r="N633" s="151" t="str">
        <f t="shared" si="29"/>
        <v>No fit</v>
      </c>
      <c r="O633" s="174" t="s">
        <v>7109</v>
      </c>
      <c r="P633" s="174" t="s">
        <v>6051</v>
      </c>
    </row>
    <row r="634" spans="1:16" ht="64.05" customHeight="1" x14ac:dyDescent="0.3">
      <c r="A634" s="154" t="s">
        <v>7110</v>
      </c>
      <c r="B634" s="154" t="s">
        <v>5986</v>
      </c>
      <c r="C634" s="154" t="s">
        <v>114</v>
      </c>
      <c r="D634" s="154">
        <v>2022</v>
      </c>
      <c r="E634" s="154" t="s">
        <v>190</v>
      </c>
      <c r="F634" s="173" t="s">
        <v>7025</v>
      </c>
      <c r="G634" s="166">
        <f>(365*(FCCL!E50+'Forensic Inputs'!$G$90))</f>
        <v>4101983.88</v>
      </c>
      <c r="H634" s="166">
        <f>FCCL!E84</f>
        <v>54243.118000000002</v>
      </c>
      <c r="I634" s="164">
        <f t="shared" si="27"/>
        <v>75.622199299088962</v>
      </c>
      <c r="J634" s="164">
        <v>75.622199299088962</v>
      </c>
      <c r="K634" s="168">
        <f t="shared" si="28"/>
        <v>0</v>
      </c>
      <c r="L634" s="164">
        <v>17</v>
      </c>
      <c r="M634" s="154">
        <v>0</v>
      </c>
      <c r="N634" s="154" t="str">
        <f t="shared" si="29"/>
        <v>No fit</v>
      </c>
      <c r="O634" s="173" t="s">
        <v>7111</v>
      </c>
      <c r="P634" s="173" t="s">
        <v>6051</v>
      </c>
    </row>
    <row r="635" spans="1:16" ht="64.05" customHeight="1" x14ac:dyDescent="0.3">
      <c r="A635" s="151" t="s">
        <v>7112</v>
      </c>
      <c r="B635" s="151" t="s">
        <v>5986</v>
      </c>
      <c r="C635" s="151" t="s">
        <v>114</v>
      </c>
      <c r="D635" s="151">
        <v>2022</v>
      </c>
      <c r="E635" s="151" t="s">
        <v>190</v>
      </c>
      <c r="F635" s="174" t="s">
        <v>7028</v>
      </c>
      <c r="G635" s="167">
        <f>(365*(FCCL!E50+'Forensic Inputs'!$G$90))</f>
        <v>4101983.88</v>
      </c>
      <c r="H635" s="167">
        <f>((FCCL!E85*-1)+(FCCL!E65-FCCL!D65))</f>
        <v>48976.457999999999</v>
      </c>
      <c r="I635" s="165">
        <f t="shared" si="27"/>
        <v>83.754196352868149</v>
      </c>
      <c r="J635" s="165">
        <v>83.754196352868149</v>
      </c>
      <c r="K635" s="169">
        <f t="shared" si="28"/>
        <v>0</v>
      </c>
      <c r="L635" s="165">
        <v>17</v>
      </c>
      <c r="M635" s="151">
        <v>0</v>
      </c>
      <c r="N635" s="151" t="str">
        <f t="shared" si="29"/>
        <v>No fit</v>
      </c>
      <c r="O635" s="174" t="s">
        <v>7113</v>
      </c>
      <c r="P635" s="174" t="s">
        <v>6051</v>
      </c>
    </row>
    <row r="636" spans="1:16" ht="64.05" customHeight="1" x14ac:dyDescent="0.3">
      <c r="A636" s="154" t="s">
        <v>7114</v>
      </c>
      <c r="B636" s="154" t="s">
        <v>5986</v>
      </c>
      <c r="C636" s="154" t="s">
        <v>114</v>
      </c>
      <c r="D636" s="154">
        <v>2022</v>
      </c>
      <c r="E636" s="154" t="s">
        <v>190</v>
      </c>
      <c r="F636" s="173" t="s">
        <v>7031</v>
      </c>
      <c r="G636" s="166">
        <f>(365*(FCCL!E50+'Forensic Inputs'!$G$90))</f>
        <v>4101983.88</v>
      </c>
      <c r="H636" s="166">
        <f>((FCCL!E85*-1)+(FCCL!E31-FCCL!D31))</f>
        <v>41288.065000000002</v>
      </c>
      <c r="I636" s="164">
        <f t="shared" si="27"/>
        <v>99.35035415198071</v>
      </c>
      <c r="J636" s="164">
        <v>99.35035415198071</v>
      </c>
      <c r="K636" s="168">
        <f t="shared" si="28"/>
        <v>0</v>
      </c>
      <c r="L636" s="164">
        <v>17</v>
      </c>
      <c r="M636" s="154">
        <v>0</v>
      </c>
      <c r="N636" s="154" t="str">
        <f t="shared" si="29"/>
        <v>No fit</v>
      </c>
      <c r="O636" s="173" t="s">
        <v>7115</v>
      </c>
      <c r="P636" s="173" t="s">
        <v>6051</v>
      </c>
    </row>
    <row r="637" spans="1:16" ht="64.05" customHeight="1" x14ac:dyDescent="0.3">
      <c r="A637" s="151" t="s">
        <v>7116</v>
      </c>
      <c r="B637" s="151" t="s">
        <v>5986</v>
      </c>
      <c r="C637" s="151" t="s">
        <v>114</v>
      </c>
      <c r="D637" s="151">
        <v>2022</v>
      </c>
      <c r="E637" s="151" t="s">
        <v>190</v>
      </c>
      <c r="F637" s="174" t="s">
        <v>7034</v>
      </c>
      <c r="G637" s="167">
        <f>(365*AVERAGE((FCCL!D50+'Forensic Inputs'!$G$89),(FCCL!E50+'Forensic Inputs'!$G$90)))</f>
        <v>2667392.4424999999</v>
      </c>
      <c r="H637" s="167">
        <f>(FCCL!E85*-1)</f>
        <v>38779.542000000001</v>
      </c>
      <c r="I637" s="165">
        <f t="shared" si="27"/>
        <v>68.783495238288268</v>
      </c>
      <c r="J637" s="165">
        <v>68.783495238288268</v>
      </c>
      <c r="K637" s="169">
        <f t="shared" si="28"/>
        <v>0</v>
      </c>
      <c r="L637" s="165">
        <v>17</v>
      </c>
      <c r="M637" s="151">
        <v>0</v>
      </c>
      <c r="N637" s="151" t="str">
        <f t="shared" si="29"/>
        <v>No fit</v>
      </c>
      <c r="O637" s="174" t="s">
        <v>7117</v>
      </c>
      <c r="P637" s="174" t="s">
        <v>6051</v>
      </c>
    </row>
    <row r="638" spans="1:16" ht="64.05" customHeight="1" x14ac:dyDescent="0.3">
      <c r="A638" s="154" t="s">
        <v>7118</v>
      </c>
      <c r="B638" s="154" t="s">
        <v>5986</v>
      </c>
      <c r="C638" s="154" t="s">
        <v>114</v>
      </c>
      <c r="D638" s="154">
        <v>2022</v>
      </c>
      <c r="E638" s="154" t="s">
        <v>190</v>
      </c>
      <c r="F638" s="173" t="s">
        <v>7037</v>
      </c>
      <c r="G638" s="166">
        <f>(365*AVERAGE((FCCL!D50+'Forensic Inputs'!$G$89),(FCCL!E50+'Forensic Inputs'!$G$90)))</f>
        <v>2667392.4424999999</v>
      </c>
      <c r="H638" s="166">
        <f>FCCL!E84</f>
        <v>54243.118000000002</v>
      </c>
      <c r="I638" s="164">
        <f t="shared" si="27"/>
        <v>49.174762455580073</v>
      </c>
      <c r="J638" s="164">
        <v>49.174762455580073</v>
      </c>
      <c r="K638" s="168">
        <f t="shared" si="28"/>
        <v>0</v>
      </c>
      <c r="L638" s="164">
        <v>17</v>
      </c>
      <c r="M638" s="154">
        <v>0</v>
      </c>
      <c r="N638" s="154" t="str">
        <f t="shared" si="29"/>
        <v>No fit</v>
      </c>
      <c r="O638" s="173" t="s">
        <v>7119</v>
      </c>
      <c r="P638" s="173" t="s">
        <v>6051</v>
      </c>
    </row>
    <row r="639" spans="1:16" ht="64.05" customHeight="1" x14ac:dyDescent="0.3">
      <c r="A639" s="151" t="s">
        <v>7120</v>
      </c>
      <c r="B639" s="151" t="s">
        <v>5986</v>
      </c>
      <c r="C639" s="151" t="s">
        <v>114</v>
      </c>
      <c r="D639" s="151">
        <v>2022</v>
      </c>
      <c r="E639" s="151" t="s">
        <v>190</v>
      </c>
      <c r="F639" s="174" t="s">
        <v>7040</v>
      </c>
      <c r="G639" s="167">
        <f>(365*AVERAGE((FCCL!D50+'Forensic Inputs'!$G$89),(FCCL!E50+'Forensic Inputs'!$G$90)))</f>
        <v>2667392.4424999999</v>
      </c>
      <c r="H639" s="167">
        <f>((FCCL!E85*-1)+(FCCL!E65-FCCL!D65))</f>
        <v>48976.457999999999</v>
      </c>
      <c r="I639" s="165">
        <f t="shared" si="27"/>
        <v>54.462747030420203</v>
      </c>
      <c r="J639" s="165">
        <v>54.462747030420203</v>
      </c>
      <c r="K639" s="169">
        <f t="shared" si="28"/>
        <v>0</v>
      </c>
      <c r="L639" s="165">
        <v>17</v>
      </c>
      <c r="M639" s="151">
        <v>0</v>
      </c>
      <c r="N639" s="151" t="str">
        <f t="shared" si="29"/>
        <v>No fit</v>
      </c>
      <c r="O639" s="174" t="s">
        <v>7121</v>
      </c>
      <c r="P639" s="174" t="s">
        <v>6051</v>
      </c>
    </row>
    <row r="640" spans="1:16" ht="64.05" customHeight="1" x14ac:dyDescent="0.3">
      <c r="A640" s="154" t="s">
        <v>7122</v>
      </c>
      <c r="B640" s="154" t="s">
        <v>5986</v>
      </c>
      <c r="C640" s="154" t="s">
        <v>114</v>
      </c>
      <c r="D640" s="154">
        <v>2022</v>
      </c>
      <c r="E640" s="154" t="s">
        <v>190</v>
      </c>
      <c r="F640" s="173" t="s">
        <v>7043</v>
      </c>
      <c r="G640" s="166">
        <f>(365*AVERAGE((FCCL!D50+'Forensic Inputs'!$G$89),(FCCL!E50+'Forensic Inputs'!$G$90)))</f>
        <v>2667392.4424999999</v>
      </c>
      <c r="H640" s="166">
        <f>((FCCL!E85*-1)+(FCCL!E31-FCCL!D31))</f>
        <v>41288.065000000002</v>
      </c>
      <c r="I640" s="164">
        <f t="shared" si="27"/>
        <v>64.604443015190952</v>
      </c>
      <c r="J640" s="164">
        <v>64.604443015190952</v>
      </c>
      <c r="K640" s="168">
        <f t="shared" si="28"/>
        <v>0</v>
      </c>
      <c r="L640" s="164">
        <v>17</v>
      </c>
      <c r="M640" s="154">
        <v>0</v>
      </c>
      <c r="N640" s="154" t="str">
        <f t="shared" si="29"/>
        <v>No fit</v>
      </c>
      <c r="O640" s="173" t="s">
        <v>7123</v>
      </c>
      <c r="P640" s="173" t="s">
        <v>6051</v>
      </c>
    </row>
    <row r="641" spans="1:16" ht="64.05" customHeight="1" x14ac:dyDescent="0.3">
      <c r="A641" s="151" t="s">
        <v>7124</v>
      </c>
      <c r="B641" s="151" t="s">
        <v>5986</v>
      </c>
      <c r="C641" s="151" t="s">
        <v>114</v>
      </c>
      <c r="D641" s="151">
        <v>2022</v>
      </c>
      <c r="E641" s="151" t="s">
        <v>190</v>
      </c>
      <c r="F641" s="174" t="s">
        <v>7046</v>
      </c>
      <c r="G641" s="167">
        <f>(90*FCCL!E51)</f>
        <v>241488.9</v>
      </c>
      <c r="H641" s="167">
        <f>'Forensic Inputs'!$G$111</f>
        <v>23336.448</v>
      </c>
      <c r="I641" s="165">
        <f t="shared" si="27"/>
        <v>10.348142956460212</v>
      </c>
      <c r="J641" s="165">
        <v>10.348142956460212</v>
      </c>
      <c r="K641" s="169">
        <f t="shared" si="28"/>
        <v>0</v>
      </c>
      <c r="L641" s="165">
        <v>17</v>
      </c>
      <c r="M641" s="151">
        <v>0</v>
      </c>
      <c r="N641" s="151" t="str">
        <f t="shared" si="29"/>
        <v>No fit</v>
      </c>
      <c r="O641" s="174" t="s">
        <v>7125</v>
      </c>
      <c r="P641" s="174" t="s">
        <v>7048</v>
      </c>
    </row>
    <row r="642" spans="1:16" ht="64.05" customHeight="1" x14ac:dyDescent="0.3">
      <c r="A642" s="154" t="s">
        <v>7126</v>
      </c>
      <c r="B642" s="154" t="s">
        <v>5986</v>
      </c>
      <c r="C642" s="154" t="s">
        <v>114</v>
      </c>
      <c r="D642" s="154">
        <v>2022</v>
      </c>
      <c r="E642" s="154" t="s">
        <v>190</v>
      </c>
      <c r="F642" s="173" t="s">
        <v>7050</v>
      </c>
      <c r="G642" s="166">
        <f>(90*FCCL!E50)</f>
        <v>622543.41</v>
      </c>
      <c r="H642" s="166">
        <f>'Forensic Inputs'!$G$111</f>
        <v>23336.448</v>
      </c>
      <c r="I642" s="164">
        <f t="shared" si="27"/>
        <v>26.67687087597907</v>
      </c>
      <c r="J642" s="164">
        <v>26.67687087597907</v>
      </c>
      <c r="K642" s="168">
        <f t="shared" si="28"/>
        <v>0</v>
      </c>
      <c r="L642" s="164">
        <v>17</v>
      </c>
      <c r="M642" s="154">
        <v>0</v>
      </c>
      <c r="N642" s="154" t="str">
        <f t="shared" si="29"/>
        <v>No fit</v>
      </c>
      <c r="O642" s="173" t="s">
        <v>7127</v>
      </c>
      <c r="P642" s="173" t="s">
        <v>7048</v>
      </c>
    </row>
    <row r="643" spans="1:16" ht="64.05" customHeight="1" x14ac:dyDescent="0.3">
      <c r="A643" s="151" t="s">
        <v>7128</v>
      </c>
      <c r="B643" s="151" t="s">
        <v>5986</v>
      </c>
      <c r="C643" s="151" t="s">
        <v>114</v>
      </c>
      <c r="D643" s="151">
        <v>2022</v>
      </c>
      <c r="E643" s="151" t="s">
        <v>190</v>
      </c>
      <c r="F643" s="174" t="s">
        <v>7053</v>
      </c>
      <c r="G643" s="167">
        <f>(90*(FCCL!E51+'Forensic Inputs'!$G$84))</f>
        <v>470899.26</v>
      </c>
      <c r="H643" s="167">
        <f>'Forensic Inputs'!$G$111</f>
        <v>23336.448</v>
      </c>
      <c r="I643" s="165">
        <f t="shared" si="27"/>
        <v>20.178703288521028</v>
      </c>
      <c r="J643" s="165">
        <v>20.178703288521028</v>
      </c>
      <c r="K643" s="169">
        <f t="shared" si="28"/>
        <v>0</v>
      </c>
      <c r="L643" s="165">
        <v>17</v>
      </c>
      <c r="M643" s="151">
        <v>0</v>
      </c>
      <c r="N643" s="151" t="str">
        <f t="shared" si="29"/>
        <v>No fit</v>
      </c>
      <c r="O643" s="174" t="s">
        <v>7129</v>
      </c>
      <c r="P643" s="174" t="s">
        <v>7048</v>
      </c>
    </row>
    <row r="644" spans="1:16" ht="64.05" customHeight="1" x14ac:dyDescent="0.3">
      <c r="A644" s="154" t="s">
        <v>7130</v>
      </c>
      <c r="B644" s="154" t="s">
        <v>5989</v>
      </c>
      <c r="C644" s="154" t="s">
        <v>114</v>
      </c>
      <c r="D644" s="154">
        <v>2023</v>
      </c>
      <c r="E644" s="154" t="s">
        <v>190</v>
      </c>
      <c r="F644" s="173" t="s">
        <v>5893</v>
      </c>
      <c r="G644" s="166">
        <f>365*AVERAGE(FCCL!E51,FCCL!F51)</f>
        <v>968445.74</v>
      </c>
      <c r="H644" s="166">
        <f>-FCCL!F85</f>
        <v>47650.809000000001</v>
      </c>
      <c r="I644" s="164">
        <f t="shared" si="27"/>
        <v>20.323804785769745</v>
      </c>
      <c r="J644" s="164">
        <v>20.323804785769745</v>
      </c>
      <c r="K644" s="168">
        <f t="shared" si="28"/>
        <v>0</v>
      </c>
      <c r="L644" s="164">
        <v>30</v>
      </c>
      <c r="M644" s="154">
        <v>0</v>
      </c>
      <c r="N644" s="154" t="str">
        <f t="shared" si="29"/>
        <v>No fit</v>
      </c>
      <c r="O644" s="173" t="s">
        <v>6050</v>
      </c>
      <c r="P644" s="173" t="s">
        <v>6051</v>
      </c>
    </row>
    <row r="645" spans="1:16" ht="64.05" customHeight="1" x14ac:dyDescent="0.3">
      <c r="A645" s="151" t="s">
        <v>7131</v>
      </c>
      <c r="B645" s="151" t="s">
        <v>5989</v>
      </c>
      <c r="C645" s="151" t="s">
        <v>114</v>
      </c>
      <c r="D645" s="151">
        <v>2023</v>
      </c>
      <c r="E645" s="151" t="s">
        <v>190</v>
      </c>
      <c r="F645" s="174" t="s">
        <v>6115</v>
      </c>
      <c r="G645" s="167">
        <f>(365*FCCL!F51)</f>
        <v>957519.83000000007</v>
      </c>
      <c r="H645" s="167">
        <f>(FCCL!F85*-1)</f>
        <v>47650.809000000001</v>
      </c>
      <c r="I645" s="165">
        <f t="shared" si="27"/>
        <v>20.094513610461473</v>
      </c>
      <c r="J645" s="165">
        <v>20.094513610461473</v>
      </c>
      <c r="K645" s="169">
        <f t="shared" si="28"/>
        <v>0</v>
      </c>
      <c r="L645" s="165">
        <v>30</v>
      </c>
      <c r="M645" s="151">
        <v>0</v>
      </c>
      <c r="N645" s="151" t="str">
        <f t="shared" si="29"/>
        <v>No fit</v>
      </c>
      <c r="O645" s="174" t="s">
        <v>6934</v>
      </c>
      <c r="P645" s="174" t="s">
        <v>6051</v>
      </c>
    </row>
    <row r="646" spans="1:16" ht="64.05" customHeight="1" x14ac:dyDescent="0.3">
      <c r="A646" s="154" t="s">
        <v>7132</v>
      </c>
      <c r="B646" s="154" t="s">
        <v>5989</v>
      </c>
      <c r="C646" s="154" t="s">
        <v>114</v>
      </c>
      <c r="D646" s="154">
        <v>2023</v>
      </c>
      <c r="E646" s="154" t="s">
        <v>190</v>
      </c>
      <c r="F646" s="173" t="s">
        <v>6118</v>
      </c>
      <c r="G646" s="166">
        <f>(365*FCCL!F51)</f>
        <v>957519.83000000007</v>
      </c>
      <c r="H646" s="166">
        <f>FCCL!F84</f>
        <v>68069.282000000007</v>
      </c>
      <c r="I646" s="164">
        <f t="shared" ref="I646:I709" si="30">G646/H646</f>
        <v>14.066841927317522</v>
      </c>
      <c r="J646" s="164">
        <v>14.066841927317522</v>
      </c>
      <c r="K646" s="168">
        <f t="shared" ref="K646:K709" si="31">I646-J646</f>
        <v>0</v>
      </c>
      <c r="L646" s="164">
        <v>30</v>
      </c>
      <c r="M646" s="154">
        <v>0</v>
      </c>
      <c r="N646" s="154" t="str">
        <f t="shared" ref="N646:N709" si="32">IF(ROUND(I646,M646)=ROUND(L646,M646),"Numeric fit","No fit")</f>
        <v>No fit</v>
      </c>
      <c r="O646" s="173" t="s">
        <v>6936</v>
      </c>
      <c r="P646" s="173" t="s">
        <v>6051</v>
      </c>
    </row>
    <row r="647" spans="1:16" ht="64.05" customHeight="1" x14ac:dyDescent="0.3">
      <c r="A647" s="151" t="s">
        <v>7133</v>
      </c>
      <c r="B647" s="151" t="s">
        <v>5989</v>
      </c>
      <c r="C647" s="151" t="s">
        <v>114</v>
      </c>
      <c r="D647" s="151">
        <v>2023</v>
      </c>
      <c r="E647" s="151" t="s">
        <v>190</v>
      </c>
      <c r="F647" s="174" t="s">
        <v>6121</v>
      </c>
      <c r="G647" s="167">
        <f>(365*FCCL!F51)</f>
        <v>957519.83000000007</v>
      </c>
      <c r="H647" s="167">
        <f>((FCCL!F85*-1)+(FCCL!F65-FCCL!E65))</f>
        <v>47137.449000000001</v>
      </c>
      <c r="I647" s="165">
        <f t="shared" si="30"/>
        <v>20.31335700835232</v>
      </c>
      <c r="J647" s="165">
        <v>20.31335700835232</v>
      </c>
      <c r="K647" s="169">
        <f t="shared" si="31"/>
        <v>0</v>
      </c>
      <c r="L647" s="165">
        <v>30</v>
      </c>
      <c r="M647" s="151">
        <v>0</v>
      </c>
      <c r="N647" s="151" t="str">
        <f t="shared" si="32"/>
        <v>No fit</v>
      </c>
      <c r="O647" s="174" t="s">
        <v>6938</v>
      </c>
      <c r="P647" s="174" t="s">
        <v>6051</v>
      </c>
    </row>
    <row r="648" spans="1:16" ht="64.05" customHeight="1" x14ac:dyDescent="0.3">
      <c r="A648" s="154" t="s">
        <v>7134</v>
      </c>
      <c r="B648" s="154" t="s">
        <v>5989</v>
      </c>
      <c r="C648" s="154" t="s">
        <v>114</v>
      </c>
      <c r="D648" s="154">
        <v>2023</v>
      </c>
      <c r="E648" s="154" t="s">
        <v>190</v>
      </c>
      <c r="F648" s="173" t="s">
        <v>6124</v>
      </c>
      <c r="G648" s="166">
        <f>(365*FCCL!F51)</f>
        <v>957519.83000000007</v>
      </c>
      <c r="H648" s="166">
        <f>((FCCL!F85*-1)+(FCCL!F31-FCCL!E31))</f>
        <v>51065.415000000001</v>
      </c>
      <c r="I648" s="164">
        <f t="shared" si="30"/>
        <v>18.750847907531938</v>
      </c>
      <c r="J648" s="164">
        <v>18.750847907531938</v>
      </c>
      <c r="K648" s="168">
        <f t="shared" si="31"/>
        <v>0</v>
      </c>
      <c r="L648" s="164">
        <v>30</v>
      </c>
      <c r="M648" s="154">
        <v>0</v>
      </c>
      <c r="N648" s="154" t="str">
        <f t="shared" si="32"/>
        <v>No fit</v>
      </c>
      <c r="O648" s="173" t="s">
        <v>6940</v>
      </c>
      <c r="P648" s="173" t="s">
        <v>6051</v>
      </c>
    </row>
    <row r="649" spans="1:16" ht="64.05" customHeight="1" x14ac:dyDescent="0.3">
      <c r="A649" s="151" t="s">
        <v>7135</v>
      </c>
      <c r="B649" s="151" t="s">
        <v>5989</v>
      </c>
      <c r="C649" s="151" t="s">
        <v>114</v>
      </c>
      <c r="D649" s="151">
        <v>2023</v>
      </c>
      <c r="E649" s="151" t="s">
        <v>190</v>
      </c>
      <c r="F649" s="174" t="s">
        <v>6127</v>
      </c>
      <c r="G649" s="167">
        <f>(365*AVERAGE(FCCL!E51,FCCL!F51))</f>
        <v>968445.74</v>
      </c>
      <c r="H649" s="167">
        <f>(FCCL!F85*-1)</f>
        <v>47650.809000000001</v>
      </c>
      <c r="I649" s="165">
        <f t="shared" si="30"/>
        <v>20.323804785769745</v>
      </c>
      <c r="J649" s="165">
        <v>20.323804785769745</v>
      </c>
      <c r="K649" s="169">
        <f t="shared" si="31"/>
        <v>0</v>
      </c>
      <c r="L649" s="165">
        <v>30</v>
      </c>
      <c r="M649" s="151">
        <v>0</v>
      </c>
      <c r="N649" s="151" t="str">
        <f t="shared" si="32"/>
        <v>No fit</v>
      </c>
      <c r="O649" s="174" t="s">
        <v>6942</v>
      </c>
      <c r="P649" s="174" t="s">
        <v>6051</v>
      </c>
    </row>
    <row r="650" spans="1:16" ht="64.05" customHeight="1" x14ac:dyDescent="0.3">
      <c r="A650" s="154" t="s">
        <v>7136</v>
      </c>
      <c r="B650" s="154" t="s">
        <v>5989</v>
      </c>
      <c r="C650" s="154" t="s">
        <v>114</v>
      </c>
      <c r="D650" s="154">
        <v>2023</v>
      </c>
      <c r="E650" s="154" t="s">
        <v>190</v>
      </c>
      <c r="F650" s="173" t="s">
        <v>6130</v>
      </c>
      <c r="G650" s="166">
        <f>(365*AVERAGE(FCCL!E51,FCCL!F51))</f>
        <v>968445.74</v>
      </c>
      <c r="H650" s="166">
        <f>FCCL!F84</f>
        <v>68069.282000000007</v>
      </c>
      <c r="I650" s="164">
        <f t="shared" si="30"/>
        <v>14.227353536651083</v>
      </c>
      <c r="J650" s="164">
        <v>14.227353536651083</v>
      </c>
      <c r="K650" s="168">
        <f t="shared" si="31"/>
        <v>0</v>
      </c>
      <c r="L650" s="164">
        <v>30</v>
      </c>
      <c r="M650" s="154">
        <v>0</v>
      </c>
      <c r="N650" s="154" t="str">
        <f t="shared" si="32"/>
        <v>No fit</v>
      </c>
      <c r="O650" s="173" t="s">
        <v>6944</v>
      </c>
      <c r="P650" s="173" t="s">
        <v>6051</v>
      </c>
    </row>
    <row r="651" spans="1:16" ht="64.05" customHeight="1" x14ac:dyDescent="0.3">
      <c r="A651" s="151" t="s">
        <v>7137</v>
      </c>
      <c r="B651" s="151" t="s">
        <v>5989</v>
      </c>
      <c r="C651" s="151" t="s">
        <v>114</v>
      </c>
      <c r="D651" s="151">
        <v>2023</v>
      </c>
      <c r="E651" s="151" t="s">
        <v>190</v>
      </c>
      <c r="F651" s="174" t="s">
        <v>6133</v>
      </c>
      <c r="G651" s="167">
        <f>(365*AVERAGE(FCCL!E51,FCCL!F51))</f>
        <v>968445.74</v>
      </c>
      <c r="H651" s="167">
        <f>((FCCL!F85*-1)+(FCCL!F65-FCCL!E65))</f>
        <v>47137.449000000001</v>
      </c>
      <c r="I651" s="165">
        <f t="shared" si="30"/>
        <v>20.545145325959407</v>
      </c>
      <c r="J651" s="165">
        <v>20.545145325959407</v>
      </c>
      <c r="K651" s="169">
        <f t="shared" si="31"/>
        <v>0</v>
      </c>
      <c r="L651" s="165">
        <v>30</v>
      </c>
      <c r="M651" s="151">
        <v>0</v>
      </c>
      <c r="N651" s="151" t="str">
        <f t="shared" si="32"/>
        <v>No fit</v>
      </c>
      <c r="O651" s="174" t="s">
        <v>6946</v>
      </c>
      <c r="P651" s="174" t="s">
        <v>6051</v>
      </c>
    </row>
    <row r="652" spans="1:16" ht="64.05" customHeight="1" x14ac:dyDescent="0.3">
      <c r="A652" s="154" t="s">
        <v>7138</v>
      </c>
      <c r="B652" s="154" t="s">
        <v>5989</v>
      </c>
      <c r="C652" s="154" t="s">
        <v>114</v>
      </c>
      <c r="D652" s="154">
        <v>2023</v>
      </c>
      <c r="E652" s="154" t="s">
        <v>190</v>
      </c>
      <c r="F652" s="173" t="s">
        <v>6136</v>
      </c>
      <c r="G652" s="166">
        <f>(365*AVERAGE(FCCL!E51,FCCL!F51))</f>
        <v>968445.74</v>
      </c>
      <c r="H652" s="166">
        <f>((FCCL!F85*-1)+(FCCL!F31-FCCL!E31))</f>
        <v>51065.415000000001</v>
      </c>
      <c r="I652" s="164">
        <f t="shared" si="30"/>
        <v>18.964807002939267</v>
      </c>
      <c r="J652" s="164">
        <v>18.964807002939267</v>
      </c>
      <c r="K652" s="168">
        <f t="shared" si="31"/>
        <v>0</v>
      </c>
      <c r="L652" s="164">
        <v>30</v>
      </c>
      <c r="M652" s="154">
        <v>0</v>
      </c>
      <c r="N652" s="154" t="str">
        <f t="shared" si="32"/>
        <v>No fit</v>
      </c>
      <c r="O652" s="173" t="s">
        <v>6948</v>
      </c>
      <c r="P652" s="173" t="s">
        <v>6051</v>
      </c>
    </row>
    <row r="653" spans="1:16" ht="64.05" customHeight="1" x14ac:dyDescent="0.3">
      <c r="A653" s="151" t="s">
        <v>7139</v>
      </c>
      <c r="B653" s="151" t="s">
        <v>5989</v>
      </c>
      <c r="C653" s="151" t="s">
        <v>114</v>
      </c>
      <c r="D653" s="151">
        <v>2023</v>
      </c>
      <c r="E653" s="151" t="s">
        <v>190</v>
      </c>
      <c r="F653" s="174" t="s">
        <v>6139</v>
      </c>
      <c r="G653" s="167">
        <f>(365*FCCL!F50)</f>
        <v>2378508.6300000004</v>
      </c>
      <c r="H653" s="167">
        <f>(FCCL!F85*-1)</f>
        <v>47650.809000000001</v>
      </c>
      <c r="I653" s="165">
        <f t="shared" si="30"/>
        <v>49.915388215129788</v>
      </c>
      <c r="J653" s="165">
        <v>49.915388215129788</v>
      </c>
      <c r="K653" s="169">
        <f t="shared" si="31"/>
        <v>0</v>
      </c>
      <c r="L653" s="165">
        <v>30</v>
      </c>
      <c r="M653" s="151">
        <v>0</v>
      </c>
      <c r="N653" s="151" t="str">
        <f t="shared" si="32"/>
        <v>No fit</v>
      </c>
      <c r="O653" s="174" t="s">
        <v>6950</v>
      </c>
      <c r="P653" s="174" t="s">
        <v>6051</v>
      </c>
    </row>
    <row r="654" spans="1:16" ht="64.05" customHeight="1" x14ac:dyDescent="0.3">
      <c r="A654" s="154" t="s">
        <v>7140</v>
      </c>
      <c r="B654" s="154" t="s">
        <v>5989</v>
      </c>
      <c r="C654" s="154" t="s">
        <v>114</v>
      </c>
      <c r="D654" s="154">
        <v>2023</v>
      </c>
      <c r="E654" s="154" t="s">
        <v>190</v>
      </c>
      <c r="F654" s="173" t="s">
        <v>6142</v>
      </c>
      <c r="G654" s="166">
        <f>(365*FCCL!F50)</f>
        <v>2378508.6300000004</v>
      </c>
      <c r="H654" s="166">
        <f>FCCL!F84</f>
        <v>68069.282000000007</v>
      </c>
      <c r="I654" s="164">
        <f t="shared" si="30"/>
        <v>34.942466853110041</v>
      </c>
      <c r="J654" s="164">
        <v>34.942466853110041</v>
      </c>
      <c r="K654" s="168">
        <f t="shared" si="31"/>
        <v>0</v>
      </c>
      <c r="L654" s="164">
        <v>30</v>
      </c>
      <c r="M654" s="154">
        <v>0</v>
      </c>
      <c r="N654" s="154" t="str">
        <f t="shared" si="32"/>
        <v>No fit</v>
      </c>
      <c r="O654" s="173" t="s">
        <v>6952</v>
      </c>
      <c r="P654" s="173" t="s">
        <v>6051</v>
      </c>
    </row>
    <row r="655" spans="1:16" ht="64.05" customHeight="1" x14ac:dyDescent="0.3">
      <c r="A655" s="151" t="s">
        <v>7141</v>
      </c>
      <c r="B655" s="151" t="s">
        <v>5989</v>
      </c>
      <c r="C655" s="151" t="s">
        <v>114</v>
      </c>
      <c r="D655" s="151">
        <v>2023</v>
      </c>
      <c r="E655" s="151" t="s">
        <v>190</v>
      </c>
      <c r="F655" s="174" t="s">
        <v>6145</v>
      </c>
      <c r="G655" s="167">
        <f>(365*FCCL!F50)</f>
        <v>2378508.6300000004</v>
      </c>
      <c r="H655" s="167">
        <f>((FCCL!F85*-1)+(FCCL!F65-FCCL!E65))</f>
        <v>47137.449000000001</v>
      </c>
      <c r="I655" s="165">
        <f t="shared" si="30"/>
        <v>50.459001928593977</v>
      </c>
      <c r="J655" s="165">
        <v>50.459001928593977</v>
      </c>
      <c r="K655" s="169">
        <f t="shared" si="31"/>
        <v>0</v>
      </c>
      <c r="L655" s="165">
        <v>30</v>
      </c>
      <c r="M655" s="151">
        <v>0</v>
      </c>
      <c r="N655" s="151" t="str">
        <f t="shared" si="32"/>
        <v>No fit</v>
      </c>
      <c r="O655" s="174" t="s">
        <v>6954</v>
      </c>
      <c r="P655" s="174" t="s">
        <v>6051</v>
      </c>
    </row>
    <row r="656" spans="1:16" ht="64.05" customHeight="1" x14ac:dyDescent="0.3">
      <c r="A656" s="154" t="s">
        <v>7142</v>
      </c>
      <c r="B656" s="154" t="s">
        <v>5989</v>
      </c>
      <c r="C656" s="154" t="s">
        <v>114</v>
      </c>
      <c r="D656" s="154">
        <v>2023</v>
      </c>
      <c r="E656" s="154" t="s">
        <v>190</v>
      </c>
      <c r="F656" s="173" t="s">
        <v>6148</v>
      </c>
      <c r="G656" s="166">
        <f>(365*FCCL!F50)</f>
        <v>2378508.6300000004</v>
      </c>
      <c r="H656" s="166">
        <f>((FCCL!F85*-1)+(FCCL!F31-FCCL!E31))</f>
        <v>51065.415000000001</v>
      </c>
      <c r="I656" s="164">
        <f t="shared" si="30"/>
        <v>46.577681391603306</v>
      </c>
      <c r="J656" s="164">
        <v>46.577681391603306</v>
      </c>
      <c r="K656" s="168">
        <f t="shared" si="31"/>
        <v>0</v>
      </c>
      <c r="L656" s="164">
        <v>30</v>
      </c>
      <c r="M656" s="154">
        <v>0</v>
      </c>
      <c r="N656" s="154" t="str">
        <f t="shared" si="32"/>
        <v>No fit</v>
      </c>
      <c r="O656" s="173" t="s">
        <v>6956</v>
      </c>
      <c r="P656" s="173" t="s">
        <v>6051</v>
      </c>
    </row>
    <row r="657" spans="1:16" ht="64.05" customHeight="1" x14ac:dyDescent="0.3">
      <c r="A657" s="151" t="s">
        <v>7143</v>
      </c>
      <c r="B657" s="151" t="s">
        <v>5989</v>
      </c>
      <c r="C657" s="151" t="s">
        <v>114</v>
      </c>
      <c r="D657" s="151">
        <v>2023</v>
      </c>
      <c r="E657" s="151" t="s">
        <v>190</v>
      </c>
      <c r="F657" s="174" t="s">
        <v>5780</v>
      </c>
      <c r="G657" s="167">
        <f>(365*AVERAGE(FCCL!E50,FCCL!F50))</f>
        <v>2451634.0075000003</v>
      </c>
      <c r="H657" s="167">
        <f>(FCCL!F85*-1)</f>
        <v>47650.809000000001</v>
      </c>
      <c r="I657" s="165">
        <f t="shared" si="30"/>
        <v>51.449997575067407</v>
      </c>
      <c r="J657" s="165">
        <v>51.449997575067407</v>
      </c>
      <c r="K657" s="169">
        <f t="shared" si="31"/>
        <v>0</v>
      </c>
      <c r="L657" s="165">
        <v>30</v>
      </c>
      <c r="M657" s="151">
        <v>0</v>
      </c>
      <c r="N657" s="151" t="str">
        <f t="shared" si="32"/>
        <v>No fit</v>
      </c>
      <c r="O657" s="174" t="s">
        <v>6958</v>
      </c>
      <c r="P657" s="174" t="s">
        <v>6051</v>
      </c>
    </row>
    <row r="658" spans="1:16" ht="64.05" customHeight="1" x14ac:dyDescent="0.3">
      <c r="A658" s="154" t="s">
        <v>7144</v>
      </c>
      <c r="B658" s="154" t="s">
        <v>5989</v>
      </c>
      <c r="C658" s="154" t="s">
        <v>114</v>
      </c>
      <c r="D658" s="154">
        <v>2023</v>
      </c>
      <c r="E658" s="154" t="s">
        <v>190</v>
      </c>
      <c r="F658" s="173" t="s">
        <v>6153</v>
      </c>
      <c r="G658" s="166">
        <f>(365*AVERAGE(FCCL!E50,FCCL!F50))</f>
        <v>2451634.0075000003</v>
      </c>
      <c r="H658" s="166">
        <f>FCCL!F84</f>
        <v>68069.282000000007</v>
      </c>
      <c r="I658" s="164">
        <f t="shared" si="30"/>
        <v>36.016745519660397</v>
      </c>
      <c r="J658" s="164">
        <v>36.016745519660397</v>
      </c>
      <c r="K658" s="168">
        <f t="shared" si="31"/>
        <v>0</v>
      </c>
      <c r="L658" s="164">
        <v>30</v>
      </c>
      <c r="M658" s="154">
        <v>0</v>
      </c>
      <c r="N658" s="154" t="str">
        <f t="shared" si="32"/>
        <v>No fit</v>
      </c>
      <c r="O658" s="173" t="s">
        <v>6960</v>
      </c>
      <c r="P658" s="173" t="s">
        <v>6051</v>
      </c>
    </row>
    <row r="659" spans="1:16" ht="64.05" customHeight="1" x14ac:dyDescent="0.3">
      <c r="A659" s="151" t="s">
        <v>7145</v>
      </c>
      <c r="B659" s="151" t="s">
        <v>5989</v>
      </c>
      <c r="C659" s="151" t="s">
        <v>114</v>
      </c>
      <c r="D659" s="151">
        <v>2023</v>
      </c>
      <c r="E659" s="151" t="s">
        <v>190</v>
      </c>
      <c r="F659" s="174" t="s">
        <v>6156</v>
      </c>
      <c r="G659" s="167">
        <f>(365*AVERAGE(FCCL!E50,FCCL!F50))</f>
        <v>2451634.0075000003</v>
      </c>
      <c r="H659" s="167">
        <f>((FCCL!F85*-1)+(FCCL!F65-FCCL!E65))</f>
        <v>47137.449000000001</v>
      </c>
      <c r="I659" s="165">
        <f t="shared" si="30"/>
        <v>52.010324264683909</v>
      </c>
      <c r="J659" s="165">
        <v>52.010324264683909</v>
      </c>
      <c r="K659" s="169">
        <f t="shared" si="31"/>
        <v>0</v>
      </c>
      <c r="L659" s="165">
        <v>30</v>
      </c>
      <c r="M659" s="151">
        <v>0</v>
      </c>
      <c r="N659" s="151" t="str">
        <f t="shared" si="32"/>
        <v>No fit</v>
      </c>
      <c r="O659" s="174" t="s">
        <v>6962</v>
      </c>
      <c r="P659" s="174" t="s">
        <v>6051</v>
      </c>
    </row>
    <row r="660" spans="1:16" ht="64.05" customHeight="1" x14ac:dyDescent="0.3">
      <c r="A660" s="154" t="s">
        <v>7146</v>
      </c>
      <c r="B660" s="154" t="s">
        <v>5989</v>
      </c>
      <c r="C660" s="154" t="s">
        <v>114</v>
      </c>
      <c r="D660" s="154">
        <v>2023</v>
      </c>
      <c r="E660" s="154" t="s">
        <v>190</v>
      </c>
      <c r="F660" s="173" t="s">
        <v>6159</v>
      </c>
      <c r="G660" s="166">
        <f>(365*AVERAGE(FCCL!E50,FCCL!F50))</f>
        <v>2451634.0075000003</v>
      </c>
      <c r="H660" s="166">
        <f>((FCCL!F85*-1)+(FCCL!F31-FCCL!E31))</f>
        <v>51065.415000000001</v>
      </c>
      <c r="I660" s="164">
        <f t="shared" si="30"/>
        <v>48.009675579842053</v>
      </c>
      <c r="J660" s="164">
        <v>48.009675579842053</v>
      </c>
      <c r="K660" s="168">
        <f t="shared" si="31"/>
        <v>0</v>
      </c>
      <c r="L660" s="164">
        <v>30</v>
      </c>
      <c r="M660" s="154">
        <v>0</v>
      </c>
      <c r="N660" s="154" t="str">
        <f t="shared" si="32"/>
        <v>No fit</v>
      </c>
      <c r="O660" s="173" t="s">
        <v>6964</v>
      </c>
      <c r="P660" s="173" t="s">
        <v>6051</v>
      </c>
    </row>
    <row r="661" spans="1:16" ht="64.05" customHeight="1" x14ac:dyDescent="0.3">
      <c r="A661" s="151" t="s">
        <v>7147</v>
      </c>
      <c r="B661" s="151" t="s">
        <v>5989</v>
      </c>
      <c r="C661" s="151" t="s">
        <v>114</v>
      </c>
      <c r="D661" s="151">
        <v>2023</v>
      </c>
      <c r="E661" s="151" t="s">
        <v>190</v>
      </c>
      <c r="F661" s="174" t="s">
        <v>6162</v>
      </c>
      <c r="G661" s="167">
        <f>(365*AVERAGE((((FCCL!E61-FCCL!E54)-FCCL!E55)-FCCL!E56),(((FCCL!F61-FCCL!F54)-FCCL!F55)-FCCL!F56)))</f>
        <v>4636321.7975000003</v>
      </c>
      <c r="H661" s="167">
        <f>(FCCL!F85*-1)</f>
        <v>47650.809000000001</v>
      </c>
      <c r="I661" s="165">
        <f t="shared" si="30"/>
        <v>97.297861144393167</v>
      </c>
      <c r="J661" s="165">
        <v>97.297861144393167</v>
      </c>
      <c r="K661" s="169">
        <f t="shared" si="31"/>
        <v>0</v>
      </c>
      <c r="L661" s="165">
        <v>30</v>
      </c>
      <c r="M661" s="151">
        <v>0</v>
      </c>
      <c r="N661" s="151" t="str">
        <f t="shared" si="32"/>
        <v>No fit</v>
      </c>
      <c r="O661" s="174" t="s">
        <v>6966</v>
      </c>
      <c r="P661" s="174" t="s">
        <v>6051</v>
      </c>
    </row>
    <row r="662" spans="1:16" ht="64.05" customHeight="1" x14ac:dyDescent="0.3">
      <c r="A662" s="154" t="s">
        <v>7148</v>
      </c>
      <c r="B662" s="154" t="s">
        <v>5989</v>
      </c>
      <c r="C662" s="154" t="s">
        <v>114</v>
      </c>
      <c r="D662" s="154">
        <v>2023</v>
      </c>
      <c r="E662" s="154" t="s">
        <v>190</v>
      </c>
      <c r="F662" s="173" t="s">
        <v>6165</v>
      </c>
      <c r="G662" s="166">
        <f>(365*AVERAGE((((FCCL!E61-FCCL!E54)-FCCL!E55)-FCCL!E56),(((FCCL!F61-FCCL!F54)-FCCL!F55)-FCCL!F56)))</f>
        <v>4636321.7975000003</v>
      </c>
      <c r="H662" s="166">
        <f>FCCL!F84</f>
        <v>68069.282000000007</v>
      </c>
      <c r="I662" s="164">
        <f t="shared" si="30"/>
        <v>68.11180698953163</v>
      </c>
      <c r="J662" s="164">
        <v>68.11180698953163</v>
      </c>
      <c r="K662" s="168">
        <f t="shared" si="31"/>
        <v>0</v>
      </c>
      <c r="L662" s="164">
        <v>30</v>
      </c>
      <c r="M662" s="154">
        <v>0</v>
      </c>
      <c r="N662" s="154" t="str">
        <f t="shared" si="32"/>
        <v>No fit</v>
      </c>
      <c r="O662" s="173" t="s">
        <v>6968</v>
      </c>
      <c r="P662" s="173" t="s">
        <v>6051</v>
      </c>
    </row>
    <row r="663" spans="1:16" ht="64.05" customHeight="1" x14ac:dyDescent="0.3">
      <c r="A663" s="151" t="s">
        <v>7149</v>
      </c>
      <c r="B663" s="151" t="s">
        <v>5989</v>
      </c>
      <c r="C663" s="151" t="s">
        <v>114</v>
      </c>
      <c r="D663" s="151">
        <v>2023</v>
      </c>
      <c r="E663" s="151" t="s">
        <v>190</v>
      </c>
      <c r="F663" s="174" t="s">
        <v>6168</v>
      </c>
      <c r="G663" s="167">
        <f>(365*AVERAGE((((FCCL!E61-FCCL!E54)-FCCL!E55)-FCCL!E56),(((FCCL!F61-FCCL!F54)-FCCL!F55)-FCCL!F56)))</f>
        <v>4636321.7975000003</v>
      </c>
      <c r="H663" s="167">
        <f>((FCCL!F85*-1)+(FCCL!F65-FCCL!E65))</f>
        <v>47137.449000000001</v>
      </c>
      <c r="I663" s="165">
        <f t="shared" si="30"/>
        <v>98.357503340921156</v>
      </c>
      <c r="J663" s="165">
        <v>98.357503340921156</v>
      </c>
      <c r="K663" s="169">
        <f t="shared" si="31"/>
        <v>0</v>
      </c>
      <c r="L663" s="165">
        <v>30</v>
      </c>
      <c r="M663" s="151">
        <v>0</v>
      </c>
      <c r="N663" s="151" t="str">
        <f t="shared" si="32"/>
        <v>No fit</v>
      </c>
      <c r="O663" s="174" t="s">
        <v>6970</v>
      </c>
      <c r="P663" s="174" t="s">
        <v>6051</v>
      </c>
    </row>
    <row r="664" spans="1:16" ht="64.05" customHeight="1" x14ac:dyDescent="0.3">
      <c r="A664" s="154" t="s">
        <v>7150</v>
      </c>
      <c r="B664" s="154" t="s">
        <v>5989</v>
      </c>
      <c r="C664" s="154" t="s">
        <v>114</v>
      </c>
      <c r="D664" s="154">
        <v>2023</v>
      </c>
      <c r="E664" s="154" t="s">
        <v>190</v>
      </c>
      <c r="F664" s="173" t="s">
        <v>6171</v>
      </c>
      <c r="G664" s="166">
        <f>(365*AVERAGE((((FCCL!E61-FCCL!E54)-FCCL!E55)-FCCL!E56),(((FCCL!F61-FCCL!F54)-FCCL!F55)-FCCL!F56)))</f>
        <v>4636321.7975000003</v>
      </c>
      <c r="H664" s="166">
        <f>((FCCL!F85*-1)+(FCCL!F31-FCCL!E31))</f>
        <v>51065.415000000001</v>
      </c>
      <c r="I664" s="164">
        <f t="shared" si="30"/>
        <v>90.791816682582535</v>
      </c>
      <c r="J664" s="164">
        <v>90.791816682582535</v>
      </c>
      <c r="K664" s="168">
        <f t="shared" si="31"/>
        <v>0</v>
      </c>
      <c r="L664" s="164">
        <v>30</v>
      </c>
      <c r="M664" s="154">
        <v>0</v>
      </c>
      <c r="N664" s="154" t="str">
        <f t="shared" si="32"/>
        <v>No fit</v>
      </c>
      <c r="O664" s="173" t="s">
        <v>6972</v>
      </c>
      <c r="P664" s="173" t="s">
        <v>6051</v>
      </c>
    </row>
    <row r="665" spans="1:16" ht="64.05" customHeight="1" x14ac:dyDescent="0.3">
      <c r="A665" s="151" t="s">
        <v>7151</v>
      </c>
      <c r="B665" s="151" t="s">
        <v>5989</v>
      </c>
      <c r="C665" s="151" t="s">
        <v>114</v>
      </c>
      <c r="D665" s="151">
        <v>2023</v>
      </c>
      <c r="E665" s="151" t="s">
        <v>190</v>
      </c>
      <c r="F665" s="174" t="s">
        <v>6974</v>
      </c>
      <c r="G665" s="167">
        <f>(365*(FCCL!F51+'Forensic Inputs'!$G$85))</f>
        <v>2069007.61</v>
      </c>
      <c r="H665" s="167">
        <f>(FCCL!F85*-1)</f>
        <v>47650.809000000001</v>
      </c>
      <c r="I665" s="165">
        <f t="shared" si="30"/>
        <v>43.420199014879266</v>
      </c>
      <c r="J665" s="165">
        <v>43.420199014879266</v>
      </c>
      <c r="K665" s="169">
        <f t="shared" si="31"/>
        <v>0</v>
      </c>
      <c r="L665" s="165">
        <v>30</v>
      </c>
      <c r="M665" s="151">
        <v>0</v>
      </c>
      <c r="N665" s="151" t="str">
        <f t="shared" si="32"/>
        <v>No fit</v>
      </c>
      <c r="O665" s="174" t="s">
        <v>7077</v>
      </c>
      <c r="P665" s="174" t="s">
        <v>6051</v>
      </c>
    </row>
    <row r="666" spans="1:16" ht="64.05" customHeight="1" x14ac:dyDescent="0.3">
      <c r="A666" s="154" t="s">
        <v>7152</v>
      </c>
      <c r="B666" s="154" t="s">
        <v>5989</v>
      </c>
      <c r="C666" s="154" t="s">
        <v>114</v>
      </c>
      <c r="D666" s="154">
        <v>2023</v>
      </c>
      <c r="E666" s="154" t="s">
        <v>190</v>
      </c>
      <c r="F666" s="173" t="s">
        <v>6977</v>
      </c>
      <c r="G666" s="166">
        <f>(365*(FCCL!F51+'Forensic Inputs'!$G$85))</f>
        <v>2069007.61</v>
      </c>
      <c r="H666" s="166">
        <f>FCCL!F84</f>
        <v>68069.282000000007</v>
      </c>
      <c r="I666" s="164">
        <f t="shared" si="30"/>
        <v>30.39561383944082</v>
      </c>
      <c r="J666" s="164">
        <v>30.39561383944082</v>
      </c>
      <c r="K666" s="168">
        <f t="shared" si="31"/>
        <v>0</v>
      </c>
      <c r="L666" s="164">
        <v>30</v>
      </c>
      <c r="M666" s="154">
        <v>0</v>
      </c>
      <c r="N666" s="154" t="str">
        <f t="shared" si="32"/>
        <v>Numeric fit</v>
      </c>
      <c r="O666" s="173" t="s">
        <v>7079</v>
      </c>
      <c r="P666" s="173" t="s">
        <v>6051</v>
      </c>
    </row>
    <row r="667" spans="1:16" ht="64.05" customHeight="1" x14ac:dyDescent="0.3">
      <c r="A667" s="151" t="s">
        <v>7153</v>
      </c>
      <c r="B667" s="151" t="s">
        <v>5989</v>
      </c>
      <c r="C667" s="151" t="s">
        <v>114</v>
      </c>
      <c r="D667" s="151">
        <v>2023</v>
      </c>
      <c r="E667" s="151" t="s">
        <v>190</v>
      </c>
      <c r="F667" s="174" t="s">
        <v>6980</v>
      </c>
      <c r="G667" s="167">
        <f>(365*(FCCL!F51+'Forensic Inputs'!$G$85))</f>
        <v>2069007.61</v>
      </c>
      <c r="H667" s="167">
        <f>((FCCL!F85*-1)+(FCCL!F65-FCCL!E65))</f>
        <v>47137.449000000001</v>
      </c>
      <c r="I667" s="165">
        <f t="shared" si="30"/>
        <v>43.893075545942253</v>
      </c>
      <c r="J667" s="165">
        <v>43.893075545942253</v>
      </c>
      <c r="K667" s="169">
        <f t="shared" si="31"/>
        <v>0</v>
      </c>
      <c r="L667" s="165">
        <v>30</v>
      </c>
      <c r="M667" s="151">
        <v>0</v>
      </c>
      <c r="N667" s="151" t="str">
        <f t="shared" si="32"/>
        <v>No fit</v>
      </c>
      <c r="O667" s="174" t="s">
        <v>7081</v>
      </c>
      <c r="P667" s="174" t="s">
        <v>6051</v>
      </c>
    </row>
    <row r="668" spans="1:16" ht="64.05" customHeight="1" x14ac:dyDescent="0.3">
      <c r="A668" s="154" t="s">
        <v>7154</v>
      </c>
      <c r="B668" s="154" t="s">
        <v>5989</v>
      </c>
      <c r="C668" s="154" t="s">
        <v>114</v>
      </c>
      <c r="D668" s="154">
        <v>2023</v>
      </c>
      <c r="E668" s="154" t="s">
        <v>190</v>
      </c>
      <c r="F668" s="173" t="s">
        <v>6983</v>
      </c>
      <c r="G668" s="166">
        <f>(365*(FCCL!F51+'Forensic Inputs'!$G$85))</f>
        <v>2069007.61</v>
      </c>
      <c r="H668" s="166">
        <f>((FCCL!F85*-1)+(FCCL!F31-FCCL!E31))</f>
        <v>51065.415000000001</v>
      </c>
      <c r="I668" s="164">
        <f t="shared" si="30"/>
        <v>40.516807902178023</v>
      </c>
      <c r="J668" s="164">
        <v>40.516807902178023</v>
      </c>
      <c r="K668" s="168">
        <f t="shared" si="31"/>
        <v>0</v>
      </c>
      <c r="L668" s="164">
        <v>30</v>
      </c>
      <c r="M668" s="154">
        <v>0</v>
      </c>
      <c r="N668" s="154" t="str">
        <f t="shared" si="32"/>
        <v>No fit</v>
      </c>
      <c r="O668" s="173" t="s">
        <v>7083</v>
      </c>
      <c r="P668" s="173" t="s">
        <v>6051</v>
      </c>
    </row>
    <row r="669" spans="1:16" ht="64.05" customHeight="1" x14ac:dyDescent="0.3">
      <c r="A669" s="151" t="s">
        <v>7155</v>
      </c>
      <c r="B669" s="151" t="s">
        <v>5989</v>
      </c>
      <c r="C669" s="151" t="s">
        <v>114</v>
      </c>
      <c r="D669" s="151">
        <v>2023</v>
      </c>
      <c r="E669" s="151" t="s">
        <v>190</v>
      </c>
      <c r="F669" s="174" t="s">
        <v>6986</v>
      </c>
      <c r="G669" s="167">
        <f>(365*AVERAGE((FCCL!E51+'Forensic Inputs'!$G$84),(FCCL!F51+'Forensic Inputs'!$G$85)))</f>
        <v>1989382.8599999999</v>
      </c>
      <c r="H669" s="167">
        <f>(FCCL!F85*-1)</f>
        <v>47650.809000000001</v>
      </c>
      <c r="I669" s="165">
        <f t="shared" si="30"/>
        <v>41.749193806971881</v>
      </c>
      <c r="J669" s="165">
        <v>41.749193806971881</v>
      </c>
      <c r="K669" s="169">
        <f t="shared" si="31"/>
        <v>0</v>
      </c>
      <c r="L669" s="165">
        <v>30</v>
      </c>
      <c r="M669" s="151">
        <v>0</v>
      </c>
      <c r="N669" s="151" t="str">
        <f t="shared" si="32"/>
        <v>No fit</v>
      </c>
      <c r="O669" s="174" t="s">
        <v>7156</v>
      </c>
      <c r="P669" s="174" t="s">
        <v>6051</v>
      </c>
    </row>
    <row r="670" spans="1:16" ht="64.05" customHeight="1" x14ac:dyDescent="0.3">
      <c r="A670" s="154" t="s">
        <v>7157</v>
      </c>
      <c r="B670" s="154" t="s">
        <v>5989</v>
      </c>
      <c r="C670" s="154" t="s">
        <v>114</v>
      </c>
      <c r="D670" s="154">
        <v>2023</v>
      </c>
      <c r="E670" s="154" t="s">
        <v>190</v>
      </c>
      <c r="F670" s="173" t="s">
        <v>6989</v>
      </c>
      <c r="G670" s="166">
        <f>(365*AVERAGE((FCCL!E51+'Forensic Inputs'!$G$84),(FCCL!F51+'Forensic Inputs'!$G$85)))</f>
        <v>1989382.8599999999</v>
      </c>
      <c r="H670" s="166">
        <f>FCCL!F84</f>
        <v>68069.282000000007</v>
      </c>
      <c r="I670" s="164">
        <f t="shared" si="30"/>
        <v>29.225853447374391</v>
      </c>
      <c r="J670" s="164">
        <v>29.225853447374391</v>
      </c>
      <c r="K670" s="168">
        <f t="shared" si="31"/>
        <v>0</v>
      </c>
      <c r="L670" s="164">
        <v>30</v>
      </c>
      <c r="M670" s="154">
        <v>0</v>
      </c>
      <c r="N670" s="154" t="str">
        <f t="shared" si="32"/>
        <v>No fit</v>
      </c>
      <c r="O670" s="173" t="s">
        <v>7158</v>
      </c>
      <c r="P670" s="173" t="s">
        <v>6051</v>
      </c>
    </row>
    <row r="671" spans="1:16" ht="64.05" customHeight="1" x14ac:dyDescent="0.3">
      <c r="A671" s="151" t="s">
        <v>7159</v>
      </c>
      <c r="B671" s="151" t="s">
        <v>5989</v>
      </c>
      <c r="C671" s="151" t="s">
        <v>114</v>
      </c>
      <c r="D671" s="151">
        <v>2023</v>
      </c>
      <c r="E671" s="151" t="s">
        <v>190</v>
      </c>
      <c r="F671" s="174" t="s">
        <v>6992</v>
      </c>
      <c r="G671" s="167">
        <f>(365*AVERAGE((FCCL!E51+'Forensic Inputs'!$G$84),(FCCL!F51+'Forensic Inputs'!$G$85)))</f>
        <v>1989382.8599999999</v>
      </c>
      <c r="H671" s="167">
        <f>((FCCL!F85*-1)+(FCCL!F65-FCCL!E65))</f>
        <v>47137.449000000001</v>
      </c>
      <c r="I671" s="165">
        <f t="shared" si="30"/>
        <v>42.203871915088143</v>
      </c>
      <c r="J671" s="165">
        <v>42.203871915088143</v>
      </c>
      <c r="K671" s="169">
        <f t="shared" si="31"/>
        <v>0</v>
      </c>
      <c r="L671" s="165">
        <v>30</v>
      </c>
      <c r="M671" s="151">
        <v>0</v>
      </c>
      <c r="N671" s="151" t="str">
        <f t="shared" si="32"/>
        <v>No fit</v>
      </c>
      <c r="O671" s="174" t="s">
        <v>7160</v>
      </c>
      <c r="P671" s="174" t="s">
        <v>6051</v>
      </c>
    </row>
    <row r="672" spans="1:16" ht="64.05" customHeight="1" x14ac:dyDescent="0.3">
      <c r="A672" s="154" t="s">
        <v>7161</v>
      </c>
      <c r="B672" s="154" t="s">
        <v>5989</v>
      </c>
      <c r="C672" s="154" t="s">
        <v>114</v>
      </c>
      <c r="D672" s="154">
        <v>2023</v>
      </c>
      <c r="E672" s="154" t="s">
        <v>190</v>
      </c>
      <c r="F672" s="173" t="s">
        <v>6995</v>
      </c>
      <c r="G672" s="166">
        <f>(365*AVERAGE((FCCL!E51+'Forensic Inputs'!$G$84),(FCCL!F51+'Forensic Inputs'!$G$85)))</f>
        <v>1989382.8599999999</v>
      </c>
      <c r="H672" s="166">
        <f>((FCCL!F85*-1)+(FCCL!F31-FCCL!E31))</f>
        <v>51065.415000000001</v>
      </c>
      <c r="I672" s="164">
        <f t="shared" si="30"/>
        <v>38.957538286920801</v>
      </c>
      <c r="J672" s="164">
        <v>38.957538286920801</v>
      </c>
      <c r="K672" s="168">
        <f t="shared" si="31"/>
        <v>0</v>
      </c>
      <c r="L672" s="164">
        <v>30</v>
      </c>
      <c r="M672" s="154">
        <v>0</v>
      </c>
      <c r="N672" s="154" t="str">
        <f t="shared" si="32"/>
        <v>No fit</v>
      </c>
      <c r="O672" s="173" t="s">
        <v>7162</v>
      </c>
      <c r="P672" s="173" t="s">
        <v>6051</v>
      </c>
    </row>
    <row r="673" spans="1:16" ht="64.05" customHeight="1" x14ac:dyDescent="0.3">
      <c r="A673" s="151" t="s">
        <v>7163</v>
      </c>
      <c r="B673" s="151" t="s">
        <v>5989</v>
      </c>
      <c r="C673" s="151" t="s">
        <v>114</v>
      </c>
      <c r="D673" s="151">
        <v>2023</v>
      </c>
      <c r="E673" s="151" t="s">
        <v>190</v>
      </c>
      <c r="F673" s="174" t="s">
        <v>6998</v>
      </c>
      <c r="G673" s="167">
        <f>(365*(FCCL!F51+'Forensic Inputs'!$G$91))</f>
        <v>2425694.37</v>
      </c>
      <c r="H673" s="167">
        <f>(FCCL!F85*-1)</f>
        <v>47650.809000000001</v>
      </c>
      <c r="I673" s="165">
        <f t="shared" si="30"/>
        <v>50.905628275901883</v>
      </c>
      <c r="J673" s="165">
        <v>50.905628275901883</v>
      </c>
      <c r="K673" s="169">
        <f t="shared" si="31"/>
        <v>0</v>
      </c>
      <c r="L673" s="165">
        <v>30</v>
      </c>
      <c r="M673" s="151">
        <v>0</v>
      </c>
      <c r="N673" s="151" t="str">
        <f t="shared" si="32"/>
        <v>No fit</v>
      </c>
      <c r="O673" s="174" t="s">
        <v>7093</v>
      </c>
      <c r="P673" s="174" t="s">
        <v>6051</v>
      </c>
    </row>
    <row r="674" spans="1:16" ht="64.05" customHeight="1" x14ac:dyDescent="0.3">
      <c r="A674" s="154" t="s">
        <v>7164</v>
      </c>
      <c r="B674" s="154" t="s">
        <v>5989</v>
      </c>
      <c r="C674" s="154" t="s">
        <v>114</v>
      </c>
      <c r="D674" s="154">
        <v>2023</v>
      </c>
      <c r="E674" s="154" t="s">
        <v>190</v>
      </c>
      <c r="F674" s="173" t="s">
        <v>7001</v>
      </c>
      <c r="G674" s="166">
        <f>(365*(FCCL!F51+'Forensic Inputs'!$G$91))</f>
        <v>2425694.37</v>
      </c>
      <c r="H674" s="166">
        <f>FCCL!F84</f>
        <v>68069.282000000007</v>
      </c>
      <c r="I674" s="164">
        <f t="shared" si="30"/>
        <v>35.635668523725577</v>
      </c>
      <c r="J674" s="164">
        <v>35.635668523725577</v>
      </c>
      <c r="K674" s="168">
        <f t="shared" si="31"/>
        <v>0</v>
      </c>
      <c r="L674" s="164">
        <v>30</v>
      </c>
      <c r="M674" s="154">
        <v>0</v>
      </c>
      <c r="N674" s="154" t="str">
        <f t="shared" si="32"/>
        <v>No fit</v>
      </c>
      <c r="O674" s="173" t="s">
        <v>7095</v>
      </c>
      <c r="P674" s="173" t="s">
        <v>6051</v>
      </c>
    </row>
    <row r="675" spans="1:16" ht="64.05" customHeight="1" x14ac:dyDescent="0.3">
      <c r="A675" s="151" t="s">
        <v>7165</v>
      </c>
      <c r="B675" s="151" t="s">
        <v>5989</v>
      </c>
      <c r="C675" s="151" t="s">
        <v>114</v>
      </c>
      <c r="D675" s="151">
        <v>2023</v>
      </c>
      <c r="E675" s="151" t="s">
        <v>190</v>
      </c>
      <c r="F675" s="174" t="s">
        <v>7004</v>
      </c>
      <c r="G675" s="167">
        <f>(365*(FCCL!F51+'Forensic Inputs'!$G$91))</f>
        <v>2425694.37</v>
      </c>
      <c r="H675" s="167">
        <f>((FCCL!F85*-1)+(FCCL!F65-FCCL!E65))</f>
        <v>47137.449000000001</v>
      </c>
      <c r="I675" s="165">
        <f t="shared" si="30"/>
        <v>51.460026400665001</v>
      </c>
      <c r="J675" s="165">
        <v>51.460026400665001</v>
      </c>
      <c r="K675" s="169">
        <f t="shared" si="31"/>
        <v>0</v>
      </c>
      <c r="L675" s="165">
        <v>30</v>
      </c>
      <c r="M675" s="151">
        <v>0</v>
      </c>
      <c r="N675" s="151" t="str">
        <f t="shared" si="32"/>
        <v>No fit</v>
      </c>
      <c r="O675" s="174" t="s">
        <v>7097</v>
      </c>
      <c r="P675" s="174" t="s">
        <v>6051</v>
      </c>
    </row>
    <row r="676" spans="1:16" ht="64.05" customHeight="1" x14ac:dyDescent="0.3">
      <c r="A676" s="154" t="s">
        <v>7166</v>
      </c>
      <c r="B676" s="154" t="s">
        <v>5989</v>
      </c>
      <c r="C676" s="154" t="s">
        <v>114</v>
      </c>
      <c r="D676" s="154">
        <v>2023</v>
      </c>
      <c r="E676" s="154" t="s">
        <v>190</v>
      </c>
      <c r="F676" s="173" t="s">
        <v>7007</v>
      </c>
      <c r="G676" s="166">
        <f>(365*(FCCL!F51+'Forensic Inputs'!$G$91))</f>
        <v>2425694.37</v>
      </c>
      <c r="H676" s="166">
        <f>((FCCL!F85*-1)+(FCCL!F31-FCCL!E31))</f>
        <v>51065.415000000001</v>
      </c>
      <c r="I676" s="164">
        <f t="shared" si="30"/>
        <v>47.501706781390105</v>
      </c>
      <c r="J676" s="164">
        <v>47.501706781390105</v>
      </c>
      <c r="K676" s="168">
        <f t="shared" si="31"/>
        <v>0</v>
      </c>
      <c r="L676" s="164">
        <v>30</v>
      </c>
      <c r="M676" s="154">
        <v>0</v>
      </c>
      <c r="N676" s="154" t="str">
        <f t="shared" si="32"/>
        <v>No fit</v>
      </c>
      <c r="O676" s="173" t="s">
        <v>7099</v>
      </c>
      <c r="P676" s="173" t="s">
        <v>6051</v>
      </c>
    </row>
    <row r="677" spans="1:16" ht="64.05" customHeight="1" x14ac:dyDescent="0.3">
      <c r="A677" s="151" t="s">
        <v>7167</v>
      </c>
      <c r="B677" s="151" t="s">
        <v>5989</v>
      </c>
      <c r="C677" s="151" t="s">
        <v>114</v>
      </c>
      <c r="D677" s="151">
        <v>2023</v>
      </c>
      <c r="E677" s="151" t="s">
        <v>190</v>
      </c>
      <c r="F677" s="174" t="s">
        <v>7010</v>
      </c>
      <c r="G677" s="167">
        <f>(365*AVERAGE((FCCL!E51+'Forensic Inputs'!$G$90),(FCCL!F51+'Forensic Inputs'!$G$91)))</f>
        <v>2491145.2575000003</v>
      </c>
      <c r="H677" s="167">
        <f>(FCCL!F85*-1)</f>
        <v>47650.809000000001</v>
      </c>
      <c r="I677" s="165">
        <f t="shared" si="30"/>
        <v>52.279180768998074</v>
      </c>
      <c r="J677" s="165">
        <v>52.279180768998074</v>
      </c>
      <c r="K677" s="169">
        <f t="shared" si="31"/>
        <v>0</v>
      </c>
      <c r="L677" s="165">
        <v>30</v>
      </c>
      <c r="M677" s="151">
        <v>0</v>
      </c>
      <c r="N677" s="151" t="str">
        <f t="shared" si="32"/>
        <v>No fit</v>
      </c>
      <c r="O677" s="174" t="s">
        <v>7168</v>
      </c>
      <c r="P677" s="174" t="s">
        <v>6051</v>
      </c>
    </row>
    <row r="678" spans="1:16" ht="64.05" customHeight="1" x14ac:dyDescent="0.3">
      <c r="A678" s="154" t="s">
        <v>7169</v>
      </c>
      <c r="B678" s="154" t="s">
        <v>5989</v>
      </c>
      <c r="C678" s="154" t="s">
        <v>114</v>
      </c>
      <c r="D678" s="154">
        <v>2023</v>
      </c>
      <c r="E678" s="154" t="s">
        <v>190</v>
      </c>
      <c r="F678" s="173" t="s">
        <v>7013</v>
      </c>
      <c r="G678" s="166">
        <f>(365*AVERAGE((FCCL!E51+'Forensic Inputs'!$G$90),(FCCL!F51+'Forensic Inputs'!$G$91)))</f>
        <v>2491145.2575000003</v>
      </c>
      <c r="H678" s="166">
        <f>FCCL!F84</f>
        <v>68069.282000000007</v>
      </c>
      <c r="I678" s="164">
        <f t="shared" si="30"/>
        <v>36.597201914073374</v>
      </c>
      <c r="J678" s="164">
        <v>36.597201914073374</v>
      </c>
      <c r="K678" s="168">
        <f t="shared" si="31"/>
        <v>0</v>
      </c>
      <c r="L678" s="164">
        <v>30</v>
      </c>
      <c r="M678" s="154">
        <v>0</v>
      </c>
      <c r="N678" s="154" t="str">
        <f t="shared" si="32"/>
        <v>No fit</v>
      </c>
      <c r="O678" s="173" t="s">
        <v>7170</v>
      </c>
      <c r="P678" s="173" t="s">
        <v>6051</v>
      </c>
    </row>
    <row r="679" spans="1:16" ht="64.05" customHeight="1" x14ac:dyDescent="0.3">
      <c r="A679" s="151" t="s">
        <v>7171</v>
      </c>
      <c r="B679" s="151" t="s">
        <v>5989</v>
      </c>
      <c r="C679" s="151" t="s">
        <v>114</v>
      </c>
      <c r="D679" s="151">
        <v>2023</v>
      </c>
      <c r="E679" s="151" t="s">
        <v>190</v>
      </c>
      <c r="F679" s="174" t="s">
        <v>7016</v>
      </c>
      <c r="G679" s="167">
        <f>(365*AVERAGE((FCCL!E51+'Forensic Inputs'!$G$90),(FCCL!F51+'Forensic Inputs'!$G$91)))</f>
        <v>2491145.2575000003</v>
      </c>
      <c r="H679" s="167">
        <f>((FCCL!F85*-1)+(FCCL!F65-FCCL!E65))</f>
        <v>47137.449000000001</v>
      </c>
      <c r="I679" s="165">
        <f t="shared" si="30"/>
        <v>52.848537847264502</v>
      </c>
      <c r="J679" s="165">
        <v>52.848537847264502</v>
      </c>
      <c r="K679" s="169">
        <f t="shared" si="31"/>
        <v>0</v>
      </c>
      <c r="L679" s="165">
        <v>30</v>
      </c>
      <c r="M679" s="151">
        <v>0</v>
      </c>
      <c r="N679" s="151" t="str">
        <f t="shared" si="32"/>
        <v>No fit</v>
      </c>
      <c r="O679" s="174" t="s">
        <v>7172</v>
      </c>
      <c r="P679" s="174" t="s">
        <v>6051</v>
      </c>
    </row>
    <row r="680" spans="1:16" ht="64.05" customHeight="1" x14ac:dyDescent="0.3">
      <c r="A680" s="154" t="s">
        <v>7173</v>
      </c>
      <c r="B680" s="154" t="s">
        <v>5989</v>
      </c>
      <c r="C680" s="154" t="s">
        <v>114</v>
      </c>
      <c r="D680" s="154">
        <v>2023</v>
      </c>
      <c r="E680" s="154" t="s">
        <v>190</v>
      </c>
      <c r="F680" s="173" t="s">
        <v>7019</v>
      </c>
      <c r="G680" s="166">
        <f>(365*AVERAGE((FCCL!E51+'Forensic Inputs'!$G$90),(FCCL!F51+'Forensic Inputs'!$G$91)))</f>
        <v>2491145.2575000003</v>
      </c>
      <c r="H680" s="166">
        <f>((FCCL!F85*-1)+(FCCL!F31-FCCL!E31))</f>
        <v>51065.415000000001</v>
      </c>
      <c r="I680" s="164">
        <f t="shared" si="30"/>
        <v>48.783413539280943</v>
      </c>
      <c r="J680" s="164">
        <v>48.783413539280943</v>
      </c>
      <c r="K680" s="168">
        <f t="shared" si="31"/>
        <v>0</v>
      </c>
      <c r="L680" s="164">
        <v>30</v>
      </c>
      <c r="M680" s="154">
        <v>0</v>
      </c>
      <c r="N680" s="154" t="str">
        <f t="shared" si="32"/>
        <v>No fit</v>
      </c>
      <c r="O680" s="173" t="s">
        <v>7174</v>
      </c>
      <c r="P680" s="173" t="s">
        <v>6051</v>
      </c>
    </row>
    <row r="681" spans="1:16" ht="64.05" customHeight="1" x14ac:dyDescent="0.3">
      <c r="A681" s="151" t="s">
        <v>7175</v>
      </c>
      <c r="B681" s="151" t="s">
        <v>5989</v>
      </c>
      <c r="C681" s="151" t="s">
        <v>114</v>
      </c>
      <c r="D681" s="151">
        <v>2023</v>
      </c>
      <c r="E681" s="151" t="s">
        <v>190</v>
      </c>
      <c r="F681" s="174" t="s">
        <v>7022</v>
      </c>
      <c r="G681" s="167">
        <f>(365*(FCCL!F50+'Forensic Inputs'!$G$91))</f>
        <v>3846683.17</v>
      </c>
      <c r="H681" s="167">
        <f>(FCCL!F85*-1)</f>
        <v>47650.809000000001</v>
      </c>
      <c r="I681" s="165">
        <f t="shared" si="30"/>
        <v>80.726502880570195</v>
      </c>
      <c r="J681" s="165">
        <v>80.726502880570195</v>
      </c>
      <c r="K681" s="169">
        <f t="shared" si="31"/>
        <v>0</v>
      </c>
      <c r="L681" s="165">
        <v>30</v>
      </c>
      <c r="M681" s="151">
        <v>0</v>
      </c>
      <c r="N681" s="151" t="str">
        <f t="shared" si="32"/>
        <v>No fit</v>
      </c>
      <c r="O681" s="174" t="s">
        <v>7109</v>
      </c>
      <c r="P681" s="174" t="s">
        <v>6051</v>
      </c>
    </row>
    <row r="682" spans="1:16" ht="64.05" customHeight="1" x14ac:dyDescent="0.3">
      <c r="A682" s="154" t="s">
        <v>7176</v>
      </c>
      <c r="B682" s="154" t="s">
        <v>5989</v>
      </c>
      <c r="C682" s="154" t="s">
        <v>114</v>
      </c>
      <c r="D682" s="154">
        <v>2023</v>
      </c>
      <c r="E682" s="154" t="s">
        <v>190</v>
      </c>
      <c r="F682" s="173" t="s">
        <v>7025</v>
      </c>
      <c r="G682" s="166">
        <f>(365*(FCCL!F50+'Forensic Inputs'!$G$91))</f>
        <v>3846683.17</v>
      </c>
      <c r="H682" s="166">
        <f>FCCL!F84</f>
        <v>68069.282000000007</v>
      </c>
      <c r="I682" s="164">
        <f t="shared" si="30"/>
        <v>56.511293449518092</v>
      </c>
      <c r="J682" s="164">
        <v>56.511293449518092</v>
      </c>
      <c r="K682" s="168">
        <f t="shared" si="31"/>
        <v>0</v>
      </c>
      <c r="L682" s="164">
        <v>30</v>
      </c>
      <c r="M682" s="154">
        <v>0</v>
      </c>
      <c r="N682" s="154" t="str">
        <f t="shared" si="32"/>
        <v>No fit</v>
      </c>
      <c r="O682" s="173" t="s">
        <v>7111</v>
      </c>
      <c r="P682" s="173" t="s">
        <v>6051</v>
      </c>
    </row>
    <row r="683" spans="1:16" ht="64.05" customHeight="1" x14ac:dyDescent="0.3">
      <c r="A683" s="151" t="s">
        <v>7177</v>
      </c>
      <c r="B683" s="151" t="s">
        <v>5989</v>
      </c>
      <c r="C683" s="151" t="s">
        <v>114</v>
      </c>
      <c r="D683" s="151">
        <v>2023</v>
      </c>
      <c r="E683" s="151" t="s">
        <v>190</v>
      </c>
      <c r="F683" s="174" t="s">
        <v>7028</v>
      </c>
      <c r="G683" s="167">
        <f>(365*(FCCL!F50+'Forensic Inputs'!$G$91))</f>
        <v>3846683.17</v>
      </c>
      <c r="H683" s="167">
        <f>((FCCL!F85*-1)+(FCCL!F65-FCCL!E65))</f>
        <v>47137.449000000001</v>
      </c>
      <c r="I683" s="165">
        <f t="shared" si="30"/>
        <v>81.605671320906652</v>
      </c>
      <c r="J683" s="165">
        <v>81.605671320906652</v>
      </c>
      <c r="K683" s="169">
        <f t="shared" si="31"/>
        <v>0</v>
      </c>
      <c r="L683" s="165">
        <v>30</v>
      </c>
      <c r="M683" s="151">
        <v>0</v>
      </c>
      <c r="N683" s="151" t="str">
        <f t="shared" si="32"/>
        <v>No fit</v>
      </c>
      <c r="O683" s="174" t="s">
        <v>7113</v>
      </c>
      <c r="P683" s="174" t="s">
        <v>6051</v>
      </c>
    </row>
    <row r="684" spans="1:16" ht="64.05" customHeight="1" x14ac:dyDescent="0.3">
      <c r="A684" s="154" t="s">
        <v>7178</v>
      </c>
      <c r="B684" s="154" t="s">
        <v>5989</v>
      </c>
      <c r="C684" s="154" t="s">
        <v>114</v>
      </c>
      <c r="D684" s="154">
        <v>2023</v>
      </c>
      <c r="E684" s="154" t="s">
        <v>190</v>
      </c>
      <c r="F684" s="173" t="s">
        <v>7031</v>
      </c>
      <c r="G684" s="166">
        <f>(365*(FCCL!F50+'Forensic Inputs'!$G$91))</f>
        <v>3846683.17</v>
      </c>
      <c r="H684" s="166">
        <f>((FCCL!F85*-1)+(FCCL!F31-FCCL!E31))</f>
        <v>51065.415000000001</v>
      </c>
      <c r="I684" s="164">
        <f t="shared" si="30"/>
        <v>75.32854026546147</v>
      </c>
      <c r="J684" s="164">
        <v>75.32854026546147</v>
      </c>
      <c r="K684" s="168">
        <f t="shared" si="31"/>
        <v>0</v>
      </c>
      <c r="L684" s="164">
        <v>30</v>
      </c>
      <c r="M684" s="154">
        <v>0</v>
      </c>
      <c r="N684" s="154" t="str">
        <f t="shared" si="32"/>
        <v>No fit</v>
      </c>
      <c r="O684" s="173" t="s">
        <v>7115</v>
      </c>
      <c r="P684" s="173" t="s">
        <v>6051</v>
      </c>
    </row>
    <row r="685" spans="1:16" ht="64.05" customHeight="1" x14ac:dyDescent="0.3">
      <c r="A685" s="151" t="s">
        <v>7179</v>
      </c>
      <c r="B685" s="151" t="s">
        <v>5989</v>
      </c>
      <c r="C685" s="151" t="s">
        <v>114</v>
      </c>
      <c r="D685" s="151">
        <v>2023</v>
      </c>
      <c r="E685" s="151" t="s">
        <v>190</v>
      </c>
      <c r="F685" s="174" t="s">
        <v>7034</v>
      </c>
      <c r="G685" s="167">
        <f>(365*AVERAGE((FCCL!E50+'Forensic Inputs'!$G$90),(FCCL!F50+'Forensic Inputs'!$G$91)))</f>
        <v>3974333.5249999999</v>
      </c>
      <c r="H685" s="167">
        <f>(FCCL!F85*-1)</f>
        <v>47650.809000000001</v>
      </c>
      <c r="I685" s="165">
        <f t="shared" si="30"/>
        <v>83.405373558295722</v>
      </c>
      <c r="J685" s="165">
        <v>83.405373558295722</v>
      </c>
      <c r="K685" s="169">
        <f t="shared" si="31"/>
        <v>0</v>
      </c>
      <c r="L685" s="165">
        <v>30</v>
      </c>
      <c r="M685" s="151">
        <v>0</v>
      </c>
      <c r="N685" s="151" t="str">
        <f t="shared" si="32"/>
        <v>No fit</v>
      </c>
      <c r="O685" s="174" t="s">
        <v>7180</v>
      </c>
      <c r="P685" s="174" t="s">
        <v>6051</v>
      </c>
    </row>
    <row r="686" spans="1:16" ht="64.05" customHeight="1" x14ac:dyDescent="0.3">
      <c r="A686" s="154" t="s">
        <v>7181</v>
      </c>
      <c r="B686" s="154" t="s">
        <v>5989</v>
      </c>
      <c r="C686" s="154" t="s">
        <v>114</v>
      </c>
      <c r="D686" s="154">
        <v>2023</v>
      </c>
      <c r="E686" s="154" t="s">
        <v>190</v>
      </c>
      <c r="F686" s="173" t="s">
        <v>7037</v>
      </c>
      <c r="G686" s="166">
        <f>(365*AVERAGE((FCCL!E50+'Forensic Inputs'!$G$90),(FCCL!F50+'Forensic Inputs'!$G$91)))</f>
        <v>3974333.5249999999</v>
      </c>
      <c r="H686" s="166">
        <f>FCCL!F84</f>
        <v>68069.282000000007</v>
      </c>
      <c r="I686" s="164">
        <f t="shared" si="30"/>
        <v>58.386593897082676</v>
      </c>
      <c r="J686" s="164">
        <v>58.386593897082676</v>
      </c>
      <c r="K686" s="168">
        <f t="shared" si="31"/>
        <v>0</v>
      </c>
      <c r="L686" s="164">
        <v>30</v>
      </c>
      <c r="M686" s="154">
        <v>0</v>
      </c>
      <c r="N686" s="154" t="str">
        <f t="shared" si="32"/>
        <v>No fit</v>
      </c>
      <c r="O686" s="173" t="s">
        <v>7182</v>
      </c>
      <c r="P686" s="173" t="s">
        <v>6051</v>
      </c>
    </row>
    <row r="687" spans="1:16" ht="64.05" customHeight="1" x14ac:dyDescent="0.3">
      <c r="A687" s="151" t="s">
        <v>7183</v>
      </c>
      <c r="B687" s="151" t="s">
        <v>5989</v>
      </c>
      <c r="C687" s="151" t="s">
        <v>114</v>
      </c>
      <c r="D687" s="151">
        <v>2023</v>
      </c>
      <c r="E687" s="151" t="s">
        <v>190</v>
      </c>
      <c r="F687" s="174" t="s">
        <v>7040</v>
      </c>
      <c r="G687" s="167">
        <f>(365*AVERAGE((FCCL!E50+'Forensic Inputs'!$G$90),(FCCL!F50+'Forensic Inputs'!$G$91)))</f>
        <v>3974333.5249999999</v>
      </c>
      <c r="H687" s="167">
        <f>((FCCL!F85*-1)+(FCCL!F65-FCCL!E65))</f>
        <v>47137.449000000001</v>
      </c>
      <c r="I687" s="165">
        <f t="shared" si="30"/>
        <v>84.313716785988987</v>
      </c>
      <c r="J687" s="165">
        <v>84.313716785988987</v>
      </c>
      <c r="K687" s="169">
        <f t="shared" si="31"/>
        <v>0</v>
      </c>
      <c r="L687" s="165">
        <v>30</v>
      </c>
      <c r="M687" s="151">
        <v>0</v>
      </c>
      <c r="N687" s="151" t="str">
        <f t="shared" si="32"/>
        <v>No fit</v>
      </c>
      <c r="O687" s="174" t="s">
        <v>7184</v>
      </c>
      <c r="P687" s="174" t="s">
        <v>6051</v>
      </c>
    </row>
    <row r="688" spans="1:16" ht="64.05" customHeight="1" x14ac:dyDescent="0.3">
      <c r="A688" s="154" t="s">
        <v>7185</v>
      </c>
      <c r="B688" s="154" t="s">
        <v>5989</v>
      </c>
      <c r="C688" s="154" t="s">
        <v>114</v>
      </c>
      <c r="D688" s="154">
        <v>2023</v>
      </c>
      <c r="E688" s="154" t="s">
        <v>190</v>
      </c>
      <c r="F688" s="173" t="s">
        <v>7043</v>
      </c>
      <c r="G688" s="166">
        <f>(365*AVERAGE((FCCL!E50+'Forensic Inputs'!$G$90),(FCCL!F50+'Forensic Inputs'!$G$91)))</f>
        <v>3974333.5249999999</v>
      </c>
      <c r="H688" s="166">
        <f>((FCCL!F85*-1)+(FCCL!F31-FCCL!E31))</f>
        <v>51065.415000000001</v>
      </c>
      <c r="I688" s="164">
        <f t="shared" si="30"/>
        <v>77.828282116183715</v>
      </c>
      <c r="J688" s="164">
        <v>77.828282116183715</v>
      </c>
      <c r="K688" s="168">
        <f t="shared" si="31"/>
        <v>0</v>
      </c>
      <c r="L688" s="164">
        <v>30</v>
      </c>
      <c r="M688" s="154">
        <v>0</v>
      </c>
      <c r="N688" s="154" t="str">
        <f t="shared" si="32"/>
        <v>No fit</v>
      </c>
      <c r="O688" s="173" t="s">
        <v>7186</v>
      </c>
      <c r="P688" s="173" t="s">
        <v>6051</v>
      </c>
    </row>
    <row r="689" spans="1:16" ht="64.05" customHeight="1" x14ac:dyDescent="0.3">
      <c r="A689" s="151" t="s">
        <v>7187</v>
      </c>
      <c r="B689" s="151" t="s">
        <v>5989</v>
      </c>
      <c r="C689" s="151" t="s">
        <v>114</v>
      </c>
      <c r="D689" s="151">
        <v>2023</v>
      </c>
      <c r="E689" s="151" t="s">
        <v>190</v>
      </c>
      <c r="F689" s="174" t="s">
        <v>7046</v>
      </c>
      <c r="G689" s="167">
        <f>(90*FCCL!F51)</f>
        <v>236100.78</v>
      </c>
      <c r="H689" s="167">
        <f>'Forensic Inputs'!$G$113</f>
        <v>11344.179</v>
      </c>
      <c r="I689" s="165">
        <f t="shared" si="30"/>
        <v>20.812504809735458</v>
      </c>
      <c r="J689" s="165">
        <v>20.812504809735458</v>
      </c>
      <c r="K689" s="169">
        <f t="shared" si="31"/>
        <v>0</v>
      </c>
      <c r="L689" s="165">
        <v>30</v>
      </c>
      <c r="M689" s="151">
        <v>0</v>
      </c>
      <c r="N689" s="151" t="str">
        <f t="shared" si="32"/>
        <v>No fit</v>
      </c>
      <c r="O689" s="174" t="s">
        <v>7188</v>
      </c>
      <c r="P689" s="174" t="s">
        <v>7048</v>
      </c>
    </row>
    <row r="690" spans="1:16" ht="64.05" customHeight="1" x14ac:dyDescent="0.3">
      <c r="A690" s="154" t="s">
        <v>7189</v>
      </c>
      <c r="B690" s="154" t="s">
        <v>5989</v>
      </c>
      <c r="C690" s="154" t="s">
        <v>114</v>
      </c>
      <c r="D690" s="154">
        <v>2023</v>
      </c>
      <c r="E690" s="154" t="s">
        <v>190</v>
      </c>
      <c r="F690" s="173" t="s">
        <v>7050</v>
      </c>
      <c r="G690" s="166">
        <f>(90*FCCL!F50)</f>
        <v>586481.58000000007</v>
      </c>
      <c r="H690" s="166">
        <f>'Forensic Inputs'!$G$113</f>
        <v>11344.179</v>
      </c>
      <c r="I690" s="164">
        <f t="shared" si="30"/>
        <v>51.698900378775761</v>
      </c>
      <c r="J690" s="164">
        <v>51.698900378775761</v>
      </c>
      <c r="K690" s="168">
        <f t="shared" si="31"/>
        <v>0</v>
      </c>
      <c r="L690" s="164">
        <v>30</v>
      </c>
      <c r="M690" s="154">
        <v>0</v>
      </c>
      <c r="N690" s="154" t="str">
        <f t="shared" si="32"/>
        <v>No fit</v>
      </c>
      <c r="O690" s="173" t="s">
        <v>7190</v>
      </c>
      <c r="P690" s="173" t="s">
        <v>7048</v>
      </c>
    </row>
    <row r="691" spans="1:16" ht="64.05" customHeight="1" x14ac:dyDescent="0.3">
      <c r="A691" s="151" t="s">
        <v>7191</v>
      </c>
      <c r="B691" s="151" t="s">
        <v>5989</v>
      </c>
      <c r="C691" s="151" t="s">
        <v>114</v>
      </c>
      <c r="D691" s="151">
        <v>2023</v>
      </c>
      <c r="E691" s="151" t="s">
        <v>190</v>
      </c>
      <c r="F691" s="174" t="s">
        <v>7053</v>
      </c>
      <c r="G691" s="167">
        <f>(90*(FCCL!F51+'Forensic Inputs'!$G$85))</f>
        <v>510166.26</v>
      </c>
      <c r="H691" s="167">
        <f>'Forensic Inputs'!$G$113</f>
        <v>11344.179</v>
      </c>
      <c r="I691" s="165">
        <f t="shared" si="30"/>
        <v>44.971633469464827</v>
      </c>
      <c r="J691" s="165">
        <v>44.971633469464827</v>
      </c>
      <c r="K691" s="169">
        <f t="shared" si="31"/>
        <v>0</v>
      </c>
      <c r="L691" s="165">
        <v>30</v>
      </c>
      <c r="M691" s="151">
        <v>0</v>
      </c>
      <c r="N691" s="151" t="str">
        <f t="shared" si="32"/>
        <v>No fit</v>
      </c>
      <c r="O691" s="174" t="s">
        <v>7192</v>
      </c>
      <c r="P691" s="174" t="s">
        <v>7048</v>
      </c>
    </row>
    <row r="692" spans="1:16" ht="64.05" customHeight="1" x14ac:dyDescent="0.3">
      <c r="A692" s="154" t="s">
        <v>7193</v>
      </c>
      <c r="B692" s="154" t="s">
        <v>5992</v>
      </c>
      <c r="C692" s="154" t="s">
        <v>114</v>
      </c>
      <c r="D692" s="154">
        <v>2024</v>
      </c>
      <c r="E692" s="154" t="s">
        <v>190</v>
      </c>
      <c r="F692" s="173" t="s">
        <v>5893</v>
      </c>
      <c r="G692" s="166">
        <f>365*AVERAGE(FCCL!F51,FCCL!G51)</f>
        <v>976376.09500000009</v>
      </c>
      <c r="H692" s="166">
        <f>-FCCL!G85</f>
        <v>54345.821000000004</v>
      </c>
      <c r="I692" s="164">
        <f t="shared" si="30"/>
        <v>17.96598297778959</v>
      </c>
      <c r="J692" s="164">
        <v>17.96598297778959</v>
      </c>
      <c r="K692" s="168">
        <f t="shared" si="31"/>
        <v>0</v>
      </c>
      <c r="L692" s="164">
        <v>36</v>
      </c>
      <c r="M692" s="154">
        <v>0</v>
      </c>
      <c r="N692" s="154" t="str">
        <f t="shared" si="32"/>
        <v>No fit</v>
      </c>
      <c r="O692" s="173" t="s">
        <v>6050</v>
      </c>
      <c r="P692" s="173" t="s">
        <v>6051</v>
      </c>
    </row>
    <row r="693" spans="1:16" ht="64.05" customHeight="1" x14ac:dyDescent="0.3">
      <c r="A693" s="151" t="s">
        <v>7194</v>
      </c>
      <c r="B693" s="151" t="s">
        <v>5992</v>
      </c>
      <c r="C693" s="151" t="s">
        <v>114</v>
      </c>
      <c r="D693" s="151">
        <v>2024</v>
      </c>
      <c r="E693" s="151" t="s">
        <v>190</v>
      </c>
      <c r="F693" s="174" t="s">
        <v>6115</v>
      </c>
      <c r="G693" s="167">
        <f>(365*FCCL!G51)</f>
        <v>995232.3600000001</v>
      </c>
      <c r="H693" s="167">
        <f>(FCCL!G85*-1)</f>
        <v>54345.821000000004</v>
      </c>
      <c r="I693" s="165">
        <f t="shared" si="30"/>
        <v>18.31295105469103</v>
      </c>
      <c r="J693" s="165">
        <v>18.31295105469103</v>
      </c>
      <c r="K693" s="169">
        <f t="shared" si="31"/>
        <v>0</v>
      </c>
      <c r="L693" s="165">
        <v>36</v>
      </c>
      <c r="M693" s="151">
        <v>0</v>
      </c>
      <c r="N693" s="151" t="str">
        <f t="shared" si="32"/>
        <v>No fit</v>
      </c>
      <c r="O693" s="174" t="s">
        <v>6934</v>
      </c>
      <c r="P693" s="174" t="s">
        <v>6051</v>
      </c>
    </row>
    <row r="694" spans="1:16" ht="64.05" customHeight="1" x14ac:dyDescent="0.3">
      <c r="A694" s="154" t="s">
        <v>7195</v>
      </c>
      <c r="B694" s="154" t="s">
        <v>5992</v>
      </c>
      <c r="C694" s="154" t="s">
        <v>114</v>
      </c>
      <c r="D694" s="154">
        <v>2024</v>
      </c>
      <c r="E694" s="154" t="s">
        <v>190</v>
      </c>
      <c r="F694" s="173" t="s">
        <v>6118</v>
      </c>
      <c r="G694" s="166">
        <f>(365*FCCL!G51)</f>
        <v>995232.3600000001</v>
      </c>
      <c r="H694" s="166">
        <f>FCCL!G84</f>
        <v>80026.225999999995</v>
      </c>
      <c r="I694" s="164">
        <f t="shared" si="30"/>
        <v>12.436327560917345</v>
      </c>
      <c r="J694" s="164">
        <v>12.436327560917345</v>
      </c>
      <c r="K694" s="168">
        <f t="shared" si="31"/>
        <v>0</v>
      </c>
      <c r="L694" s="164">
        <v>36</v>
      </c>
      <c r="M694" s="154">
        <v>0</v>
      </c>
      <c r="N694" s="154" t="str">
        <f t="shared" si="32"/>
        <v>No fit</v>
      </c>
      <c r="O694" s="173" t="s">
        <v>6936</v>
      </c>
      <c r="P694" s="173" t="s">
        <v>6051</v>
      </c>
    </row>
    <row r="695" spans="1:16" ht="64.05" customHeight="1" x14ac:dyDescent="0.3">
      <c r="A695" s="151" t="s">
        <v>7196</v>
      </c>
      <c r="B695" s="151" t="s">
        <v>5992</v>
      </c>
      <c r="C695" s="151" t="s">
        <v>114</v>
      </c>
      <c r="D695" s="151">
        <v>2024</v>
      </c>
      <c r="E695" s="151" t="s">
        <v>190</v>
      </c>
      <c r="F695" s="174" t="s">
        <v>6121</v>
      </c>
      <c r="G695" s="167">
        <f>(365*FCCL!G51)</f>
        <v>995232.3600000001</v>
      </c>
      <c r="H695" s="167">
        <f>((FCCL!G85*-1)+(FCCL!G65-FCCL!F65))</f>
        <v>55817.148000000001</v>
      </c>
      <c r="I695" s="165">
        <f t="shared" si="30"/>
        <v>17.830225937018497</v>
      </c>
      <c r="J695" s="165">
        <v>17.830225937018497</v>
      </c>
      <c r="K695" s="169">
        <f t="shared" si="31"/>
        <v>0</v>
      </c>
      <c r="L695" s="165">
        <v>36</v>
      </c>
      <c r="M695" s="151">
        <v>0</v>
      </c>
      <c r="N695" s="151" t="str">
        <f t="shared" si="32"/>
        <v>No fit</v>
      </c>
      <c r="O695" s="174" t="s">
        <v>6938</v>
      </c>
      <c r="P695" s="174" t="s">
        <v>6051</v>
      </c>
    </row>
    <row r="696" spans="1:16" ht="64.05" customHeight="1" x14ac:dyDescent="0.3">
      <c r="A696" s="154" t="s">
        <v>7197</v>
      </c>
      <c r="B696" s="154" t="s">
        <v>5992</v>
      </c>
      <c r="C696" s="154" t="s">
        <v>114</v>
      </c>
      <c r="D696" s="154">
        <v>2024</v>
      </c>
      <c r="E696" s="154" t="s">
        <v>190</v>
      </c>
      <c r="F696" s="173" t="s">
        <v>6124</v>
      </c>
      <c r="G696" s="166">
        <f>(365*FCCL!G51)</f>
        <v>995232.3600000001</v>
      </c>
      <c r="H696" s="166">
        <f>((FCCL!G85*-1)+(FCCL!G31-FCCL!F31))</f>
        <v>54729.199000000001</v>
      </c>
      <c r="I696" s="164">
        <f t="shared" si="30"/>
        <v>18.184668845601049</v>
      </c>
      <c r="J696" s="164">
        <v>18.184668845601049</v>
      </c>
      <c r="K696" s="168">
        <f t="shared" si="31"/>
        <v>0</v>
      </c>
      <c r="L696" s="164">
        <v>36</v>
      </c>
      <c r="M696" s="154">
        <v>0</v>
      </c>
      <c r="N696" s="154" t="str">
        <f t="shared" si="32"/>
        <v>No fit</v>
      </c>
      <c r="O696" s="173" t="s">
        <v>6940</v>
      </c>
      <c r="P696" s="173" t="s">
        <v>6051</v>
      </c>
    </row>
    <row r="697" spans="1:16" ht="64.05" customHeight="1" x14ac:dyDescent="0.3">
      <c r="A697" s="151" t="s">
        <v>7198</v>
      </c>
      <c r="B697" s="151" t="s">
        <v>5992</v>
      </c>
      <c r="C697" s="151" t="s">
        <v>114</v>
      </c>
      <c r="D697" s="151">
        <v>2024</v>
      </c>
      <c r="E697" s="151" t="s">
        <v>190</v>
      </c>
      <c r="F697" s="174" t="s">
        <v>6127</v>
      </c>
      <c r="G697" s="167">
        <f>(365*AVERAGE(FCCL!F51,FCCL!G51))</f>
        <v>976376.09500000009</v>
      </c>
      <c r="H697" s="167">
        <f>(FCCL!G85*-1)</f>
        <v>54345.821000000004</v>
      </c>
      <c r="I697" s="165">
        <f t="shared" si="30"/>
        <v>17.96598297778959</v>
      </c>
      <c r="J697" s="165">
        <v>17.96598297778959</v>
      </c>
      <c r="K697" s="169">
        <f t="shared" si="31"/>
        <v>0</v>
      </c>
      <c r="L697" s="165">
        <v>36</v>
      </c>
      <c r="M697" s="151">
        <v>0</v>
      </c>
      <c r="N697" s="151" t="str">
        <f t="shared" si="32"/>
        <v>No fit</v>
      </c>
      <c r="O697" s="174" t="s">
        <v>6942</v>
      </c>
      <c r="P697" s="174" t="s">
        <v>6051</v>
      </c>
    </row>
    <row r="698" spans="1:16" ht="64.05" customHeight="1" x14ac:dyDescent="0.3">
      <c r="A698" s="154" t="s">
        <v>7199</v>
      </c>
      <c r="B698" s="154" t="s">
        <v>5992</v>
      </c>
      <c r="C698" s="154" t="s">
        <v>114</v>
      </c>
      <c r="D698" s="154">
        <v>2024</v>
      </c>
      <c r="E698" s="154" t="s">
        <v>190</v>
      </c>
      <c r="F698" s="173" t="s">
        <v>6130</v>
      </c>
      <c r="G698" s="166">
        <f>(365*AVERAGE(FCCL!F51,FCCL!G51))</f>
        <v>976376.09500000009</v>
      </c>
      <c r="H698" s="166">
        <f>FCCL!G84</f>
        <v>80026.225999999995</v>
      </c>
      <c r="I698" s="164">
        <f t="shared" si="30"/>
        <v>12.200701492533213</v>
      </c>
      <c r="J698" s="164">
        <v>12.200701492533213</v>
      </c>
      <c r="K698" s="168">
        <f t="shared" si="31"/>
        <v>0</v>
      </c>
      <c r="L698" s="164">
        <v>36</v>
      </c>
      <c r="M698" s="154">
        <v>0</v>
      </c>
      <c r="N698" s="154" t="str">
        <f t="shared" si="32"/>
        <v>No fit</v>
      </c>
      <c r="O698" s="173" t="s">
        <v>6944</v>
      </c>
      <c r="P698" s="173" t="s">
        <v>6051</v>
      </c>
    </row>
    <row r="699" spans="1:16" ht="64.05" customHeight="1" x14ac:dyDescent="0.3">
      <c r="A699" s="151" t="s">
        <v>7200</v>
      </c>
      <c r="B699" s="151" t="s">
        <v>5992</v>
      </c>
      <c r="C699" s="151" t="s">
        <v>114</v>
      </c>
      <c r="D699" s="151">
        <v>2024</v>
      </c>
      <c r="E699" s="151" t="s">
        <v>190</v>
      </c>
      <c r="F699" s="174" t="s">
        <v>6133</v>
      </c>
      <c r="G699" s="167">
        <f>(365*AVERAGE(FCCL!F51,FCCL!G51))</f>
        <v>976376.09500000009</v>
      </c>
      <c r="H699" s="167">
        <f>((FCCL!G85*-1)+(FCCL!G65-FCCL!F65))</f>
        <v>55817.148000000001</v>
      </c>
      <c r="I699" s="165">
        <f t="shared" si="30"/>
        <v>17.492403857681875</v>
      </c>
      <c r="J699" s="165">
        <v>17.492403857681875</v>
      </c>
      <c r="K699" s="169">
        <f t="shared" si="31"/>
        <v>0</v>
      </c>
      <c r="L699" s="165">
        <v>36</v>
      </c>
      <c r="M699" s="151">
        <v>0</v>
      </c>
      <c r="N699" s="151" t="str">
        <f t="shared" si="32"/>
        <v>No fit</v>
      </c>
      <c r="O699" s="174" t="s">
        <v>6946</v>
      </c>
      <c r="P699" s="174" t="s">
        <v>6051</v>
      </c>
    </row>
    <row r="700" spans="1:16" ht="64.05" customHeight="1" x14ac:dyDescent="0.3">
      <c r="A700" s="154" t="s">
        <v>7201</v>
      </c>
      <c r="B700" s="154" t="s">
        <v>5992</v>
      </c>
      <c r="C700" s="154" t="s">
        <v>114</v>
      </c>
      <c r="D700" s="154">
        <v>2024</v>
      </c>
      <c r="E700" s="154" t="s">
        <v>190</v>
      </c>
      <c r="F700" s="173" t="s">
        <v>6136</v>
      </c>
      <c r="G700" s="166">
        <f>(365*AVERAGE(FCCL!F51,FCCL!G51))</f>
        <v>976376.09500000009</v>
      </c>
      <c r="H700" s="166">
        <f>((FCCL!G85*-1)+(FCCL!G31-FCCL!F31))</f>
        <v>54729.199000000001</v>
      </c>
      <c r="I700" s="164">
        <f t="shared" si="30"/>
        <v>17.840131279831084</v>
      </c>
      <c r="J700" s="164">
        <v>17.840131279831084</v>
      </c>
      <c r="K700" s="168">
        <f t="shared" si="31"/>
        <v>0</v>
      </c>
      <c r="L700" s="164">
        <v>36</v>
      </c>
      <c r="M700" s="154">
        <v>0</v>
      </c>
      <c r="N700" s="154" t="str">
        <f t="shared" si="32"/>
        <v>No fit</v>
      </c>
      <c r="O700" s="173" t="s">
        <v>6948</v>
      </c>
      <c r="P700" s="173" t="s">
        <v>6051</v>
      </c>
    </row>
    <row r="701" spans="1:16" ht="64.05" customHeight="1" x14ac:dyDescent="0.3">
      <c r="A701" s="151" t="s">
        <v>7202</v>
      </c>
      <c r="B701" s="151" t="s">
        <v>5992</v>
      </c>
      <c r="C701" s="151" t="s">
        <v>114</v>
      </c>
      <c r="D701" s="151">
        <v>2024</v>
      </c>
      <c r="E701" s="151" t="s">
        <v>190</v>
      </c>
      <c r="F701" s="174" t="s">
        <v>6139</v>
      </c>
      <c r="G701" s="167">
        <f>(365*FCCL!G50)</f>
        <v>2229708.35</v>
      </c>
      <c r="H701" s="167">
        <f>(FCCL!G85*-1)</f>
        <v>54345.821000000004</v>
      </c>
      <c r="I701" s="165">
        <f t="shared" si="30"/>
        <v>41.028147316055822</v>
      </c>
      <c r="J701" s="165">
        <v>41.028147316055822</v>
      </c>
      <c r="K701" s="169">
        <f t="shared" si="31"/>
        <v>0</v>
      </c>
      <c r="L701" s="165">
        <v>36</v>
      </c>
      <c r="M701" s="151">
        <v>0</v>
      </c>
      <c r="N701" s="151" t="str">
        <f t="shared" si="32"/>
        <v>No fit</v>
      </c>
      <c r="O701" s="174" t="s">
        <v>6950</v>
      </c>
      <c r="P701" s="174" t="s">
        <v>6051</v>
      </c>
    </row>
    <row r="702" spans="1:16" ht="64.05" customHeight="1" x14ac:dyDescent="0.3">
      <c r="A702" s="154" t="s">
        <v>7203</v>
      </c>
      <c r="B702" s="154" t="s">
        <v>5992</v>
      </c>
      <c r="C702" s="154" t="s">
        <v>114</v>
      </c>
      <c r="D702" s="154">
        <v>2024</v>
      </c>
      <c r="E702" s="154" t="s">
        <v>190</v>
      </c>
      <c r="F702" s="173" t="s">
        <v>6142</v>
      </c>
      <c r="G702" s="166">
        <f>(365*FCCL!G50)</f>
        <v>2229708.35</v>
      </c>
      <c r="H702" s="166">
        <f>FCCL!G84</f>
        <v>80026.225999999995</v>
      </c>
      <c r="I702" s="164">
        <f t="shared" si="30"/>
        <v>27.862220442583414</v>
      </c>
      <c r="J702" s="164">
        <v>27.862220442583414</v>
      </c>
      <c r="K702" s="168">
        <f t="shared" si="31"/>
        <v>0</v>
      </c>
      <c r="L702" s="164">
        <v>36</v>
      </c>
      <c r="M702" s="154">
        <v>0</v>
      </c>
      <c r="N702" s="154" t="str">
        <f t="shared" si="32"/>
        <v>No fit</v>
      </c>
      <c r="O702" s="173" t="s">
        <v>6952</v>
      </c>
      <c r="P702" s="173" t="s">
        <v>6051</v>
      </c>
    </row>
    <row r="703" spans="1:16" ht="64.05" customHeight="1" x14ac:dyDescent="0.3">
      <c r="A703" s="151" t="s">
        <v>7204</v>
      </c>
      <c r="B703" s="151" t="s">
        <v>5992</v>
      </c>
      <c r="C703" s="151" t="s">
        <v>114</v>
      </c>
      <c r="D703" s="151">
        <v>2024</v>
      </c>
      <c r="E703" s="151" t="s">
        <v>190</v>
      </c>
      <c r="F703" s="174" t="s">
        <v>6145</v>
      </c>
      <c r="G703" s="167">
        <f>(365*FCCL!G50)</f>
        <v>2229708.35</v>
      </c>
      <c r="H703" s="167">
        <f>((FCCL!G85*-1)+(FCCL!G65-FCCL!F65))</f>
        <v>55817.148000000001</v>
      </c>
      <c r="I703" s="165">
        <f t="shared" si="30"/>
        <v>39.946654924038754</v>
      </c>
      <c r="J703" s="165">
        <v>39.946654924038754</v>
      </c>
      <c r="K703" s="169">
        <f t="shared" si="31"/>
        <v>0</v>
      </c>
      <c r="L703" s="165">
        <v>36</v>
      </c>
      <c r="M703" s="151">
        <v>0</v>
      </c>
      <c r="N703" s="151" t="str">
        <f t="shared" si="32"/>
        <v>No fit</v>
      </c>
      <c r="O703" s="174" t="s">
        <v>6954</v>
      </c>
      <c r="P703" s="174" t="s">
        <v>6051</v>
      </c>
    </row>
    <row r="704" spans="1:16" ht="64.05" customHeight="1" x14ac:dyDescent="0.3">
      <c r="A704" s="154" t="s">
        <v>7205</v>
      </c>
      <c r="B704" s="154" t="s">
        <v>5992</v>
      </c>
      <c r="C704" s="154" t="s">
        <v>114</v>
      </c>
      <c r="D704" s="154">
        <v>2024</v>
      </c>
      <c r="E704" s="154" t="s">
        <v>190</v>
      </c>
      <c r="F704" s="173" t="s">
        <v>6148</v>
      </c>
      <c r="G704" s="166">
        <f>(365*FCCL!G50)</f>
        <v>2229708.35</v>
      </c>
      <c r="H704" s="166">
        <f>((FCCL!G85*-1)+(FCCL!G31-FCCL!F31))</f>
        <v>54729.199000000001</v>
      </c>
      <c r="I704" s="164">
        <f t="shared" si="30"/>
        <v>40.740745173339739</v>
      </c>
      <c r="J704" s="164">
        <v>40.740745173339739</v>
      </c>
      <c r="K704" s="168">
        <f t="shared" si="31"/>
        <v>0</v>
      </c>
      <c r="L704" s="164">
        <v>36</v>
      </c>
      <c r="M704" s="154">
        <v>0</v>
      </c>
      <c r="N704" s="154" t="str">
        <f t="shared" si="32"/>
        <v>No fit</v>
      </c>
      <c r="O704" s="173" t="s">
        <v>6956</v>
      </c>
      <c r="P704" s="173" t="s">
        <v>6051</v>
      </c>
    </row>
    <row r="705" spans="1:16" ht="64.05" customHeight="1" x14ac:dyDescent="0.3">
      <c r="A705" s="151" t="s">
        <v>7206</v>
      </c>
      <c r="B705" s="151" t="s">
        <v>5992</v>
      </c>
      <c r="C705" s="151" t="s">
        <v>114</v>
      </c>
      <c r="D705" s="151">
        <v>2024</v>
      </c>
      <c r="E705" s="151" t="s">
        <v>190</v>
      </c>
      <c r="F705" s="174" t="s">
        <v>5780</v>
      </c>
      <c r="G705" s="167">
        <f>(365*AVERAGE(FCCL!F50,FCCL!G50))</f>
        <v>2304108.4900000002</v>
      </c>
      <c r="H705" s="167">
        <f>(FCCL!G85*-1)</f>
        <v>54345.821000000004</v>
      </c>
      <c r="I705" s="165">
        <f t="shared" si="30"/>
        <v>42.397160399876931</v>
      </c>
      <c r="J705" s="165">
        <v>42.397160399876931</v>
      </c>
      <c r="K705" s="169">
        <f t="shared" si="31"/>
        <v>0</v>
      </c>
      <c r="L705" s="165">
        <v>36</v>
      </c>
      <c r="M705" s="151">
        <v>0</v>
      </c>
      <c r="N705" s="151" t="str">
        <f t="shared" si="32"/>
        <v>No fit</v>
      </c>
      <c r="O705" s="174" t="s">
        <v>6958</v>
      </c>
      <c r="P705" s="174" t="s">
        <v>6051</v>
      </c>
    </row>
    <row r="706" spans="1:16" ht="64.05" customHeight="1" x14ac:dyDescent="0.3">
      <c r="A706" s="154" t="s">
        <v>7207</v>
      </c>
      <c r="B706" s="154" t="s">
        <v>5992</v>
      </c>
      <c r="C706" s="154" t="s">
        <v>114</v>
      </c>
      <c r="D706" s="154">
        <v>2024</v>
      </c>
      <c r="E706" s="154" t="s">
        <v>190</v>
      </c>
      <c r="F706" s="173" t="s">
        <v>6153</v>
      </c>
      <c r="G706" s="166">
        <f>(365*AVERAGE(FCCL!F50,FCCL!G50))</f>
        <v>2304108.4900000002</v>
      </c>
      <c r="H706" s="166">
        <f>FCCL!G84</f>
        <v>80026.225999999995</v>
      </c>
      <c r="I706" s="164">
        <f t="shared" si="30"/>
        <v>28.791917414673538</v>
      </c>
      <c r="J706" s="164">
        <v>28.791917414673538</v>
      </c>
      <c r="K706" s="168">
        <f t="shared" si="31"/>
        <v>0</v>
      </c>
      <c r="L706" s="164">
        <v>36</v>
      </c>
      <c r="M706" s="154">
        <v>0</v>
      </c>
      <c r="N706" s="154" t="str">
        <f t="shared" si="32"/>
        <v>No fit</v>
      </c>
      <c r="O706" s="173" t="s">
        <v>6960</v>
      </c>
      <c r="P706" s="173" t="s">
        <v>6051</v>
      </c>
    </row>
    <row r="707" spans="1:16" ht="64.05" customHeight="1" x14ac:dyDescent="0.3">
      <c r="A707" s="151" t="s">
        <v>7208</v>
      </c>
      <c r="B707" s="151" t="s">
        <v>5992</v>
      </c>
      <c r="C707" s="151" t="s">
        <v>114</v>
      </c>
      <c r="D707" s="151">
        <v>2024</v>
      </c>
      <c r="E707" s="151" t="s">
        <v>190</v>
      </c>
      <c r="F707" s="174" t="s">
        <v>6156</v>
      </c>
      <c r="G707" s="167">
        <f>(365*AVERAGE(FCCL!F50,FCCL!G50))</f>
        <v>2304108.4900000002</v>
      </c>
      <c r="H707" s="167">
        <f>((FCCL!G85*-1)+(FCCL!G65-FCCL!F65))</f>
        <v>55817.148000000001</v>
      </c>
      <c r="I707" s="165">
        <f t="shared" si="30"/>
        <v>41.279581142339985</v>
      </c>
      <c r="J707" s="165">
        <v>41.279581142339985</v>
      </c>
      <c r="K707" s="169">
        <f t="shared" si="31"/>
        <v>0</v>
      </c>
      <c r="L707" s="165">
        <v>36</v>
      </c>
      <c r="M707" s="151">
        <v>0</v>
      </c>
      <c r="N707" s="151" t="str">
        <f t="shared" si="32"/>
        <v>No fit</v>
      </c>
      <c r="O707" s="174" t="s">
        <v>6962</v>
      </c>
      <c r="P707" s="174" t="s">
        <v>6051</v>
      </c>
    </row>
    <row r="708" spans="1:16" ht="64.05" customHeight="1" x14ac:dyDescent="0.3">
      <c r="A708" s="154" t="s">
        <v>7209</v>
      </c>
      <c r="B708" s="154" t="s">
        <v>5992</v>
      </c>
      <c r="C708" s="154" t="s">
        <v>114</v>
      </c>
      <c r="D708" s="154">
        <v>2024</v>
      </c>
      <c r="E708" s="154" t="s">
        <v>190</v>
      </c>
      <c r="F708" s="173" t="s">
        <v>6159</v>
      </c>
      <c r="G708" s="166">
        <f>(365*AVERAGE(FCCL!F50,FCCL!G50))</f>
        <v>2304108.4900000002</v>
      </c>
      <c r="H708" s="166">
        <f>((FCCL!G85*-1)+(FCCL!G31-FCCL!F31))</f>
        <v>54729.199000000001</v>
      </c>
      <c r="I708" s="164">
        <f t="shared" si="30"/>
        <v>42.100168321484119</v>
      </c>
      <c r="J708" s="164">
        <v>42.100168321484119</v>
      </c>
      <c r="K708" s="168">
        <f t="shared" si="31"/>
        <v>0</v>
      </c>
      <c r="L708" s="164">
        <v>36</v>
      </c>
      <c r="M708" s="154">
        <v>0</v>
      </c>
      <c r="N708" s="154" t="str">
        <f t="shared" si="32"/>
        <v>No fit</v>
      </c>
      <c r="O708" s="173" t="s">
        <v>6964</v>
      </c>
      <c r="P708" s="173" t="s">
        <v>6051</v>
      </c>
    </row>
    <row r="709" spans="1:16" ht="64.05" customHeight="1" x14ac:dyDescent="0.3">
      <c r="A709" s="151" t="s">
        <v>7210</v>
      </c>
      <c r="B709" s="151" t="s">
        <v>5992</v>
      </c>
      <c r="C709" s="151" t="s">
        <v>114</v>
      </c>
      <c r="D709" s="151">
        <v>2024</v>
      </c>
      <c r="E709" s="151" t="s">
        <v>190</v>
      </c>
      <c r="F709" s="174" t="s">
        <v>6162</v>
      </c>
      <c r="G709" s="167">
        <f>(365*AVERAGE((((FCCL!F61-FCCL!F54)-FCCL!F55)-FCCL!F56),(((FCCL!G61-FCCL!G54)-FCCL!G55)-FCCL!G56)))</f>
        <v>4609288.8025000012</v>
      </c>
      <c r="H709" s="167">
        <f>(FCCL!G85*-1)</f>
        <v>54345.821000000004</v>
      </c>
      <c r="I709" s="165">
        <f t="shared" si="30"/>
        <v>84.81404306137911</v>
      </c>
      <c r="J709" s="165">
        <v>84.814043061379081</v>
      </c>
      <c r="K709" s="169">
        <f t="shared" si="31"/>
        <v>0</v>
      </c>
      <c r="L709" s="165">
        <v>36</v>
      </c>
      <c r="M709" s="151">
        <v>0</v>
      </c>
      <c r="N709" s="151" t="str">
        <f t="shared" si="32"/>
        <v>No fit</v>
      </c>
      <c r="O709" s="174" t="s">
        <v>6966</v>
      </c>
      <c r="P709" s="174" t="s">
        <v>6051</v>
      </c>
    </row>
    <row r="710" spans="1:16" ht="64.05" customHeight="1" x14ac:dyDescent="0.3">
      <c r="A710" s="154" t="s">
        <v>7211</v>
      </c>
      <c r="B710" s="154" t="s">
        <v>5992</v>
      </c>
      <c r="C710" s="154" t="s">
        <v>114</v>
      </c>
      <c r="D710" s="154">
        <v>2024</v>
      </c>
      <c r="E710" s="154" t="s">
        <v>190</v>
      </c>
      <c r="F710" s="173" t="s">
        <v>6165</v>
      </c>
      <c r="G710" s="166">
        <f>(365*AVERAGE((((FCCL!F61-FCCL!F54)-FCCL!F55)-FCCL!F56),(((FCCL!G61-FCCL!G54)-FCCL!G55)-FCCL!G56)))</f>
        <v>4609288.8025000012</v>
      </c>
      <c r="H710" s="166">
        <f>FCCL!G84</f>
        <v>80026.225999999995</v>
      </c>
      <c r="I710" s="164">
        <f t="shared" ref="I710:I773" si="33">G710/H710</f>
        <v>57.597228219908828</v>
      </c>
      <c r="J710" s="164">
        <v>57.597228219908814</v>
      </c>
      <c r="K710" s="168">
        <f t="shared" ref="K710:K773" si="34">I710-J710</f>
        <v>0</v>
      </c>
      <c r="L710" s="164">
        <v>36</v>
      </c>
      <c r="M710" s="154">
        <v>0</v>
      </c>
      <c r="N710" s="154" t="str">
        <f t="shared" ref="N710:N773" si="35">IF(ROUND(I710,M710)=ROUND(L710,M710),"Numeric fit","No fit")</f>
        <v>No fit</v>
      </c>
      <c r="O710" s="173" t="s">
        <v>6968</v>
      </c>
      <c r="P710" s="173" t="s">
        <v>6051</v>
      </c>
    </row>
    <row r="711" spans="1:16" ht="64.05" customHeight="1" x14ac:dyDescent="0.3">
      <c r="A711" s="151" t="s">
        <v>7212</v>
      </c>
      <c r="B711" s="151" t="s">
        <v>5992</v>
      </c>
      <c r="C711" s="151" t="s">
        <v>114</v>
      </c>
      <c r="D711" s="151">
        <v>2024</v>
      </c>
      <c r="E711" s="151" t="s">
        <v>190</v>
      </c>
      <c r="F711" s="174" t="s">
        <v>6168</v>
      </c>
      <c r="G711" s="167">
        <f>(365*AVERAGE((((FCCL!F61-FCCL!F54)-FCCL!F55)-FCCL!F56),(((FCCL!G61-FCCL!G54)-FCCL!G55)-FCCL!G56)))</f>
        <v>4609288.8025000012</v>
      </c>
      <c r="H711" s="167">
        <f>((FCCL!G85*-1)+(FCCL!G65-FCCL!F65))</f>
        <v>55817.148000000001</v>
      </c>
      <c r="I711" s="165">
        <f t="shared" si="33"/>
        <v>82.578364672089677</v>
      </c>
      <c r="J711" s="165">
        <v>82.578364672089663</v>
      </c>
      <c r="K711" s="169">
        <f t="shared" si="34"/>
        <v>0</v>
      </c>
      <c r="L711" s="165">
        <v>36</v>
      </c>
      <c r="M711" s="151">
        <v>0</v>
      </c>
      <c r="N711" s="151" t="str">
        <f t="shared" si="35"/>
        <v>No fit</v>
      </c>
      <c r="O711" s="174" t="s">
        <v>6970</v>
      </c>
      <c r="P711" s="174" t="s">
        <v>6051</v>
      </c>
    </row>
    <row r="712" spans="1:16" ht="64.05" customHeight="1" x14ac:dyDescent="0.3">
      <c r="A712" s="154" t="s">
        <v>7213</v>
      </c>
      <c r="B712" s="154" t="s">
        <v>5992</v>
      </c>
      <c r="C712" s="154" t="s">
        <v>114</v>
      </c>
      <c r="D712" s="154">
        <v>2024</v>
      </c>
      <c r="E712" s="154" t="s">
        <v>190</v>
      </c>
      <c r="F712" s="173" t="s">
        <v>6171</v>
      </c>
      <c r="G712" s="166">
        <f>(365*AVERAGE((((FCCL!F61-FCCL!F54)-FCCL!F55)-FCCL!F56),(((FCCL!G61-FCCL!G54)-FCCL!G55)-FCCL!G56)))</f>
        <v>4609288.8025000012</v>
      </c>
      <c r="H712" s="166">
        <f>((FCCL!G85*-1)+(FCCL!G31-FCCL!F31))</f>
        <v>54729.199000000001</v>
      </c>
      <c r="I712" s="164">
        <f t="shared" si="33"/>
        <v>84.219920750164846</v>
      </c>
      <c r="J712" s="164">
        <v>84.219920750164832</v>
      </c>
      <c r="K712" s="168">
        <f t="shared" si="34"/>
        <v>0</v>
      </c>
      <c r="L712" s="164">
        <v>36</v>
      </c>
      <c r="M712" s="154">
        <v>0</v>
      </c>
      <c r="N712" s="154" t="str">
        <f t="shared" si="35"/>
        <v>No fit</v>
      </c>
      <c r="O712" s="173" t="s">
        <v>6972</v>
      </c>
      <c r="P712" s="173" t="s">
        <v>6051</v>
      </c>
    </row>
    <row r="713" spans="1:16" ht="64.05" customHeight="1" x14ac:dyDescent="0.3">
      <c r="A713" s="151" t="s">
        <v>7214</v>
      </c>
      <c r="B713" s="151" t="s">
        <v>5992</v>
      </c>
      <c r="C713" s="151" t="s">
        <v>114</v>
      </c>
      <c r="D713" s="151">
        <v>2024</v>
      </c>
      <c r="E713" s="151" t="s">
        <v>190</v>
      </c>
      <c r="F713" s="174" t="s">
        <v>6974</v>
      </c>
      <c r="G713" s="167">
        <f>(365*(FCCL!G51+'Forensic Inputs'!$G$86))</f>
        <v>1503426.2400000002</v>
      </c>
      <c r="H713" s="167">
        <f>(FCCL!G85*-1)</f>
        <v>54345.821000000004</v>
      </c>
      <c r="I713" s="165">
        <f t="shared" si="33"/>
        <v>27.664063442891038</v>
      </c>
      <c r="J713" s="165">
        <v>27.664063442891038</v>
      </c>
      <c r="K713" s="169">
        <f t="shared" si="34"/>
        <v>0</v>
      </c>
      <c r="L713" s="165">
        <v>36</v>
      </c>
      <c r="M713" s="151">
        <v>0</v>
      </c>
      <c r="N713" s="151" t="str">
        <f t="shared" si="35"/>
        <v>No fit</v>
      </c>
      <c r="O713" s="174" t="s">
        <v>7215</v>
      </c>
      <c r="P713" s="174" t="s">
        <v>6051</v>
      </c>
    </row>
    <row r="714" spans="1:16" ht="64.05" customHeight="1" x14ac:dyDescent="0.3">
      <c r="A714" s="154" t="s">
        <v>7216</v>
      </c>
      <c r="B714" s="154" t="s">
        <v>5992</v>
      </c>
      <c r="C714" s="154" t="s">
        <v>114</v>
      </c>
      <c r="D714" s="154">
        <v>2024</v>
      </c>
      <c r="E714" s="154" t="s">
        <v>190</v>
      </c>
      <c r="F714" s="173" t="s">
        <v>6977</v>
      </c>
      <c r="G714" s="166">
        <f>(365*(FCCL!G51+'Forensic Inputs'!$G$86))</f>
        <v>1503426.2400000002</v>
      </c>
      <c r="H714" s="166">
        <f>FCCL!G84</f>
        <v>80026.225999999995</v>
      </c>
      <c r="I714" s="164">
        <f t="shared" si="33"/>
        <v>18.786669260149797</v>
      </c>
      <c r="J714" s="164">
        <v>18.786669260149797</v>
      </c>
      <c r="K714" s="168">
        <f t="shared" si="34"/>
        <v>0</v>
      </c>
      <c r="L714" s="164">
        <v>36</v>
      </c>
      <c r="M714" s="154">
        <v>0</v>
      </c>
      <c r="N714" s="154" t="str">
        <f t="shared" si="35"/>
        <v>No fit</v>
      </c>
      <c r="O714" s="173" t="s">
        <v>7217</v>
      </c>
      <c r="P714" s="173" t="s">
        <v>6051</v>
      </c>
    </row>
    <row r="715" spans="1:16" ht="64.05" customHeight="1" x14ac:dyDescent="0.3">
      <c r="A715" s="151" t="s">
        <v>7218</v>
      </c>
      <c r="B715" s="151" t="s">
        <v>5992</v>
      </c>
      <c r="C715" s="151" t="s">
        <v>114</v>
      </c>
      <c r="D715" s="151">
        <v>2024</v>
      </c>
      <c r="E715" s="151" t="s">
        <v>190</v>
      </c>
      <c r="F715" s="174" t="s">
        <v>6980</v>
      </c>
      <c r="G715" s="167">
        <f>(365*(FCCL!G51+'Forensic Inputs'!$G$86))</f>
        <v>1503426.2400000002</v>
      </c>
      <c r="H715" s="167">
        <f>((FCCL!G85*-1)+(FCCL!G65-FCCL!F65))</f>
        <v>55817.148000000001</v>
      </c>
      <c r="I715" s="165">
        <f t="shared" si="33"/>
        <v>26.934845184135888</v>
      </c>
      <c r="J715" s="165">
        <v>26.934845184135888</v>
      </c>
      <c r="K715" s="169">
        <f t="shared" si="34"/>
        <v>0</v>
      </c>
      <c r="L715" s="165">
        <v>36</v>
      </c>
      <c r="M715" s="151">
        <v>0</v>
      </c>
      <c r="N715" s="151" t="str">
        <f t="shared" si="35"/>
        <v>No fit</v>
      </c>
      <c r="O715" s="174" t="s">
        <v>7219</v>
      </c>
      <c r="P715" s="174" t="s">
        <v>6051</v>
      </c>
    </row>
    <row r="716" spans="1:16" ht="64.05" customHeight="1" x14ac:dyDescent="0.3">
      <c r="A716" s="154" t="s">
        <v>7220</v>
      </c>
      <c r="B716" s="154" t="s">
        <v>5992</v>
      </c>
      <c r="C716" s="154" t="s">
        <v>114</v>
      </c>
      <c r="D716" s="154">
        <v>2024</v>
      </c>
      <c r="E716" s="154" t="s">
        <v>190</v>
      </c>
      <c r="F716" s="173" t="s">
        <v>6983</v>
      </c>
      <c r="G716" s="166">
        <f>(365*(FCCL!G51+'Forensic Inputs'!$G$86))</f>
        <v>1503426.2400000002</v>
      </c>
      <c r="H716" s="166">
        <f>((FCCL!G85*-1)+(FCCL!G31-FCCL!F31))</f>
        <v>54729.199000000001</v>
      </c>
      <c r="I716" s="164">
        <f t="shared" si="33"/>
        <v>27.47027669818446</v>
      </c>
      <c r="J716" s="164">
        <v>27.47027669818446</v>
      </c>
      <c r="K716" s="168">
        <f t="shared" si="34"/>
        <v>0</v>
      </c>
      <c r="L716" s="164">
        <v>36</v>
      </c>
      <c r="M716" s="154">
        <v>0</v>
      </c>
      <c r="N716" s="154" t="str">
        <f t="shared" si="35"/>
        <v>No fit</v>
      </c>
      <c r="O716" s="173" t="s">
        <v>7221</v>
      </c>
      <c r="P716" s="173" t="s">
        <v>6051</v>
      </c>
    </row>
    <row r="717" spans="1:16" ht="64.05" customHeight="1" x14ac:dyDescent="0.3">
      <c r="A717" s="151" t="s">
        <v>7222</v>
      </c>
      <c r="B717" s="151" t="s">
        <v>5992</v>
      </c>
      <c r="C717" s="151" t="s">
        <v>114</v>
      </c>
      <c r="D717" s="151">
        <v>2024</v>
      </c>
      <c r="E717" s="151" t="s">
        <v>190</v>
      </c>
      <c r="F717" s="174" t="s">
        <v>6986</v>
      </c>
      <c r="G717" s="167">
        <f>(365*AVERAGE((FCCL!F51+'Forensic Inputs'!$G$85),(FCCL!G51+'Forensic Inputs'!$G$86)))</f>
        <v>1786216.9250000003</v>
      </c>
      <c r="H717" s="167">
        <f>(FCCL!G85*-1)</f>
        <v>54345.821000000004</v>
      </c>
      <c r="I717" s="165">
        <f t="shared" si="33"/>
        <v>32.867604024235831</v>
      </c>
      <c r="J717" s="165">
        <v>32.867604024235831</v>
      </c>
      <c r="K717" s="169">
        <f t="shared" si="34"/>
        <v>0</v>
      </c>
      <c r="L717" s="165">
        <v>36</v>
      </c>
      <c r="M717" s="151">
        <v>0</v>
      </c>
      <c r="N717" s="151" t="str">
        <f t="shared" si="35"/>
        <v>No fit</v>
      </c>
      <c r="O717" s="174" t="s">
        <v>7223</v>
      </c>
      <c r="P717" s="174" t="s">
        <v>6051</v>
      </c>
    </row>
    <row r="718" spans="1:16" ht="64.05" customHeight="1" x14ac:dyDescent="0.3">
      <c r="A718" s="154" t="s">
        <v>7224</v>
      </c>
      <c r="B718" s="154" t="s">
        <v>5992</v>
      </c>
      <c r="C718" s="154" t="s">
        <v>114</v>
      </c>
      <c r="D718" s="154">
        <v>2024</v>
      </c>
      <c r="E718" s="154" t="s">
        <v>190</v>
      </c>
      <c r="F718" s="173" t="s">
        <v>6989</v>
      </c>
      <c r="G718" s="166">
        <f>(365*AVERAGE((FCCL!F51+'Forensic Inputs'!$G$85),(FCCL!G51+'Forensic Inputs'!$G$86)))</f>
        <v>1786216.9250000003</v>
      </c>
      <c r="H718" s="166">
        <f>FCCL!G84</f>
        <v>80026.225999999995</v>
      </c>
      <c r="I718" s="164">
        <f t="shared" si="33"/>
        <v>22.32039437921264</v>
      </c>
      <c r="J718" s="164">
        <v>22.32039437921264</v>
      </c>
      <c r="K718" s="168">
        <f t="shared" si="34"/>
        <v>0</v>
      </c>
      <c r="L718" s="164">
        <v>36</v>
      </c>
      <c r="M718" s="154">
        <v>0</v>
      </c>
      <c r="N718" s="154" t="str">
        <f t="shared" si="35"/>
        <v>No fit</v>
      </c>
      <c r="O718" s="173" t="s">
        <v>7225</v>
      </c>
      <c r="P718" s="173" t="s">
        <v>6051</v>
      </c>
    </row>
    <row r="719" spans="1:16" ht="64.05" customHeight="1" x14ac:dyDescent="0.3">
      <c r="A719" s="151" t="s">
        <v>7226</v>
      </c>
      <c r="B719" s="151" t="s">
        <v>5992</v>
      </c>
      <c r="C719" s="151" t="s">
        <v>114</v>
      </c>
      <c r="D719" s="151">
        <v>2024</v>
      </c>
      <c r="E719" s="151" t="s">
        <v>190</v>
      </c>
      <c r="F719" s="174" t="s">
        <v>6992</v>
      </c>
      <c r="G719" s="167">
        <f>(365*AVERAGE((FCCL!F51+'Forensic Inputs'!$G$85),(FCCL!G51+'Forensic Inputs'!$G$86)))</f>
        <v>1786216.9250000003</v>
      </c>
      <c r="H719" s="167">
        <f>((FCCL!G85*-1)+(FCCL!G65-FCCL!F65))</f>
        <v>55817.148000000001</v>
      </c>
      <c r="I719" s="165">
        <f t="shared" si="33"/>
        <v>32.00122164966222</v>
      </c>
      <c r="J719" s="165">
        <v>32.00122164966222</v>
      </c>
      <c r="K719" s="169">
        <f t="shared" si="34"/>
        <v>0</v>
      </c>
      <c r="L719" s="165">
        <v>36</v>
      </c>
      <c r="M719" s="151">
        <v>0</v>
      </c>
      <c r="N719" s="151" t="str">
        <f t="shared" si="35"/>
        <v>No fit</v>
      </c>
      <c r="O719" s="174" t="s">
        <v>7227</v>
      </c>
      <c r="P719" s="174" t="s">
        <v>6051</v>
      </c>
    </row>
    <row r="720" spans="1:16" ht="64.05" customHeight="1" x14ac:dyDescent="0.3">
      <c r="A720" s="154" t="s">
        <v>7228</v>
      </c>
      <c r="B720" s="154" t="s">
        <v>5992</v>
      </c>
      <c r="C720" s="154" t="s">
        <v>114</v>
      </c>
      <c r="D720" s="154">
        <v>2024</v>
      </c>
      <c r="E720" s="154" t="s">
        <v>190</v>
      </c>
      <c r="F720" s="173" t="s">
        <v>6995</v>
      </c>
      <c r="G720" s="166">
        <f>(365*AVERAGE((FCCL!F51+'Forensic Inputs'!$G$85),(FCCL!G51+'Forensic Inputs'!$G$86)))</f>
        <v>1786216.9250000003</v>
      </c>
      <c r="H720" s="166">
        <f>((FCCL!G85*-1)+(FCCL!G31-FCCL!F31))</f>
        <v>54729.199000000001</v>
      </c>
      <c r="I720" s="164">
        <f t="shared" si="33"/>
        <v>32.637366481464497</v>
      </c>
      <c r="J720" s="164">
        <v>32.637366481464497</v>
      </c>
      <c r="K720" s="168">
        <f t="shared" si="34"/>
        <v>0</v>
      </c>
      <c r="L720" s="164">
        <v>36</v>
      </c>
      <c r="M720" s="154">
        <v>0</v>
      </c>
      <c r="N720" s="154" t="str">
        <f t="shared" si="35"/>
        <v>No fit</v>
      </c>
      <c r="O720" s="173" t="s">
        <v>7229</v>
      </c>
      <c r="P720" s="173" t="s">
        <v>6051</v>
      </c>
    </row>
    <row r="721" spans="1:16" ht="64.05" customHeight="1" x14ac:dyDescent="0.3">
      <c r="A721" s="151" t="s">
        <v>7230</v>
      </c>
      <c r="B721" s="151" t="s">
        <v>5992</v>
      </c>
      <c r="C721" s="151" t="s">
        <v>114</v>
      </c>
      <c r="D721" s="151">
        <v>2024</v>
      </c>
      <c r="E721" s="151" t="s">
        <v>190</v>
      </c>
      <c r="F721" s="174" t="s">
        <v>6998</v>
      </c>
      <c r="G721" s="167">
        <f>(365*(FCCL!G51+'Forensic Inputs'!$G$92))</f>
        <v>2876490.1749999998</v>
      </c>
      <c r="H721" s="167">
        <f>(FCCL!G85*-1)</f>
        <v>54345.821000000004</v>
      </c>
      <c r="I721" s="165">
        <f t="shared" si="33"/>
        <v>52.929371975077892</v>
      </c>
      <c r="J721" s="165">
        <v>52.929371975077892</v>
      </c>
      <c r="K721" s="169">
        <f t="shared" si="34"/>
        <v>0</v>
      </c>
      <c r="L721" s="165">
        <v>36</v>
      </c>
      <c r="M721" s="151">
        <v>0</v>
      </c>
      <c r="N721" s="151" t="str">
        <f t="shared" si="35"/>
        <v>No fit</v>
      </c>
      <c r="O721" s="174" t="s">
        <v>7231</v>
      </c>
      <c r="P721" s="174" t="s">
        <v>6051</v>
      </c>
    </row>
    <row r="722" spans="1:16" ht="64.05" customHeight="1" x14ac:dyDescent="0.3">
      <c r="A722" s="154" t="s">
        <v>7232</v>
      </c>
      <c r="B722" s="154" t="s">
        <v>5992</v>
      </c>
      <c r="C722" s="154" t="s">
        <v>114</v>
      </c>
      <c r="D722" s="154">
        <v>2024</v>
      </c>
      <c r="E722" s="154" t="s">
        <v>190</v>
      </c>
      <c r="F722" s="173" t="s">
        <v>7001</v>
      </c>
      <c r="G722" s="166">
        <f>(365*(FCCL!G51+'Forensic Inputs'!$G$92))</f>
        <v>2876490.1749999998</v>
      </c>
      <c r="H722" s="166">
        <f>FCCL!G84</f>
        <v>80026.225999999995</v>
      </c>
      <c r="I722" s="164">
        <f t="shared" si="33"/>
        <v>35.944343733015721</v>
      </c>
      <c r="J722" s="164">
        <v>35.944343733015721</v>
      </c>
      <c r="K722" s="168">
        <f t="shared" si="34"/>
        <v>0</v>
      </c>
      <c r="L722" s="164">
        <v>36</v>
      </c>
      <c r="M722" s="154">
        <v>0</v>
      </c>
      <c r="N722" s="154" t="str">
        <f t="shared" si="35"/>
        <v>Numeric fit</v>
      </c>
      <c r="O722" s="173" t="s">
        <v>7233</v>
      </c>
      <c r="P722" s="173" t="s">
        <v>6051</v>
      </c>
    </row>
    <row r="723" spans="1:16" ht="64.05" customHeight="1" x14ac:dyDescent="0.3">
      <c r="A723" s="151" t="s">
        <v>7234</v>
      </c>
      <c r="B723" s="151" t="s">
        <v>5992</v>
      </c>
      <c r="C723" s="151" t="s">
        <v>114</v>
      </c>
      <c r="D723" s="151">
        <v>2024</v>
      </c>
      <c r="E723" s="151" t="s">
        <v>190</v>
      </c>
      <c r="F723" s="174" t="s">
        <v>7004</v>
      </c>
      <c r="G723" s="167">
        <f>(365*(FCCL!G51+'Forensic Inputs'!$G$92))</f>
        <v>2876490.1749999998</v>
      </c>
      <c r="H723" s="167">
        <f>((FCCL!G85*-1)+(FCCL!G65-FCCL!F65))</f>
        <v>55817.148000000001</v>
      </c>
      <c r="I723" s="165">
        <f t="shared" si="33"/>
        <v>51.534166077421219</v>
      </c>
      <c r="J723" s="165">
        <v>51.534166077421219</v>
      </c>
      <c r="K723" s="169">
        <f t="shared" si="34"/>
        <v>0</v>
      </c>
      <c r="L723" s="165">
        <v>36</v>
      </c>
      <c r="M723" s="151">
        <v>0</v>
      </c>
      <c r="N723" s="151" t="str">
        <f t="shared" si="35"/>
        <v>No fit</v>
      </c>
      <c r="O723" s="174" t="s">
        <v>7235</v>
      </c>
      <c r="P723" s="174" t="s">
        <v>6051</v>
      </c>
    </row>
    <row r="724" spans="1:16" ht="64.05" customHeight="1" x14ac:dyDescent="0.3">
      <c r="A724" s="154" t="s">
        <v>7236</v>
      </c>
      <c r="B724" s="154" t="s">
        <v>5992</v>
      </c>
      <c r="C724" s="154" t="s">
        <v>114</v>
      </c>
      <c r="D724" s="154">
        <v>2024</v>
      </c>
      <c r="E724" s="154" t="s">
        <v>190</v>
      </c>
      <c r="F724" s="173" t="s">
        <v>7007</v>
      </c>
      <c r="G724" s="166">
        <f>(365*(FCCL!G51+'Forensic Inputs'!$G$92))</f>
        <v>2876490.1749999998</v>
      </c>
      <c r="H724" s="166">
        <f>((FCCL!G85*-1)+(FCCL!G31-FCCL!F31))</f>
        <v>54729.199000000001</v>
      </c>
      <c r="I724" s="164">
        <f t="shared" si="33"/>
        <v>52.558601762105084</v>
      </c>
      <c r="J724" s="164">
        <v>52.558601762105084</v>
      </c>
      <c r="K724" s="168">
        <f t="shared" si="34"/>
        <v>0</v>
      </c>
      <c r="L724" s="164">
        <v>36</v>
      </c>
      <c r="M724" s="154">
        <v>0</v>
      </c>
      <c r="N724" s="154" t="str">
        <f t="shared" si="35"/>
        <v>No fit</v>
      </c>
      <c r="O724" s="173" t="s">
        <v>7237</v>
      </c>
      <c r="P724" s="173" t="s">
        <v>6051</v>
      </c>
    </row>
    <row r="725" spans="1:16" ht="64.05" customHeight="1" x14ac:dyDescent="0.3">
      <c r="A725" s="151" t="s">
        <v>7238</v>
      </c>
      <c r="B725" s="151" t="s">
        <v>5992</v>
      </c>
      <c r="C725" s="151" t="s">
        <v>114</v>
      </c>
      <c r="D725" s="151">
        <v>2024</v>
      </c>
      <c r="E725" s="151" t="s">
        <v>190</v>
      </c>
      <c r="F725" s="174" t="s">
        <v>7010</v>
      </c>
      <c r="G725" s="167">
        <f>(365*AVERAGE((FCCL!F51+'Forensic Inputs'!$G$91),(FCCL!G51+'Forensic Inputs'!$G$92)))</f>
        <v>2651092.2725</v>
      </c>
      <c r="H725" s="167">
        <f>(FCCL!G85*-1)</f>
        <v>54345.821000000004</v>
      </c>
      <c r="I725" s="165">
        <f t="shared" si="33"/>
        <v>48.78189755381559</v>
      </c>
      <c r="J725" s="165">
        <v>48.78189755381559</v>
      </c>
      <c r="K725" s="169">
        <f t="shared" si="34"/>
        <v>0</v>
      </c>
      <c r="L725" s="165">
        <v>36</v>
      </c>
      <c r="M725" s="151">
        <v>0</v>
      </c>
      <c r="N725" s="151" t="str">
        <f t="shared" si="35"/>
        <v>No fit</v>
      </c>
      <c r="O725" s="174" t="s">
        <v>7239</v>
      </c>
      <c r="P725" s="174" t="s">
        <v>6051</v>
      </c>
    </row>
    <row r="726" spans="1:16" ht="64.05" customHeight="1" x14ac:dyDescent="0.3">
      <c r="A726" s="154" t="s">
        <v>7240</v>
      </c>
      <c r="B726" s="154" t="s">
        <v>5992</v>
      </c>
      <c r="C726" s="154" t="s">
        <v>114</v>
      </c>
      <c r="D726" s="154">
        <v>2024</v>
      </c>
      <c r="E726" s="154" t="s">
        <v>190</v>
      </c>
      <c r="F726" s="173" t="s">
        <v>7013</v>
      </c>
      <c r="G726" s="166">
        <f>(365*AVERAGE((FCCL!F51+'Forensic Inputs'!$G$91),(FCCL!G51+'Forensic Inputs'!$G$92)))</f>
        <v>2651092.2725</v>
      </c>
      <c r="H726" s="166">
        <f>FCCL!G84</f>
        <v>80026.225999999995</v>
      </c>
      <c r="I726" s="164">
        <f t="shared" si="33"/>
        <v>33.127793287415557</v>
      </c>
      <c r="J726" s="164">
        <v>33.127793287415557</v>
      </c>
      <c r="K726" s="168">
        <f t="shared" si="34"/>
        <v>0</v>
      </c>
      <c r="L726" s="164">
        <v>36</v>
      </c>
      <c r="M726" s="154">
        <v>0</v>
      </c>
      <c r="N726" s="154" t="str">
        <f t="shared" si="35"/>
        <v>No fit</v>
      </c>
      <c r="O726" s="173" t="s">
        <v>7241</v>
      </c>
      <c r="P726" s="173" t="s">
        <v>6051</v>
      </c>
    </row>
    <row r="727" spans="1:16" ht="64.05" customHeight="1" x14ac:dyDescent="0.3">
      <c r="A727" s="151" t="s">
        <v>7242</v>
      </c>
      <c r="B727" s="151" t="s">
        <v>5992</v>
      </c>
      <c r="C727" s="151" t="s">
        <v>114</v>
      </c>
      <c r="D727" s="151">
        <v>2024</v>
      </c>
      <c r="E727" s="151" t="s">
        <v>190</v>
      </c>
      <c r="F727" s="174" t="s">
        <v>7016</v>
      </c>
      <c r="G727" s="167">
        <f>(365*AVERAGE((FCCL!F51+'Forensic Inputs'!$G$91),(FCCL!G51+'Forensic Inputs'!$G$92)))</f>
        <v>2651092.2725</v>
      </c>
      <c r="H727" s="167">
        <f>((FCCL!G85*-1)+(FCCL!G65-FCCL!F65))</f>
        <v>55817.148000000001</v>
      </c>
      <c r="I727" s="165">
        <f t="shared" si="33"/>
        <v>47.496018114361554</v>
      </c>
      <c r="J727" s="165">
        <v>47.496018114361554</v>
      </c>
      <c r="K727" s="169">
        <f t="shared" si="34"/>
        <v>0</v>
      </c>
      <c r="L727" s="165">
        <v>36</v>
      </c>
      <c r="M727" s="151">
        <v>0</v>
      </c>
      <c r="N727" s="151" t="str">
        <f t="shared" si="35"/>
        <v>No fit</v>
      </c>
      <c r="O727" s="174" t="s">
        <v>7243</v>
      </c>
      <c r="P727" s="174" t="s">
        <v>6051</v>
      </c>
    </row>
    <row r="728" spans="1:16" ht="64.05" customHeight="1" x14ac:dyDescent="0.3">
      <c r="A728" s="154" t="s">
        <v>7244</v>
      </c>
      <c r="B728" s="154" t="s">
        <v>5992</v>
      </c>
      <c r="C728" s="154" t="s">
        <v>114</v>
      </c>
      <c r="D728" s="154">
        <v>2024</v>
      </c>
      <c r="E728" s="154" t="s">
        <v>190</v>
      </c>
      <c r="F728" s="173" t="s">
        <v>7019</v>
      </c>
      <c r="G728" s="166">
        <f>(365*AVERAGE((FCCL!F51+'Forensic Inputs'!$G$91),(FCCL!G51+'Forensic Inputs'!$G$92)))</f>
        <v>2651092.2725</v>
      </c>
      <c r="H728" s="166">
        <f>((FCCL!G85*-1)+(FCCL!G31-FCCL!F31))</f>
        <v>54729.199000000001</v>
      </c>
      <c r="I728" s="164">
        <f t="shared" si="33"/>
        <v>48.440180396208611</v>
      </c>
      <c r="J728" s="164">
        <v>48.440180396208611</v>
      </c>
      <c r="K728" s="168">
        <f t="shared" si="34"/>
        <v>0</v>
      </c>
      <c r="L728" s="164">
        <v>36</v>
      </c>
      <c r="M728" s="154">
        <v>0</v>
      </c>
      <c r="N728" s="154" t="str">
        <f t="shared" si="35"/>
        <v>No fit</v>
      </c>
      <c r="O728" s="173" t="s">
        <v>7245</v>
      </c>
      <c r="P728" s="173" t="s">
        <v>6051</v>
      </c>
    </row>
    <row r="729" spans="1:16" ht="64.05" customHeight="1" x14ac:dyDescent="0.3">
      <c r="A729" s="151" t="s">
        <v>7246</v>
      </c>
      <c r="B729" s="151" t="s">
        <v>5992</v>
      </c>
      <c r="C729" s="151" t="s">
        <v>114</v>
      </c>
      <c r="D729" s="151">
        <v>2024</v>
      </c>
      <c r="E729" s="151" t="s">
        <v>190</v>
      </c>
      <c r="F729" s="174" t="s">
        <v>7022</v>
      </c>
      <c r="G729" s="167">
        <f>(365*(FCCL!G50+'Forensic Inputs'!$G$92))</f>
        <v>4110966.165</v>
      </c>
      <c r="H729" s="167">
        <f>(FCCL!G85*-1)</f>
        <v>54345.821000000004</v>
      </c>
      <c r="I729" s="165">
        <f t="shared" si="33"/>
        <v>75.64456823644268</v>
      </c>
      <c r="J729" s="165">
        <v>75.64456823644268</v>
      </c>
      <c r="K729" s="169">
        <f t="shared" si="34"/>
        <v>0</v>
      </c>
      <c r="L729" s="165">
        <v>36</v>
      </c>
      <c r="M729" s="151">
        <v>0</v>
      </c>
      <c r="N729" s="151" t="str">
        <f t="shared" si="35"/>
        <v>No fit</v>
      </c>
      <c r="O729" s="174" t="s">
        <v>7247</v>
      </c>
      <c r="P729" s="174" t="s">
        <v>6051</v>
      </c>
    </row>
    <row r="730" spans="1:16" ht="64.05" customHeight="1" x14ac:dyDescent="0.3">
      <c r="A730" s="154" t="s">
        <v>7248</v>
      </c>
      <c r="B730" s="154" t="s">
        <v>5992</v>
      </c>
      <c r="C730" s="154" t="s">
        <v>114</v>
      </c>
      <c r="D730" s="154">
        <v>2024</v>
      </c>
      <c r="E730" s="154" t="s">
        <v>190</v>
      </c>
      <c r="F730" s="173" t="s">
        <v>7025</v>
      </c>
      <c r="G730" s="166">
        <f>(365*(FCCL!G50+'Forensic Inputs'!$G$92))</f>
        <v>4110966.165</v>
      </c>
      <c r="H730" s="166">
        <f>FCCL!G84</f>
        <v>80026.225999999995</v>
      </c>
      <c r="I730" s="164">
        <f t="shared" si="33"/>
        <v>51.370236614681794</v>
      </c>
      <c r="J730" s="164">
        <v>51.370236614681794</v>
      </c>
      <c r="K730" s="168">
        <f t="shared" si="34"/>
        <v>0</v>
      </c>
      <c r="L730" s="164">
        <v>36</v>
      </c>
      <c r="M730" s="154">
        <v>0</v>
      </c>
      <c r="N730" s="154" t="str">
        <f t="shared" si="35"/>
        <v>No fit</v>
      </c>
      <c r="O730" s="173" t="s">
        <v>7249</v>
      </c>
      <c r="P730" s="173" t="s">
        <v>6051</v>
      </c>
    </row>
    <row r="731" spans="1:16" ht="64.05" customHeight="1" x14ac:dyDescent="0.3">
      <c r="A731" s="151" t="s">
        <v>7250</v>
      </c>
      <c r="B731" s="151" t="s">
        <v>5992</v>
      </c>
      <c r="C731" s="151" t="s">
        <v>114</v>
      </c>
      <c r="D731" s="151">
        <v>2024</v>
      </c>
      <c r="E731" s="151" t="s">
        <v>190</v>
      </c>
      <c r="F731" s="174" t="s">
        <v>7028</v>
      </c>
      <c r="G731" s="167">
        <f>(365*(FCCL!G50+'Forensic Inputs'!$G$92))</f>
        <v>4110966.165</v>
      </c>
      <c r="H731" s="167">
        <f>((FCCL!G85*-1)+(FCCL!G65-FCCL!F65))</f>
        <v>55817.148000000001</v>
      </c>
      <c r="I731" s="165">
        <f t="shared" si="33"/>
        <v>73.65059506444149</v>
      </c>
      <c r="J731" s="165">
        <v>73.65059506444149</v>
      </c>
      <c r="K731" s="169">
        <f t="shared" si="34"/>
        <v>0</v>
      </c>
      <c r="L731" s="165">
        <v>36</v>
      </c>
      <c r="M731" s="151">
        <v>0</v>
      </c>
      <c r="N731" s="151" t="str">
        <f t="shared" si="35"/>
        <v>No fit</v>
      </c>
      <c r="O731" s="174" t="s">
        <v>7251</v>
      </c>
      <c r="P731" s="174" t="s">
        <v>6051</v>
      </c>
    </row>
    <row r="732" spans="1:16" ht="64.05" customHeight="1" x14ac:dyDescent="0.3">
      <c r="A732" s="154" t="s">
        <v>7252</v>
      </c>
      <c r="B732" s="154" t="s">
        <v>5992</v>
      </c>
      <c r="C732" s="154" t="s">
        <v>114</v>
      </c>
      <c r="D732" s="154">
        <v>2024</v>
      </c>
      <c r="E732" s="154" t="s">
        <v>190</v>
      </c>
      <c r="F732" s="173" t="s">
        <v>7031</v>
      </c>
      <c r="G732" s="166">
        <f>(365*(FCCL!G50+'Forensic Inputs'!$G$92))</f>
        <v>4110966.165</v>
      </c>
      <c r="H732" s="166">
        <f>((FCCL!G85*-1)+(FCCL!G31-FCCL!F31))</f>
        <v>54729.199000000001</v>
      </c>
      <c r="I732" s="164">
        <f t="shared" si="33"/>
        <v>75.114678089843778</v>
      </c>
      <c r="J732" s="164">
        <v>75.114678089843778</v>
      </c>
      <c r="K732" s="168">
        <f t="shared" si="34"/>
        <v>0</v>
      </c>
      <c r="L732" s="164">
        <v>36</v>
      </c>
      <c r="M732" s="154">
        <v>0</v>
      </c>
      <c r="N732" s="154" t="str">
        <f t="shared" si="35"/>
        <v>No fit</v>
      </c>
      <c r="O732" s="173" t="s">
        <v>7253</v>
      </c>
      <c r="P732" s="173" t="s">
        <v>6051</v>
      </c>
    </row>
    <row r="733" spans="1:16" ht="64.05" customHeight="1" x14ac:dyDescent="0.3">
      <c r="A733" s="151" t="s">
        <v>7254</v>
      </c>
      <c r="B733" s="151" t="s">
        <v>5992</v>
      </c>
      <c r="C733" s="151" t="s">
        <v>114</v>
      </c>
      <c r="D733" s="151">
        <v>2024</v>
      </c>
      <c r="E733" s="151" t="s">
        <v>190</v>
      </c>
      <c r="F733" s="174" t="s">
        <v>7034</v>
      </c>
      <c r="G733" s="167">
        <f>(365*AVERAGE((FCCL!F50+'Forensic Inputs'!$G$91),(FCCL!G50+'Forensic Inputs'!$G$92)))</f>
        <v>3978824.6675000004</v>
      </c>
      <c r="H733" s="167">
        <f>(FCCL!G85*-1)</f>
        <v>54345.821000000004</v>
      </c>
      <c r="I733" s="165">
        <f t="shared" si="33"/>
        <v>73.213074975902941</v>
      </c>
      <c r="J733" s="165">
        <v>73.213074975902941</v>
      </c>
      <c r="K733" s="169">
        <f t="shared" si="34"/>
        <v>0</v>
      </c>
      <c r="L733" s="165">
        <v>36</v>
      </c>
      <c r="M733" s="151">
        <v>0</v>
      </c>
      <c r="N733" s="151" t="str">
        <f t="shared" si="35"/>
        <v>No fit</v>
      </c>
      <c r="O733" s="174" t="s">
        <v>7255</v>
      </c>
      <c r="P733" s="174" t="s">
        <v>6051</v>
      </c>
    </row>
    <row r="734" spans="1:16" ht="64.05" customHeight="1" x14ac:dyDescent="0.3">
      <c r="A734" s="154" t="s">
        <v>7256</v>
      </c>
      <c r="B734" s="154" t="s">
        <v>5992</v>
      </c>
      <c r="C734" s="154" t="s">
        <v>114</v>
      </c>
      <c r="D734" s="154">
        <v>2024</v>
      </c>
      <c r="E734" s="154" t="s">
        <v>190</v>
      </c>
      <c r="F734" s="173" t="s">
        <v>7037</v>
      </c>
      <c r="G734" s="166">
        <f>(365*AVERAGE((FCCL!F50+'Forensic Inputs'!$G$91),(FCCL!G50+'Forensic Inputs'!$G$92)))</f>
        <v>3978824.6675000004</v>
      </c>
      <c r="H734" s="166">
        <f>FCCL!G84</f>
        <v>80026.225999999995</v>
      </c>
      <c r="I734" s="164">
        <f t="shared" si="33"/>
        <v>49.719009209555885</v>
      </c>
      <c r="J734" s="164">
        <v>49.719009209555885</v>
      </c>
      <c r="K734" s="168">
        <f t="shared" si="34"/>
        <v>0</v>
      </c>
      <c r="L734" s="164">
        <v>36</v>
      </c>
      <c r="M734" s="154">
        <v>0</v>
      </c>
      <c r="N734" s="154" t="str">
        <f t="shared" si="35"/>
        <v>No fit</v>
      </c>
      <c r="O734" s="173" t="s">
        <v>7257</v>
      </c>
      <c r="P734" s="173" t="s">
        <v>6051</v>
      </c>
    </row>
    <row r="735" spans="1:16" ht="64.05" customHeight="1" x14ac:dyDescent="0.3">
      <c r="A735" s="151" t="s">
        <v>7258</v>
      </c>
      <c r="B735" s="151" t="s">
        <v>5992</v>
      </c>
      <c r="C735" s="151" t="s">
        <v>114</v>
      </c>
      <c r="D735" s="151">
        <v>2024</v>
      </c>
      <c r="E735" s="151" t="s">
        <v>190</v>
      </c>
      <c r="F735" s="174" t="s">
        <v>7040</v>
      </c>
      <c r="G735" s="167">
        <f>(365*AVERAGE((FCCL!F50+'Forensic Inputs'!$G$91),(FCCL!G50+'Forensic Inputs'!$G$92)))</f>
        <v>3978824.6675000004</v>
      </c>
      <c r="H735" s="167">
        <f>((FCCL!G85*-1)+(FCCL!G65-FCCL!F65))</f>
        <v>55817.148000000001</v>
      </c>
      <c r="I735" s="165">
        <f t="shared" si="33"/>
        <v>71.283195399019675</v>
      </c>
      <c r="J735" s="165">
        <v>71.283195399019675</v>
      </c>
      <c r="K735" s="169">
        <f t="shared" si="34"/>
        <v>0</v>
      </c>
      <c r="L735" s="165">
        <v>36</v>
      </c>
      <c r="M735" s="151">
        <v>0</v>
      </c>
      <c r="N735" s="151" t="str">
        <f t="shared" si="35"/>
        <v>No fit</v>
      </c>
      <c r="O735" s="174" t="s">
        <v>7259</v>
      </c>
      <c r="P735" s="174" t="s">
        <v>6051</v>
      </c>
    </row>
    <row r="736" spans="1:16" ht="64.05" customHeight="1" x14ac:dyDescent="0.3">
      <c r="A736" s="154" t="s">
        <v>7260</v>
      </c>
      <c r="B736" s="154" t="s">
        <v>5992</v>
      </c>
      <c r="C736" s="154" t="s">
        <v>114</v>
      </c>
      <c r="D736" s="154">
        <v>2024</v>
      </c>
      <c r="E736" s="154" t="s">
        <v>190</v>
      </c>
      <c r="F736" s="173" t="s">
        <v>7043</v>
      </c>
      <c r="G736" s="166">
        <f>(365*AVERAGE((FCCL!F50+'Forensic Inputs'!$G$91),(FCCL!G50+'Forensic Inputs'!$G$92)))</f>
        <v>3978824.6675000004</v>
      </c>
      <c r="H736" s="166">
        <f>((FCCL!G85*-1)+(FCCL!G31-FCCL!F31))</f>
        <v>54729.199000000001</v>
      </c>
      <c r="I736" s="164">
        <f t="shared" si="33"/>
        <v>72.700217437861653</v>
      </c>
      <c r="J736" s="164">
        <v>72.700217437861653</v>
      </c>
      <c r="K736" s="168">
        <f t="shared" si="34"/>
        <v>0</v>
      </c>
      <c r="L736" s="164">
        <v>36</v>
      </c>
      <c r="M736" s="154">
        <v>0</v>
      </c>
      <c r="N736" s="154" t="str">
        <f t="shared" si="35"/>
        <v>No fit</v>
      </c>
      <c r="O736" s="173" t="s">
        <v>7261</v>
      </c>
      <c r="P736" s="173" t="s">
        <v>6051</v>
      </c>
    </row>
    <row r="737" spans="1:16" ht="64.05" customHeight="1" x14ac:dyDescent="0.3">
      <c r="A737" s="151" t="s">
        <v>7262</v>
      </c>
      <c r="B737" s="151" t="s">
        <v>5992</v>
      </c>
      <c r="C737" s="151" t="s">
        <v>114</v>
      </c>
      <c r="D737" s="151">
        <v>2024</v>
      </c>
      <c r="E737" s="151" t="s">
        <v>190</v>
      </c>
      <c r="F737" s="174" t="s">
        <v>7046</v>
      </c>
      <c r="G737" s="167">
        <f>(90*FCCL!G51)</f>
        <v>245399.76</v>
      </c>
      <c r="H737" s="167">
        <f>'Forensic Inputs'!$G$115</f>
        <v>13155.636</v>
      </c>
      <c r="I737" s="165">
        <f t="shared" si="33"/>
        <v>18.653583908828125</v>
      </c>
      <c r="J737" s="165">
        <v>18.653583908828125</v>
      </c>
      <c r="K737" s="169">
        <f t="shared" si="34"/>
        <v>0</v>
      </c>
      <c r="L737" s="165">
        <v>36</v>
      </c>
      <c r="M737" s="151">
        <v>0</v>
      </c>
      <c r="N737" s="151" t="str">
        <f t="shared" si="35"/>
        <v>No fit</v>
      </c>
      <c r="O737" s="174" t="s">
        <v>7263</v>
      </c>
      <c r="P737" s="174" t="s">
        <v>7048</v>
      </c>
    </row>
    <row r="738" spans="1:16" ht="64.05" customHeight="1" x14ac:dyDescent="0.3">
      <c r="A738" s="154" t="s">
        <v>7264</v>
      </c>
      <c r="B738" s="154" t="s">
        <v>5992</v>
      </c>
      <c r="C738" s="154" t="s">
        <v>114</v>
      </c>
      <c r="D738" s="154">
        <v>2024</v>
      </c>
      <c r="E738" s="154" t="s">
        <v>190</v>
      </c>
      <c r="F738" s="173" t="s">
        <v>7050</v>
      </c>
      <c r="G738" s="166">
        <f>(90*FCCL!G50)</f>
        <v>549791.1</v>
      </c>
      <c r="H738" s="166">
        <f>'Forensic Inputs'!$G$115</f>
        <v>13155.636</v>
      </c>
      <c r="I738" s="164">
        <f t="shared" si="33"/>
        <v>41.791297661321728</v>
      </c>
      <c r="J738" s="164">
        <v>41.791297661321728</v>
      </c>
      <c r="K738" s="168">
        <f t="shared" si="34"/>
        <v>0</v>
      </c>
      <c r="L738" s="164">
        <v>36</v>
      </c>
      <c r="M738" s="154">
        <v>0</v>
      </c>
      <c r="N738" s="154" t="str">
        <f t="shared" si="35"/>
        <v>No fit</v>
      </c>
      <c r="O738" s="173" t="s">
        <v>7265</v>
      </c>
      <c r="P738" s="173" t="s">
        <v>7048</v>
      </c>
    </row>
    <row r="739" spans="1:16" ht="64.05" customHeight="1" x14ac:dyDescent="0.3">
      <c r="A739" s="151" t="s">
        <v>7266</v>
      </c>
      <c r="B739" s="151" t="s">
        <v>5992</v>
      </c>
      <c r="C739" s="151" t="s">
        <v>114</v>
      </c>
      <c r="D739" s="151">
        <v>2024</v>
      </c>
      <c r="E739" s="151" t="s">
        <v>190</v>
      </c>
      <c r="F739" s="174" t="s">
        <v>7053</v>
      </c>
      <c r="G739" s="167">
        <f>(90*(FCCL!G51+'Forensic Inputs'!$G$86))</f>
        <v>370707.84</v>
      </c>
      <c r="H739" s="167">
        <f>'Forensic Inputs'!$G$115</f>
        <v>13155.636</v>
      </c>
      <c r="I739" s="165">
        <f t="shared" si="33"/>
        <v>28.178633096871941</v>
      </c>
      <c r="J739" s="165">
        <v>28.178633096871941</v>
      </c>
      <c r="K739" s="169">
        <f t="shared" si="34"/>
        <v>0</v>
      </c>
      <c r="L739" s="165">
        <v>36</v>
      </c>
      <c r="M739" s="151">
        <v>0</v>
      </c>
      <c r="N739" s="151" t="str">
        <f t="shared" si="35"/>
        <v>No fit</v>
      </c>
      <c r="O739" s="174" t="s">
        <v>7267</v>
      </c>
      <c r="P739" s="174" t="s">
        <v>7048</v>
      </c>
    </row>
    <row r="740" spans="1:16" ht="64.05" customHeight="1" x14ac:dyDescent="0.3">
      <c r="A740" s="154" t="s">
        <v>7268</v>
      </c>
      <c r="B740" s="154" t="s">
        <v>5995</v>
      </c>
      <c r="C740" s="154" t="s">
        <v>114</v>
      </c>
      <c r="D740" s="154">
        <v>2025</v>
      </c>
      <c r="E740" s="154" t="s">
        <v>190</v>
      </c>
      <c r="F740" s="173" t="s">
        <v>5893</v>
      </c>
      <c r="G740" s="166">
        <f>365*AVERAGE(FCCL!G51,FCCL!H51)</f>
        <v>868846.91250000009</v>
      </c>
      <c r="H740" s="166">
        <f>-FCCL!H85</f>
        <v>57384.978000000003</v>
      </c>
      <c r="I740" s="164">
        <f t="shared" si="33"/>
        <v>15.14066821634052</v>
      </c>
      <c r="J740" s="164">
        <v>15.14066821634052</v>
      </c>
      <c r="K740" s="168">
        <f t="shared" si="34"/>
        <v>0</v>
      </c>
      <c r="L740" s="164">
        <v>30</v>
      </c>
      <c r="M740" s="154">
        <v>0</v>
      </c>
      <c r="N740" s="154" t="str">
        <f t="shared" si="35"/>
        <v>No fit</v>
      </c>
      <c r="O740" s="173" t="s">
        <v>6050</v>
      </c>
      <c r="P740" s="173" t="s">
        <v>6051</v>
      </c>
    </row>
    <row r="741" spans="1:16" ht="64.05" customHeight="1" x14ac:dyDescent="0.3">
      <c r="A741" s="151" t="s">
        <v>7269</v>
      </c>
      <c r="B741" s="151" t="s">
        <v>5995</v>
      </c>
      <c r="C741" s="151" t="s">
        <v>114</v>
      </c>
      <c r="D741" s="151">
        <v>2025</v>
      </c>
      <c r="E741" s="151" t="s">
        <v>190</v>
      </c>
      <c r="F741" s="174" t="s">
        <v>6115</v>
      </c>
      <c r="G741" s="167">
        <f>(365*FCCL!H51)</f>
        <v>742461.46500000008</v>
      </c>
      <c r="H741" s="167">
        <f>(FCCL!H85*-1)</f>
        <v>57384.978000000003</v>
      </c>
      <c r="I741" s="165">
        <f t="shared" si="33"/>
        <v>12.938254764164936</v>
      </c>
      <c r="J741" s="165">
        <v>12.938254764164936</v>
      </c>
      <c r="K741" s="169">
        <f t="shared" si="34"/>
        <v>0</v>
      </c>
      <c r="L741" s="165">
        <v>30</v>
      </c>
      <c r="M741" s="151">
        <v>0</v>
      </c>
      <c r="N741" s="151" t="str">
        <f t="shared" si="35"/>
        <v>No fit</v>
      </c>
      <c r="O741" s="174" t="s">
        <v>6934</v>
      </c>
      <c r="P741" s="174" t="s">
        <v>6051</v>
      </c>
    </row>
    <row r="742" spans="1:16" ht="64.05" customHeight="1" x14ac:dyDescent="0.3">
      <c r="A742" s="154" t="s">
        <v>7270</v>
      </c>
      <c r="B742" s="154" t="s">
        <v>5995</v>
      </c>
      <c r="C742" s="154" t="s">
        <v>114</v>
      </c>
      <c r="D742" s="154">
        <v>2025</v>
      </c>
      <c r="E742" s="154" t="s">
        <v>190</v>
      </c>
      <c r="F742" s="173" t="s">
        <v>6118</v>
      </c>
      <c r="G742" s="166">
        <f>(365*FCCL!H51)</f>
        <v>742461.46500000008</v>
      </c>
      <c r="H742" s="166">
        <f>FCCL!H84</f>
        <v>88956.327999999994</v>
      </c>
      <c r="I742" s="164">
        <f t="shared" si="33"/>
        <v>8.3463591820022085</v>
      </c>
      <c r="J742" s="164">
        <v>8.3463591820022085</v>
      </c>
      <c r="K742" s="168">
        <f t="shared" si="34"/>
        <v>0</v>
      </c>
      <c r="L742" s="164">
        <v>30</v>
      </c>
      <c r="M742" s="154">
        <v>0</v>
      </c>
      <c r="N742" s="154" t="str">
        <f t="shared" si="35"/>
        <v>No fit</v>
      </c>
      <c r="O742" s="173" t="s">
        <v>6936</v>
      </c>
      <c r="P742" s="173" t="s">
        <v>6051</v>
      </c>
    </row>
    <row r="743" spans="1:16" ht="64.05" customHeight="1" x14ac:dyDescent="0.3">
      <c r="A743" s="151" t="s">
        <v>7271</v>
      </c>
      <c r="B743" s="151" t="s">
        <v>5995</v>
      </c>
      <c r="C743" s="151" t="s">
        <v>114</v>
      </c>
      <c r="D743" s="151">
        <v>2025</v>
      </c>
      <c r="E743" s="151" t="s">
        <v>190</v>
      </c>
      <c r="F743" s="174" t="s">
        <v>6121</v>
      </c>
      <c r="G743" s="167">
        <f>(365*FCCL!H51)</f>
        <v>742461.46500000008</v>
      </c>
      <c r="H743" s="167">
        <f>((FCCL!H85*-1)+(FCCL!H65-FCCL!G65))</f>
        <v>60504.768000000004</v>
      </c>
      <c r="I743" s="165">
        <f t="shared" si="33"/>
        <v>12.271123244369766</v>
      </c>
      <c r="J743" s="165">
        <v>12.271123244369766</v>
      </c>
      <c r="K743" s="169">
        <f t="shared" si="34"/>
        <v>0</v>
      </c>
      <c r="L743" s="165">
        <v>30</v>
      </c>
      <c r="M743" s="151">
        <v>0</v>
      </c>
      <c r="N743" s="151" t="str">
        <f t="shared" si="35"/>
        <v>No fit</v>
      </c>
      <c r="O743" s="174" t="s">
        <v>6938</v>
      </c>
      <c r="P743" s="174" t="s">
        <v>6051</v>
      </c>
    </row>
    <row r="744" spans="1:16" ht="64.05" customHeight="1" x14ac:dyDescent="0.3">
      <c r="A744" s="154" t="s">
        <v>7272</v>
      </c>
      <c r="B744" s="154" t="s">
        <v>5995</v>
      </c>
      <c r="C744" s="154" t="s">
        <v>114</v>
      </c>
      <c r="D744" s="154">
        <v>2025</v>
      </c>
      <c r="E744" s="154" t="s">
        <v>190</v>
      </c>
      <c r="F744" s="173" t="s">
        <v>6124</v>
      </c>
      <c r="G744" s="166">
        <f>(365*FCCL!H51)</f>
        <v>742461.46500000008</v>
      </c>
      <c r="H744" s="166">
        <f>((FCCL!H85*-1)+(FCCL!H31-FCCL!G31))</f>
        <v>59226.89</v>
      </c>
      <c r="I744" s="164">
        <f t="shared" si="33"/>
        <v>12.535884713852106</v>
      </c>
      <c r="J744" s="164">
        <v>12.535884713852106</v>
      </c>
      <c r="K744" s="168">
        <f t="shared" si="34"/>
        <v>0</v>
      </c>
      <c r="L744" s="164">
        <v>30</v>
      </c>
      <c r="M744" s="154">
        <v>0</v>
      </c>
      <c r="N744" s="154" t="str">
        <f t="shared" si="35"/>
        <v>No fit</v>
      </c>
      <c r="O744" s="173" t="s">
        <v>6940</v>
      </c>
      <c r="P744" s="173" t="s">
        <v>6051</v>
      </c>
    </row>
    <row r="745" spans="1:16" ht="64.05" customHeight="1" x14ac:dyDescent="0.3">
      <c r="A745" s="151" t="s">
        <v>7273</v>
      </c>
      <c r="B745" s="151" t="s">
        <v>5995</v>
      </c>
      <c r="C745" s="151" t="s">
        <v>114</v>
      </c>
      <c r="D745" s="151">
        <v>2025</v>
      </c>
      <c r="E745" s="151" t="s">
        <v>190</v>
      </c>
      <c r="F745" s="174" t="s">
        <v>6127</v>
      </c>
      <c r="G745" s="167">
        <f>(365*AVERAGE(FCCL!G51,FCCL!H51))</f>
        <v>868846.91250000009</v>
      </c>
      <c r="H745" s="167">
        <f>(FCCL!H85*-1)</f>
        <v>57384.978000000003</v>
      </c>
      <c r="I745" s="165">
        <f t="shared" si="33"/>
        <v>15.14066821634052</v>
      </c>
      <c r="J745" s="165">
        <v>15.14066821634052</v>
      </c>
      <c r="K745" s="169">
        <f t="shared" si="34"/>
        <v>0</v>
      </c>
      <c r="L745" s="165">
        <v>30</v>
      </c>
      <c r="M745" s="151">
        <v>0</v>
      </c>
      <c r="N745" s="151" t="str">
        <f t="shared" si="35"/>
        <v>No fit</v>
      </c>
      <c r="O745" s="174" t="s">
        <v>6942</v>
      </c>
      <c r="P745" s="174" t="s">
        <v>6051</v>
      </c>
    </row>
    <row r="746" spans="1:16" ht="64.05" customHeight="1" x14ac:dyDescent="0.3">
      <c r="A746" s="154" t="s">
        <v>7274</v>
      </c>
      <c r="B746" s="154" t="s">
        <v>5995</v>
      </c>
      <c r="C746" s="154" t="s">
        <v>114</v>
      </c>
      <c r="D746" s="154">
        <v>2025</v>
      </c>
      <c r="E746" s="154" t="s">
        <v>190</v>
      </c>
      <c r="F746" s="173" t="s">
        <v>6130</v>
      </c>
      <c r="G746" s="166">
        <f>(365*AVERAGE(FCCL!G51,FCCL!H51))</f>
        <v>868846.91250000009</v>
      </c>
      <c r="H746" s="166">
        <f>FCCL!H84</f>
        <v>88956.327999999994</v>
      </c>
      <c r="I746" s="164">
        <f t="shared" si="33"/>
        <v>9.7671175512100739</v>
      </c>
      <c r="J746" s="164">
        <v>9.7671175512100739</v>
      </c>
      <c r="K746" s="168">
        <f t="shared" si="34"/>
        <v>0</v>
      </c>
      <c r="L746" s="164">
        <v>30</v>
      </c>
      <c r="M746" s="154">
        <v>0</v>
      </c>
      <c r="N746" s="154" t="str">
        <f t="shared" si="35"/>
        <v>No fit</v>
      </c>
      <c r="O746" s="173" t="s">
        <v>6944</v>
      </c>
      <c r="P746" s="173" t="s">
        <v>6051</v>
      </c>
    </row>
    <row r="747" spans="1:16" ht="64.05" customHeight="1" x14ac:dyDescent="0.3">
      <c r="A747" s="151" t="s">
        <v>7275</v>
      </c>
      <c r="B747" s="151" t="s">
        <v>5995</v>
      </c>
      <c r="C747" s="151" t="s">
        <v>114</v>
      </c>
      <c r="D747" s="151">
        <v>2025</v>
      </c>
      <c r="E747" s="151" t="s">
        <v>190</v>
      </c>
      <c r="F747" s="174" t="s">
        <v>6133</v>
      </c>
      <c r="G747" s="167">
        <f>(365*AVERAGE(FCCL!G51,FCCL!H51))</f>
        <v>868846.91250000009</v>
      </c>
      <c r="H747" s="167">
        <f>((FCCL!H85*-1)+(FCCL!H65-FCCL!G65))</f>
        <v>60504.768000000004</v>
      </c>
      <c r="I747" s="165">
        <f t="shared" si="33"/>
        <v>14.359974283349041</v>
      </c>
      <c r="J747" s="165">
        <v>14.359974283349041</v>
      </c>
      <c r="K747" s="169">
        <f t="shared" si="34"/>
        <v>0</v>
      </c>
      <c r="L747" s="165">
        <v>30</v>
      </c>
      <c r="M747" s="151">
        <v>0</v>
      </c>
      <c r="N747" s="151" t="str">
        <f t="shared" si="35"/>
        <v>No fit</v>
      </c>
      <c r="O747" s="174" t="s">
        <v>6946</v>
      </c>
      <c r="P747" s="174" t="s">
        <v>6051</v>
      </c>
    </row>
    <row r="748" spans="1:16" ht="64.05" customHeight="1" x14ac:dyDescent="0.3">
      <c r="A748" s="154" t="s">
        <v>7276</v>
      </c>
      <c r="B748" s="154" t="s">
        <v>5995</v>
      </c>
      <c r="C748" s="154" t="s">
        <v>114</v>
      </c>
      <c r="D748" s="154">
        <v>2025</v>
      </c>
      <c r="E748" s="154" t="s">
        <v>190</v>
      </c>
      <c r="F748" s="173" t="s">
        <v>6136</v>
      </c>
      <c r="G748" s="166">
        <f>(365*AVERAGE(FCCL!G51,FCCL!H51))</f>
        <v>868846.91250000009</v>
      </c>
      <c r="H748" s="166">
        <f>((FCCL!H85*-1)+(FCCL!H31-FCCL!G31))</f>
        <v>59226.89</v>
      </c>
      <c r="I748" s="164">
        <f t="shared" si="33"/>
        <v>14.669804754225659</v>
      </c>
      <c r="J748" s="164">
        <v>14.669804754225659</v>
      </c>
      <c r="K748" s="168">
        <f t="shared" si="34"/>
        <v>0</v>
      </c>
      <c r="L748" s="164">
        <v>30</v>
      </c>
      <c r="M748" s="154">
        <v>0</v>
      </c>
      <c r="N748" s="154" t="str">
        <f t="shared" si="35"/>
        <v>No fit</v>
      </c>
      <c r="O748" s="173" t="s">
        <v>6948</v>
      </c>
      <c r="P748" s="173" t="s">
        <v>6051</v>
      </c>
    </row>
    <row r="749" spans="1:16" ht="64.05" customHeight="1" x14ac:dyDescent="0.3">
      <c r="A749" s="151" t="s">
        <v>7277</v>
      </c>
      <c r="B749" s="151" t="s">
        <v>5995</v>
      </c>
      <c r="C749" s="151" t="s">
        <v>114</v>
      </c>
      <c r="D749" s="151">
        <v>2025</v>
      </c>
      <c r="E749" s="151" t="s">
        <v>190</v>
      </c>
      <c r="F749" s="174" t="s">
        <v>6139</v>
      </c>
      <c r="G749" s="167">
        <f>(365*FCCL!H50)</f>
        <v>1436095.42</v>
      </c>
      <c r="H749" s="167">
        <f>(FCCL!H85*-1)</f>
        <v>57384.978000000003</v>
      </c>
      <c r="I749" s="165">
        <f t="shared" si="33"/>
        <v>25.02563336349105</v>
      </c>
      <c r="J749" s="165">
        <v>25.02563336349105</v>
      </c>
      <c r="K749" s="169">
        <f t="shared" si="34"/>
        <v>0</v>
      </c>
      <c r="L749" s="165">
        <v>30</v>
      </c>
      <c r="M749" s="151">
        <v>0</v>
      </c>
      <c r="N749" s="151" t="str">
        <f t="shared" si="35"/>
        <v>No fit</v>
      </c>
      <c r="O749" s="174" t="s">
        <v>6950</v>
      </c>
      <c r="P749" s="174" t="s">
        <v>6051</v>
      </c>
    </row>
    <row r="750" spans="1:16" ht="64.05" customHeight="1" x14ac:dyDescent="0.3">
      <c r="A750" s="154" t="s">
        <v>7278</v>
      </c>
      <c r="B750" s="154" t="s">
        <v>5995</v>
      </c>
      <c r="C750" s="154" t="s">
        <v>114</v>
      </c>
      <c r="D750" s="154">
        <v>2025</v>
      </c>
      <c r="E750" s="154" t="s">
        <v>190</v>
      </c>
      <c r="F750" s="173" t="s">
        <v>6142</v>
      </c>
      <c r="G750" s="166">
        <f>(365*FCCL!H50)</f>
        <v>1436095.42</v>
      </c>
      <c r="H750" s="166">
        <f>FCCL!H84</f>
        <v>88956.327999999994</v>
      </c>
      <c r="I750" s="164">
        <f t="shared" si="33"/>
        <v>16.143825316170876</v>
      </c>
      <c r="J750" s="164">
        <v>16.143825316170876</v>
      </c>
      <c r="K750" s="168">
        <f t="shared" si="34"/>
        <v>0</v>
      </c>
      <c r="L750" s="164">
        <v>30</v>
      </c>
      <c r="M750" s="154">
        <v>0</v>
      </c>
      <c r="N750" s="154" t="str">
        <f t="shared" si="35"/>
        <v>No fit</v>
      </c>
      <c r="O750" s="173" t="s">
        <v>6952</v>
      </c>
      <c r="P750" s="173" t="s">
        <v>6051</v>
      </c>
    </row>
    <row r="751" spans="1:16" ht="64.05" customHeight="1" x14ac:dyDescent="0.3">
      <c r="A751" s="151" t="s">
        <v>7279</v>
      </c>
      <c r="B751" s="151" t="s">
        <v>5995</v>
      </c>
      <c r="C751" s="151" t="s">
        <v>114</v>
      </c>
      <c r="D751" s="151">
        <v>2025</v>
      </c>
      <c r="E751" s="151" t="s">
        <v>190</v>
      </c>
      <c r="F751" s="174" t="s">
        <v>6145</v>
      </c>
      <c r="G751" s="167">
        <f>(365*FCCL!H50)</f>
        <v>1436095.42</v>
      </c>
      <c r="H751" s="167">
        <f>((FCCL!H85*-1)+(FCCL!H65-FCCL!G65))</f>
        <v>60504.768000000004</v>
      </c>
      <c r="I751" s="165">
        <f t="shared" si="33"/>
        <v>23.735243807562401</v>
      </c>
      <c r="J751" s="165">
        <v>23.735243807562401</v>
      </c>
      <c r="K751" s="169">
        <f t="shared" si="34"/>
        <v>0</v>
      </c>
      <c r="L751" s="165">
        <v>30</v>
      </c>
      <c r="M751" s="151">
        <v>0</v>
      </c>
      <c r="N751" s="151" t="str">
        <f t="shared" si="35"/>
        <v>No fit</v>
      </c>
      <c r="O751" s="174" t="s">
        <v>6954</v>
      </c>
      <c r="P751" s="174" t="s">
        <v>6051</v>
      </c>
    </row>
    <row r="752" spans="1:16" ht="64.05" customHeight="1" x14ac:dyDescent="0.3">
      <c r="A752" s="154" t="s">
        <v>7280</v>
      </c>
      <c r="B752" s="154" t="s">
        <v>5995</v>
      </c>
      <c r="C752" s="154" t="s">
        <v>114</v>
      </c>
      <c r="D752" s="154">
        <v>2025</v>
      </c>
      <c r="E752" s="154" t="s">
        <v>190</v>
      </c>
      <c r="F752" s="173" t="s">
        <v>6148</v>
      </c>
      <c r="G752" s="166">
        <f>(365*FCCL!H50)</f>
        <v>1436095.42</v>
      </c>
      <c r="H752" s="166">
        <f>((FCCL!H85*-1)+(FCCL!H31-FCCL!G31))</f>
        <v>59226.89</v>
      </c>
      <c r="I752" s="164">
        <f t="shared" si="33"/>
        <v>24.247354875462818</v>
      </c>
      <c r="J752" s="164">
        <v>24.247354875462818</v>
      </c>
      <c r="K752" s="168">
        <f t="shared" si="34"/>
        <v>0</v>
      </c>
      <c r="L752" s="164">
        <v>30</v>
      </c>
      <c r="M752" s="154">
        <v>0</v>
      </c>
      <c r="N752" s="154" t="str">
        <f t="shared" si="35"/>
        <v>No fit</v>
      </c>
      <c r="O752" s="173" t="s">
        <v>6956</v>
      </c>
      <c r="P752" s="173" t="s">
        <v>6051</v>
      </c>
    </row>
    <row r="753" spans="1:16" ht="64.05" customHeight="1" x14ac:dyDescent="0.3">
      <c r="A753" s="151" t="s">
        <v>7281</v>
      </c>
      <c r="B753" s="151" t="s">
        <v>5995</v>
      </c>
      <c r="C753" s="151" t="s">
        <v>114</v>
      </c>
      <c r="D753" s="151">
        <v>2025</v>
      </c>
      <c r="E753" s="151" t="s">
        <v>190</v>
      </c>
      <c r="F753" s="174" t="s">
        <v>5780</v>
      </c>
      <c r="G753" s="167">
        <f>(365*AVERAGE(FCCL!G50,FCCL!H50))</f>
        <v>1832901.8849999998</v>
      </c>
      <c r="H753" s="167">
        <f>(FCCL!H85*-1)</f>
        <v>57384.978000000003</v>
      </c>
      <c r="I753" s="165">
        <f t="shared" si="33"/>
        <v>31.94044763770755</v>
      </c>
      <c r="J753" s="165">
        <v>31.94044763770755</v>
      </c>
      <c r="K753" s="169">
        <f t="shared" si="34"/>
        <v>0</v>
      </c>
      <c r="L753" s="165">
        <v>30</v>
      </c>
      <c r="M753" s="151">
        <v>0</v>
      </c>
      <c r="N753" s="151" t="str">
        <f t="shared" si="35"/>
        <v>No fit</v>
      </c>
      <c r="O753" s="174" t="s">
        <v>6958</v>
      </c>
      <c r="P753" s="174" t="s">
        <v>6051</v>
      </c>
    </row>
    <row r="754" spans="1:16" ht="64.05" customHeight="1" x14ac:dyDescent="0.3">
      <c r="A754" s="154" t="s">
        <v>7282</v>
      </c>
      <c r="B754" s="154" t="s">
        <v>5995</v>
      </c>
      <c r="C754" s="154" t="s">
        <v>114</v>
      </c>
      <c r="D754" s="154">
        <v>2025</v>
      </c>
      <c r="E754" s="154" t="s">
        <v>190</v>
      </c>
      <c r="F754" s="173" t="s">
        <v>6153</v>
      </c>
      <c r="G754" s="166">
        <f>(365*AVERAGE(FCCL!G50,FCCL!H50))</f>
        <v>1832901.8849999998</v>
      </c>
      <c r="H754" s="166">
        <f>FCCL!H84</f>
        <v>88956.327999999994</v>
      </c>
      <c r="I754" s="164">
        <f t="shared" si="33"/>
        <v>20.604513767699583</v>
      </c>
      <c r="J754" s="164">
        <v>20.604513767699583</v>
      </c>
      <c r="K754" s="168">
        <f t="shared" si="34"/>
        <v>0</v>
      </c>
      <c r="L754" s="164">
        <v>30</v>
      </c>
      <c r="M754" s="154">
        <v>0</v>
      </c>
      <c r="N754" s="154" t="str">
        <f t="shared" si="35"/>
        <v>No fit</v>
      </c>
      <c r="O754" s="173" t="s">
        <v>6960</v>
      </c>
      <c r="P754" s="173" t="s">
        <v>6051</v>
      </c>
    </row>
    <row r="755" spans="1:16" ht="64.05" customHeight="1" x14ac:dyDescent="0.3">
      <c r="A755" s="151" t="s">
        <v>7283</v>
      </c>
      <c r="B755" s="151" t="s">
        <v>5995</v>
      </c>
      <c r="C755" s="151" t="s">
        <v>114</v>
      </c>
      <c r="D755" s="151">
        <v>2025</v>
      </c>
      <c r="E755" s="151" t="s">
        <v>190</v>
      </c>
      <c r="F755" s="174" t="s">
        <v>6156</v>
      </c>
      <c r="G755" s="167">
        <f>(365*AVERAGE(FCCL!G50,FCCL!H50))</f>
        <v>1832901.8849999998</v>
      </c>
      <c r="H755" s="167">
        <f>((FCCL!H85*-1)+(FCCL!H65-FCCL!G65))</f>
        <v>60504.768000000004</v>
      </c>
      <c r="I755" s="165">
        <f t="shared" si="33"/>
        <v>30.293511496482388</v>
      </c>
      <c r="J755" s="165">
        <v>30.293511496482388</v>
      </c>
      <c r="K755" s="169">
        <f t="shared" si="34"/>
        <v>0</v>
      </c>
      <c r="L755" s="165">
        <v>30</v>
      </c>
      <c r="M755" s="151">
        <v>0</v>
      </c>
      <c r="N755" s="151" t="str">
        <f t="shared" si="35"/>
        <v>Numeric fit</v>
      </c>
      <c r="O755" s="174" t="s">
        <v>6962</v>
      </c>
      <c r="P755" s="174" t="s">
        <v>6051</v>
      </c>
    </row>
    <row r="756" spans="1:16" ht="64.05" customHeight="1" x14ac:dyDescent="0.3">
      <c r="A756" s="154" t="s">
        <v>7284</v>
      </c>
      <c r="B756" s="154" t="s">
        <v>5995</v>
      </c>
      <c r="C756" s="154" t="s">
        <v>114</v>
      </c>
      <c r="D756" s="154">
        <v>2025</v>
      </c>
      <c r="E756" s="154" t="s">
        <v>190</v>
      </c>
      <c r="F756" s="173" t="s">
        <v>6159</v>
      </c>
      <c r="G756" s="166">
        <f>(365*AVERAGE(FCCL!G50,FCCL!H50))</f>
        <v>1832901.8849999998</v>
      </c>
      <c r="H756" s="166">
        <f>((FCCL!H85*-1)+(FCCL!H31-FCCL!G31))</f>
        <v>59226.89</v>
      </c>
      <c r="I756" s="164">
        <f t="shared" si="33"/>
        <v>30.947123595380404</v>
      </c>
      <c r="J756" s="164">
        <v>30.947123595380404</v>
      </c>
      <c r="K756" s="168">
        <f t="shared" si="34"/>
        <v>0</v>
      </c>
      <c r="L756" s="164">
        <v>30</v>
      </c>
      <c r="M756" s="154">
        <v>0</v>
      </c>
      <c r="N756" s="154" t="str">
        <f t="shared" si="35"/>
        <v>No fit</v>
      </c>
      <c r="O756" s="173" t="s">
        <v>6964</v>
      </c>
      <c r="P756" s="173" t="s">
        <v>6051</v>
      </c>
    </row>
    <row r="757" spans="1:16" ht="64.05" customHeight="1" x14ac:dyDescent="0.3">
      <c r="A757" s="151" t="s">
        <v>7285</v>
      </c>
      <c r="B757" s="151" t="s">
        <v>5995</v>
      </c>
      <c r="C757" s="151" t="s">
        <v>114</v>
      </c>
      <c r="D757" s="151">
        <v>2025</v>
      </c>
      <c r="E757" s="151" t="s">
        <v>190</v>
      </c>
      <c r="F757" s="174" t="s">
        <v>6162</v>
      </c>
      <c r="G757" s="167">
        <f>(365*AVERAGE((((FCCL!G61-FCCL!G54)-FCCL!G55)-FCCL!G56),(((FCCL!H61-FCCL!H54)-FCCL!H55)-FCCL!H56)))</f>
        <v>5044326.28</v>
      </c>
      <c r="H757" s="167">
        <f>(FCCL!H85*-1)</f>
        <v>57384.978000000003</v>
      </c>
      <c r="I757" s="165">
        <f t="shared" si="33"/>
        <v>87.903253705176994</v>
      </c>
      <c r="J757" s="165">
        <v>87.903253705176994</v>
      </c>
      <c r="K757" s="169">
        <f t="shared" si="34"/>
        <v>0</v>
      </c>
      <c r="L757" s="165">
        <v>30</v>
      </c>
      <c r="M757" s="151">
        <v>0</v>
      </c>
      <c r="N757" s="151" t="str">
        <f t="shared" si="35"/>
        <v>No fit</v>
      </c>
      <c r="O757" s="174" t="s">
        <v>6966</v>
      </c>
      <c r="P757" s="174" t="s">
        <v>6051</v>
      </c>
    </row>
    <row r="758" spans="1:16" ht="64.05" customHeight="1" x14ac:dyDescent="0.3">
      <c r="A758" s="154" t="s">
        <v>7286</v>
      </c>
      <c r="B758" s="154" t="s">
        <v>5995</v>
      </c>
      <c r="C758" s="154" t="s">
        <v>114</v>
      </c>
      <c r="D758" s="154">
        <v>2025</v>
      </c>
      <c r="E758" s="154" t="s">
        <v>190</v>
      </c>
      <c r="F758" s="173" t="s">
        <v>6165</v>
      </c>
      <c r="G758" s="166">
        <f>(365*AVERAGE((((FCCL!G61-FCCL!G54)-FCCL!G55)-FCCL!G56),(((FCCL!H61-FCCL!H54)-FCCL!H55)-FCCL!H56)))</f>
        <v>5044326.28</v>
      </c>
      <c r="H758" s="166">
        <f>FCCL!H84</f>
        <v>88956.327999999994</v>
      </c>
      <c r="I758" s="164">
        <f t="shared" si="33"/>
        <v>56.705648641432241</v>
      </c>
      <c r="J758" s="164">
        <v>56.705648641432241</v>
      </c>
      <c r="K758" s="168">
        <f t="shared" si="34"/>
        <v>0</v>
      </c>
      <c r="L758" s="164">
        <v>30</v>
      </c>
      <c r="M758" s="154">
        <v>0</v>
      </c>
      <c r="N758" s="154" t="str">
        <f t="shared" si="35"/>
        <v>No fit</v>
      </c>
      <c r="O758" s="173" t="s">
        <v>6968</v>
      </c>
      <c r="P758" s="173" t="s">
        <v>6051</v>
      </c>
    </row>
    <row r="759" spans="1:16" ht="64.05" customHeight="1" x14ac:dyDescent="0.3">
      <c r="A759" s="151" t="s">
        <v>7287</v>
      </c>
      <c r="B759" s="151" t="s">
        <v>5995</v>
      </c>
      <c r="C759" s="151" t="s">
        <v>114</v>
      </c>
      <c r="D759" s="151">
        <v>2025</v>
      </c>
      <c r="E759" s="151" t="s">
        <v>190</v>
      </c>
      <c r="F759" s="174" t="s">
        <v>6168</v>
      </c>
      <c r="G759" s="167">
        <f>(365*AVERAGE((((FCCL!G61-FCCL!G54)-FCCL!G55)-FCCL!G56),(((FCCL!H61-FCCL!H54)-FCCL!H55)-FCCL!H56)))</f>
        <v>5044326.28</v>
      </c>
      <c r="H759" s="167">
        <f>((FCCL!H85*-1)+(FCCL!H65-FCCL!G65))</f>
        <v>60504.768000000004</v>
      </c>
      <c r="I759" s="165">
        <f t="shared" si="33"/>
        <v>83.370723444473001</v>
      </c>
      <c r="J759" s="165">
        <v>83.370723444473001</v>
      </c>
      <c r="K759" s="169">
        <f t="shared" si="34"/>
        <v>0</v>
      </c>
      <c r="L759" s="165">
        <v>30</v>
      </c>
      <c r="M759" s="151">
        <v>0</v>
      </c>
      <c r="N759" s="151" t="str">
        <f t="shared" si="35"/>
        <v>No fit</v>
      </c>
      <c r="O759" s="174" t="s">
        <v>6970</v>
      </c>
      <c r="P759" s="174" t="s">
        <v>6051</v>
      </c>
    </row>
    <row r="760" spans="1:16" ht="64.05" customHeight="1" x14ac:dyDescent="0.3">
      <c r="A760" s="154" t="s">
        <v>7288</v>
      </c>
      <c r="B760" s="154" t="s">
        <v>5995</v>
      </c>
      <c r="C760" s="154" t="s">
        <v>114</v>
      </c>
      <c r="D760" s="154">
        <v>2025</v>
      </c>
      <c r="E760" s="154" t="s">
        <v>190</v>
      </c>
      <c r="F760" s="173" t="s">
        <v>6171</v>
      </c>
      <c r="G760" s="166">
        <f>(365*AVERAGE((((FCCL!G61-FCCL!G54)-FCCL!G55)-FCCL!G56),(((FCCL!H61-FCCL!H54)-FCCL!H55)-FCCL!H56)))</f>
        <v>5044326.28</v>
      </c>
      <c r="H760" s="166">
        <f>((FCCL!H85*-1)+(FCCL!H31-FCCL!G31))</f>
        <v>59226.89</v>
      </c>
      <c r="I760" s="164">
        <f t="shared" si="33"/>
        <v>85.169528232868558</v>
      </c>
      <c r="J760" s="164">
        <v>85.169528232868558</v>
      </c>
      <c r="K760" s="168">
        <f t="shared" si="34"/>
        <v>0</v>
      </c>
      <c r="L760" s="164">
        <v>30</v>
      </c>
      <c r="M760" s="154">
        <v>0</v>
      </c>
      <c r="N760" s="154" t="str">
        <f t="shared" si="35"/>
        <v>No fit</v>
      </c>
      <c r="O760" s="173" t="s">
        <v>6972</v>
      </c>
      <c r="P760" s="173" t="s">
        <v>6051</v>
      </c>
    </row>
    <row r="761" spans="1:16" ht="64.05" customHeight="1" x14ac:dyDescent="0.3">
      <c r="A761" s="151" t="s">
        <v>7289</v>
      </c>
      <c r="B761" s="151" t="s">
        <v>5995</v>
      </c>
      <c r="C761" s="151" t="s">
        <v>114</v>
      </c>
      <c r="D761" s="151">
        <v>2025</v>
      </c>
      <c r="E761" s="151" t="s">
        <v>190</v>
      </c>
      <c r="F761" s="174" t="s">
        <v>6974</v>
      </c>
      <c r="G761" s="167">
        <f>(365*(FCCL!H51+'Forensic Inputs'!$G$87))</f>
        <v>917623.14</v>
      </c>
      <c r="H761" s="167">
        <f>(FCCL!H85*-1)</f>
        <v>57384.978000000003</v>
      </c>
      <c r="I761" s="165">
        <f t="shared" si="33"/>
        <v>15.990650723957756</v>
      </c>
      <c r="J761" s="165">
        <v>15.990650723957756</v>
      </c>
      <c r="K761" s="169">
        <f t="shared" si="34"/>
        <v>0</v>
      </c>
      <c r="L761" s="165">
        <v>30</v>
      </c>
      <c r="M761" s="151">
        <v>0</v>
      </c>
      <c r="N761" s="151" t="str">
        <f t="shared" si="35"/>
        <v>No fit</v>
      </c>
      <c r="O761" s="174" t="s">
        <v>7215</v>
      </c>
      <c r="P761" s="174" t="s">
        <v>6051</v>
      </c>
    </row>
    <row r="762" spans="1:16" ht="64.05" customHeight="1" x14ac:dyDescent="0.3">
      <c r="A762" s="154" t="s">
        <v>7290</v>
      </c>
      <c r="B762" s="154" t="s">
        <v>5995</v>
      </c>
      <c r="C762" s="154" t="s">
        <v>114</v>
      </c>
      <c r="D762" s="154">
        <v>2025</v>
      </c>
      <c r="E762" s="154" t="s">
        <v>190</v>
      </c>
      <c r="F762" s="173" t="s">
        <v>6977</v>
      </c>
      <c r="G762" s="166">
        <f>(365*(FCCL!H51+'Forensic Inputs'!$G$87))</f>
        <v>917623.14</v>
      </c>
      <c r="H762" s="166">
        <f>FCCL!H84</f>
        <v>88956.327999999994</v>
      </c>
      <c r="I762" s="164">
        <f t="shared" si="33"/>
        <v>10.315434108296378</v>
      </c>
      <c r="J762" s="164">
        <v>10.315434108296378</v>
      </c>
      <c r="K762" s="168">
        <f t="shared" si="34"/>
        <v>0</v>
      </c>
      <c r="L762" s="164">
        <v>30</v>
      </c>
      <c r="M762" s="154">
        <v>0</v>
      </c>
      <c r="N762" s="154" t="str">
        <f t="shared" si="35"/>
        <v>No fit</v>
      </c>
      <c r="O762" s="173" t="s">
        <v>7217</v>
      </c>
      <c r="P762" s="173" t="s">
        <v>6051</v>
      </c>
    </row>
    <row r="763" spans="1:16" ht="64.05" customHeight="1" x14ac:dyDescent="0.3">
      <c r="A763" s="151" t="s">
        <v>7291</v>
      </c>
      <c r="B763" s="151" t="s">
        <v>5995</v>
      </c>
      <c r="C763" s="151" t="s">
        <v>114</v>
      </c>
      <c r="D763" s="151">
        <v>2025</v>
      </c>
      <c r="E763" s="151" t="s">
        <v>190</v>
      </c>
      <c r="F763" s="174" t="s">
        <v>6980</v>
      </c>
      <c r="G763" s="167">
        <f>(365*(FCCL!H51+'Forensic Inputs'!$G$87))</f>
        <v>917623.14</v>
      </c>
      <c r="H763" s="167">
        <f>((FCCL!H85*-1)+(FCCL!H65-FCCL!G65))</f>
        <v>60504.768000000004</v>
      </c>
      <c r="I763" s="165">
        <f t="shared" si="33"/>
        <v>15.166129386695607</v>
      </c>
      <c r="J763" s="165">
        <v>15.166129386695607</v>
      </c>
      <c r="K763" s="169">
        <f t="shared" si="34"/>
        <v>0</v>
      </c>
      <c r="L763" s="165">
        <v>30</v>
      </c>
      <c r="M763" s="151">
        <v>0</v>
      </c>
      <c r="N763" s="151" t="str">
        <f t="shared" si="35"/>
        <v>No fit</v>
      </c>
      <c r="O763" s="174" t="s">
        <v>7219</v>
      </c>
      <c r="P763" s="174" t="s">
        <v>6051</v>
      </c>
    </row>
    <row r="764" spans="1:16" ht="64.05" customHeight="1" x14ac:dyDescent="0.3">
      <c r="A764" s="154" t="s">
        <v>7292</v>
      </c>
      <c r="B764" s="154" t="s">
        <v>5995</v>
      </c>
      <c r="C764" s="154" t="s">
        <v>114</v>
      </c>
      <c r="D764" s="154">
        <v>2025</v>
      </c>
      <c r="E764" s="154" t="s">
        <v>190</v>
      </c>
      <c r="F764" s="173" t="s">
        <v>6983</v>
      </c>
      <c r="G764" s="166">
        <f>(365*(FCCL!H51+'Forensic Inputs'!$G$87))</f>
        <v>917623.14</v>
      </c>
      <c r="H764" s="166">
        <f>((FCCL!H85*-1)+(FCCL!H31-FCCL!G31))</f>
        <v>59226.89</v>
      </c>
      <c r="I764" s="164">
        <f t="shared" si="33"/>
        <v>15.493353441316943</v>
      </c>
      <c r="J764" s="164">
        <v>15.493353441316943</v>
      </c>
      <c r="K764" s="168">
        <f t="shared" si="34"/>
        <v>0</v>
      </c>
      <c r="L764" s="164">
        <v>30</v>
      </c>
      <c r="M764" s="154">
        <v>0</v>
      </c>
      <c r="N764" s="154" t="str">
        <f t="shared" si="35"/>
        <v>No fit</v>
      </c>
      <c r="O764" s="173" t="s">
        <v>7221</v>
      </c>
      <c r="P764" s="173" t="s">
        <v>6051</v>
      </c>
    </row>
    <row r="765" spans="1:16" ht="64.05" customHeight="1" x14ac:dyDescent="0.3">
      <c r="A765" s="151" t="s">
        <v>7293</v>
      </c>
      <c r="B765" s="151" t="s">
        <v>5995</v>
      </c>
      <c r="C765" s="151" t="s">
        <v>114</v>
      </c>
      <c r="D765" s="151">
        <v>2025</v>
      </c>
      <c r="E765" s="151" t="s">
        <v>190</v>
      </c>
      <c r="F765" s="174" t="s">
        <v>6986</v>
      </c>
      <c r="G765" s="167">
        <f>(365*AVERAGE((FCCL!G51+'Forensic Inputs'!$G$86),(FCCL!H51+'Forensic Inputs'!$G$87)))</f>
        <v>1210524.6900000002</v>
      </c>
      <c r="H765" s="167">
        <f>(FCCL!H85*-1)</f>
        <v>57384.978000000003</v>
      </c>
      <c r="I765" s="165">
        <f t="shared" si="33"/>
        <v>21.094800977356829</v>
      </c>
      <c r="J765" s="165">
        <v>21.094800977356829</v>
      </c>
      <c r="K765" s="169">
        <f t="shared" si="34"/>
        <v>0</v>
      </c>
      <c r="L765" s="165">
        <v>30</v>
      </c>
      <c r="M765" s="151">
        <v>0</v>
      </c>
      <c r="N765" s="151" t="str">
        <f t="shared" si="35"/>
        <v>No fit</v>
      </c>
      <c r="O765" s="174" t="s">
        <v>7294</v>
      </c>
      <c r="P765" s="174" t="s">
        <v>6051</v>
      </c>
    </row>
    <row r="766" spans="1:16" ht="64.05" customHeight="1" x14ac:dyDescent="0.3">
      <c r="A766" s="154" t="s">
        <v>7295</v>
      </c>
      <c r="B766" s="154" t="s">
        <v>5995</v>
      </c>
      <c r="C766" s="154" t="s">
        <v>114</v>
      </c>
      <c r="D766" s="154">
        <v>2025</v>
      </c>
      <c r="E766" s="154" t="s">
        <v>190</v>
      </c>
      <c r="F766" s="173" t="s">
        <v>6989</v>
      </c>
      <c r="G766" s="166">
        <f>(365*AVERAGE((FCCL!G51+'Forensic Inputs'!$G$86),(FCCL!H51+'Forensic Inputs'!$G$87)))</f>
        <v>1210524.6900000002</v>
      </c>
      <c r="H766" s="166">
        <f>FCCL!H84</f>
        <v>88956.327999999994</v>
      </c>
      <c r="I766" s="164">
        <f t="shared" si="33"/>
        <v>13.608078449461182</v>
      </c>
      <c r="J766" s="164">
        <v>13.608078449461182</v>
      </c>
      <c r="K766" s="168">
        <f t="shared" si="34"/>
        <v>0</v>
      </c>
      <c r="L766" s="164">
        <v>30</v>
      </c>
      <c r="M766" s="154">
        <v>0</v>
      </c>
      <c r="N766" s="154" t="str">
        <f t="shared" si="35"/>
        <v>No fit</v>
      </c>
      <c r="O766" s="173" t="s">
        <v>7296</v>
      </c>
      <c r="P766" s="173" t="s">
        <v>6051</v>
      </c>
    </row>
    <row r="767" spans="1:16" ht="64.05" customHeight="1" x14ac:dyDescent="0.3">
      <c r="A767" s="151" t="s">
        <v>7297</v>
      </c>
      <c r="B767" s="151" t="s">
        <v>5995</v>
      </c>
      <c r="C767" s="151" t="s">
        <v>114</v>
      </c>
      <c r="D767" s="151">
        <v>2025</v>
      </c>
      <c r="E767" s="151" t="s">
        <v>190</v>
      </c>
      <c r="F767" s="174" t="s">
        <v>6992</v>
      </c>
      <c r="G767" s="167">
        <f>(365*AVERAGE((FCCL!G51+'Forensic Inputs'!$G$86),(FCCL!H51+'Forensic Inputs'!$G$87)))</f>
        <v>1210524.6900000002</v>
      </c>
      <c r="H767" s="167">
        <f>((FCCL!H85*-1)+(FCCL!H65-FCCL!G65))</f>
        <v>60504.768000000004</v>
      </c>
      <c r="I767" s="165">
        <f t="shared" si="33"/>
        <v>20.007095804416604</v>
      </c>
      <c r="J767" s="165">
        <v>20.007095804416604</v>
      </c>
      <c r="K767" s="169">
        <f t="shared" si="34"/>
        <v>0</v>
      </c>
      <c r="L767" s="165">
        <v>30</v>
      </c>
      <c r="M767" s="151">
        <v>0</v>
      </c>
      <c r="N767" s="151" t="str">
        <f t="shared" si="35"/>
        <v>No fit</v>
      </c>
      <c r="O767" s="174" t="s">
        <v>7298</v>
      </c>
      <c r="P767" s="174" t="s">
        <v>6051</v>
      </c>
    </row>
    <row r="768" spans="1:16" ht="64.05" customHeight="1" x14ac:dyDescent="0.3">
      <c r="A768" s="154" t="s">
        <v>7299</v>
      </c>
      <c r="B768" s="154" t="s">
        <v>5995</v>
      </c>
      <c r="C768" s="154" t="s">
        <v>114</v>
      </c>
      <c r="D768" s="154">
        <v>2025</v>
      </c>
      <c r="E768" s="154" t="s">
        <v>190</v>
      </c>
      <c r="F768" s="173" t="s">
        <v>6995</v>
      </c>
      <c r="G768" s="166">
        <f>(365*AVERAGE((FCCL!G51+'Forensic Inputs'!$G$86),(FCCL!H51+'Forensic Inputs'!$G$87)))</f>
        <v>1210524.6900000002</v>
      </c>
      <c r="H768" s="166">
        <f>((FCCL!H85*-1)+(FCCL!H31-FCCL!G31))</f>
        <v>59226.89</v>
      </c>
      <c r="I768" s="164">
        <f t="shared" si="33"/>
        <v>20.438768437782233</v>
      </c>
      <c r="J768" s="164">
        <v>20.438768437782233</v>
      </c>
      <c r="K768" s="168">
        <f t="shared" si="34"/>
        <v>0</v>
      </c>
      <c r="L768" s="164">
        <v>30</v>
      </c>
      <c r="M768" s="154">
        <v>0</v>
      </c>
      <c r="N768" s="154" t="str">
        <f t="shared" si="35"/>
        <v>No fit</v>
      </c>
      <c r="O768" s="173" t="s">
        <v>7300</v>
      </c>
      <c r="P768" s="173" t="s">
        <v>6051</v>
      </c>
    </row>
    <row r="769" spans="1:16" ht="64.05" customHeight="1" x14ac:dyDescent="0.3">
      <c r="A769" s="151" t="s">
        <v>7301</v>
      </c>
      <c r="B769" s="151" t="s">
        <v>5995</v>
      </c>
      <c r="C769" s="151" t="s">
        <v>114</v>
      </c>
      <c r="D769" s="151">
        <v>2025</v>
      </c>
      <c r="E769" s="151" t="s">
        <v>190</v>
      </c>
      <c r="F769" s="174" t="s">
        <v>6998</v>
      </c>
      <c r="G769" s="167">
        <f>(365*(FCCL!H51+'Forensic Inputs'!$G$93))</f>
        <v>4055253.2949999999</v>
      </c>
      <c r="H769" s="167">
        <f>(FCCL!H85*-1)</f>
        <v>57384.978000000003</v>
      </c>
      <c r="I769" s="165">
        <f t="shared" si="33"/>
        <v>70.667506311494961</v>
      </c>
      <c r="J769" s="165">
        <v>70.667506311494961</v>
      </c>
      <c r="K769" s="169">
        <f t="shared" si="34"/>
        <v>0</v>
      </c>
      <c r="L769" s="165">
        <v>30</v>
      </c>
      <c r="M769" s="151">
        <v>0</v>
      </c>
      <c r="N769" s="151" t="str">
        <f t="shared" si="35"/>
        <v>No fit</v>
      </c>
      <c r="O769" s="174" t="s">
        <v>7231</v>
      </c>
      <c r="P769" s="174" t="s">
        <v>6051</v>
      </c>
    </row>
    <row r="770" spans="1:16" ht="64.05" customHeight="1" x14ac:dyDescent="0.3">
      <c r="A770" s="154" t="s">
        <v>7302</v>
      </c>
      <c r="B770" s="154" t="s">
        <v>5995</v>
      </c>
      <c r="C770" s="154" t="s">
        <v>114</v>
      </c>
      <c r="D770" s="154">
        <v>2025</v>
      </c>
      <c r="E770" s="154" t="s">
        <v>190</v>
      </c>
      <c r="F770" s="173" t="s">
        <v>7001</v>
      </c>
      <c r="G770" s="166">
        <f>(365*(FCCL!H51+'Forensic Inputs'!$G$93))</f>
        <v>4055253.2949999999</v>
      </c>
      <c r="H770" s="166">
        <f>FCCL!H84</f>
        <v>88956.327999999994</v>
      </c>
      <c r="I770" s="164">
        <f t="shared" si="33"/>
        <v>45.58701315773736</v>
      </c>
      <c r="J770" s="164">
        <v>45.58701315773736</v>
      </c>
      <c r="K770" s="168">
        <f t="shared" si="34"/>
        <v>0</v>
      </c>
      <c r="L770" s="164">
        <v>30</v>
      </c>
      <c r="M770" s="154">
        <v>0</v>
      </c>
      <c r="N770" s="154" t="str">
        <f t="shared" si="35"/>
        <v>No fit</v>
      </c>
      <c r="O770" s="173" t="s">
        <v>7233</v>
      </c>
      <c r="P770" s="173" t="s">
        <v>6051</v>
      </c>
    </row>
    <row r="771" spans="1:16" ht="64.05" customHeight="1" x14ac:dyDescent="0.3">
      <c r="A771" s="151" t="s">
        <v>7303</v>
      </c>
      <c r="B771" s="151" t="s">
        <v>5995</v>
      </c>
      <c r="C771" s="151" t="s">
        <v>114</v>
      </c>
      <c r="D771" s="151">
        <v>2025</v>
      </c>
      <c r="E771" s="151" t="s">
        <v>190</v>
      </c>
      <c r="F771" s="174" t="s">
        <v>7004</v>
      </c>
      <c r="G771" s="167">
        <f>(365*(FCCL!H51+'Forensic Inputs'!$G$93))</f>
        <v>4055253.2949999999</v>
      </c>
      <c r="H771" s="167">
        <f>((FCCL!H85*-1)+(FCCL!H65-FCCL!G65))</f>
        <v>60504.768000000004</v>
      </c>
      <c r="I771" s="165">
        <f t="shared" si="33"/>
        <v>67.023697950548282</v>
      </c>
      <c r="J771" s="165">
        <v>67.023697950548282</v>
      </c>
      <c r="K771" s="169">
        <f t="shared" si="34"/>
        <v>0</v>
      </c>
      <c r="L771" s="165">
        <v>30</v>
      </c>
      <c r="M771" s="151">
        <v>0</v>
      </c>
      <c r="N771" s="151" t="str">
        <f t="shared" si="35"/>
        <v>No fit</v>
      </c>
      <c r="O771" s="174" t="s">
        <v>7235</v>
      </c>
      <c r="P771" s="174" t="s">
        <v>6051</v>
      </c>
    </row>
    <row r="772" spans="1:16" ht="64.05" customHeight="1" x14ac:dyDescent="0.3">
      <c r="A772" s="154" t="s">
        <v>7304</v>
      </c>
      <c r="B772" s="154" t="s">
        <v>5995</v>
      </c>
      <c r="C772" s="154" t="s">
        <v>114</v>
      </c>
      <c r="D772" s="154">
        <v>2025</v>
      </c>
      <c r="E772" s="154" t="s">
        <v>190</v>
      </c>
      <c r="F772" s="173" t="s">
        <v>7007</v>
      </c>
      <c r="G772" s="166">
        <f>(365*(FCCL!H51+'Forensic Inputs'!$G$93))</f>
        <v>4055253.2949999999</v>
      </c>
      <c r="H772" s="166">
        <f>((FCCL!H85*-1)+(FCCL!H31-FCCL!G31))</f>
        <v>59226.89</v>
      </c>
      <c r="I772" s="164">
        <f t="shared" si="33"/>
        <v>68.469799697400958</v>
      </c>
      <c r="J772" s="164">
        <v>68.469799697400958</v>
      </c>
      <c r="K772" s="168">
        <f t="shared" si="34"/>
        <v>0</v>
      </c>
      <c r="L772" s="164">
        <v>30</v>
      </c>
      <c r="M772" s="154">
        <v>0</v>
      </c>
      <c r="N772" s="154" t="str">
        <f t="shared" si="35"/>
        <v>No fit</v>
      </c>
      <c r="O772" s="173" t="s">
        <v>7237</v>
      </c>
      <c r="P772" s="173" t="s">
        <v>6051</v>
      </c>
    </row>
    <row r="773" spans="1:16" ht="64.05" customHeight="1" x14ac:dyDescent="0.3">
      <c r="A773" s="151" t="s">
        <v>7305</v>
      </c>
      <c r="B773" s="151" t="s">
        <v>5995</v>
      </c>
      <c r="C773" s="151" t="s">
        <v>114</v>
      </c>
      <c r="D773" s="151">
        <v>2025</v>
      </c>
      <c r="E773" s="151" t="s">
        <v>190</v>
      </c>
      <c r="F773" s="174" t="s">
        <v>7010</v>
      </c>
      <c r="G773" s="167">
        <f>(365*AVERAGE((FCCL!G51+'Forensic Inputs'!$G$92),(FCCL!H51+'Forensic Inputs'!$G$93)))</f>
        <v>3465871.7350000003</v>
      </c>
      <c r="H773" s="167">
        <f>(FCCL!H85*-1)</f>
        <v>57384.978000000003</v>
      </c>
      <c r="I773" s="165">
        <f t="shared" si="33"/>
        <v>60.396846976224339</v>
      </c>
      <c r="J773" s="165">
        <v>60.396846976224339</v>
      </c>
      <c r="K773" s="169">
        <f t="shared" si="34"/>
        <v>0</v>
      </c>
      <c r="L773" s="165">
        <v>30</v>
      </c>
      <c r="M773" s="151">
        <v>0</v>
      </c>
      <c r="N773" s="151" t="str">
        <f t="shared" si="35"/>
        <v>No fit</v>
      </c>
      <c r="O773" s="174" t="s">
        <v>7306</v>
      </c>
      <c r="P773" s="174" t="s">
        <v>6051</v>
      </c>
    </row>
    <row r="774" spans="1:16" ht="64.05" customHeight="1" x14ac:dyDescent="0.3">
      <c r="A774" s="154" t="s">
        <v>7307</v>
      </c>
      <c r="B774" s="154" t="s">
        <v>5995</v>
      </c>
      <c r="C774" s="154" t="s">
        <v>114</v>
      </c>
      <c r="D774" s="154">
        <v>2025</v>
      </c>
      <c r="E774" s="154" t="s">
        <v>190</v>
      </c>
      <c r="F774" s="173" t="s">
        <v>7013</v>
      </c>
      <c r="G774" s="166">
        <f>(365*AVERAGE((FCCL!G51+'Forensic Inputs'!$G$92),(FCCL!H51+'Forensic Inputs'!$G$93)))</f>
        <v>3465871.7350000003</v>
      </c>
      <c r="H774" s="166">
        <f>FCCL!H84</f>
        <v>88956.327999999994</v>
      </c>
      <c r="I774" s="164">
        <f t="shared" ref="I774:I837" si="36">G774/H774</f>
        <v>38.96149732034803</v>
      </c>
      <c r="J774" s="164">
        <v>38.96149732034803</v>
      </c>
      <c r="K774" s="168">
        <f t="shared" ref="K774:K837" si="37">I774-J774</f>
        <v>0</v>
      </c>
      <c r="L774" s="164">
        <v>30</v>
      </c>
      <c r="M774" s="154">
        <v>0</v>
      </c>
      <c r="N774" s="154" t="str">
        <f t="shared" ref="N774:N837" si="38">IF(ROUND(I774,M774)=ROUND(L774,M774),"Numeric fit","No fit")</f>
        <v>No fit</v>
      </c>
      <c r="O774" s="173" t="s">
        <v>7308</v>
      </c>
      <c r="P774" s="173" t="s">
        <v>6051</v>
      </c>
    </row>
    <row r="775" spans="1:16" ht="64.05" customHeight="1" x14ac:dyDescent="0.3">
      <c r="A775" s="151" t="s">
        <v>7309</v>
      </c>
      <c r="B775" s="151" t="s">
        <v>5995</v>
      </c>
      <c r="C775" s="151" t="s">
        <v>114</v>
      </c>
      <c r="D775" s="151">
        <v>2025</v>
      </c>
      <c r="E775" s="151" t="s">
        <v>190</v>
      </c>
      <c r="F775" s="174" t="s">
        <v>7016</v>
      </c>
      <c r="G775" s="167">
        <f>(365*AVERAGE((FCCL!G51+'Forensic Inputs'!$G$92),(FCCL!H51+'Forensic Inputs'!$G$93)))</f>
        <v>3465871.7350000003</v>
      </c>
      <c r="H775" s="167">
        <f>((FCCL!H85*-1)+(FCCL!H65-FCCL!G65))</f>
        <v>60504.768000000004</v>
      </c>
      <c r="I775" s="165">
        <f t="shared" si="36"/>
        <v>57.282621677022213</v>
      </c>
      <c r="J775" s="165">
        <v>57.282621677022213</v>
      </c>
      <c r="K775" s="169">
        <f t="shared" si="37"/>
        <v>0</v>
      </c>
      <c r="L775" s="165">
        <v>30</v>
      </c>
      <c r="M775" s="151">
        <v>0</v>
      </c>
      <c r="N775" s="151" t="str">
        <f t="shared" si="38"/>
        <v>No fit</v>
      </c>
      <c r="O775" s="174" t="s">
        <v>7310</v>
      </c>
      <c r="P775" s="174" t="s">
        <v>6051</v>
      </c>
    </row>
    <row r="776" spans="1:16" ht="64.05" customHeight="1" x14ac:dyDescent="0.3">
      <c r="A776" s="154" t="s">
        <v>7311</v>
      </c>
      <c r="B776" s="154" t="s">
        <v>5995</v>
      </c>
      <c r="C776" s="154" t="s">
        <v>114</v>
      </c>
      <c r="D776" s="154">
        <v>2025</v>
      </c>
      <c r="E776" s="154" t="s">
        <v>190</v>
      </c>
      <c r="F776" s="173" t="s">
        <v>7019</v>
      </c>
      <c r="G776" s="166">
        <f>(365*AVERAGE((FCCL!G51+'Forensic Inputs'!$G$92),(FCCL!H51+'Forensic Inputs'!$G$93)))</f>
        <v>3465871.7350000003</v>
      </c>
      <c r="H776" s="166">
        <f>((FCCL!H85*-1)+(FCCL!H31-FCCL!G31))</f>
        <v>59226.89</v>
      </c>
      <c r="I776" s="164">
        <f t="shared" si="36"/>
        <v>58.518550188942903</v>
      </c>
      <c r="J776" s="164">
        <v>58.518550188942903</v>
      </c>
      <c r="K776" s="168">
        <f t="shared" si="37"/>
        <v>0</v>
      </c>
      <c r="L776" s="164">
        <v>30</v>
      </c>
      <c r="M776" s="154">
        <v>0</v>
      </c>
      <c r="N776" s="154" t="str">
        <f t="shared" si="38"/>
        <v>No fit</v>
      </c>
      <c r="O776" s="173" t="s">
        <v>7312</v>
      </c>
      <c r="P776" s="173" t="s">
        <v>6051</v>
      </c>
    </row>
    <row r="777" spans="1:16" ht="64.05" customHeight="1" x14ac:dyDescent="0.3">
      <c r="A777" s="151" t="s">
        <v>7313</v>
      </c>
      <c r="B777" s="151" t="s">
        <v>5995</v>
      </c>
      <c r="C777" s="151" t="s">
        <v>114</v>
      </c>
      <c r="D777" s="151">
        <v>2025</v>
      </c>
      <c r="E777" s="151" t="s">
        <v>190</v>
      </c>
      <c r="F777" s="174" t="s">
        <v>7022</v>
      </c>
      <c r="G777" s="167">
        <f>(365*(FCCL!H50+'Forensic Inputs'!$G$93))</f>
        <v>4748887.25</v>
      </c>
      <c r="H777" s="167">
        <f>(FCCL!H85*-1)</f>
        <v>57384.978000000003</v>
      </c>
      <c r="I777" s="165">
        <f t="shared" si="36"/>
        <v>82.754884910821076</v>
      </c>
      <c r="J777" s="165">
        <v>82.754884910821076</v>
      </c>
      <c r="K777" s="169">
        <f t="shared" si="37"/>
        <v>0</v>
      </c>
      <c r="L777" s="165">
        <v>30</v>
      </c>
      <c r="M777" s="151">
        <v>0</v>
      </c>
      <c r="N777" s="151" t="str">
        <f t="shared" si="38"/>
        <v>No fit</v>
      </c>
      <c r="O777" s="174" t="s">
        <v>7247</v>
      </c>
      <c r="P777" s="174" t="s">
        <v>6051</v>
      </c>
    </row>
    <row r="778" spans="1:16" ht="64.05" customHeight="1" x14ac:dyDescent="0.3">
      <c r="A778" s="154" t="s">
        <v>7314</v>
      </c>
      <c r="B778" s="154" t="s">
        <v>5995</v>
      </c>
      <c r="C778" s="154" t="s">
        <v>114</v>
      </c>
      <c r="D778" s="154">
        <v>2025</v>
      </c>
      <c r="E778" s="154" t="s">
        <v>190</v>
      </c>
      <c r="F778" s="173" t="s">
        <v>7025</v>
      </c>
      <c r="G778" s="166">
        <f>(365*(FCCL!H50+'Forensic Inputs'!$G$93))</f>
        <v>4748887.25</v>
      </c>
      <c r="H778" s="166">
        <f>FCCL!H84</f>
        <v>88956.327999999994</v>
      </c>
      <c r="I778" s="164">
        <f t="shared" si="36"/>
        <v>53.384479291906025</v>
      </c>
      <c r="J778" s="164">
        <v>53.384479291906025</v>
      </c>
      <c r="K778" s="168">
        <f t="shared" si="37"/>
        <v>0</v>
      </c>
      <c r="L778" s="164">
        <v>30</v>
      </c>
      <c r="M778" s="154">
        <v>0</v>
      </c>
      <c r="N778" s="154" t="str">
        <f t="shared" si="38"/>
        <v>No fit</v>
      </c>
      <c r="O778" s="173" t="s">
        <v>7249</v>
      </c>
      <c r="P778" s="173" t="s">
        <v>6051</v>
      </c>
    </row>
    <row r="779" spans="1:16" ht="64.05" customHeight="1" x14ac:dyDescent="0.3">
      <c r="A779" s="151" t="s">
        <v>7315</v>
      </c>
      <c r="B779" s="151" t="s">
        <v>5995</v>
      </c>
      <c r="C779" s="151" t="s">
        <v>114</v>
      </c>
      <c r="D779" s="151">
        <v>2025</v>
      </c>
      <c r="E779" s="151" t="s">
        <v>190</v>
      </c>
      <c r="F779" s="174" t="s">
        <v>7028</v>
      </c>
      <c r="G779" s="167">
        <f>(365*(FCCL!H50+'Forensic Inputs'!$G$93))</f>
        <v>4748887.25</v>
      </c>
      <c r="H779" s="167">
        <f>((FCCL!H85*-1)+(FCCL!H65-FCCL!G65))</f>
        <v>60504.768000000004</v>
      </c>
      <c r="I779" s="165">
        <f t="shared" si="36"/>
        <v>78.487818513740933</v>
      </c>
      <c r="J779" s="165">
        <v>78.487818513740933</v>
      </c>
      <c r="K779" s="169">
        <f t="shared" si="37"/>
        <v>0</v>
      </c>
      <c r="L779" s="165">
        <v>30</v>
      </c>
      <c r="M779" s="151">
        <v>0</v>
      </c>
      <c r="N779" s="151" t="str">
        <f t="shared" si="38"/>
        <v>No fit</v>
      </c>
      <c r="O779" s="174" t="s">
        <v>7251</v>
      </c>
      <c r="P779" s="174" t="s">
        <v>6051</v>
      </c>
    </row>
    <row r="780" spans="1:16" ht="64.05" customHeight="1" x14ac:dyDescent="0.3">
      <c r="A780" s="154" t="s">
        <v>7316</v>
      </c>
      <c r="B780" s="154" t="s">
        <v>5995</v>
      </c>
      <c r="C780" s="154" t="s">
        <v>114</v>
      </c>
      <c r="D780" s="154">
        <v>2025</v>
      </c>
      <c r="E780" s="154" t="s">
        <v>190</v>
      </c>
      <c r="F780" s="173" t="s">
        <v>7031</v>
      </c>
      <c r="G780" s="166">
        <f>(365*(FCCL!H50+'Forensic Inputs'!$G$93))</f>
        <v>4748887.25</v>
      </c>
      <c r="H780" s="166">
        <f>((FCCL!H85*-1)+(FCCL!H31-FCCL!G31))</f>
        <v>59226.89</v>
      </c>
      <c r="I780" s="164">
        <f t="shared" si="36"/>
        <v>80.181269859011678</v>
      </c>
      <c r="J780" s="164">
        <v>80.181269859011678</v>
      </c>
      <c r="K780" s="168">
        <f t="shared" si="37"/>
        <v>0</v>
      </c>
      <c r="L780" s="164">
        <v>30</v>
      </c>
      <c r="M780" s="154">
        <v>0</v>
      </c>
      <c r="N780" s="154" t="str">
        <f t="shared" si="38"/>
        <v>No fit</v>
      </c>
      <c r="O780" s="173" t="s">
        <v>7253</v>
      </c>
      <c r="P780" s="173" t="s">
        <v>6051</v>
      </c>
    </row>
    <row r="781" spans="1:16" ht="64.05" customHeight="1" x14ac:dyDescent="0.3">
      <c r="A781" s="151" t="s">
        <v>7317</v>
      </c>
      <c r="B781" s="151" t="s">
        <v>5995</v>
      </c>
      <c r="C781" s="151" t="s">
        <v>114</v>
      </c>
      <c r="D781" s="151">
        <v>2025</v>
      </c>
      <c r="E781" s="151" t="s">
        <v>190</v>
      </c>
      <c r="F781" s="174" t="s">
        <v>7034</v>
      </c>
      <c r="G781" s="167">
        <f>(365*AVERAGE((FCCL!G50+'Forensic Inputs'!$G$92),(FCCL!H50+'Forensic Inputs'!$G$93)))</f>
        <v>4429926.7074999996</v>
      </c>
      <c r="H781" s="167">
        <f>(FCCL!H85*-1)</f>
        <v>57384.978000000003</v>
      </c>
      <c r="I781" s="165">
        <f t="shared" si="36"/>
        <v>77.196626397591359</v>
      </c>
      <c r="J781" s="165">
        <v>77.196626397591359</v>
      </c>
      <c r="K781" s="169">
        <f t="shared" si="37"/>
        <v>0</v>
      </c>
      <c r="L781" s="165">
        <v>30</v>
      </c>
      <c r="M781" s="151">
        <v>0</v>
      </c>
      <c r="N781" s="151" t="str">
        <f t="shared" si="38"/>
        <v>No fit</v>
      </c>
      <c r="O781" s="174" t="s">
        <v>7318</v>
      </c>
      <c r="P781" s="174" t="s">
        <v>6051</v>
      </c>
    </row>
    <row r="782" spans="1:16" ht="64.05" customHeight="1" x14ac:dyDescent="0.3">
      <c r="A782" s="154" t="s">
        <v>7319</v>
      </c>
      <c r="B782" s="154" t="s">
        <v>5995</v>
      </c>
      <c r="C782" s="154" t="s">
        <v>114</v>
      </c>
      <c r="D782" s="154">
        <v>2025</v>
      </c>
      <c r="E782" s="154" t="s">
        <v>190</v>
      </c>
      <c r="F782" s="173" t="s">
        <v>7037</v>
      </c>
      <c r="G782" s="166">
        <f>(365*AVERAGE((FCCL!G50+'Forensic Inputs'!$G$92),(FCCL!H50+'Forensic Inputs'!$G$93)))</f>
        <v>4429926.7074999996</v>
      </c>
      <c r="H782" s="166">
        <f>FCCL!H84</f>
        <v>88956.327999999994</v>
      </c>
      <c r="I782" s="164">
        <f t="shared" si="36"/>
        <v>49.798893536837532</v>
      </c>
      <c r="J782" s="164">
        <v>49.798893536837532</v>
      </c>
      <c r="K782" s="168">
        <f t="shared" si="37"/>
        <v>0</v>
      </c>
      <c r="L782" s="164">
        <v>30</v>
      </c>
      <c r="M782" s="154">
        <v>0</v>
      </c>
      <c r="N782" s="154" t="str">
        <f t="shared" si="38"/>
        <v>No fit</v>
      </c>
      <c r="O782" s="173" t="s">
        <v>7320</v>
      </c>
      <c r="P782" s="173" t="s">
        <v>6051</v>
      </c>
    </row>
    <row r="783" spans="1:16" ht="64.05" customHeight="1" x14ac:dyDescent="0.3">
      <c r="A783" s="151" t="s">
        <v>7321</v>
      </c>
      <c r="B783" s="151" t="s">
        <v>5995</v>
      </c>
      <c r="C783" s="151" t="s">
        <v>114</v>
      </c>
      <c r="D783" s="151">
        <v>2025</v>
      </c>
      <c r="E783" s="151" t="s">
        <v>190</v>
      </c>
      <c r="F783" s="174" t="s">
        <v>7040</v>
      </c>
      <c r="G783" s="167">
        <f>(365*AVERAGE((FCCL!G50+'Forensic Inputs'!$G$92),(FCCL!H50+'Forensic Inputs'!$G$93)))</f>
        <v>4429926.7074999996</v>
      </c>
      <c r="H783" s="167">
        <f>((FCCL!H85*-1)+(FCCL!H65-FCCL!G65))</f>
        <v>60504.768000000004</v>
      </c>
      <c r="I783" s="165">
        <f t="shared" si="36"/>
        <v>73.216158890155555</v>
      </c>
      <c r="J783" s="165">
        <v>73.216158890155555</v>
      </c>
      <c r="K783" s="169">
        <f t="shared" si="37"/>
        <v>0</v>
      </c>
      <c r="L783" s="165">
        <v>30</v>
      </c>
      <c r="M783" s="151">
        <v>0</v>
      </c>
      <c r="N783" s="151" t="str">
        <f t="shared" si="38"/>
        <v>No fit</v>
      </c>
      <c r="O783" s="174" t="s">
        <v>7322</v>
      </c>
      <c r="P783" s="174" t="s">
        <v>6051</v>
      </c>
    </row>
    <row r="784" spans="1:16" ht="64.05" customHeight="1" x14ac:dyDescent="0.3">
      <c r="A784" s="154" t="s">
        <v>7323</v>
      </c>
      <c r="B784" s="154" t="s">
        <v>5995</v>
      </c>
      <c r="C784" s="154" t="s">
        <v>114</v>
      </c>
      <c r="D784" s="154">
        <v>2025</v>
      </c>
      <c r="E784" s="154" t="s">
        <v>190</v>
      </c>
      <c r="F784" s="173" t="s">
        <v>7043</v>
      </c>
      <c r="G784" s="166">
        <f>(365*AVERAGE((FCCL!G50+'Forensic Inputs'!$G$92),(FCCL!H50+'Forensic Inputs'!$G$93)))</f>
        <v>4429926.7074999996</v>
      </c>
      <c r="H784" s="166">
        <f>((FCCL!H85*-1)+(FCCL!H31-FCCL!G31))</f>
        <v>59226.89</v>
      </c>
      <c r="I784" s="164">
        <f t="shared" si="36"/>
        <v>74.795869030097634</v>
      </c>
      <c r="J784" s="164">
        <v>74.795869030097634</v>
      </c>
      <c r="K784" s="168">
        <f t="shared" si="37"/>
        <v>0</v>
      </c>
      <c r="L784" s="164">
        <v>30</v>
      </c>
      <c r="M784" s="154">
        <v>0</v>
      </c>
      <c r="N784" s="154" t="str">
        <f t="shared" si="38"/>
        <v>No fit</v>
      </c>
      <c r="O784" s="173" t="s">
        <v>7324</v>
      </c>
      <c r="P784" s="173" t="s">
        <v>6051</v>
      </c>
    </row>
    <row r="785" spans="1:16" ht="64.05" customHeight="1" x14ac:dyDescent="0.3">
      <c r="A785" s="151" t="s">
        <v>7325</v>
      </c>
      <c r="B785" s="151" t="s">
        <v>5995</v>
      </c>
      <c r="C785" s="151" t="s">
        <v>114</v>
      </c>
      <c r="D785" s="151">
        <v>2025</v>
      </c>
      <c r="E785" s="151" t="s">
        <v>190</v>
      </c>
      <c r="F785" s="174" t="s">
        <v>7046</v>
      </c>
      <c r="G785" s="167">
        <f>(90*FCCL!H51)</f>
        <v>183072.69</v>
      </c>
      <c r="H785" s="167">
        <f>'Forensic Inputs'!$G$117</f>
        <v>13284.985000000001</v>
      </c>
      <c r="I785" s="165">
        <f t="shared" si="36"/>
        <v>13.780421280114354</v>
      </c>
      <c r="J785" s="165">
        <v>13.780421280114354</v>
      </c>
      <c r="K785" s="169">
        <f t="shared" si="37"/>
        <v>0</v>
      </c>
      <c r="L785" s="165">
        <v>30</v>
      </c>
      <c r="M785" s="151">
        <v>0</v>
      </c>
      <c r="N785" s="151" t="str">
        <f t="shared" si="38"/>
        <v>No fit</v>
      </c>
      <c r="O785" s="174" t="s">
        <v>7326</v>
      </c>
      <c r="P785" s="174" t="s">
        <v>7048</v>
      </c>
    </row>
    <row r="786" spans="1:16" ht="64.05" customHeight="1" x14ac:dyDescent="0.3">
      <c r="A786" s="154" t="s">
        <v>7327</v>
      </c>
      <c r="B786" s="154" t="s">
        <v>5995</v>
      </c>
      <c r="C786" s="154" t="s">
        <v>114</v>
      </c>
      <c r="D786" s="154">
        <v>2025</v>
      </c>
      <c r="E786" s="154" t="s">
        <v>190</v>
      </c>
      <c r="F786" s="173" t="s">
        <v>7050</v>
      </c>
      <c r="G786" s="166">
        <f>(90*FCCL!H50)</f>
        <v>354105.72</v>
      </c>
      <c r="H786" s="166">
        <f>'Forensic Inputs'!$G$117</f>
        <v>13284.985000000001</v>
      </c>
      <c r="I786" s="164">
        <f t="shared" si="36"/>
        <v>26.654581845594855</v>
      </c>
      <c r="J786" s="164">
        <v>26.654581845594855</v>
      </c>
      <c r="K786" s="168">
        <f t="shared" si="37"/>
        <v>0</v>
      </c>
      <c r="L786" s="164">
        <v>30</v>
      </c>
      <c r="M786" s="154">
        <v>0</v>
      </c>
      <c r="N786" s="154" t="str">
        <f t="shared" si="38"/>
        <v>No fit</v>
      </c>
      <c r="O786" s="173" t="s">
        <v>7328</v>
      </c>
      <c r="P786" s="173" t="s">
        <v>7048</v>
      </c>
    </row>
    <row r="787" spans="1:16" ht="64.05" customHeight="1" x14ac:dyDescent="0.3">
      <c r="A787" s="151" t="s">
        <v>7329</v>
      </c>
      <c r="B787" s="151" t="s">
        <v>5995</v>
      </c>
      <c r="C787" s="151" t="s">
        <v>114</v>
      </c>
      <c r="D787" s="151">
        <v>2025</v>
      </c>
      <c r="E787" s="151" t="s">
        <v>190</v>
      </c>
      <c r="F787" s="174" t="s">
        <v>7053</v>
      </c>
      <c r="G787" s="167">
        <f>(90*(FCCL!H51+'Forensic Inputs'!$G$87))</f>
        <v>226263.24</v>
      </c>
      <c r="H787" s="167">
        <f>'Forensic Inputs'!$G$117</f>
        <v>13284.985000000001</v>
      </c>
      <c r="I787" s="165">
        <f t="shared" si="36"/>
        <v>17.031501352843076</v>
      </c>
      <c r="J787" s="165">
        <v>17.031501352843076</v>
      </c>
      <c r="K787" s="169">
        <f t="shared" si="37"/>
        <v>0</v>
      </c>
      <c r="L787" s="165">
        <v>30</v>
      </c>
      <c r="M787" s="151">
        <v>0</v>
      </c>
      <c r="N787" s="151" t="str">
        <f t="shared" si="38"/>
        <v>No fit</v>
      </c>
      <c r="O787" s="174" t="s">
        <v>7330</v>
      </c>
      <c r="P787" s="174" t="s">
        <v>7048</v>
      </c>
    </row>
    <row r="788" spans="1:16" ht="64.05" customHeight="1" x14ac:dyDescent="0.3">
      <c r="A788" s="154" t="s">
        <v>7331</v>
      </c>
      <c r="B788" s="154" t="s">
        <v>5998</v>
      </c>
      <c r="C788" s="154" t="s">
        <v>114</v>
      </c>
      <c r="D788" s="154">
        <v>2023</v>
      </c>
      <c r="E788" s="154" t="s">
        <v>192</v>
      </c>
      <c r="F788" s="173" t="s">
        <v>5893</v>
      </c>
      <c r="G788" s="166">
        <f>365*AVERAGE(FCCL!E65,FCCL!F65)/(-FCCL!F85)+365*AVERAGE(FCCL!E32,FCCL!F32)/FCCL!F84</f>
        <v>133.85744190022098</v>
      </c>
      <c r="H788" s="166">
        <f>1</f>
        <v>1</v>
      </c>
      <c r="I788" s="164">
        <f t="shared" si="36"/>
        <v>133.85744190022098</v>
      </c>
      <c r="J788" s="164">
        <v>133.85744190022098</v>
      </c>
      <c r="K788" s="168">
        <f t="shared" si="37"/>
        <v>0</v>
      </c>
      <c r="L788" s="164">
        <v>90</v>
      </c>
      <c r="M788" s="154">
        <v>0</v>
      </c>
      <c r="N788" s="154" t="str">
        <f t="shared" si="38"/>
        <v>No fit</v>
      </c>
      <c r="O788" s="173" t="s">
        <v>6050</v>
      </c>
      <c r="P788" s="173" t="s">
        <v>6051</v>
      </c>
    </row>
    <row r="789" spans="1:16" ht="64.05" customHeight="1" x14ac:dyDescent="0.3">
      <c r="A789" s="151" t="s">
        <v>7332</v>
      </c>
      <c r="B789" s="151" t="s">
        <v>5998</v>
      </c>
      <c r="C789" s="151" t="s">
        <v>114</v>
      </c>
      <c r="D789" s="151">
        <v>2023</v>
      </c>
      <c r="E789" s="151" t="s">
        <v>192</v>
      </c>
      <c r="F789" s="174" t="s">
        <v>7333</v>
      </c>
      <c r="G789" s="167">
        <f>89</f>
        <v>89</v>
      </c>
      <c r="H789" s="167">
        <f>1</f>
        <v>1</v>
      </c>
      <c r="I789" s="165">
        <f t="shared" si="36"/>
        <v>89</v>
      </c>
      <c r="J789" s="165">
        <v>89</v>
      </c>
      <c r="K789" s="169">
        <f t="shared" si="37"/>
        <v>0</v>
      </c>
      <c r="L789" s="165">
        <v>90</v>
      </c>
      <c r="M789" s="151">
        <v>0</v>
      </c>
      <c r="N789" s="151" t="str">
        <f t="shared" si="38"/>
        <v>No fit</v>
      </c>
      <c r="O789" s="174" t="s">
        <v>6796</v>
      </c>
      <c r="P789" s="174" t="s">
        <v>6051</v>
      </c>
    </row>
    <row r="790" spans="1:16" ht="64.05" customHeight="1" x14ac:dyDescent="0.3">
      <c r="A790" s="154" t="s">
        <v>7334</v>
      </c>
      <c r="B790" s="154" t="s">
        <v>5998</v>
      </c>
      <c r="C790" s="154" t="s">
        <v>114</v>
      </c>
      <c r="D790" s="154">
        <v>2023</v>
      </c>
      <c r="E790" s="154" t="s">
        <v>192</v>
      </c>
      <c r="F790" s="173" t="s">
        <v>6001</v>
      </c>
      <c r="G790" s="166">
        <f>(((365*AVERAGE(FCCL!E31,FCCL!F31))/(FCCL!F85*-1))+48)</f>
        <v>89.401894351888131</v>
      </c>
      <c r="H790" s="166">
        <f>1</f>
        <v>1</v>
      </c>
      <c r="I790" s="164">
        <f t="shared" si="36"/>
        <v>89.401894351888131</v>
      </c>
      <c r="J790" s="164">
        <v>89.401894351888131</v>
      </c>
      <c r="K790" s="168">
        <f t="shared" si="37"/>
        <v>0</v>
      </c>
      <c r="L790" s="164">
        <v>90</v>
      </c>
      <c r="M790" s="154">
        <v>0</v>
      </c>
      <c r="N790" s="154" t="str">
        <f t="shared" si="38"/>
        <v>No fit</v>
      </c>
      <c r="O790" s="173" t="s">
        <v>7335</v>
      </c>
      <c r="P790" s="173" t="s">
        <v>6051</v>
      </c>
    </row>
    <row r="791" spans="1:16" ht="64.05" customHeight="1" x14ac:dyDescent="0.3">
      <c r="A791" s="151" t="s">
        <v>7336</v>
      </c>
      <c r="B791" s="151" t="s">
        <v>5998</v>
      </c>
      <c r="C791" s="151" t="s">
        <v>114</v>
      </c>
      <c r="D791" s="151">
        <v>2023</v>
      </c>
      <c r="E791" s="151" t="s">
        <v>192</v>
      </c>
      <c r="F791" s="174" t="s">
        <v>7337</v>
      </c>
      <c r="G791" s="167">
        <f>(((365*AVERAGE(FCCL!E65,FCCL!F65))/(FCCL!F85*-1))+((365*AVERAGE(FCCL!E32,FCCL!F32))/FCCL!F84))</f>
        <v>133.85744190022098</v>
      </c>
      <c r="H791" s="167">
        <f>1</f>
        <v>1</v>
      </c>
      <c r="I791" s="165">
        <f t="shared" si="36"/>
        <v>133.85744190022098</v>
      </c>
      <c r="J791" s="165">
        <v>133.85744190022098</v>
      </c>
      <c r="K791" s="169">
        <f t="shared" si="37"/>
        <v>0</v>
      </c>
      <c r="L791" s="165">
        <v>90</v>
      </c>
      <c r="M791" s="151">
        <v>0</v>
      </c>
      <c r="N791" s="151" t="str">
        <f t="shared" si="38"/>
        <v>No fit</v>
      </c>
      <c r="O791" s="174" t="s">
        <v>7338</v>
      </c>
      <c r="P791" s="174" t="s">
        <v>6051</v>
      </c>
    </row>
    <row r="792" spans="1:16" ht="64.05" customHeight="1" x14ac:dyDescent="0.3">
      <c r="A792" s="154" t="s">
        <v>7339</v>
      </c>
      <c r="B792" s="154" t="s">
        <v>6006</v>
      </c>
      <c r="C792" s="154" t="s">
        <v>114</v>
      </c>
      <c r="D792" s="154">
        <v>2022</v>
      </c>
      <c r="E792" s="154" t="s">
        <v>196</v>
      </c>
      <c r="F792" s="173" t="s">
        <v>5893</v>
      </c>
      <c r="G792" s="166">
        <f>FCCL!E84</f>
        <v>54243.118000000002</v>
      </c>
      <c r="H792" s="166">
        <f>AVERAGE(FCCL!D37,FCCL!E37)</f>
        <v>73875.15400000001</v>
      </c>
      <c r="I792" s="164">
        <f t="shared" si="36"/>
        <v>0.7342538737719585</v>
      </c>
      <c r="J792" s="164">
        <v>0.7342538737719585</v>
      </c>
      <c r="K792" s="168">
        <f t="shared" si="37"/>
        <v>0</v>
      </c>
      <c r="L792" s="164">
        <v>0.08</v>
      </c>
      <c r="M792" s="154">
        <v>2</v>
      </c>
      <c r="N792" s="154" t="str">
        <f t="shared" si="38"/>
        <v>No fit</v>
      </c>
      <c r="O792" s="173" t="s">
        <v>6050</v>
      </c>
      <c r="P792" s="173" t="s">
        <v>6051</v>
      </c>
    </row>
    <row r="793" spans="1:16" ht="64.05" customHeight="1" x14ac:dyDescent="0.3">
      <c r="A793" s="151" t="s">
        <v>7340</v>
      </c>
      <c r="B793" s="151" t="s">
        <v>6006</v>
      </c>
      <c r="C793" s="151" t="s">
        <v>114</v>
      </c>
      <c r="D793" s="151">
        <v>2022</v>
      </c>
      <c r="E793" s="151" t="s">
        <v>196</v>
      </c>
      <c r="F793" s="174" t="s">
        <v>6009</v>
      </c>
      <c r="G793" s="167">
        <f>FCCL!E84</f>
        <v>54243.118000000002</v>
      </c>
      <c r="H793" s="167">
        <f>FCCL!E37</f>
        <v>113698.07700000002</v>
      </c>
      <c r="I793" s="165">
        <f t="shared" si="36"/>
        <v>0.4770803467502796</v>
      </c>
      <c r="J793" s="165">
        <v>0.47708034675027972</v>
      </c>
      <c r="K793" s="169">
        <f t="shared" si="37"/>
        <v>0</v>
      </c>
      <c r="L793" s="165">
        <v>0.08</v>
      </c>
      <c r="M793" s="151">
        <v>2</v>
      </c>
      <c r="N793" s="151" t="str">
        <f t="shared" si="38"/>
        <v>No fit</v>
      </c>
      <c r="O793" s="174" t="s">
        <v>7341</v>
      </c>
      <c r="P793" s="174" t="s">
        <v>7342</v>
      </c>
    </row>
    <row r="794" spans="1:16" ht="64.05" customHeight="1" x14ac:dyDescent="0.3">
      <c r="A794" s="154" t="s">
        <v>7343</v>
      </c>
      <c r="B794" s="154" t="s">
        <v>6006</v>
      </c>
      <c r="C794" s="154" t="s">
        <v>114</v>
      </c>
      <c r="D794" s="154">
        <v>2022</v>
      </c>
      <c r="E794" s="154" t="s">
        <v>196</v>
      </c>
      <c r="F794" s="173" t="s">
        <v>7344</v>
      </c>
      <c r="G794" s="166">
        <f>FCCL!E84</f>
        <v>54243.118000000002</v>
      </c>
      <c r="H794" s="166">
        <f>AVERAGE(FCCL!D37,FCCL!E37)</f>
        <v>73875.15400000001</v>
      </c>
      <c r="I794" s="164">
        <f t="shared" si="36"/>
        <v>0.7342538737719585</v>
      </c>
      <c r="J794" s="164">
        <v>0.7342538737719585</v>
      </c>
      <c r="K794" s="168">
        <f t="shared" si="37"/>
        <v>0</v>
      </c>
      <c r="L794" s="164">
        <v>0.08</v>
      </c>
      <c r="M794" s="154">
        <v>2</v>
      </c>
      <c r="N794" s="154" t="str">
        <f t="shared" si="38"/>
        <v>No fit</v>
      </c>
      <c r="O794" s="173" t="s">
        <v>7345</v>
      </c>
      <c r="P794" s="173" t="s">
        <v>7342</v>
      </c>
    </row>
    <row r="795" spans="1:16" ht="64.05" customHeight="1" x14ac:dyDescent="0.3">
      <c r="A795" s="151" t="s">
        <v>7346</v>
      </c>
      <c r="B795" s="151" t="s">
        <v>6006</v>
      </c>
      <c r="C795" s="151" t="s">
        <v>114</v>
      </c>
      <c r="D795" s="151">
        <v>2022</v>
      </c>
      <c r="E795" s="151" t="s">
        <v>196</v>
      </c>
      <c r="F795" s="174" t="s">
        <v>6025</v>
      </c>
      <c r="G795" s="167">
        <f>FCCL!E84</f>
        <v>54243.118000000002</v>
      </c>
      <c r="H795" s="167">
        <f>FCCL!E20</f>
        <v>74126.315000000002</v>
      </c>
      <c r="I795" s="165">
        <f t="shared" si="36"/>
        <v>0.73176601318978285</v>
      </c>
      <c r="J795" s="165">
        <v>0.73176601318978285</v>
      </c>
      <c r="K795" s="169">
        <f t="shared" si="37"/>
        <v>0</v>
      </c>
      <c r="L795" s="165">
        <v>0.08</v>
      </c>
      <c r="M795" s="151">
        <v>2</v>
      </c>
      <c r="N795" s="151" t="str">
        <f t="shared" si="38"/>
        <v>No fit</v>
      </c>
      <c r="O795" s="174" t="s">
        <v>7347</v>
      </c>
      <c r="P795" s="174" t="s">
        <v>7342</v>
      </c>
    </row>
    <row r="796" spans="1:16" ht="64.05" customHeight="1" x14ac:dyDescent="0.3">
      <c r="A796" s="154" t="s">
        <v>7348</v>
      </c>
      <c r="B796" s="154" t="s">
        <v>6006</v>
      </c>
      <c r="C796" s="154" t="s">
        <v>114</v>
      </c>
      <c r="D796" s="154">
        <v>2022</v>
      </c>
      <c r="E796" s="154" t="s">
        <v>196</v>
      </c>
      <c r="F796" s="173" t="s">
        <v>7349</v>
      </c>
      <c r="G796" s="166">
        <f>FCCL!E84</f>
        <v>54243.118000000002</v>
      </c>
      <c r="H796" s="166">
        <f>AVERAGE(FCCL!D20,FCCL!E20)</f>
        <v>47774.264999999999</v>
      </c>
      <c r="I796" s="164">
        <f t="shared" si="36"/>
        <v>1.1354045530580115</v>
      </c>
      <c r="J796" s="164">
        <v>1.1354045530580115</v>
      </c>
      <c r="K796" s="168">
        <f t="shared" si="37"/>
        <v>0</v>
      </c>
      <c r="L796" s="164">
        <v>0.08</v>
      </c>
      <c r="M796" s="154">
        <v>2</v>
      </c>
      <c r="N796" s="154" t="str">
        <f t="shared" si="38"/>
        <v>No fit</v>
      </c>
      <c r="O796" s="173" t="s">
        <v>7350</v>
      </c>
      <c r="P796" s="173" t="s">
        <v>7342</v>
      </c>
    </row>
    <row r="797" spans="1:16" ht="64.05" customHeight="1" x14ac:dyDescent="0.3">
      <c r="A797" s="151" t="s">
        <v>7351</v>
      </c>
      <c r="B797" s="151" t="s">
        <v>6006</v>
      </c>
      <c r="C797" s="151" t="s">
        <v>114</v>
      </c>
      <c r="D797" s="151">
        <v>2022</v>
      </c>
      <c r="E797" s="151" t="s">
        <v>196</v>
      </c>
      <c r="F797" s="174" t="s">
        <v>7352</v>
      </c>
      <c r="G797" s="167">
        <f>FCCL!E84</f>
        <v>54243.118000000002</v>
      </c>
      <c r="H797" s="167">
        <f>FCCL!E22</f>
        <v>44324.145000000004</v>
      </c>
      <c r="I797" s="165">
        <f t="shared" si="36"/>
        <v>1.2237826132912433</v>
      </c>
      <c r="J797" s="165">
        <v>1.2237826132912433</v>
      </c>
      <c r="K797" s="169">
        <f t="shared" si="37"/>
        <v>0</v>
      </c>
      <c r="L797" s="165">
        <v>0.08</v>
      </c>
      <c r="M797" s="151">
        <v>2</v>
      </c>
      <c r="N797" s="151" t="str">
        <f t="shared" si="38"/>
        <v>No fit</v>
      </c>
      <c r="O797" s="174" t="s">
        <v>7353</v>
      </c>
      <c r="P797" s="174" t="s">
        <v>7342</v>
      </c>
    </row>
    <row r="798" spans="1:16" ht="64.05" customHeight="1" x14ac:dyDescent="0.3">
      <c r="A798" s="154" t="s">
        <v>7354</v>
      </c>
      <c r="B798" s="154" t="s">
        <v>6006</v>
      </c>
      <c r="C798" s="154" t="s">
        <v>114</v>
      </c>
      <c r="D798" s="154">
        <v>2022</v>
      </c>
      <c r="E798" s="154" t="s">
        <v>196</v>
      </c>
      <c r="F798" s="173" t="s">
        <v>7355</v>
      </c>
      <c r="G798" s="166">
        <f>FCCL!E84</f>
        <v>54243.118000000002</v>
      </c>
      <c r="H798" s="166">
        <f>AVERAGE(FCCL!D22,FCCL!E22)</f>
        <v>32772.136500000001</v>
      </c>
      <c r="I798" s="164">
        <f t="shared" si="36"/>
        <v>1.6551596506379742</v>
      </c>
      <c r="J798" s="164">
        <v>1.6551596506379742</v>
      </c>
      <c r="K798" s="168">
        <f t="shared" si="37"/>
        <v>0</v>
      </c>
      <c r="L798" s="164">
        <v>0.08</v>
      </c>
      <c r="M798" s="154">
        <v>2</v>
      </c>
      <c r="N798" s="154" t="str">
        <f t="shared" si="38"/>
        <v>No fit</v>
      </c>
      <c r="O798" s="173" t="s">
        <v>7356</v>
      </c>
      <c r="P798" s="173" t="s">
        <v>7342</v>
      </c>
    </row>
    <row r="799" spans="1:16" ht="64.05" customHeight="1" x14ac:dyDescent="0.3">
      <c r="A799" s="151" t="s">
        <v>7357</v>
      </c>
      <c r="B799" s="151" t="s">
        <v>6006</v>
      </c>
      <c r="C799" s="151" t="s">
        <v>114</v>
      </c>
      <c r="D799" s="151">
        <v>2022</v>
      </c>
      <c r="E799" s="151" t="s">
        <v>196</v>
      </c>
      <c r="F799" s="174" t="s">
        <v>7358</v>
      </c>
      <c r="G799" s="167">
        <f>FCCL!E84</f>
        <v>54243.118000000002</v>
      </c>
      <c r="H799" s="167">
        <f>FCCL!E28</f>
        <v>85481.265000000014</v>
      </c>
      <c r="I799" s="165">
        <f t="shared" si="36"/>
        <v>0.63456147964118215</v>
      </c>
      <c r="J799" s="165">
        <v>0.63456147964118226</v>
      </c>
      <c r="K799" s="169">
        <f t="shared" si="37"/>
        <v>0</v>
      </c>
      <c r="L799" s="165">
        <v>0.08</v>
      </c>
      <c r="M799" s="151">
        <v>2</v>
      </c>
      <c r="N799" s="151" t="str">
        <f t="shared" si="38"/>
        <v>No fit</v>
      </c>
      <c r="O799" s="174" t="s">
        <v>7359</v>
      </c>
      <c r="P799" s="174" t="s">
        <v>7342</v>
      </c>
    </row>
    <row r="800" spans="1:16" ht="64.05" customHeight="1" x14ac:dyDescent="0.3">
      <c r="A800" s="154" t="s">
        <v>7360</v>
      </c>
      <c r="B800" s="154" t="s">
        <v>6006</v>
      </c>
      <c r="C800" s="154" t="s">
        <v>114</v>
      </c>
      <c r="D800" s="154">
        <v>2022</v>
      </c>
      <c r="E800" s="154" t="s">
        <v>196</v>
      </c>
      <c r="F800" s="173" t="s">
        <v>7361</v>
      </c>
      <c r="G800" s="166">
        <f>FCCL!E84</f>
        <v>54243.118000000002</v>
      </c>
      <c r="H800" s="166">
        <f>AVERAGE(FCCL!D28,FCCL!E28)</f>
        <v>53547.382000000005</v>
      </c>
      <c r="I800" s="164">
        <f t="shared" si="36"/>
        <v>1.0129929041162087</v>
      </c>
      <c r="J800" s="164">
        <v>1.0129929041162087</v>
      </c>
      <c r="K800" s="168">
        <f t="shared" si="37"/>
        <v>0</v>
      </c>
      <c r="L800" s="164">
        <v>0.08</v>
      </c>
      <c r="M800" s="154">
        <v>2</v>
      </c>
      <c r="N800" s="154" t="str">
        <f t="shared" si="38"/>
        <v>No fit</v>
      </c>
      <c r="O800" s="173" t="s">
        <v>7362</v>
      </c>
      <c r="P800" s="173" t="s">
        <v>7342</v>
      </c>
    </row>
    <row r="801" spans="1:16" ht="64.05" customHeight="1" x14ac:dyDescent="0.3">
      <c r="A801" s="151" t="s">
        <v>7363</v>
      </c>
      <c r="B801" s="151" t="s">
        <v>6006</v>
      </c>
      <c r="C801" s="151" t="s">
        <v>114</v>
      </c>
      <c r="D801" s="151">
        <v>2022</v>
      </c>
      <c r="E801" s="151" t="s">
        <v>196</v>
      </c>
      <c r="F801" s="174" t="s">
        <v>7364</v>
      </c>
      <c r="G801" s="167">
        <f>FCCL!E84</f>
        <v>54243.118000000002</v>
      </c>
      <c r="H801" s="167">
        <f>'Forensic Inputs'!$G$100</f>
        <v>93857.971000000005</v>
      </c>
      <c r="I801" s="165">
        <f t="shared" si="36"/>
        <v>0.57792766476914359</v>
      </c>
      <c r="J801" s="165">
        <v>0.57792766476914359</v>
      </c>
      <c r="K801" s="169">
        <f t="shared" si="37"/>
        <v>0</v>
      </c>
      <c r="L801" s="165">
        <v>0.08</v>
      </c>
      <c r="M801" s="151">
        <v>2</v>
      </c>
      <c r="N801" s="151" t="str">
        <f t="shared" si="38"/>
        <v>No fit</v>
      </c>
      <c r="O801" s="174" t="s">
        <v>7365</v>
      </c>
      <c r="P801" s="174" t="s">
        <v>7342</v>
      </c>
    </row>
    <row r="802" spans="1:16" ht="64.05" customHeight="1" x14ac:dyDescent="0.3">
      <c r="A802" s="154" t="s">
        <v>7366</v>
      </c>
      <c r="B802" s="154" t="s">
        <v>6006</v>
      </c>
      <c r="C802" s="154" t="s">
        <v>114</v>
      </c>
      <c r="D802" s="154">
        <v>2022</v>
      </c>
      <c r="E802" s="154" t="s">
        <v>196</v>
      </c>
      <c r="F802" s="173" t="s">
        <v>7367</v>
      </c>
      <c r="G802" s="166">
        <f>FCCL!E84</f>
        <v>54243.118000000002</v>
      </c>
      <c r="H802" s="166">
        <f>('Forensic Inputs'!$G$100-FCCL!E21)</f>
        <v>64055.801000000007</v>
      </c>
      <c r="I802" s="164">
        <f t="shared" si="36"/>
        <v>0.84681039270744574</v>
      </c>
      <c r="J802" s="164">
        <v>0.84681039270744574</v>
      </c>
      <c r="K802" s="168">
        <f t="shared" si="37"/>
        <v>0</v>
      </c>
      <c r="L802" s="164">
        <v>0.08</v>
      </c>
      <c r="M802" s="154">
        <v>2</v>
      </c>
      <c r="N802" s="154" t="str">
        <f t="shared" si="38"/>
        <v>No fit</v>
      </c>
      <c r="O802" s="173" t="s">
        <v>7368</v>
      </c>
      <c r="P802" s="173" t="s">
        <v>7342</v>
      </c>
    </row>
    <row r="803" spans="1:16" ht="64.05" customHeight="1" x14ac:dyDescent="0.3">
      <c r="A803" s="151" t="s">
        <v>7369</v>
      </c>
      <c r="B803" s="151" t="s">
        <v>6006</v>
      </c>
      <c r="C803" s="151" t="s">
        <v>114</v>
      </c>
      <c r="D803" s="151">
        <v>2022</v>
      </c>
      <c r="E803" s="151" t="s">
        <v>196</v>
      </c>
      <c r="F803" s="174" t="s">
        <v>7370</v>
      </c>
      <c r="G803" s="167">
        <f>FCCL!E84</f>
        <v>54243.118000000002</v>
      </c>
      <c r="H803" s="167">
        <f>AVERAGE('Forensic Inputs'!$G$98,'Forensic Inputs'!$G$100)</f>
        <v>66160.972999999998</v>
      </c>
      <c r="I803" s="165">
        <f t="shared" si="36"/>
        <v>0.81986578401741472</v>
      </c>
      <c r="J803" s="165">
        <v>0.81986578401741472</v>
      </c>
      <c r="K803" s="169">
        <f t="shared" si="37"/>
        <v>0</v>
      </c>
      <c r="L803" s="165">
        <v>0.08</v>
      </c>
      <c r="M803" s="151">
        <v>2</v>
      </c>
      <c r="N803" s="151" t="str">
        <f t="shared" si="38"/>
        <v>No fit</v>
      </c>
      <c r="O803" s="174" t="s">
        <v>7371</v>
      </c>
      <c r="P803" s="174" t="s">
        <v>7342</v>
      </c>
    </row>
    <row r="804" spans="1:16" ht="64.05" customHeight="1" x14ac:dyDescent="0.3">
      <c r="A804" s="154" t="s">
        <v>7372</v>
      </c>
      <c r="B804" s="154" t="s">
        <v>6006</v>
      </c>
      <c r="C804" s="154" t="s">
        <v>114</v>
      </c>
      <c r="D804" s="154">
        <v>2022</v>
      </c>
      <c r="E804" s="154" t="s">
        <v>196</v>
      </c>
      <c r="F804" s="173" t="s">
        <v>7373</v>
      </c>
      <c r="G804" s="166">
        <f>FCCL!E99</f>
        <v>7112.5400000000009</v>
      </c>
      <c r="H804" s="166">
        <f>FCCL!E37</f>
        <v>113698.07700000002</v>
      </c>
      <c r="I804" s="164">
        <f t="shared" si="36"/>
        <v>6.2556379031810716E-2</v>
      </c>
      <c r="J804" s="164">
        <v>6.2556379031810716E-2</v>
      </c>
      <c r="K804" s="168">
        <f t="shared" si="37"/>
        <v>0</v>
      </c>
      <c r="L804" s="164">
        <v>0.08</v>
      </c>
      <c r="M804" s="154">
        <v>2</v>
      </c>
      <c r="N804" s="154" t="str">
        <f t="shared" si="38"/>
        <v>No fit</v>
      </c>
      <c r="O804" s="173" t="s">
        <v>7374</v>
      </c>
      <c r="P804" s="173" t="s">
        <v>7342</v>
      </c>
    </row>
    <row r="805" spans="1:16" ht="64.05" customHeight="1" x14ac:dyDescent="0.3">
      <c r="A805" s="151" t="s">
        <v>7375</v>
      </c>
      <c r="B805" s="151" t="s">
        <v>6006</v>
      </c>
      <c r="C805" s="151" t="s">
        <v>114</v>
      </c>
      <c r="D805" s="151">
        <v>2022</v>
      </c>
      <c r="E805" s="151" t="s">
        <v>196</v>
      </c>
      <c r="F805" s="174" t="s">
        <v>7376</v>
      </c>
      <c r="G805" s="167">
        <f>FCCL!E99</f>
        <v>7112.5400000000009</v>
      </c>
      <c r="H805" s="167">
        <f>AVERAGE(FCCL!D37,FCCL!E37)</f>
        <v>73875.15400000001</v>
      </c>
      <c r="I805" s="165">
        <f t="shared" si="36"/>
        <v>9.6277836524036209E-2</v>
      </c>
      <c r="J805" s="165">
        <v>9.6277836524036209E-2</v>
      </c>
      <c r="K805" s="169">
        <f t="shared" si="37"/>
        <v>0</v>
      </c>
      <c r="L805" s="165">
        <v>0.08</v>
      </c>
      <c r="M805" s="151">
        <v>2</v>
      </c>
      <c r="N805" s="151" t="str">
        <f t="shared" si="38"/>
        <v>No fit</v>
      </c>
      <c r="O805" s="174" t="s">
        <v>7377</v>
      </c>
      <c r="P805" s="174" t="s">
        <v>7342</v>
      </c>
    </row>
    <row r="806" spans="1:16" ht="64.05" customHeight="1" x14ac:dyDescent="0.3">
      <c r="A806" s="154" t="s">
        <v>7378</v>
      </c>
      <c r="B806" s="154" t="s">
        <v>6006</v>
      </c>
      <c r="C806" s="154" t="s">
        <v>114</v>
      </c>
      <c r="D806" s="154">
        <v>2022</v>
      </c>
      <c r="E806" s="154" t="s">
        <v>196</v>
      </c>
      <c r="F806" s="173" t="s">
        <v>7379</v>
      </c>
      <c r="G806" s="166">
        <f>FCCL!E99</f>
        <v>7112.5400000000009</v>
      </c>
      <c r="H806" s="166">
        <f>FCCL!E20</f>
        <v>74126.315000000002</v>
      </c>
      <c r="I806" s="164">
        <f t="shared" si="36"/>
        <v>9.5951619880200442E-2</v>
      </c>
      <c r="J806" s="164">
        <v>9.5951619880200442E-2</v>
      </c>
      <c r="K806" s="168">
        <f t="shared" si="37"/>
        <v>0</v>
      </c>
      <c r="L806" s="164">
        <v>0.08</v>
      </c>
      <c r="M806" s="154">
        <v>2</v>
      </c>
      <c r="N806" s="154" t="str">
        <f t="shared" si="38"/>
        <v>No fit</v>
      </c>
      <c r="O806" s="173" t="s">
        <v>7380</v>
      </c>
      <c r="P806" s="173" t="s">
        <v>7342</v>
      </c>
    </row>
    <row r="807" spans="1:16" ht="64.05" customHeight="1" x14ac:dyDescent="0.3">
      <c r="A807" s="151" t="s">
        <v>7381</v>
      </c>
      <c r="B807" s="151" t="s">
        <v>6006</v>
      </c>
      <c r="C807" s="151" t="s">
        <v>114</v>
      </c>
      <c r="D807" s="151">
        <v>2022</v>
      </c>
      <c r="E807" s="151" t="s">
        <v>196</v>
      </c>
      <c r="F807" s="174" t="s">
        <v>7382</v>
      </c>
      <c r="G807" s="167">
        <f>FCCL!E99</f>
        <v>7112.5400000000009</v>
      </c>
      <c r="H807" s="167">
        <f>AVERAGE(FCCL!D20,FCCL!E20)</f>
        <v>47774.264999999999</v>
      </c>
      <c r="I807" s="165">
        <f t="shared" si="36"/>
        <v>0.1488780622789278</v>
      </c>
      <c r="J807" s="165">
        <v>0.1488780622789278</v>
      </c>
      <c r="K807" s="169">
        <f t="shared" si="37"/>
        <v>0</v>
      </c>
      <c r="L807" s="165">
        <v>0.08</v>
      </c>
      <c r="M807" s="151">
        <v>2</v>
      </c>
      <c r="N807" s="151" t="str">
        <f t="shared" si="38"/>
        <v>No fit</v>
      </c>
      <c r="O807" s="174" t="s">
        <v>7383</v>
      </c>
      <c r="P807" s="174" t="s">
        <v>7342</v>
      </c>
    </row>
    <row r="808" spans="1:16" ht="64.05" customHeight="1" x14ac:dyDescent="0.3">
      <c r="A808" s="154" t="s">
        <v>7384</v>
      </c>
      <c r="B808" s="154" t="s">
        <v>6006</v>
      </c>
      <c r="C808" s="154" t="s">
        <v>114</v>
      </c>
      <c r="D808" s="154">
        <v>2022</v>
      </c>
      <c r="E808" s="154" t="s">
        <v>196</v>
      </c>
      <c r="F808" s="173" t="s">
        <v>7385</v>
      </c>
      <c r="G808" s="166">
        <f>FCCL!E99</f>
        <v>7112.5400000000009</v>
      </c>
      <c r="H808" s="166">
        <f>FCCL!E22</f>
        <v>44324.145000000004</v>
      </c>
      <c r="I808" s="164">
        <f t="shared" si="36"/>
        <v>0.1604664906677839</v>
      </c>
      <c r="J808" s="164">
        <v>0.1604664906677839</v>
      </c>
      <c r="K808" s="168">
        <f t="shared" si="37"/>
        <v>0</v>
      </c>
      <c r="L808" s="164">
        <v>0.08</v>
      </c>
      <c r="M808" s="154">
        <v>2</v>
      </c>
      <c r="N808" s="154" t="str">
        <f t="shared" si="38"/>
        <v>No fit</v>
      </c>
      <c r="O808" s="173" t="s">
        <v>7386</v>
      </c>
      <c r="P808" s="173" t="s">
        <v>7342</v>
      </c>
    </row>
    <row r="809" spans="1:16" ht="64.05" customHeight="1" x14ac:dyDescent="0.3">
      <c r="A809" s="151" t="s">
        <v>7387</v>
      </c>
      <c r="B809" s="151" t="s">
        <v>6006</v>
      </c>
      <c r="C809" s="151" t="s">
        <v>114</v>
      </c>
      <c r="D809" s="151">
        <v>2022</v>
      </c>
      <c r="E809" s="151" t="s">
        <v>196</v>
      </c>
      <c r="F809" s="174" t="s">
        <v>7388</v>
      </c>
      <c r="G809" s="167">
        <f>FCCL!E99</f>
        <v>7112.5400000000009</v>
      </c>
      <c r="H809" s="167">
        <f>AVERAGE(FCCL!D22,FCCL!E22)</f>
        <v>32772.136500000001</v>
      </c>
      <c r="I809" s="165">
        <f t="shared" si="36"/>
        <v>0.2170300981139878</v>
      </c>
      <c r="J809" s="165">
        <v>0.2170300981139878</v>
      </c>
      <c r="K809" s="169">
        <f t="shared" si="37"/>
        <v>0</v>
      </c>
      <c r="L809" s="165">
        <v>0.08</v>
      </c>
      <c r="M809" s="151">
        <v>2</v>
      </c>
      <c r="N809" s="151" t="str">
        <f t="shared" si="38"/>
        <v>No fit</v>
      </c>
      <c r="O809" s="174" t="s">
        <v>7389</v>
      </c>
      <c r="P809" s="174" t="s">
        <v>7342</v>
      </c>
    </row>
    <row r="810" spans="1:16" ht="64.05" customHeight="1" x14ac:dyDescent="0.3">
      <c r="A810" s="154" t="s">
        <v>7390</v>
      </c>
      <c r="B810" s="154" t="s">
        <v>6006</v>
      </c>
      <c r="C810" s="154" t="s">
        <v>114</v>
      </c>
      <c r="D810" s="154">
        <v>2022</v>
      </c>
      <c r="E810" s="154" t="s">
        <v>196</v>
      </c>
      <c r="F810" s="173" t="s">
        <v>7391</v>
      </c>
      <c r="G810" s="166">
        <f>FCCL!E99</f>
        <v>7112.5400000000009</v>
      </c>
      <c r="H810" s="166">
        <f>FCCL!E28</f>
        <v>85481.265000000014</v>
      </c>
      <c r="I810" s="164">
        <f t="shared" si="36"/>
        <v>8.3205834635226794E-2</v>
      </c>
      <c r="J810" s="164">
        <v>8.3205834635226808E-2</v>
      </c>
      <c r="K810" s="168">
        <f t="shared" si="37"/>
        <v>0</v>
      </c>
      <c r="L810" s="164">
        <v>0.08</v>
      </c>
      <c r="M810" s="154">
        <v>2</v>
      </c>
      <c r="N810" s="154" t="str">
        <f t="shared" si="38"/>
        <v>Numeric fit</v>
      </c>
      <c r="O810" s="173" t="s">
        <v>7392</v>
      </c>
      <c r="P810" s="173" t="s">
        <v>7342</v>
      </c>
    </row>
    <row r="811" spans="1:16" ht="64.05" customHeight="1" x14ac:dyDescent="0.3">
      <c r="A811" s="151" t="s">
        <v>7393</v>
      </c>
      <c r="B811" s="151" t="s">
        <v>6006</v>
      </c>
      <c r="C811" s="151" t="s">
        <v>114</v>
      </c>
      <c r="D811" s="151">
        <v>2022</v>
      </c>
      <c r="E811" s="151" t="s">
        <v>196</v>
      </c>
      <c r="F811" s="174" t="s">
        <v>7394</v>
      </c>
      <c r="G811" s="167">
        <f>FCCL!E99</f>
        <v>7112.5400000000009</v>
      </c>
      <c r="H811" s="167">
        <f>AVERAGE(FCCL!D28,FCCL!E28)</f>
        <v>53547.382000000005</v>
      </c>
      <c r="I811" s="165">
        <f t="shared" si="36"/>
        <v>0.13282703531612433</v>
      </c>
      <c r="J811" s="165">
        <v>0.13282703531612436</v>
      </c>
      <c r="K811" s="169">
        <f t="shared" si="37"/>
        <v>0</v>
      </c>
      <c r="L811" s="165">
        <v>0.08</v>
      </c>
      <c r="M811" s="151">
        <v>2</v>
      </c>
      <c r="N811" s="151" t="str">
        <f t="shared" si="38"/>
        <v>No fit</v>
      </c>
      <c r="O811" s="174" t="s">
        <v>7395</v>
      </c>
      <c r="P811" s="174" t="s">
        <v>7342</v>
      </c>
    </row>
    <row r="812" spans="1:16" ht="64.05" customHeight="1" x14ac:dyDescent="0.3">
      <c r="A812" s="154" t="s">
        <v>7396</v>
      </c>
      <c r="B812" s="154" t="s">
        <v>6006</v>
      </c>
      <c r="C812" s="154" t="s">
        <v>114</v>
      </c>
      <c r="D812" s="154">
        <v>2022</v>
      </c>
      <c r="E812" s="154" t="s">
        <v>196</v>
      </c>
      <c r="F812" s="173" t="s">
        <v>7397</v>
      </c>
      <c r="G812" s="166">
        <f>FCCL!E99</f>
        <v>7112.5400000000009</v>
      </c>
      <c r="H812" s="166">
        <f>'Forensic Inputs'!$G$100</f>
        <v>93857.971000000005</v>
      </c>
      <c r="I812" s="164">
        <f t="shared" si="36"/>
        <v>7.5779818423733034E-2</v>
      </c>
      <c r="J812" s="164">
        <v>7.5779818423733034E-2</v>
      </c>
      <c r="K812" s="168">
        <f t="shared" si="37"/>
        <v>0</v>
      </c>
      <c r="L812" s="164">
        <v>0.08</v>
      </c>
      <c r="M812" s="154">
        <v>2</v>
      </c>
      <c r="N812" s="154" t="str">
        <f t="shared" si="38"/>
        <v>Numeric fit</v>
      </c>
      <c r="O812" s="173" t="s">
        <v>7398</v>
      </c>
      <c r="P812" s="173" t="s">
        <v>7342</v>
      </c>
    </row>
    <row r="813" spans="1:16" ht="64.05" customHeight="1" x14ac:dyDescent="0.3">
      <c r="A813" s="151" t="s">
        <v>7399</v>
      </c>
      <c r="B813" s="151" t="s">
        <v>6006</v>
      </c>
      <c r="C813" s="151" t="s">
        <v>114</v>
      </c>
      <c r="D813" s="151">
        <v>2022</v>
      </c>
      <c r="E813" s="151" t="s">
        <v>196</v>
      </c>
      <c r="F813" s="174" t="s">
        <v>7400</v>
      </c>
      <c r="G813" s="167">
        <f>FCCL!E99</f>
        <v>7112.5400000000009</v>
      </c>
      <c r="H813" s="167">
        <f>('Forensic Inputs'!$G$100-FCCL!E21)</f>
        <v>64055.801000000007</v>
      </c>
      <c r="I813" s="165">
        <f t="shared" si="36"/>
        <v>0.11103662570701442</v>
      </c>
      <c r="J813" s="165">
        <v>0.11103662570701442</v>
      </c>
      <c r="K813" s="169">
        <f t="shared" si="37"/>
        <v>0</v>
      </c>
      <c r="L813" s="165">
        <v>0.08</v>
      </c>
      <c r="M813" s="151">
        <v>2</v>
      </c>
      <c r="N813" s="151" t="str">
        <f t="shared" si="38"/>
        <v>No fit</v>
      </c>
      <c r="O813" s="174" t="s">
        <v>7401</v>
      </c>
      <c r="P813" s="174" t="s">
        <v>7342</v>
      </c>
    </row>
    <row r="814" spans="1:16" ht="64.05" customHeight="1" x14ac:dyDescent="0.3">
      <c r="A814" s="154" t="s">
        <v>7402</v>
      </c>
      <c r="B814" s="154" t="s">
        <v>6006</v>
      </c>
      <c r="C814" s="154" t="s">
        <v>114</v>
      </c>
      <c r="D814" s="154">
        <v>2022</v>
      </c>
      <c r="E814" s="154" t="s">
        <v>196</v>
      </c>
      <c r="F814" s="173" t="s">
        <v>7403</v>
      </c>
      <c r="G814" s="166">
        <f>FCCL!E99</f>
        <v>7112.5400000000009</v>
      </c>
      <c r="H814" s="166">
        <f>AVERAGE('Forensic Inputs'!$G$98,'Forensic Inputs'!$G$100)</f>
        <v>66160.972999999998</v>
      </c>
      <c r="I814" s="164">
        <f t="shared" si="36"/>
        <v>0.10750355802657258</v>
      </c>
      <c r="J814" s="164">
        <v>0.10750355802657258</v>
      </c>
      <c r="K814" s="168">
        <f t="shared" si="37"/>
        <v>0</v>
      </c>
      <c r="L814" s="164">
        <v>0.08</v>
      </c>
      <c r="M814" s="154">
        <v>2</v>
      </c>
      <c r="N814" s="154" t="str">
        <f t="shared" si="38"/>
        <v>No fit</v>
      </c>
      <c r="O814" s="173" t="s">
        <v>7404</v>
      </c>
      <c r="P814" s="173" t="s">
        <v>7342</v>
      </c>
    </row>
    <row r="815" spans="1:16" ht="64.05" customHeight="1" x14ac:dyDescent="0.3">
      <c r="A815" s="151" t="s">
        <v>7405</v>
      </c>
      <c r="B815" s="151" t="s">
        <v>6006</v>
      </c>
      <c r="C815" s="151" t="s">
        <v>114</v>
      </c>
      <c r="D815" s="151">
        <v>2022</v>
      </c>
      <c r="E815" s="151" t="s">
        <v>196</v>
      </c>
      <c r="F815" s="174" t="s">
        <v>7406</v>
      </c>
      <c r="G815" s="167">
        <f>FCCL!E96</f>
        <v>11528.093000000001</v>
      </c>
      <c r="H815" s="167">
        <f>FCCL!E37</f>
        <v>113698.07700000002</v>
      </c>
      <c r="I815" s="165">
        <f t="shared" si="36"/>
        <v>0.10139215459202533</v>
      </c>
      <c r="J815" s="165">
        <v>0.10139215459202533</v>
      </c>
      <c r="K815" s="169">
        <f t="shared" si="37"/>
        <v>0</v>
      </c>
      <c r="L815" s="165">
        <v>0.08</v>
      </c>
      <c r="M815" s="151">
        <v>2</v>
      </c>
      <c r="N815" s="151" t="str">
        <f t="shared" si="38"/>
        <v>No fit</v>
      </c>
      <c r="O815" s="174" t="s">
        <v>7407</v>
      </c>
      <c r="P815" s="174" t="s">
        <v>7342</v>
      </c>
    </row>
    <row r="816" spans="1:16" ht="64.05" customHeight="1" x14ac:dyDescent="0.3">
      <c r="A816" s="154" t="s">
        <v>7408</v>
      </c>
      <c r="B816" s="154" t="s">
        <v>6006</v>
      </c>
      <c r="C816" s="154" t="s">
        <v>114</v>
      </c>
      <c r="D816" s="154">
        <v>2022</v>
      </c>
      <c r="E816" s="154" t="s">
        <v>196</v>
      </c>
      <c r="F816" s="173" t="s">
        <v>7409</v>
      </c>
      <c r="G816" s="166">
        <f>FCCL!E96</f>
        <v>11528.093000000001</v>
      </c>
      <c r="H816" s="166">
        <f>AVERAGE(FCCL!D37,FCCL!E37)</f>
        <v>73875.15400000001</v>
      </c>
      <c r="I816" s="164">
        <f t="shared" si="36"/>
        <v>0.15604831091113527</v>
      </c>
      <c r="J816" s="164">
        <v>0.15604831091113527</v>
      </c>
      <c r="K816" s="168">
        <f t="shared" si="37"/>
        <v>0</v>
      </c>
      <c r="L816" s="164">
        <v>0.08</v>
      </c>
      <c r="M816" s="154">
        <v>2</v>
      </c>
      <c r="N816" s="154" t="str">
        <f t="shared" si="38"/>
        <v>No fit</v>
      </c>
      <c r="O816" s="173" t="s">
        <v>7410</v>
      </c>
      <c r="P816" s="173" t="s">
        <v>7342</v>
      </c>
    </row>
    <row r="817" spans="1:16" ht="64.05" customHeight="1" x14ac:dyDescent="0.3">
      <c r="A817" s="151" t="s">
        <v>7411</v>
      </c>
      <c r="B817" s="151" t="s">
        <v>6006</v>
      </c>
      <c r="C817" s="151" t="s">
        <v>114</v>
      </c>
      <c r="D817" s="151">
        <v>2022</v>
      </c>
      <c r="E817" s="151" t="s">
        <v>196</v>
      </c>
      <c r="F817" s="174" t="s">
        <v>7412</v>
      </c>
      <c r="G817" s="167">
        <f>FCCL!E96</f>
        <v>11528.093000000001</v>
      </c>
      <c r="H817" s="167">
        <f>FCCL!E20</f>
        <v>74126.315000000002</v>
      </c>
      <c r="I817" s="165">
        <f t="shared" si="36"/>
        <v>0.15551957493098098</v>
      </c>
      <c r="J817" s="165">
        <v>0.15551957493098098</v>
      </c>
      <c r="K817" s="169">
        <f t="shared" si="37"/>
        <v>0</v>
      </c>
      <c r="L817" s="165">
        <v>0.08</v>
      </c>
      <c r="M817" s="151">
        <v>2</v>
      </c>
      <c r="N817" s="151" t="str">
        <f t="shared" si="38"/>
        <v>No fit</v>
      </c>
      <c r="O817" s="174" t="s">
        <v>7413</v>
      </c>
      <c r="P817" s="174" t="s">
        <v>7342</v>
      </c>
    </row>
    <row r="818" spans="1:16" ht="64.05" customHeight="1" x14ac:dyDescent="0.3">
      <c r="A818" s="154" t="s">
        <v>7414</v>
      </c>
      <c r="B818" s="154" t="s">
        <v>6006</v>
      </c>
      <c r="C818" s="154" t="s">
        <v>114</v>
      </c>
      <c r="D818" s="154">
        <v>2022</v>
      </c>
      <c r="E818" s="154" t="s">
        <v>196</v>
      </c>
      <c r="F818" s="173" t="s">
        <v>7415</v>
      </c>
      <c r="G818" s="166">
        <f>FCCL!E96</f>
        <v>11528.093000000001</v>
      </c>
      <c r="H818" s="166">
        <f>AVERAGE(FCCL!D20,FCCL!E20)</f>
        <v>47774.264999999999</v>
      </c>
      <c r="I818" s="164">
        <f t="shared" si="36"/>
        <v>0.24130340885411844</v>
      </c>
      <c r="J818" s="164">
        <v>0.24130340885411844</v>
      </c>
      <c r="K818" s="168">
        <f t="shared" si="37"/>
        <v>0</v>
      </c>
      <c r="L818" s="164">
        <v>0.08</v>
      </c>
      <c r="M818" s="154">
        <v>2</v>
      </c>
      <c r="N818" s="154" t="str">
        <f t="shared" si="38"/>
        <v>No fit</v>
      </c>
      <c r="O818" s="173" t="s">
        <v>7416</v>
      </c>
      <c r="P818" s="173" t="s">
        <v>7342</v>
      </c>
    </row>
    <row r="819" spans="1:16" ht="64.05" customHeight="1" x14ac:dyDescent="0.3">
      <c r="A819" s="151" t="s">
        <v>7417</v>
      </c>
      <c r="B819" s="151" t="s">
        <v>6006</v>
      </c>
      <c r="C819" s="151" t="s">
        <v>114</v>
      </c>
      <c r="D819" s="151">
        <v>2022</v>
      </c>
      <c r="E819" s="151" t="s">
        <v>196</v>
      </c>
      <c r="F819" s="174" t="s">
        <v>7418</v>
      </c>
      <c r="G819" s="167">
        <f>FCCL!E96</f>
        <v>11528.093000000001</v>
      </c>
      <c r="H819" s="167">
        <f>FCCL!E22</f>
        <v>44324.145000000004</v>
      </c>
      <c r="I819" s="165">
        <f t="shared" si="36"/>
        <v>0.26008607723848931</v>
      </c>
      <c r="J819" s="165">
        <v>0.26008607723848931</v>
      </c>
      <c r="K819" s="169">
        <f t="shared" si="37"/>
        <v>0</v>
      </c>
      <c r="L819" s="165">
        <v>0.08</v>
      </c>
      <c r="M819" s="151">
        <v>2</v>
      </c>
      <c r="N819" s="151" t="str">
        <f t="shared" si="38"/>
        <v>No fit</v>
      </c>
      <c r="O819" s="174" t="s">
        <v>7419</v>
      </c>
      <c r="P819" s="174" t="s">
        <v>7342</v>
      </c>
    </row>
    <row r="820" spans="1:16" ht="64.05" customHeight="1" x14ac:dyDescent="0.3">
      <c r="A820" s="154" t="s">
        <v>7420</v>
      </c>
      <c r="B820" s="154" t="s">
        <v>6006</v>
      </c>
      <c r="C820" s="154" t="s">
        <v>114</v>
      </c>
      <c r="D820" s="154">
        <v>2022</v>
      </c>
      <c r="E820" s="154" t="s">
        <v>196</v>
      </c>
      <c r="F820" s="173" t="s">
        <v>7421</v>
      </c>
      <c r="G820" s="166">
        <f>FCCL!E96</f>
        <v>11528.093000000001</v>
      </c>
      <c r="H820" s="166">
        <f>AVERAGE(FCCL!D22,FCCL!E22)</f>
        <v>32772.136500000001</v>
      </c>
      <c r="I820" s="164">
        <f t="shared" si="36"/>
        <v>0.35176507335736262</v>
      </c>
      <c r="J820" s="164">
        <v>0.35176507335736262</v>
      </c>
      <c r="K820" s="168">
        <f t="shared" si="37"/>
        <v>0</v>
      </c>
      <c r="L820" s="164">
        <v>0.08</v>
      </c>
      <c r="M820" s="154">
        <v>2</v>
      </c>
      <c r="N820" s="154" t="str">
        <f t="shared" si="38"/>
        <v>No fit</v>
      </c>
      <c r="O820" s="173" t="s">
        <v>7422</v>
      </c>
      <c r="P820" s="173" t="s">
        <v>7342</v>
      </c>
    </row>
    <row r="821" spans="1:16" ht="64.05" customHeight="1" x14ac:dyDescent="0.3">
      <c r="A821" s="151" t="s">
        <v>7423</v>
      </c>
      <c r="B821" s="151" t="s">
        <v>6006</v>
      </c>
      <c r="C821" s="151" t="s">
        <v>114</v>
      </c>
      <c r="D821" s="151">
        <v>2022</v>
      </c>
      <c r="E821" s="151" t="s">
        <v>196</v>
      </c>
      <c r="F821" s="174" t="s">
        <v>7424</v>
      </c>
      <c r="G821" s="167">
        <f>FCCL!E96</f>
        <v>11528.093000000001</v>
      </c>
      <c r="H821" s="167">
        <f>FCCL!E28</f>
        <v>85481.265000000014</v>
      </c>
      <c r="I821" s="165">
        <f t="shared" si="36"/>
        <v>0.13486104820746392</v>
      </c>
      <c r="J821" s="165">
        <v>0.13486104820746395</v>
      </c>
      <c r="K821" s="169">
        <f t="shared" si="37"/>
        <v>0</v>
      </c>
      <c r="L821" s="165">
        <v>0.08</v>
      </c>
      <c r="M821" s="151">
        <v>2</v>
      </c>
      <c r="N821" s="151" t="str">
        <f t="shared" si="38"/>
        <v>No fit</v>
      </c>
      <c r="O821" s="174" t="s">
        <v>7425</v>
      </c>
      <c r="P821" s="174" t="s">
        <v>7342</v>
      </c>
    </row>
    <row r="822" spans="1:16" ht="64.05" customHeight="1" x14ac:dyDescent="0.3">
      <c r="A822" s="154" t="s">
        <v>7426</v>
      </c>
      <c r="B822" s="154" t="s">
        <v>6006</v>
      </c>
      <c r="C822" s="154" t="s">
        <v>114</v>
      </c>
      <c r="D822" s="154">
        <v>2022</v>
      </c>
      <c r="E822" s="154" t="s">
        <v>196</v>
      </c>
      <c r="F822" s="173" t="s">
        <v>7427</v>
      </c>
      <c r="G822" s="166">
        <f>FCCL!E96</f>
        <v>11528.093000000001</v>
      </c>
      <c r="H822" s="166">
        <f>AVERAGE(FCCL!D28,FCCL!E28)</f>
        <v>53547.382000000005</v>
      </c>
      <c r="I822" s="164">
        <f t="shared" si="36"/>
        <v>0.21528770538212305</v>
      </c>
      <c r="J822" s="164">
        <v>0.21528770538212311</v>
      </c>
      <c r="K822" s="168">
        <f t="shared" si="37"/>
        <v>0</v>
      </c>
      <c r="L822" s="164">
        <v>0.08</v>
      </c>
      <c r="M822" s="154">
        <v>2</v>
      </c>
      <c r="N822" s="154" t="str">
        <f t="shared" si="38"/>
        <v>No fit</v>
      </c>
      <c r="O822" s="173" t="s">
        <v>7428</v>
      </c>
      <c r="P822" s="173" t="s">
        <v>7342</v>
      </c>
    </row>
    <row r="823" spans="1:16" ht="64.05" customHeight="1" x14ac:dyDescent="0.3">
      <c r="A823" s="151" t="s">
        <v>7429</v>
      </c>
      <c r="B823" s="151" t="s">
        <v>6006</v>
      </c>
      <c r="C823" s="151" t="s">
        <v>114</v>
      </c>
      <c r="D823" s="151">
        <v>2022</v>
      </c>
      <c r="E823" s="151" t="s">
        <v>196</v>
      </c>
      <c r="F823" s="174" t="s">
        <v>7430</v>
      </c>
      <c r="G823" s="167">
        <f>FCCL!E96</f>
        <v>11528.093000000001</v>
      </c>
      <c r="H823" s="167">
        <f>'Forensic Inputs'!$G$100</f>
        <v>93857.971000000005</v>
      </c>
      <c r="I823" s="165">
        <f t="shared" si="36"/>
        <v>0.12282486907798167</v>
      </c>
      <c r="J823" s="165">
        <v>0.12282486907798167</v>
      </c>
      <c r="K823" s="169">
        <f t="shared" si="37"/>
        <v>0</v>
      </c>
      <c r="L823" s="165">
        <v>0.08</v>
      </c>
      <c r="M823" s="151">
        <v>2</v>
      </c>
      <c r="N823" s="151" t="str">
        <f t="shared" si="38"/>
        <v>No fit</v>
      </c>
      <c r="O823" s="174" t="s">
        <v>7431</v>
      </c>
      <c r="P823" s="174" t="s">
        <v>7342</v>
      </c>
    </row>
    <row r="824" spans="1:16" ht="64.05" customHeight="1" x14ac:dyDescent="0.3">
      <c r="A824" s="154" t="s">
        <v>7432</v>
      </c>
      <c r="B824" s="154" t="s">
        <v>6006</v>
      </c>
      <c r="C824" s="154" t="s">
        <v>114</v>
      </c>
      <c r="D824" s="154">
        <v>2022</v>
      </c>
      <c r="E824" s="154" t="s">
        <v>196</v>
      </c>
      <c r="F824" s="173" t="s">
        <v>7433</v>
      </c>
      <c r="G824" s="166">
        <f>FCCL!E96</f>
        <v>11528.093000000001</v>
      </c>
      <c r="H824" s="166">
        <f>('Forensic Inputs'!$G$100-FCCL!E21)</f>
        <v>64055.801000000007</v>
      </c>
      <c r="I824" s="164">
        <f t="shared" si="36"/>
        <v>0.17996953937083698</v>
      </c>
      <c r="J824" s="164">
        <v>0.17996953937083698</v>
      </c>
      <c r="K824" s="168">
        <f t="shared" si="37"/>
        <v>0</v>
      </c>
      <c r="L824" s="164">
        <v>0.08</v>
      </c>
      <c r="M824" s="154">
        <v>2</v>
      </c>
      <c r="N824" s="154" t="str">
        <f t="shared" si="38"/>
        <v>No fit</v>
      </c>
      <c r="O824" s="173" t="s">
        <v>7434</v>
      </c>
      <c r="P824" s="173" t="s">
        <v>7342</v>
      </c>
    </row>
    <row r="825" spans="1:16" ht="64.05" customHeight="1" x14ac:dyDescent="0.3">
      <c r="A825" s="151" t="s">
        <v>7435</v>
      </c>
      <c r="B825" s="151" t="s">
        <v>6006</v>
      </c>
      <c r="C825" s="151" t="s">
        <v>114</v>
      </c>
      <c r="D825" s="151">
        <v>2022</v>
      </c>
      <c r="E825" s="151" t="s">
        <v>196</v>
      </c>
      <c r="F825" s="174" t="s">
        <v>7436</v>
      </c>
      <c r="G825" s="167">
        <f>FCCL!E96</f>
        <v>11528.093000000001</v>
      </c>
      <c r="H825" s="167">
        <f>AVERAGE('Forensic Inputs'!$G$98,'Forensic Inputs'!$G$100)</f>
        <v>66160.972999999998</v>
      </c>
      <c r="I825" s="165">
        <f t="shared" si="36"/>
        <v>0.17424309947799591</v>
      </c>
      <c r="J825" s="165">
        <v>0.17424309947799591</v>
      </c>
      <c r="K825" s="169">
        <f t="shared" si="37"/>
        <v>0</v>
      </c>
      <c r="L825" s="165">
        <v>0.08</v>
      </c>
      <c r="M825" s="151">
        <v>2</v>
      </c>
      <c r="N825" s="151" t="str">
        <f t="shared" si="38"/>
        <v>No fit</v>
      </c>
      <c r="O825" s="174" t="s">
        <v>7437</v>
      </c>
      <c r="P825" s="174" t="s">
        <v>7342</v>
      </c>
    </row>
    <row r="826" spans="1:16" ht="64.05" customHeight="1" x14ac:dyDescent="0.3">
      <c r="A826" s="154" t="s">
        <v>7438</v>
      </c>
      <c r="B826" s="154" t="s">
        <v>6006</v>
      </c>
      <c r="C826" s="154" t="s">
        <v>114</v>
      </c>
      <c r="D826" s="154">
        <v>2022</v>
      </c>
      <c r="E826" s="154" t="s">
        <v>196</v>
      </c>
      <c r="F826" s="173" t="s">
        <v>7439</v>
      </c>
      <c r="G826" s="166">
        <f>FCCL!E108</f>
        <v>12729.705000000002</v>
      </c>
      <c r="H826" s="166">
        <f>FCCL!E37</f>
        <v>113698.07700000002</v>
      </c>
      <c r="I826" s="164">
        <f t="shared" si="36"/>
        <v>0.11196060070567421</v>
      </c>
      <c r="J826" s="164">
        <v>0.11196060070567422</v>
      </c>
      <c r="K826" s="168">
        <f t="shared" si="37"/>
        <v>0</v>
      </c>
      <c r="L826" s="164">
        <v>0.08</v>
      </c>
      <c r="M826" s="154">
        <v>2</v>
      </c>
      <c r="N826" s="154" t="str">
        <f t="shared" si="38"/>
        <v>No fit</v>
      </c>
      <c r="O826" s="173" t="s">
        <v>7440</v>
      </c>
      <c r="P826" s="173" t="s">
        <v>7342</v>
      </c>
    </row>
    <row r="827" spans="1:16" ht="64.05" customHeight="1" x14ac:dyDescent="0.3">
      <c r="A827" s="151" t="s">
        <v>7441</v>
      </c>
      <c r="B827" s="151" t="s">
        <v>6006</v>
      </c>
      <c r="C827" s="151" t="s">
        <v>114</v>
      </c>
      <c r="D827" s="151">
        <v>2022</v>
      </c>
      <c r="E827" s="151" t="s">
        <v>196</v>
      </c>
      <c r="F827" s="174" t="s">
        <v>7442</v>
      </c>
      <c r="G827" s="167">
        <f>FCCL!E108</f>
        <v>12729.705000000002</v>
      </c>
      <c r="H827" s="167">
        <f>AVERAGE(FCCL!D37,FCCL!E37)</f>
        <v>73875.15400000001</v>
      </c>
      <c r="I827" s="165">
        <f t="shared" si="36"/>
        <v>0.17231375246947031</v>
      </c>
      <c r="J827" s="165">
        <v>0.17231375246947031</v>
      </c>
      <c r="K827" s="169">
        <f t="shared" si="37"/>
        <v>0</v>
      </c>
      <c r="L827" s="165">
        <v>0.08</v>
      </c>
      <c r="M827" s="151">
        <v>2</v>
      </c>
      <c r="N827" s="151" t="str">
        <f t="shared" si="38"/>
        <v>No fit</v>
      </c>
      <c r="O827" s="174" t="s">
        <v>7443</v>
      </c>
      <c r="P827" s="174" t="s">
        <v>7342</v>
      </c>
    </row>
    <row r="828" spans="1:16" ht="64.05" customHeight="1" x14ac:dyDescent="0.3">
      <c r="A828" s="154" t="s">
        <v>7444</v>
      </c>
      <c r="B828" s="154" t="s">
        <v>6006</v>
      </c>
      <c r="C828" s="154" t="s">
        <v>114</v>
      </c>
      <c r="D828" s="154">
        <v>2022</v>
      </c>
      <c r="E828" s="154" t="s">
        <v>196</v>
      </c>
      <c r="F828" s="173" t="s">
        <v>7445</v>
      </c>
      <c r="G828" s="166">
        <f>FCCL!E108</f>
        <v>12729.705000000002</v>
      </c>
      <c r="H828" s="166">
        <f>FCCL!E20</f>
        <v>74126.315000000002</v>
      </c>
      <c r="I828" s="164">
        <f t="shared" si="36"/>
        <v>0.17172990455548751</v>
      </c>
      <c r="J828" s="164">
        <v>0.17172990455548751</v>
      </c>
      <c r="K828" s="168">
        <f t="shared" si="37"/>
        <v>0</v>
      </c>
      <c r="L828" s="164">
        <v>0.08</v>
      </c>
      <c r="M828" s="154">
        <v>2</v>
      </c>
      <c r="N828" s="154" t="str">
        <f t="shared" si="38"/>
        <v>No fit</v>
      </c>
      <c r="O828" s="173" t="s">
        <v>7446</v>
      </c>
      <c r="P828" s="173" t="s">
        <v>7342</v>
      </c>
    </row>
    <row r="829" spans="1:16" ht="64.05" customHeight="1" x14ac:dyDescent="0.3">
      <c r="A829" s="151" t="s">
        <v>7447</v>
      </c>
      <c r="B829" s="151" t="s">
        <v>6006</v>
      </c>
      <c r="C829" s="151" t="s">
        <v>114</v>
      </c>
      <c r="D829" s="151">
        <v>2022</v>
      </c>
      <c r="E829" s="151" t="s">
        <v>196</v>
      </c>
      <c r="F829" s="174" t="s">
        <v>7448</v>
      </c>
      <c r="G829" s="167">
        <f>FCCL!E108</f>
        <v>12729.705000000002</v>
      </c>
      <c r="H829" s="167">
        <f>AVERAGE(FCCL!D20,FCCL!E20)</f>
        <v>47774.264999999999</v>
      </c>
      <c r="I829" s="165">
        <f t="shared" si="36"/>
        <v>0.2664552767059839</v>
      </c>
      <c r="J829" s="165">
        <v>0.2664552767059839</v>
      </c>
      <c r="K829" s="169">
        <f t="shared" si="37"/>
        <v>0</v>
      </c>
      <c r="L829" s="165">
        <v>0.08</v>
      </c>
      <c r="M829" s="151">
        <v>2</v>
      </c>
      <c r="N829" s="151" t="str">
        <f t="shared" si="38"/>
        <v>No fit</v>
      </c>
      <c r="O829" s="174" t="s">
        <v>7449</v>
      </c>
      <c r="P829" s="174" t="s">
        <v>7342</v>
      </c>
    </row>
    <row r="830" spans="1:16" ht="64.05" customHeight="1" x14ac:dyDescent="0.3">
      <c r="A830" s="154" t="s">
        <v>7450</v>
      </c>
      <c r="B830" s="154" t="s">
        <v>6006</v>
      </c>
      <c r="C830" s="154" t="s">
        <v>114</v>
      </c>
      <c r="D830" s="154">
        <v>2022</v>
      </c>
      <c r="E830" s="154" t="s">
        <v>196</v>
      </c>
      <c r="F830" s="173" t="s">
        <v>7451</v>
      </c>
      <c r="G830" s="166">
        <f>FCCL!E108</f>
        <v>12729.705000000002</v>
      </c>
      <c r="H830" s="166">
        <f>FCCL!E22</f>
        <v>44324.145000000004</v>
      </c>
      <c r="I830" s="164">
        <f t="shared" si="36"/>
        <v>0.28719572594124493</v>
      </c>
      <c r="J830" s="164">
        <v>0.28719572594124493</v>
      </c>
      <c r="K830" s="168">
        <f t="shared" si="37"/>
        <v>0</v>
      </c>
      <c r="L830" s="164">
        <v>0.08</v>
      </c>
      <c r="M830" s="154">
        <v>2</v>
      </c>
      <c r="N830" s="154" t="str">
        <f t="shared" si="38"/>
        <v>No fit</v>
      </c>
      <c r="O830" s="173" t="s">
        <v>7452</v>
      </c>
      <c r="P830" s="173" t="s">
        <v>7342</v>
      </c>
    </row>
    <row r="831" spans="1:16" ht="64.05" customHeight="1" x14ac:dyDescent="0.3">
      <c r="A831" s="151" t="s">
        <v>7453</v>
      </c>
      <c r="B831" s="151" t="s">
        <v>6006</v>
      </c>
      <c r="C831" s="151" t="s">
        <v>114</v>
      </c>
      <c r="D831" s="151">
        <v>2022</v>
      </c>
      <c r="E831" s="151" t="s">
        <v>196</v>
      </c>
      <c r="F831" s="174" t="s">
        <v>7454</v>
      </c>
      <c r="G831" s="167">
        <f>FCCL!E108</f>
        <v>12729.705000000002</v>
      </c>
      <c r="H831" s="167">
        <f>AVERAGE(FCCL!D22,FCCL!E22)</f>
        <v>32772.136500000001</v>
      </c>
      <c r="I831" s="165">
        <f t="shared" si="36"/>
        <v>0.38843073291849622</v>
      </c>
      <c r="J831" s="165">
        <v>0.38843073291849622</v>
      </c>
      <c r="K831" s="169">
        <f t="shared" si="37"/>
        <v>0</v>
      </c>
      <c r="L831" s="165">
        <v>0.08</v>
      </c>
      <c r="M831" s="151">
        <v>2</v>
      </c>
      <c r="N831" s="151" t="str">
        <f t="shared" si="38"/>
        <v>No fit</v>
      </c>
      <c r="O831" s="174" t="s">
        <v>7455</v>
      </c>
      <c r="P831" s="174" t="s">
        <v>7342</v>
      </c>
    </row>
    <row r="832" spans="1:16" ht="64.05" customHeight="1" x14ac:dyDescent="0.3">
      <c r="A832" s="154" t="s">
        <v>7456</v>
      </c>
      <c r="B832" s="154" t="s">
        <v>6006</v>
      </c>
      <c r="C832" s="154" t="s">
        <v>114</v>
      </c>
      <c r="D832" s="154">
        <v>2022</v>
      </c>
      <c r="E832" s="154" t="s">
        <v>196</v>
      </c>
      <c r="F832" s="173" t="s">
        <v>7457</v>
      </c>
      <c r="G832" s="166">
        <f>FCCL!E108</f>
        <v>12729.705000000002</v>
      </c>
      <c r="H832" s="166">
        <f>FCCL!E28</f>
        <v>85481.265000000014</v>
      </c>
      <c r="I832" s="164">
        <f t="shared" si="36"/>
        <v>0.14891806994199255</v>
      </c>
      <c r="J832" s="164">
        <v>0.14891806994199258</v>
      </c>
      <c r="K832" s="168">
        <f t="shared" si="37"/>
        <v>0</v>
      </c>
      <c r="L832" s="164">
        <v>0.08</v>
      </c>
      <c r="M832" s="154">
        <v>2</v>
      </c>
      <c r="N832" s="154" t="str">
        <f t="shared" si="38"/>
        <v>No fit</v>
      </c>
      <c r="O832" s="173" t="s">
        <v>7458</v>
      </c>
      <c r="P832" s="173" t="s">
        <v>7342</v>
      </c>
    </row>
    <row r="833" spans="1:16" ht="64.05" customHeight="1" x14ac:dyDescent="0.3">
      <c r="A833" s="151" t="s">
        <v>7459</v>
      </c>
      <c r="B833" s="151" t="s">
        <v>6006</v>
      </c>
      <c r="C833" s="151" t="s">
        <v>114</v>
      </c>
      <c r="D833" s="151">
        <v>2022</v>
      </c>
      <c r="E833" s="151" t="s">
        <v>196</v>
      </c>
      <c r="F833" s="174" t="s">
        <v>7460</v>
      </c>
      <c r="G833" s="167">
        <f>FCCL!E108</f>
        <v>12729.705000000002</v>
      </c>
      <c r="H833" s="167">
        <f>AVERAGE(FCCL!D28,FCCL!E28)</f>
        <v>53547.382000000005</v>
      </c>
      <c r="I833" s="165">
        <f t="shared" si="36"/>
        <v>0.23772786874996055</v>
      </c>
      <c r="J833" s="165">
        <v>0.2377278687499606</v>
      </c>
      <c r="K833" s="169">
        <f t="shared" si="37"/>
        <v>0</v>
      </c>
      <c r="L833" s="165">
        <v>0.08</v>
      </c>
      <c r="M833" s="151">
        <v>2</v>
      </c>
      <c r="N833" s="151" t="str">
        <f t="shared" si="38"/>
        <v>No fit</v>
      </c>
      <c r="O833" s="174" t="s">
        <v>7461</v>
      </c>
      <c r="P833" s="174" t="s">
        <v>7342</v>
      </c>
    </row>
    <row r="834" spans="1:16" ht="64.05" customHeight="1" x14ac:dyDescent="0.3">
      <c r="A834" s="154" t="s">
        <v>7462</v>
      </c>
      <c r="B834" s="154" t="s">
        <v>6006</v>
      </c>
      <c r="C834" s="154" t="s">
        <v>114</v>
      </c>
      <c r="D834" s="154">
        <v>2022</v>
      </c>
      <c r="E834" s="154" t="s">
        <v>196</v>
      </c>
      <c r="F834" s="173" t="s">
        <v>7463</v>
      </c>
      <c r="G834" s="166">
        <f>FCCL!E108</f>
        <v>12729.705000000002</v>
      </c>
      <c r="H834" s="166">
        <f>'Forensic Inputs'!$G$100</f>
        <v>93857.971000000005</v>
      </c>
      <c r="I834" s="164">
        <f t="shared" si="36"/>
        <v>0.13562731928223765</v>
      </c>
      <c r="J834" s="164">
        <v>0.13562731928223765</v>
      </c>
      <c r="K834" s="168">
        <f t="shared" si="37"/>
        <v>0</v>
      </c>
      <c r="L834" s="164">
        <v>0.08</v>
      </c>
      <c r="M834" s="154">
        <v>2</v>
      </c>
      <c r="N834" s="154" t="str">
        <f t="shared" si="38"/>
        <v>No fit</v>
      </c>
      <c r="O834" s="173" t="s">
        <v>7464</v>
      </c>
      <c r="P834" s="173" t="s">
        <v>7342</v>
      </c>
    </row>
    <row r="835" spans="1:16" ht="64.05" customHeight="1" x14ac:dyDescent="0.3">
      <c r="A835" s="151" t="s">
        <v>7465</v>
      </c>
      <c r="B835" s="151" t="s">
        <v>6006</v>
      </c>
      <c r="C835" s="151" t="s">
        <v>114</v>
      </c>
      <c r="D835" s="151">
        <v>2022</v>
      </c>
      <c r="E835" s="151" t="s">
        <v>196</v>
      </c>
      <c r="F835" s="174" t="s">
        <v>7466</v>
      </c>
      <c r="G835" s="167">
        <f>FCCL!E108</f>
        <v>12729.705000000002</v>
      </c>
      <c r="H835" s="167">
        <f>('Forensic Inputs'!$G$100-FCCL!E21)</f>
        <v>64055.801000000007</v>
      </c>
      <c r="I835" s="165">
        <f t="shared" si="36"/>
        <v>0.1987283712212107</v>
      </c>
      <c r="J835" s="165">
        <v>0.1987283712212107</v>
      </c>
      <c r="K835" s="169">
        <f t="shared" si="37"/>
        <v>0</v>
      </c>
      <c r="L835" s="165">
        <v>0.08</v>
      </c>
      <c r="M835" s="151">
        <v>2</v>
      </c>
      <c r="N835" s="151" t="str">
        <f t="shared" si="38"/>
        <v>No fit</v>
      </c>
      <c r="O835" s="174" t="s">
        <v>7467</v>
      </c>
      <c r="P835" s="174" t="s">
        <v>7342</v>
      </c>
    </row>
    <row r="836" spans="1:16" ht="64.05" customHeight="1" x14ac:dyDescent="0.3">
      <c r="A836" s="154" t="s">
        <v>7468</v>
      </c>
      <c r="B836" s="154" t="s">
        <v>6006</v>
      </c>
      <c r="C836" s="154" t="s">
        <v>114</v>
      </c>
      <c r="D836" s="154">
        <v>2022</v>
      </c>
      <c r="E836" s="154" t="s">
        <v>196</v>
      </c>
      <c r="F836" s="173" t="s">
        <v>7469</v>
      </c>
      <c r="G836" s="166">
        <f>FCCL!E108</f>
        <v>12729.705000000002</v>
      </c>
      <c r="H836" s="166">
        <f>AVERAGE('Forensic Inputs'!$G$98,'Forensic Inputs'!$G$100)</f>
        <v>66160.972999999998</v>
      </c>
      <c r="I836" s="164">
        <f t="shared" si="36"/>
        <v>0.1924050451918233</v>
      </c>
      <c r="J836" s="164">
        <v>0.1924050451918233</v>
      </c>
      <c r="K836" s="168">
        <f t="shared" si="37"/>
        <v>0</v>
      </c>
      <c r="L836" s="164">
        <v>0.08</v>
      </c>
      <c r="M836" s="154">
        <v>2</v>
      </c>
      <c r="N836" s="154" t="str">
        <f t="shared" si="38"/>
        <v>No fit</v>
      </c>
      <c r="O836" s="173" t="s">
        <v>7470</v>
      </c>
      <c r="P836" s="173" t="s">
        <v>7342</v>
      </c>
    </row>
    <row r="837" spans="1:16" ht="64.05" customHeight="1" x14ac:dyDescent="0.3">
      <c r="A837" s="151" t="s">
        <v>7471</v>
      </c>
      <c r="B837" s="151" t="s">
        <v>6006</v>
      </c>
      <c r="C837" s="151" t="s">
        <v>114</v>
      </c>
      <c r="D837" s="151">
        <v>2022</v>
      </c>
      <c r="E837" s="151" t="s">
        <v>196</v>
      </c>
      <c r="F837" s="174" t="s">
        <v>7472</v>
      </c>
      <c r="G837" s="167">
        <f>FCCL!E91</f>
        <v>11751.85</v>
      </c>
      <c r="H837" s="167">
        <f>FCCL!E37</f>
        <v>113698.07700000002</v>
      </c>
      <c r="I837" s="165">
        <f t="shared" si="36"/>
        <v>0.10336014741920392</v>
      </c>
      <c r="J837" s="165">
        <v>0.10336014741920393</v>
      </c>
      <c r="K837" s="169">
        <f t="shared" si="37"/>
        <v>0</v>
      </c>
      <c r="L837" s="165">
        <v>0.08</v>
      </c>
      <c r="M837" s="151">
        <v>2</v>
      </c>
      <c r="N837" s="151" t="str">
        <f t="shared" si="38"/>
        <v>No fit</v>
      </c>
      <c r="O837" s="174" t="s">
        <v>7473</v>
      </c>
      <c r="P837" s="174" t="s">
        <v>7342</v>
      </c>
    </row>
    <row r="838" spans="1:16" ht="64.05" customHeight="1" x14ac:dyDescent="0.3">
      <c r="A838" s="154" t="s">
        <v>7474</v>
      </c>
      <c r="B838" s="154" t="s">
        <v>6006</v>
      </c>
      <c r="C838" s="154" t="s">
        <v>114</v>
      </c>
      <c r="D838" s="154">
        <v>2022</v>
      </c>
      <c r="E838" s="154" t="s">
        <v>196</v>
      </c>
      <c r="F838" s="173" t="s">
        <v>7475</v>
      </c>
      <c r="G838" s="166">
        <f>FCCL!E91</f>
        <v>11751.85</v>
      </c>
      <c r="H838" s="166">
        <f>AVERAGE(FCCL!D37,FCCL!E37)</f>
        <v>73875.15400000001</v>
      </c>
      <c r="I838" s="164">
        <f t="shared" ref="I838:I901" si="39">G838/H838</f>
        <v>0.15907716415724832</v>
      </c>
      <c r="J838" s="164">
        <v>0.15907716415724832</v>
      </c>
      <c r="K838" s="168">
        <f t="shared" ref="K838:K901" si="40">I838-J838</f>
        <v>0</v>
      </c>
      <c r="L838" s="164">
        <v>0.08</v>
      </c>
      <c r="M838" s="154">
        <v>2</v>
      </c>
      <c r="N838" s="154" t="str">
        <f t="shared" ref="N838:N901" si="41">IF(ROUND(I838,M838)=ROUND(L838,M838),"Numeric fit","No fit")</f>
        <v>No fit</v>
      </c>
      <c r="O838" s="173" t="s">
        <v>7476</v>
      </c>
      <c r="P838" s="173" t="s">
        <v>7342</v>
      </c>
    </row>
    <row r="839" spans="1:16" ht="64.05" customHeight="1" x14ac:dyDescent="0.3">
      <c r="A839" s="151" t="s">
        <v>7477</v>
      </c>
      <c r="B839" s="151" t="s">
        <v>6006</v>
      </c>
      <c r="C839" s="151" t="s">
        <v>114</v>
      </c>
      <c r="D839" s="151">
        <v>2022</v>
      </c>
      <c r="E839" s="151" t="s">
        <v>196</v>
      </c>
      <c r="F839" s="174" t="s">
        <v>7478</v>
      </c>
      <c r="G839" s="167">
        <f>FCCL!E91</f>
        <v>11751.85</v>
      </c>
      <c r="H839" s="167">
        <f>FCCL!E20</f>
        <v>74126.315000000002</v>
      </c>
      <c r="I839" s="165">
        <f t="shared" si="39"/>
        <v>0.1585381655623917</v>
      </c>
      <c r="J839" s="165">
        <v>0.1585381655623917</v>
      </c>
      <c r="K839" s="169">
        <f t="shared" si="40"/>
        <v>0</v>
      </c>
      <c r="L839" s="165">
        <v>0.08</v>
      </c>
      <c r="M839" s="151">
        <v>2</v>
      </c>
      <c r="N839" s="151" t="str">
        <f t="shared" si="41"/>
        <v>No fit</v>
      </c>
      <c r="O839" s="174" t="s">
        <v>7479</v>
      </c>
      <c r="P839" s="174" t="s">
        <v>7342</v>
      </c>
    </row>
    <row r="840" spans="1:16" ht="64.05" customHeight="1" x14ac:dyDescent="0.3">
      <c r="A840" s="154" t="s">
        <v>7480</v>
      </c>
      <c r="B840" s="154" t="s">
        <v>6006</v>
      </c>
      <c r="C840" s="154" t="s">
        <v>114</v>
      </c>
      <c r="D840" s="154">
        <v>2022</v>
      </c>
      <c r="E840" s="154" t="s">
        <v>196</v>
      </c>
      <c r="F840" s="173" t="s">
        <v>7481</v>
      </c>
      <c r="G840" s="166">
        <f>FCCL!E91</f>
        <v>11751.85</v>
      </c>
      <c r="H840" s="166">
        <f>AVERAGE(FCCL!D20,FCCL!E20)</f>
        <v>47774.264999999999</v>
      </c>
      <c r="I840" s="164">
        <f t="shared" si="39"/>
        <v>0.24598703925638626</v>
      </c>
      <c r="J840" s="164">
        <v>0.24598703925638626</v>
      </c>
      <c r="K840" s="168">
        <f t="shared" si="40"/>
        <v>0</v>
      </c>
      <c r="L840" s="164">
        <v>0.08</v>
      </c>
      <c r="M840" s="154">
        <v>2</v>
      </c>
      <c r="N840" s="154" t="str">
        <f t="shared" si="41"/>
        <v>No fit</v>
      </c>
      <c r="O840" s="173" t="s">
        <v>7482</v>
      </c>
      <c r="P840" s="173" t="s">
        <v>7342</v>
      </c>
    </row>
    <row r="841" spans="1:16" ht="64.05" customHeight="1" x14ac:dyDescent="0.3">
      <c r="A841" s="151" t="s">
        <v>7483</v>
      </c>
      <c r="B841" s="151" t="s">
        <v>6006</v>
      </c>
      <c r="C841" s="151" t="s">
        <v>114</v>
      </c>
      <c r="D841" s="151">
        <v>2022</v>
      </c>
      <c r="E841" s="151" t="s">
        <v>196</v>
      </c>
      <c r="F841" s="174" t="s">
        <v>7484</v>
      </c>
      <c r="G841" s="167">
        <f>FCCL!E91</f>
        <v>11751.85</v>
      </c>
      <c r="H841" s="167">
        <f>FCCL!E22</f>
        <v>44324.145000000004</v>
      </c>
      <c r="I841" s="165">
        <f t="shared" si="39"/>
        <v>0.26513427388165073</v>
      </c>
      <c r="J841" s="165">
        <v>0.26513427388165073</v>
      </c>
      <c r="K841" s="169">
        <f t="shared" si="40"/>
        <v>0</v>
      </c>
      <c r="L841" s="165">
        <v>0.08</v>
      </c>
      <c r="M841" s="151">
        <v>2</v>
      </c>
      <c r="N841" s="151" t="str">
        <f t="shared" si="41"/>
        <v>No fit</v>
      </c>
      <c r="O841" s="174" t="s">
        <v>7485</v>
      </c>
      <c r="P841" s="174" t="s">
        <v>7342</v>
      </c>
    </row>
    <row r="842" spans="1:16" ht="64.05" customHeight="1" x14ac:dyDescent="0.3">
      <c r="A842" s="154" t="s">
        <v>7486</v>
      </c>
      <c r="B842" s="154" t="s">
        <v>6006</v>
      </c>
      <c r="C842" s="154" t="s">
        <v>114</v>
      </c>
      <c r="D842" s="154">
        <v>2022</v>
      </c>
      <c r="E842" s="154" t="s">
        <v>196</v>
      </c>
      <c r="F842" s="173" t="s">
        <v>7487</v>
      </c>
      <c r="G842" s="166">
        <f>FCCL!E91</f>
        <v>11751.85</v>
      </c>
      <c r="H842" s="166">
        <f>AVERAGE(FCCL!D22,FCCL!E22)</f>
        <v>32772.136500000001</v>
      </c>
      <c r="I842" s="164">
        <f t="shared" si="39"/>
        <v>0.35859273318967166</v>
      </c>
      <c r="J842" s="164">
        <v>0.35859273318967166</v>
      </c>
      <c r="K842" s="168">
        <f t="shared" si="40"/>
        <v>0</v>
      </c>
      <c r="L842" s="164">
        <v>0.08</v>
      </c>
      <c r="M842" s="154">
        <v>2</v>
      </c>
      <c r="N842" s="154" t="str">
        <f t="shared" si="41"/>
        <v>No fit</v>
      </c>
      <c r="O842" s="173" t="s">
        <v>7488</v>
      </c>
      <c r="P842" s="173" t="s">
        <v>7342</v>
      </c>
    </row>
    <row r="843" spans="1:16" ht="64.05" customHeight="1" x14ac:dyDescent="0.3">
      <c r="A843" s="151" t="s">
        <v>7489</v>
      </c>
      <c r="B843" s="151" t="s">
        <v>6006</v>
      </c>
      <c r="C843" s="151" t="s">
        <v>114</v>
      </c>
      <c r="D843" s="151">
        <v>2022</v>
      </c>
      <c r="E843" s="151" t="s">
        <v>196</v>
      </c>
      <c r="F843" s="174" t="s">
        <v>7490</v>
      </c>
      <c r="G843" s="167">
        <f>FCCL!E91</f>
        <v>11751.85</v>
      </c>
      <c r="H843" s="167">
        <f>FCCL!E28</f>
        <v>85481.265000000014</v>
      </c>
      <c r="I843" s="165">
        <f t="shared" si="39"/>
        <v>0.1374786627221766</v>
      </c>
      <c r="J843" s="165">
        <v>0.13747866272217663</v>
      </c>
      <c r="K843" s="169">
        <f t="shared" si="40"/>
        <v>0</v>
      </c>
      <c r="L843" s="165">
        <v>0.08</v>
      </c>
      <c r="M843" s="151">
        <v>2</v>
      </c>
      <c r="N843" s="151" t="str">
        <f t="shared" si="41"/>
        <v>No fit</v>
      </c>
      <c r="O843" s="174" t="s">
        <v>7491</v>
      </c>
      <c r="P843" s="174" t="s">
        <v>7342</v>
      </c>
    </row>
    <row r="844" spans="1:16" ht="64.05" customHeight="1" x14ac:dyDescent="0.3">
      <c r="A844" s="154" t="s">
        <v>7492</v>
      </c>
      <c r="B844" s="154" t="s">
        <v>6006</v>
      </c>
      <c r="C844" s="154" t="s">
        <v>114</v>
      </c>
      <c r="D844" s="154">
        <v>2022</v>
      </c>
      <c r="E844" s="154" t="s">
        <v>196</v>
      </c>
      <c r="F844" s="173" t="s">
        <v>7493</v>
      </c>
      <c r="G844" s="166">
        <f>FCCL!E91</f>
        <v>11751.85</v>
      </c>
      <c r="H844" s="166">
        <f>AVERAGE(FCCL!D28,FCCL!E28)</f>
        <v>53547.382000000005</v>
      </c>
      <c r="I844" s="164">
        <f t="shared" si="39"/>
        <v>0.21946637839362529</v>
      </c>
      <c r="J844" s="164">
        <v>0.21946637839362532</v>
      </c>
      <c r="K844" s="168">
        <f t="shared" si="40"/>
        <v>0</v>
      </c>
      <c r="L844" s="164">
        <v>0.08</v>
      </c>
      <c r="M844" s="154">
        <v>2</v>
      </c>
      <c r="N844" s="154" t="str">
        <f t="shared" si="41"/>
        <v>No fit</v>
      </c>
      <c r="O844" s="173" t="s">
        <v>7494</v>
      </c>
      <c r="P844" s="173" t="s">
        <v>7342</v>
      </c>
    </row>
    <row r="845" spans="1:16" ht="64.05" customHeight="1" x14ac:dyDescent="0.3">
      <c r="A845" s="151" t="s">
        <v>7495</v>
      </c>
      <c r="B845" s="151" t="s">
        <v>6006</v>
      </c>
      <c r="C845" s="151" t="s">
        <v>114</v>
      </c>
      <c r="D845" s="151">
        <v>2022</v>
      </c>
      <c r="E845" s="151" t="s">
        <v>196</v>
      </c>
      <c r="F845" s="174" t="s">
        <v>7496</v>
      </c>
      <c r="G845" s="167">
        <f>FCCL!E91</f>
        <v>11751.85</v>
      </c>
      <c r="H845" s="167">
        <f>'Forensic Inputs'!$G$100</f>
        <v>93857.971000000005</v>
      </c>
      <c r="I845" s="165">
        <f t="shared" si="39"/>
        <v>0.12520886478570903</v>
      </c>
      <c r="J845" s="165">
        <v>0.12520886478570903</v>
      </c>
      <c r="K845" s="169">
        <f t="shared" si="40"/>
        <v>0</v>
      </c>
      <c r="L845" s="165">
        <v>0.08</v>
      </c>
      <c r="M845" s="151">
        <v>2</v>
      </c>
      <c r="N845" s="151" t="str">
        <f t="shared" si="41"/>
        <v>No fit</v>
      </c>
      <c r="O845" s="174" t="s">
        <v>7497</v>
      </c>
      <c r="P845" s="174" t="s">
        <v>7342</v>
      </c>
    </row>
    <row r="846" spans="1:16" ht="64.05" customHeight="1" x14ac:dyDescent="0.3">
      <c r="A846" s="154" t="s">
        <v>7498</v>
      </c>
      <c r="B846" s="154" t="s">
        <v>6006</v>
      </c>
      <c r="C846" s="154" t="s">
        <v>114</v>
      </c>
      <c r="D846" s="154">
        <v>2022</v>
      </c>
      <c r="E846" s="154" t="s">
        <v>196</v>
      </c>
      <c r="F846" s="173" t="s">
        <v>7499</v>
      </c>
      <c r="G846" s="166">
        <f>FCCL!E91</f>
        <v>11751.85</v>
      </c>
      <c r="H846" s="166">
        <f>('Forensic Inputs'!$G$100-FCCL!E21)</f>
        <v>64055.801000000007</v>
      </c>
      <c r="I846" s="164">
        <f t="shared" si="39"/>
        <v>0.18346269684458397</v>
      </c>
      <c r="J846" s="164">
        <v>0.18346269684458397</v>
      </c>
      <c r="K846" s="168">
        <f t="shared" si="40"/>
        <v>0</v>
      </c>
      <c r="L846" s="164">
        <v>0.08</v>
      </c>
      <c r="M846" s="154">
        <v>2</v>
      </c>
      <c r="N846" s="154" t="str">
        <f t="shared" si="41"/>
        <v>No fit</v>
      </c>
      <c r="O846" s="173" t="s">
        <v>7500</v>
      </c>
      <c r="P846" s="173" t="s">
        <v>7342</v>
      </c>
    </row>
    <row r="847" spans="1:16" ht="64.05" customHeight="1" x14ac:dyDescent="0.3">
      <c r="A847" s="151" t="s">
        <v>7501</v>
      </c>
      <c r="B847" s="151" t="s">
        <v>6006</v>
      </c>
      <c r="C847" s="151" t="s">
        <v>114</v>
      </c>
      <c r="D847" s="151">
        <v>2022</v>
      </c>
      <c r="E847" s="151" t="s">
        <v>196</v>
      </c>
      <c r="F847" s="174" t="s">
        <v>7502</v>
      </c>
      <c r="G847" s="167">
        <f>FCCL!E91</f>
        <v>11751.85</v>
      </c>
      <c r="H847" s="167">
        <f>AVERAGE('Forensic Inputs'!$G$98,'Forensic Inputs'!$G$100)</f>
        <v>66160.972999999998</v>
      </c>
      <c r="I847" s="165">
        <f t="shared" si="39"/>
        <v>0.17762510838527118</v>
      </c>
      <c r="J847" s="165">
        <v>0.17762510838527118</v>
      </c>
      <c r="K847" s="169">
        <f t="shared" si="40"/>
        <v>0</v>
      </c>
      <c r="L847" s="165">
        <v>0.08</v>
      </c>
      <c r="M847" s="151">
        <v>2</v>
      </c>
      <c r="N847" s="151" t="str">
        <f t="shared" si="41"/>
        <v>No fit</v>
      </c>
      <c r="O847" s="174" t="s">
        <v>7503</v>
      </c>
      <c r="P847" s="174" t="s">
        <v>7342</v>
      </c>
    </row>
    <row r="848" spans="1:16" ht="64.05" customHeight="1" x14ac:dyDescent="0.3">
      <c r="A848" s="154" t="s">
        <v>7504</v>
      </c>
      <c r="B848" s="154" t="s">
        <v>6014</v>
      </c>
      <c r="C848" s="154" t="s">
        <v>114</v>
      </c>
      <c r="D848" s="154">
        <v>2023</v>
      </c>
      <c r="E848" s="154" t="s">
        <v>196</v>
      </c>
      <c r="F848" s="173" t="s">
        <v>5893</v>
      </c>
      <c r="G848" s="166">
        <f>FCCL!F84</f>
        <v>68069.282000000007</v>
      </c>
      <c r="H848" s="166">
        <f>AVERAGE(FCCL!E37,FCCL!F37)</f>
        <v>126263.28700000001</v>
      </c>
      <c r="I848" s="164">
        <f t="shared" si="39"/>
        <v>0.53910589227730144</v>
      </c>
      <c r="J848" s="164">
        <v>0.53910589227730144</v>
      </c>
      <c r="K848" s="168">
        <f t="shared" si="40"/>
        <v>0</v>
      </c>
      <c r="L848" s="164">
        <v>7.0000000000000007E-2</v>
      </c>
      <c r="M848" s="154">
        <v>2</v>
      </c>
      <c r="N848" s="154" t="str">
        <f t="shared" si="41"/>
        <v>No fit</v>
      </c>
      <c r="O848" s="173" t="s">
        <v>6050</v>
      </c>
      <c r="P848" s="173" t="s">
        <v>6051</v>
      </c>
    </row>
    <row r="849" spans="1:16" ht="64.05" customHeight="1" x14ac:dyDescent="0.3">
      <c r="A849" s="151" t="s">
        <v>7505</v>
      </c>
      <c r="B849" s="151" t="s">
        <v>6014</v>
      </c>
      <c r="C849" s="151" t="s">
        <v>114</v>
      </c>
      <c r="D849" s="151">
        <v>2023</v>
      </c>
      <c r="E849" s="151" t="s">
        <v>196</v>
      </c>
      <c r="F849" s="174" t="s">
        <v>6009</v>
      </c>
      <c r="G849" s="167">
        <f>FCCL!F84</f>
        <v>68069.282000000007</v>
      </c>
      <c r="H849" s="167">
        <f>FCCL!F37</f>
        <v>138828.497</v>
      </c>
      <c r="I849" s="165">
        <f t="shared" si="39"/>
        <v>0.49031202866080159</v>
      </c>
      <c r="J849" s="165">
        <v>0.49031202866080159</v>
      </c>
      <c r="K849" s="169">
        <f t="shared" si="40"/>
        <v>0</v>
      </c>
      <c r="L849" s="165">
        <v>7.0000000000000007E-2</v>
      </c>
      <c r="M849" s="151">
        <v>2</v>
      </c>
      <c r="N849" s="151" t="str">
        <f t="shared" si="41"/>
        <v>No fit</v>
      </c>
      <c r="O849" s="174" t="s">
        <v>7341</v>
      </c>
      <c r="P849" s="174" t="s">
        <v>7342</v>
      </c>
    </row>
    <row r="850" spans="1:16" ht="64.05" customHeight="1" x14ac:dyDescent="0.3">
      <c r="A850" s="154" t="s">
        <v>7506</v>
      </c>
      <c r="B850" s="154" t="s">
        <v>6014</v>
      </c>
      <c r="C850" s="154" t="s">
        <v>114</v>
      </c>
      <c r="D850" s="154">
        <v>2023</v>
      </c>
      <c r="E850" s="154" t="s">
        <v>196</v>
      </c>
      <c r="F850" s="173" t="s">
        <v>7344</v>
      </c>
      <c r="G850" s="166">
        <f>FCCL!F84</f>
        <v>68069.282000000007</v>
      </c>
      <c r="H850" s="166">
        <f>AVERAGE(FCCL!E37,FCCL!F37)</f>
        <v>126263.28700000001</v>
      </c>
      <c r="I850" s="164">
        <f t="shared" si="39"/>
        <v>0.53910589227730144</v>
      </c>
      <c r="J850" s="164">
        <v>0.53910589227730144</v>
      </c>
      <c r="K850" s="168">
        <f t="shared" si="40"/>
        <v>0</v>
      </c>
      <c r="L850" s="164">
        <v>7.0000000000000007E-2</v>
      </c>
      <c r="M850" s="154">
        <v>2</v>
      </c>
      <c r="N850" s="154" t="str">
        <f t="shared" si="41"/>
        <v>No fit</v>
      </c>
      <c r="O850" s="173" t="s">
        <v>7345</v>
      </c>
      <c r="P850" s="173" t="s">
        <v>7342</v>
      </c>
    </row>
    <row r="851" spans="1:16" ht="64.05" customHeight="1" x14ac:dyDescent="0.3">
      <c r="A851" s="151" t="s">
        <v>7507</v>
      </c>
      <c r="B851" s="151" t="s">
        <v>6014</v>
      </c>
      <c r="C851" s="151" t="s">
        <v>114</v>
      </c>
      <c r="D851" s="151">
        <v>2023</v>
      </c>
      <c r="E851" s="151" t="s">
        <v>196</v>
      </c>
      <c r="F851" s="174" t="s">
        <v>6025</v>
      </c>
      <c r="G851" s="167">
        <f>FCCL!F84</f>
        <v>68069.282000000007</v>
      </c>
      <c r="H851" s="167">
        <f>FCCL!F20</f>
        <v>104425.181</v>
      </c>
      <c r="I851" s="165">
        <f t="shared" si="39"/>
        <v>0.65184739301529204</v>
      </c>
      <c r="J851" s="165">
        <v>0.65184739301529204</v>
      </c>
      <c r="K851" s="169">
        <f t="shared" si="40"/>
        <v>0</v>
      </c>
      <c r="L851" s="165">
        <v>7.0000000000000007E-2</v>
      </c>
      <c r="M851" s="151">
        <v>2</v>
      </c>
      <c r="N851" s="151" t="str">
        <f t="shared" si="41"/>
        <v>No fit</v>
      </c>
      <c r="O851" s="174" t="s">
        <v>7347</v>
      </c>
      <c r="P851" s="174" t="s">
        <v>7342</v>
      </c>
    </row>
    <row r="852" spans="1:16" ht="64.05" customHeight="1" x14ac:dyDescent="0.3">
      <c r="A852" s="154" t="s">
        <v>7508</v>
      </c>
      <c r="B852" s="154" t="s">
        <v>6014</v>
      </c>
      <c r="C852" s="154" t="s">
        <v>114</v>
      </c>
      <c r="D852" s="154">
        <v>2023</v>
      </c>
      <c r="E852" s="154" t="s">
        <v>196</v>
      </c>
      <c r="F852" s="173" t="s">
        <v>7349</v>
      </c>
      <c r="G852" s="166">
        <f>FCCL!F84</f>
        <v>68069.282000000007</v>
      </c>
      <c r="H852" s="166">
        <f>AVERAGE(FCCL!E20,FCCL!F20)</f>
        <v>89275.747999999992</v>
      </c>
      <c r="I852" s="164">
        <f t="shared" si="39"/>
        <v>0.76246106613410858</v>
      </c>
      <c r="J852" s="164">
        <v>0.76246106613410858</v>
      </c>
      <c r="K852" s="168">
        <f t="shared" si="40"/>
        <v>0</v>
      </c>
      <c r="L852" s="164">
        <v>7.0000000000000007E-2</v>
      </c>
      <c r="M852" s="154">
        <v>2</v>
      </c>
      <c r="N852" s="154" t="str">
        <f t="shared" si="41"/>
        <v>No fit</v>
      </c>
      <c r="O852" s="173" t="s">
        <v>7350</v>
      </c>
      <c r="P852" s="173" t="s">
        <v>7342</v>
      </c>
    </row>
    <row r="853" spans="1:16" ht="64.05" customHeight="1" x14ac:dyDescent="0.3">
      <c r="A853" s="151" t="s">
        <v>7509</v>
      </c>
      <c r="B853" s="151" t="s">
        <v>6014</v>
      </c>
      <c r="C853" s="151" t="s">
        <v>114</v>
      </c>
      <c r="D853" s="151">
        <v>2023</v>
      </c>
      <c r="E853" s="151" t="s">
        <v>196</v>
      </c>
      <c r="F853" s="174" t="s">
        <v>7352</v>
      </c>
      <c r="G853" s="167">
        <f>FCCL!F84</f>
        <v>68069.282000000007</v>
      </c>
      <c r="H853" s="167">
        <f>FCCL!F22</f>
        <v>69894.008999999991</v>
      </c>
      <c r="I853" s="165">
        <f t="shared" si="39"/>
        <v>0.97389294123906978</v>
      </c>
      <c r="J853" s="165">
        <v>0.97389294123906978</v>
      </c>
      <c r="K853" s="169">
        <f t="shared" si="40"/>
        <v>0</v>
      </c>
      <c r="L853" s="165">
        <v>7.0000000000000007E-2</v>
      </c>
      <c r="M853" s="151">
        <v>2</v>
      </c>
      <c r="N853" s="151" t="str">
        <f t="shared" si="41"/>
        <v>No fit</v>
      </c>
      <c r="O853" s="174" t="s">
        <v>7353</v>
      </c>
      <c r="P853" s="174" t="s">
        <v>7342</v>
      </c>
    </row>
    <row r="854" spans="1:16" ht="64.05" customHeight="1" x14ac:dyDescent="0.3">
      <c r="A854" s="154" t="s">
        <v>7510</v>
      </c>
      <c r="B854" s="154" t="s">
        <v>6014</v>
      </c>
      <c r="C854" s="154" t="s">
        <v>114</v>
      </c>
      <c r="D854" s="154">
        <v>2023</v>
      </c>
      <c r="E854" s="154" t="s">
        <v>196</v>
      </c>
      <c r="F854" s="173" t="s">
        <v>7355</v>
      </c>
      <c r="G854" s="166">
        <f>FCCL!F84</f>
        <v>68069.282000000007</v>
      </c>
      <c r="H854" s="166">
        <f>AVERAGE(FCCL!E22,FCCL!F22)</f>
        <v>57109.076999999997</v>
      </c>
      <c r="I854" s="164">
        <f t="shared" si="39"/>
        <v>1.1919170397378338</v>
      </c>
      <c r="J854" s="164">
        <v>1.1919170397378338</v>
      </c>
      <c r="K854" s="168">
        <f t="shared" si="40"/>
        <v>0</v>
      </c>
      <c r="L854" s="164">
        <v>7.0000000000000007E-2</v>
      </c>
      <c r="M854" s="154">
        <v>2</v>
      </c>
      <c r="N854" s="154" t="str">
        <f t="shared" si="41"/>
        <v>No fit</v>
      </c>
      <c r="O854" s="173" t="s">
        <v>7356</v>
      </c>
      <c r="P854" s="173" t="s">
        <v>7342</v>
      </c>
    </row>
    <row r="855" spans="1:16" ht="64.05" customHeight="1" x14ac:dyDescent="0.3">
      <c r="A855" s="151" t="s">
        <v>7511</v>
      </c>
      <c r="B855" s="151" t="s">
        <v>6014</v>
      </c>
      <c r="C855" s="151" t="s">
        <v>114</v>
      </c>
      <c r="D855" s="151">
        <v>2023</v>
      </c>
      <c r="E855" s="151" t="s">
        <v>196</v>
      </c>
      <c r="F855" s="174" t="s">
        <v>7358</v>
      </c>
      <c r="G855" s="167">
        <f>FCCL!F84</f>
        <v>68069.282000000007</v>
      </c>
      <c r="H855" s="167">
        <f>FCCL!F28</f>
        <v>115693.99799999999</v>
      </c>
      <c r="I855" s="165">
        <f t="shared" si="39"/>
        <v>0.58835620841800296</v>
      </c>
      <c r="J855" s="165">
        <v>0.58835620841800296</v>
      </c>
      <c r="K855" s="169">
        <f t="shared" si="40"/>
        <v>0</v>
      </c>
      <c r="L855" s="165">
        <v>7.0000000000000007E-2</v>
      </c>
      <c r="M855" s="151">
        <v>2</v>
      </c>
      <c r="N855" s="151" t="str">
        <f t="shared" si="41"/>
        <v>No fit</v>
      </c>
      <c r="O855" s="174" t="s">
        <v>7359</v>
      </c>
      <c r="P855" s="174" t="s">
        <v>7342</v>
      </c>
    </row>
    <row r="856" spans="1:16" ht="64.05" customHeight="1" x14ac:dyDescent="0.3">
      <c r="A856" s="154" t="s">
        <v>7512</v>
      </c>
      <c r="B856" s="154" t="s">
        <v>6014</v>
      </c>
      <c r="C856" s="154" t="s">
        <v>114</v>
      </c>
      <c r="D856" s="154">
        <v>2023</v>
      </c>
      <c r="E856" s="154" t="s">
        <v>196</v>
      </c>
      <c r="F856" s="173" t="s">
        <v>7361</v>
      </c>
      <c r="G856" s="166">
        <f>FCCL!F84</f>
        <v>68069.282000000007</v>
      </c>
      <c r="H856" s="166">
        <f>AVERAGE(FCCL!E28,FCCL!F28)</f>
        <v>100587.6315</v>
      </c>
      <c r="I856" s="164">
        <f t="shared" si="39"/>
        <v>0.67671622231208417</v>
      </c>
      <c r="J856" s="164">
        <v>0.67671622231208428</v>
      </c>
      <c r="K856" s="168">
        <f t="shared" si="40"/>
        <v>0</v>
      </c>
      <c r="L856" s="164">
        <v>7.0000000000000007E-2</v>
      </c>
      <c r="M856" s="154">
        <v>2</v>
      </c>
      <c r="N856" s="154" t="str">
        <f t="shared" si="41"/>
        <v>No fit</v>
      </c>
      <c r="O856" s="173" t="s">
        <v>7362</v>
      </c>
      <c r="P856" s="173" t="s">
        <v>7342</v>
      </c>
    </row>
    <row r="857" spans="1:16" ht="64.05" customHeight="1" x14ac:dyDescent="0.3">
      <c r="A857" s="151" t="s">
        <v>7513</v>
      </c>
      <c r="B857" s="151" t="s">
        <v>6014</v>
      </c>
      <c r="C857" s="151" t="s">
        <v>114</v>
      </c>
      <c r="D857" s="151">
        <v>2023</v>
      </c>
      <c r="E857" s="151" t="s">
        <v>196</v>
      </c>
      <c r="F857" s="174" t="s">
        <v>7364</v>
      </c>
      <c r="G857" s="167">
        <f>FCCL!F84</f>
        <v>68069.282000000007</v>
      </c>
      <c r="H857" s="167">
        <f>'Forensic Inputs'!$G$102</f>
        <v>127453.357</v>
      </c>
      <c r="I857" s="165">
        <f t="shared" si="39"/>
        <v>0.53407209980353831</v>
      </c>
      <c r="J857" s="165">
        <v>0.53407209980353831</v>
      </c>
      <c r="K857" s="169">
        <f t="shared" si="40"/>
        <v>0</v>
      </c>
      <c r="L857" s="165">
        <v>7.0000000000000007E-2</v>
      </c>
      <c r="M857" s="151">
        <v>2</v>
      </c>
      <c r="N857" s="151" t="str">
        <f t="shared" si="41"/>
        <v>No fit</v>
      </c>
      <c r="O857" s="174" t="s">
        <v>7514</v>
      </c>
      <c r="P857" s="174" t="s">
        <v>7342</v>
      </c>
    </row>
    <row r="858" spans="1:16" ht="64.05" customHeight="1" x14ac:dyDescent="0.3">
      <c r="A858" s="154" t="s">
        <v>7515</v>
      </c>
      <c r="B858" s="154" t="s">
        <v>6014</v>
      </c>
      <c r="C858" s="154" t="s">
        <v>114</v>
      </c>
      <c r="D858" s="154">
        <v>2023</v>
      </c>
      <c r="E858" s="154" t="s">
        <v>196</v>
      </c>
      <c r="F858" s="173" t="s">
        <v>7367</v>
      </c>
      <c r="G858" s="166">
        <f>FCCL!F84</f>
        <v>68069.282000000007</v>
      </c>
      <c r="H858" s="166">
        <f>('Forensic Inputs'!$G$102-FCCL!F21)</f>
        <v>92922.184999999998</v>
      </c>
      <c r="I858" s="164">
        <f t="shared" si="39"/>
        <v>0.73254069520642473</v>
      </c>
      <c r="J858" s="164">
        <v>0.73254069520642473</v>
      </c>
      <c r="K858" s="168">
        <f t="shared" si="40"/>
        <v>0</v>
      </c>
      <c r="L858" s="164">
        <v>7.0000000000000007E-2</v>
      </c>
      <c r="M858" s="154">
        <v>2</v>
      </c>
      <c r="N858" s="154" t="str">
        <f t="shared" si="41"/>
        <v>No fit</v>
      </c>
      <c r="O858" s="173" t="s">
        <v>7516</v>
      </c>
      <c r="P858" s="173" t="s">
        <v>7342</v>
      </c>
    </row>
    <row r="859" spans="1:16" ht="64.05" customHeight="1" x14ac:dyDescent="0.3">
      <c r="A859" s="151" t="s">
        <v>7517</v>
      </c>
      <c r="B859" s="151" t="s">
        <v>6014</v>
      </c>
      <c r="C859" s="151" t="s">
        <v>114</v>
      </c>
      <c r="D859" s="151">
        <v>2023</v>
      </c>
      <c r="E859" s="151" t="s">
        <v>196</v>
      </c>
      <c r="F859" s="174" t="s">
        <v>7370</v>
      </c>
      <c r="G859" s="167">
        <f>FCCL!F84</f>
        <v>68069.282000000007</v>
      </c>
      <c r="H859" s="167">
        <f>AVERAGE('Forensic Inputs'!$G$100,'Forensic Inputs'!$G$102)</f>
        <v>110655.664</v>
      </c>
      <c r="I859" s="165">
        <f t="shared" si="39"/>
        <v>0.61514503225067629</v>
      </c>
      <c r="J859" s="165">
        <v>0.61514503225067629</v>
      </c>
      <c r="K859" s="169">
        <f t="shared" si="40"/>
        <v>0</v>
      </c>
      <c r="L859" s="165">
        <v>7.0000000000000007E-2</v>
      </c>
      <c r="M859" s="151">
        <v>2</v>
      </c>
      <c r="N859" s="151" t="str">
        <f t="shared" si="41"/>
        <v>No fit</v>
      </c>
      <c r="O859" s="174" t="s">
        <v>7518</v>
      </c>
      <c r="P859" s="174" t="s">
        <v>7342</v>
      </c>
    </row>
    <row r="860" spans="1:16" ht="64.05" customHeight="1" x14ac:dyDescent="0.3">
      <c r="A860" s="154" t="s">
        <v>7519</v>
      </c>
      <c r="B860" s="154" t="s">
        <v>6014</v>
      </c>
      <c r="C860" s="154" t="s">
        <v>114</v>
      </c>
      <c r="D860" s="154">
        <v>2023</v>
      </c>
      <c r="E860" s="154" t="s">
        <v>196</v>
      </c>
      <c r="F860" s="173" t="s">
        <v>7373</v>
      </c>
      <c r="G860" s="166">
        <f>FCCL!F99</f>
        <v>7439.6810000000078</v>
      </c>
      <c r="H860" s="166">
        <f>FCCL!F37</f>
        <v>138828.497</v>
      </c>
      <c r="I860" s="164">
        <f t="shared" si="39"/>
        <v>5.3589004856834314E-2</v>
      </c>
      <c r="J860" s="164">
        <v>5.3589004856834301E-2</v>
      </c>
      <c r="K860" s="168">
        <f t="shared" si="40"/>
        <v>0</v>
      </c>
      <c r="L860" s="164">
        <v>7.0000000000000007E-2</v>
      </c>
      <c r="M860" s="154">
        <v>2</v>
      </c>
      <c r="N860" s="154" t="str">
        <f t="shared" si="41"/>
        <v>No fit</v>
      </c>
      <c r="O860" s="173" t="s">
        <v>7374</v>
      </c>
      <c r="P860" s="173" t="s">
        <v>7342</v>
      </c>
    </row>
    <row r="861" spans="1:16" ht="64.05" customHeight="1" x14ac:dyDescent="0.3">
      <c r="A861" s="151" t="s">
        <v>7520</v>
      </c>
      <c r="B861" s="151" t="s">
        <v>6014</v>
      </c>
      <c r="C861" s="151" t="s">
        <v>114</v>
      </c>
      <c r="D861" s="151">
        <v>2023</v>
      </c>
      <c r="E861" s="151" t="s">
        <v>196</v>
      </c>
      <c r="F861" s="174" t="s">
        <v>7376</v>
      </c>
      <c r="G861" s="167">
        <f>FCCL!F99</f>
        <v>7439.6810000000078</v>
      </c>
      <c r="H861" s="167">
        <f>AVERAGE(FCCL!E37,FCCL!F37)</f>
        <v>126263.28700000001</v>
      </c>
      <c r="I861" s="165">
        <f t="shared" si="39"/>
        <v>5.8921965178999398E-2</v>
      </c>
      <c r="J861" s="165">
        <v>5.8921965178999385E-2</v>
      </c>
      <c r="K861" s="169">
        <f t="shared" si="40"/>
        <v>0</v>
      </c>
      <c r="L861" s="165">
        <v>7.0000000000000007E-2</v>
      </c>
      <c r="M861" s="151">
        <v>2</v>
      </c>
      <c r="N861" s="151" t="str">
        <f t="shared" si="41"/>
        <v>No fit</v>
      </c>
      <c r="O861" s="174" t="s">
        <v>7377</v>
      </c>
      <c r="P861" s="174" t="s">
        <v>7342</v>
      </c>
    </row>
    <row r="862" spans="1:16" ht="64.05" customHeight="1" x14ac:dyDescent="0.3">
      <c r="A862" s="154" t="s">
        <v>7521</v>
      </c>
      <c r="B862" s="154" t="s">
        <v>6014</v>
      </c>
      <c r="C862" s="154" t="s">
        <v>114</v>
      </c>
      <c r="D862" s="154">
        <v>2023</v>
      </c>
      <c r="E862" s="154" t="s">
        <v>196</v>
      </c>
      <c r="F862" s="173" t="s">
        <v>7379</v>
      </c>
      <c r="G862" s="166">
        <f>FCCL!F99</f>
        <v>7439.6810000000078</v>
      </c>
      <c r="H862" s="166">
        <f>FCCL!F20</f>
        <v>104425.181</v>
      </c>
      <c r="I862" s="164">
        <f t="shared" si="39"/>
        <v>7.1244128367850351E-2</v>
      </c>
      <c r="J862" s="164">
        <v>7.1244128367850337E-2</v>
      </c>
      <c r="K862" s="168">
        <f t="shared" si="40"/>
        <v>0</v>
      </c>
      <c r="L862" s="164">
        <v>7.0000000000000007E-2</v>
      </c>
      <c r="M862" s="154">
        <v>2</v>
      </c>
      <c r="N862" s="154" t="str">
        <f t="shared" si="41"/>
        <v>Numeric fit</v>
      </c>
      <c r="O862" s="173" t="s">
        <v>7380</v>
      </c>
      <c r="P862" s="173" t="s">
        <v>7342</v>
      </c>
    </row>
    <row r="863" spans="1:16" ht="64.05" customHeight="1" x14ac:dyDescent="0.3">
      <c r="A863" s="151" t="s">
        <v>7522</v>
      </c>
      <c r="B863" s="151" t="s">
        <v>6014</v>
      </c>
      <c r="C863" s="151" t="s">
        <v>114</v>
      </c>
      <c r="D863" s="151">
        <v>2023</v>
      </c>
      <c r="E863" s="151" t="s">
        <v>196</v>
      </c>
      <c r="F863" s="174" t="s">
        <v>7382</v>
      </c>
      <c r="G863" s="167">
        <f>FCCL!F99</f>
        <v>7439.6810000000078</v>
      </c>
      <c r="H863" s="167">
        <f>AVERAGE(FCCL!E20,FCCL!F20)</f>
        <v>89275.747999999992</v>
      </c>
      <c r="I863" s="165">
        <f t="shared" si="39"/>
        <v>8.3333729110844398E-2</v>
      </c>
      <c r="J863" s="165">
        <v>8.3333729110844371E-2</v>
      </c>
      <c r="K863" s="169">
        <f t="shared" si="40"/>
        <v>0</v>
      </c>
      <c r="L863" s="165">
        <v>7.0000000000000007E-2</v>
      </c>
      <c r="M863" s="151">
        <v>2</v>
      </c>
      <c r="N863" s="151" t="str">
        <f t="shared" si="41"/>
        <v>No fit</v>
      </c>
      <c r="O863" s="174" t="s">
        <v>7383</v>
      </c>
      <c r="P863" s="174" t="s">
        <v>7342</v>
      </c>
    </row>
    <row r="864" spans="1:16" ht="64.05" customHeight="1" x14ac:dyDescent="0.3">
      <c r="A864" s="154" t="s">
        <v>7523</v>
      </c>
      <c r="B864" s="154" t="s">
        <v>6014</v>
      </c>
      <c r="C864" s="154" t="s">
        <v>114</v>
      </c>
      <c r="D864" s="154">
        <v>2023</v>
      </c>
      <c r="E864" s="154" t="s">
        <v>196</v>
      </c>
      <c r="F864" s="173" t="s">
        <v>7385</v>
      </c>
      <c r="G864" s="166">
        <f>FCCL!F99</f>
        <v>7439.6810000000078</v>
      </c>
      <c r="H864" s="166">
        <f>FCCL!F22</f>
        <v>69894.008999999991</v>
      </c>
      <c r="I864" s="164">
        <f t="shared" si="39"/>
        <v>0.10644232755342463</v>
      </c>
      <c r="J864" s="164">
        <v>0.1064423275534246</v>
      </c>
      <c r="K864" s="168">
        <f t="shared" si="40"/>
        <v>0</v>
      </c>
      <c r="L864" s="164">
        <v>7.0000000000000007E-2</v>
      </c>
      <c r="M864" s="154">
        <v>2</v>
      </c>
      <c r="N864" s="154" t="str">
        <f t="shared" si="41"/>
        <v>No fit</v>
      </c>
      <c r="O864" s="173" t="s">
        <v>7386</v>
      </c>
      <c r="P864" s="173" t="s">
        <v>7342</v>
      </c>
    </row>
    <row r="865" spans="1:16" ht="64.05" customHeight="1" x14ac:dyDescent="0.3">
      <c r="A865" s="151" t="s">
        <v>7524</v>
      </c>
      <c r="B865" s="151" t="s">
        <v>6014</v>
      </c>
      <c r="C865" s="151" t="s">
        <v>114</v>
      </c>
      <c r="D865" s="151">
        <v>2023</v>
      </c>
      <c r="E865" s="151" t="s">
        <v>196</v>
      </c>
      <c r="F865" s="174" t="s">
        <v>7388</v>
      </c>
      <c r="G865" s="167">
        <f>FCCL!F99</f>
        <v>7439.6810000000078</v>
      </c>
      <c r="H865" s="167">
        <f>AVERAGE(FCCL!E22,FCCL!F22)</f>
        <v>57109.076999999997</v>
      </c>
      <c r="I865" s="165">
        <f t="shared" si="39"/>
        <v>0.13027142778021097</v>
      </c>
      <c r="J865" s="165">
        <v>0.13027142778021095</v>
      </c>
      <c r="K865" s="169">
        <f t="shared" si="40"/>
        <v>0</v>
      </c>
      <c r="L865" s="165">
        <v>7.0000000000000007E-2</v>
      </c>
      <c r="M865" s="151">
        <v>2</v>
      </c>
      <c r="N865" s="151" t="str">
        <f t="shared" si="41"/>
        <v>No fit</v>
      </c>
      <c r="O865" s="174" t="s">
        <v>7389</v>
      </c>
      <c r="P865" s="174" t="s">
        <v>7342</v>
      </c>
    </row>
    <row r="866" spans="1:16" ht="64.05" customHeight="1" x14ac:dyDescent="0.3">
      <c r="A866" s="154" t="s">
        <v>7525</v>
      </c>
      <c r="B866" s="154" t="s">
        <v>6014</v>
      </c>
      <c r="C866" s="154" t="s">
        <v>114</v>
      </c>
      <c r="D866" s="154">
        <v>2023</v>
      </c>
      <c r="E866" s="154" t="s">
        <v>196</v>
      </c>
      <c r="F866" s="173" t="s">
        <v>7391</v>
      </c>
      <c r="G866" s="166">
        <f>FCCL!F99</f>
        <v>7439.6810000000078</v>
      </c>
      <c r="H866" s="166">
        <f>FCCL!F28</f>
        <v>115693.99799999999</v>
      </c>
      <c r="I866" s="164">
        <f t="shared" si="39"/>
        <v>6.4304813807195146E-2</v>
      </c>
      <c r="J866" s="164">
        <v>6.4304813807195133E-2</v>
      </c>
      <c r="K866" s="168">
        <f t="shared" si="40"/>
        <v>0</v>
      </c>
      <c r="L866" s="164">
        <v>7.0000000000000007E-2</v>
      </c>
      <c r="M866" s="154">
        <v>2</v>
      </c>
      <c r="N866" s="154" t="str">
        <f t="shared" si="41"/>
        <v>No fit</v>
      </c>
      <c r="O866" s="173" t="s">
        <v>7392</v>
      </c>
      <c r="P866" s="173" t="s">
        <v>7342</v>
      </c>
    </row>
    <row r="867" spans="1:16" ht="64.05" customHeight="1" x14ac:dyDescent="0.3">
      <c r="A867" s="151" t="s">
        <v>7526</v>
      </c>
      <c r="B867" s="151" t="s">
        <v>6014</v>
      </c>
      <c r="C867" s="151" t="s">
        <v>114</v>
      </c>
      <c r="D867" s="151">
        <v>2023</v>
      </c>
      <c r="E867" s="151" t="s">
        <v>196</v>
      </c>
      <c r="F867" s="174" t="s">
        <v>7394</v>
      </c>
      <c r="G867" s="167">
        <f>FCCL!F99</f>
        <v>7439.6810000000078</v>
      </c>
      <c r="H867" s="167">
        <f>AVERAGE(FCCL!E28,FCCL!F28)</f>
        <v>100587.6315</v>
      </c>
      <c r="I867" s="165">
        <f t="shared" si="39"/>
        <v>7.396218490341934E-2</v>
      </c>
      <c r="J867" s="165">
        <v>7.3962184903419326E-2</v>
      </c>
      <c r="K867" s="169">
        <f t="shared" si="40"/>
        <v>0</v>
      </c>
      <c r="L867" s="165">
        <v>7.0000000000000007E-2</v>
      </c>
      <c r="M867" s="151">
        <v>2</v>
      </c>
      <c r="N867" s="151" t="str">
        <f t="shared" si="41"/>
        <v>Numeric fit</v>
      </c>
      <c r="O867" s="174" t="s">
        <v>7395</v>
      </c>
      <c r="P867" s="174" t="s">
        <v>7342</v>
      </c>
    </row>
    <row r="868" spans="1:16" ht="64.05" customHeight="1" x14ac:dyDescent="0.3">
      <c r="A868" s="154" t="s">
        <v>7527</v>
      </c>
      <c r="B868" s="154" t="s">
        <v>6014</v>
      </c>
      <c r="C868" s="154" t="s">
        <v>114</v>
      </c>
      <c r="D868" s="154">
        <v>2023</v>
      </c>
      <c r="E868" s="154" t="s">
        <v>196</v>
      </c>
      <c r="F868" s="173" t="s">
        <v>7397</v>
      </c>
      <c r="G868" s="166">
        <f>FCCL!F99</f>
        <v>7439.6810000000078</v>
      </c>
      <c r="H868" s="166">
        <f>'Forensic Inputs'!$G$102</f>
        <v>127453.357</v>
      </c>
      <c r="I868" s="164">
        <f t="shared" si="39"/>
        <v>5.8371793220009162E-2</v>
      </c>
      <c r="J868" s="164">
        <v>5.8371793220009148E-2</v>
      </c>
      <c r="K868" s="168">
        <f t="shared" si="40"/>
        <v>0</v>
      </c>
      <c r="L868" s="164">
        <v>7.0000000000000007E-2</v>
      </c>
      <c r="M868" s="154">
        <v>2</v>
      </c>
      <c r="N868" s="154" t="str">
        <f t="shared" si="41"/>
        <v>No fit</v>
      </c>
      <c r="O868" s="173" t="s">
        <v>7528</v>
      </c>
      <c r="P868" s="173" t="s">
        <v>7342</v>
      </c>
    </row>
    <row r="869" spans="1:16" ht="64.05" customHeight="1" x14ac:dyDescent="0.3">
      <c r="A869" s="151" t="s">
        <v>7529</v>
      </c>
      <c r="B869" s="151" t="s">
        <v>6014</v>
      </c>
      <c r="C869" s="151" t="s">
        <v>114</v>
      </c>
      <c r="D869" s="151">
        <v>2023</v>
      </c>
      <c r="E869" s="151" t="s">
        <v>196</v>
      </c>
      <c r="F869" s="174" t="s">
        <v>7400</v>
      </c>
      <c r="G869" s="167">
        <f>FCCL!F99</f>
        <v>7439.6810000000078</v>
      </c>
      <c r="H869" s="167">
        <f>('Forensic Inputs'!$G$102-FCCL!F21)</f>
        <v>92922.184999999998</v>
      </c>
      <c r="I869" s="165">
        <f t="shared" si="39"/>
        <v>8.006356070942594E-2</v>
      </c>
      <c r="J869" s="165">
        <v>8.0063560709425913E-2</v>
      </c>
      <c r="K869" s="169">
        <f t="shared" si="40"/>
        <v>0</v>
      </c>
      <c r="L869" s="165">
        <v>7.0000000000000007E-2</v>
      </c>
      <c r="M869" s="151">
        <v>2</v>
      </c>
      <c r="N869" s="151" t="str">
        <f t="shared" si="41"/>
        <v>No fit</v>
      </c>
      <c r="O869" s="174" t="s">
        <v>7530</v>
      </c>
      <c r="P869" s="174" t="s">
        <v>7342</v>
      </c>
    </row>
    <row r="870" spans="1:16" ht="64.05" customHeight="1" x14ac:dyDescent="0.3">
      <c r="A870" s="154" t="s">
        <v>7531</v>
      </c>
      <c r="B870" s="154" t="s">
        <v>6014</v>
      </c>
      <c r="C870" s="154" t="s">
        <v>114</v>
      </c>
      <c r="D870" s="154">
        <v>2023</v>
      </c>
      <c r="E870" s="154" t="s">
        <v>196</v>
      </c>
      <c r="F870" s="173" t="s">
        <v>7403</v>
      </c>
      <c r="G870" s="166">
        <f>FCCL!F99</f>
        <v>7439.6810000000078</v>
      </c>
      <c r="H870" s="166">
        <f>AVERAGE('Forensic Inputs'!$G$100,'Forensic Inputs'!$G$102)</f>
        <v>110655.664</v>
      </c>
      <c r="I870" s="164">
        <f t="shared" si="39"/>
        <v>6.7232717522710886E-2</v>
      </c>
      <c r="J870" s="164">
        <v>6.7232717522710858E-2</v>
      </c>
      <c r="K870" s="168">
        <f t="shared" si="40"/>
        <v>0</v>
      </c>
      <c r="L870" s="164">
        <v>7.0000000000000007E-2</v>
      </c>
      <c r="M870" s="154">
        <v>2</v>
      </c>
      <c r="N870" s="154" t="str">
        <f t="shared" si="41"/>
        <v>Numeric fit</v>
      </c>
      <c r="O870" s="173" t="s">
        <v>7532</v>
      </c>
      <c r="P870" s="173" t="s">
        <v>7342</v>
      </c>
    </row>
    <row r="871" spans="1:16" ht="64.05" customHeight="1" x14ac:dyDescent="0.3">
      <c r="A871" s="151" t="s">
        <v>7533</v>
      </c>
      <c r="B871" s="151" t="s">
        <v>6014</v>
      </c>
      <c r="C871" s="151" t="s">
        <v>114</v>
      </c>
      <c r="D871" s="151">
        <v>2023</v>
      </c>
      <c r="E871" s="151" t="s">
        <v>196</v>
      </c>
      <c r="F871" s="174" t="s">
        <v>7406</v>
      </c>
      <c r="G871" s="167">
        <f>FCCL!F96</f>
        <v>12900.109000000008</v>
      </c>
      <c r="H871" s="167">
        <f>FCCL!F37</f>
        <v>138828.497</v>
      </c>
      <c r="I871" s="165">
        <f t="shared" si="39"/>
        <v>9.2921188940048874E-2</v>
      </c>
      <c r="J871" s="165">
        <v>9.292118894004886E-2</v>
      </c>
      <c r="K871" s="169">
        <f t="shared" si="40"/>
        <v>0</v>
      </c>
      <c r="L871" s="165">
        <v>7.0000000000000007E-2</v>
      </c>
      <c r="M871" s="151">
        <v>2</v>
      </c>
      <c r="N871" s="151" t="str">
        <f t="shared" si="41"/>
        <v>No fit</v>
      </c>
      <c r="O871" s="174" t="s">
        <v>7407</v>
      </c>
      <c r="P871" s="174" t="s">
        <v>7342</v>
      </c>
    </row>
    <row r="872" spans="1:16" ht="64.05" customHeight="1" x14ac:dyDescent="0.3">
      <c r="A872" s="154" t="s">
        <v>7534</v>
      </c>
      <c r="B872" s="154" t="s">
        <v>6014</v>
      </c>
      <c r="C872" s="154" t="s">
        <v>114</v>
      </c>
      <c r="D872" s="154">
        <v>2023</v>
      </c>
      <c r="E872" s="154" t="s">
        <v>196</v>
      </c>
      <c r="F872" s="173" t="s">
        <v>7409</v>
      </c>
      <c r="G872" s="166">
        <f>FCCL!F96</f>
        <v>12900.109000000008</v>
      </c>
      <c r="H872" s="166">
        <f>AVERAGE(FCCL!E37,FCCL!F37)</f>
        <v>126263.28700000001</v>
      </c>
      <c r="I872" s="164">
        <f t="shared" si="39"/>
        <v>0.10216832862904961</v>
      </c>
      <c r="J872" s="164">
        <v>0.10216832862904959</v>
      </c>
      <c r="K872" s="168">
        <f t="shared" si="40"/>
        <v>0</v>
      </c>
      <c r="L872" s="164">
        <v>7.0000000000000007E-2</v>
      </c>
      <c r="M872" s="154">
        <v>2</v>
      </c>
      <c r="N872" s="154" t="str">
        <f t="shared" si="41"/>
        <v>No fit</v>
      </c>
      <c r="O872" s="173" t="s">
        <v>7410</v>
      </c>
      <c r="P872" s="173" t="s">
        <v>7342</v>
      </c>
    </row>
    <row r="873" spans="1:16" ht="64.05" customHeight="1" x14ac:dyDescent="0.3">
      <c r="A873" s="151" t="s">
        <v>7535</v>
      </c>
      <c r="B873" s="151" t="s">
        <v>6014</v>
      </c>
      <c r="C873" s="151" t="s">
        <v>114</v>
      </c>
      <c r="D873" s="151">
        <v>2023</v>
      </c>
      <c r="E873" s="151" t="s">
        <v>196</v>
      </c>
      <c r="F873" s="174" t="s">
        <v>7412</v>
      </c>
      <c r="G873" s="167">
        <f>FCCL!F96</f>
        <v>12900.109000000008</v>
      </c>
      <c r="H873" s="167">
        <f>FCCL!F20</f>
        <v>104425.181</v>
      </c>
      <c r="I873" s="165">
        <f t="shared" si="39"/>
        <v>0.12353446627016149</v>
      </c>
      <c r="J873" s="165">
        <v>0.12353446627016147</v>
      </c>
      <c r="K873" s="169">
        <f t="shared" si="40"/>
        <v>0</v>
      </c>
      <c r="L873" s="165">
        <v>7.0000000000000007E-2</v>
      </c>
      <c r="M873" s="151">
        <v>2</v>
      </c>
      <c r="N873" s="151" t="str">
        <f t="shared" si="41"/>
        <v>No fit</v>
      </c>
      <c r="O873" s="174" t="s">
        <v>7413</v>
      </c>
      <c r="P873" s="174" t="s">
        <v>7342</v>
      </c>
    </row>
    <row r="874" spans="1:16" ht="64.05" customHeight="1" x14ac:dyDescent="0.3">
      <c r="A874" s="154" t="s">
        <v>7536</v>
      </c>
      <c r="B874" s="154" t="s">
        <v>6014</v>
      </c>
      <c r="C874" s="154" t="s">
        <v>114</v>
      </c>
      <c r="D874" s="154">
        <v>2023</v>
      </c>
      <c r="E874" s="154" t="s">
        <v>196</v>
      </c>
      <c r="F874" s="173" t="s">
        <v>7415</v>
      </c>
      <c r="G874" s="166">
        <f>FCCL!F96</f>
        <v>12900.109000000008</v>
      </c>
      <c r="H874" s="166">
        <f>AVERAGE(FCCL!E20,FCCL!F20)</f>
        <v>89275.747999999992</v>
      </c>
      <c r="I874" s="164">
        <f t="shared" si="39"/>
        <v>0.14449734994099414</v>
      </c>
      <c r="J874" s="164">
        <v>0.14449734994099414</v>
      </c>
      <c r="K874" s="168">
        <f t="shared" si="40"/>
        <v>0</v>
      </c>
      <c r="L874" s="164">
        <v>7.0000000000000007E-2</v>
      </c>
      <c r="M874" s="154">
        <v>2</v>
      </c>
      <c r="N874" s="154" t="str">
        <f t="shared" si="41"/>
        <v>No fit</v>
      </c>
      <c r="O874" s="173" t="s">
        <v>7416</v>
      </c>
      <c r="P874" s="173" t="s">
        <v>7342</v>
      </c>
    </row>
    <row r="875" spans="1:16" ht="64.05" customHeight="1" x14ac:dyDescent="0.3">
      <c r="A875" s="151" t="s">
        <v>7537</v>
      </c>
      <c r="B875" s="151" t="s">
        <v>6014</v>
      </c>
      <c r="C875" s="151" t="s">
        <v>114</v>
      </c>
      <c r="D875" s="151">
        <v>2023</v>
      </c>
      <c r="E875" s="151" t="s">
        <v>196</v>
      </c>
      <c r="F875" s="174" t="s">
        <v>7418</v>
      </c>
      <c r="G875" s="167">
        <f>FCCL!F96</f>
        <v>12900.109000000008</v>
      </c>
      <c r="H875" s="167">
        <f>FCCL!F22</f>
        <v>69894.008999999991</v>
      </c>
      <c r="I875" s="165">
        <f t="shared" si="39"/>
        <v>0.18456673446789995</v>
      </c>
      <c r="J875" s="165">
        <v>0.18456673446789992</v>
      </c>
      <c r="K875" s="169">
        <f t="shared" si="40"/>
        <v>0</v>
      </c>
      <c r="L875" s="165">
        <v>7.0000000000000007E-2</v>
      </c>
      <c r="M875" s="151">
        <v>2</v>
      </c>
      <c r="N875" s="151" t="str">
        <f t="shared" si="41"/>
        <v>No fit</v>
      </c>
      <c r="O875" s="174" t="s">
        <v>7419</v>
      </c>
      <c r="P875" s="174" t="s">
        <v>7342</v>
      </c>
    </row>
    <row r="876" spans="1:16" ht="64.05" customHeight="1" x14ac:dyDescent="0.3">
      <c r="A876" s="154" t="s">
        <v>7538</v>
      </c>
      <c r="B876" s="154" t="s">
        <v>6014</v>
      </c>
      <c r="C876" s="154" t="s">
        <v>114</v>
      </c>
      <c r="D876" s="154">
        <v>2023</v>
      </c>
      <c r="E876" s="154" t="s">
        <v>196</v>
      </c>
      <c r="F876" s="173" t="s">
        <v>7421</v>
      </c>
      <c r="G876" s="166">
        <f>FCCL!F96</f>
        <v>12900.109000000008</v>
      </c>
      <c r="H876" s="166">
        <f>AVERAGE(FCCL!E22,FCCL!F22)</f>
        <v>57109.076999999997</v>
      </c>
      <c r="I876" s="164">
        <f t="shared" si="39"/>
        <v>0.22588544024271323</v>
      </c>
      <c r="J876" s="164">
        <v>0.2258854402427132</v>
      </c>
      <c r="K876" s="168">
        <f t="shared" si="40"/>
        <v>0</v>
      </c>
      <c r="L876" s="164">
        <v>7.0000000000000007E-2</v>
      </c>
      <c r="M876" s="154">
        <v>2</v>
      </c>
      <c r="N876" s="154" t="str">
        <f t="shared" si="41"/>
        <v>No fit</v>
      </c>
      <c r="O876" s="173" t="s">
        <v>7422</v>
      </c>
      <c r="P876" s="173" t="s">
        <v>7342</v>
      </c>
    </row>
    <row r="877" spans="1:16" ht="64.05" customHeight="1" x14ac:dyDescent="0.3">
      <c r="A877" s="151" t="s">
        <v>7539</v>
      </c>
      <c r="B877" s="151" t="s">
        <v>6014</v>
      </c>
      <c r="C877" s="151" t="s">
        <v>114</v>
      </c>
      <c r="D877" s="151">
        <v>2023</v>
      </c>
      <c r="E877" s="151" t="s">
        <v>196</v>
      </c>
      <c r="F877" s="174" t="s">
        <v>7424</v>
      </c>
      <c r="G877" s="167">
        <f>FCCL!F96</f>
        <v>12900.109000000008</v>
      </c>
      <c r="H877" s="167">
        <f>FCCL!F28</f>
        <v>115693.99799999999</v>
      </c>
      <c r="I877" s="165">
        <f t="shared" si="39"/>
        <v>0.11150197264338646</v>
      </c>
      <c r="J877" s="165">
        <v>0.11150197264338645</v>
      </c>
      <c r="K877" s="169">
        <f t="shared" si="40"/>
        <v>0</v>
      </c>
      <c r="L877" s="165">
        <v>7.0000000000000007E-2</v>
      </c>
      <c r="M877" s="151">
        <v>2</v>
      </c>
      <c r="N877" s="151" t="str">
        <f t="shared" si="41"/>
        <v>No fit</v>
      </c>
      <c r="O877" s="174" t="s">
        <v>7425</v>
      </c>
      <c r="P877" s="174" t="s">
        <v>7342</v>
      </c>
    </row>
    <row r="878" spans="1:16" ht="64.05" customHeight="1" x14ac:dyDescent="0.3">
      <c r="A878" s="154" t="s">
        <v>7540</v>
      </c>
      <c r="B878" s="154" t="s">
        <v>6014</v>
      </c>
      <c r="C878" s="154" t="s">
        <v>114</v>
      </c>
      <c r="D878" s="154">
        <v>2023</v>
      </c>
      <c r="E878" s="154" t="s">
        <v>196</v>
      </c>
      <c r="F878" s="173" t="s">
        <v>7427</v>
      </c>
      <c r="G878" s="166">
        <f>FCCL!F96</f>
        <v>12900.109000000008</v>
      </c>
      <c r="H878" s="166">
        <f>AVERAGE(FCCL!E28,FCCL!F28)</f>
        <v>100587.6315</v>
      </c>
      <c r="I878" s="164">
        <f t="shared" si="39"/>
        <v>0.12824746748311702</v>
      </c>
      <c r="J878" s="164">
        <v>0.12824746748311702</v>
      </c>
      <c r="K878" s="168">
        <f t="shared" si="40"/>
        <v>0</v>
      </c>
      <c r="L878" s="164">
        <v>7.0000000000000007E-2</v>
      </c>
      <c r="M878" s="154">
        <v>2</v>
      </c>
      <c r="N878" s="154" t="str">
        <f t="shared" si="41"/>
        <v>No fit</v>
      </c>
      <c r="O878" s="173" t="s">
        <v>7428</v>
      </c>
      <c r="P878" s="173" t="s">
        <v>7342</v>
      </c>
    </row>
    <row r="879" spans="1:16" ht="64.05" customHeight="1" x14ac:dyDescent="0.3">
      <c r="A879" s="151" t="s">
        <v>7541</v>
      </c>
      <c r="B879" s="151" t="s">
        <v>6014</v>
      </c>
      <c r="C879" s="151" t="s">
        <v>114</v>
      </c>
      <c r="D879" s="151">
        <v>2023</v>
      </c>
      <c r="E879" s="151" t="s">
        <v>196</v>
      </c>
      <c r="F879" s="174" t="s">
        <v>7430</v>
      </c>
      <c r="G879" s="167">
        <f>FCCL!F96</f>
        <v>12900.109000000008</v>
      </c>
      <c r="H879" s="167">
        <f>'Forensic Inputs'!$G$102</f>
        <v>127453.357</v>
      </c>
      <c r="I879" s="165">
        <f t="shared" si="39"/>
        <v>0.10121435247876608</v>
      </c>
      <c r="J879" s="165">
        <v>0.10121435247876606</v>
      </c>
      <c r="K879" s="169">
        <f t="shared" si="40"/>
        <v>0</v>
      </c>
      <c r="L879" s="165">
        <v>7.0000000000000007E-2</v>
      </c>
      <c r="M879" s="151">
        <v>2</v>
      </c>
      <c r="N879" s="151" t="str">
        <f t="shared" si="41"/>
        <v>No fit</v>
      </c>
      <c r="O879" s="174" t="s">
        <v>7542</v>
      </c>
      <c r="P879" s="174" t="s">
        <v>7342</v>
      </c>
    </row>
    <row r="880" spans="1:16" ht="64.05" customHeight="1" x14ac:dyDescent="0.3">
      <c r="A880" s="154" t="s">
        <v>7543</v>
      </c>
      <c r="B880" s="154" t="s">
        <v>6014</v>
      </c>
      <c r="C880" s="154" t="s">
        <v>114</v>
      </c>
      <c r="D880" s="154">
        <v>2023</v>
      </c>
      <c r="E880" s="154" t="s">
        <v>196</v>
      </c>
      <c r="F880" s="173" t="s">
        <v>7433</v>
      </c>
      <c r="G880" s="166">
        <f>FCCL!F96</f>
        <v>12900.109000000008</v>
      </c>
      <c r="H880" s="166">
        <f>('Forensic Inputs'!$G$102-FCCL!F21)</f>
        <v>92922.184999999998</v>
      </c>
      <c r="I880" s="164">
        <f t="shared" si="39"/>
        <v>0.13882700885692698</v>
      </c>
      <c r="J880" s="164">
        <v>0.13882700885692698</v>
      </c>
      <c r="K880" s="168">
        <f t="shared" si="40"/>
        <v>0</v>
      </c>
      <c r="L880" s="164">
        <v>7.0000000000000007E-2</v>
      </c>
      <c r="M880" s="154">
        <v>2</v>
      </c>
      <c r="N880" s="154" t="str">
        <f t="shared" si="41"/>
        <v>No fit</v>
      </c>
      <c r="O880" s="173" t="s">
        <v>7544</v>
      </c>
      <c r="P880" s="173" t="s">
        <v>7342</v>
      </c>
    </row>
    <row r="881" spans="1:16" ht="64.05" customHeight="1" x14ac:dyDescent="0.3">
      <c r="A881" s="151" t="s">
        <v>7545</v>
      </c>
      <c r="B881" s="151" t="s">
        <v>6014</v>
      </c>
      <c r="C881" s="151" t="s">
        <v>114</v>
      </c>
      <c r="D881" s="151">
        <v>2023</v>
      </c>
      <c r="E881" s="151" t="s">
        <v>196</v>
      </c>
      <c r="F881" s="174" t="s">
        <v>7436</v>
      </c>
      <c r="G881" s="167">
        <f>FCCL!F96</f>
        <v>12900.109000000008</v>
      </c>
      <c r="H881" s="167">
        <f>AVERAGE('Forensic Inputs'!$G$100,'Forensic Inputs'!$G$102)</f>
        <v>110655.664</v>
      </c>
      <c r="I881" s="165">
        <f t="shared" si="39"/>
        <v>0.1165788404649581</v>
      </c>
      <c r="J881" s="165">
        <v>0.11657884046495809</v>
      </c>
      <c r="K881" s="169">
        <f t="shared" si="40"/>
        <v>0</v>
      </c>
      <c r="L881" s="165">
        <v>7.0000000000000007E-2</v>
      </c>
      <c r="M881" s="151">
        <v>2</v>
      </c>
      <c r="N881" s="151" t="str">
        <f t="shared" si="41"/>
        <v>No fit</v>
      </c>
      <c r="O881" s="174" t="s">
        <v>7546</v>
      </c>
      <c r="P881" s="174" t="s">
        <v>7342</v>
      </c>
    </row>
    <row r="882" spans="1:16" ht="64.05" customHeight="1" x14ac:dyDescent="0.3">
      <c r="A882" s="154" t="s">
        <v>7547</v>
      </c>
      <c r="B882" s="154" t="s">
        <v>6014</v>
      </c>
      <c r="C882" s="154" t="s">
        <v>114</v>
      </c>
      <c r="D882" s="154">
        <v>2023</v>
      </c>
      <c r="E882" s="154" t="s">
        <v>196</v>
      </c>
      <c r="F882" s="173" t="s">
        <v>7439</v>
      </c>
      <c r="G882" s="166">
        <f>FCCL!F108</f>
        <v>16545.374000000007</v>
      </c>
      <c r="H882" s="166">
        <f>FCCL!F37</f>
        <v>138828.497</v>
      </c>
      <c r="I882" s="164">
        <f t="shared" si="39"/>
        <v>0.11917851419222673</v>
      </c>
      <c r="J882" s="164">
        <v>0.11917851419222673</v>
      </c>
      <c r="K882" s="168">
        <f t="shared" si="40"/>
        <v>0</v>
      </c>
      <c r="L882" s="164">
        <v>7.0000000000000007E-2</v>
      </c>
      <c r="M882" s="154">
        <v>2</v>
      </c>
      <c r="N882" s="154" t="str">
        <f t="shared" si="41"/>
        <v>No fit</v>
      </c>
      <c r="O882" s="173" t="s">
        <v>7440</v>
      </c>
      <c r="P882" s="173" t="s">
        <v>7342</v>
      </c>
    </row>
    <row r="883" spans="1:16" ht="64.05" customHeight="1" x14ac:dyDescent="0.3">
      <c r="A883" s="151" t="s">
        <v>7548</v>
      </c>
      <c r="B883" s="151" t="s">
        <v>6014</v>
      </c>
      <c r="C883" s="151" t="s">
        <v>114</v>
      </c>
      <c r="D883" s="151">
        <v>2023</v>
      </c>
      <c r="E883" s="151" t="s">
        <v>196</v>
      </c>
      <c r="F883" s="174" t="s">
        <v>7442</v>
      </c>
      <c r="G883" s="167">
        <f>FCCL!F108</f>
        <v>16545.374000000007</v>
      </c>
      <c r="H883" s="167">
        <f>AVERAGE(FCCL!E37,FCCL!F37)</f>
        <v>126263.28700000001</v>
      </c>
      <c r="I883" s="165">
        <f t="shared" si="39"/>
        <v>0.13103867634936517</v>
      </c>
      <c r="J883" s="165">
        <v>0.13103867634936517</v>
      </c>
      <c r="K883" s="169">
        <f t="shared" si="40"/>
        <v>0</v>
      </c>
      <c r="L883" s="165">
        <v>7.0000000000000007E-2</v>
      </c>
      <c r="M883" s="151">
        <v>2</v>
      </c>
      <c r="N883" s="151" t="str">
        <f t="shared" si="41"/>
        <v>No fit</v>
      </c>
      <c r="O883" s="174" t="s">
        <v>7443</v>
      </c>
      <c r="P883" s="174" t="s">
        <v>7342</v>
      </c>
    </row>
    <row r="884" spans="1:16" ht="64.05" customHeight="1" x14ac:dyDescent="0.3">
      <c r="A884" s="154" t="s">
        <v>7549</v>
      </c>
      <c r="B884" s="154" t="s">
        <v>6014</v>
      </c>
      <c r="C884" s="154" t="s">
        <v>114</v>
      </c>
      <c r="D884" s="154">
        <v>2023</v>
      </c>
      <c r="E884" s="154" t="s">
        <v>196</v>
      </c>
      <c r="F884" s="173" t="s">
        <v>7445</v>
      </c>
      <c r="G884" s="166">
        <f>FCCL!F108</f>
        <v>16545.374000000007</v>
      </c>
      <c r="H884" s="166">
        <f>FCCL!F20</f>
        <v>104425.181</v>
      </c>
      <c r="I884" s="164">
        <f t="shared" si="39"/>
        <v>0.15844237799310118</v>
      </c>
      <c r="J884" s="164">
        <v>0.15844237799310118</v>
      </c>
      <c r="K884" s="168">
        <f t="shared" si="40"/>
        <v>0</v>
      </c>
      <c r="L884" s="164">
        <v>7.0000000000000007E-2</v>
      </c>
      <c r="M884" s="154">
        <v>2</v>
      </c>
      <c r="N884" s="154" t="str">
        <f t="shared" si="41"/>
        <v>No fit</v>
      </c>
      <c r="O884" s="173" t="s">
        <v>7446</v>
      </c>
      <c r="P884" s="173" t="s">
        <v>7342</v>
      </c>
    </row>
    <row r="885" spans="1:16" ht="64.05" customHeight="1" x14ac:dyDescent="0.3">
      <c r="A885" s="151" t="s">
        <v>7550</v>
      </c>
      <c r="B885" s="151" t="s">
        <v>6014</v>
      </c>
      <c r="C885" s="151" t="s">
        <v>114</v>
      </c>
      <c r="D885" s="151">
        <v>2023</v>
      </c>
      <c r="E885" s="151" t="s">
        <v>196</v>
      </c>
      <c r="F885" s="174" t="s">
        <v>7448</v>
      </c>
      <c r="G885" s="167">
        <f>FCCL!F108</f>
        <v>16545.374000000007</v>
      </c>
      <c r="H885" s="167">
        <f>AVERAGE(FCCL!E20,FCCL!F20)</f>
        <v>89275.747999999992</v>
      </c>
      <c r="I885" s="165">
        <f t="shared" si="39"/>
        <v>0.18532887565388989</v>
      </c>
      <c r="J885" s="165">
        <v>0.18532887565388989</v>
      </c>
      <c r="K885" s="169">
        <f t="shared" si="40"/>
        <v>0</v>
      </c>
      <c r="L885" s="165">
        <v>7.0000000000000007E-2</v>
      </c>
      <c r="M885" s="151">
        <v>2</v>
      </c>
      <c r="N885" s="151" t="str">
        <f t="shared" si="41"/>
        <v>No fit</v>
      </c>
      <c r="O885" s="174" t="s">
        <v>7449</v>
      </c>
      <c r="P885" s="174" t="s">
        <v>7342</v>
      </c>
    </row>
    <row r="886" spans="1:16" ht="64.05" customHeight="1" x14ac:dyDescent="0.3">
      <c r="A886" s="154" t="s">
        <v>7551</v>
      </c>
      <c r="B886" s="154" t="s">
        <v>6014</v>
      </c>
      <c r="C886" s="154" t="s">
        <v>114</v>
      </c>
      <c r="D886" s="154">
        <v>2023</v>
      </c>
      <c r="E886" s="154" t="s">
        <v>196</v>
      </c>
      <c r="F886" s="173" t="s">
        <v>7451</v>
      </c>
      <c r="G886" s="166">
        <f>FCCL!F108</f>
        <v>16545.374000000007</v>
      </c>
      <c r="H886" s="166">
        <f>FCCL!F22</f>
        <v>69894.008999999991</v>
      </c>
      <c r="I886" s="164">
        <f t="shared" si="39"/>
        <v>0.23672091838372025</v>
      </c>
      <c r="J886" s="164">
        <v>0.23672091838372025</v>
      </c>
      <c r="K886" s="168">
        <f t="shared" si="40"/>
        <v>0</v>
      </c>
      <c r="L886" s="164">
        <v>7.0000000000000007E-2</v>
      </c>
      <c r="M886" s="154">
        <v>2</v>
      </c>
      <c r="N886" s="154" t="str">
        <f t="shared" si="41"/>
        <v>No fit</v>
      </c>
      <c r="O886" s="173" t="s">
        <v>7452</v>
      </c>
      <c r="P886" s="173" t="s">
        <v>7342</v>
      </c>
    </row>
    <row r="887" spans="1:16" ht="64.05" customHeight="1" x14ac:dyDescent="0.3">
      <c r="A887" s="151" t="s">
        <v>7552</v>
      </c>
      <c r="B887" s="151" t="s">
        <v>6014</v>
      </c>
      <c r="C887" s="151" t="s">
        <v>114</v>
      </c>
      <c r="D887" s="151">
        <v>2023</v>
      </c>
      <c r="E887" s="151" t="s">
        <v>196</v>
      </c>
      <c r="F887" s="174" t="s">
        <v>7454</v>
      </c>
      <c r="G887" s="167">
        <f>FCCL!F108</f>
        <v>16545.374000000007</v>
      </c>
      <c r="H887" s="167">
        <f>AVERAGE(FCCL!E22,FCCL!F22)</f>
        <v>57109.076999999997</v>
      </c>
      <c r="I887" s="165">
        <f t="shared" si="39"/>
        <v>0.28971531093034486</v>
      </c>
      <c r="J887" s="165">
        <v>0.28971531093034486</v>
      </c>
      <c r="K887" s="169">
        <f t="shared" si="40"/>
        <v>0</v>
      </c>
      <c r="L887" s="165">
        <v>7.0000000000000007E-2</v>
      </c>
      <c r="M887" s="151">
        <v>2</v>
      </c>
      <c r="N887" s="151" t="str">
        <f t="shared" si="41"/>
        <v>No fit</v>
      </c>
      <c r="O887" s="174" t="s">
        <v>7455</v>
      </c>
      <c r="P887" s="174" t="s">
        <v>7342</v>
      </c>
    </row>
    <row r="888" spans="1:16" ht="64.05" customHeight="1" x14ac:dyDescent="0.3">
      <c r="A888" s="154" t="s">
        <v>7553</v>
      </c>
      <c r="B888" s="154" t="s">
        <v>6014</v>
      </c>
      <c r="C888" s="154" t="s">
        <v>114</v>
      </c>
      <c r="D888" s="154">
        <v>2023</v>
      </c>
      <c r="E888" s="154" t="s">
        <v>196</v>
      </c>
      <c r="F888" s="173" t="s">
        <v>7457</v>
      </c>
      <c r="G888" s="166">
        <f>FCCL!F108</f>
        <v>16545.374000000007</v>
      </c>
      <c r="H888" s="166">
        <f>FCCL!F28</f>
        <v>115693.99799999999</v>
      </c>
      <c r="I888" s="164">
        <f t="shared" si="39"/>
        <v>0.14300978690355232</v>
      </c>
      <c r="J888" s="164">
        <v>0.14300978690355232</v>
      </c>
      <c r="K888" s="168">
        <f t="shared" si="40"/>
        <v>0</v>
      </c>
      <c r="L888" s="164">
        <v>7.0000000000000007E-2</v>
      </c>
      <c r="M888" s="154">
        <v>2</v>
      </c>
      <c r="N888" s="154" t="str">
        <f t="shared" si="41"/>
        <v>No fit</v>
      </c>
      <c r="O888" s="173" t="s">
        <v>7458</v>
      </c>
      <c r="P888" s="173" t="s">
        <v>7342</v>
      </c>
    </row>
    <row r="889" spans="1:16" ht="64.05" customHeight="1" x14ac:dyDescent="0.3">
      <c r="A889" s="151" t="s">
        <v>7554</v>
      </c>
      <c r="B889" s="151" t="s">
        <v>6014</v>
      </c>
      <c r="C889" s="151" t="s">
        <v>114</v>
      </c>
      <c r="D889" s="151">
        <v>2023</v>
      </c>
      <c r="E889" s="151" t="s">
        <v>196</v>
      </c>
      <c r="F889" s="174" t="s">
        <v>7460</v>
      </c>
      <c r="G889" s="167">
        <f>FCCL!F108</f>
        <v>16545.374000000007</v>
      </c>
      <c r="H889" s="167">
        <f>AVERAGE(FCCL!E28,FCCL!F28)</f>
        <v>100587.6315</v>
      </c>
      <c r="I889" s="165">
        <f t="shared" si="39"/>
        <v>0.16448716162483662</v>
      </c>
      <c r="J889" s="165">
        <v>0.16448716162483665</v>
      </c>
      <c r="K889" s="169">
        <f t="shared" si="40"/>
        <v>0</v>
      </c>
      <c r="L889" s="165">
        <v>7.0000000000000007E-2</v>
      </c>
      <c r="M889" s="151">
        <v>2</v>
      </c>
      <c r="N889" s="151" t="str">
        <f t="shared" si="41"/>
        <v>No fit</v>
      </c>
      <c r="O889" s="174" t="s">
        <v>7461</v>
      </c>
      <c r="P889" s="174" t="s">
        <v>7342</v>
      </c>
    </row>
    <row r="890" spans="1:16" ht="64.05" customHeight="1" x14ac:dyDescent="0.3">
      <c r="A890" s="154" t="s">
        <v>7555</v>
      </c>
      <c r="B890" s="154" t="s">
        <v>6014</v>
      </c>
      <c r="C890" s="154" t="s">
        <v>114</v>
      </c>
      <c r="D890" s="154">
        <v>2023</v>
      </c>
      <c r="E890" s="154" t="s">
        <v>196</v>
      </c>
      <c r="F890" s="173" t="s">
        <v>7463</v>
      </c>
      <c r="G890" s="166">
        <f>FCCL!F108</f>
        <v>16545.374000000007</v>
      </c>
      <c r="H890" s="166">
        <f>'Forensic Inputs'!$G$102</f>
        <v>127453.357</v>
      </c>
      <c r="I890" s="164">
        <f t="shared" si="39"/>
        <v>0.12981512915348323</v>
      </c>
      <c r="J890" s="164">
        <v>0.12981512915348323</v>
      </c>
      <c r="K890" s="168">
        <f t="shared" si="40"/>
        <v>0</v>
      </c>
      <c r="L890" s="164">
        <v>7.0000000000000007E-2</v>
      </c>
      <c r="M890" s="154">
        <v>2</v>
      </c>
      <c r="N890" s="154" t="str">
        <f t="shared" si="41"/>
        <v>No fit</v>
      </c>
      <c r="O890" s="173" t="s">
        <v>7556</v>
      </c>
      <c r="P890" s="173" t="s">
        <v>7342</v>
      </c>
    </row>
    <row r="891" spans="1:16" ht="64.05" customHeight="1" x14ac:dyDescent="0.3">
      <c r="A891" s="151" t="s">
        <v>7557</v>
      </c>
      <c r="B891" s="151" t="s">
        <v>6014</v>
      </c>
      <c r="C891" s="151" t="s">
        <v>114</v>
      </c>
      <c r="D891" s="151">
        <v>2023</v>
      </c>
      <c r="E891" s="151" t="s">
        <v>196</v>
      </c>
      <c r="F891" s="174" t="s">
        <v>7466</v>
      </c>
      <c r="G891" s="167">
        <f>FCCL!F108</f>
        <v>16545.374000000007</v>
      </c>
      <c r="H891" s="167">
        <f>('Forensic Inputs'!$G$102-FCCL!F21)</f>
        <v>92922.184999999998</v>
      </c>
      <c r="I891" s="165">
        <f t="shared" si="39"/>
        <v>0.17805623059767706</v>
      </c>
      <c r="J891" s="165">
        <v>0.17805623059767706</v>
      </c>
      <c r="K891" s="169">
        <f t="shared" si="40"/>
        <v>0</v>
      </c>
      <c r="L891" s="165">
        <v>7.0000000000000007E-2</v>
      </c>
      <c r="M891" s="151">
        <v>2</v>
      </c>
      <c r="N891" s="151" t="str">
        <f t="shared" si="41"/>
        <v>No fit</v>
      </c>
      <c r="O891" s="174" t="s">
        <v>7558</v>
      </c>
      <c r="P891" s="174" t="s">
        <v>7342</v>
      </c>
    </row>
    <row r="892" spans="1:16" ht="64.05" customHeight="1" x14ac:dyDescent="0.3">
      <c r="A892" s="154" t="s">
        <v>7559</v>
      </c>
      <c r="B892" s="154" t="s">
        <v>6014</v>
      </c>
      <c r="C892" s="154" t="s">
        <v>114</v>
      </c>
      <c r="D892" s="154">
        <v>2023</v>
      </c>
      <c r="E892" s="154" t="s">
        <v>196</v>
      </c>
      <c r="F892" s="173" t="s">
        <v>7469</v>
      </c>
      <c r="G892" s="166">
        <f>FCCL!F108</f>
        <v>16545.374000000007</v>
      </c>
      <c r="H892" s="166">
        <f>AVERAGE('Forensic Inputs'!$G$100,'Forensic Inputs'!$G$102)</f>
        <v>110655.664</v>
      </c>
      <c r="I892" s="164">
        <f t="shared" si="39"/>
        <v>0.14952125722186266</v>
      </c>
      <c r="J892" s="164">
        <v>0.14952125722186266</v>
      </c>
      <c r="K892" s="168">
        <f t="shared" si="40"/>
        <v>0</v>
      </c>
      <c r="L892" s="164">
        <v>7.0000000000000007E-2</v>
      </c>
      <c r="M892" s="154">
        <v>2</v>
      </c>
      <c r="N892" s="154" t="str">
        <f t="shared" si="41"/>
        <v>No fit</v>
      </c>
      <c r="O892" s="173" t="s">
        <v>7560</v>
      </c>
      <c r="P892" s="173" t="s">
        <v>7342</v>
      </c>
    </row>
    <row r="893" spans="1:16" ht="64.05" customHeight="1" x14ac:dyDescent="0.3">
      <c r="A893" s="151" t="s">
        <v>7561</v>
      </c>
      <c r="B893" s="151" t="s">
        <v>6014</v>
      </c>
      <c r="C893" s="151" t="s">
        <v>114</v>
      </c>
      <c r="D893" s="151">
        <v>2023</v>
      </c>
      <c r="E893" s="151" t="s">
        <v>196</v>
      </c>
      <c r="F893" s="174" t="s">
        <v>7472</v>
      </c>
      <c r="G893" s="167">
        <f>FCCL!F91</f>
        <v>15581.499000000007</v>
      </c>
      <c r="H893" s="167">
        <f>FCCL!F37</f>
        <v>138828.497</v>
      </c>
      <c r="I893" s="165">
        <f t="shared" si="39"/>
        <v>0.11223559526110843</v>
      </c>
      <c r="J893" s="165">
        <v>0.11223559526110842</v>
      </c>
      <c r="K893" s="169">
        <f t="shared" si="40"/>
        <v>0</v>
      </c>
      <c r="L893" s="165">
        <v>7.0000000000000007E-2</v>
      </c>
      <c r="M893" s="151">
        <v>2</v>
      </c>
      <c r="N893" s="151" t="str">
        <f t="shared" si="41"/>
        <v>No fit</v>
      </c>
      <c r="O893" s="174" t="s">
        <v>7473</v>
      </c>
      <c r="P893" s="174" t="s">
        <v>7342</v>
      </c>
    </row>
    <row r="894" spans="1:16" ht="64.05" customHeight="1" x14ac:dyDescent="0.3">
      <c r="A894" s="154" t="s">
        <v>7562</v>
      </c>
      <c r="B894" s="154" t="s">
        <v>6014</v>
      </c>
      <c r="C894" s="154" t="s">
        <v>114</v>
      </c>
      <c r="D894" s="154">
        <v>2023</v>
      </c>
      <c r="E894" s="154" t="s">
        <v>196</v>
      </c>
      <c r="F894" s="173" t="s">
        <v>7475</v>
      </c>
      <c r="G894" s="166">
        <f>FCCL!F91</f>
        <v>15581.499000000007</v>
      </c>
      <c r="H894" s="166">
        <f>AVERAGE(FCCL!E37,FCCL!F37)</f>
        <v>126263.28700000001</v>
      </c>
      <c r="I894" s="164">
        <f t="shared" si="39"/>
        <v>0.12340482629760784</v>
      </c>
      <c r="J894" s="164">
        <v>0.12340482629760782</v>
      </c>
      <c r="K894" s="168">
        <f t="shared" si="40"/>
        <v>0</v>
      </c>
      <c r="L894" s="164">
        <v>7.0000000000000007E-2</v>
      </c>
      <c r="M894" s="154">
        <v>2</v>
      </c>
      <c r="N894" s="154" t="str">
        <f t="shared" si="41"/>
        <v>No fit</v>
      </c>
      <c r="O894" s="173" t="s">
        <v>7476</v>
      </c>
      <c r="P894" s="173" t="s">
        <v>7342</v>
      </c>
    </row>
    <row r="895" spans="1:16" ht="64.05" customHeight="1" x14ac:dyDescent="0.3">
      <c r="A895" s="151" t="s">
        <v>7563</v>
      </c>
      <c r="B895" s="151" t="s">
        <v>6014</v>
      </c>
      <c r="C895" s="151" t="s">
        <v>114</v>
      </c>
      <c r="D895" s="151">
        <v>2023</v>
      </c>
      <c r="E895" s="151" t="s">
        <v>196</v>
      </c>
      <c r="F895" s="174" t="s">
        <v>7478</v>
      </c>
      <c r="G895" s="167">
        <f>FCCL!F91</f>
        <v>15581.499000000007</v>
      </c>
      <c r="H895" s="167">
        <f>FCCL!F20</f>
        <v>104425.181</v>
      </c>
      <c r="I895" s="165">
        <f t="shared" si="39"/>
        <v>0.14921208515788933</v>
      </c>
      <c r="J895" s="165">
        <v>0.14921208515788931</v>
      </c>
      <c r="K895" s="169">
        <f t="shared" si="40"/>
        <v>0</v>
      </c>
      <c r="L895" s="165">
        <v>7.0000000000000007E-2</v>
      </c>
      <c r="M895" s="151">
        <v>2</v>
      </c>
      <c r="N895" s="151" t="str">
        <f t="shared" si="41"/>
        <v>No fit</v>
      </c>
      <c r="O895" s="174" t="s">
        <v>7479</v>
      </c>
      <c r="P895" s="174" t="s">
        <v>7342</v>
      </c>
    </row>
    <row r="896" spans="1:16" ht="64.05" customHeight="1" x14ac:dyDescent="0.3">
      <c r="A896" s="154" t="s">
        <v>7564</v>
      </c>
      <c r="B896" s="154" t="s">
        <v>6014</v>
      </c>
      <c r="C896" s="154" t="s">
        <v>114</v>
      </c>
      <c r="D896" s="154">
        <v>2023</v>
      </c>
      <c r="E896" s="154" t="s">
        <v>196</v>
      </c>
      <c r="F896" s="173" t="s">
        <v>7481</v>
      </c>
      <c r="G896" s="166">
        <f>FCCL!F91</f>
        <v>15581.499000000007</v>
      </c>
      <c r="H896" s="166">
        <f>AVERAGE(FCCL!E20,FCCL!F20)</f>
        <v>89275.747999999992</v>
      </c>
      <c r="I896" s="164">
        <f t="shared" si="39"/>
        <v>0.17453227051091197</v>
      </c>
      <c r="J896" s="164">
        <v>0.17453227051091194</v>
      </c>
      <c r="K896" s="168">
        <f t="shared" si="40"/>
        <v>0</v>
      </c>
      <c r="L896" s="164">
        <v>7.0000000000000007E-2</v>
      </c>
      <c r="M896" s="154">
        <v>2</v>
      </c>
      <c r="N896" s="154" t="str">
        <f t="shared" si="41"/>
        <v>No fit</v>
      </c>
      <c r="O896" s="173" t="s">
        <v>7482</v>
      </c>
      <c r="P896" s="173" t="s">
        <v>7342</v>
      </c>
    </row>
    <row r="897" spans="1:16" ht="64.05" customHeight="1" x14ac:dyDescent="0.3">
      <c r="A897" s="151" t="s">
        <v>7565</v>
      </c>
      <c r="B897" s="151" t="s">
        <v>6014</v>
      </c>
      <c r="C897" s="151" t="s">
        <v>114</v>
      </c>
      <c r="D897" s="151">
        <v>2023</v>
      </c>
      <c r="E897" s="151" t="s">
        <v>196</v>
      </c>
      <c r="F897" s="174" t="s">
        <v>7484</v>
      </c>
      <c r="G897" s="167">
        <f>FCCL!F91</f>
        <v>15581.499000000007</v>
      </c>
      <c r="H897" s="167">
        <f>FCCL!F22</f>
        <v>69894.008999999991</v>
      </c>
      <c r="I897" s="165">
        <f t="shared" si="39"/>
        <v>0.22293039450634472</v>
      </c>
      <c r="J897" s="165">
        <v>0.22293039450634469</v>
      </c>
      <c r="K897" s="169">
        <f t="shared" si="40"/>
        <v>0</v>
      </c>
      <c r="L897" s="165">
        <v>7.0000000000000007E-2</v>
      </c>
      <c r="M897" s="151">
        <v>2</v>
      </c>
      <c r="N897" s="151" t="str">
        <f t="shared" si="41"/>
        <v>No fit</v>
      </c>
      <c r="O897" s="174" t="s">
        <v>7485</v>
      </c>
      <c r="P897" s="174" t="s">
        <v>7342</v>
      </c>
    </row>
    <row r="898" spans="1:16" ht="64.05" customHeight="1" x14ac:dyDescent="0.3">
      <c r="A898" s="154" t="s">
        <v>7566</v>
      </c>
      <c r="B898" s="154" t="s">
        <v>6014</v>
      </c>
      <c r="C898" s="154" t="s">
        <v>114</v>
      </c>
      <c r="D898" s="154">
        <v>2023</v>
      </c>
      <c r="E898" s="154" t="s">
        <v>196</v>
      </c>
      <c r="F898" s="173" t="s">
        <v>7487</v>
      </c>
      <c r="G898" s="166">
        <f>FCCL!F91</f>
        <v>15581.499000000007</v>
      </c>
      <c r="H898" s="166">
        <f>AVERAGE(FCCL!E22,FCCL!F22)</f>
        <v>57109.076999999997</v>
      </c>
      <c r="I898" s="164">
        <f t="shared" si="39"/>
        <v>0.27283752108268194</v>
      </c>
      <c r="J898" s="164">
        <v>0.27283752108268194</v>
      </c>
      <c r="K898" s="168">
        <f t="shared" si="40"/>
        <v>0</v>
      </c>
      <c r="L898" s="164">
        <v>7.0000000000000007E-2</v>
      </c>
      <c r="M898" s="154">
        <v>2</v>
      </c>
      <c r="N898" s="154" t="str">
        <f t="shared" si="41"/>
        <v>No fit</v>
      </c>
      <c r="O898" s="173" t="s">
        <v>7488</v>
      </c>
      <c r="P898" s="173" t="s">
        <v>7342</v>
      </c>
    </row>
    <row r="899" spans="1:16" ht="64.05" customHeight="1" x14ac:dyDescent="0.3">
      <c r="A899" s="151" t="s">
        <v>7567</v>
      </c>
      <c r="B899" s="151" t="s">
        <v>6014</v>
      </c>
      <c r="C899" s="151" t="s">
        <v>114</v>
      </c>
      <c r="D899" s="151">
        <v>2023</v>
      </c>
      <c r="E899" s="151" t="s">
        <v>196</v>
      </c>
      <c r="F899" s="174" t="s">
        <v>7490</v>
      </c>
      <c r="G899" s="167">
        <f>FCCL!F91</f>
        <v>15581.499000000007</v>
      </c>
      <c r="H899" s="167">
        <f>FCCL!F28</f>
        <v>115693.99799999999</v>
      </c>
      <c r="I899" s="165">
        <f t="shared" si="39"/>
        <v>0.13467854226975551</v>
      </c>
      <c r="J899" s="165">
        <v>0.13467854226975548</v>
      </c>
      <c r="K899" s="169">
        <f t="shared" si="40"/>
        <v>0</v>
      </c>
      <c r="L899" s="165">
        <v>7.0000000000000007E-2</v>
      </c>
      <c r="M899" s="151">
        <v>2</v>
      </c>
      <c r="N899" s="151" t="str">
        <f t="shared" si="41"/>
        <v>No fit</v>
      </c>
      <c r="O899" s="174" t="s">
        <v>7491</v>
      </c>
      <c r="P899" s="174" t="s">
        <v>7342</v>
      </c>
    </row>
    <row r="900" spans="1:16" ht="64.05" customHeight="1" x14ac:dyDescent="0.3">
      <c r="A900" s="154" t="s">
        <v>7568</v>
      </c>
      <c r="B900" s="154" t="s">
        <v>6014</v>
      </c>
      <c r="C900" s="154" t="s">
        <v>114</v>
      </c>
      <c r="D900" s="154">
        <v>2023</v>
      </c>
      <c r="E900" s="154" t="s">
        <v>196</v>
      </c>
      <c r="F900" s="173" t="s">
        <v>7493</v>
      </c>
      <c r="G900" s="166">
        <f>FCCL!F91</f>
        <v>15581.499000000007</v>
      </c>
      <c r="H900" s="166">
        <f>AVERAGE(FCCL!E28,FCCL!F28)</f>
        <v>100587.6315</v>
      </c>
      <c r="I900" s="164">
        <f t="shared" si="39"/>
        <v>0.15490472106404063</v>
      </c>
      <c r="J900" s="164">
        <v>0.15490472106404063</v>
      </c>
      <c r="K900" s="168">
        <f t="shared" si="40"/>
        <v>0</v>
      </c>
      <c r="L900" s="164">
        <v>7.0000000000000007E-2</v>
      </c>
      <c r="M900" s="154">
        <v>2</v>
      </c>
      <c r="N900" s="154" t="str">
        <f t="shared" si="41"/>
        <v>No fit</v>
      </c>
      <c r="O900" s="173" t="s">
        <v>7494</v>
      </c>
      <c r="P900" s="173" t="s">
        <v>7342</v>
      </c>
    </row>
    <row r="901" spans="1:16" ht="64.05" customHeight="1" x14ac:dyDescent="0.3">
      <c r="A901" s="151" t="s">
        <v>7569</v>
      </c>
      <c r="B901" s="151" t="s">
        <v>6014</v>
      </c>
      <c r="C901" s="151" t="s">
        <v>114</v>
      </c>
      <c r="D901" s="151">
        <v>2023</v>
      </c>
      <c r="E901" s="151" t="s">
        <v>196</v>
      </c>
      <c r="F901" s="174" t="s">
        <v>7496</v>
      </c>
      <c r="G901" s="167">
        <f>FCCL!F91</f>
        <v>15581.499000000007</v>
      </c>
      <c r="H901" s="167">
        <f>'Forensic Inputs'!$G$102</f>
        <v>127453.357</v>
      </c>
      <c r="I901" s="165">
        <f t="shared" si="39"/>
        <v>0.12225255863601935</v>
      </c>
      <c r="J901" s="165">
        <v>0.12225255863601933</v>
      </c>
      <c r="K901" s="169">
        <f t="shared" si="40"/>
        <v>0</v>
      </c>
      <c r="L901" s="165">
        <v>7.0000000000000007E-2</v>
      </c>
      <c r="M901" s="151">
        <v>2</v>
      </c>
      <c r="N901" s="151" t="str">
        <f t="shared" si="41"/>
        <v>No fit</v>
      </c>
      <c r="O901" s="174" t="s">
        <v>7570</v>
      </c>
      <c r="P901" s="174" t="s">
        <v>7342</v>
      </c>
    </row>
    <row r="902" spans="1:16" ht="64.05" customHeight="1" x14ac:dyDescent="0.3">
      <c r="A902" s="154" t="s">
        <v>7571</v>
      </c>
      <c r="B902" s="154" t="s">
        <v>6014</v>
      </c>
      <c r="C902" s="154" t="s">
        <v>114</v>
      </c>
      <c r="D902" s="154">
        <v>2023</v>
      </c>
      <c r="E902" s="154" t="s">
        <v>196</v>
      </c>
      <c r="F902" s="173" t="s">
        <v>7499</v>
      </c>
      <c r="G902" s="166">
        <f>FCCL!F91</f>
        <v>15581.499000000007</v>
      </c>
      <c r="H902" s="166">
        <f>('Forensic Inputs'!$G$102-FCCL!F21)</f>
        <v>92922.184999999998</v>
      </c>
      <c r="I902" s="164">
        <f t="shared" ref="I902:I965" si="42">G902/H902</f>
        <v>0.16768330404628354</v>
      </c>
      <c r="J902" s="164">
        <v>0.16768330404628351</v>
      </c>
      <c r="K902" s="168">
        <f t="shared" ref="K902:K965" si="43">I902-J902</f>
        <v>0</v>
      </c>
      <c r="L902" s="164">
        <v>7.0000000000000007E-2</v>
      </c>
      <c r="M902" s="154">
        <v>2</v>
      </c>
      <c r="N902" s="154" t="str">
        <f t="shared" ref="N902:N965" si="44">IF(ROUND(I902,M902)=ROUND(L902,M902),"Numeric fit","No fit")</f>
        <v>No fit</v>
      </c>
      <c r="O902" s="173" t="s">
        <v>7572</v>
      </c>
      <c r="P902" s="173" t="s">
        <v>7342</v>
      </c>
    </row>
    <row r="903" spans="1:16" ht="64.05" customHeight="1" x14ac:dyDescent="0.3">
      <c r="A903" s="151" t="s">
        <v>7573</v>
      </c>
      <c r="B903" s="151" t="s">
        <v>6014</v>
      </c>
      <c r="C903" s="151" t="s">
        <v>114</v>
      </c>
      <c r="D903" s="151">
        <v>2023</v>
      </c>
      <c r="E903" s="151" t="s">
        <v>196</v>
      </c>
      <c r="F903" s="174" t="s">
        <v>7502</v>
      </c>
      <c r="G903" s="167">
        <f>FCCL!F91</f>
        <v>15581.499000000007</v>
      </c>
      <c r="H903" s="167">
        <f>AVERAGE('Forensic Inputs'!$G$100,'Forensic Inputs'!$G$102)</f>
        <v>110655.664</v>
      </c>
      <c r="I903" s="165">
        <f t="shared" si="42"/>
        <v>0.14081067734589714</v>
      </c>
      <c r="J903" s="165">
        <v>0.14081067734589714</v>
      </c>
      <c r="K903" s="169">
        <f t="shared" si="43"/>
        <v>0</v>
      </c>
      <c r="L903" s="165">
        <v>7.0000000000000007E-2</v>
      </c>
      <c r="M903" s="151">
        <v>2</v>
      </c>
      <c r="N903" s="151" t="str">
        <f t="shared" si="44"/>
        <v>No fit</v>
      </c>
      <c r="O903" s="174" t="s">
        <v>7574</v>
      </c>
      <c r="P903" s="174" t="s">
        <v>7342</v>
      </c>
    </row>
    <row r="904" spans="1:16" ht="64.05" customHeight="1" x14ac:dyDescent="0.3">
      <c r="A904" s="154" t="s">
        <v>7575</v>
      </c>
      <c r="B904" s="154" t="s">
        <v>6017</v>
      </c>
      <c r="C904" s="154" t="s">
        <v>114</v>
      </c>
      <c r="D904" s="154">
        <v>2024</v>
      </c>
      <c r="E904" s="154" t="s">
        <v>196</v>
      </c>
      <c r="F904" s="173" t="s">
        <v>5893</v>
      </c>
      <c r="G904" s="166">
        <f>FCCL!G84</f>
        <v>80026.225999999995</v>
      </c>
      <c r="H904" s="166">
        <f>AVERAGE(FCCL!F37,FCCL!G37)</f>
        <v>143232.39799999999</v>
      </c>
      <c r="I904" s="164">
        <f t="shared" si="42"/>
        <v>0.55871595475208058</v>
      </c>
      <c r="J904" s="164">
        <v>0.55871595475208058</v>
      </c>
      <c r="K904" s="168">
        <f t="shared" si="43"/>
        <v>0</v>
      </c>
      <c r="L904" s="164">
        <v>7.0000000000000007E-2</v>
      </c>
      <c r="M904" s="154">
        <v>2</v>
      </c>
      <c r="N904" s="154" t="str">
        <f t="shared" si="44"/>
        <v>No fit</v>
      </c>
      <c r="O904" s="173" t="s">
        <v>6050</v>
      </c>
      <c r="P904" s="173" t="s">
        <v>6051</v>
      </c>
    </row>
    <row r="905" spans="1:16" ht="64.05" customHeight="1" x14ac:dyDescent="0.3">
      <c r="A905" s="151" t="s">
        <v>7576</v>
      </c>
      <c r="B905" s="151" t="s">
        <v>6017</v>
      </c>
      <c r="C905" s="151" t="s">
        <v>114</v>
      </c>
      <c r="D905" s="151">
        <v>2024</v>
      </c>
      <c r="E905" s="151" t="s">
        <v>196</v>
      </c>
      <c r="F905" s="174" t="s">
        <v>6009</v>
      </c>
      <c r="G905" s="167">
        <f>FCCL!G84</f>
        <v>80026.225999999995</v>
      </c>
      <c r="H905" s="167">
        <f>FCCL!G37</f>
        <v>147636.299</v>
      </c>
      <c r="I905" s="165">
        <f t="shared" si="42"/>
        <v>0.54204979765850125</v>
      </c>
      <c r="J905" s="165">
        <v>0.54204979765850125</v>
      </c>
      <c r="K905" s="169">
        <f t="shared" si="43"/>
        <v>0</v>
      </c>
      <c r="L905" s="165">
        <v>7.0000000000000007E-2</v>
      </c>
      <c r="M905" s="151">
        <v>2</v>
      </c>
      <c r="N905" s="151" t="str">
        <f t="shared" si="44"/>
        <v>No fit</v>
      </c>
      <c r="O905" s="174" t="s">
        <v>7341</v>
      </c>
      <c r="P905" s="174" t="s">
        <v>7342</v>
      </c>
    </row>
    <row r="906" spans="1:16" ht="64.05" customHeight="1" x14ac:dyDescent="0.3">
      <c r="A906" s="154" t="s">
        <v>7577</v>
      </c>
      <c r="B906" s="154" t="s">
        <v>6017</v>
      </c>
      <c r="C906" s="154" t="s">
        <v>114</v>
      </c>
      <c r="D906" s="154">
        <v>2024</v>
      </c>
      <c r="E906" s="154" t="s">
        <v>196</v>
      </c>
      <c r="F906" s="173" t="s">
        <v>7344</v>
      </c>
      <c r="G906" s="166">
        <f>FCCL!G84</f>
        <v>80026.225999999995</v>
      </c>
      <c r="H906" s="166">
        <f>AVERAGE(FCCL!F37,FCCL!G37)</f>
        <v>143232.39799999999</v>
      </c>
      <c r="I906" s="164">
        <f t="shared" si="42"/>
        <v>0.55871595475208058</v>
      </c>
      <c r="J906" s="164">
        <v>0.55871595475208058</v>
      </c>
      <c r="K906" s="168">
        <f t="shared" si="43"/>
        <v>0</v>
      </c>
      <c r="L906" s="164">
        <v>7.0000000000000007E-2</v>
      </c>
      <c r="M906" s="154">
        <v>2</v>
      </c>
      <c r="N906" s="154" t="str">
        <f t="shared" si="44"/>
        <v>No fit</v>
      </c>
      <c r="O906" s="173" t="s">
        <v>7345</v>
      </c>
      <c r="P906" s="173" t="s">
        <v>7342</v>
      </c>
    </row>
    <row r="907" spans="1:16" ht="64.05" customHeight="1" x14ac:dyDescent="0.3">
      <c r="A907" s="151" t="s">
        <v>7578</v>
      </c>
      <c r="B907" s="151" t="s">
        <v>6017</v>
      </c>
      <c r="C907" s="151" t="s">
        <v>114</v>
      </c>
      <c r="D907" s="151">
        <v>2024</v>
      </c>
      <c r="E907" s="151" t="s">
        <v>196</v>
      </c>
      <c r="F907" s="174" t="s">
        <v>6025</v>
      </c>
      <c r="G907" s="167">
        <f>FCCL!G84</f>
        <v>80026.225999999995</v>
      </c>
      <c r="H907" s="167">
        <f>FCCL!G20</f>
        <v>110845.663</v>
      </c>
      <c r="I907" s="165">
        <f t="shared" si="42"/>
        <v>0.72196082222901214</v>
      </c>
      <c r="J907" s="165">
        <v>0.72196082222901214</v>
      </c>
      <c r="K907" s="169">
        <f t="shared" si="43"/>
        <v>0</v>
      </c>
      <c r="L907" s="165">
        <v>7.0000000000000007E-2</v>
      </c>
      <c r="M907" s="151">
        <v>2</v>
      </c>
      <c r="N907" s="151" t="str">
        <f t="shared" si="44"/>
        <v>No fit</v>
      </c>
      <c r="O907" s="174" t="s">
        <v>7347</v>
      </c>
      <c r="P907" s="174" t="s">
        <v>7342</v>
      </c>
    </row>
    <row r="908" spans="1:16" ht="64.05" customHeight="1" x14ac:dyDescent="0.3">
      <c r="A908" s="154" t="s">
        <v>7579</v>
      </c>
      <c r="B908" s="154" t="s">
        <v>6017</v>
      </c>
      <c r="C908" s="154" t="s">
        <v>114</v>
      </c>
      <c r="D908" s="154">
        <v>2024</v>
      </c>
      <c r="E908" s="154" t="s">
        <v>196</v>
      </c>
      <c r="F908" s="173" t="s">
        <v>7349</v>
      </c>
      <c r="G908" s="166">
        <f>FCCL!G84</f>
        <v>80026.225999999995</v>
      </c>
      <c r="H908" s="166">
        <f>AVERAGE(FCCL!F20,FCCL!G20)</f>
        <v>107635.42199999999</v>
      </c>
      <c r="I908" s="164">
        <f t="shared" si="42"/>
        <v>0.74349340127081953</v>
      </c>
      <c r="J908" s="164">
        <v>0.74349340127081953</v>
      </c>
      <c r="K908" s="168">
        <f t="shared" si="43"/>
        <v>0</v>
      </c>
      <c r="L908" s="164">
        <v>7.0000000000000007E-2</v>
      </c>
      <c r="M908" s="154">
        <v>2</v>
      </c>
      <c r="N908" s="154" t="str">
        <f t="shared" si="44"/>
        <v>No fit</v>
      </c>
      <c r="O908" s="173" t="s">
        <v>7350</v>
      </c>
      <c r="P908" s="173" t="s">
        <v>7342</v>
      </c>
    </row>
    <row r="909" spans="1:16" ht="64.05" customHeight="1" x14ac:dyDescent="0.3">
      <c r="A909" s="151" t="s">
        <v>7580</v>
      </c>
      <c r="B909" s="151" t="s">
        <v>6017</v>
      </c>
      <c r="C909" s="151" t="s">
        <v>114</v>
      </c>
      <c r="D909" s="151">
        <v>2024</v>
      </c>
      <c r="E909" s="151" t="s">
        <v>196</v>
      </c>
      <c r="F909" s="174" t="s">
        <v>7352</v>
      </c>
      <c r="G909" s="167">
        <f>FCCL!G84</f>
        <v>80026.225999999995</v>
      </c>
      <c r="H909" s="167">
        <f>FCCL!G22</f>
        <v>110145.51</v>
      </c>
      <c r="I909" s="165">
        <f t="shared" si="42"/>
        <v>0.72655005183597587</v>
      </c>
      <c r="J909" s="165">
        <v>0.72655005183597587</v>
      </c>
      <c r="K909" s="169">
        <f t="shared" si="43"/>
        <v>0</v>
      </c>
      <c r="L909" s="165">
        <v>7.0000000000000007E-2</v>
      </c>
      <c r="M909" s="151">
        <v>2</v>
      </c>
      <c r="N909" s="151" t="str">
        <f t="shared" si="44"/>
        <v>No fit</v>
      </c>
      <c r="O909" s="174" t="s">
        <v>7353</v>
      </c>
      <c r="P909" s="174" t="s">
        <v>7342</v>
      </c>
    </row>
    <row r="910" spans="1:16" ht="64.05" customHeight="1" x14ac:dyDescent="0.3">
      <c r="A910" s="154" t="s">
        <v>7581</v>
      </c>
      <c r="B910" s="154" t="s">
        <v>6017</v>
      </c>
      <c r="C910" s="154" t="s">
        <v>114</v>
      </c>
      <c r="D910" s="154">
        <v>2024</v>
      </c>
      <c r="E910" s="154" t="s">
        <v>196</v>
      </c>
      <c r="F910" s="173" t="s">
        <v>7355</v>
      </c>
      <c r="G910" s="166">
        <f>FCCL!G84</f>
        <v>80026.225999999995</v>
      </c>
      <c r="H910" s="166">
        <f>AVERAGE(FCCL!F22,FCCL!G22)</f>
        <v>90019.759499999986</v>
      </c>
      <c r="I910" s="164">
        <f t="shared" si="42"/>
        <v>0.88898511220750387</v>
      </c>
      <c r="J910" s="164">
        <v>0.88898511220750387</v>
      </c>
      <c r="K910" s="168">
        <f t="shared" si="43"/>
        <v>0</v>
      </c>
      <c r="L910" s="164">
        <v>7.0000000000000007E-2</v>
      </c>
      <c r="M910" s="154">
        <v>2</v>
      </c>
      <c r="N910" s="154" t="str">
        <f t="shared" si="44"/>
        <v>No fit</v>
      </c>
      <c r="O910" s="173" t="s">
        <v>7356</v>
      </c>
      <c r="P910" s="173" t="s">
        <v>7342</v>
      </c>
    </row>
    <row r="911" spans="1:16" ht="64.05" customHeight="1" x14ac:dyDescent="0.3">
      <c r="A911" s="151" t="s">
        <v>7582</v>
      </c>
      <c r="B911" s="151" t="s">
        <v>6017</v>
      </c>
      <c r="C911" s="151" t="s">
        <v>114</v>
      </c>
      <c r="D911" s="151">
        <v>2024</v>
      </c>
      <c r="E911" s="151" t="s">
        <v>196</v>
      </c>
      <c r="F911" s="174" t="s">
        <v>7358</v>
      </c>
      <c r="G911" s="167">
        <f>FCCL!G84</f>
        <v>80026.225999999995</v>
      </c>
      <c r="H911" s="167">
        <f>FCCL!G28</f>
        <v>121852.22799999999</v>
      </c>
      <c r="I911" s="165">
        <f t="shared" si="42"/>
        <v>0.65674815564307942</v>
      </c>
      <c r="J911" s="165">
        <v>0.65674815564307931</v>
      </c>
      <c r="K911" s="169">
        <f t="shared" si="43"/>
        <v>0</v>
      </c>
      <c r="L911" s="165">
        <v>7.0000000000000007E-2</v>
      </c>
      <c r="M911" s="151">
        <v>2</v>
      </c>
      <c r="N911" s="151" t="str">
        <f t="shared" si="44"/>
        <v>No fit</v>
      </c>
      <c r="O911" s="174" t="s">
        <v>7359</v>
      </c>
      <c r="P911" s="174" t="s">
        <v>7342</v>
      </c>
    </row>
    <row r="912" spans="1:16" ht="64.05" customHeight="1" x14ac:dyDescent="0.3">
      <c r="A912" s="154" t="s">
        <v>7583</v>
      </c>
      <c r="B912" s="154" t="s">
        <v>6017</v>
      </c>
      <c r="C912" s="154" t="s">
        <v>114</v>
      </c>
      <c r="D912" s="154">
        <v>2024</v>
      </c>
      <c r="E912" s="154" t="s">
        <v>196</v>
      </c>
      <c r="F912" s="173" t="s">
        <v>7361</v>
      </c>
      <c r="G912" s="166">
        <f>FCCL!G84</f>
        <v>80026.225999999995</v>
      </c>
      <c r="H912" s="166">
        <f>AVERAGE(FCCL!F28,FCCL!G28)</f>
        <v>118773.11299999998</v>
      </c>
      <c r="I912" s="164">
        <f t="shared" si="42"/>
        <v>0.67377392053368179</v>
      </c>
      <c r="J912" s="164">
        <v>0.67377392053368168</v>
      </c>
      <c r="K912" s="168">
        <f t="shared" si="43"/>
        <v>0</v>
      </c>
      <c r="L912" s="164">
        <v>7.0000000000000007E-2</v>
      </c>
      <c r="M912" s="154">
        <v>2</v>
      </c>
      <c r="N912" s="154" t="str">
        <f t="shared" si="44"/>
        <v>No fit</v>
      </c>
      <c r="O912" s="173" t="s">
        <v>7362</v>
      </c>
      <c r="P912" s="173" t="s">
        <v>7342</v>
      </c>
    </row>
    <row r="913" spans="1:16" ht="64.05" customHeight="1" x14ac:dyDescent="0.3">
      <c r="A913" s="151" t="s">
        <v>7584</v>
      </c>
      <c r="B913" s="151" t="s">
        <v>6017</v>
      </c>
      <c r="C913" s="151" t="s">
        <v>114</v>
      </c>
      <c r="D913" s="151">
        <v>2024</v>
      </c>
      <c r="E913" s="151" t="s">
        <v>196</v>
      </c>
      <c r="F913" s="174" t="s">
        <v>7364</v>
      </c>
      <c r="G913" s="167">
        <f>FCCL!G84</f>
        <v>80026.225999999995</v>
      </c>
      <c r="H913" s="167">
        <f>'Forensic Inputs'!$G$104</f>
        <v>137590.82500000001</v>
      </c>
      <c r="I913" s="165">
        <f t="shared" si="42"/>
        <v>0.58162472679410115</v>
      </c>
      <c r="J913" s="165">
        <v>0.58162472679410115</v>
      </c>
      <c r="K913" s="169">
        <f t="shared" si="43"/>
        <v>0</v>
      </c>
      <c r="L913" s="165">
        <v>7.0000000000000007E-2</v>
      </c>
      <c r="M913" s="151">
        <v>2</v>
      </c>
      <c r="N913" s="151" t="str">
        <f t="shared" si="44"/>
        <v>No fit</v>
      </c>
      <c r="O913" s="174" t="s">
        <v>7514</v>
      </c>
      <c r="P913" s="174" t="s">
        <v>7342</v>
      </c>
    </row>
    <row r="914" spans="1:16" ht="64.05" customHeight="1" x14ac:dyDescent="0.3">
      <c r="A914" s="154" t="s">
        <v>7585</v>
      </c>
      <c r="B914" s="154" t="s">
        <v>6017</v>
      </c>
      <c r="C914" s="154" t="s">
        <v>114</v>
      </c>
      <c r="D914" s="154">
        <v>2024</v>
      </c>
      <c r="E914" s="154" t="s">
        <v>196</v>
      </c>
      <c r="F914" s="173" t="s">
        <v>7367</v>
      </c>
      <c r="G914" s="166">
        <f>FCCL!G84</f>
        <v>80026.225999999995</v>
      </c>
      <c r="H914" s="166">
        <f>('Forensic Inputs'!$G$104-FCCL!G21)</f>
        <v>136890.67200000002</v>
      </c>
      <c r="I914" s="164">
        <f t="shared" si="42"/>
        <v>0.58459955547592013</v>
      </c>
      <c r="J914" s="164">
        <v>0.58459955547592013</v>
      </c>
      <c r="K914" s="168">
        <f t="shared" si="43"/>
        <v>0</v>
      </c>
      <c r="L914" s="164">
        <v>7.0000000000000007E-2</v>
      </c>
      <c r="M914" s="154">
        <v>2</v>
      </c>
      <c r="N914" s="154" t="str">
        <f t="shared" si="44"/>
        <v>No fit</v>
      </c>
      <c r="O914" s="173" t="s">
        <v>7516</v>
      </c>
      <c r="P914" s="173" t="s">
        <v>7342</v>
      </c>
    </row>
    <row r="915" spans="1:16" ht="64.05" customHeight="1" x14ac:dyDescent="0.3">
      <c r="A915" s="151" t="s">
        <v>7586</v>
      </c>
      <c r="B915" s="151" t="s">
        <v>6017</v>
      </c>
      <c r="C915" s="151" t="s">
        <v>114</v>
      </c>
      <c r="D915" s="151">
        <v>2024</v>
      </c>
      <c r="E915" s="151" t="s">
        <v>196</v>
      </c>
      <c r="F915" s="174" t="s">
        <v>7370</v>
      </c>
      <c r="G915" s="167">
        <f>FCCL!G84</f>
        <v>80026.225999999995</v>
      </c>
      <c r="H915" s="167">
        <f>AVERAGE('Forensic Inputs'!$G$102,'Forensic Inputs'!$G$104)</f>
        <v>132522.09100000001</v>
      </c>
      <c r="I915" s="165">
        <f t="shared" si="42"/>
        <v>0.60387083690069443</v>
      </c>
      <c r="J915" s="165">
        <v>0.60387083690069443</v>
      </c>
      <c r="K915" s="169">
        <f t="shared" si="43"/>
        <v>0</v>
      </c>
      <c r="L915" s="165">
        <v>7.0000000000000007E-2</v>
      </c>
      <c r="M915" s="151">
        <v>2</v>
      </c>
      <c r="N915" s="151" t="str">
        <f t="shared" si="44"/>
        <v>No fit</v>
      </c>
      <c r="O915" s="174" t="s">
        <v>7587</v>
      </c>
      <c r="P915" s="174" t="s">
        <v>7342</v>
      </c>
    </row>
    <row r="916" spans="1:16" ht="64.05" customHeight="1" x14ac:dyDescent="0.3">
      <c r="A916" s="154" t="s">
        <v>7588</v>
      </c>
      <c r="B916" s="154" t="s">
        <v>6017</v>
      </c>
      <c r="C916" s="154" t="s">
        <v>114</v>
      </c>
      <c r="D916" s="154">
        <v>2024</v>
      </c>
      <c r="E916" s="154" t="s">
        <v>196</v>
      </c>
      <c r="F916" s="173" t="s">
        <v>7373</v>
      </c>
      <c r="G916" s="166">
        <f>FCCL!G99</f>
        <v>8223.1159999999945</v>
      </c>
      <c r="H916" s="166">
        <f>FCCL!G37</f>
        <v>147636.299</v>
      </c>
      <c r="I916" s="164">
        <f t="shared" si="42"/>
        <v>5.5698470198037101E-2</v>
      </c>
      <c r="J916" s="164">
        <v>5.5698470198037073E-2</v>
      </c>
      <c r="K916" s="168">
        <f t="shared" si="43"/>
        <v>0</v>
      </c>
      <c r="L916" s="164">
        <v>7.0000000000000007E-2</v>
      </c>
      <c r="M916" s="154">
        <v>2</v>
      </c>
      <c r="N916" s="154" t="str">
        <f t="shared" si="44"/>
        <v>No fit</v>
      </c>
      <c r="O916" s="173" t="s">
        <v>7374</v>
      </c>
      <c r="P916" s="173" t="s">
        <v>7342</v>
      </c>
    </row>
    <row r="917" spans="1:16" ht="64.05" customHeight="1" x14ac:dyDescent="0.3">
      <c r="A917" s="151" t="s">
        <v>7589</v>
      </c>
      <c r="B917" s="151" t="s">
        <v>6017</v>
      </c>
      <c r="C917" s="151" t="s">
        <v>114</v>
      </c>
      <c r="D917" s="151">
        <v>2024</v>
      </c>
      <c r="E917" s="151" t="s">
        <v>196</v>
      </c>
      <c r="F917" s="174" t="s">
        <v>7376</v>
      </c>
      <c r="G917" s="167">
        <f>FCCL!G99</f>
        <v>8223.1159999999945</v>
      </c>
      <c r="H917" s="167">
        <f>AVERAGE(FCCL!F37,FCCL!G37)</f>
        <v>143232.39799999999</v>
      </c>
      <c r="I917" s="165">
        <f t="shared" si="42"/>
        <v>5.7411005574311447E-2</v>
      </c>
      <c r="J917" s="165">
        <v>5.7411005574311419E-2</v>
      </c>
      <c r="K917" s="169">
        <f t="shared" si="43"/>
        <v>0</v>
      </c>
      <c r="L917" s="165">
        <v>7.0000000000000007E-2</v>
      </c>
      <c r="M917" s="151">
        <v>2</v>
      </c>
      <c r="N917" s="151" t="str">
        <f t="shared" si="44"/>
        <v>No fit</v>
      </c>
      <c r="O917" s="174" t="s">
        <v>7377</v>
      </c>
      <c r="P917" s="174" t="s">
        <v>7342</v>
      </c>
    </row>
    <row r="918" spans="1:16" ht="64.05" customHeight="1" x14ac:dyDescent="0.3">
      <c r="A918" s="154" t="s">
        <v>7590</v>
      </c>
      <c r="B918" s="154" t="s">
        <v>6017</v>
      </c>
      <c r="C918" s="154" t="s">
        <v>114</v>
      </c>
      <c r="D918" s="154">
        <v>2024</v>
      </c>
      <c r="E918" s="154" t="s">
        <v>196</v>
      </c>
      <c r="F918" s="173" t="s">
        <v>7379</v>
      </c>
      <c r="G918" s="166">
        <f>FCCL!G99</f>
        <v>8223.1159999999945</v>
      </c>
      <c r="H918" s="166">
        <f>FCCL!G20</f>
        <v>110845.663</v>
      </c>
      <c r="I918" s="164">
        <f t="shared" si="42"/>
        <v>7.4185275070256865E-2</v>
      </c>
      <c r="J918" s="164">
        <v>7.4185275070256837E-2</v>
      </c>
      <c r="K918" s="168">
        <f t="shared" si="43"/>
        <v>0</v>
      </c>
      <c r="L918" s="164">
        <v>7.0000000000000007E-2</v>
      </c>
      <c r="M918" s="154">
        <v>2</v>
      </c>
      <c r="N918" s="154" t="str">
        <f t="shared" si="44"/>
        <v>Numeric fit</v>
      </c>
      <c r="O918" s="173" t="s">
        <v>7380</v>
      </c>
      <c r="P918" s="173" t="s">
        <v>7342</v>
      </c>
    </row>
    <row r="919" spans="1:16" ht="64.05" customHeight="1" x14ac:dyDescent="0.3">
      <c r="A919" s="151" t="s">
        <v>7591</v>
      </c>
      <c r="B919" s="151" t="s">
        <v>6017</v>
      </c>
      <c r="C919" s="151" t="s">
        <v>114</v>
      </c>
      <c r="D919" s="151">
        <v>2024</v>
      </c>
      <c r="E919" s="151" t="s">
        <v>196</v>
      </c>
      <c r="F919" s="174" t="s">
        <v>7382</v>
      </c>
      <c r="G919" s="167">
        <f>FCCL!G99</f>
        <v>8223.1159999999945</v>
      </c>
      <c r="H919" s="167">
        <f>AVERAGE(FCCL!F20,FCCL!G20)</f>
        <v>107635.42199999999</v>
      </c>
      <c r="I919" s="165">
        <f t="shared" si="42"/>
        <v>7.6397860919800137E-2</v>
      </c>
      <c r="J919" s="165">
        <v>7.6397860919800095E-2</v>
      </c>
      <c r="K919" s="169">
        <f t="shared" si="43"/>
        <v>0</v>
      </c>
      <c r="L919" s="165">
        <v>7.0000000000000007E-2</v>
      </c>
      <c r="M919" s="151">
        <v>2</v>
      </c>
      <c r="N919" s="151" t="str">
        <f t="shared" si="44"/>
        <v>No fit</v>
      </c>
      <c r="O919" s="174" t="s">
        <v>7383</v>
      </c>
      <c r="P919" s="174" t="s">
        <v>7342</v>
      </c>
    </row>
    <row r="920" spans="1:16" ht="64.05" customHeight="1" x14ac:dyDescent="0.3">
      <c r="A920" s="154" t="s">
        <v>7592</v>
      </c>
      <c r="B920" s="154" t="s">
        <v>6017</v>
      </c>
      <c r="C920" s="154" t="s">
        <v>114</v>
      </c>
      <c r="D920" s="154">
        <v>2024</v>
      </c>
      <c r="E920" s="154" t="s">
        <v>196</v>
      </c>
      <c r="F920" s="173" t="s">
        <v>7385</v>
      </c>
      <c r="G920" s="166">
        <f>FCCL!G99</f>
        <v>8223.1159999999945</v>
      </c>
      <c r="H920" s="166">
        <f>FCCL!G22</f>
        <v>110145.51</v>
      </c>
      <c r="I920" s="164">
        <f t="shared" si="42"/>
        <v>7.4656842571249563E-2</v>
      </c>
      <c r="J920" s="164">
        <v>7.4656842571249535E-2</v>
      </c>
      <c r="K920" s="168">
        <f t="shared" si="43"/>
        <v>0</v>
      </c>
      <c r="L920" s="164">
        <v>7.0000000000000007E-2</v>
      </c>
      <c r="M920" s="154">
        <v>2</v>
      </c>
      <c r="N920" s="154" t="str">
        <f t="shared" si="44"/>
        <v>Numeric fit</v>
      </c>
      <c r="O920" s="173" t="s">
        <v>7386</v>
      </c>
      <c r="P920" s="173" t="s">
        <v>7342</v>
      </c>
    </row>
    <row r="921" spans="1:16" ht="64.05" customHeight="1" x14ac:dyDescent="0.3">
      <c r="A921" s="151" t="s">
        <v>7593</v>
      </c>
      <c r="B921" s="151" t="s">
        <v>6017</v>
      </c>
      <c r="C921" s="151" t="s">
        <v>114</v>
      </c>
      <c r="D921" s="151">
        <v>2024</v>
      </c>
      <c r="E921" s="151" t="s">
        <v>196</v>
      </c>
      <c r="F921" s="174" t="s">
        <v>7388</v>
      </c>
      <c r="G921" s="167">
        <f>FCCL!G99</f>
        <v>8223.1159999999945</v>
      </c>
      <c r="H921" s="167">
        <f>AVERAGE(FCCL!F22,FCCL!G22)</f>
        <v>90019.759499999986</v>
      </c>
      <c r="I921" s="165">
        <f t="shared" si="42"/>
        <v>9.1347900124083267E-2</v>
      </c>
      <c r="J921" s="165">
        <v>9.1347900124083226E-2</v>
      </c>
      <c r="K921" s="169">
        <f t="shared" si="43"/>
        <v>0</v>
      </c>
      <c r="L921" s="165">
        <v>7.0000000000000007E-2</v>
      </c>
      <c r="M921" s="151">
        <v>2</v>
      </c>
      <c r="N921" s="151" t="str">
        <f t="shared" si="44"/>
        <v>No fit</v>
      </c>
      <c r="O921" s="174" t="s">
        <v>7389</v>
      </c>
      <c r="P921" s="174" t="s">
        <v>7342</v>
      </c>
    </row>
    <row r="922" spans="1:16" ht="64.05" customHeight="1" x14ac:dyDescent="0.3">
      <c r="A922" s="154" t="s">
        <v>7594</v>
      </c>
      <c r="B922" s="154" t="s">
        <v>6017</v>
      </c>
      <c r="C922" s="154" t="s">
        <v>114</v>
      </c>
      <c r="D922" s="154">
        <v>2024</v>
      </c>
      <c r="E922" s="154" t="s">
        <v>196</v>
      </c>
      <c r="F922" s="173" t="s">
        <v>7391</v>
      </c>
      <c r="G922" s="166">
        <f>FCCL!G99</f>
        <v>8223.1159999999945</v>
      </c>
      <c r="H922" s="166">
        <f>FCCL!G28</f>
        <v>121852.22799999999</v>
      </c>
      <c r="I922" s="164">
        <f t="shared" si="42"/>
        <v>6.7484330282413837E-2</v>
      </c>
      <c r="J922" s="164">
        <v>6.7484330282413796E-2</v>
      </c>
      <c r="K922" s="168">
        <f t="shared" si="43"/>
        <v>0</v>
      </c>
      <c r="L922" s="164">
        <v>7.0000000000000007E-2</v>
      </c>
      <c r="M922" s="154">
        <v>2</v>
      </c>
      <c r="N922" s="154" t="str">
        <f t="shared" si="44"/>
        <v>Numeric fit</v>
      </c>
      <c r="O922" s="173" t="s">
        <v>7392</v>
      </c>
      <c r="P922" s="173" t="s">
        <v>7342</v>
      </c>
    </row>
    <row r="923" spans="1:16" ht="64.05" customHeight="1" x14ac:dyDescent="0.3">
      <c r="A923" s="151" t="s">
        <v>7595</v>
      </c>
      <c r="B923" s="151" t="s">
        <v>6017</v>
      </c>
      <c r="C923" s="151" t="s">
        <v>114</v>
      </c>
      <c r="D923" s="151">
        <v>2024</v>
      </c>
      <c r="E923" s="151" t="s">
        <v>196</v>
      </c>
      <c r="F923" s="174" t="s">
        <v>7394</v>
      </c>
      <c r="G923" s="167">
        <f>FCCL!G99</f>
        <v>8223.1159999999945</v>
      </c>
      <c r="H923" s="167">
        <f>AVERAGE(FCCL!F28,FCCL!G28)</f>
        <v>118773.11299999998</v>
      </c>
      <c r="I923" s="165">
        <f t="shared" si="42"/>
        <v>6.9233817252899621E-2</v>
      </c>
      <c r="J923" s="165">
        <v>6.9233817252899579E-2</v>
      </c>
      <c r="K923" s="169">
        <f t="shared" si="43"/>
        <v>0</v>
      </c>
      <c r="L923" s="165">
        <v>7.0000000000000007E-2</v>
      </c>
      <c r="M923" s="151">
        <v>2</v>
      </c>
      <c r="N923" s="151" t="str">
        <f t="shared" si="44"/>
        <v>Numeric fit</v>
      </c>
      <c r="O923" s="174" t="s">
        <v>7395</v>
      </c>
      <c r="P923" s="174" t="s">
        <v>7342</v>
      </c>
    </row>
    <row r="924" spans="1:16" ht="64.05" customHeight="1" x14ac:dyDescent="0.3">
      <c r="A924" s="154" t="s">
        <v>7596</v>
      </c>
      <c r="B924" s="154" t="s">
        <v>6017</v>
      </c>
      <c r="C924" s="154" t="s">
        <v>114</v>
      </c>
      <c r="D924" s="154">
        <v>2024</v>
      </c>
      <c r="E924" s="154" t="s">
        <v>196</v>
      </c>
      <c r="F924" s="173" t="s">
        <v>7397</v>
      </c>
      <c r="G924" s="166">
        <f>FCCL!G99</f>
        <v>8223.1159999999945</v>
      </c>
      <c r="H924" s="166">
        <f>'Forensic Inputs'!$G$104</f>
        <v>137590.82500000001</v>
      </c>
      <c r="I924" s="164">
        <f t="shared" si="42"/>
        <v>5.9765002499258174E-2</v>
      </c>
      <c r="J924" s="164">
        <v>5.9765002499258146E-2</v>
      </c>
      <c r="K924" s="168">
        <f t="shared" si="43"/>
        <v>0</v>
      </c>
      <c r="L924" s="164">
        <v>7.0000000000000007E-2</v>
      </c>
      <c r="M924" s="154">
        <v>2</v>
      </c>
      <c r="N924" s="154" t="str">
        <f t="shared" si="44"/>
        <v>No fit</v>
      </c>
      <c r="O924" s="173" t="s">
        <v>7528</v>
      </c>
      <c r="P924" s="173" t="s">
        <v>7342</v>
      </c>
    </row>
    <row r="925" spans="1:16" ht="64.05" customHeight="1" x14ac:dyDescent="0.3">
      <c r="A925" s="151" t="s">
        <v>7597</v>
      </c>
      <c r="B925" s="151" t="s">
        <v>6017</v>
      </c>
      <c r="C925" s="151" t="s">
        <v>114</v>
      </c>
      <c r="D925" s="151">
        <v>2024</v>
      </c>
      <c r="E925" s="151" t="s">
        <v>196</v>
      </c>
      <c r="F925" s="174" t="s">
        <v>7400</v>
      </c>
      <c r="G925" s="167">
        <f>FCCL!G99</f>
        <v>8223.1159999999945</v>
      </c>
      <c r="H925" s="167">
        <f>('Forensic Inputs'!$G$104-FCCL!G21)</f>
        <v>136890.67200000002</v>
      </c>
      <c r="I925" s="165">
        <f t="shared" si="42"/>
        <v>6.0070681806573302E-2</v>
      </c>
      <c r="J925" s="165">
        <v>6.0070681806573274E-2</v>
      </c>
      <c r="K925" s="169">
        <f t="shared" si="43"/>
        <v>0</v>
      </c>
      <c r="L925" s="165">
        <v>7.0000000000000007E-2</v>
      </c>
      <c r="M925" s="151">
        <v>2</v>
      </c>
      <c r="N925" s="151" t="str">
        <f t="shared" si="44"/>
        <v>No fit</v>
      </c>
      <c r="O925" s="174" t="s">
        <v>7530</v>
      </c>
      <c r="P925" s="174" t="s">
        <v>7342</v>
      </c>
    </row>
    <row r="926" spans="1:16" ht="64.05" customHeight="1" x14ac:dyDescent="0.3">
      <c r="A926" s="154" t="s">
        <v>7598</v>
      </c>
      <c r="B926" s="154" t="s">
        <v>6017</v>
      </c>
      <c r="C926" s="154" t="s">
        <v>114</v>
      </c>
      <c r="D926" s="154">
        <v>2024</v>
      </c>
      <c r="E926" s="154" t="s">
        <v>196</v>
      </c>
      <c r="F926" s="173" t="s">
        <v>7403</v>
      </c>
      <c r="G926" s="166">
        <f>FCCL!G99</f>
        <v>8223.1159999999945</v>
      </c>
      <c r="H926" s="166">
        <f>AVERAGE('Forensic Inputs'!$G$102,'Forensic Inputs'!$G$104)</f>
        <v>132522.09100000001</v>
      </c>
      <c r="I926" s="164">
        <f t="shared" si="42"/>
        <v>6.205090742191801E-2</v>
      </c>
      <c r="J926" s="164">
        <v>6.2050907421917982E-2</v>
      </c>
      <c r="K926" s="168">
        <f t="shared" si="43"/>
        <v>0</v>
      </c>
      <c r="L926" s="164">
        <v>7.0000000000000007E-2</v>
      </c>
      <c r="M926" s="154">
        <v>2</v>
      </c>
      <c r="N926" s="154" t="str">
        <f t="shared" si="44"/>
        <v>No fit</v>
      </c>
      <c r="O926" s="173" t="s">
        <v>7599</v>
      </c>
      <c r="P926" s="173" t="s">
        <v>7342</v>
      </c>
    </row>
    <row r="927" spans="1:16" ht="64.05" customHeight="1" x14ac:dyDescent="0.3">
      <c r="A927" s="151" t="s">
        <v>7600</v>
      </c>
      <c r="B927" s="151" t="s">
        <v>6017</v>
      </c>
      <c r="C927" s="151" t="s">
        <v>114</v>
      </c>
      <c r="D927" s="151">
        <v>2024</v>
      </c>
      <c r="E927" s="151" t="s">
        <v>196</v>
      </c>
      <c r="F927" s="174" t="s">
        <v>7406</v>
      </c>
      <c r="G927" s="167">
        <f>FCCL!G96</f>
        <v>15354.953999999994</v>
      </c>
      <c r="H927" s="167">
        <f>FCCL!G37</f>
        <v>147636.299</v>
      </c>
      <c r="I927" s="165">
        <f t="shared" si="42"/>
        <v>0.10400527582989597</v>
      </c>
      <c r="J927" s="165">
        <v>0.10400527582989594</v>
      </c>
      <c r="K927" s="169">
        <f t="shared" si="43"/>
        <v>0</v>
      </c>
      <c r="L927" s="165">
        <v>7.0000000000000007E-2</v>
      </c>
      <c r="M927" s="151">
        <v>2</v>
      </c>
      <c r="N927" s="151" t="str">
        <f t="shared" si="44"/>
        <v>No fit</v>
      </c>
      <c r="O927" s="174" t="s">
        <v>7407</v>
      </c>
      <c r="P927" s="174" t="s">
        <v>7342</v>
      </c>
    </row>
    <row r="928" spans="1:16" ht="64.05" customHeight="1" x14ac:dyDescent="0.3">
      <c r="A928" s="154" t="s">
        <v>7601</v>
      </c>
      <c r="B928" s="154" t="s">
        <v>6017</v>
      </c>
      <c r="C928" s="154" t="s">
        <v>114</v>
      </c>
      <c r="D928" s="154">
        <v>2024</v>
      </c>
      <c r="E928" s="154" t="s">
        <v>196</v>
      </c>
      <c r="F928" s="173" t="s">
        <v>7409</v>
      </c>
      <c r="G928" s="166">
        <f>FCCL!G96</f>
        <v>15354.953999999994</v>
      </c>
      <c r="H928" s="166">
        <f>AVERAGE(FCCL!F37,FCCL!G37)</f>
        <v>143232.39799999999</v>
      </c>
      <c r="I928" s="164">
        <f t="shared" si="42"/>
        <v>0.10720307845435915</v>
      </c>
      <c r="J928" s="164">
        <v>0.10720307845435913</v>
      </c>
      <c r="K928" s="168">
        <f t="shared" si="43"/>
        <v>0</v>
      </c>
      <c r="L928" s="164">
        <v>7.0000000000000007E-2</v>
      </c>
      <c r="M928" s="154">
        <v>2</v>
      </c>
      <c r="N928" s="154" t="str">
        <f t="shared" si="44"/>
        <v>No fit</v>
      </c>
      <c r="O928" s="173" t="s">
        <v>7410</v>
      </c>
      <c r="P928" s="173" t="s">
        <v>7342</v>
      </c>
    </row>
    <row r="929" spans="1:16" ht="64.05" customHeight="1" x14ac:dyDescent="0.3">
      <c r="A929" s="151" t="s">
        <v>7602</v>
      </c>
      <c r="B929" s="151" t="s">
        <v>6017</v>
      </c>
      <c r="C929" s="151" t="s">
        <v>114</v>
      </c>
      <c r="D929" s="151">
        <v>2024</v>
      </c>
      <c r="E929" s="151" t="s">
        <v>196</v>
      </c>
      <c r="F929" s="174" t="s">
        <v>7412</v>
      </c>
      <c r="G929" s="167">
        <f>FCCL!G96</f>
        <v>15354.953999999994</v>
      </c>
      <c r="H929" s="167">
        <f>FCCL!G20</f>
        <v>110845.663</v>
      </c>
      <c r="I929" s="165">
        <f t="shared" si="42"/>
        <v>0.13852552805787263</v>
      </c>
      <c r="J929" s="165">
        <v>0.1385255280578726</v>
      </c>
      <c r="K929" s="169">
        <f t="shared" si="43"/>
        <v>0</v>
      </c>
      <c r="L929" s="165">
        <v>7.0000000000000007E-2</v>
      </c>
      <c r="M929" s="151">
        <v>2</v>
      </c>
      <c r="N929" s="151" t="str">
        <f t="shared" si="44"/>
        <v>No fit</v>
      </c>
      <c r="O929" s="174" t="s">
        <v>7413</v>
      </c>
      <c r="P929" s="174" t="s">
        <v>7342</v>
      </c>
    </row>
    <row r="930" spans="1:16" ht="64.05" customHeight="1" x14ac:dyDescent="0.3">
      <c r="A930" s="154" t="s">
        <v>7603</v>
      </c>
      <c r="B930" s="154" t="s">
        <v>6017</v>
      </c>
      <c r="C930" s="154" t="s">
        <v>114</v>
      </c>
      <c r="D930" s="154">
        <v>2024</v>
      </c>
      <c r="E930" s="154" t="s">
        <v>196</v>
      </c>
      <c r="F930" s="173" t="s">
        <v>7415</v>
      </c>
      <c r="G930" s="166">
        <f>FCCL!G96</f>
        <v>15354.953999999994</v>
      </c>
      <c r="H930" s="166">
        <f>AVERAGE(FCCL!F20,FCCL!G20)</f>
        <v>107635.42199999999</v>
      </c>
      <c r="I930" s="164">
        <f t="shared" si="42"/>
        <v>0.14265707064352845</v>
      </c>
      <c r="J930" s="164">
        <v>0.14265707064352842</v>
      </c>
      <c r="K930" s="168">
        <f t="shared" si="43"/>
        <v>0</v>
      </c>
      <c r="L930" s="164">
        <v>7.0000000000000007E-2</v>
      </c>
      <c r="M930" s="154">
        <v>2</v>
      </c>
      <c r="N930" s="154" t="str">
        <f t="shared" si="44"/>
        <v>No fit</v>
      </c>
      <c r="O930" s="173" t="s">
        <v>7416</v>
      </c>
      <c r="P930" s="173" t="s">
        <v>7342</v>
      </c>
    </row>
    <row r="931" spans="1:16" ht="64.05" customHeight="1" x14ac:dyDescent="0.3">
      <c r="A931" s="151" t="s">
        <v>7604</v>
      </c>
      <c r="B931" s="151" t="s">
        <v>6017</v>
      </c>
      <c r="C931" s="151" t="s">
        <v>114</v>
      </c>
      <c r="D931" s="151">
        <v>2024</v>
      </c>
      <c r="E931" s="151" t="s">
        <v>196</v>
      </c>
      <c r="F931" s="174" t="s">
        <v>7418</v>
      </c>
      <c r="G931" s="167">
        <f>FCCL!G96</f>
        <v>15354.953999999994</v>
      </c>
      <c r="H931" s="167">
        <f>FCCL!G22</f>
        <v>110145.51</v>
      </c>
      <c r="I931" s="165">
        <f t="shared" si="42"/>
        <v>0.13940608200915311</v>
      </c>
      <c r="J931" s="165">
        <v>0.13940608200915308</v>
      </c>
      <c r="K931" s="169">
        <f t="shared" si="43"/>
        <v>0</v>
      </c>
      <c r="L931" s="165">
        <v>7.0000000000000007E-2</v>
      </c>
      <c r="M931" s="151">
        <v>2</v>
      </c>
      <c r="N931" s="151" t="str">
        <f t="shared" si="44"/>
        <v>No fit</v>
      </c>
      <c r="O931" s="174" t="s">
        <v>7419</v>
      </c>
      <c r="P931" s="174" t="s">
        <v>7342</v>
      </c>
    </row>
    <row r="932" spans="1:16" ht="64.05" customHeight="1" x14ac:dyDescent="0.3">
      <c r="A932" s="154" t="s">
        <v>7605</v>
      </c>
      <c r="B932" s="154" t="s">
        <v>6017</v>
      </c>
      <c r="C932" s="154" t="s">
        <v>114</v>
      </c>
      <c r="D932" s="154">
        <v>2024</v>
      </c>
      <c r="E932" s="154" t="s">
        <v>196</v>
      </c>
      <c r="F932" s="173" t="s">
        <v>7421</v>
      </c>
      <c r="G932" s="166">
        <f>FCCL!G96</f>
        <v>15354.953999999994</v>
      </c>
      <c r="H932" s="166">
        <f>AVERAGE(FCCL!F22,FCCL!G22)</f>
        <v>90019.759499999986</v>
      </c>
      <c r="I932" s="164">
        <f t="shared" si="42"/>
        <v>0.17057315066477152</v>
      </c>
      <c r="J932" s="164">
        <v>0.17057315066477147</v>
      </c>
      <c r="K932" s="168">
        <f t="shared" si="43"/>
        <v>0</v>
      </c>
      <c r="L932" s="164">
        <v>7.0000000000000007E-2</v>
      </c>
      <c r="M932" s="154">
        <v>2</v>
      </c>
      <c r="N932" s="154" t="str">
        <f t="shared" si="44"/>
        <v>No fit</v>
      </c>
      <c r="O932" s="173" t="s">
        <v>7422</v>
      </c>
      <c r="P932" s="173" t="s">
        <v>7342</v>
      </c>
    </row>
    <row r="933" spans="1:16" ht="64.05" customHeight="1" x14ac:dyDescent="0.3">
      <c r="A933" s="151" t="s">
        <v>7606</v>
      </c>
      <c r="B933" s="151" t="s">
        <v>6017</v>
      </c>
      <c r="C933" s="151" t="s">
        <v>114</v>
      </c>
      <c r="D933" s="151">
        <v>2024</v>
      </c>
      <c r="E933" s="151" t="s">
        <v>196</v>
      </c>
      <c r="F933" s="174" t="s">
        <v>7424</v>
      </c>
      <c r="G933" s="167">
        <f>FCCL!G96</f>
        <v>15354.953999999994</v>
      </c>
      <c r="H933" s="167">
        <f>FCCL!G28</f>
        <v>121852.22799999999</v>
      </c>
      <c r="I933" s="165">
        <f t="shared" si="42"/>
        <v>0.12601291131090353</v>
      </c>
      <c r="J933" s="165">
        <v>0.12601291131090347</v>
      </c>
      <c r="K933" s="169">
        <f t="shared" si="43"/>
        <v>0</v>
      </c>
      <c r="L933" s="165">
        <v>7.0000000000000007E-2</v>
      </c>
      <c r="M933" s="151">
        <v>2</v>
      </c>
      <c r="N933" s="151" t="str">
        <f t="shared" si="44"/>
        <v>No fit</v>
      </c>
      <c r="O933" s="174" t="s">
        <v>7425</v>
      </c>
      <c r="P933" s="174" t="s">
        <v>7342</v>
      </c>
    </row>
    <row r="934" spans="1:16" ht="64.05" customHeight="1" x14ac:dyDescent="0.3">
      <c r="A934" s="154" t="s">
        <v>7607</v>
      </c>
      <c r="B934" s="154" t="s">
        <v>6017</v>
      </c>
      <c r="C934" s="154" t="s">
        <v>114</v>
      </c>
      <c r="D934" s="154">
        <v>2024</v>
      </c>
      <c r="E934" s="154" t="s">
        <v>196</v>
      </c>
      <c r="F934" s="173" t="s">
        <v>7427</v>
      </c>
      <c r="G934" s="166">
        <f>FCCL!G96</f>
        <v>15354.953999999994</v>
      </c>
      <c r="H934" s="166">
        <f>AVERAGE(FCCL!F28,FCCL!G28)</f>
        <v>118773.11299999998</v>
      </c>
      <c r="I934" s="164">
        <f t="shared" si="42"/>
        <v>0.12927971333040666</v>
      </c>
      <c r="J934" s="164">
        <v>0.12927971333040661</v>
      </c>
      <c r="K934" s="168">
        <f t="shared" si="43"/>
        <v>0</v>
      </c>
      <c r="L934" s="164">
        <v>7.0000000000000007E-2</v>
      </c>
      <c r="M934" s="154">
        <v>2</v>
      </c>
      <c r="N934" s="154" t="str">
        <f t="shared" si="44"/>
        <v>No fit</v>
      </c>
      <c r="O934" s="173" t="s">
        <v>7428</v>
      </c>
      <c r="P934" s="173" t="s">
        <v>7342</v>
      </c>
    </row>
    <row r="935" spans="1:16" ht="64.05" customHeight="1" x14ac:dyDescent="0.3">
      <c r="A935" s="151" t="s">
        <v>7608</v>
      </c>
      <c r="B935" s="151" t="s">
        <v>6017</v>
      </c>
      <c r="C935" s="151" t="s">
        <v>114</v>
      </c>
      <c r="D935" s="151">
        <v>2024</v>
      </c>
      <c r="E935" s="151" t="s">
        <v>196</v>
      </c>
      <c r="F935" s="174" t="s">
        <v>7430</v>
      </c>
      <c r="G935" s="167">
        <f>FCCL!G96</f>
        <v>15354.953999999994</v>
      </c>
      <c r="H935" s="167">
        <f>'Forensic Inputs'!$G$104</f>
        <v>137590.82500000001</v>
      </c>
      <c r="I935" s="165">
        <f t="shared" si="42"/>
        <v>0.11159867672862629</v>
      </c>
      <c r="J935" s="165">
        <v>0.11159867672862626</v>
      </c>
      <c r="K935" s="169">
        <f t="shared" si="43"/>
        <v>0</v>
      </c>
      <c r="L935" s="165">
        <v>7.0000000000000007E-2</v>
      </c>
      <c r="M935" s="151">
        <v>2</v>
      </c>
      <c r="N935" s="151" t="str">
        <f t="shared" si="44"/>
        <v>No fit</v>
      </c>
      <c r="O935" s="174" t="s">
        <v>7542</v>
      </c>
      <c r="P935" s="174" t="s">
        <v>7342</v>
      </c>
    </row>
    <row r="936" spans="1:16" ht="64.05" customHeight="1" x14ac:dyDescent="0.3">
      <c r="A936" s="154" t="s">
        <v>7609</v>
      </c>
      <c r="B936" s="154" t="s">
        <v>6017</v>
      </c>
      <c r="C936" s="154" t="s">
        <v>114</v>
      </c>
      <c r="D936" s="154">
        <v>2024</v>
      </c>
      <c r="E936" s="154" t="s">
        <v>196</v>
      </c>
      <c r="F936" s="173" t="s">
        <v>7433</v>
      </c>
      <c r="G936" s="166">
        <f>FCCL!G96</f>
        <v>15354.953999999994</v>
      </c>
      <c r="H936" s="166">
        <f>('Forensic Inputs'!$G$104-FCCL!G21)</f>
        <v>136890.67200000002</v>
      </c>
      <c r="I936" s="164">
        <f t="shared" si="42"/>
        <v>0.11216946907821441</v>
      </c>
      <c r="J936" s="164">
        <v>0.11216946907821439</v>
      </c>
      <c r="K936" s="168">
        <f t="shared" si="43"/>
        <v>0</v>
      </c>
      <c r="L936" s="164">
        <v>7.0000000000000007E-2</v>
      </c>
      <c r="M936" s="154">
        <v>2</v>
      </c>
      <c r="N936" s="154" t="str">
        <f t="shared" si="44"/>
        <v>No fit</v>
      </c>
      <c r="O936" s="173" t="s">
        <v>7544</v>
      </c>
      <c r="P936" s="173" t="s">
        <v>7342</v>
      </c>
    </row>
    <row r="937" spans="1:16" ht="64.05" customHeight="1" x14ac:dyDescent="0.3">
      <c r="A937" s="151" t="s">
        <v>7610</v>
      </c>
      <c r="B937" s="151" t="s">
        <v>6017</v>
      </c>
      <c r="C937" s="151" t="s">
        <v>114</v>
      </c>
      <c r="D937" s="151">
        <v>2024</v>
      </c>
      <c r="E937" s="151" t="s">
        <v>196</v>
      </c>
      <c r="F937" s="174" t="s">
        <v>7436</v>
      </c>
      <c r="G937" s="167">
        <f>FCCL!G96</f>
        <v>15354.953999999994</v>
      </c>
      <c r="H937" s="167">
        <f>AVERAGE('Forensic Inputs'!$G$102,'Forensic Inputs'!$G$104)</f>
        <v>132522.09100000001</v>
      </c>
      <c r="I937" s="165">
        <f t="shared" si="42"/>
        <v>0.11586712739085887</v>
      </c>
      <c r="J937" s="165">
        <v>0.11586712739085885</v>
      </c>
      <c r="K937" s="169">
        <f t="shared" si="43"/>
        <v>0</v>
      </c>
      <c r="L937" s="165">
        <v>7.0000000000000007E-2</v>
      </c>
      <c r="M937" s="151">
        <v>2</v>
      </c>
      <c r="N937" s="151" t="str">
        <f t="shared" si="44"/>
        <v>No fit</v>
      </c>
      <c r="O937" s="174" t="s">
        <v>7611</v>
      </c>
      <c r="P937" s="174" t="s">
        <v>7342</v>
      </c>
    </row>
    <row r="938" spans="1:16" ht="64.05" customHeight="1" x14ac:dyDescent="0.3">
      <c r="A938" s="154" t="s">
        <v>7612</v>
      </c>
      <c r="B938" s="154" t="s">
        <v>6017</v>
      </c>
      <c r="C938" s="154" t="s">
        <v>114</v>
      </c>
      <c r="D938" s="154">
        <v>2024</v>
      </c>
      <c r="E938" s="154" t="s">
        <v>196</v>
      </c>
      <c r="F938" s="173" t="s">
        <v>7439</v>
      </c>
      <c r="G938" s="166">
        <f>FCCL!G108</f>
        <v>20891.251999999993</v>
      </c>
      <c r="H938" s="166">
        <f>FCCL!G37</f>
        <v>147636.299</v>
      </c>
      <c r="I938" s="164">
        <f t="shared" si="42"/>
        <v>0.14150484766622329</v>
      </c>
      <c r="J938" s="164">
        <v>0.14150484766622326</v>
      </c>
      <c r="K938" s="168">
        <f t="shared" si="43"/>
        <v>0</v>
      </c>
      <c r="L938" s="164">
        <v>7.0000000000000007E-2</v>
      </c>
      <c r="M938" s="154">
        <v>2</v>
      </c>
      <c r="N938" s="154" t="str">
        <f t="shared" si="44"/>
        <v>No fit</v>
      </c>
      <c r="O938" s="173" t="s">
        <v>7440</v>
      </c>
      <c r="P938" s="173" t="s">
        <v>7342</v>
      </c>
    </row>
    <row r="939" spans="1:16" ht="64.05" customHeight="1" x14ac:dyDescent="0.3">
      <c r="A939" s="151" t="s">
        <v>7613</v>
      </c>
      <c r="B939" s="151" t="s">
        <v>6017</v>
      </c>
      <c r="C939" s="151" t="s">
        <v>114</v>
      </c>
      <c r="D939" s="151">
        <v>2024</v>
      </c>
      <c r="E939" s="151" t="s">
        <v>196</v>
      </c>
      <c r="F939" s="174" t="s">
        <v>7442</v>
      </c>
      <c r="G939" s="167">
        <f>FCCL!G108</f>
        <v>20891.251999999993</v>
      </c>
      <c r="H939" s="167">
        <f>AVERAGE(FCCL!F37,FCCL!G37)</f>
        <v>143232.39799999999</v>
      </c>
      <c r="I939" s="165">
        <f t="shared" si="42"/>
        <v>0.14585563246661551</v>
      </c>
      <c r="J939" s="165">
        <v>0.14585563246661548</v>
      </c>
      <c r="K939" s="169">
        <f t="shared" si="43"/>
        <v>0</v>
      </c>
      <c r="L939" s="165">
        <v>7.0000000000000007E-2</v>
      </c>
      <c r="M939" s="151">
        <v>2</v>
      </c>
      <c r="N939" s="151" t="str">
        <f t="shared" si="44"/>
        <v>No fit</v>
      </c>
      <c r="O939" s="174" t="s">
        <v>7443</v>
      </c>
      <c r="P939" s="174" t="s">
        <v>7342</v>
      </c>
    </row>
    <row r="940" spans="1:16" ht="64.05" customHeight="1" x14ac:dyDescent="0.3">
      <c r="A940" s="154" t="s">
        <v>7614</v>
      </c>
      <c r="B940" s="154" t="s">
        <v>6017</v>
      </c>
      <c r="C940" s="154" t="s">
        <v>114</v>
      </c>
      <c r="D940" s="154">
        <v>2024</v>
      </c>
      <c r="E940" s="154" t="s">
        <v>196</v>
      </c>
      <c r="F940" s="173" t="s">
        <v>7445</v>
      </c>
      <c r="G940" s="166">
        <f>FCCL!G108</f>
        <v>20891.251999999993</v>
      </c>
      <c r="H940" s="166">
        <f>FCCL!G20</f>
        <v>110845.663</v>
      </c>
      <c r="I940" s="164">
        <f t="shared" si="42"/>
        <v>0.18847153271120759</v>
      </c>
      <c r="J940" s="164">
        <v>0.18847153271120756</v>
      </c>
      <c r="K940" s="168">
        <f t="shared" si="43"/>
        <v>0</v>
      </c>
      <c r="L940" s="164">
        <v>7.0000000000000007E-2</v>
      </c>
      <c r="M940" s="154">
        <v>2</v>
      </c>
      <c r="N940" s="154" t="str">
        <f t="shared" si="44"/>
        <v>No fit</v>
      </c>
      <c r="O940" s="173" t="s">
        <v>7446</v>
      </c>
      <c r="P940" s="173" t="s">
        <v>7342</v>
      </c>
    </row>
    <row r="941" spans="1:16" ht="64.05" customHeight="1" x14ac:dyDescent="0.3">
      <c r="A941" s="151" t="s">
        <v>7615</v>
      </c>
      <c r="B941" s="151" t="s">
        <v>6017</v>
      </c>
      <c r="C941" s="151" t="s">
        <v>114</v>
      </c>
      <c r="D941" s="151">
        <v>2024</v>
      </c>
      <c r="E941" s="151" t="s">
        <v>196</v>
      </c>
      <c r="F941" s="174" t="s">
        <v>7448</v>
      </c>
      <c r="G941" s="167">
        <f>FCCL!G108</f>
        <v>20891.251999999993</v>
      </c>
      <c r="H941" s="167">
        <f>AVERAGE(FCCL!F20,FCCL!G20)</f>
        <v>107635.42199999999</v>
      </c>
      <c r="I941" s="165">
        <f t="shared" si="42"/>
        <v>0.19409272163210356</v>
      </c>
      <c r="J941" s="165">
        <v>0.19409272163210353</v>
      </c>
      <c r="K941" s="169">
        <f t="shared" si="43"/>
        <v>0</v>
      </c>
      <c r="L941" s="165">
        <v>7.0000000000000007E-2</v>
      </c>
      <c r="M941" s="151">
        <v>2</v>
      </c>
      <c r="N941" s="151" t="str">
        <f t="shared" si="44"/>
        <v>No fit</v>
      </c>
      <c r="O941" s="174" t="s">
        <v>7449</v>
      </c>
      <c r="P941" s="174" t="s">
        <v>7342</v>
      </c>
    </row>
    <row r="942" spans="1:16" ht="64.05" customHeight="1" x14ac:dyDescent="0.3">
      <c r="A942" s="154" t="s">
        <v>7616</v>
      </c>
      <c r="B942" s="154" t="s">
        <v>6017</v>
      </c>
      <c r="C942" s="154" t="s">
        <v>114</v>
      </c>
      <c r="D942" s="154">
        <v>2024</v>
      </c>
      <c r="E942" s="154" t="s">
        <v>196</v>
      </c>
      <c r="F942" s="173" t="s">
        <v>7451</v>
      </c>
      <c r="G942" s="166">
        <f>FCCL!G108</f>
        <v>20891.251999999993</v>
      </c>
      <c r="H942" s="166">
        <f>FCCL!G22</f>
        <v>110145.51</v>
      </c>
      <c r="I942" s="164">
        <f t="shared" si="42"/>
        <v>0.18966957436576393</v>
      </c>
      <c r="J942" s="164">
        <v>0.1896695743657639</v>
      </c>
      <c r="K942" s="168">
        <f t="shared" si="43"/>
        <v>0</v>
      </c>
      <c r="L942" s="164">
        <v>7.0000000000000007E-2</v>
      </c>
      <c r="M942" s="154">
        <v>2</v>
      </c>
      <c r="N942" s="154" t="str">
        <f t="shared" si="44"/>
        <v>No fit</v>
      </c>
      <c r="O942" s="173" t="s">
        <v>7452</v>
      </c>
      <c r="P942" s="173" t="s">
        <v>7342</v>
      </c>
    </row>
    <row r="943" spans="1:16" ht="64.05" customHeight="1" x14ac:dyDescent="0.3">
      <c r="A943" s="151" t="s">
        <v>7617</v>
      </c>
      <c r="B943" s="151" t="s">
        <v>6017</v>
      </c>
      <c r="C943" s="151" t="s">
        <v>114</v>
      </c>
      <c r="D943" s="151">
        <v>2024</v>
      </c>
      <c r="E943" s="151" t="s">
        <v>196</v>
      </c>
      <c r="F943" s="174" t="s">
        <v>7454</v>
      </c>
      <c r="G943" s="167">
        <f>FCCL!G108</f>
        <v>20891.251999999993</v>
      </c>
      <c r="H943" s="167">
        <f>AVERAGE(FCCL!F22,FCCL!G22)</f>
        <v>90019.759499999986</v>
      </c>
      <c r="I943" s="165">
        <f t="shared" si="42"/>
        <v>0.23207407036007463</v>
      </c>
      <c r="J943" s="165">
        <v>0.23207407036007457</v>
      </c>
      <c r="K943" s="169">
        <f t="shared" si="43"/>
        <v>0</v>
      </c>
      <c r="L943" s="165">
        <v>7.0000000000000007E-2</v>
      </c>
      <c r="M943" s="151">
        <v>2</v>
      </c>
      <c r="N943" s="151" t="str">
        <f t="shared" si="44"/>
        <v>No fit</v>
      </c>
      <c r="O943" s="174" t="s">
        <v>7455</v>
      </c>
      <c r="P943" s="174" t="s">
        <v>7342</v>
      </c>
    </row>
    <row r="944" spans="1:16" ht="64.05" customHeight="1" x14ac:dyDescent="0.3">
      <c r="A944" s="154" t="s">
        <v>7618</v>
      </c>
      <c r="B944" s="154" t="s">
        <v>6017</v>
      </c>
      <c r="C944" s="154" t="s">
        <v>114</v>
      </c>
      <c r="D944" s="154">
        <v>2024</v>
      </c>
      <c r="E944" s="154" t="s">
        <v>196</v>
      </c>
      <c r="F944" s="173" t="s">
        <v>7457</v>
      </c>
      <c r="G944" s="166">
        <f>FCCL!G108</f>
        <v>20891.251999999993</v>
      </c>
      <c r="H944" s="166">
        <f>FCCL!G28</f>
        <v>121852.22799999999</v>
      </c>
      <c r="I944" s="164">
        <f t="shared" si="42"/>
        <v>0.1714474354953936</v>
      </c>
      <c r="J944" s="164">
        <v>0.17144743549539357</v>
      </c>
      <c r="K944" s="168">
        <f t="shared" si="43"/>
        <v>0</v>
      </c>
      <c r="L944" s="164">
        <v>7.0000000000000007E-2</v>
      </c>
      <c r="M944" s="154">
        <v>2</v>
      </c>
      <c r="N944" s="154" t="str">
        <f t="shared" si="44"/>
        <v>No fit</v>
      </c>
      <c r="O944" s="173" t="s">
        <v>7458</v>
      </c>
      <c r="P944" s="173" t="s">
        <v>7342</v>
      </c>
    </row>
    <row r="945" spans="1:16" ht="64.05" customHeight="1" x14ac:dyDescent="0.3">
      <c r="A945" s="151" t="s">
        <v>7619</v>
      </c>
      <c r="B945" s="151" t="s">
        <v>6017</v>
      </c>
      <c r="C945" s="151" t="s">
        <v>114</v>
      </c>
      <c r="D945" s="151">
        <v>2024</v>
      </c>
      <c r="E945" s="151" t="s">
        <v>196</v>
      </c>
      <c r="F945" s="174" t="s">
        <v>7460</v>
      </c>
      <c r="G945" s="167">
        <f>FCCL!G108</f>
        <v>20891.251999999993</v>
      </c>
      <c r="H945" s="167">
        <f>AVERAGE(FCCL!F28,FCCL!G28)</f>
        <v>118773.11299999998</v>
      </c>
      <c r="I945" s="165">
        <f t="shared" si="42"/>
        <v>0.17589209773427422</v>
      </c>
      <c r="J945" s="165">
        <v>0.17589209773427417</v>
      </c>
      <c r="K945" s="169">
        <f t="shared" si="43"/>
        <v>0</v>
      </c>
      <c r="L945" s="165">
        <v>7.0000000000000007E-2</v>
      </c>
      <c r="M945" s="151">
        <v>2</v>
      </c>
      <c r="N945" s="151" t="str">
        <f t="shared" si="44"/>
        <v>No fit</v>
      </c>
      <c r="O945" s="174" t="s">
        <v>7461</v>
      </c>
      <c r="P945" s="174" t="s">
        <v>7342</v>
      </c>
    </row>
    <row r="946" spans="1:16" ht="64.05" customHeight="1" x14ac:dyDescent="0.3">
      <c r="A946" s="154" t="s">
        <v>7620</v>
      </c>
      <c r="B946" s="154" t="s">
        <v>6017</v>
      </c>
      <c r="C946" s="154" t="s">
        <v>114</v>
      </c>
      <c r="D946" s="154">
        <v>2024</v>
      </c>
      <c r="E946" s="154" t="s">
        <v>196</v>
      </c>
      <c r="F946" s="173" t="s">
        <v>7463</v>
      </c>
      <c r="G946" s="166">
        <f>FCCL!G108</f>
        <v>20891.251999999993</v>
      </c>
      <c r="H946" s="166">
        <f>'Forensic Inputs'!$G$104</f>
        <v>137590.82500000001</v>
      </c>
      <c r="I946" s="164">
        <f t="shared" si="42"/>
        <v>0.15183608354699515</v>
      </c>
      <c r="J946" s="164">
        <v>0.15183608354699515</v>
      </c>
      <c r="K946" s="168">
        <f t="shared" si="43"/>
        <v>0</v>
      </c>
      <c r="L946" s="164">
        <v>7.0000000000000007E-2</v>
      </c>
      <c r="M946" s="154">
        <v>2</v>
      </c>
      <c r="N946" s="154" t="str">
        <f t="shared" si="44"/>
        <v>No fit</v>
      </c>
      <c r="O946" s="173" t="s">
        <v>7556</v>
      </c>
      <c r="P946" s="173" t="s">
        <v>7342</v>
      </c>
    </row>
    <row r="947" spans="1:16" ht="64.05" customHeight="1" x14ac:dyDescent="0.3">
      <c r="A947" s="151" t="s">
        <v>7621</v>
      </c>
      <c r="B947" s="151" t="s">
        <v>6017</v>
      </c>
      <c r="C947" s="151" t="s">
        <v>114</v>
      </c>
      <c r="D947" s="151">
        <v>2024</v>
      </c>
      <c r="E947" s="151" t="s">
        <v>196</v>
      </c>
      <c r="F947" s="174" t="s">
        <v>7466</v>
      </c>
      <c r="G947" s="167">
        <f>FCCL!G108</f>
        <v>20891.251999999993</v>
      </c>
      <c r="H947" s="167">
        <f>('Forensic Inputs'!$G$104-FCCL!G21)</f>
        <v>136890.67200000002</v>
      </c>
      <c r="I947" s="165">
        <f t="shared" si="42"/>
        <v>0.15261267765564032</v>
      </c>
      <c r="J947" s="165">
        <v>0.15261267765564032</v>
      </c>
      <c r="K947" s="169">
        <f t="shared" si="43"/>
        <v>0</v>
      </c>
      <c r="L947" s="165">
        <v>7.0000000000000007E-2</v>
      </c>
      <c r="M947" s="151">
        <v>2</v>
      </c>
      <c r="N947" s="151" t="str">
        <f t="shared" si="44"/>
        <v>No fit</v>
      </c>
      <c r="O947" s="174" t="s">
        <v>7558</v>
      </c>
      <c r="P947" s="174" t="s">
        <v>7342</v>
      </c>
    </row>
    <row r="948" spans="1:16" ht="64.05" customHeight="1" x14ac:dyDescent="0.3">
      <c r="A948" s="154" t="s">
        <v>7622</v>
      </c>
      <c r="B948" s="154" t="s">
        <v>6017</v>
      </c>
      <c r="C948" s="154" t="s">
        <v>114</v>
      </c>
      <c r="D948" s="154">
        <v>2024</v>
      </c>
      <c r="E948" s="154" t="s">
        <v>196</v>
      </c>
      <c r="F948" s="173" t="s">
        <v>7469</v>
      </c>
      <c r="G948" s="166">
        <f>FCCL!G108</f>
        <v>20891.251999999993</v>
      </c>
      <c r="H948" s="166">
        <f>AVERAGE('Forensic Inputs'!$G$102,'Forensic Inputs'!$G$104)</f>
        <v>132522.09100000001</v>
      </c>
      <c r="I948" s="164">
        <f t="shared" si="42"/>
        <v>0.15764354336968611</v>
      </c>
      <c r="J948" s="164">
        <v>0.15764354336968608</v>
      </c>
      <c r="K948" s="168">
        <f t="shared" si="43"/>
        <v>0</v>
      </c>
      <c r="L948" s="164">
        <v>7.0000000000000007E-2</v>
      </c>
      <c r="M948" s="154">
        <v>2</v>
      </c>
      <c r="N948" s="154" t="str">
        <f t="shared" si="44"/>
        <v>No fit</v>
      </c>
      <c r="O948" s="173" t="s">
        <v>7623</v>
      </c>
      <c r="P948" s="173" t="s">
        <v>7342</v>
      </c>
    </row>
    <row r="949" spans="1:16" ht="64.05" customHeight="1" x14ac:dyDescent="0.3">
      <c r="A949" s="151" t="s">
        <v>7624</v>
      </c>
      <c r="B949" s="151" t="s">
        <v>6017</v>
      </c>
      <c r="C949" s="151" t="s">
        <v>114</v>
      </c>
      <c r="D949" s="151">
        <v>2024</v>
      </c>
      <c r="E949" s="151" t="s">
        <v>196</v>
      </c>
      <c r="F949" s="174" t="s">
        <v>7472</v>
      </c>
      <c r="G949" s="167">
        <f>FCCL!G91</f>
        <v>20051.560999999994</v>
      </c>
      <c r="H949" s="167">
        <f>FCCL!G37</f>
        <v>147636.299</v>
      </c>
      <c r="I949" s="165">
        <f t="shared" si="42"/>
        <v>0.13581728298404441</v>
      </c>
      <c r="J949" s="165">
        <v>0.13581728298404439</v>
      </c>
      <c r="K949" s="169">
        <f t="shared" si="43"/>
        <v>0</v>
      </c>
      <c r="L949" s="165">
        <v>7.0000000000000007E-2</v>
      </c>
      <c r="M949" s="151">
        <v>2</v>
      </c>
      <c r="N949" s="151" t="str">
        <f t="shared" si="44"/>
        <v>No fit</v>
      </c>
      <c r="O949" s="174" t="s">
        <v>7473</v>
      </c>
      <c r="P949" s="174" t="s">
        <v>7342</v>
      </c>
    </row>
    <row r="950" spans="1:16" ht="64.05" customHeight="1" x14ac:dyDescent="0.3">
      <c r="A950" s="154" t="s">
        <v>7625</v>
      </c>
      <c r="B950" s="154" t="s">
        <v>6017</v>
      </c>
      <c r="C950" s="154" t="s">
        <v>114</v>
      </c>
      <c r="D950" s="154">
        <v>2024</v>
      </c>
      <c r="E950" s="154" t="s">
        <v>196</v>
      </c>
      <c r="F950" s="173" t="s">
        <v>7475</v>
      </c>
      <c r="G950" s="166">
        <f>FCCL!G91</f>
        <v>20051.560999999994</v>
      </c>
      <c r="H950" s="166">
        <f>AVERAGE(FCCL!F37,FCCL!G37)</f>
        <v>143232.39799999999</v>
      </c>
      <c r="I950" s="164">
        <f t="shared" si="42"/>
        <v>0.13999319483571027</v>
      </c>
      <c r="J950" s="164">
        <v>0.13999319483571024</v>
      </c>
      <c r="K950" s="168">
        <f t="shared" si="43"/>
        <v>0</v>
      </c>
      <c r="L950" s="164">
        <v>7.0000000000000007E-2</v>
      </c>
      <c r="M950" s="154">
        <v>2</v>
      </c>
      <c r="N950" s="154" t="str">
        <f t="shared" si="44"/>
        <v>No fit</v>
      </c>
      <c r="O950" s="173" t="s">
        <v>7476</v>
      </c>
      <c r="P950" s="173" t="s">
        <v>7342</v>
      </c>
    </row>
    <row r="951" spans="1:16" ht="64.05" customHeight="1" x14ac:dyDescent="0.3">
      <c r="A951" s="151" t="s">
        <v>7626</v>
      </c>
      <c r="B951" s="151" t="s">
        <v>6017</v>
      </c>
      <c r="C951" s="151" t="s">
        <v>114</v>
      </c>
      <c r="D951" s="151">
        <v>2024</v>
      </c>
      <c r="E951" s="151" t="s">
        <v>196</v>
      </c>
      <c r="F951" s="174" t="s">
        <v>7478</v>
      </c>
      <c r="G951" s="167">
        <f>FCCL!G91</f>
        <v>20051.560999999994</v>
      </c>
      <c r="H951" s="167">
        <f>FCCL!G20</f>
        <v>110845.663</v>
      </c>
      <c r="I951" s="165">
        <f t="shared" si="42"/>
        <v>0.18089621602966996</v>
      </c>
      <c r="J951" s="165">
        <v>0.18089621602966993</v>
      </c>
      <c r="K951" s="169">
        <f t="shared" si="43"/>
        <v>0</v>
      </c>
      <c r="L951" s="165">
        <v>7.0000000000000007E-2</v>
      </c>
      <c r="M951" s="151">
        <v>2</v>
      </c>
      <c r="N951" s="151" t="str">
        <f t="shared" si="44"/>
        <v>No fit</v>
      </c>
      <c r="O951" s="174" t="s">
        <v>7479</v>
      </c>
      <c r="P951" s="174" t="s">
        <v>7342</v>
      </c>
    </row>
    <row r="952" spans="1:16" ht="64.05" customHeight="1" x14ac:dyDescent="0.3">
      <c r="A952" s="154" t="s">
        <v>7627</v>
      </c>
      <c r="B952" s="154" t="s">
        <v>6017</v>
      </c>
      <c r="C952" s="154" t="s">
        <v>114</v>
      </c>
      <c r="D952" s="154">
        <v>2024</v>
      </c>
      <c r="E952" s="154" t="s">
        <v>196</v>
      </c>
      <c r="F952" s="173" t="s">
        <v>7481</v>
      </c>
      <c r="G952" s="166">
        <f>FCCL!G91</f>
        <v>20051.560999999994</v>
      </c>
      <c r="H952" s="166">
        <f>AVERAGE(FCCL!F20,FCCL!G20)</f>
        <v>107635.42199999999</v>
      </c>
      <c r="I952" s="164">
        <f t="shared" si="42"/>
        <v>0.18629147010730349</v>
      </c>
      <c r="J952" s="164">
        <v>0.18629147010730346</v>
      </c>
      <c r="K952" s="168">
        <f t="shared" si="43"/>
        <v>0</v>
      </c>
      <c r="L952" s="164">
        <v>7.0000000000000007E-2</v>
      </c>
      <c r="M952" s="154">
        <v>2</v>
      </c>
      <c r="N952" s="154" t="str">
        <f t="shared" si="44"/>
        <v>No fit</v>
      </c>
      <c r="O952" s="173" t="s">
        <v>7482</v>
      </c>
      <c r="P952" s="173" t="s">
        <v>7342</v>
      </c>
    </row>
    <row r="953" spans="1:16" ht="64.05" customHeight="1" x14ac:dyDescent="0.3">
      <c r="A953" s="151" t="s">
        <v>7628</v>
      </c>
      <c r="B953" s="151" t="s">
        <v>6017</v>
      </c>
      <c r="C953" s="151" t="s">
        <v>114</v>
      </c>
      <c r="D953" s="151">
        <v>2024</v>
      </c>
      <c r="E953" s="151" t="s">
        <v>196</v>
      </c>
      <c r="F953" s="174" t="s">
        <v>7484</v>
      </c>
      <c r="G953" s="167">
        <f>FCCL!G91</f>
        <v>20051.560999999994</v>
      </c>
      <c r="H953" s="167">
        <f>FCCL!G22</f>
        <v>110145.51</v>
      </c>
      <c r="I953" s="165">
        <f t="shared" si="42"/>
        <v>0.18204610428514059</v>
      </c>
      <c r="J953" s="165">
        <v>0.18204610428514056</v>
      </c>
      <c r="K953" s="169">
        <f t="shared" si="43"/>
        <v>0</v>
      </c>
      <c r="L953" s="165">
        <v>7.0000000000000007E-2</v>
      </c>
      <c r="M953" s="151">
        <v>2</v>
      </c>
      <c r="N953" s="151" t="str">
        <f t="shared" si="44"/>
        <v>No fit</v>
      </c>
      <c r="O953" s="174" t="s">
        <v>7485</v>
      </c>
      <c r="P953" s="174" t="s">
        <v>7342</v>
      </c>
    </row>
    <row r="954" spans="1:16" ht="64.05" customHeight="1" x14ac:dyDescent="0.3">
      <c r="A954" s="154" t="s">
        <v>7629</v>
      </c>
      <c r="B954" s="154" t="s">
        <v>6017</v>
      </c>
      <c r="C954" s="154" t="s">
        <v>114</v>
      </c>
      <c r="D954" s="154">
        <v>2024</v>
      </c>
      <c r="E954" s="154" t="s">
        <v>196</v>
      </c>
      <c r="F954" s="173" t="s">
        <v>7487</v>
      </c>
      <c r="G954" s="166">
        <f>FCCL!G91</f>
        <v>20051.560999999994</v>
      </c>
      <c r="H954" s="166">
        <f>AVERAGE(FCCL!F22,FCCL!G22)</f>
        <v>90019.759499999986</v>
      </c>
      <c r="I954" s="164">
        <f t="shared" si="42"/>
        <v>0.22274621828999663</v>
      </c>
      <c r="J954" s="164">
        <v>0.22274621828999658</v>
      </c>
      <c r="K954" s="168">
        <f t="shared" si="43"/>
        <v>0</v>
      </c>
      <c r="L954" s="164">
        <v>7.0000000000000007E-2</v>
      </c>
      <c r="M954" s="154">
        <v>2</v>
      </c>
      <c r="N954" s="154" t="str">
        <f t="shared" si="44"/>
        <v>No fit</v>
      </c>
      <c r="O954" s="173" t="s">
        <v>7488</v>
      </c>
      <c r="P954" s="173" t="s">
        <v>7342</v>
      </c>
    </row>
    <row r="955" spans="1:16" ht="64.05" customHeight="1" x14ac:dyDescent="0.3">
      <c r="A955" s="151" t="s">
        <v>7630</v>
      </c>
      <c r="B955" s="151" t="s">
        <v>6017</v>
      </c>
      <c r="C955" s="151" t="s">
        <v>114</v>
      </c>
      <c r="D955" s="151">
        <v>2024</v>
      </c>
      <c r="E955" s="151" t="s">
        <v>196</v>
      </c>
      <c r="F955" s="174" t="s">
        <v>7490</v>
      </c>
      <c r="G955" s="167">
        <f>FCCL!G91</f>
        <v>20051.560999999994</v>
      </c>
      <c r="H955" s="167">
        <f>FCCL!G28</f>
        <v>121852.22799999999</v>
      </c>
      <c r="I955" s="165">
        <f t="shared" si="42"/>
        <v>0.16455637561259853</v>
      </c>
      <c r="J955" s="165">
        <v>0.16455637561259848</v>
      </c>
      <c r="K955" s="169">
        <f t="shared" si="43"/>
        <v>0</v>
      </c>
      <c r="L955" s="165">
        <v>7.0000000000000007E-2</v>
      </c>
      <c r="M955" s="151">
        <v>2</v>
      </c>
      <c r="N955" s="151" t="str">
        <f t="shared" si="44"/>
        <v>No fit</v>
      </c>
      <c r="O955" s="174" t="s">
        <v>7491</v>
      </c>
      <c r="P955" s="174" t="s">
        <v>7342</v>
      </c>
    </row>
    <row r="956" spans="1:16" ht="64.05" customHeight="1" x14ac:dyDescent="0.3">
      <c r="A956" s="154" t="s">
        <v>7631</v>
      </c>
      <c r="B956" s="154" t="s">
        <v>6017</v>
      </c>
      <c r="C956" s="154" t="s">
        <v>114</v>
      </c>
      <c r="D956" s="154">
        <v>2024</v>
      </c>
      <c r="E956" s="154" t="s">
        <v>196</v>
      </c>
      <c r="F956" s="173" t="s">
        <v>7493</v>
      </c>
      <c r="G956" s="166">
        <f>FCCL!G91</f>
        <v>20051.560999999994</v>
      </c>
      <c r="H956" s="166">
        <f>AVERAGE(FCCL!F28,FCCL!G28)</f>
        <v>118773.11299999998</v>
      </c>
      <c r="I956" s="164">
        <f t="shared" si="42"/>
        <v>0.16882239164683674</v>
      </c>
      <c r="J956" s="164">
        <v>0.16882239164683668</v>
      </c>
      <c r="K956" s="168">
        <f t="shared" si="43"/>
        <v>0</v>
      </c>
      <c r="L956" s="164">
        <v>7.0000000000000007E-2</v>
      </c>
      <c r="M956" s="154">
        <v>2</v>
      </c>
      <c r="N956" s="154" t="str">
        <f t="shared" si="44"/>
        <v>No fit</v>
      </c>
      <c r="O956" s="173" t="s">
        <v>7494</v>
      </c>
      <c r="P956" s="173" t="s">
        <v>7342</v>
      </c>
    </row>
    <row r="957" spans="1:16" ht="64.05" customHeight="1" x14ac:dyDescent="0.3">
      <c r="A957" s="151" t="s">
        <v>7632</v>
      </c>
      <c r="B957" s="151" t="s">
        <v>6017</v>
      </c>
      <c r="C957" s="151" t="s">
        <v>114</v>
      </c>
      <c r="D957" s="151">
        <v>2024</v>
      </c>
      <c r="E957" s="151" t="s">
        <v>196</v>
      </c>
      <c r="F957" s="174" t="s">
        <v>7496</v>
      </c>
      <c r="G957" s="167">
        <f>FCCL!G91</f>
        <v>20051.560999999994</v>
      </c>
      <c r="H957" s="167">
        <f>'Forensic Inputs'!$G$104</f>
        <v>137590.82500000001</v>
      </c>
      <c r="I957" s="165">
        <f t="shared" si="42"/>
        <v>0.1457332710956562</v>
      </c>
      <c r="J957" s="165">
        <v>0.14573327109565617</v>
      </c>
      <c r="K957" s="169">
        <f t="shared" si="43"/>
        <v>0</v>
      </c>
      <c r="L957" s="165">
        <v>7.0000000000000007E-2</v>
      </c>
      <c r="M957" s="151">
        <v>2</v>
      </c>
      <c r="N957" s="151" t="str">
        <f t="shared" si="44"/>
        <v>No fit</v>
      </c>
      <c r="O957" s="174" t="s">
        <v>7570</v>
      </c>
      <c r="P957" s="174" t="s">
        <v>7342</v>
      </c>
    </row>
    <row r="958" spans="1:16" ht="64.05" customHeight="1" x14ac:dyDescent="0.3">
      <c r="A958" s="154" t="s">
        <v>7633</v>
      </c>
      <c r="B958" s="154" t="s">
        <v>6017</v>
      </c>
      <c r="C958" s="154" t="s">
        <v>114</v>
      </c>
      <c r="D958" s="154">
        <v>2024</v>
      </c>
      <c r="E958" s="154" t="s">
        <v>196</v>
      </c>
      <c r="F958" s="173" t="s">
        <v>7499</v>
      </c>
      <c r="G958" s="166">
        <f>FCCL!G91</f>
        <v>20051.560999999994</v>
      </c>
      <c r="H958" s="166">
        <f>('Forensic Inputs'!$G$104-FCCL!G21)</f>
        <v>136890.67200000002</v>
      </c>
      <c r="I958" s="164">
        <f t="shared" si="42"/>
        <v>0.14647865122614045</v>
      </c>
      <c r="J958" s="164">
        <v>0.14647865122614043</v>
      </c>
      <c r="K958" s="168">
        <f t="shared" si="43"/>
        <v>0</v>
      </c>
      <c r="L958" s="164">
        <v>7.0000000000000007E-2</v>
      </c>
      <c r="M958" s="154">
        <v>2</v>
      </c>
      <c r="N958" s="154" t="str">
        <f t="shared" si="44"/>
        <v>No fit</v>
      </c>
      <c r="O958" s="173" t="s">
        <v>7572</v>
      </c>
      <c r="P958" s="173" t="s">
        <v>7342</v>
      </c>
    </row>
    <row r="959" spans="1:16" ht="64.05" customHeight="1" x14ac:dyDescent="0.3">
      <c r="A959" s="151" t="s">
        <v>7634</v>
      </c>
      <c r="B959" s="151" t="s">
        <v>6017</v>
      </c>
      <c r="C959" s="151" t="s">
        <v>114</v>
      </c>
      <c r="D959" s="151">
        <v>2024</v>
      </c>
      <c r="E959" s="151" t="s">
        <v>196</v>
      </c>
      <c r="F959" s="174" t="s">
        <v>7502</v>
      </c>
      <c r="G959" s="167">
        <f>FCCL!G91</f>
        <v>20051.560999999994</v>
      </c>
      <c r="H959" s="167">
        <f>AVERAGE('Forensic Inputs'!$G$102,'Forensic Inputs'!$G$104)</f>
        <v>132522.09100000001</v>
      </c>
      <c r="I959" s="165">
        <f t="shared" si="42"/>
        <v>0.15130730920929999</v>
      </c>
      <c r="J959" s="165">
        <v>0.15130730920929997</v>
      </c>
      <c r="K959" s="169">
        <f t="shared" si="43"/>
        <v>0</v>
      </c>
      <c r="L959" s="165">
        <v>7.0000000000000007E-2</v>
      </c>
      <c r="M959" s="151">
        <v>2</v>
      </c>
      <c r="N959" s="151" t="str">
        <f t="shared" si="44"/>
        <v>No fit</v>
      </c>
      <c r="O959" s="174" t="s">
        <v>7635</v>
      </c>
      <c r="P959" s="174" t="s">
        <v>7342</v>
      </c>
    </row>
    <row r="960" spans="1:16" ht="64.05" customHeight="1" x14ac:dyDescent="0.3">
      <c r="A960" s="154" t="s">
        <v>7636</v>
      </c>
      <c r="B960" s="154" t="s">
        <v>6020</v>
      </c>
      <c r="C960" s="154" t="s">
        <v>114</v>
      </c>
      <c r="D960" s="154">
        <v>2025</v>
      </c>
      <c r="E960" s="154" t="s">
        <v>196</v>
      </c>
      <c r="F960" s="173" t="s">
        <v>5893</v>
      </c>
      <c r="G960" s="166">
        <f>FCCL!H84</f>
        <v>88956.327999999994</v>
      </c>
      <c r="H960" s="166">
        <f>AVERAGE(FCCL!G37,FCCL!H37)</f>
        <v>154240.745</v>
      </c>
      <c r="I960" s="164">
        <f t="shared" si="42"/>
        <v>0.57673689270626904</v>
      </c>
      <c r="J960" s="164">
        <v>0.57673689270626904</v>
      </c>
      <c r="K960" s="168">
        <f t="shared" si="43"/>
        <v>0</v>
      </c>
      <c r="L960" s="164">
        <v>0.08</v>
      </c>
      <c r="M960" s="154">
        <v>2</v>
      </c>
      <c r="N960" s="154" t="str">
        <f t="shared" si="44"/>
        <v>No fit</v>
      </c>
      <c r="O960" s="173" t="s">
        <v>6050</v>
      </c>
      <c r="P960" s="173" t="s">
        <v>6051</v>
      </c>
    </row>
    <row r="961" spans="1:16" ht="64.05" customHeight="1" x14ac:dyDescent="0.3">
      <c r="A961" s="151" t="s">
        <v>7637</v>
      </c>
      <c r="B961" s="151" t="s">
        <v>6020</v>
      </c>
      <c r="C961" s="151" t="s">
        <v>114</v>
      </c>
      <c r="D961" s="151">
        <v>2025</v>
      </c>
      <c r="E961" s="151" t="s">
        <v>196</v>
      </c>
      <c r="F961" s="174" t="s">
        <v>6009</v>
      </c>
      <c r="G961" s="167">
        <f>FCCL!H84</f>
        <v>88956.327999999994</v>
      </c>
      <c r="H961" s="167">
        <f>FCCL!H37</f>
        <v>160845.19100000002</v>
      </c>
      <c r="I961" s="165">
        <f t="shared" si="42"/>
        <v>0.55305556508680442</v>
      </c>
      <c r="J961" s="165">
        <v>0.55305556508680453</v>
      </c>
      <c r="K961" s="169">
        <f t="shared" si="43"/>
        <v>0</v>
      </c>
      <c r="L961" s="165">
        <v>0.08</v>
      </c>
      <c r="M961" s="151">
        <v>2</v>
      </c>
      <c r="N961" s="151" t="str">
        <f t="shared" si="44"/>
        <v>No fit</v>
      </c>
      <c r="O961" s="174" t="s">
        <v>7341</v>
      </c>
      <c r="P961" s="174" t="s">
        <v>7342</v>
      </c>
    </row>
    <row r="962" spans="1:16" ht="64.05" customHeight="1" x14ac:dyDescent="0.3">
      <c r="A962" s="154" t="s">
        <v>7638</v>
      </c>
      <c r="B962" s="154" t="s">
        <v>6020</v>
      </c>
      <c r="C962" s="154" t="s">
        <v>114</v>
      </c>
      <c r="D962" s="154">
        <v>2025</v>
      </c>
      <c r="E962" s="154" t="s">
        <v>196</v>
      </c>
      <c r="F962" s="173" t="s">
        <v>7344</v>
      </c>
      <c r="G962" s="166">
        <f>FCCL!H84</f>
        <v>88956.327999999994</v>
      </c>
      <c r="H962" s="166">
        <f>AVERAGE(FCCL!G37,FCCL!H37)</f>
        <v>154240.745</v>
      </c>
      <c r="I962" s="164">
        <f t="shared" si="42"/>
        <v>0.57673689270626904</v>
      </c>
      <c r="J962" s="164">
        <v>0.57673689270626904</v>
      </c>
      <c r="K962" s="168">
        <f t="shared" si="43"/>
        <v>0</v>
      </c>
      <c r="L962" s="164">
        <v>0.08</v>
      </c>
      <c r="M962" s="154">
        <v>2</v>
      </c>
      <c r="N962" s="154" t="str">
        <f t="shared" si="44"/>
        <v>No fit</v>
      </c>
      <c r="O962" s="173" t="s">
        <v>7345</v>
      </c>
      <c r="P962" s="173" t="s">
        <v>7342</v>
      </c>
    </row>
    <row r="963" spans="1:16" ht="64.05" customHeight="1" x14ac:dyDescent="0.3">
      <c r="A963" s="151" t="s">
        <v>7639</v>
      </c>
      <c r="B963" s="151" t="s">
        <v>6020</v>
      </c>
      <c r="C963" s="151" t="s">
        <v>114</v>
      </c>
      <c r="D963" s="151">
        <v>2025</v>
      </c>
      <c r="E963" s="151" t="s">
        <v>196</v>
      </c>
      <c r="F963" s="174" t="s">
        <v>6025</v>
      </c>
      <c r="G963" s="167">
        <f>FCCL!H84</f>
        <v>88956.327999999994</v>
      </c>
      <c r="H963" s="167">
        <f>FCCL!H20</f>
        <v>109579.08900000001</v>
      </c>
      <c r="I963" s="165">
        <f t="shared" si="42"/>
        <v>0.81180021491144161</v>
      </c>
      <c r="J963" s="165">
        <v>0.81180021491144161</v>
      </c>
      <c r="K963" s="169">
        <f t="shared" si="43"/>
        <v>0</v>
      </c>
      <c r="L963" s="165">
        <v>0.08</v>
      </c>
      <c r="M963" s="151">
        <v>2</v>
      </c>
      <c r="N963" s="151" t="str">
        <f t="shared" si="44"/>
        <v>No fit</v>
      </c>
      <c r="O963" s="174" t="s">
        <v>7347</v>
      </c>
      <c r="P963" s="174" t="s">
        <v>7342</v>
      </c>
    </row>
    <row r="964" spans="1:16" ht="64.05" customHeight="1" x14ac:dyDescent="0.3">
      <c r="A964" s="154" t="s">
        <v>7640</v>
      </c>
      <c r="B964" s="154" t="s">
        <v>6020</v>
      </c>
      <c r="C964" s="154" t="s">
        <v>114</v>
      </c>
      <c r="D964" s="154">
        <v>2025</v>
      </c>
      <c r="E964" s="154" t="s">
        <v>196</v>
      </c>
      <c r="F964" s="173" t="s">
        <v>7349</v>
      </c>
      <c r="G964" s="166">
        <f>FCCL!H84</f>
        <v>88956.327999999994</v>
      </c>
      <c r="H964" s="166">
        <f>AVERAGE(FCCL!G20,FCCL!H20)</f>
        <v>110212.376</v>
      </c>
      <c r="I964" s="164">
        <f t="shared" si="42"/>
        <v>0.80713556161787126</v>
      </c>
      <c r="J964" s="164">
        <v>0.80713556161787126</v>
      </c>
      <c r="K964" s="168">
        <f t="shared" si="43"/>
        <v>0</v>
      </c>
      <c r="L964" s="164">
        <v>0.08</v>
      </c>
      <c r="M964" s="154">
        <v>2</v>
      </c>
      <c r="N964" s="154" t="str">
        <f t="shared" si="44"/>
        <v>No fit</v>
      </c>
      <c r="O964" s="173" t="s">
        <v>7350</v>
      </c>
      <c r="P964" s="173" t="s">
        <v>7342</v>
      </c>
    </row>
    <row r="965" spans="1:16" ht="64.05" customHeight="1" x14ac:dyDescent="0.3">
      <c r="A965" s="151" t="s">
        <v>7641</v>
      </c>
      <c r="B965" s="151" t="s">
        <v>6020</v>
      </c>
      <c r="C965" s="151" t="s">
        <v>114</v>
      </c>
      <c r="D965" s="151">
        <v>2025</v>
      </c>
      <c r="E965" s="151" t="s">
        <v>196</v>
      </c>
      <c r="F965" s="174" t="s">
        <v>7352</v>
      </c>
      <c r="G965" s="167">
        <f>FCCL!H84</f>
        <v>88956.327999999994</v>
      </c>
      <c r="H965" s="167">
        <f>FCCL!H22</f>
        <v>109282.51500000001</v>
      </c>
      <c r="I965" s="165">
        <f t="shared" si="42"/>
        <v>0.81400330144305322</v>
      </c>
      <c r="J965" s="165">
        <v>0.81400330144305322</v>
      </c>
      <c r="K965" s="169">
        <f t="shared" si="43"/>
        <v>0</v>
      </c>
      <c r="L965" s="165">
        <v>0.08</v>
      </c>
      <c r="M965" s="151">
        <v>2</v>
      </c>
      <c r="N965" s="151" t="str">
        <f t="shared" si="44"/>
        <v>No fit</v>
      </c>
      <c r="O965" s="174" t="s">
        <v>7353</v>
      </c>
      <c r="P965" s="174" t="s">
        <v>7342</v>
      </c>
    </row>
    <row r="966" spans="1:16" ht="64.05" customHeight="1" x14ac:dyDescent="0.3">
      <c r="A966" s="154" t="s">
        <v>7642</v>
      </c>
      <c r="B966" s="154" t="s">
        <v>6020</v>
      </c>
      <c r="C966" s="154" t="s">
        <v>114</v>
      </c>
      <c r="D966" s="154">
        <v>2025</v>
      </c>
      <c r="E966" s="154" t="s">
        <v>196</v>
      </c>
      <c r="F966" s="173" t="s">
        <v>7355</v>
      </c>
      <c r="G966" s="166">
        <f>FCCL!H84</f>
        <v>88956.327999999994</v>
      </c>
      <c r="H966" s="166">
        <f>AVERAGE(FCCL!G22,FCCL!H22)</f>
        <v>109714.01250000001</v>
      </c>
      <c r="I966" s="164">
        <f t="shared" ref="I966:I1029" si="45">G966/H966</f>
        <v>0.81080188367005523</v>
      </c>
      <c r="J966" s="164">
        <v>0.81080188367005523</v>
      </c>
      <c r="K966" s="168">
        <f t="shared" ref="K966:K1029" si="46">I966-J966</f>
        <v>0</v>
      </c>
      <c r="L966" s="164">
        <v>0.08</v>
      </c>
      <c r="M966" s="154">
        <v>2</v>
      </c>
      <c r="N966" s="154" t="str">
        <f t="shared" ref="N966:N1029" si="47">IF(ROUND(I966,M966)=ROUND(L966,M966),"Numeric fit","No fit")</f>
        <v>No fit</v>
      </c>
      <c r="O966" s="173" t="s">
        <v>7356</v>
      </c>
      <c r="P966" s="173" t="s">
        <v>7342</v>
      </c>
    </row>
    <row r="967" spans="1:16" ht="64.05" customHeight="1" x14ac:dyDescent="0.3">
      <c r="A967" s="151" t="s">
        <v>7643</v>
      </c>
      <c r="B967" s="151" t="s">
        <v>6020</v>
      </c>
      <c r="C967" s="151" t="s">
        <v>114</v>
      </c>
      <c r="D967" s="151">
        <v>2025</v>
      </c>
      <c r="E967" s="151" t="s">
        <v>196</v>
      </c>
      <c r="F967" s="174" t="s">
        <v>7358</v>
      </c>
      <c r="G967" s="167">
        <f>FCCL!H84</f>
        <v>88956.327999999994</v>
      </c>
      <c r="H967" s="167">
        <f>FCCL!H28</f>
        <v>120372.62600000002</v>
      </c>
      <c r="I967" s="165">
        <f t="shared" si="45"/>
        <v>0.73900795351926596</v>
      </c>
      <c r="J967" s="165">
        <v>0.73900795351926596</v>
      </c>
      <c r="K967" s="169">
        <f t="shared" si="46"/>
        <v>0</v>
      </c>
      <c r="L967" s="165">
        <v>0.08</v>
      </c>
      <c r="M967" s="151">
        <v>2</v>
      </c>
      <c r="N967" s="151" t="str">
        <f t="shared" si="47"/>
        <v>No fit</v>
      </c>
      <c r="O967" s="174" t="s">
        <v>7359</v>
      </c>
      <c r="P967" s="174" t="s">
        <v>7342</v>
      </c>
    </row>
    <row r="968" spans="1:16" ht="64.05" customHeight="1" x14ac:dyDescent="0.3">
      <c r="A968" s="154" t="s">
        <v>7644</v>
      </c>
      <c r="B968" s="154" t="s">
        <v>6020</v>
      </c>
      <c r="C968" s="154" t="s">
        <v>114</v>
      </c>
      <c r="D968" s="154">
        <v>2025</v>
      </c>
      <c r="E968" s="154" t="s">
        <v>196</v>
      </c>
      <c r="F968" s="173" t="s">
        <v>7361</v>
      </c>
      <c r="G968" s="166">
        <f>FCCL!H84</f>
        <v>88956.327999999994</v>
      </c>
      <c r="H968" s="166">
        <f>AVERAGE(FCCL!G28,FCCL!H28)</f>
        <v>121112.427</v>
      </c>
      <c r="I968" s="164">
        <f t="shared" si="45"/>
        <v>0.73449381044936035</v>
      </c>
      <c r="J968" s="164">
        <v>0.73449381044936035</v>
      </c>
      <c r="K968" s="168">
        <f t="shared" si="46"/>
        <v>0</v>
      </c>
      <c r="L968" s="164">
        <v>0.08</v>
      </c>
      <c r="M968" s="154">
        <v>2</v>
      </c>
      <c r="N968" s="154" t="str">
        <f t="shared" si="47"/>
        <v>No fit</v>
      </c>
      <c r="O968" s="173" t="s">
        <v>7362</v>
      </c>
      <c r="P968" s="173" t="s">
        <v>7342</v>
      </c>
    </row>
    <row r="969" spans="1:16" ht="64.05" customHeight="1" x14ac:dyDescent="0.3">
      <c r="A969" s="151" t="s">
        <v>7645</v>
      </c>
      <c r="B969" s="151" t="s">
        <v>6020</v>
      </c>
      <c r="C969" s="151" t="s">
        <v>114</v>
      </c>
      <c r="D969" s="151">
        <v>2025</v>
      </c>
      <c r="E969" s="151" t="s">
        <v>196</v>
      </c>
      <c r="F969" s="174" t="s">
        <v>7364</v>
      </c>
      <c r="G969" s="167">
        <f>FCCL!H84</f>
        <v>88956.327999999994</v>
      </c>
      <c r="H969" s="167">
        <f>'Forensic Inputs'!$G$106</f>
        <v>140843.77100000001</v>
      </c>
      <c r="I969" s="165">
        <f t="shared" si="45"/>
        <v>0.63159575583928373</v>
      </c>
      <c r="J969" s="165">
        <v>0.63159575583928373</v>
      </c>
      <c r="K969" s="169">
        <f t="shared" si="46"/>
        <v>0</v>
      </c>
      <c r="L969" s="165">
        <v>0.08</v>
      </c>
      <c r="M969" s="151">
        <v>2</v>
      </c>
      <c r="N969" s="151" t="str">
        <f t="shared" si="47"/>
        <v>No fit</v>
      </c>
      <c r="O969" s="174" t="s">
        <v>7646</v>
      </c>
      <c r="P969" s="174" t="s">
        <v>7342</v>
      </c>
    </row>
    <row r="970" spans="1:16" ht="64.05" customHeight="1" x14ac:dyDescent="0.3">
      <c r="A970" s="154" t="s">
        <v>7647</v>
      </c>
      <c r="B970" s="154" t="s">
        <v>6020</v>
      </c>
      <c r="C970" s="154" t="s">
        <v>114</v>
      </c>
      <c r="D970" s="154">
        <v>2025</v>
      </c>
      <c r="E970" s="154" t="s">
        <v>196</v>
      </c>
      <c r="F970" s="173" t="s">
        <v>7367</v>
      </c>
      <c r="G970" s="166">
        <f>FCCL!H84</f>
        <v>88956.327999999994</v>
      </c>
      <c r="H970" s="166">
        <f>('Forensic Inputs'!$G$106-FCCL!H21)</f>
        <v>140547.19700000001</v>
      </c>
      <c r="I970" s="164">
        <f t="shared" si="45"/>
        <v>0.63292851012887852</v>
      </c>
      <c r="J970" s="164">
        <v>0.63292851012887852</v>
      </c>
      <c r="K970" s="168">
        <f t="shared" si="46"/>
        <v>0</v>
      </c>
      <c r="L970" s="164">
        <v>0.08</v>
      </c>
      <c r="M970" s="154">
        <v>2</v>
      </c>
      <c r="N970" s="154" t="str">
        <f t="shared" si="47"/>
        <v>No fit</v>
      </c>
      <c r="O970" s="173" t="s">
        <v>7648</v>
      </c>
      <c r="P970" s="173" t="s">
        <v>7342</v>
      </c>
    </row>
    <row r="971" spans="1:16" ht="64.05" customHeight="1" x14ac:dyDescent="0.3">
      <c r="A971" s="151" t="s">
        <v>7649</v>
      </c>
      <c r="B971" s="151" t="s">
        <v>6020</v>
      </c>
      <c r="C971" s="151" t="s">
        <v>114</v>
      </c>
      <c r="D971" s="151">
        <v>2025</v>
      </c>
      <c r="E971" s="151" t="s">
        <v>196</v>
      </c>
      <c r="F971" s="174" t="s">
        <v>7370</v>
      </c>
      <c r="G971" s="167">
        <f>FCCL!H84</f>
        <v>88956.327999999994</v>
      </c>
      <c r="H971" s="167">
        <f>AVERAGE('Forensic Inputs'!$G$104,'Forensic Inputs'!$G$106)</f>
        <v>139217.29800000001</v>
      </c>
      <c r="I971" s="165">
        <f t="shared" si="45"/>
        <v>0.63897467683936793</v>
      </c>
      <c r="J971" s="165">
        <v>0.63897467683936793</v>
      </c>
      <c r="K971" s="169">
        <f t="shared" si="46"/>
        <v>0</v>
      </c>
      <c r="L971" s="165">
        <v>0.08</v>
      </c>
      <c r="M971" s="151">
        <v>2</v>
      </c>
      <c r="N971" s="151" t="str">
        <f t="shared" si="47"/>
        <v>No fit</v>
      </c>
      <c r="O971" s="174" t="s">
        <v>7650</v>
      </c>
      <c r="P971" s="174" t="s">
        <v>7342</v>
      </c>
    </row>
    <row r="972" spans="1:16" ht="64.05" customHeight="1" x14ac:dyDescent="0.3">
      <c r="A972" s="154" t="s">
        <v>7651</v>
      </c>
      <c r="B972" s="154" t="s">
        <v>6020</v>
      </c>
      <c r="C972" s="154" t="s">
        <v>114</v>
      </c>
      <c r="D972" s="154">
        <v>2025</v>
      </c>
      <c r="E972" s="154" t="s">
        <v>196</v>
      </c>
      <c r="F972" s="173" t="s">
        <v>7373</v>
      </c>
      <c r="G972" s="166">
        <f>FCCL!H99</f>
        <v>13326.20199999999</v>
      </c>
      <c r="H972" s="166">
        <f>FCCL!H37</f>
        <v>160845.19100000002</v>
      </c>
      <c r="I972" s="164">
        <f t="shared" si="45"/>
        <v>8.2851106191915852E-2</v>
      </c>
      <c r="J972" s="164">
        <v>8.2851106191915894E-2</v>
      </c>
      <c r="K972" s="168">
        <f t="shared" si="46"/>
        <v>0</v>
      </c>
      <c r="L972" s="164">
        <v>0.08</v>
      </c>
      <c r="M972" s="154">
        <v>2</v>
      </c>
      <c r="N972" s="154" t="str">
        <f t="shared" si="47"/>
        <v>Numeric fit</v>
      </c>
      <c r="O972" s="173" t="s">
        <v>7374</v>
      </c>
      <c r="P972" s="173" t="s">
        <v>7342</v>
      </c>
    </row>
    <row r="973" spans="1:16" ht="64.05" customHeight="1" x14ac:dyDescent="0.3">
      <c r="A973" s="151" t="s">
        <v>7652</v>
      </c>
      <c r="B973" s="151" t="s">
        <v>6020</v>
      </c>
      <c r="C973" s="151" t="s">
        <v>114</v>
      </c>
      <c r="D973" s="151">
        <v>2025</v>
      </c>
      <c r="E973" s="151" t="s">
        <v>196</v>
      </c>
      <c r="F973" s="174" t="s">
        <v>7376</v>
      </c>
      <c r="G973" s="167">
        <f>FCCL!H99</f>
        <v>13326.20199999999</v>
      </c>
      <c r="H973" s="167">
        <f>AVERAGE(FCCL!G37,FCCL!H37)</f>
        <v>154240.745</v>
      </c>
      <c r="I973" s="165">
        <f t="shared" si="45"/>
        <v>8.6398713906626887E-2</v>
      </c>
      <c r="J973" s="165">
        <v>8.6398713906626901E-2</v>
      </c>
      <c r="K973" s="169">
        <f t="shared" si="46"/>
        <v>0</v>
      </c>
      <c r="L973" s="165">
        <v>0.08</v>
      </c>
      <c r="M973" s="151">
        <v>2</v>
      </c>
      <c r="N973" s="151" t="str">
        <f t="shared" si="47"/>
        <v>No fit</v>
      </c>
      <c r="O973" s="174" t="s">
        <v>7377</v>
      </c>
      <c r="P973" s="174" t="s">
        <v>7342</v>
      </c>
    </row>
    <row r="974" spans="1:16" ht="64.05" customHeight="1" x14ac:dyDescent="0.3">
      <c r="A974" s="154" t="s">
        <v>7653</v>
      </c>
      <c r="B974" s="154" t="s">
        <v>6020</v>
      </c>
      <c r="C974" s="154" t="s">
        <v>114</v>
      </c>
      <c r="D974" s="154">
        <v>2025</v>
      </c>
      <c r="E974" s="154" t="s">
        <v>196</v>
      </c>
      <c r="F974" s="173" t="s">
        <v>7379</v>
      </c>
      <c r="G974" s="166">
        <f>FCCL!H99</f>
        <v>13326.20199999999</v>
      </c>
      <c r="H974" s="166">
        <f>FCCL!H20</f>
        <v>109579.08900000001</v>
      </c>
      <c r="I974" s="164">
        <f t="shared" si="45"/>
        <v>0.1216126372432243</v>
      </c>
      <c r="J974" s="164">
        <v>0.12161263724322433</v>
      </c>
      <c r="K974" s="168">
        <f t="shared" si="46"/>
        <v>0</v>
      </c>
      <c r="L974" s="164">
        <v>0.08</v>
      </c>
      <c r="M974" s="154">
        <v>2</v>
      </c>
      <c r="N974" s="154" t="str">
        <f t="shared" si="47"/>
        <v>No fit</v>
      </c>
      <c r="O974" s="173" t="s">
        <v>7380</v>
      </c>
      <c r="P974" s="173" t="s">
        <v>7342</v>
      </c>
    </row>
    <row r="975" spans="1:16" ht="64.05" customHeight="1" x14ac:dyDescent="0.3">
      <c r="A975" s="151" t="s">
        <v>7654</v>
      </c>
      <c r="B975" s="151" t="s">
        <v>6020</v>
      </c>
      <c r="C975" s="151" t="s">
        <v>114</v>
      </c>
      <c r="D975" s="151">
        <v>2025</v>
      </c>
      <c r="E975" s="151" t="s">
        <v>196</v>
      </c>
      <c r="F975" s="174" t="s">
        <v>7382</v>
      </c>
      <c r="G975" s="167">
        <f>FCCL!H99</f>
        <v>13326.20199999999</v>
      </c>
      <c r="H975" s="167">
        <f>AVERAGE(FCCL!G20,FCCL!H20)</f>
        <v>110212.376</v>
      </c>
      <c r="I975" s="165">
        <f t="shared" si="45"/>
        <v>0.12091384365037181</v>
      </c>
      <c r="J975" s="165">
        <v>0.12091384365037183</v>
      </c>
      <c r="K975" s="169">
        <f t="shared" si="46"/>
        <v>0</v>
      </c>
      <c r="L975" s="165">
        <v>0.08</v>
      </c>
      <c r="M975" s="151">
        <v>2</v>
      </c>
      <c r="N975" s="151" t="str">
        <f t="shared" si="47"/>
        <v>No fit</v>
      </c>
      <c r="O975" s="174" t="s">
        <v>7383</v>
      </c>
      <c r="P975" s="174" t="s">
        <v>7342</v>
      </c>
    </row>
    <row r="976" spans="1:16" ht="64.05" customHeight="1" x14ac:dyDescent="0.3">
      <c r="A976" s="154" t="s">
        <v>7655</v>
      </c>
      <c r="B976" s="154" t="s">
        <v>6020</v>
      </c>
      <c r="C976" s="154" t="s">
        <v>114</v>
      </c>
      <c r="D976" s="154">
        <v>2025</v>
      </c>
      <c r="E976" s="154" t="s">
        <v>196</v>
      </c>
      <c r="F976" s="173" t="s">
        <v>7385</v>
      </c>
      <c r="G976" s="166">
        <f>FCCL!H99</f>
        <v>13326.20199999999</v>
      </c>
      <c r="H976" s="166">
        <f>FCCL!H22</f>
        <v>109282.51500000001</v>
      </c>
      <c r="I976" s="164">
        <f t="shared" si="45"/>
        <v>0.12194267307995235</v>
      </c>
      <c r="J976" s="164">
        <v>0.12194267307995238</v>
      </c>
      <c r="K976" s="168">
        <f t="shared" si="46"/>
        <v>0</v>
      </c>
      <c r="L976" s="164">
        <v>0.08</v>
      </c>
      <c r="M976" s="154">
        <v>2</v>
      </c>
      <c r="N976" s="154" t="str">
        <f t="shared" si="47"/>
        <v>No fit</v>
      </c>
      <c r="O976" s="173" t="s">
        <v>7386</v>
      </c>
      <c r="P976" s="173" t="s">
        <v>7342</v>
      </c>
    </row>
    <row r="977" spans="1:16" ht="64.05" customHeight="1" x14ac:dyDescent="0.3">
      <c r="A977" s="151" t="s">
        <v>7656</v>
      </c>
      <c r="B977" s="151" t="s">
        <v>6020</v>
      </c>
      <c r="C977" s="151" t="s">
        <v>114</v>
      </c>
      <c r="D977" s="151">
        <v>2025</v>
      </c>
      <c r="E977" s="151" t="s">
        <v>196</v>
      </c>
      <c r="F977" s="174" t="s">
        <v>7388</v>
      </c>
      <c r="G977" s="167">
        <f>FCCL!H99</f>
        <v>13326.20199999999</v>
      </c>
      <c r="H977" s="167">
        <f>AVERAGE(FCCL!G22,FCCL!H22)</f>
        <v>109714.01250000001</v>
      </c>
      <c r="I977" s="165">
        <f t="shared" si="45"/>
        <v>0.12146308111737313</v>
      </c>
      <c r="J977" s="165">
        <v>0.12146308111737315</v>
      </c>
      <c r="K977" s="169">
        <f t="shared" si="46"/>
        <v>0</v>
      </c>
      <c r="L977" s="165">
        <v>0.08</v>
      </c>
      <c r="M977" s="151">
        <v>2</v>
      </c>
      <c r="N977" s="151" t="str">
        <f t="shared" si="47"/>
        <v>No fit</v>
      </c>
      <c r="O977" s="174" t="s">
        <v>7389</v>
      </c>
      <c r="P977" s="174" t="s">
        <v>7342</v>
      </c>
    </row>
    <row r="978" spans="1:16" ht="64.05" customHeight="1" x14ac:dyDescent="0.3">
      <c r="A978" s="154" t="s">
        <v>7657</v>
      </c>
      <c r="B978" s="154" t="s">
        <v>6020</v>
      </c>
      <c r="C978" s="154" t="s">
        <v>114</v>
      </c>
      <c r="D978" s="154">
        <v>2025</v>
      </c>
      <c r="E978" s="154" t="s">
        <v>196</v>
      </c>
      <c r="F978" s="173" t="s">
        <v>7391</v>
      </c>
      <c r="G978" s="166">
        <f>FCCL!H99</f>
        <v>13326.20199999999</v>
      </c>
      <c r="H978" s="166">
        <f>FCCL!H28</f>
        <v>120372.62600000002</v>
      </c>
      <c r="I978" s="164">
        <f t="shared" si="45"/>
        <v>0.11070791128208823</v>
      </c>
      <c r="J978" s="164">
        <v>0.11070791128208829</v>
      </c>
      <c r="K978" s="168">
        <f t="shared" si="46"/>
        <v>0</v>
      </c>
      <c r="L978" s="164">
        <v>0.08</v>
      </c>
      <c r="M978" s="154">
        <v>2</v>
      </c>
      <c r="N978" s="154" t="str">
        <f t="shared" si="47"/>
        <v>No fit</v>
      </c>
      <c r="O978" s="173" t="s">
        <v>7392</v>
      </c>
      <c r="P978" s="173" t="s">
        <v>7342</v>
      </c>
    </row>
    <row r="979" spans="1:16" ht="64.05" customHeight="1" x14ac:dyDescent="0.3">
      <c r="A979" s="151" t="s">
        <v>7658</v>
      </c>
      <c r="B979" s="151" t="s">
        <v>6020</v>
      </c>
      <c r="C979" s="151" t="s">
        <v>114</v>
      </c>
      <c r="D979" s="151">
        <v>2025</v>
      </c>
      <c r="E979" s="151" t="s">
        <v>196</v>
      </c>
      <c r="F979" s="174" t="s">
        <v>7394</v>
      </c>
      <c r="G979" s="167">
        <f>FCCL!H99</f>
        <v>13326.20199999999</v>
      </c>
      <c r="H979" s="167">
        <f>AVERAGE(FCCL!G28,FCCL!H28)</f>
        <v>121112.427</v>
      </c>
      <c r="I979" s="165">
        <f t="shared" si="45"/>
        <v>0.110031665041276</v>
      </c>
      <c r="J979" s="165">
        <v>0.11003166504127602</v>
      </c>
      <c r="K979" s="169">
        <f t="shared" si="46"/>
        <v>0</v>
      </c>
      <c r="L979" s="165">
        <v>0.08</v>
      </c>
      <c r="M979" s="151">
        <v>2</v>
      </c>
      <c r="N979" s="151" t="str">
        <f t="shared" si="47"/>
        <v>No fit</v>
      </c>
      <c r="O979" s="174" t="s">
        <v>7395</v>
      </c>
      <c r="P979" s="174" t="s">
        <v>7342</v>
      </c>
    </row>
    <row r="980" spans="1:16" ht="64.05" customHeight="1" x14ac:dyDescent="0.3">
      <c r="A980" s="154" t="s">
        <v>7659</v>
      </c>
      <c r="B980" s="154" t="s">
        <v>6020</v>
      </c>
      <c r="C980" s="154" t="s">
        <v>114</v>
      </c>
      <c r="D980" s="154">
        <v>2025</v>
      </c>
      <c r="E980" s="154" t="s">
        <v>196</v>
      </c>
      <c r="F980" s="173" t="s">
        <v>7397</v>
      </c>
      <c r="G980" s="166">
        <f>FCCL!H99</f>
        <v>13326.20199999999</v>
      </c>
      <c r="H980" s="166">
        <f>'Forensic Inputs'!$G$106</f>
        <v>140843.77100000001</v>
      </c>
      <c r="I980" s="164">
        <f t="shared" si="45"/>
        <v>9.4616907126123376E-2</v>
      </c>
      <c r="J980" s="164">
        <v>9.4616907126123403E-2</v>
      </c>
      <c r="K980" s="168">
        <f t="shared" si="46"/>
        <v>0</v>
      </c>
      <c r="L980" s="164">
        <v>0.08</v>
      </c>
      <c r="M980" s="154">
        <v>2</v>
      </c>
      <c r="N980" s="154" t="str">
        <f t="shared" si="47"/>
        <v>No fit</v>
      </c>
      <c r="O980" s="173" t="s">
        <v>7660</v>
      </c>
      <c r="P980" s="173" t="s">
        <v>7342</v>
      </c>
    </row>
    <row r="981" spans="1:16" ht="64.05" customHeight="1" x14ac:dyDescent="0.3">
      <c r="A981" s="151" t="s">
        <v>7661</v>
      </c>
      <c r="B981" s="151" t="s">
        <v>6020</v>
      </c>
      <c r="C981" s="151" t="s">
        <v>114</v>
      </c>
      <c r="D981" s="151">
        <v>2025</v>
      </c>
      <c r="E981" s="151" t="s">
        <v>196</v>
      </c>
      <c r="F981" s="174" t="s">
        <v>7400</v>
      </c>
      <c r="G981" s="167">
        <f>FCCL!H99</f>
        <v>13326.20199999999</v>
      </c>
      <c r="H981" s="167">
        <f>('Forensic Inputs'!$G$106-FCCL!H21)</f>
        <v>140547.19700000001</v>
      </c>
      <c r="I981" s="165">
        <f t="shared" si="45"/>
        <v>9.4816561869960236E-2</v>
      </c>
      <c r="J981" s="165">
        <v>9.481656186996025E-2</v>
      </c>
      <c r="K981" s="169">
        <f t="shared" si="46"/>
        <v>0</v>
      </c>
      <c r="L981" s="165">
        <v>0.08</v>
      </c>
      <c r="M981" s="151">
        <v>2</v>
      </c>
      <c r="N981" s="151" t="str">
        <f t="shared" si="47"/>
        <v>No fit</v>
      </c>
      <c r="O981" s="174" t="s">
        <v>7662</v>
      </c>
      <c r="P981" s="174" t="s">
        <v>7342</v>
      </c>
    </row>
    <row r="982" spans="1:16" ht="64.05" customHeight="1" x14ac:dyDescent="0.3">
      <c r="A982" s="154" t="s">
        <v>7663</v>
      </c>
      <c r="B982" s="154" t="s">
        <v>6020</v>
      </c>
      <c r="C982" s="154" t="s">
        <v>114</v>
      </c>
      <c r="D982" s="154">
        <v>2025</v>
      </c>
      <c r="E982" s="154" t="s">
        <v>196</v>
      </c>
      <c r="F982" s="173" t="s">
        <v>7403</v>
      </c>
      <c r="G982" s="166">
        <f>FCCL!H99</f>
        <v>13326.20199999999</v>
      </c>
      <c r="H982" s="166">
        <f>AVERAGE('Forensic Inputs'!$G$104,'Forensic Inputs'!$G$106)</f>
        <v>139217.29800000001</v>
      </c>
      <c r="I982" s="164">
        <f t="shared" si="45"/>
        <v>9.572231462213833E-2</v>
      </c>
      <c r="J982" s="164">
        <v>9.5722314622138358E-2</v>
      </c>
      <c r="K982" s="168">
        <f t="shared" si="46"/>
        <v>0</v>
      </c>
      <c r="L982" s="164">
        <v>0.08</v>
      </c>
      <c r="M982" s="154">
        <v>2</v>
      </c>
      <c r="N982" s="154" t="str">
        <f t="shared" si="47"/>
        <v>No fit</v>
      </c>
      <c r="O982" s="173" t="s">
        <v>7664</v>
      </c>
      <c r="P982" s="173" t="s">
        <v>7342</v>
      </c>
    </row>
    <row r="983" spans="1:16" ht="64.05" customHeight="1" x14ac:dyDescent="0.3">
      <c r="A983" s="151" t="s">
        <v>7665</v>
      </c>
      <c r="B983" s="151" t="s">
        <v>6020</v>
      </c>
      <c r="C983" s="151" t="s">
        <v>114</v>
      </c>
      <c r="D983" s="151">
        <v>2025</v>
      </c>
      <c r="E983" s="151" t="s">
        <v>196</v>
      </c>
      <c r="F983" s="174" t="s">
        <v>7406</v>
      </c>
      <c r="G983" s="167">
        <f>FCCL!H96</f>
        <v>21525.51999999999</v>
      </c>
      <c r="H983" s="167">
        <f>FCCL!H37</f>
        <v>160845.19100000002</v>
      </c>
      <c r="I983" s="165">
        <f t="shared" si="45"/>
        <v>0.133827563424013</v>
      </c>
      <c r="J983" s="165">
        <v>0.13382756342401306</v>
      </c>
      <c r="K983" s="169">
        <f t="shared" si="46"/>
        <v>0</v>
      </c>
      <c r="L983" s="165">
        <v>0.08</v>
      </c>
      <c r="M983" s="151">
        <v>2</v>
      </c>
      <c r="N983" s="151" t="str">
        <f t="shared" si="47"/>
        <v>No fit</v>
      </c>
      <c r="O983" s="174" t="s">
        <v>7407</v>
      </c>
      <c r="P983" s="174" t="s">
        <v>7342</v>
      </c>
    </row>
    <row r="984" spans="1:16" ht="64.05" customHeight="1" x14ac:dyDescent="0.3">
      <c r="A984" s="154" t="s">
        <v>7666</v>
      </c>
      <c r="B984" s="154" t="s">
        <v>6020</v>
      </c>
      <c r="C984" s="154" t="s">
        <v>114</v>
      </c>
      <c r="D984" s="154">
        <v>2025</v>
      </c>
      <c r="E984" s="154" t="s">
        <v>196</v>
      </c>
      <c r="F984" s="173" t="s">
        <v>7409</v>
      </c>
      <c r="G984" s="166">
        <f>FCCL!H96</f>
        <v>21525.51999999999</v>
      </c>
      <c r="H984" s="166">
        <f>AVERAGE(FCCL!G37,FCCL!H37)</f>
        <v>154240.745</v>
      </c>
      <c r="I984" s="164">
        <f t="shared" si="45"/>
        <v>0.13955793587485582</v>
      </c>
      <c r="J984" s="164">
        <v>0.13955793587485585</v>
      </c>
      <c r="K984" s="168">
        <f t="shared" si="46"/>
        <v>0</v>
      </c>
      <c r="L984" s="164">
        <v>0.08</v>
      </c>
      <c r="M984" s="154">
        <v>2</v>
      </c>
      <c r="N984" s="154" t="str">
        <f t="shared" si="47"/>
        <v>No fit</v>
      </c>
      <c r="O984" s="173" t="s">
        <v>7410</v>
      </c>
      <c r="P984" s="173" t="s">
        <v>7342</v>
      </c>
    </row>
    <row r="985" spans="1:16" ht="64.05" customHeight="1" x14ac:dyDescent="0.3">
      <c r="A985" s="151" t="s">
        <v>7667</v>
      </c>
      <c r="B985" s="151" t="s">
        <v>6020</v>
      </c>
      <c r="C985" s="151" t="s">
        <v>114</v>
      </c>
      <c r="D985" s="151">
        <v>2025</v>
      </c>
      <c r="E985" s="151" t="s">
        <v>196</v>
      </c>
      <c r="F985" s="174" t="s">
        <v>7412</v>
      </c>
      <c r="G985" s="167">
        <f>FCCL!H96</f>
        <v>21525.51999999999</v>
      </c>
      <c r="H985" s="167">
        <f>FCCL!H20</f>
        <v>109579.08900000001</v>
      </c>
      <c r="I985" s="165">
        <f t="shared" si="45"/>
        <v>0.1964382091185298</v>
      </c>
      <c r="J985" s="165">
        <v>0.19643820911852983</v>
      </c>
      <c r="K985" s="169">
        <f t="shared" si="46"/>
        <v>0</v>
      </c>
      <c r="L985" s="165">
        <v>0.08</v>
      </c>
      <c r="M985" s="151">
        <v>2</v>
      </c>
      <c r="N985" s="151" t="str">
        <f t="shared" si="47"/>
        <v>No fit</v>
      </c>
      <c r="O985" s="174" t="s">
        <v>7413</v>
      </c>
      <c r="P985" s="174" t="s">
        <v>7342</v>
      </c>
    </row>
    <row r="986" spans="1:16" ht="64.05" customHeight="1" x14ac:dyDescent="0.3">
      <c r="A986" s="154" t="s">
        <v>7668</v>
      </c>
      <c r="B986" s="154" t="s">
        <v>6020</v>
      </c>
      <c r="C986" s="154" t="s">
        <v>114</v>
      </c>
      <c r="D986" s="154">
        <v>2025</v>
      </c>
      <c r="E986" s="154" t="s">
        <v>196</v>
      </c>
      <c r="F986" s="173" t="s">
        <v>7415</v>
      </c>
      <c r="G986" s="166">
        <f>FCCL!H96</f>
        <v>21525.51999999999</v>
      </c>
      <c r="H986" s="166">
        <f>AVERAGE(FCCL!G20,FCCL!H20)</f>
        <v>110212.376</v>
      </c>
      <c r="I986" s="164">
        <f t="shared" si="45"/>
        <v>0.19530946324939033</v>
      </c>
      <c r="J986" s="164">
        <v>0.19530946324939036</v>
      </c>
      <c r="K986" s="168">
        <f t="shared" si="46"/>
        <v>0</v>
      </c>
      <c r="L986" s="164">
        <v>0.08</v>
      </c>
      <c r="M986" s="154">
        <v>2</v>
      </c>
      <c r="N986" s="154" t="str">
        <f t="shared" si="47"/>
        <v>No fit</v>
      </c>
      <c r="O986" s="173" t="s">
        <v>7416</v>
      </c>
      <c r="P986" s="173" t="s">
        <v>7342</v>
      </c>
    </row>
    <row r="987" spans="1:16" ht="64.05" customHeight="1" x14ac:dyDescent="0.3">
      <c r="A987" s="151" t="s">
        <v>7669</v>
      </c>
      <c r="B987" s="151" t="s">
        <v>6020</v>
      </c>
      <c r="C987" s="151" t="s">
        <v>114</v>
      </c>
      <c r="D987" s="151">
        <v>2025</v>
      </c>
      <c r="E987" s="151" t="s">
        <v>196</v>
      </c>
      <c r="F987" s="174" t="s">
        <v>7418</v>
      </c>
      <c r="G987" s="167">
        <f>FCCL!H96</f>
        <v>21525.51999999999</v>
      </c>
      <c r="H987" s="167">
        <f>FCCL!H22</f>
        <v>109282.51500000001</v>
      </c>
      <c r="I987" s="165">
        <f t="shared" si="45"/>
        <v>0.19697130872216828</v>
      </c>
      <c r="J987" s="165">
        <v>0.19697130872216831</v>
      </c>
      <c r="K987" s="169">
        <f t="shared" si="46"/>
        <v>0</v>
      </c>
      <c r="L987" s="165">
        <v>0.08</v>
      </c>
      <c r="M987" s="151">
        <v>2</v>
      </c>
      <c r="N987" s="151" t="str">
        <f t="shared" si="47"/>
        <v>No fit</v>
      </c>
      <c r="O987" s="174" t="s">
        <v>7419</v>
      </c>
      <c r="P987" s="174" t="s">
        <v>7342</v>
      </c>
    </row>
    <row r="988" spans="1:16" ht="64.05" customHeight="1" x14ac:dyDescent="0.3">
      <c r="A988" s="154" t="s">
        <v>7670</v>
      </c>
      <c r="B988" s="154" t="s">
        <v>6020</v>
      </c>
      <c r="C988" s="154" t="s">
        <v>114</v>
      </c>
      <c r="D988" s="154">
        <v>2025</v>
      </c>
      <c r="E988" s="154" t="s">
        <v>196</v>
      </c>
      <c r="F988" s="173" t="s">
        <v>7421</v>
      </c>
      <c r="G988" s="166">
        <f>FCCL!H96</f>
        <v>21525.51999999999</v>
      </c>
      <c r="H988" s="166">
        <f>AVERAGE(FCCL!G22,FCCL!H22)</f>
        <v>109714.01250000001</v>
      </c>
      <c r="I988" s="164">
        <f t="shared" si="45"/>
        <v>0.19619663440893648</v>
      </c>
      <c r="J988" s="164">
        <v>0.1961966344089365</v>
      </c>
      <c r="K988" s="168">
        <f t="shared" si="46"/>
        <v>0</v>
      </c>
      <c r="L988" s="164">
        <v>0.08</v>
      </c>
      <c r="M988" s="154">
        <v>2</v>
      </c>
      <c r="N988" s="154" t="str">
        <f t="shared" si="47"/>
        <v>No fit</v>
      </c>
      <c r="O988" s="173" t="s">
        <v>7422</v>
      </c>
      <c r="P988" s="173" t="s">
        <v>7342</v>
      </c>
    </row>
    <row r="989" spans="1:16" ht="64.05" customHeight="1" x14ac:dyDescent="0.3">
      <c r="A989" s="151" t="s">
        <v>7671</v>
      </c>
      <c r="B989" s="151" t="s">
        <v>6020</v>
      </c>
      <c r="C989" s="151" t="s">
        <v>114</v>
      </c>
      <c r="D989" s="151">
        <v>2025</v>
      </c>
      <c r="E989" s="151" t="s">
        <v>196</v>
      </c>
      <c r="F989" s="174" t="s">
        <v>7424</v>
      </c>
      <c r="G989" s="167">
        <f>FCCL!H96</f>
        <v>21525.51999999999</v>
      </c>
      <c r="H989" s="167">
        <f>FCCL!H28</f>
        <v>120372.62600000002</v>
      </c>
      <c r="I989" s="165">
        <f t="shared" si="45"/>
        <v>0.17882404592552451</v>
      </c>
      <c r="J989" s="165">
        <v>0.17882404592552456</v>
      </c>
      <c r="K989" s="169">
        <f t="shared" si="46"/>
        <v>0</v>
      </c>
      <c r="L989" s="165">
        <v>0.08</v>
      </c>
      <c r="M989" s="151">
        <v>2</v>
      </c>
      <c r="N989" s="151" t="str">
        <f t="shared" si="47"/>
        <v>No fit</v>
      </c>
      <c r="O989" s="174" t="s">
        <v>7425</v>
      </c>
      <c r="P989" s="174" t="s">
        <v>7342</v>
      </c>
    </row>
    <row r="990" spans="1:16" ht="64.05" customHeight="1" x14ac:dyDescent="0.3">
      <c r="A990" s="154" t="s">
        <v>7672</v>
      </c>
      <c r="B990" s="154" t="s">
        <v>6020</v>
      </c>
      <c r="C990" s="154" t="s">
        <v>114</v>
      </c>
      <c r="D990" s="154">
        <v>2025</v>
      </c>
      <c r="E990" s="154" t="s">
        <v>196</v>
      </c>
      <c r="F990" s="173" t="s">
        <v>7427</v>
      </c>
      <c r="G990" s="166">
        <f>FCCL!H96</f>
        <v>21525.51999999999</v>
      </c>
      <c r="H990" s="166">
        <f>AVERAGE(FCCL!G28,FCCL!H28)</f>
        <v>121112.427</v>
      </c>
      <c r="I990" s="164">
        <f t="shared" si="45"/>
        <v>0.17773172029654719</v>
      </c>
      <c r="J990" s="164">
        <v>0.17773172029654721</v>
      </c>
      <c r="K990" s="168">
        <f t="shared" si="46"/>
        <v>0</v>
      </c>
      <c r="L990" s="164">
        <v>0.08</v>
      </c>
      <c r="M990" s="154">
        <v>2</v>
      </c>
      <c r="N990" s="154" t="str">
        <f t="shared" si="47"/>
        <v>No fit</v>
      </c>
      <c r="O990" s="173" t="s">
        <v>7428</v>
      </c>
      <c r="P990" s="173" t="s">
        <v>7342</v>
      </c>
    </row>
    <row r="991" spans="1:16" ht="64.05" customHeight="1" x14ac:dyDescent="0.3">
      <c r="A991" s="151" t="s">
        <v>7673</v>
      </c>
      <c r="B991" s="151" t="s">
        <v>6020</v>
      </c>
      <c r="C991" s="151" t="s">
        <v>114</v>
      </c>
      <c r="D991" s="151">
        <v>2025</v>
      </c>
      <c r="E991" s="151" t="s">
        <v>196</v>
      </c>
      <c r="F991" s="174" t="s">
        <v>7430</v>
      </c>
      <c r="G991" s="167">
        <f>FCCL!H96</f>
        <v>21525.51999999999</v>
      </c>
      <c r="H991" s="167">
        <f>'Forensic Inputs'!$G$106</f>
        <v>140843.77100000001</v>
      </c>
      <c r="I991" s="165">
        <f t="shared" si="45"/>
        <v>0.15283260201830287</v>
      </c>
      <c r="J991" s="165">
        <v>0.1528326020183029</v>
      </c>
      <c r="K991" s="169">
        <f t="shared" si="46"/>
        <v>0</v>
      </c>
      <c r="L991" s="165">
        <v>0.08</v>
      </c>
      <c r="M991" s="151">
        <v>2</v>
      </c>
      <c r="N991" s="151" t="str">
        <f t="shared" si="47"/>
        <v>No fit</v>
      </c>
      <c r="O991" s="174" t="s">
        <v>7674</v>
      </c>
      <c r="P991" s="174" t="s">
        <v>7342</v>
      </c>
    </row>
    <row r="992" spans="1:16" ht="64.05" customHeight="1" x14ac:dyDescent="0.3">
      <c r="A992" s="154" t="s">
        <v>7675</v>
      </c>
      <c r="B992" s="154" t="s">
        <v>6020</v>
      </c>
      <c r="C992" s="154" t="s">
        <v>114</v>
      </c>
      <c r="D992" s="154">
        <v>2025</v>
      </c>
      <c r="E992" s="154" t="s">
        <v>196</v>
      </c>
      <c r="F992" s="173" t="s">
        <v>7433</v>
      </c>
      <c r="G992" s="166">
        <f>FCCL!H96</f>
        <v>21525.51999999999</v>
      </c>
      <c r="H992" s="166">
        <f>('Forensic Inputs'!$G$106-FCCL!H21)</f>
        <v>140547.19700000001</v>
      </c>
      <c r="I992" s="164">
        <f t="shared" si="45"/>
        <v>0.15315509991992218</v>
      </c>
      <c r="J992" s="164">
        <v>0.15315509991992221</v>
      </c>
      <c r="K992" s="168">
        <f t="shared" si="46"/>
        <v>0</v>
      </c>
      <c r="L992" s="164">
        <v>0.08</v>
      </c>
      <c r="M992" s="154">
        <v>2</v>
      </c>
      <c r="N992" s="154" t="str">
        <f t="shared" si="47"/>
        <v>No fit</v>
      </c>
      <c r="O992" s="173" t="s">
        <v>7676</v>
      </c>
      <c r="P992" s="173" t="s">
        <v>7342</v>
      </c>
    </row>
    <row r="993" spans="1:16" ht="64.05" customHeight="1" x14ac:dyDescent="0.3">
      <c r="A993" s="151" t="s">
        <v>7677</v>
      </c>
      <c r="B993" s="151" t="s">
        <v>6020</v>
      </c>
      <c r="C993" s="151" t="s">
        <v>114</v>
      </c>
      <c r="D993" s="151">
        <v>2025</v>
      </c>
      <c r="E993" s="151" t="s">
        <v>196</v>
      </c>
      <c r="F993" s="174" t="s">
        <v>7436</v>
      </c>
      <c r="G993" s="167">
        <f>FCCL!H96</f>
        <v>21525.51999999999</v>
      </c>
      <c r="H993" s="167">
        <f>AVERAGE('Forensic Inputs'!$G$104,'Forensic Inputs'!$G$106)</f>
        <v>139217.29800000001</v>
      </c>
      <c r="I993" s="165">
        <f t="shared" si="45"/>
        <v>0.15461814235182175</v>
      </c>
      <c r="J993" s="165">
        <v>0.15461814235182175</v>
      </c>
      <c r="K993" s="169">
        <f t="shared" si="46"/>
        <v>0</v>
      </c>
      <c r="L993" s="165">
        <v>0.08</v>
      </c>
      <c r="M993" s="151">
        <v>2</v>
      </c>
      <c r="N993" s="151" t="str">
        <f t="shared" si="47"/>
        <v>No fit</v>
      </c>
      <c r="O993" s="174" t="s">
        <v>7678</v>
      </c>
      <c r="P993" s="174" t="s">
        <v>7342</v>
      </c>
    </row>
    <row r="994" spans="1:16" ht="64.05" customHeight="1" x14ac:dyDescent="0.3">
      <c r="A994" s="154" t="s">
        <v>7679</v>
      </c>
      <c r="B994" s="154" t="s">
        <v>6020</v>
      </c>
      <c r="C994" s="154" t="s">
        <v>114</v>
      </c>
      <c r="D994" s="154">
        <v>2025</v>
      </c>
      <c r="E994" s="154" t="s">
        <v>196</v>
      </c>
      <c r="F994" s="173" t="s">
        <v>7439</v>
      </c>
      <c r="G994" s="166">
        <f>FCCL!H108</f>
        <v>27297.651999999987</v>
      </c>
      <c r="H994" s="166">
        <f>FCCL!H37</f>
        <v>160845.19100000002</v>
      </c>
      <c r="I994" s="164">
        <f t="shared" si="45"/>
        <v>0.16971382128546189</v>
      </c>
      <c r="J994" s="164">
        <v>0.16971382128546197</v>
      </c>
      <c r="K994" s="168">
        <f t="shared" si="46"/>
        <v>0</v>
      </c>
      <c r="L994" s="164">
        <v>0.08</v>
      </c>
      <c r="M994" s="154">
        <v>2</v>
      </c>
      <c r="N994" s="154" t="str">
        <f t="shared" si="47"/>
        <v>No fit</v>
      </c>
      <c r="O994" s="173" t="s">
        <v>7440</v>
      </c>
      <c r="P994" s="173" t="s">
        <v>7342</v>
      </c>
    </row>
    <row r="995" spans="1:16" ht="64.05" customHeight="1" x14ac:dyDescent="0.3">
      <c r="A995" s="151" t="s">
        <v>7680</v>
      </c>
      <c r="B995" s="151" t="s">
        <v>6020</v>
      </c>
      <c r="C995" s="151" t="s">
        <v>114</v>
      </c>
      <c r="D995" s="151">
        <v>2025</v>
      </c>
      <c r="E995" s="151" t="s">
        <v>196</v>
      </c>
      <c r="F995" s="174" t="s">
        <v>7442</v>
      </c>
      <c r="G995" s="167">
        <f>FCCL!H108</f>
        <v>27297.651999999987</v>
      </c>
      <c r="H995" s="167">
        <f>AVERAGE(FCCL!G37,FCCL!H37)</f>
        <v>154240.745</v>
      </c>
      <c r="I995" s="165">
        <f t="shared" si="45"/>
        <v>0.17698081009657979</v>
      </c>
      <c r="J995" s="165">
        <v>0.17698081009657984</v>
      </c>
      <c r="K995" s="169">
        <f t="shared" si="46"/>
        <v>0</v>
      </c>
      <c r="L995" s="165">
        <v>0.08</v>
      </c>
      <c r="M995" s="151">
        <v>2</v>
      </c>
      <c r="N995" s="151" t="str">
        <f t="shared" si="47"/>
        <v>No fit</v>
      </c>
      <c r="O995" s="174" t="s">
        <v>7443</v>
      </c>
      <c r="P995" s="174" t="s">
        <v>7342</v>
      </c>
    </row>
    <row r="996" spans="1:16" ht="64.05" customHeight="1" x14ac:dyDescent="0.3">
      <c r="A996" s="154" t="s">
        <v>7681</v>
      </c>
      <c r="B996" s="154" t="s">
        <v>6020</v>
      </c>
      <c r="C996" s="154" t="s">
        <v>114</v>
      </c>
      <c r="D996" s="154">
        <v>2025</v>
      </c>
      <c r="E996" s="154" t="s">
        <v>196</v>
      </c>
      <c r="F996" s="173" t="s">
        <v>7445</v>
      </c>
      <c r="G996" s="166">
        <f>FCCL!H108</f>
        <v>27297.651999999987</v>
      </c>
      <c r="H996" s="166">
        <f>FCCL!H20</f>
        <v>109579.08900000001</v>
      </c>
      <c r="I996" s="164">
        <f t="shared" si="45"/>
        <v>0.24911369723104729</v>
      </c>
      <c r="J996" s="164">
        <v>0.24911369723104737</v>
      </c>
      <c r="K996" s="168">
        <f t="shared" si="46"/>
        <v>0</v>
      </c>
      <c r="L996" s="164">
        <v>0.08</v>
      </c>
      <c r="M996" s="154">
        <v>2</v>
      </c>
      <c r="N996" s="154" t="str">
        <f t="shared" si="47"/>
        <v>No fit</v>
      </c>
      <c r="O996" s="173" t="s">
        <v>7446</v>
      </c>
      <c r="P996" s="173" t="s">
        <v>7342</v>
      </c>
    </row>
    <row r="997" spans="1:16" ht="64.05" customHeight="1" x14ac:dyDescent="0.3">
      <c r="A997" s="151" t="s">
        <v>7682</v>
      </c>
      <c r="B997" s="151" t="s">
        <v>6020</v>
      </c>
      <c r="C997" s="151" t="s">
        <v>114</v>
      </c>
      <c r="D997" s="151">
        <v>2025</v>
      </c>
      <c r="E997" s="151" t="s">
        <v>196</v>
      </c>
      <c r="F997" s="174" t="s">
        <v>7448</v>
      </c>
      <c r="G997" s="167">
        <f>FCCL!H108</f>
        <v>27297.651999999987</v>
      </c>
      <c r="H997" s="167">
        <f>AVERAGE(FCCL!G20,FCCL!H20)</f>
        <v>110212.376</v>
      </c>
      <c r="I997" s="165">
        <f t="shared" si="45"/>
        <v>0.24768227481095215</v>
      </c>
      <c r="J997" s="165">
        <v>0.2476822748109522</v>
      </c>
      <c r="K997" s="169">
        <f t="shared" si="46"/>
        <v>0</v>
      </c>
      <c r="L997" s="165">
        <v>0.08</v>
      </c>
      <c r="M997" s="151">
        <v>2</v>
      </c>
      <c r="N997" s="151" t="str">
        <f t="shared" si="47"/>
        <v>No fit</v>
      </c>
      <c r="O997" s="174" t="s">
        <v>7449</v>
      </c>
      <c r="P997" s="174" t="s">
        <v>7342</v>
      </c>
    </row>
    <row r="998" spans="1:16" ht="64.05" customHeight="1" x14ac:dyDescent="0.3">
      <c r="A998" s="154" t="s">
        <v>7683</v>
      </c>
      <c r="B998" s="154" t="s">
        <v>6020</v>
      </c>
      <c r="C998" s="154" t="s">
        <v>114</v>
      </c>
      <c r="D998" s="154">
        <v>2025</v>
      </c>
      <c r="E998" s="154" t="s">
        <v>196</v>
      </c>
      <c r="F998" s="173" t="s">
        <v>7451</v>
      </c>
      <c r="G998" s="166">
        <f>FCCL!H108</f>
        <v>27297.651999999987</v>
      </c>
      <c r="H998" s="166">
        <f>FCCL!H22</f>
        <v>109282.51500000001</v>
      </c>
      <c r="I998" s="164">
        <f t="shared" si="45"/>
        <v>0.24978974907376522</v>
      </c>
      <c r="J998" s="164">
        <v>0.24978974907376528</v>
      </c>
      <c r="K998" s="168">
        <f t="shared" si="46"/>
        <v>0</v>
      </c>
      <c r="L998" s="164">
        <v>0.08</v>
      </c>
      <c r="M998" s="154">
        <v>2</v>
      </c>
      <c r="N998" s="154" t="str">
        <f t="shared" si="47"/>
        <v>No fit</v>
      </c>
      <c r="O998" s="173" t="s">
        <v>7452</v>
      </c>
      <c r="P998" s="173" t="s">
        <v>7342</v>
      </c>
    </row>
    <row r="999" spans="1:16" ht="64.05" customHeight="1" x14ac:dyDescent="0.3">
      <c r="A999" s="151" t="s">
        <v>7684</v>
      </c>
      <c r="B999" s="151" t="s">
        <v>6020</v>
      </c>
      <c r="C999" s="151" t="s">
        <v>114</v>
      </c>
      <c r="D999" s="151">
        <v>2025</v>
      </c>
      <c r="E999" s="151" t="s">
        <v>196</v>
      </c>
      <c r="F999" s="174" t="s">
        <v>7454</v>
      </c>
      <c r="G999" s="167">
        <f>FCCL!H108</f>
        <v>27297.651999999987</v>
      </c>
      <c r="H999" s="167">
        <f>AVERAGE(FCCL!G22,FCCL!H22)</f>
        <v>109714.01250000001</v>
      </c>
      <c r="I999" s="165">
        <f t="shared" si="45"/>
        <v>0.24880734354693285</v>
      </c>
      <c r="J999" s="165">
        <v>0.2488073435469329</v>
      </c>
      <c r="K999" s="169">
        <f t="shared" si="46"/>
        <v>0</v>
      </c>
      <c r="L999" s="165">
        <v>0.08</v>
      </c>
      <c r="M999" s="151">
        <v>2</v>
      </c>
      <c r="N999" s="151" t="str">
        <f t="shared" si="47"/>
        <v>No fit</v>
      </c>
      <c r="O999" s="174" t="s">
        <v>7455</v>
      </c>
      <c r="P999" s="174" t="s">
        <v>7342</v>
      </c>
    </row>
    <row r="1000" spans="1:16" ht="64.05" customHeight="1" x14ac:dyDescent="0.3">
      <c r="A1000" s="154" t="s">
        <v>7685</v>
      </c>
      <c r="B1000" s="154" t="s">
        <v>6020</v>
      </c>
      <c r="C1000" s="154" t="s">
        <v>114</v>
      </c>
      <c r="D1000" s="154">
        <v>2025</v>
      </c>
      <c r="E1000" s="154" t="s">
        <v>196</v>
      </c>
      <c r="F1000" s="173" t="s">
        <v>7457</v>
      </c>
      <c r="G1000" s="166">
        <f>FCCL!H108</f>
        <v>27297.651999999987</v>
      </c>
      <c r="H1000" s="166">
        <f>FCCL!H28</f>
        <v>120372.62600000002</v>
      </c>
      <c r="I1000" s="164">
        <f t="shared" si="45"/>
        <v>0.22677624396098148</v>
      </c>
      <c r="J1000" s="164">
        <v>0.22677624396098159</v>
      </c>
      <c r="K1000" s="168">
        <f t="shared" si="46"/>
        <v>0</v>
      </c>
      <c r="L1000" s="164">
        <v>0.08</v>
      </c>
      <c r="M1000" s="154">
        <v>2</v>
      </c>
      <c r="N1000" s="154" t="str">
        <f t="shared" si="47"/>
        <v>No fit</v>
      </c>
      <c r="O1000" s="173" t="s">
        <v>7458</v>
      </c>
      <c r="P1000" s="173" t="s">
        <v>7342</v>
      </c>
    </row>
    <row r="1001" spans="1:16" ht="64.05" customHeight="1" x14ac:dyDescent="0.3">
      <c r="A1001" s="151" t="s">
        <v>7686</v>
      </c>
      <c r="B1001" s="151" t="s">
        <v>6020</v>
      </c>
      <c r="C1001" s="151" t="s">
        <v>114</v>
      </c>
      <c r="D1001" s="151">
        <v>2025</v>
      </c>
      <c r="E1001" s="151" t="s">
        <v>196</v>
      </c>
      <c r="F1001" s="174" t="s">
        <v>7460</v>
      </c>
      <c r="G1001" s="167">
        <f>FCCL!H108</f>
        <v>27297.651999999987</v>
      </c>
      <c r="H1001" s="167">
        <f>AVERAGE(FCCL!G28,FCCL!H28)</f>
        <v>121112.427</v>
      </c>
      <c r="I1001" s="165">
        <f t="shared" si="45"/>
        <v>0.22539100797641506</v>
      </c>
      <c r="J1001" s="165">
        <v>0.22539100797641512</v>
      </c>
      <c r="K1001" s="169">
        <f t="shared" si="46"/>
        <v>0</v>
      </c>
      <c r="L1001" s="165">
        <v>0.08</v>
      </c>
      <c r="M1001" s="151">
        <v>2</v>
      </c>
      <c r="N1001" s="151" t="str">
        <f t="shared" si="47"/>
        <v>No fit</v>
      </c>
      <c r="O1001" s="174" t="s">
        <v>7461</v>
      </c>
      <c r="P1001" s="174" t="s">
        <v>7342</v>
      </c>
    </row>
    <row r="1002" spans="1:16" ht="64.05" customHeight="1" x14ac:dyDescent="0.3">
      <c r="A1002" s="154" t="s">
        <v>7687</v>
      </c>
      <c r="B1002" s="154" t="s">
        <v>6020</v>
      </c>
      <c r="C1002" s="154" t="s">
        <v>114</v>
      </c>
      <c r="D1002" s="154">
        <v>2025</v>
      </c>
      <c r="E1002" s="154" t="s">
        <v>196</v>
      </c>
      <c r="F1002" s="173" t="s">
        <v>7463</v>
      </c>
      <c r="G1002" s="166">
        <f>FCCL!H108</f>
        <v>27297.651999999987</v>
      </c>
      <c r="H1002" s="166">
        <f>'Forensic Inputs'!$G$106</f>
        <v>140843.77100000001</v>
      </c>
      <c r="I1002" s="164">
        <f t="shared" si="45"/>
        <v>0.19381511731889078</v>
      </c>
      <c r="J1002" s="164">
        <v>0.19381511731889081</v>
      </c>
      <c r="K1002" s="168">
        <f t="shared" si="46"/>
        <v>0</v>
      </c>
      <c r="L1002" s="164">
        <v>0.08</v>
      </c>
      <c r="M1002" s="154">
        <v>2</v>
      </c>
      <c r="N1002" s="154" t="str">
        <f t="shared" si="47"/>
        <v>No fit</v>
      </c>
      <c r="O1002" s="173" t="s">
        <v>7688</v>
      </c>
      <c r="P1002" s="173" t="s">
        <v>7342</v>
      </c>
    </row>
    <row r="1003" spans="1:16" ht="64.05" customHeight="1" x14ac:dyDescent="0.3">
      <c r="A1003" s="151" t="s">
        <v>7689</v>
      </c>
      <c r="B1003" s="151" t="s">
        <v>6020</v>
      </c>
      <c r="C1003" s="151" t="s">
        <v>114</v>
      </c>
      <c r="D1003" s="151">
        <v>2025</v>
      </c>
      <c r="E1003" s="151" t="s">
        <v>196</v>
      </c>
      <c r="F1003" s="174" t="s">
        <v>7466</v>
      </c>
      <c r="G1003" s="167">
        <f>FCCL!H108</f>
        <v>27297.651999999987</v>
      </c>
      <c r="H1003" s="167">
        <f>('Forensic Inputs'!$G$106-FCCL!H21)</f>
        <v>140547.19700000001</v>
      </c>
      <c r="I1003" s="165">
        <f t="shared" si="45"/>
        <v>0.19422409398886828</v>
      </c>
      <c r="J1003" s="165">
        <v>0.19422409398886833</v>
      </c>
      <c r="K1003" s="169">
        <f t="shared" si="46"/>
        <v>0</v>
      </c>
      <c r="L1003" s="165">
        <v>0.08</v>
      </c>
      <c r="M1003" s="151">
        <v>2</v>
      </c>
      <c r="N1003" s="151" t="str">
        <f t="shared" si="47"/>
        <v>No fit</v>
      </c>
      <c r="O1003" s="174" t="s">
        <v>7690</v>
      </c>
      <c r="P1003" s="174" t="s">
        <v>7342</v>
      </c>
    </row>
    <row r="1004" spans="1:16" ht="64.05" customHeight="1" x14ac:dyDescent="0.3">
      <c r="A1004" s="154" t="s">
        <v>7691</v>
      </c>
      <c r="B1004" s="154" t="s">
        <v>6020</v>
      </c>
      <c r="C1004" s="154" t="s">
        <v>114</v>
      </c>
      <c r="D1004" s="154">
        <v>2025</v>
      </c>
      <c r="E1004" s="154" t="s">
        <v>196</v>
      </c>
      <c r="F1004" s="173" t="s">
        <v>7469</v>
      </c>
      <c r="G1004" s="166">
        <f>FCCL!H108</f>
        <v>27297.651999999987</v>
      </c>
      <c r="H1004" s="166">
        <f>AVERAGE('Forensic Inputs'!$G$104,'Forensic Inputs'!$G$106)</f>
        <v>139217.29800000001</v>
      </c>
      <c r="I1004" s="164">
        <f t="shared" si="45"/>
        <v>0.19607945558604353</v>
      </c>
      <c r="J1004" s="164">
        <v>0.19607945558604356</v>
      </c>
      <c r="K1004" s="168">
        <f t="shared" si="46"/>
        <v>0</v>
      </c>
      <c r="L1004" s="164">
        <v>0.08</v>
      </c>
      <c r="M1004" s="154">
        <v>2</v>
      </c>
      <c r="N1004" s="154" t="str">
        <f t="shared" si="47"/>
        <v>No fit</v>
      </c>
      <c r="O1004" s="173" t="s">
        <v>7692</v>
      </c>
      <c r="P1004" s="173" t="s">
        <v>7342</v>
      </c>
    </row>
    <row r="1005" spans="1:16" ht="64.05" customHeight="1" x14ac:dyDescent="0.3">
      <c r="A1005" s="151" t="s">
        <v>7693</v>
      </c>
      <c r="B1005" s="151" t="s">
        <v>6020</v>
      </c>
      <c r="C1005" s="151" t="s">
        <v>114</v>
      </c>
      <c r="D1005" s="151">
        <v>2025</v>
      </c>
      <c r="E1005" s="151" t="s">
        <v>196</v>
      </c>
      <c r="F1005" s="174" t="s">
        <v>7472</v>
      </c>
      <c r="G1005" s="167">
        <f>FCCL!H91</f>
        <v>25468.048999999992</v>
      </c>
      <c r="H1005" s="167">
        <f>FCCL!H37</f>
        <v>160845.19100000002</v>
      </c>
      <c r="I1005" s="165">
        <f t="shared" si="45"/>
        <v>0.15833888997029441</v>
      </c>
      <c r="J1005" s="165">
        <v>0.15833888997029444</v>
      </c>
      <c r="K1005" s="169">
        <f t="shared" si="46"/>
        <v>0</v>
      </c>
      <c r="L1005" s="165">
        <v>0.08</v>
      </c>
      <c r="M1005" s="151">
        <v>2</v>
      </c>
      <c r="N1005" s="151" t="str">
        <f t="shared" si="47"/>
        <v>No fit</v>
      </c>
      <c r="O1005" s="174" t="s">
        <v>7473</v>
      </c>
      <c r="P1005" s="174" t="s">
        <v>7342</v>
      </c>
    </row>
    <row r="1006" spans="1:16" ht="64.05" customHeight="1" x14ac:dyDescent="0.3">
      <c r="A1006" s="154" t="s">
        <v>7694</v>
      </c>
      <c r="B1006" s="154" t="s">
        <v>6020</v>
      </c>
      <c r="C1006" s="154" t="s">
        <v>114</v>
      </c>
      <c r="D1006" s="154">
        <v>2025</v>
      </c>
      <c r="E1006" s="154" t="s">
        <v>196</v>
      </c>
      <c r="F1006" s="173" t="s">
        <v>7475</v>
      </c>
      <c r="G1006" s="166">
        <f>FCCL!H91</f>
        <v>25468.048999999992</v>
      </c>
      <c r="H1006" s="166">
        <f>AVERAGE(FCCL!G37,FCCL!H37)</f>
        <v>154240.745</v>
      </c>
      <c r="I1006" s="164">
        <f t="shared" si="45"/>
        <v>0.16511881474638879</v>
      </c>
      <c r="J1006" s="164">
        <v>0.16511881474638879</v>
      </c>
      <c r="K1006" s="168">
        <f t="shared" si="46"/>
        <v>0</v>
      </c>
      <c r="L1006" s="164">
        <v>0.08</v>
      </c>
      <c r="M1006" s="154">
        <v>2</v>
      </c>
      <c r="N1006" s="154" t="str">
        <f t="shared" si="47"/>
        <v>No fit</v>
      </c>
      <c r="O1006" s="173" t="s">
        <v>7476</v>
      </c>
      <c r="P1006" s="173" t="s">
        <v>7342</v>
      </c>
    </row>
    <row r="1007" spans="1:16" ht="64.05" customHeight="1" x14ac:dyDescent="0.3">
      <c r="A1007" s="151" t="s">
        <v>7695</v>
      </c>
      <c r="B1007" s="151" t="s">
        <v>6020</v>
      </c>
      <c r="C1007" s="151" t="s">
        <v>114</v>
      </c>
      <c r="D1007" s="151">
        <v>2025</v>
      </c>
      <c r="E1007" s="151" t="s">
        <v>196</v>
      </c>
      <c r="F1007" s="174" t="s">
        <v>7478</v>
      </c>
      <c r="G1007" s="167">
        <f>FCCL!H91</f>
        <v>25468.048999999992</v>
      </c>
      <c r="H1007" s="167">
        <f>FCCL!H20</f>
        <v>109579.08900000001</v>
      </c>
      <c r="I1007" s="165">
        <f t="shared" si="45"/>
        <v>0.23241705358583506</v>
      </c>
      <c r="J1007" s="165">
        <v>0.23241705358583506</v>
      </c>
      <c r="K1007" s="169">
        <f t="shared" si="46"/>
        <v>0</v>
      </c>
      <c r="L1007" s="165">
        <v>0.08</v>
      </c>
      <c r="M1007" s="151">
        <v>2</v>
      </c>
      <c r="N1007" s="151" t="str">
        <f t="shared" si="47"/>
        <v>No fit</v>
      </c>
      <c r="O1007" s="174" t="s">
        <v>7479</v>
      </c>
      <c r="P1007" s="174" t="s">
        <v>7342</v>
      </c>
    </row>
    <row r="1008" spans="1:16" ht="64.05" customHeight="1" x14ac:dyDescent="0.3">
      <c r="A1008" s="154" t="s">
        <v>7696</v>
      </c>
      <c r="B1008" s="154" t="s">
        <v>6020</v>
      </c>
      <c r="C1008" s="154" t="s">
        <v>114</v>
      </c>
      <c r="D1008" s="154">
        <v>2025</v>
      </c>
      <c r="E1008" s="154" t="s">
        <v>196</v>
      </c>
      <c r="F1008" s="173" t="s">
        <v>7481</v>
      </c>
      <c r="G1008" s="166">
        <f>FCCL!H91</f>
        <v>25468.048999999992</v>
      </c>
      <c r="H1008" s="166">
        <f>AVERAGE(FCCL!G20,FCCL!H20)</f>
        <v>110212.376</v>
      </c>
      <c r="I1008" s="164">
        <f t="shared" si="45"/>
        <v>0.23108157109324992</v>
      </c>
      <c r="J1008" s="164">
        <v>0.23108157109324992</v>
      </c>
      <c r="K1008" s="168">
        <f t="shared" si="46"/>
        <v>0</v>
      </c>
      <c r="L1008" s="164">
        <v>0.08</v>
      </c>
      <c r="M1008" s="154">
        <v>2</v>
      </c>
      <c r="N1008" s="154" t="str">
        <f t="shared" si="47"/>
        <v>No fit</v>
      </c>
      <c r="O1008" s="173" t="s">
        <v>7482</v>
      </c>
      <c r="P1008" s="173" t="s">
        <v>7342</v>
      </c>
    </row>
    <row r="1009" spans="1:16" ht="64.05" customHeight="1" x14ac:dyDescent="0.3">
      <c r="A1009" s="151" t="s">
        <v>7697</v>
      </c>
      <c r="B1009" s="151" t="s">
        <v>6020</v>
      </c>
      <c r="C1009" s="151" t="s">
        <v>114</v>
      </c>
      <c r="D1009" s="151">
        <v>2025</v>
      </c>
      <c r="E1009" s="151" t="s">
        <v>196</v>
      </c>
      <c r="F1009" s="174" t="s">
        <v>7484</v>
      </c>
      <c r="G1009" s="167">
        <f>FCCL!H91</f>
        <v>25468.048999999992</v>
      </c>
      <c r="H1009" s="167">
        <f>FCCL!H22</f>
        <v>109282.51500000001</v>
      </c>
      <c r="I1009" s="165">
        <f t="shared" si="45"/>
        <v>0.23304779360174854</v>
      </c>
      <c r="J1009" s="165">
        <v>0.23304779360174854</v>
      </c>
      <c r="K1009" s="169">
        <f t="shared" si="46"/>
        <v>0</v>
      </c>
      <c r="L1009" s="165">
        <v>0.08</v>
      </c>
      <c r="M1009" s="151">
        <v>2</v>
      </c>
      <c r="N1009" s="151" t="str">
        <f t="shared" si="47"/>
        <v>No fit</v>
      </c>
      <c r="O1009" s="174" t="s">
        <v>7485</v>
      </c>
      <c r="P1009" s="174" t="s">
        <v>7342</v>
      </c>
    </row>
    <row r="1010" spans="1:16" ht="64.05" customHeight="1" x14ac:dyDescent="0.3">
      <c r="A1010" s="154" t="s">
        <v>7698</v>
      </c>
      <c r="B1010" s="154" t="s">
        <v>6020</v>
      </c>
      <c r="C1010" s="154" t="s">
        <v>114</v>
      </c>
      <c r="D1010" s="154">
        <v>2025</v>
      </c>
      <c r="E1010" s="154" t="s">
        <v>196</v>
      </c>
      <c r="F1010" s="173" t="s">
        <v>7487</v>
      </c>
      <c r="G1010" s="166">
        <f>FCCL!H91</f>
        <v>25468.048999999992</v>
      </c>
      <c r="H1010" s="166">
        <f>AVERAGE(FCCL!G22,FCCL!H22)</f>
        <v>109714.01250000001</v>
      </c>
      <c r="I1010" s="164">
        <f t="shared" si="45"/>
        <v>0.23213123300909252</v>
      </c>
      <c r="J1010" s="164">
        <v>0.23213123300909252</v>
      </c>
      <c r="K1010" s="168">
        <f t="shared" si="46"/>
        <v>0</v>
      </c>
      <c r="L1010" s="164">
        <v>0.08</v>
      </c>
      <c r="M1010" s="154">
        <v>2</v>
      </c>
      <c r="N1010" s="154" t="str">
        <f t="shared" si="47"/>
        <v>No fit</v>
      </c>
      <c r="O1010" s="173" t="s">
        <v>7488</v>
      </c>
      <c r="P1010" s="173" t="s">
        <v>7342</v>
      </c>
    </row>
    <row r="1011" spans="1:16" ht="64.05" customHeight="1" x14ac:dyDescent="0.3">
      <c r="A1011" s="151" t="s">
        <v>7699</v>
      </c>
      <c r="B1011" s="151" t="s">
        <v>6020</v>
      </c>
      <c r="C1011" s="151" t="s">
        <v>114</v>
      </c>
      <c r="D1011" s="151">
        <v>2025</v>
      </c>
      <c r="E1011" s="151" t="s">
        <v>196</v>
      </c>
      <c r="F1011" s="174" t="s">
        <v>7490</v>
      </c>
      <c r="G1011" s="167">
        <f>FCCL!H91</f>
        <v>25468.048999999992</v>
      </c>
      <c r="H1011" s="167">
        <f>FCCL!H28</f>
        <v>120372.62600000002</v>
      </c>
      <c r="I1011" s="165">
        <f t="shared" si="45"/>
        <v>0.21157675001623699</v>
      </c>
      <c r="J1011" s="165">
        <v>0.21157675001623699</v>
      </c>
      <c r="K1011" s="169">
        <f t="shared" si="46"/>
        <v>0</v>
      </c>
      <c r="L1011" s="165">
        <v>0.08</v>
      </c>
      <c r="M1011" s="151">
        <v>2</v>
      </c>
      <c r="N1011" s="151" t="str">
        <f t="shared" si="47"/>
        <v>No fit</v>
      </c>
      <c r="O1011" s="174" t="s">
        <v>7491</v>
      </c>
      <c r="P1011" s="174" t="s">
        <v>7342</v>
      </c>
    </row>
    <row r="1012" spans="1:16" ht="64.05" customHeight="1" x14ac:dyDescent="0.3">
      <c r="A1012" s="154" t="s">
        <v>7700</v>
      </c>
      <c r="B1012" s="154" t="s">
        <v>6020</v>
      </c>
      <c r="C1012" s="154" t="s">
        <v>114</v>
      </c>
      <c r="D1012" s="154">
        <v>2025</v>
      </c>
      <c r="E1012" s="154" t="s">
        <v>196</v>
      </c>
      <c r="F1012" s="173" t="s">
        <v>7493</v>
      </c>
      <c r="G1012" s="166">
        <f>FCCL!H91</f>
        <v>25468.048999999992</v>
      </c>
      <c r="H1012" s="166">
        <f>AVERAGE(FCCL!G28,FCCL!H28)</f>
        <v>121112.427</v>
      </c>
      <c r="I1012" s="164">
        <f t="shared" si="45"/>
        <v>0.2102843583507743</v>
      </c>
      <c r="J1012" s="164">
        <v>0.2102843583507743</v>
      </c>
      <c r="K1012" s="168">
        <f t="shared" si="46"/>
        <v>0</v>
      </c>
      <c r="L1012" s="164">
        <v>0.08</v>
      </c>
      <c r="M1012" s="154">
        <v>2</v>
      </c>
      <c r="N1012" s="154" t="str">
        <f t="shared" si="47"/>
        <v>No fit</v>
      </c>
      <c r="O1012" s="173" t="s">
        <v>7494</v>
      </c>
      <c r="P1012" s="173" t="s">
        <v>7342</v>
      </c>
    </row>
    <row r="1013" spans="1:16" ht="64.05" customHeight="1" x14ac:dyDescent="0.3">
      <c r="A1013" s="151" t="s">
        <v>7701</v>
      </c>
      <c r="B1013" s="151" t="s">
        <v>6020</v>
      </c>
      <c r="C1013" s="151" t="s">
        <v>114</v>
      </c>
      <c r="D1013" s="151">
        <v>2025</v>
      </c>
      <c r="E1013" s="151" t="s">
        <v>196</v>
      </c>
      <c r="F1013" s="174" t="s">
        <v>7496</v>
      </c>
      <c r="G1013" s="167">
        <f>FCCL!H91</f>
        <v>25468.048999999992</v>
      </c>
      <c r="H1013" s="167">
        <f>'Forensic Inputs'!$G$106</f>
        <v>140843.77100000001</v>
      </c>
      <c r="I1013" s="165">
        <f t="shared" si="45"/>
        <v>0.18082481617167145</v>
      </c>
      <c r="J1013" s="165">
        <v>0.18082481617167145</v>
      </c>
      <c r="K1013" s="169">
        <f t="shared" si="46"/>
        <v>0</v>
      </c>
      <c r="L1013" s="165">
        <v>0.08</v>
      </c>
      <c r="M1013" s="151">
        <v>2</v>
      </c>
      <c r="N1013" s="151" t="str">
        <f t="shared" si="47"/>
        <v>No fit</v>
      </c>
      <c r="O1013" s="174" t="s">
        <v>7702</v>
      </c>
      <c r="P1013" s="174" t="s">
        <v>7342</v>
      </c>
    </row>
    <row r="1014" spans="1:16" ht="64.05" customHeight="1" x14ac:dyDescent="0.3">
      <c r="A1014" s="154" t="s">
        <v>7703</v>
      </c>
      <c r="B1014" s="154" t="s">
        <v>6020</v>
      </c>
      <c r="C1014" s="154" t="s">
        <v>114</v>
      </c>
      <c r="D1014" s="154">
        <v>2025</v>
      </c>
      <c r="E1014" s="154" t="s">
        <v>196</v>
      </c>
      <c r="F1014" s="173" t="s">
        <v>7499</v>
      </c>
      <c r="G1014" s="166">
        <f>FCCL!H91</f>
        <v>25468.048999999992</v>
      </c>
      <c r="H1014" s="166">
        <f>('Forensic Inputs'!$G$106-FCCL!H21)</f>
        <v>140547.19700000001</v>
      </c>
      <c r="I1014" s="164">
        <f t="shared" si="45"/>
        <v>0.18120638151182758</v>
      </c>
      <c r="J1014" s="164">
        <v>0.18120638151182758</v>
      </c>
      <c r="K1014" s="168">
        <f t="shared" si="46"/>
        <v>0</v>
      </c>
      <c r="L1014" s="164">
        <v>0.08</v>
      </c>
      <c r="M1014" s="154">
        <v>2</v>
      </c>
      <c r="N1014" s="154" t="str">
        <f t="shared" si="47"/>
        <v>No fit</v>
      </c>
      <c r="O1014" s="173" t="s">
        <v>7704</v>
      </c>
      <c r="P1014" s="173" t="s">
        <v>7342</v>
      </c>
    </row>
    <row r="1015" spans="1:16" ht="64.05" customHeight="1" x14ac:dyDescent="0.3">
      <c r="A1015" s="151" t="s">
        <v>7705</v>
      </c>
      <c r="B1015" s="151" t="s">
        <v>6020</v>
      </c>
      <c r="C1015" s="151" t="s">
        <v>114</v>
      </c>
      <c r="D1015" s="151">
        <v>2025</v>
      </c>
      <c r="E1015" s="151" t="s">
        <v>196</v>
      </c>
      <c r="F1015" s="174" t="s">
        <v>7502</v>
      </c>
      <c r="G1015" s="167">
        <f>FCCL!H91</f>
        <v>25468.048999999992</v>
      </c>
      <c r="H1015" s="167">
        <f>AVERAGE('Forensic Inputs'!$G$104,'Forensic Inputs'!$G$106)</f>
        <v>139217.29800000001</v>
      </c>
      <c r="I1015" s="165">
        <f t="shared" si="45"/>
        <v>0.18293738900176032</v>
      </c>
      <c r="J1015" s="165">
        <v>0.18293738900176032</v>
      </c>
      <c r="K1015" s="169">
        <f t="shared" si="46"/>
        <v>0</v>
      </c>
      <c r="L1015" s="165">
        <v>0.08</v>
      </c>
      <c r="M1015" s="151">
        <v>2</v>
      </c>
      <c r="N1015" s="151" t="str">
        <f t="shared" si="47"/>
        <v>No fit</v>
      </c>
      <c r="O1015" s="174" t="s">
        <v>7706</v>
      </c>
      <c r="P1015" s="174" t="s">
        <v>7342</v>
      </c>
    </row>
    <row r="1016" spans="1:16" ht="64.05" customHeight="1" x14ac:dyDescent="0.3">
      <c r="A1016" s="154" t="s">
        <v>7707</v>
      </c>
      <c r="B1016" s="154" t="s">
        <v>6023</v>
      </c>
      <c r="C1016" s="154" t="s">
        <v>114</v>
      </c>
      <c r="D1016" s="154">
        <v>2022</v>
      </c>
      <c r="E1016" s="154" t="s">
        <v>199</v>
      </c>
      <c r="F1016" s="173" t="s">
        <v>5893</v>
      </c>
      <c r="G1016" s="166">
        <f>FCCL!E84</f>
        <v>54243.118000000002</v>
      </c>
      <c r="H1016" s="166">
        <f>AVERAGE(FCCL!D22,FCCL!E22)</f>
        <v>32772.136500000001</v>
      </c>
      <c r="I1016" s="164">
        <f t="shared" si="45"/>
        <v>1.6551596506379742</v>
      </c>
      <c r="J1016" s="164">
        <v>1.6551596506379742</v>
      </c>
      <c r="K1016" s="168">
        <f t="shared" si="46"/>
        <v>0</v>
      </c>
      <c r="L1016" s="164">
        <v>0.16</v>
      </c>
      <c r="M1016" s="154">
        <v>2</v>
      </c>
      <c r="N1016" s="154" t="str">
        <f t="shared" si="47"/>
        <v>No fit</v>
      </c>
      <c r="O1016" s="173" t="s">
        <v>6050</v>
      </c>
      <c r="P1016" s="173" t="s">
        <v>6051</v>
      </c>
    </row>
    <row r="1017" spans="1:16" ht="64.05" customHeight="1" x14ac:dyDescent="0.3">
      <c r="A1017" s="151" t="s">
        <v>7708</v>
      </c>
      <c r="B1017" s="151" t="s">
        <v>6023</v>
      </c>
      <c r="C1017" s="151" t="s">
        <v>114</v>
      </c>
      <c r="D1017" s="151">
        <v>2022</v>
      </c>
      <c r="E1017" s="151" t="s">
        <v>199</v>
      </c>
      <c r="F1017" s="174" t="s">
        <v>6009</v>
      </c>
      <c r="G1017" s="167">
        <f>FCCL!E84</f>
        <v>54243.118000000002</v>
      </c>
      <c r="H1017" s="167">
        <f>FCCL!E37</f>
        <v>113698.07700000002</v>
      </c>
      <c r="I1017" s="165">
        <f t="shared" si="45"/>
        <v>0.4770803467502796</v>
      </c>
      <c r="J1017" s="165">
        <v>0.47708034675027972</v>
      </c>
      <c r="K1017" s="169">
        <f t="shared" si="46"/>
        <v>0</v>
      </c>
      <c r="L1017" s="165">
        <v>0.16</v>
      </c>
      <c r="M1017" s="151">
        <v>2</v>
      </c>
      <c r="N1017" s="151" t="str">
        <f t="shared" si="47"/>
        <v>No fit</v>
      </c>
      <c r="O1017" s="174" t="s">
        <v>7341</v>
      </c>
      <c r="P1017" s="174" t="s">
        <v>7342</v>
      </c>
    </row>
    <row r="1018" spans="1:16" ht="64.05" customHeight="1" x14ac:dyDescent="0.3">
      <c r="A1018" s="154" t="s">
        <v>7709</v>
      </c>
      <c r="B1018" s="154" t="s">
        <v>6023</v>
      </c>
      <c r="C1018" s="154" t="s">
        <v>114</v>
      </c>
      <c r="D1018" s="154">
        <v>2022</v>
      </c>
      <c r="E1018" s="154" t="s">
        <v>199</v>
      </c>
      <c r="F1018" s="173" t="s">
        <v>7344</v>
      </c>
      <c r="G1018" s="166">
        <f>FCCL!E84</f>
        <v>54243.118000000002</v>
      </c>
      <c r="H1018" s="166">
        <f>AVERAGE(FCCL!D37,FCCL!E37)</f>
        <v>73875.15400000001</v>
      </c>
      <c r="I1018" s="164">
        <f t="shared" si="45"/>
        <v>0.7342538737719585</v>
      </c>
      <c r="J1018" s="164">
        <v>0.7342538737719585</v>
      </c>
      <c r="K1018" s="168">
        <f t="shared" si="46"/>
        <v>0</v>
      </c>
      <c r="L1018" s="164">
        <v>0.16</v>
      </c>
      <c r="M1018" s="154">
        <v>2</v>
      </c>
      <c r="N1018" s="154" t="str">
        <f t="shared" si="47"/>
        <v>No fit</v>
      </c>
      <c r="O1018" s="173" t="s">
        <v>7345</v>
      </c>
      <c r="P1018" s="173" t="s">
        <v>7342</v>
      </c>
    </row>
    <row r="1019" spans="1:16" ht="64.05" customHeight="1" x14ac:dyDescent="0.3">
      <c r="A1019" s="151" t="s">
        <v>7710</v>
      </c>
      <c r="B1019" s="151" t="s">
        <v>6023</v>
      </c>
      <c r="C1019" s="151" t="s">
        <v>114</v>
      </c>
      <c r="D1019" s="151">
        <v>2022</v>
      </c>
      <c r="E1019" s="151" t="s">
        <v>199</v>
      </c>
      <c r="F1019" s="174" t="s">
        <v>6025</v>
      </c>
      <c r="G1019" s="167">
        <f>FCCL!E84</f>
        <v>54243.118000000002</v>
      </c>
      <c r="H1019" s="167">
        <f>FCCL!E20</f>
        <v>74126.315000000002</v>
      </c>
      <c r="I1019" s="165">
        <f t="shared" si="45"/>
        <v>0.73176601318978285</v>
      </c>
      <c r="J1019" s="165">
        <v>0.73176601318978285</v>
      </c>
      <c r="K1019" s="169">
        <f t="shared" si="46"/>
        <v>0</v>
      </c>
      <c r="L1019" s="165">
        <v>0.16</v>
      </c>
      <c r="M1019" s="151">
        <v>2</v>
      </c>
      <c r="N1019" s="151" t="str">
        <f t="shared" si="47"/>
        <v>No fit</v>
      </c>
      <c r="O1019" s="174" t="s">
        <v>7347</v>
      </c>
      <c r="P1019" s="174" t="s">
        <v>7342</v>
      </c>
    </row>
    <row r="1020" spans="1:16" ht="64.05" customHeight="1" x14ac:dyDescent="0.3">
      <c r="A1020" s="154" t="s">
        <v>7711</v>
      </c>
      <c r="B1020" s="154" t="s">
        <v>6023</v>
      </c>
      <c r="C1020" s="154" t="s">
        <v>114</v>
      </c>
      <c r="D1020" s="154">
        <v>2022</v>
      </c>
      <c r="E1020" s="154" t="s">
        <v>199</v>
      </c>
      <c r="F1020" s="173" t="s">
        <v>7349</v>
      </c>
      <c r="G1020" s="166">
        <f>FCCL!E84</f>
        <v>54243.118000000002</v>
      </c>
      <c r="H1020" s="166">
        <f>AVERAGE(FCCL!D20,FCCL!E20)</f>
        <v>47774.264999999999</v>
      </c>
      <c r="I1020" s="164">
        <f t="shared" si="45"/>
        <v>1.1354045530580115</v>
      </c>
      <c r="J1020" s="164">
        <v>1.1354045530580115</v>
      </c>
      <c r="K1020" s="168">
        <f t="shared" si="46"/>
        <v>0</v>
      </c>
      <c r="L1020" s="164">
        <v>0.16</v>
      </c>
      <c r="M1020" s="154">
        <v>2</v>
      </c>
      <c r="N1020" s="154" t="str">
        <f t="shared" si="47"/>
        <v>No fit</v>
      </c>
      <c r="O1020" s="173" t="s">
        <v>7350</v>
      </c>
      <c r="P1020" s="173" t="s">
        <v>7342</v>
      </c>
    </row>
    <row r="1021" spans="1:16" ht="64.05" customHeight="1" x14ac:dyDescent="0.3">
      <c r="A1021" s="151" t="s">
        <v>7712</v>
      </c>
      <c r="B1021" s="151" t="s">
        <v>6023</v>
      </c>
      <c r="C1021" s="151" t="s">
        <v>114</v>
      </c>
      <c r="D1021" s="151">
        <v>2022</v>
      </c>
      <c r="E1021" s="151" t="s">
        <v>199</v>
      </c>
      <c r="F1021" s="174" t="s">
        <v>7352</v>
      </c>
      <c r="G1021" s="167">
        <f>FCCL!E84</f>
        <v>54243.118000000002</v>
      </c>
      <c r="H1021" s="167">
        <f>FCCL!E22</f>
        <v>44324.145000000004</v>
      </c>
      <c r="I1021" s="165">
        <f t="shared" si="45"/>
        <v>1.2237826132912433</v>
      </c>
      <c r="J1021" s="165">
        <v>1.2237826132912433</v>
      </c>
      <c r="K1021" s="169">
        <f t="shared" si="46"/>
        <v>0</v>
      </c>
      <c r="L1021" s="165">
        <v>0.16</v>
      </c>
      <c r="M1021" s="151">
        <v>2</v>
      </c>
      <c r="N1021" s="151" t="str">
        <f t="shared" si="47"/>
        <v>No fit</v>
      </c>
      <c r="O1021" s="174" t="s">
        <v>7353</v>
      </c>
      <c r="P1021" s="174" t="s">
        <v>7342</v>
      </c>
    </row>
    <row r="1022" spans="1:16" ht="64.05" customHeight="1" x14ac:dyDescent="0.3">
      <c r="A1022" s="154" t="s">
        <v>7713</v>
      </c>
      <c r="B1022" s="154" t="s">
        <v>6023</v>
      </c>
      <c r="C1022" s="154" t="s">
        <v>114</v>
      </c>
      <c r="D1022" s="154">
        <v>2022</v>
      </c>
      <c r="E1022" s="154" t="s">
        <v>199</v>
      </c>
      <c r="F1022" s="173" t="s">
        <v>7355</v>
      </c>
      <c r="G1022" s="166">
        <f>FCCL!E84</f>
        <v>54243.118000000002</v>
      </c>
      <c r="H1022" s="166">
        <f>AVERAGE(FCCL!D22,FCCL!E22)</f>
        <v>32772.136500000001</v>
      </c>
      <c r="I1022" s="164">
        <f t="shared" si="45"/>
        <v>1.6551596506379742</v>
      </c>
      <c r="J1022" s="164">
        <v>1.6551596506379742</v>
      </c>
      <c r="K1022" s="168">
        <f t="shared" si="46"/>
        <v>0</v>
      </c>
      <c r="L1022" s="164">
        <v>0.16</v>
      </c>
      <c r="M1022" s="154">
        <v>2</v>
      </c>
      <c r="N1022" s="154" t="str">
        <f t="shared" si="47"/>
        <v>No fit</v>
      </c>
      <c r="O1022" s="173" t="s">
        <v>7356</v>
      </c>
      <c r="P1022" s="173" t="s">
        <v>7342</v>
      </c>
    </row>
    <row r="1023" spans="1:16" ht="64.05" customHeight="1" x14ac:dyDescent="0.3">
      <c r="A1023" s="151" t="s">
        <v>7714</v>
      </c>
      <c r="B1023" s="151" t="s">
        <v>6023</v>
      </c>
      <c r="C1023" s="151" t="s">
        <v>114</v>
      </c>
      <c r="D1023" s="151">
        <v>2022</v>
      </c>
      <c r="E1023" s="151" t="s">
        <v>199</v>
      </c>
      <c r="F1023" s="174" t="s">
        <v>7358</v>
      </c>
      <c r="G1023" s="167">
        <f>FCCL!E84</f>
        <v>54243.118000000002</v>
      </c>
      <c r="H1023" s="167">
        <f>FCCL!E28</f>
        <v>85481.265000000014</v>
      </c>
      <c r="I1023" s="165">
        <f t="shared" si="45"/>
        <v>0.63456147964118215</v>
      </c>
      <c r="J1023" s="165">
        <v>0.63456147964118226</v>
      </c>
      <c r="K1023" s="169">
        <f t="shared" si="46"/>
        <v>0</v>
      </c>
      <c r="L1023" s="165">
        <v>0.16</v>
      </c>
      <c r="M1023" s="151">
        <v>2</v>
      </c>
      <c r="N1023" s="151" t="str">
        <f t="shared" si="47"/>
        <v>No fit</v>
      </c>
      <c r="O1023" s="174" t="s">
        <v>7359</v>
      </c>
      <c r="P1023" s="174" t="s">
        <v>7342</v>
      </c>
    </row>
    <row r="1024" spans="1:16" ht="64.05" customHeight="1" x14ac:dyDescent="0.3">
      <c r="A1024" s="154" t="s">
        <v>7715</v>
      </c>
      <c r="B1024" s="154" t="s">
        <v>6023</v>
      </c>
      <c r="C1024" s="154" t="s">
        <v>114</v>
      </c>
      <c r="D1024" s="154">
        <v>2022</v>
      </c>
      <c r="E1024" s="154" t="s">
        <v>199</v>
      </c>
      <c r="F1024" s="173" t="s">
        <v>7361</v>
      </c>
      <c r="G1024" s="166">
        <f>FCCL!E84</f>
        <v>54243.118000000002</v>
      </c>
      <c r="H1024" s="166">
        <f>AVERAGE(FCCL!D28,FCCL!E28)</f>
        <v>53547.382000000005</v>
      </c>
      <c r="I1024" s="164">
        <f t="shared" si="45"/>
        <v>1.0129929041162087</v>
      </c>
      <c r="J1024" s="164">
        <v>1.0129929041162087</v>
      </c>
      <c r="K1024" s="168">
        <f t="shared" si="46"/>
        <v>0</v>
      </c>
      <c r="L1024" s="164">
        <v>0.16</v>
      </c>
      <c r="M1024" s="154">
        <v>2</v>
      </c>
      <c r="N1024" s="154" t="str">
        <f t="shared" si="47"/>
        <v>No fit</v>
      </c>
      <c r="O1024" s="173" t="s">
        <v>7362</v>
      </c>
      <c r="P1024" s="173" t="s">
        <v>7342</v>
      </c>
    </row>
    <row r="1025" spans="1:16" ht="64.05" customHeight="1" x14ac:dyDescent="0.3">
      <c r="A1025" s="151" t="s">
        <v>7716</v>
      </c>
      <c r="B1025" s="151" t="s">
        <v>6023</v>
      </c>
      <c r="C1025" s="151" t="s">
        <v>114</v>
      </c>
      <c r="D1025" s="151">
        <v>2022</v>
      </c>
      <c r="E1025" s="151" t="s">
        <v>199</v>
      </c>
      <c r="F1025" s="174" t="s">
        <v>7364</v>
      </c>
      <c r="G1025" s="167">
        <f>FCCL!E84</f>
        <v>54243.118000000002</v>
      </c>
      <c r="H1025" s="167">
        <f>'Forensic Inputs'!$G$100</f>
        <v>93857.971000000005</v>
      </c>
      <c r="I1025" s="165">
        <f t="shared" si="45"/>
        <v>0.57792766476914359</v>
      </c>
      <c r="J1025" s="165">
        <v>0.57792766476914359</v>
      </c>
      <c r="K1025" s="169">
        <f t="shared" si="46"/>
        <v>0</v>
      </c>
      <c r="L1025" s="165">
        <v>0.16</v>
      </c>
      <c r="M1025" s="151">
        <v>2</v>
      </c>
      <c r="N1025" s="151" t="str">
        <f t="shared" si="47"/>
        <v>No fit</v>
      </c>
      <c r="O1025" s="174" t="s">
        <v>7365</v>
      </c>
      <c r="P1025" s="174" t="s">
        <v>7342</v>
      </c>
    </row>
    <row r="1026" spans="1:16" ht="64.05" customHeight="1" x14ac:dyDescent="0.3">
      <c r="A1026" s="154" t="s">
        <v>7717</v>
      </c>
      <c r="B1026" s="154" t="s">
        <v>6023</v>
      </c>
      <c r="C1026" s="154" t="s">
        <v>114</v>
      </c>
      <c r="D1026" s="154">
        <v>2022</v>
      </c>
      <c r="E1026" s="154" t="s">
        <v>199</v>
      </c>
      <c r="F1026" s="173" t="s">
        <v>7367</v>
      </c>
      <c r="G1026" s="166">
        <f>FCCL!E84</f>
        <v>54243.118000000002</v>
      </c>
      <c r="H1026" s="166">
        <f>('Forensic Inputs'!$G$100-FCCL!E21)</f>
        <v>64055.801000000007</v>
      </c>
      <c r="I1026" s="164">
        <f t="shared" si="45"/>
        <v>0.84681039270744574</v>
      </c>
      <c r="J1026" s="164">
        <v>0.84681039270744574</v>
      </c>
      <c r="K1026" s="168">
        <f t="shared" si="46"/>
        <v>0</v>
      </c>
      <c r="L1026" s="164">
        <v>0.16</v>
      </c>
      <c r="M1026" s="154">
        <v>2</v>
      </c>
      <c r="N1026" s="154" t="str">
        <f t="shared" si="47"/>
        <v>No fit</v>
      </c>
      <c r="O1026" s="173" t="s">
        <v>7368</v>
      </c>
      <c r="P1026" s="173" t="s">
        <v>7342</v>
      </c>
    </row>
    <row r="1027" spans="1:16" ht="64.05" customHeight="1" x14ac:dyDescent="0.3">
      <c r="A1027" s="151" t="s">
        <v>7718</v>
      </c>
      <c r="B1027" s="151" t="s">
        <v>6023</v>
      </c>
      <c r="C1027" s="151" t="s">
        <v>114</v>
      </c>
      <c r="D1027" s="151">
        <v>2022</v>
      </c>
      <c r="E1027" s="151" t="s">
        <v>199</v>
      </c>
      <c r="F1027" s="174" t="s">
        <v>7370</v>
      </c>
      <c r="G1027" s="167">
        <f>FCCL!E84</f>
        <v>54243.118000000002</v>
      </c>
      <c r="H1027" s="167">
        <f>AVERAGE('Forensic Inputs'!$G$98,'Forensic Inputs'!$G$100)</f>
        <v>66160.972999999998</v>
      </c>
      <c r="I1027" s="165">
        <f t="shared" si="45"/>
        <v>0.81986578401741472</v>
      </c>
      <c r="J1027" s="165">
        <v>0.81986578401741472</v>
      </c>
      <c r="K1027" s="169">
        <f t="shared" si="46"/>
        <v>0</v>
      </c>
      <c r="L1027" s="165">
        <v>0.16</v>
      </c>
      <c r="M1027" s="151">
        <v>2</v>
      </c>
      <c r="N1027" s="151" t="str">
        <f t="shared" si="47"/>
        <v>No fit</v>
      </c>
      <c r="O1027" s="174" t="s">
        <v>7371</v>
      </c>
      <c r="P1027" s="174" t="s">
        <v>7342</v>
      </c>
    </row>
    <row r="1028" spans="1:16" ht="64.05" customHeight="1" x14ac:dyDescent="0.3">
      <c r="A1028" s="154" t="s">
        <v>7719</v>
      </c>
      <c r="B1028" s="154" t="s">
        <v>6023</v>
      </c>
      <c r="C1028" s="154" t="s">
        <v>114</v>
      </c>
      <c r="D1028" s="154">
        <v>2022</v>
      </c>
      <c r="E1028" s="154" t="s">
        <v>199</v>
      </c>
      <c r="F1028" s="173" t="s">
        <v>7373</v>
      </c>
      <c r="G1028" s="166">
        <f>FCCL!E99</f>
        <v>7112.5400000000009</v>
      </c>
      <c r="H1028" s="166">
        <f>FCCL!E37</f>
        <v>113698.07700000002</v>
      </c>
      <c r="I1028" s="164">
        <f t="shared" si="45"/>
        <v>6.2556379031810716E-2</v>
      </c>
      <c r="J1028" s="164">
        <v>6.2556379031810716E-2</v>
      </c>
      <c r="K1028" s="168">
        <f t="shared" si="46"/>
        <v>0</v>
      </c>
      <c r="L1028" s="164">
        <v>0.16</v>
      </c>
      <c r="M1028" s="154">
        <v>2</v>
      </c>
      <c r="N1028" s="154" t="str">
        <f t="shared" si="47"/>
        <v>No fit</v>
      </c>
      <c r="O1028" s="173" t="s">
        <v>7374</v>
      </c>
      <c r="P1028" s="173" t="s">
        <v>7342</v>
      </c>
    </row>
    <row r="1029" spans="1:16" ht="64.05" customHeight="1" x14ac:dyDescent="0.3">
      <c r="A1029" s="151" t="s">
        <v>7720</v>
      </c>
      <c r="B1029" s="151" t="s">
        <v>6023</v>
      </c>
      <c r="C1029" s="151" t="s">
        <v>114</v>
      </c>
      <c r="D1029" s="151">
        <v>2022</v>
      </c>
      <c r="E1029" s="151" t="s">
        <v>199</v>
      </c>
      <c r="F1029" s="174" t="s">
        <v>7376</v>
      </c>
      <c r="G1029" s="167">
        <f>FCCL!E99</f>
        <v>7112.5400000000009</v>
      </c>
      <c r="H1029" s="167">
        <f>AVERAGE(FCCL!D37,FCCL!E37)</f>
        <v>73875.15400000001</v>
      </c>
      <c r="I1029" s="165">
        <f t="shared" si="45"/>
        <v>9.6277836524036209E-2</v>
      </c>
      <c r="J1029" s="165">
        <v>9.6277836524036209E-2</v>
      </c>
      <c r="K1029" s="169">
        <f t="shared" si="46"/>
        <v>0</v>
      </c>
      <c r="L1029" s="165">
        <v>0.16</v>
      </c>
      <c r="M1029" s="151">
        <v>2</v>
      </c>
      <c r="N1029" s="151" t="str">
        <f t="shared" si="47"/>
        <v>No fit</v>
      </c>
      <c r="O1029" s="174" t="s">
        <v>7377</v>
      </c>
      <c r="P1029" s="174" t="s">
        <v>7342</v>
      </c>
    </row>
    <row r="1030" spans="1:16" ht="64.05" customHeight="1" x14ac:dyDescent="0.3">
      <c r="A1030" s="154" t="s">
        <v>7721</v>
      </c>
      <c r="B1030" s="154" t="s">
        <v>6023</v>
      </c>
      <c r="C1030" s="154" t="s">
        <v>114</v>
      </c>
      <c r="D1030" s="154">
        <v>2022</v>
      </c>
      <c r="E1030" s="154" t="s">
        <v>199</v>
      </c>
      <c r="F1030" s="173" t="s">
        <v>7379</v>
      </c>
      <c r="G1030" s="166">
        <f>FCCL!E99</f>
        <v>7112.5400000000009</v>
      </c>
      <c r="H1030" s="166">
        <f>FCCL!E20</f>
        <v>74126.315000000002</v>
      </c>
      <c r="I1030" s="164">
        <f t="shared" ref="I1030:I1093" si="48">G1030/H1030</f>
        <v>9.5951619880200442E-2</v>
      </c>
      <c r="J1030" s="164">
        <v>9.5951619880200442E-2</v>
      </c>
      <c r="K1030" s="168">
        <f t="shared" ref="K1030:K1093" si="49">I1030-J1030</f>
        <v>0</v>
      </c>
      <c r="L1030" s="164">
        <v>0.16</v>
      </c>
      <c r="M1030" s="154">
        <v>2</v>
      </c>
      <c r="N1030" s="154" t="str">
        <f t="shared" ref="N1030:N1093" si="50">IF(ROUND(I1030,M1030)=ROUND(L1030,M1030),"Numeric fit","No fit")</f>
        <v>No fit</v>
      </c>
      <c r="O1030" s="173" t="s">
        <v>7380</v>
      </c>
      <c r="P1030" s="173" t="s">
        <v>7342</v>
      </c>
    </row>
    <row r="1031" spans="1:16" ht="64.05" customHeight="1" x14ac:dyDescent="0.3">
      <c r="A1031" s="151" t="s">
        <v>7722</v>
      </c>
      <c r="B1031" s="151" t="s">
        <v>6023</v>
      </c>
      <c r="C1031" s="151" t="s">
        <v>114</v>
      </c>
      <c r="D1031" s="151">
        <v>2022</v>
      </c>
      <c r="E1031" s="151" t="s">
        <v>199</v>
      </c>
      <c r="F1031" s="174" t="s">
        <v>7382</v>
      </c>
      <c r="G1031" s="167">
        <f>FCCL!E99</f>
        <v>7112.5400000000009</v>
      </c>
      <c r="H1031" s="167">
        <f>AVERAGE(FCCL!D20,FCCL!E20)</f>
        <v>47774.264999999999</v>
      </c>
      <c r="I1031" s="165">
        <f t="shared" si="48"/>
        <v>0.1488780622789278</v>
      </c>
      <c r="J1031" s="165">
        <v>0.1488780622789278</v>
      </c>
      <c r="K1031" s="169">
        <f t="shared" si="49"/>
        <v>0</v>
      </c>
      <c r="L1031" s="165">
        <v>0.16</v>
      </c>
      <c r="M1031" s="151">
        <v>2</v>
      </c>
      <c r="N1031" s="151" t="str">
        <f t="shared" si="50"/>
        <v>No fit</v>
      </c>
      <c r="O1031" s="174" t="s">
        <v>7383</v>
      </c>
      <c r="P1031" s="174" t="s">
        <v>7342</v>
      </c>
    </row>
    <row r="1032" spans="1:16" ht="64.05" customHeight="1" x14ac:dyDescent="0.3">
      <c r="A1032" s="154" t="s">
        <v>7723</v>
      </c>
      <c r="B1032" s="154" t="s">
        <v>6023</v>
      </c>
      <c r="C1032" s="154" t="s">
        <v>114</v>
      </c>
      <c r="D1032" s="154">
        <v>2022</v>
      </c>
      <c r="E1032" s="154" t="s">
        <v>199</v>
      </c>
      <c r="F1032" s="173" t="s">
        <v>7385</v>
      </c>
      <c r="G1032" s="166">
        <f>FCCL!E99</f>
        <v>7112.5400000000009</v>
      </c>
      <c r="H1032" s="166">
        <f>FCCL!E22</f>
        <v>44324.145000000004</v>
      </c>
      <c r="I1032" s="164">
        <f t="shared" si="48"/>
        <v>0.1604664906677839</v>
      </c>
      <c r="J1032" s="164">
        <v>0.1604664906677839</v>
      </c>
      <c r="K1032" s="168">
        <f t="shared" si="49"/>
        <v>0</v>
      </c>
      <c r="L1032" s="164">
        <v>0.16</v>
      </c>
      <c r="M1032" s="154">
        <v>2</v>
      </c>
      <c r="N1032" s="154" t="str">
        <f t="shared" si="50"/>
        <v>Numeric fit</v>
      </c>
      <c r="O1032" s="173" t="s">
        <v>7386</v>
      </c>
      <c r="P1032" s="173" t="s">
        <v>7342</v>
      </c>
    </row>
    <row r="1033" spans="1:16" ht="64.05" customHeight="1" x14ac:dyDescent="0.3">
      <c r="A1033" s="151" t="s">
        <v>7724</v>
      </c>
      <c r="B1033" s="151" t="s">
        <v>6023</v>
      </c>
      <c r="C1033" s="151" t="s">
        <v>114</v>
      </c>
      <c r="D1033" s="151">
        <v>2022</v>
      </c>
      <c r="E1033" s="151" t="s">
        <v>199</v>
      </c>
      <c r="F1033" s="174" t="s">
        <v>7388</v>
      </c>
      <c r="G1033" s="167">
        <f>FCCL!E99</f>
        <v>7112.5400000000009</v>
      </c>
      <c r="H1033" s="167">
        <f>AVERAGE(FCCL!D22,FCCL!E22)</f>
        <v>32772.136500000001</v>
      </c>
      <c r="I1033" s="165">
        <f t="shared" si="48"/>
        <v>0.2170300981139878</v>
      </c>
      <c r="J1033" s="165">
        <v>0.2170300981139878</v>
      </c>
      <c r="K1033" s="169">
        <f t="shared" si="49"/>
        <v>0</v>
      </c>
      <c r="L1033" s="165">
        <v>0.16</v>
      </c>
      <c r="M1033" s="151">
        <v>2</v>
      </c>
      <c r="N1033" s="151" t="str">
        <f t="shared" si="50"/>
        <v>No fit</v>
      </c>
      <c r="O1033" s="174" t="s">
        <v>7389</v>
      </c>
      <c r="P1033" s="174" t="s">
        <v>7342</v>
      </c>
    </row>
    <row r="1034" spans="1:16" ht="64.05" customHeight="1" x14ac:dyDescent="0.3">
      <c r="A1034" s="154" t="s">
        <v>7725</v>
      </c>
      <c r="B1034" s="154" t="s">
        <v>6023</v>
      </c>
      <c r="C1034" s="154" t="s">
        <v>114</v>
      </c>
      <c r="D1034" s="154">
        <v>2022</v>
      </c>
      <c r="E1034" s="154" t="s">
        <v>199</v>
      </c>
      <c r="F1034" s="173" t="s">
        <v>7391</v>
      </c>
      <c r="G1034" s="166">
        <f>FCCL!E99</f>
        <v>7112.5400000000009</v>
      </c>
      <c r="H1034" s="166">
        <f>FCCL!E28</f>
        <v>85481.265000000014</v>
      </c>
      <c r="I1034" s="164">
        <f t="shared" si="48"/>
        <v>8.3205834635226794E-2</v>
      </c>
      <c r="J1034" s="164">
        <v>8.3205834635226808E-2</v>
      </c>
      <c r="K1034" s="168">
        <f t="shared" si="49"/>
        <v>0</v>
      </c>
      <c r="L1034" s="164">
        <v>0.16</v>
      </c>
      <c r="M1034" s="154">
        <v>2</v>
      </c>
      <c r="N1034" s="154" t="str">
        <f t="shared" si="50"/>
        <v>No fit</v>
      </c>
      <c r="O1034" s="173" t="s">
        <v>7392</v>
      </c>
      <c r="P1034" s="173" t="s">
        <v>7342</v>
      </c>
    </row>
    <row r="1035" spans="1:16" ht="64.05" customHeight="1" x14ac:dyDescent="0.3">
      <c r="A1035" s="151" t="s">
        <v>7726</v>
      </c>
      <c r="B1035" s="151" t="s">
        <v>6023</v>
      </c>
      <c r="C1035" s="151" t="s">
        <v>114</v>
      </c>
      <c r="D1035" s="151">
        <v>2022</v>
      </c>
      <c r="E1035" s="151" t="s">
        <v>199</v>
      </c>
      <c r="F1035" s="174" t="s">
        <v>7394</v>
      </c>
      <c r="G1035" s="167">
        <f>FCCL!E99</f>
        <v>7112.5400000000009</v>
      </c>
      <c r="H1035" s="167">
        <f>AVERAGE(FCCL!D28,FCCL!E28)</f>
        <v>53547.382000000005</v>
      </c>
      <c r="I1035" s="165">
        <f t="shared" si="48"/>
        <v>0.13282703531612433</v>
      </c>
      <c r="J1035" s="165">
        <v>0.13282703531612436</v>
      </c>
      <c r="K1035" s="169">
        <f t="shared" si="49"/>
        <v>0</v>
      </c>
      <c r="L1035" s="165">
        <v>0.16</v>
      </c>
      <c r="M1035" s="151">
        <v>2</v>
      </c>
      <c r="N1035" s="151" t="str">
        <f t="shared" si="50"/>
        <v>No fit</v>
      </c>
      <c r="O1035" s="174" t="s">
        <v>7395</v>
      </c>
      <c r="P1035" s="174" t="s">
        <v>7342</v>
      </c>
    </row>
    <row r="1036" spans="1:16" ht="64.05" customHeight="1" x14ac:dyDescent="0.3">
      <c r="A1036" s="154" t="s">
        <v>7727</v>
      </c>
      <c r="B1036" s="154" t="s">
        <v>6023</v>
      </c>
      <c r="C1036" s="154" t="s">
        <v>114</v>
      </c>
      <c r="D1036" s="154">
        <v>2022</v>
      </c>
      <c r="E1036" s="154" t="s">
        <v>199</v>
      </c>
      <c r="F1036" s="173" t="s">
        <v>7397</v>
      </c>
      <c r="G1036" s="166">
        <f>FCCL!E99</f>
        <v>7112.5400000000009</v>
      </c>
      <c r="H1036" s="166">
        <f>'Forensic Inputs'!$G$100</f>
        <v>93857.971000000005</v>
      </c>
      <c r="I1036" s="164">
        <f t="shared" si="48"/>
        <v>7.5779818423733034E-2</v>
      </c>
      <c r="J1036" s="164">
        <v>7.5779818423733034E-2</v>
      </c>
      <c r="K1036" s="168">
        <f t="shared" si="49"/>
        <v>0</v>
      </c>
      <c r="L1036" s="164">
        <v>0.16</v>
      </c>
      <c r="M1036" s="154">
        <v>2</v>
      </c>
      <c r="N1036" s="154" t="str">
        <f t="shared" si="50"/>
        <v>No fit</v>
      </c>
      <c r="O1036" s="173" t="s">
        <v>7398</v>
      </c>
      <c r="P1036" s="173" t="s">
        <v>7342</v>
      </c>
    </row>
    <row r="1037" spans="1:16" ht="64.05" customHeight="1" x14ac:dyDescent="0.3">
      <c r="A1037" s="151" t="s">
        <v>7728</v>
      </c>
      <c r="B1037" s="151" t="s">
        <v>6023</v>
      </c>
      <c r="C1037" s="151" t="s">
        <v>114</v>
      </c>
      <c r="D1037" s="151">
        <v>2022</v>
      </c>
      <c r="E1037" s="151" t="s">
        <v>199</v>
      </c>
      <c r="F1037" s="174" t="s">
        <v>7400</v>
      </c>
      <c r="G1037" s="167">
        <f>FCCL!E99</f>
        <v>7112.5400000000009</v>
      </c>
      <c r="H1037" s="167">
        <f>('Forensic Inputs'!$G$100-FCCL!E21)</f>
        <v>64055.801000000007</v>
      </c>
      <c r="I1037" s="165">
        <f t="shared" si="48"/>
        <v>0.11103662570701442</v>
      </c>
      <c r="J1037" s="165">
        <v>0.11103662570701442</v>
      </c>
      <c r="K1037" s="169">
        <f t="shared" si="49"/>
        <v>0</v>
      </c>
      <c r="L1037" s="165">
        <v>0.16</v>
      </c>
      <c r="M1037" s="151">
        <v>2</v>
      </c>
      <c r="N1037" s="151" t="str">
        <f t="shared" si="50"/>
        <v>No fit</v>
      </c>
      <c r="O1037" s="174" t="s">
        <v>7401</v>
      </c>
      <c r="P1037" s="174" t="s">
        <v>7342</v>
      </c>
    </row>
    <row r="1038" spans="1:16" ht="64.05" customHeight="1" x14ac:dyDescent="0.3">
      <c r="A1038" s="154" t="s">
        <v>7729</v>
      </c>
      <c r="B1038" s="154" t="s">
        <v>6023</v>
      </c>
      <c r="C1038" s="154" t="s">
        <v>114</v>
      </c>
      <c r="D1038" s="154">
        <v>2022</v>
      </c>
      <c r="E1038" s="154" t="s">
        <v>199</v>
      </c>
      <c r="F1038" s="173" t="s">
        <v>7403</v>
      </c>
      <c r="G1038" s="166">
        <f>FCCL!E99</f>
        <v>7112.5400000000009</v>
      </c>
      <c r="H1038" s="166">
        <f>AVERAGE('Forensic Inputs'!$G$98,'Forensic Inputs'!$G$100)</f>
        <v>66160.972999999998</v>
      </c>
      <c r="I1038" s="164">
        <f t="shared" si="48"/>
        <v>0.10750355802657258</v>
      </c>
      <c r="J1038" s="164">
        <v>0.10750355802657258</v>
      </c>
      <c r="K1038" s="168">
        <f t="shared" si="49"/>
        <v>0</v>
      </c>
      <c r="L1038" s="164">
        <v>0.16</v>
      </c>
      <c r="M1038" s="154">
        <v>2</v>
      </c>
      <c r="N1038" s="154" t="str">
        <f t="shared" si="50"/>
        <v>No fit</v>
      </c>
      <c r="O1038" s="173" t="s">
        <v>7404</v>
      </c>
      <c r="P1038" s="173" t="s">
        <v>7342</v>
      </c>
    </row>
    <row r="1039" spans="1:16" ht="64.05" customHeight="1" x14ac:dyDescent="0.3">
      <c r="A1039" s="151" t="s">
        <v>7730</v>
      </c>
      <c r="B1039" s="151" t="s">
        <v>6023</v>
      </c>
      <c r="C1039" s="151" t="s">
        <v>114</v>
      </c>
      <c r="D1039" s="151">
        <v>2022</v>
      </c>
      <c r="E1039" s="151" t="s">
        <v>199</v>
      </c>
      <c r="F1039" s="174" t="s">
        <v>7406</v>
      </c>
      <c r="G1039" s="167">
        <f>FCCL!E96</f>
        <v>11528.093000000001</v>
      </c>
      <c r="H1039" s="167">
        <f>FCCL!E37</f>
        <v>113698.07700000002</v>
      </c>
      <c r="I1039" s="165">
        <f t="shared" si="48"/>
        <v>0.10139215459202533</v>
      </c>
      <c r="J1039" s="165">
        <v>0.10139215459202533</v>
      </c>
      <c r="K1039" s="169">
        <f t="shared" si="49"/>
        <v>0</v>
      </c>
      <c r="L1039" s="165">
        <v>0.16</v>
      </c>
      <c r="M1039" s="151">
        <v>2</v>
      </c>
      <c r="N1039" s="151" t="str">
        <f t="shared" si="50"/>
        <v>No fit</v>
      </c>
      <c r="O1039" s="174" t="s">
        <v>7407</v>
      </c>
      <c r="P1039" s="174" t="s">
        <v>7342</v>
      </c>
    </row>
    <row r="1040" spans="1:16" ht="64.05" customHeight="1" x14ac:dyDescent="0.3">
      <c r="A1040" s="154" t="s">
        <v>7731</v>
      </c>
      <c r="B1040" s="154" t="s">
        <v>6023</v>
      </c>
      <c r="C1040" s="154" t="s">
        <v>114</v>
      </c>
      <c r="D1040" s="154">
        <v>2022</v>
      </c>
      <c r="E1040" s="154" t="s">
        <v>199</v>
      </c>
      <c r="F1040" s="173" t="s">
        <v>7409</v>
      </c>
      <c r="G1040" s="166">
        <f>FCCL!E96</f>
        <v>11528.093000000001</v>
      </c>
      <c r="H1040" s="166">
        <f>AVERAGE(FCCL!D37,FCCL!E37)</f>
        <v>73875.15400000001</v>
      </c>
      <c r="I1040" s="164">
        <f t="shared" si="48"/>
        <v>0.15604831091113527</v>
      </c>
      <c r="J1040" s="164">
        <v>0.15604831091113527</v>
      </c>
      <c r="K1040" s="168">
        <f t="shared" si="49"/>
        <v>0</v>
      </c>
      <c r="L1040" s="164">
        <v>0.16</v>
      </c>
      <c r="M1040" s="154">
        <v>2</v>
      </c>
      <c r="N1040" s="154" t="str">
        <f t="shared" si="50"/>
        <v>Numeric fit</v>
      </c>
      <c r="O1040" s="173" t="s">
        <v>7410</v>
      </c>
      <c r="P1040" s="173" t="s">
        <v>7342</v>
      </c>
    </row>
    <row r="1041" spans="1:16" ht="64.05" customHeight="1" x14ac:dyDescent="0.3">
      <c r="A1041" s="151" t="s">
        <v>7732</v>
      </c>
      <c r="B1041" s="151" t="s">
        <v>6023</v>
      </c>
      <c r="C1041" s="151" t="s">
        <v>114</v>
      </c>
      <c r="D1041" s="151">
        <v>2022</v>
      </c>
      <c r="E1041" s="151" t="s">
        <v>199</v>
      </c>
      <c r="F1041" s="174" t="s">
        <v>7412</v>
      </c>
      <c r="G1041" s="167">
        <f>FCCL!E96</f>
        <v>11528.093000000001</v>
      </c>
      <c r="H1041" s="167">
        <f>FCCL!E20</f>
        <v>74126.315000000002</v>
      </c>
      <c r="I1041" s="165">
        <f t="shared" si="48"/>
        <v>0.15551957493098098</v>
      </c>
      <c r="J1041" s="165">
        <v>0.15551957493098098</v>
      </c>
      <c r="K1041" s="169">
        <f t="shared" si="49"/>
        <v>0</v>
      </c>
      <c r="L1041" s="165">
        <v>0.16</v>
      </c>
      <c r="M1041" s="151">
        <v>2</v>
      </c>
      <c r="N1041" s="151" t="str">
        <f t="shared" si="50"/>
        <v>Numeric fit</v>
      </c>
      <c r="O1041" s="174" t="s">
        <v>7413</v>
      </c>
      <c r="P1041" s="174" t="s">
        <v>7342</v>
      </c>
    </row>
    <row r="1042" spans="1:16" ht="64.05" customHeight="1" x14ac:dyDescent="0.3">
      <c r="A1042" s="154" t="s">
        <v>7733</v>
      </c>
      <c r="B1042" s="154" t="s">
        <v>6023</v>
      </c>
      <c r="C1042" s="154" t="s">
        <v>114</v>
      </c>
      <c r="D1042" s="154">
        <v>2022</v>
      </c>
      <c r="E1042" s="154" t="s">
        <v>199</v>
      </c>
      <c r="F1042" s="173" t="s">
        <v>7415</v>
      </c>
      <c r="G1042" s="166">
        <f>FCCL!E96</f>
        <v>11528.093000000001</v>
      </c>
      <c r="H1042" s="166">
        <f>AVERAGE(FCCL!D20,FCCL!E20)</f>
        <v>47774.264999999999</v>
      </c>
      <c r="I1042" s="164">
        <f t="shared" si="48"/>
        <v>0.24130340885411844</v>
      </c>
      <c r="J1042" s="164">
        <v>0.24130340885411844</v>
      </c>
      <c r="K1042" s="168">
        <f t="shared" si="49"/>
        <v>0</v>
      </c>
      <c r="L1042" s="164">
        <v>0.16</v>
      </c>
      <c r="M1042" s="154">
        <v>2</v>
      </c>
      <c r="N1042" s="154" t="str">
        <f t="shared" si="50"/>
        <v>No fit</v>
      </c>
      <c r="O1042" s="173" t="s">
        <v>7416</v>
      </c>
      <c r="P1042" s="173" t="s">
        <v>7342</v>
      </c>
    </row>
    <row r="1043" spans="1:16" ht="64.05" customHeight="1" x14ac:dyDescent="0.3">
      <c r="A1043" s="151" t="s">
        <v>7734</v>
      </c>
      <c r="B1043" s="151" t="s">
        <v>6023</v>
      </c>
      <c r="C1043" s="151" t="s">
        <v>114</v>
      </c>
      <c r="D1043" s="151">
        <v>2022</v>
      </c>
      <c r="E1043" s="151" t="s">
        <v>199</v>
      </c>
      <c r="F1043" s="174" t="s">
        <v>7418</v>
      </c>
      <c r="G1043" s="167">
        <f>FCCL!E96</f>
        <v>11528.093000000001</v>
      </c>
      <c r="H1043" s="167">
        <f>FCCL!E22</f>
        <v>44324.145000000004</v>
      </c>
      <c r="I1043" s="165">
        <f t="shared" si="48"/>
        <v>0.26008607723848931</v>
      </c>
      <c r="J1043" s="165">
        <v>0.26008607723848931</v>
      </c>
      <c r="K1043" s="169">
        <f t="shared" si="49"/>
        <v>0</v>
      </c>
      <c r="L1043" s="165">
        <v>0.16</v>
      </c>
      <c r="M1043" s="151">
        <v>2</v>
      </c>
      <c r="N1043" s="151" t="str">
        <f t="shared" si="50"/>
        <v>No fit</v>
      </c>
      <c r="O1043" s="174" t="s">
        <v>7419</v>
      </c>
      <c r="P1043" s="174" t="s">
        <v>7342</v>
      </c>
    </row>
    <row r="1044" spans="1:16" ht="64.05" customHeight="1" x14ac:dyDescent="0.3">
      <c r="A1044" s="154" t="s">
        <v>7735</v>
      </c>
      <c r="B1044" s="154" t="s">
        <v>6023</v>
      </c>
      <c r="C1044" s="154" t="s">
        <v>114</v>
      </c>
      <c r="D1044" s="154">
        <v>2022</v>
      </c>
      <c r="E1044" s="154" t="s">
        <v>199</v>
      </c>
      <c r="F1044" s="173" t="s">
        <v>7421</v>
      </c>
      <c r="G1044" s="166">
        <f>FCCL!E96</f>
        <v>11528.093000000001</v>
      </c>
      <c r="H1044" s="166">
        <f>AVERAGE(FCCL!D22,FCCL!E22)</f>
        <v>32772.136500000001</v>
      </c>
      <c r="I1044" s="164">
        <f t="shared" si="48"/>
        <v>0.35176507335736262</v>
      </c>
      <c r="J1044" s="164">
        <v>0.35176507335736262</v>
      </c>
      <c r="K1044" s="168">
        <f t="shared" si="49"/>
        <v>0</v>
      </c>
      <c r="L1044" s="164">
        <v>0.16</v>
      </c>
      <c r="M1044" s="154">
        <v>2</v>
      </c>
      <c r="N1044" s="154" t="str">
        <f t="shared" si="50"/>
        <v>No fit</v>
      </c>
      <c r="O1044" s="173" t="s">
        <v>7422</v>
      </c>
      <c r="P1044" s="173" t="s">
        <v>7342</v>
      </c>
    </row>
    <row r="1045" spans="1:16" ht="64.05" customHeight="1" x14ac:dyDescent="0.3">
      <c r="A1045" s="151" t="s">
        <v>7736</v>
      </c>
      <c r="B1045" s="151" t="s">
        <v>6023</v>
      </c>
      <c r="C1045" s="151" t="s">
        <v>114</v>
      </c>
      <c r="D1045" s="151">
        <v>2022</v>
      </c>
      <c r="E1045" s="151" t="s">
        <v>199</v>
      </c>
      <c r="F1045" s="174" t="s">
        <v>7424</v>
      </c>
      <c r="G1045" s="167">
        <f>FCCL!E96</f>
        <v>11528.093000000001</v>
      </c>
      <c r="H1045" s="167">
        <f>FCCL!E28</f>
        <v>85481.265000000014</v>
      </c>
      <c r="I1045" s="165">
        <f t="shared" si="48"/>
        <v>0.13486104820746392</v>
      </c>
      <c r="J1045" s="165">
        <v>0.13486104820746395</v>
      </c>
      <c r="K1045" s="169">
        <f t="shared" si="49"/>
        <v>0</v>
      </c>
      <c r="L1045" s="165">
        <v>0.16</v>
      </c>
      <c r="M1045" s="151">
        <v>2</v>
      </c>
      <c r="N1045" s="151" t="str">
        <f t="shared" si="50"/>
        <v>No fit</v>
      </c>
      <c r="O1045" s="174" t="s">
        <v>7425</v>
      </c>
      <c r="P1045" s="174" t="s">
        <v>7342</v>
      </c>
    </row>
    <row r="1046" spans="1:16" ht="64.05" customHeight="1" x14ac:dyDescent="0.3">
      <c r="A1046" s="154" t="s">
        <v>7737</v>
      </c>
      <c r="B1046" s="154" t="s">
        <v>6023</v>
      </c>
      <c r="C1046" s="154" t="s">
        <v>114</v>
      </c>
      <c r="D1046" s="154">
        <v>2022</v>
      </c>
      <c r="E1046" s="154" t="s">
        <v>199</v>
      </c>
      <c r="F1046" s="173" t="s">
        <v>7427</v>
      </c>
      <c r="G1046" s="166">
        <f>FCCL!E96</f>
        <v>11528.093000000001</v>
      </c>
      <c r="H1046" s="166">
        <f>AVERAGE(FCCL!D28,FCCL!E28)</f>
        <v>53547.382000000005</v>
      </c>
      <c r="I1046" s="164">
        <f t="shared" si="48"/>
        <v>0.21528770538212305</v>
      </c>
      <c r="J1046" s="164">
        <v>0.21528770538212311</v>
      </c>
      <c r="K1046" s="168">
        <f t="shared" si="49"/>
        <v>0</v>
      </c>
      <c r="L1046" s="164">
        <v>0.16</v>
      </c>
      <c r="M1046" s="154">
        <v>2</v>
      </c>
      <c r="N1046" s="154" t="str">
        <f t="shared" si="50"/>
        <v>No fit</v>
      </c>
      <c r="O1046" s="173" t="s">
        <v>7428</v>
      </c>
      <c r="P1046" s="173" t="s">
        <v>7342</v>
      </c>
    </row>
    <row r="1047" spans="1:16" ht="64.05" customHeight="1" x14ac:dyDescent="0.3">
      <c r="A1047" s="151" t="s">
        <v>7738</v>
      </c>
      <c r="B1047" s="151" t="s">
        <v>6023</v>
      </c>
      <c r="C1047" s="151" t="s">
        <v>114</v>
      </c>
      <c r="D1047" s="151">
        <v>2022</v>
      </c>
      <c r="E1047" s="151" t="s">
        <v>199</v>
      </c>
      <c r="F1047" s="174" t="s">
        <v>7430</v>
      </c>
      <c r="G1047" s="167">
        <f>FCCL!E96</f>
        <v>11528.093000000001</v>
      </c>
      <c r="H1047" s="167">
        <f>'Forensic Inputs'!$G$100</f>
        <v>93857.971000000005</v>
      </c>
      <c r="I1047" s="165">
        <f t="shared" si="48"/>
        <v>0.12282486907798167</v>
      </c>
      <c r="J1047" s="165">
        <v>0.12282486907798167</v>
      </c>
      <c r="K1047" s="169">
        <f t="shared" si="49"/>
        <v>0</v>
      </c>
      <c r="L1047" s="165">
        <v>0.16</v>
      </c>
      <c r="M1047" s="151">
        <v>2</v>
      </c>
      <c r="N1047" s="151" t="str">
        <f t="shared" si="50"/>
        <v>No fit</v>
      </c>
      <c r="O1047" s="174" t="s">
        <v>7431</v>
      </c>
      <c r="P1047" s="174" t="s">
        <v>7342</v>
      </c>
    </row>
    <row r="1048" spans="1:16" ht="64.05" customHeight="1" x14ac:dyDescent="0.3">
      <c r="A1048" s="154" t="s">
        <v>7739</v>
      </c>
      <c r="B1048" s="154" t="s">
        <v>6023</v>
      </c>
      <c r="C1048" s="154" t="s">
        <v>114</v>
      </c>
      <c r="D1048" s="154">
        <v>2022</v>
      </c>
      <c r="E1048" s="154" t="s">
        <v>199</v>
      </c>
      <c r="F1048" s="173" t="s">
        <v>7433</v>
      </c>
      <c r="G1048" s="166">
        <f>FCCL!E96</f>
        <v>11528.093000000001</v>
      </c>
      <c r="H1048" s="166">
        <f>('Forensic Inputs'!$G$100-FCCL!E21)</f>
        <v>64055.801000000007</v>
      </c>
      <c r="I1048" s="164">
        <f t="shared" si="48"/>
        <v>0.17996953937083698</v>
      </c>
      <c r="J1048" s="164">
        <v>0.17996953937083698</v>
      </c>
      <c r="K1048" s="168">
        <f t="shared" si="49"/>
        <v>0</v>
      </c>
      <c r="L1048" s="164">
        <v>0.16</v>
      </c>
      <c r="M1048" s="154">
        <v>2</v>
      </c>
      <c r="N1048" s="154" t="str">
        <f t="shared" si="50"/>
        <v>No fit</v>
      </c>
      <c r="O1048" s="173" t="s">
        <v>7434</v>
      </c>
      <c r="P1048" s="173" t="s">
        <v>7342</v>
      </c>
    </row>
    <row r="1049" spans="1:16" ht="64.05" customHeight="1" x14ac:dyDescent="0.3">
      <c r="A1049" s="151" t="s">
        <v>7740</v>
      </c>
      <c r="B1049" s="151" t="s">
        <v>6023</v>
      </c>
      <c r="C1049" s="151" t="s">
        <v>114</v>
      </c>
      <c r="D1049" s="151">
        <v>2022</v>
      </c>
      <c r="E1049" s="151" t="s">
        <v>199</v>
      </c>
      <c r="F1049" s="174" t="s">
        <v>7436</v>
      </c>
      <c r="G1049" s="167">
        <f>FCCL!E96</f>
        <v>11528.093000000001</v>
      </c>
      <c r="H1049" s="167">
        <f>AVERAGE('Forensic Inputs'!$G$98,'Forensic Inputs'!$G$100)</f>
        <v>66160.972999999998</v>
      </c>
      <c r="I1049" s="165">
        <f t="shared" si="48"/>
        <v>0.17424309947799591</v>
      </c>
      <c r="J1049" s="165">
        <v>0.17424309947799591</v>
      </c>
      <c r="K1049" s="169">
        <f t="shared" si="49"/>
        <v>0</v>
      </c>
      <c r="L1049" s="165">
        <v>0.16</v>
      </c>
      <c r="M1049" s="151">
        <v>2</v>
      </c>
      <c r="N1049" s="151" t="str">
        <f t="shared" si="50"/>
        <v>No fit</v>
      </c>
      <c r="O1049" s="174" t="s">
        <v>7437</v>
      </c>
      <c r="P1049" s="174" t="s">
        <v>7342</v>
      </c>
    </row>
    <row r="1050" spans="1:16" ht="64.05" customHeight="1" x14ac:dyDescent="0.3">
      <c r="A1050" s="154" t="s">
        <v>7741</v>
      </c>
      <c r="B1050" s="154" t="s">
        <v>6023</v>
      </c>
      <c r="C1050" s="154" t="s">
        <v>114</v>
      </c>
      <c r="D1050" s="154">
        <v>2022</v>
      </c>
      <c r="E1050" s="154" t="s">
        <v>199</v>
      </c>
      <c r="F1050" s="173" t="s">
        <v>7439</v>
      </c>
      <c r="G1050" s="166">
        <f>FCCL!E108</f>
        <v>12729.705000000002</v>
      </c>
      <c r="H1050" s="166">
        <f>FCCL!E37</f>
        <v>113698.07700000002</v>
      </c>
      <c r="I1050" s="164">
        <f t="shared" si="48"/>
        <v>0.11196060070567421</v>
      </c>
      <c r="J1050" s="164">
        <v>0.11196060070567422</v>
      </c>
      <c r="K1050" s="168">
        <f t="shared" si="49"/>
        <v>0</v>
      </c>
      <c r="L1050" s="164">
        <v>0.16</v>
      </c>
      <c r="M1050" s="154">
        <v>2</v>
      </c>
      <c r="N1050" s="154" t="str">
        <f t="shared" si="50"/>
        <v>No fit</v>
      </c>
      <c r="O1050" s="173" t="s">
        <v>7440</v>
      </c>
      <c r="P1050" s="173" t="s">
        <v>7342</v>
      </c>
    </row>
    <row r="1051" spans="1:16" ht="64.05" customHeight="1" x14ac:dyDescent="0.3">
      <c r="A1051" s="151" t="s">
        <v>7742</v>
      </c>
      <c r="B1051" s="151" t="s">
        <v>6023</v>
      </c>
      <c r="C1051" s="151" t="s">
        <v>114</v>
      </c>
      <c r="D1051" s="151">
        <v>2022</v>
      </c>
      <c r="E1051" s="151" t="s">
        <v>199</v>
      </c>
      <c r="F1051" s="174" t="s">
        <v>7442</v>
      </c>
      <c r="G1051" s="167">
        <f>FCCL!E108</f>
        <v>12729.705000000002</v>
      </c>
      <c r="H1051" s="167">
        <f>AVERAGE(FCCL!D37,FCCL!E37)</f>
        <v>73875.15400000001</v>
      </c>
      <c r="I1051" s="165">
        <f t="shared" si="48"/>
        <v>0.17231375246947031</v>
      </c>
      <c r="J1051" s="165">
        <v>0.17231375246947031</v>
      </c>
      <c r="K1051" s="169">
        <f t="shared" si="49"/>
        <v>0</v>
      </c>
      <c r="L1051" s="165">
        <v>0.16</v>
      </c>
      <c r="M1051" s="151">
        <v>2</v>
      </c>
      <c r="N1051" s="151" t="str">
        <f t="shared" si="50"/>
        <v>No fit</v>
      </c>
      <c r="O1051" s="174" t="s">
        <v>7443</v>
      </c>
      <c r="P1051" s="174" t="s">
        <v>7342</v>
      </c>
    </row>
    <row r="1052" spans="1:16" ht="64.05" customHeight="1" x14ac:dyDescent="0.3">
      <c r="A1052" s="154" t="s">
        <v>7743</v>
      </c>
      <c r="B1052" s="154" t="s">
        <v>6023</v>
      </c>
      <c r="C1052" s="154" t="s">
        <v>114</v>
      </c>
      <c r="D1052" s="154">
        <v>2022</v>
      </c>
      <c r="E1052" s="154" t="s">
        <v>199</v>
      </c>
      <c r="F1052" s="173" t="s">
        <v>7445</v>
      </c>
      <c r="G1052" s="166">
        <f>FCCL!E108</f>
        <v>12729.705000000002</v>
      </c>
      <c r="H1052" s="166">
        <f>FCCL!E20</f>
        <v>74126.315000000002</v>
      </c>
      <c r="I1052" s="164">
        <f t="shared" si="48"/>
        <v>0.17172990455548751</v>
      </c>
      <c r="J1052" s="164">
        <v>0.17172990455548751</v>
      </c>
      <c r="K1052" s="168">
        <f t="shared" si="49"/>
        <v>0</v>
      </c>
      <c r="L1052" s="164">
        <v>0.16</v>
      </c>
      <c r="M1052" s="154">
        <v>2</v>
      </c>
      <c r="N1052" s="154" t="str">
        <f t="shared" si="50"/>
        <v>No fit</v>
      </c>
      <c r="O1052" s="173" t="s">
        <v>7446</v>
      </c>
      <c r="P1052" s="173" t="s">
        <v>7342</v>
      </c>
    </row>
    <row r="1053" spans="1:16" ht="64.05" customHeight="1" x14ac:dyDescent="0.3">
      <c r="A1053" s="151" t="s">
        <v>7744</v>
      </c>
      <c r="B1053" s="151" t="s">
        <v>6023</v>
      </c>
      <c r="C1053" s="151" t="s">
        <v>114</v>
      </c>
      <c r="D1053" s="151">
        <v>2022</v>
      </c>
      <c r="E1053" s="151" t="s">
        <v>199</v>
      </c>
      <c r="F1053" s="174" t="s">
        <v>7448</v>
      </c>
      <c r="G1053" s="167">
        <f>FCCL!E108</f>
        <v>12729.705000000002</v>
      </c>
      <c r="H1053" s="167">
        <f>AVERAGE(FCCL!D20,FCCL!E20)</f>
        <v>47774.264999999999</v>
      </c>
      <c r="I1053" s="165">
        <f t="shared" si="48"/>
        <v>0.2664552767059839</v>
      </c>
      <c r="J1053" s="165">
        <v>0.2664552767059839</v>
      </c>
      <c r="K1053" s="169">
        <f t="shared" si="49"/>
        <v>0</v>
      </c>
      <c r="L1053" s="165">
        <v>0.16</v>
      </c>
      <c r="M1053" s="151">
        <v>2</v>
      </c>
      <c r="N1053" s="151" t="str">
        <f t="shared" si="50"/>
        <v>No fit</v>
      </c>
      <c r="O1053" s="174" t="s">
        <v>7449</v>
      </c>
      <c r="P1053" s="174" t="s">
        <v>7342</v>
      </c>
    </row>
    <row r="1054" spans="1:16" ht="64.05" customHeight="1" x14ac:dyDescent="0.3">
      <c r="A1054" s="154" t="s">
        <v>7745</v>
      </c>
      <c r="B1054" s="154" t="s">
        <v>6023</v>
      </c>
      <c r="C1054" s="154" t="s">
        <v>114</v>
      </c>
      <c r="D1054" s="154">
        <v>2022</v>
      </c>
      <c r="E1054" s="154" t="s">
        <v>199</v>
      </c>
      <c r="F1054" s="173" t="s">
        <v>7451</v>
      </c>
      <c r="G1054" s="166">
        <f>FCCL!E108</f>
        <v>12729.705000000002</v>
      </c>
      <c r="H1054" s="166">
        <f>FCCL!E22</f>
        <v>44324.145000000004</v>
      </c>
      <c r="I1054" s="164">
        <f t="shared" si="48"/>
        <v>0.28719572594124493</v>
      </c>
      <c r="J1054" s="164">
        <v>0.28719572594124493</v>
      </c>
      <c r="K1054" s="168">
        <f t="shared" si="49"/>
        <v>0</v>
      </c>
      <c r="L1054" s="164">
        <v>0.16</v>
      </c>
      <c r="M1054" s="154">
        <v>2</v>
      </c>
      <c r="N1054" s="154" t="str">
        <f t="shared" si="50"/>
        <v>No fit</v>
      </c>
      <c r="O1054" s="173" t="s">
        <v>7452</v>
      </c>
      <c r="P1054" s="173" t="s">
        <v>7342</v>
      </c>
    </row>
    <row r="1055" spans="1:16" ht="64.05" customHeight="1" x14ac:dyDescent="0.3">
      <c r="A1055" s="151" t="s">
        <v>7746</v>
      </c>
      <c r="B1055" s="151" t="s">
        <v>6023</v>
      </c>
      <c r="C1055" s="151" t="s">
        <v>114</v>
      </c>
      <c r="D1055" s="151">
        <v>2022</v>
      </c>
      <c r="E1055" s="151" t="s">
        <v>199</v>
      </c>
      <c r="F1055" s="174" t="s">
        <v>7454</v>
      </c>
      <c r="G1055" s="167">
        <f>FCCL!E108</f>
        <v>12729.705000000002</v>
      </c>
      <c r="H1055" s="167">
        <f>AVERAGE(FCCL!D22,FCCL!E22)</f>
        <v>32772.136500000001</v>
      </c>
      <c r="I1055" s="165">
        <f t="shared" si="48"/>
        <v>0.38843073291849622</v>
      </c>
      <c r="J1055" s="165">
        <v>0.38843073291849622</v>
      </c>
      <c r="K1055" s="169">
        <f t="shared" si="49"/>
        <v>0</v>
      </c>
      <c r="L1055" s="165">
        <v>0.16</v>
      </c>
      <c r="M1055" s="151">
        <v>2</v>
      </c>
      <c r="N1055" s="151" t="str">
        <f t="shared" si="50"/>
        <v>No fit</v>
      </c>
      <c r="O1055" s="174" t="s">
        <v>7455</v>
      </c>
      <c r="P1055" s="174" t="s">
        <v>7342</v>
      </c>
    </row>
    <row r="1056" spans="1:16" ht="64.05" customHeight="1" x14ac:dyDescent="0.3">
      <c r="A1056" s="154" t="s">
        <v>7747</v>
      </c>
      <c r="B1056" s="154" t="s">
        <v>6023</v>
      </c>
      <c r="C1056" s="154" t="s">
        <v>114</v>
      </c>
      <c r="D1056" s="154">
        <v>2022</v>
      </c>
      <c r="E1056" s="154" t="s">
        <v>199</v>
      </c>
      <c r="F1056" s="173" t="s">
        <v>7457</v>
      </c>
      <c r="G1056" s="166">
        <f>FCCL!E108</f>
        <v>12729.705000000002</v>
      </c>
      <c r="H1056" s="166">
        <f>FCCL!E28</f>
        <v>85481.265000000014</v>
      </c>
      <c r="I1056" s="164">
        <f t="shared" si="48"/>
        <v>0.14891806994199255</v>
      </c>
      <c r="J1056" s="164">
        <v>0.14891806994199258</v>
      </c>
      <c r="K1056" s="168">
        <f t="shared" si="49"/>
        <v>0</v>
      </c>
      <c r="L1056" s="164">
        <v>0.16</v>
      </c>
      <c r="M1056" s="154">
        <v>2</v>
      </c>
      <c r="N1056" s="154" t="str">
        <f t="shared" si="50"/>
        <v>No fit</v>
      </c>
      <c r="O1056" s="173" t="s">
        <v>7458</v>
      </c>
      <c r="P1056" s="173" t="s">
        <v>7342</v>
      </c>
    </row>
    <row r="1057" spans="1:16" ht="64.05" customHeight="1" x14ac:dyDescent="0.3">
      <c r="A1057" s="151" t="s">
        <v>7748</v>
      </c>
      <c r="B1057" s="151" t="s">
        <v>6023</v>
      </c>
      <c r="C1057" s="151" t="s">
        <v>114</v>
      </c>
      <c r="D1057" s="151">
        <v>2022</v>
      </c>
      <c r="E1057" s="151" t="s">
        <v>199</v>
      </c>
      <c r="F1057" s="174" t="s">
        <v>7460</v>
      </c>
      <c r="G1057" s="167">
        <f>FCCL!E108</f>
        <v>12729.705000000002</v>
      </c>
      <c r="H1057" s="167">
        <f>AVERAGE(FCCL!D28,FCCL!E28)</f>
        <v>53547.382000000005</v>
      </c>
      <c r="I1057" s="165">
        <f t="shared" si="48"/>
        <v>0.23772786874996055</v>
      </c>
      <c r="J1057" s="165">
        <v>0.2377278687499606</v>
      </c>
      <c r="K1057" s="169">
        <f t="shared" si="49"/>
        <v>0</v>
      </c>
      <c r="L1057" s="165">
        <v>0.16</v>
      </c>
      <c r="M1057" s="151">
        <v>2</v>
      </c>
      <c r="N1057" s="151" t="str">
        <f t="shared" si="50"/>
        <v>No fit</v>
      </c>
      <c r="O1057" s="174" t="s">
        <v>7461</v>
      </c>
      <c r="P1057" s="174" t="s">
        <v>7342</v>
      </c>
    </row>
    <row r="1058" spans="1:16" ht="64.05" customHeight="1" x14ac:dyDescent="0.3">
      <c r="A1058" s="154" t="s">
        <v>7749</v>
      </c>
      <c r="B1058" s="154" t="s">
        <v>6023</v>
      </c>
      <c r="C1058" s="154" t="s">
        <v>114</v>
      </c>
      <c r="D1058" s="154">
        <v>2022</v>
      </c>
      <c r="E1058" s="154" t="s">
        <v>199</v>
      </c>
      <c r="F1058" s="173" t="s">
        <v>7463</v>
      </c>
      <c r="G1058" s="166">
        <f>FCCL!E108</f>
        <v>12729.705000000002</v>
      </c>
      <c r="H1058" s="166">
        <f>'Forensic Inputs'!$G$100</f>
        <v>93857.971000000005</v>
      </c>
      <c r="I1058" s="164">
        <f t="shared" si="48"/>
        <v>0.13562731928223765</v>
      </c>
      <c r="J1058" s="164">
        <v>0.13562731928223765</v>
      </c>
      <c r="K1058" s="168">
        <f t="shared" si="49"/>
        <v>0</v>
      </c>
      <c r="L1058" s="164">
        <v>0.16</v>
      </c>
      <c r="M1058" s="154">
        <v>2</v>
      </c>
      <c r="N1058" s="154" t="str">
        <f t="shared" si="50"/>
        <v>No fit</v>
      </c>
      <c r="O1058" s="173" t="s">
        <v>7464</v>
      </c>
      <c r="P1058" s="173" t="s">
        <v>7342</v>
      </c>
    </row>
    <row r="1059" spans="1:16" ht="64.05" customHeight="1" x14ac:dyDescent="0.3">
      <c r="A1059" s="151" t="s">
        <v>7750</v>
      </c>
      <c r="B1059" s="151" t="s">
        <v>6023</v>
      </c>
      <c r="C1059" s="151" t="s">
        <v>114</v>
      </c>
      <c r="D1059" s="151">
        <v>2022</v>
      </c>
      <c r="E1059" s="151" t="s">
        <v>199</v>
      </c>
      <c r="F1059" s="174" t="s">
        <v>7466</v>
      </c>
      <c r="G1059" s="167">
        <f>FCCL!E108</f>
        <v>12729.705000000002</v>
      </c>
      <c r="H1059" s="167">
        <f>('Forensic Inputs'!$G$100-FCCL!E21)</f>
        <v>64055.801000000007</v>
      </c>
      <c r="I1059" s="165">
        <f t="shared" si="48"/>
        <v>0.1987283712212107</v>
      </c>
      <c r="J1059" s="165">
        <v>0.1987283712212107</v>
      </c>
      <c r="K1059" s="169">
        <f t="shared" si="49"/>
        <v>0</v>
      </c>
      <c r="L1059" s="165">
        <v>0.16</v>
      </c>
      <c r="M1059" s="151">
        <v>2</v>
      </c>
      <c r="N1059" s="151" t="str">
        <f t="shared" si="50"/>
        <v>No fit</v>
      </c>
      <c r="O1059" s="174" t="s">
        <v>7467</v>
      </c>
      <c r="P1059" s="174" t="s">
        <v>7342</v>
      </c>
    </row>
    <row r="1060" spans="1:16" ht="64.05" customHeight="1" x14ac:dyDescent="0.3">
      <c r="A1060" s="154" t="s">
        <v>7751</v>
      </c>
      <c r="B1060" s="154" t="s">
        <v>6023</v>
      </c>
      <c r="C1060" s="154" t="s">
        <v>114</v>
      </c>
      <c r="D1060" s="154">
        <v>2022</v>
      </c>
      <c r="E1060" s="154" t="s">
        <v>199</v>
      </c>
      <c r="F1060" s="173" t="s">
        <v>7469</v>
      </c>
      <c r="G1060" s="166">
        <f>FCCL!E108</f>
        <v>12729.705000000002</v>
      </c>
      <c r="H1060" s="166">
        <f>AVERAGE('Forensic Inputs'!$G$98,'Forensic Inputs'!$G$100)</f>
        <v>66160.972999999998</v>
      </c>
      <c r="I1060" s="164">
        <f t="shared" si="48"/>
        <v>0.1924050451918233</v>
      </c>
      <c r="J1060" s="164">
        <v>0.1924050451918233</v>
      </c>
      <c r="K1060" s="168">
        <f t="shared" si="49"/>
        <v>0</v>
      </c>
      <c r="L1060" s="164">
        <v>0.16</v>
      </c>
      <c r="M1060" s="154">
        <v>2</v>
      </c>
      <c r="N1060" s="154" t="str">
        <f t="shared" si="50"/>
        <v>No fit</v>
      </c>
      <c r="O1060" s="173" t="s">
        <v>7470</v>
      </c>
      <c r="P1060" s="173" t="s">
        <v>7342</v>
      </c>
    </row>
    <row r="1061" spans="1:16" ht="64.05" customHeight="1" x14ac:dyDescent="0.3">
      <c r="A1061" s="151" t="s">
        <v>7752</v>
      </c>
      <c r="B1061" s="151" t="s">
        <v>6023</v>
      </c>
      <c r="C1061" s="151" t="s">
        <v>114</v>
      </c>
      <c r="D1061" s="151">
        <v>2022</v>
      </c>
      <c r="E1061" s="151" t="s">
        <v>199</v>
      </c>
      <c r="F1061" s="174" t="s">
        <v>7472</v>
      </c>
      <c r="G1061" s="167">
        <f>FCCL!E91</f>
        <v>11751.85</v>
      </c>
      <c r="H1061" s="167">
        <f>FCCL!E37</f>
        <v>113698.07700000002</v>
      </c>
      <c r="I1061" s="165">
        <f t="shared" si="48"/>
        <v>0.10336014741920392</v>
      </c>
      <c r="J1061" s="165">
        <v>0.10336014741920393</v>
      </c>
      <c r="K1061" s="169">
        <f t="shared" si="49"/>
        <v>0</v>
      </c>
      <c r="L1061" s="165">
        <v>0.16</v>
      </c>
      <c r="M1061" s="151">
        <v>2</v>
      </c>
      <c r="N1061" s="151" t="str">
        <f t="shared" si="50"/>
        <v>No fit</v>
      </c>
      <c r="O1061" s="174" t="s">
        <v>7473</v>
      </c>
      <c r="P1061" s="174" t="s">
        <v>7342</v>
      </c>
    </row>
    <row r="1062" spans="1:16" ht="64.05" customHeight="1" x14ac:dyDescent="0.3">
      <c r="A1062" s="154" t="s">
        <v>7753</v>
      </c>
      <c r="B1062" s="154" t="s">
        <v>6023</v>
      </c>
      <c r="C1062" s="154" t="s">
        <v>114</v>
      </c>
      <c r="D1062" s="154">
        <v>2022</v>
      </c>
      <c r="E1062" s="154" t="s">
        <v>199</v>
      </c>
      <c r="F1062" s="173" t="s">
        <v>7475</v>
      </c>
      <c r="G1062" s="166">
        <f>FCCL!E91</f>
        <v>11751.85</v>
      </c>
      <c r="H1062" s="166">
        <f>AVERAGE(FCCL!D37,FCCL!E37)</f>
        <v>73875.15400000001</v>
      </c>
      <c r="I1062" s="164">
        <f t="shared" si="48"/>
        <v>0.15907716415724832</v>
      </c>
      <c r="J1062" s="164">
        <v>0.15907716415724832</v>
      </c>
      <c r="K1062" s="168">
        <f t="shared" si="49"/>
        <v>0</v>
      </c>
      <c r="L1062" s="164">
        <v>0.16</v>
      </c>
      <c r="M1062" s="154">
        <v>2</v>
      </c>
      <c r="N1062" s="154" t="str">
        <f t="shared" si="50"/>
        <v>Numeric fit</v>
      </c>
      <c r="O1062" s="173" t="s">
        <v>7476</v>
      </c>
      <c r="P1062" s="173" t="s">
        <v>7342</v>
      </c>
    </row>
    <row r="1063" spans="1:16" ht="64.05" customHeight="1" x14ac:dyDescent="0.3">
      <c r="A1063" s="151" t="s">
        <v>7754</v>
      </c>
      <c r="B1063" s="151" t="s">
        <v>6023</v>
      </c>
      <c r="C1063" s="151" t="s">
        <v>114</v>
      </c>
      <c r="D1063" s="151">
        <v>2022</v>
      </c>
      <c r="E1063" s="151" t="s">
        <v>199</v>
      </c>
      <c r="F1063" s="174" t="s">
        <v>7478</v>
      </c>
      <c r="G1063" s="167">
        <f>FCCL!E91</f>
        <v>11751.85</v>
      </c>
      <c r="H1063" s="167">
        <f>FCCL!E20</f>
        <v>74126.315000000002</v>
      </c>
      <c r="I1063" s="165">
        <f t="shared" si="48"/>
        <v>0.1585381655623917</v>
      </c>
      <c r="J1063" s="165">
        <v>0.1585381655623917</v>
      </c>
      <c r="K1063" s="169">
        <f t="shared" si="49"/>
        <v>0</v>
      </c>
      <c r="L1063" s="165">
        <v>0.16</v>
      </c>
      <c r="M1063" s="151">
        <v>2</v>
      </c>
      <c r="N1063" s="151" t="str">
        <f t="shared" si="50"/>
        <v>Numeric fit</v>
      </c>
      <c r="O1063" s="174" t="s">
        <v>7479</v>
      </c>
      <c r="P1063" s="174" t="s">
        <v>7342</v>
      </c>
    </row>
    <row r="1064" spans="1:16" ht="64.05" customHeight="1" x14ac:dyDescent="0.3">
      <c r="A1064" s="154" t="s">
        <v>7755</v>
      </c>
      <c r="B1064" s="154" t="s">
        <v>6023</v>
      </c>
      <c r="C1064" s="154" t="s">
        <v>114</v>
      </c>
      <c r="D1064" s="154">
        <v>2022</v>
      </c>
      <c r="E1064" s="154" t="s">
        <v>199</v>
      </c>
      <c r="F1064" s="173" t="s">
        <v>7481</v>
      </c>
      <c r="G1064" s="166">
        <f>FCCL!E91</f>
        <v>11751.85</v>
      </c>
      <c r="H1064" s="166">
        <f>AVERAGE(FCCL!D20,FCCL!E20)</f>
        <v>47774.264999999999</v>
      </c>
      <c r="I1064" s="164">
        <f t="shared" si="48"/>
        <v>0.24598703925638626</v>
      </c>
      <c r="J1064" s="164">
        <v>0.24598703925638626</v>
      </c>
      <c r="K1064" s="168">
        <f t="shared" si="49"/>
        <v>0</v>
      </c>
      <c r="L1064" s="164">
        <v>0.16</v>
      </c>
      <c r="M1064" s="154">
        <v>2</v>
      </c>
      <c r="N1064" s="154" t="str">
        <f t="shared" si="50"/>
        <v>No fit</v>
      </c>
      <c r="O1064" s="173" t="s">
        <v>7482</v>
      </c>
      <c r="P1064" s="173" t="s">
        <v>7342</v>
      </c>
    </row>
    <row r="1065" spans="1:16" ht="64.05" customHeight="1" x14ac:dyDescent="0.3">
      <c r="A1065" s="151" t="s">
        <v>7756</v>
      </c>
      <c r="B1065" s="151" t="s">
        <v>6023</v>
      </c>
      <c r="C1065" s="151" t="s">
        <v>114</v>
      </c>
      <c r="D1065" s="151">
        <v>2022</v>
      </c>
      <c r="E1065" s="151" t="s">
        <v>199</v>
      </c>
      <c r="F1065" s="174" t="s">
        <v>7484</v>
      </c>
      <c r="G1065" s="167">
        <f>FCCL!E91</f>
        <v>11751.85</v>
      </c>
      <c r="H1065" s="167">
        <f>FCCL!E22</f>
        <v>44324.145000000004</v>
      </c>
      <c r="I1065" s="165">
        <f t="shared" si="48"/>
        <v>0.26513427388165073</v>
      </c>
      <c r="J1065" s="165">
        <v>0.26513427388165073</v>
      </c>
      <c r="K1065" s="169">
        <f t="shared" si="49"/>
        <v>0</v>
      </c>
      <c r="L1065" s="165">
        <v>0.16</v>
      </c>
      <c r="M1065" s="151">
        <v>2</v>
      </c>
      <c r="N1065" s="151" t="str">
        <f t="shared" si="50"/>
        <v>No fit</v>
      </c>
      <c r="O1065" s="174" t="s">
        <v>7485</v>
      </c>
      <c r="P1065" s="174" t="s">
        <v>7342</v>
      </c>
    </row>
    <row r="1066" spans="1:16" ht="64.05" customHeight="1" x14ac:dyDescent="0.3">
      <c r="A1066" s="154" t="s">
        <v>7757</v>
      </c>
      <c r="B1066" s="154" t="s">
        <v>6023</v>
      </c>
      <c r="C1066" s="154" t="s">
        <v>114</v>
      </c>
      <c r="D1066" s="154">
        <v>2022</v>
      </c>
      <c r="E1066" s="154" t="s">
        <v>199</v>
      </c>
      <c r="F1066" s="173" t="s">
        <v>7487</v>
      </c>
      <c r="G1066" s="166">
        <f>FCCL!E91</f>
        <v>11751.85</v>
      </c>
      <c r="H1066" s="166">
        <f>AVERAGE(FCCL!D22,FCCL!E22)</f>
        <v>32772.136500000001</v>
      </c>
      <c r="I1066" s="164">
        <f t="shared" si="48"/>
        <v>0.35859273318967166</v>
      </c>
      <c r="J1066" s="164">
        <v>0.35859273318967166</v>
      </c>
      <c r="K1066" s="168">
        <f t="shared" si="49"/>
        <v>0</v>
      </c>
      <c r="L1066" s="164">
        <v>0.16</v>
      </c>
      <c r="M1066" s="154">
        <v>2</v>
      </c>
      <c r="N1066" s="154" t="str">
        <f t="shared" si="50"/>
        <v>No fit</v>
      </c>
      <c r="O1066" s="173" t="s">
        <v>7488</v>
      </c>
      <c r="P1066" s="173" t="s">
        <v>7342</v>
      </c>
    </row>
    <row r="1067" spans="1:16" ht="64.05" customHeight="1" x14ac:dyDescent="0.3">
      <c r="A1067" s="151" t="s">
        <v>7758</v>
      </c>
      <c r="B1067" s="151" t="s">
        <v>6023</v>
      </c>
      <c r="C1067" s="151" t="s">
        <v>114</v>
      </c>
      <c r="D1067" s="151">
        <v>2022</v>
      </c>
      <c r="E1067" s="151" t="s">
        <v>199</v>
      </c>
      <c r="F1067" s="174" t="s">
        <v>7490</v>
      </c>
      <c r="G1067" s="167">
        <f>FCCL!E91</f>
        <v>11751.85</v>
      </c>
      <c r="H1067" s="167">
        <f>FCCL!E28</f>
        <v>85481.265000000014</v>
      </c>
      <c r="I1067" s="165">
        <f t="shared" si="48"/>
        <v>0.1374786627221766</v>
      </c>
      <c r="J1067" s="165">
        <v>0.13747866272217663</v>
      </c>
      <c r="K1067" s="169">
        <f t="shared" si="49"/>
        <v>0</v>
      </c>
      <c r="L1067" s="165">
        <v>0.16</v>
      </c>
      <c r="M1067" s="151">
        <v>2</v>
      </c>
      <c r="N1067" s="151" t="str">
        <f t="shared" si="50"/>
        <v>No fit</v>
      </c>
      <c r="O1067" s="174" t="s">
        <v>7491</v>
      </c>
      <c r="P1067" s="174" t="s">
        <v>7342</v>
      </c>
    </row>
    <row r="1068" spans="1:16" ht="64.05" customHeight="1" x14ac:dyDescent="0.3">
      <c r="A1068" s="154" t="s">
        <v>7759</v>
      </c>
      <c r="B1068" s="154" t="s">
        <v>6023</v>
      </c>
      <c r="C1068" s="154" t="s">
        <v>114</v>
      </c>
      <c r="D1068" s="154">
        <v>2022</v>
      </c>
      <c r="E1068" s="154" t="s">
        <v>199</v>
      </c>
      <c r="F1068" s="173" t="s">
        <v>7493</v>
      </c>
      <c r="G1068" s="166">
        <f>FCCL!E91</f>
        <v>11751.85</v>
      </c>
      <c r="H1068" s="166">
        <f>AVERAGE(FCCL!D28,FCCL!E28)</f>
        <v>53547.382000000005</v>
      </c>
      <c r="I1068" s="164">
        <f t="shared" si="48"/>
        <v>0.21946637839362529</v>
      </c>
      <c r="J1068" s="164">
        <v>0.21946637839362532</v>
      </c>
      <c r="K1068" s="168">
        <f t="shared" si="49"/>
        <v>0</v>
      </c>
      <c r="L1068" s="164">
        <v>0.16</v>
      </c>
      <c r="M1068" s="154">
        <v>2</v>
      </c>
      <c r="N1068" s="154" t="str">
        <f t="shared" si="50"/>
        <v>No fit</v>
      </c>
      <c r="O1068" s="173" t="s">
        <v>7494</v>
      </c>
      <c r="P1068" s="173" t="s">
        <v>7342</v>
      </c>
    </row>
    <row r="1069" spans="1:16" ht="64.05" customHeight="1" x14ac:dyDescent="0.3">
      <c r="A1069" s="151" t="s">
        <v>7760</v>
      </c>
      <c r="B1069" s="151" t="s">
        <v>6023</v>
      </c>
      <c r="C1069" s="151" t="s">
        <v>114</v>
      </c>
      <c r="D1069" s="151">
        <v>2022</v>
      </c>
      <c r="E1069" s="151" t="s">
        <v>199</v>
      </c>
      <c r="F1069" s="174" t="s">
        <v>7496</v>
      </c>
      <c r="G1069" s="167">
        <f>FCCL!E91</f>
        <v>11751.85</v>
      </c>
      <c r="H1069" s="167">
        <f>'Forensic Inputs'!$G$100</f>
        <v>93857.971000000005</v>
      </c>
      <c r="I1069" s="165">
        <f t="shared" si="48"/>
        <v>0.12520886478570903</v>
      </c>
      <c r="J1069" s="165">
        <v>0.12520886478570903</v>
      </c>
      <c r="K1069" s="169">
        <f t="shared" si="49"/>
        <v>0</v>
      </c>
      <c r="L1069" s="165">
        <v>0.16</v>
      </c>
      <c r="M1069" s="151">
        <v>2</v>
      </c>
      <c r="N1069" s="151" t="str">
        <f t="shared" si="50"/>
        <v>No fit</v>
      </c>
      <c r="O1069" s="174" t="s">
        <v>7497</v>
      </c>
      <c r="P1069" s="174" t="s">
        <v>7342</v>
      </c>
    </row>
    <row r="1070" spans="1:16" ht="64.05" customHeight="1" x14ac:dyDescent="0.3">
      <c r="A1070" s="154" t="s">
        <v>7761</v>
      </c>
      <c r="B1070" s="154" t="s">
        <v>6023</v>
      </c>
      <c r="C1070" s="154" t="s">
        <v>114</v>
      </c>
      <c r="D1070" s="154">
        <v>2022</v>
      </c>
      <c r="E1070" s="154" t="s">
        <v>199</v>
      </c>
      <c r="F1070" s="173" t="s">
        <v>7499</v>
      </c>
      <c r="G1070" s="166">
        <f>FCCL!E91</f>
        <v>11751.85</v>
      </c>
      <c r="H1070" s="166">
        <f>('Forensic Inputs'!$G$100-FCCL!E21)</f>
        <v>64055.801000000007</v>
      </c>
      <c r="I1070" s="164">
        <f t="shared" si="48"/>
        <v>0.18346269684458397</v>
      </c>
      <c r="J1070" s="164">
        <v>0.18346269684458397</v>
      </c>
      <c r="K1070" s="168">
        <f t="shared" si="49"/>
        <v>0</v>
      </c>
      <c r="L1070" s="164">
        <v>0.16</v>
      </c>
      <c r="M1070" s="154">
        <v>2</v>
      </c>
      <c r="N1070" s="154" t="str">
        <f t="shared" si="50"/>
        <v>No fit</v>
      </c>
      <c r="O1070" s="173" t="s">
        <v>7500</v>
      </c>
      <c r="P1070" s="173" t="s">
        <v>7342</v>
      </c>
    </row>
    <row r="1071" spans="1:16" ht="64.05" customHeight="1" x14ac:dyDescent="0.3">
      <c r="A1071" s="151" t="s">
        <v>7762</v>
      </c>
      <c r="B1071" s="151" t="s">
        <v>6023</v>
      </c>
      <c r="C1071" s="151" t="s">
        <v>114</v>
      </c>
      <c r="D1071" s="151">
        <v>2022</v>
      </c>
      <c r="E1071" s="151" t="s">
        <v>199</v>
      </c>
      <c r="F1071" s="174" t="s">
        <v>7502</v>
      </c>
      <c r="G1071" s="167">
        <f>FCCL!E91</f>
        <v>11751.85</v>
      </c>
      <c r="H1071" s="167">
        <f>AVERAGE('Forensic Inputs'!$G$98,'Forensic Inputs'!$G$100)</f>
        <v>66160.972999999998</v>
      </c>
      <c r="I1071" s="165">
        <f t="shared" si="48"/>
        <v>0.17762510838527118</v>
      </c>
      <c r="J1071" s="165">
        <v>0.17762510838527118</v>
      </c>
      <c r="K1071" s="169">
        <f t="shared" si="49"/>
        <v>0</v>
      </c>
      <c r="L1071" s="165">
        <v>0.16</v>
      </c>
      <c r="M1071" s="151">
        <v>2</v>
      </c>
      <c r="N1071" s="151" t="str">
        <f t="shared" si="50"/>
        <v>No fit</v>
      </c>
      <c r="O1071" s="174" t="s">
        <v>7503</v>
      </c>
      <c r="P1071" s="174" t="s">
        <v>7342</v>
      </c>
    </row>
    <row r="1072" spans="1:16" ht="64.05" customHeight="1" x14ac:dyDescent="0.3">
      <c r="A1072" s="154" t="s">
        <v>7763</v>
      </c>
      <c r="B1072" s="154" t="s">
        <v>6028</v>
      </c>
      <c r="C1072" s="154" t="s">
        <v>114</v>
      </c>
      <c r="D1072" s="154">
        <v>2023</v>
      </c>
      <c r="E1072" s="154" t="s">
        <v>199</v>
      </c>
      <c r="F1072" s="173" t="s">
        <v>5893</v>
      </c>
      <c r="G1072" s="166">
        <f>FCCL!F84</f>
        <v>68069.282000000007</v>
      </c>
      <c r="H1072" s="166">
        <f>AVERAGE(FCCL!E22,FCCL!F22)</f>
        <v>57109.076999999997</v>
      </c>
      <c r="I1072" s="164">
        <f t="shared" si="48"/>
        <v>1.1919170397378338</v>
      </c>
      <c r="J1072" s="164">
        <v>1.1919170397378338</v>
      </c>
      <c r="K1072" s="168">
        <f t="shared" si="49"/>
        <v>0</v>
      </c>
      <c r="L1072" s="164">
        <v>0.11</v>
      </c>
      <c r="M1072" s="154">
        <v>2</v>
      </c>
      <c r="N1072" s="154" t="str">
        <f t="shared" si="50"/>
        <v>No fit</v>
      </c>
      <c r="O1072" s="173" t="s">
        <v>6050</v>
      </c>
      <c r="P1072" s="173" t="s">
        <v>6051</v>
      </c>
    </row>
    <row r="1073" spans="1:16" ht="64.05" customHeight="1" x14ac:dyDescent="0.3">
      <c r="A1073" s="151" t="s">
        <v>7764</v>
      </c>
      <c r="B1073" s="151" t="s">
        <v>6028</v>
      </c>
      <c r="C1073" s="151" t="s">
        <v>114</v>
      </c>
      <c r="D1073" s="151">
        <v>2023</v>
      </c>
      <c r="E1073" s="151" t="s">
        <v>199</v>
      </c>
      <c r="F1073" s="174" t="s">
        <v>6009</v>
      </c>
      <c r="G1073" s="167">
        <f>FCCL!F84</f>
        <v>68069.282000000007</v>
      </c>
      <c r="H1073" s="167">
        <f>FCCL!F37</f>
        <v>138828.497</v>
      </c>
      <c r="I1073" s="165">
        <f t="shared" si="48"/>
        <v>0.49031202866080159</v>
      </c>
      <c r="J1073" s="165">
        <v>0.49031202866080159</v>
      </c>
      <c r="K1073" s="169">
        <f t="shared" si="49"/>
        <v>0</v>
      </c>
      <c r="L1073" s="165">
        <v>0.11</v>
      </c>
      <c r="M1073" s="151">
        <v>2</v>
      </c>
      <c r="N1073" s="151" t="str">
        <f t="shared" si="50"/>
        <v>No fit</v>
      </c>
      <c r="O1073" s="174" t="s">
        <v>7341</v>
      </c>
      <c r="P1073" s="174" t="s">
        <v>7342</v>
      </c>
    </row>
    <row r="1074" spans="1:16" ht="64.05" customHeight="1" x14ac:dyDescent="0.3">
      <c r="A1074" s="154" t="s">
        <v>7765</v>
      </c>
      <c r="B1074" s="154" t="s">
        <v>6028</v>
      </c>
      <c r="C1074" s="154" t="s">
        <v>114</v>
      </c>
      <c r="D1074" s="154">
        <v>2023</v>
      </c>
      <c r="E1074" s="154" t="s">
        <v>199</v>
      </c>
      <c r="F1074" s="173" t="s">
        <v>7344</v>
      </c>
      <c r="G1074" s="166">
        <f>FCCL!F84</f>
        <v>68069.282000000007</v>
      </c>
      <c r="H1074" s="166">
        <f>AVERAGE(FCCL!E37,FCCL!F37)</f>
        <v>126263.28700000001</v>
      </c>
      <c r="I1074" s="164">
        <f t="shared" si="48"/>
        <v>0.53910589227730144</v>
      </c>
      <c r="J1074" s="164">
        <v>0.53910589227730144</v>
      </c>
      <c r="K1074" s="168">
        <f t="shared" si="49"/>
        <v>0</v>
      </c>
      <c r="L1074" s="164">
        <v>0.11</v>
      </c>
      <c r="M1074" s="154">
        <v>2</v>
      </c>
      <c r="N1074" s="154" t="str">
        <f t="shared" si="50"/>
        <v>No fit</v>
      </c>
      <c r="O1074" s="173" t="s">
        <v>7345</v>
      </c>
      <c r="P1074" s="173" t="s">
        <v>7342</v>
      </c>
    </row>
    <row r="1075" spans="1:16" ht="64.05" customHeight="1" x14ac:dyDescent="0.3">
      <c r="A1075" s="151" t="s">
        <v>7766</v>
      </c>
      <c r="B1075" s="151" t="s">
        <v>6028</v>
      </c>
      <c r="C1075" s="151" t="s">
        <v>114</v>
      </c>
      <c r="D1075" s="151">
        <v>2023</v>
      </c>
      <c r="E1075" s="151" t="s">
        <v>199</v>
      </c>
      <c r="F1075" s="174" t="s">
        <v>6025</v>
      </c>
      <c r="G1075" s="167">
        <f>FCCL!F84</f>
        <v>68069.282000000007</v>
      </c>
      <c r="H1075" s="167">
        <f>FCCL!F20</f>
        <v>104425.181</v>
      </c>
      <c r="I1075" s="165">
        <f t="shared" si="48"/>
        <v>0.65184739301529204</v>
      </c>
      <c r="J1075" s="165">
        <v>0.65184739301529204</v>
      </c>
      <c r="K1075" s="169">
        <f t="shared" si="49"/>
        <v>0</v>
      </c>
      <c r="L1075" s="165">
        <v>0.11</v>
      </c>
      <c r="M1075" s="151">
        <v>2</v>
      </c>
      <c r="N1075" s="151" t="str">
        <f t="shared" si="50"/>
        <v>No fit</v>
      </c>
      <c r="O1075" s="174" t="s">
        <v>7347</v>
      </c>
      <c r="P1075" s="174" t="s">
        <v>7342</v>
      </c>
    </row>
    <row r="1076" spans="1:16" ht="64.05" customHeight="1" x14ac:dyDescent="0.3">
      <c r="A1076" s="154" t="s">
        <v>7767</v>
      </c>
      <c r="B1076" s="154" t="s">
        <v>6028</v>
      </c>
      <c r="C1076" s="154" t="s">
        <v>114</v>
      </c>
      <c r="D1076" s="154">
        <v>2023</v>
      </c>
      <c r="E1076" s="154" t="s">
        <v>199</v>
      </c>
      <c r="F1076" s="173" t="s">
        <v>7349</v>
      </c>
      <c r="G1076" s="166">
        <f>FCCL!F84</f>
        <v>68069.282000000007</v>
      </c>
      <c r="H1076" s="166">
        <f>AVERAGE(FCCL!E20,FCCL!F20)</f>
        <v>89275.747999999992</v>
      </c>
      <c r="I1076" s="164">
        <f t="shared" si="48"/>
        <v>0.76246106613410858</v>
      </c>
      <c r="J1076" s="164">
        <v>0.76246106613410858</v>
      </c>
      <c r="K1076" s="168">
        <f t="shared" si="49"/>
        <v>0</v>
      </c>
      <c r="L1076" s="164">
        <v>0.11</v>
      </c>
      <c r="M1076" s="154">
        <v>2</v>
      </c>
      <c r="N1076" s="154" t="str">
        <f t="shared" si="50"/>
        <v>No fit</v>
      </c>
      <c r="O1076" s="173" t="s">
        <v>7350</v>
      </c>
      <c r="P1076" s="173" t="s">
        <v>7342</v>
      </c>
    </row>
    <row r="1077" spans="1:16" ht="64.05" customHeight="1" x14ac:dyDescent="0.3">
      <c r="A1077" s="151" t="s">
        <v>7768</v>
      </c>
      <c r="B1077" s="151" t="s">
        <v>6028</v>
      </c>
      <c r="C1077" s="151" t="s">
        <v>114</v>
      </c>
      <c r="D1077" s="151">
        <v>2023</v>
      </c>
      <c r="E1077" s="151" t="s">
        <v>199</v>
      </c>
      <c r="F1077" s="174" t="s">
        <v>7352</v>
      </c>
      <c r="G1077" s="167">
        <f>FCCL!F84</f>
        <v>68069.282000000007</v>
      </c>
      <c r="H1077" s="167">
        <f>FCCL!F22</f>
        <v>69894.008999999991</v>
      </c>
      <c r="I1077" s="165">
        <f t="shared" si="48"/>
        <v>0.97389294123906978</v>
      </c>
      <c r="J1077" s="165">
        <v>0.97389294123906978</v>
      </c>
      <c r="K1077" s="169">
        <f t="shared" si="49"/>
        <v>0</v>
      </c>
      <c r="L1077" s="165">
        <v>0.11</v>
      </c>
      <c r="M1077" s="151">
        <v>2</v>
      </c>
      <c r="N1077" s="151" t="str">
        <f t="shared" si="50"/>
        <v>No fit</v>
      </c>
      <c r="O1077" s="174" t="s">
        <v>7353</v>
      </c>
      <c r="P1077" s="174" t="s">
        <v>7342</v>
      </c>
    </row>
    <row r="1078" spans="1:16" ht="64.05" customHeight="1" x14ac:dyDescent="0.3">
      <c r="A1078" s="154" t="s">
        <v>7769</v>
      </c>
      <c r="B1078" s="154" t="s">
        <v>6028</v>
      </c>
      <c r="C1078" s="154" t="s">
        <v>114</v>
      </c>
      <c r="D1078" s="154">
        <v>2023</v>
      </c>
      <c r="E1078" s="154" t="s">
        <v>199</v>
      </c>
      <c r="F1078" s="173" t="s">
        <v>7355</v>
      </c>
      <c r="G1078" s="166">
        <f>FCCL!F84</f>
        <v>68069.282000000007</v>
      </c>
      <c r="H1078" s="166">
        <f>AVERAGE(FCCL!E22,FCCL!F22)</f>
        <v>57109.076999999997</v>
      </c>
      <c r="I1078" s="164">
        <f t="shared" si="48"/>
        <v>1.1919170397378338</v>
      </c>
      <c r="J1078" s="164">
        <v>1.1919170397378338</v>
      </c>
      <c r="K1078" s="168">
        <f t="shared" si="49"/>
        <v>0</v>
      </c>
      <c r="L1078" s="164">
        <v>0.11</v>
      </c>
      <c r="M1078" s="154">
        <v>2</v>
      </c>
      <c r="N1078" s="154" t="str">
        <f t="shared" si="50"/>
        <v>No fit</v>
      </c>
      <c r="O1078" s="173" t="s">
        <v>7356</v>
      </c>
      <c r="P1078" s="173" t="s">
        <v>7342</v>
      </c>
    </row>
    <row r="1079" spans="1:16" ht="64.05" customHeight="1" x14ac:dyDescent="0.3">
      <c r="A1079" s="151" t="s">
        <v>7770</v>
      </c>
      <c r="B1079" s="151" t="s">
        <v>6028</v>
      </c>
      <c r="C1079" s="151" t="s">
        <v>114</v>
      </c>
      <c r="D1079" s="151">
        <v>2023</v>
      </c>
      <c r="E1079" s="151" t="s">
        <v>199</v>
      </c>
      <c r="F1079" s="174" t="s">
        <v>7358</v>
      </c>
      <c r="G1079" s="167">
        <f>FCCL!F84</f>
        <v>68069.282000000007</v>
      </c>
      <c r="H1079" s="167">
        <f>FCCL!F28</f>
        <v>115693.99799999999</v>
      </c>
      <c r="I1079" s="165">
        <f t="shared" si="48"/>
        <v>0.58835620841800296</v>
      </c>
      <c r="J1079" s="165">
        <v>0.58835620841800296</v>
      </c>
      <c r="K1079" s="169">
        <f t="shared" si="49"/>
        <v>0</v>
      </c>
      <c r="L1079" s="165">
        <v>0.11</v>
      </c>
      <c r="M1079" s="151">
        <v>2</v>
      </c>
      <c r="N1079" s="151" t="str">
        <f t="shared" si="50"/>
        <v>No fit</v>
      </c>
      <c r="O1079" s="174" t="s">
        <v>7359</v>
      </c>
      <c r="P1079" s="174" t="s">
        <v>7342</v>
      </c>
    </row>
    <row r="1080" spans="1:16" ht="64.05" customHeight="1" x14ac:dyDescent="0.3">
      <c r="A1080" s="154" t="s">
        <v>7771</v>
      </c>
      <c r="B1080" s="154" t="s">
        <v>6028</v>
      </c>
      <c r="C1080" s="154" t="s">
        <v>114</v>
      </c>
      <c r="D1080" s="154">
        <v>2023</v>
      </c>
      <c r="E1080" s="154" t="s">
        <v>199</v>
      </c>
      <c r="F1080" s="173" t="s">
        <v>7361</v>
      </c>
      <c r="G1080" s="166">
        <f>FCCL!F84</f>
        <v>68069.282000000007</v>
      </c>
      <c r="H1080" s="166">
        <f>AVERAGE(FCCL!E28,FCCL!F28)</f>
        <v>100587.6315</v>
      </c>
      <c r="I1080" s="164">
        <f t="shared" si="48"/>
        <v>0.67671622231208417</v>
      </c>
      <c r="J1080" s="164">
        <v>0.67671622231208428</v>
      </c>
      <c r="K1080" s="168">
        <f t="shared" si="49"/>
        <v>0</v>
      </c>
      <c r="L1080" s="164">
        <v>0.11</v>
      </c>
      <c r="M1080" s="154">
        <v>2</v>
      </c>
      <c r="N1080" s="154" t="str">
        <f t="shared" si="50"/>
        <v>No fit</v>
      </c>
      <c r="O1080" s="173" t="s">
        <v>7362</v>
      </c>
      <c r="P1080" s="173" t="s">
        <v>7342</v>
      </c>
    </row>
    <row r="1081" spans="1:16" ht="64.05" customHeight="1" x14ac:dyDescent="0.3">
      <c r="A1081" s="151" t="s">
        <v>7772</v>
      </c>
      <c r="B1081" s="151" t="s">
        <v>6028</v>
      </c>
      <c r="C1081" s="151" t="s">
        <v>114</v>
      </c>
      <c r="D1081" s="151">
        <v>2023</v>
      </c>
      <c r="E1081" s="151" t="s">
        <v>199</v>
      </c>
      <c r="F1081" s="174" t="s">
        <v>7364</v>
      </c>
      <c r="G1081" s="167">
        <f>FCCL!F84</f>
        <v>68069.282000000007</v>
      </c>
      <c r="H1081" s="167">
        <f>'Forensic Inputs'!$G$102</f>
        <v>127453.357</v>
      </c>
      <c r="I1081" s="165">
        <f t="shared" si="48"/>
        <v>0.53407209980353831</v>
      </c>
      <c r="J1081" s="165">
        <v>0.53407209980353831</v>
      </c>
      <c r="K1081" s="169">
        <f t="shared" si="49"/>
        <v>0</v>
      </c>
      <c r="L1081" s="165">
        <v>0.11</v>
      </c>
      <c r="M1081" s="151">
        <v>2</v>
      </c>
      <c r="N1081" s="151" t="str">
        <f t="shared" si="50"/>
        <v>No fit</v>
      </c>
      <c r="O1081" s="174" t="s">
        <v>7514</v>
      </c>
      <c r="P1081" s="174" t="s">
        <v>7342</v>
      </c>
    </row>
    <row r="1082" spans="1:16" ht="64.05" customHeight="1" x14ac:dyDescent="0.3">
      <c r="A1082" s="154" t="s">
        <v>7773</v>
      </c>
      <c r="B1082" s="154" t="s">
        <v>6028</v>
      </c>
      <c r="C1082" s="154" t="s">
        <v>114</v>
      </c>
      <c r="D1082" s="154">
        <v>2023</v>
      </c>
      <c r="E1082" s="154" t="s">
        <v>199</v>
      </c>
      <c r="F1082" s="173" t="s">
        <v>7367</v>
      </c>
      <c r="G1082" s="166">
        <f>FCCL!F84</f>
        <v>68069.282000000007</v>
      </c>
      <c r="H1082" s="166">
        <f>('Forensic Inputs'!$G$102-FCCL!F21)</f>
        <v>92922.184999999998</v>
      </c>
      <c r="I1082" s="164">
        <f t="shared" si="48"/>
        <v>0.73254069520642473</v>
      </c>
      <c r="J1082" s="164">
        <v>0.73254069520642473</v>
      </c>
      <c r="K1082" s="168">
        <f t="shared" si="49"/>
        <v>0</v>
      </c>
      <c r="L1082" s="164">
        <v>0.11</v>
      </c>
      <c r="M1082" s="154">
        <v>2</v>
      </c>
      <c r="N1082" s="154" t="str">
        <f t="shared" si="50"/>
        <v>No fit</v>
      </c>
      <c r="O1082" s="173" t="s">
        <v>7516</v>
      </c>
      <c r="P1082" s="173" t="s">
        <v>7342</v>
      </c>
    </row>
    <row r="1083" spans="1:16" ht="64.05" customHeight="1" x14ac:dyDescent="0.3">
      <c r="A1083" s="151" t="s">
        <v>7774</v>
      </c>
      <c r="B1083" s="151" t="s">
        <v>6028</v>
      </c>
      <c r="C1083" s="151" t="s">
        <v>114</v>
      </c>
      <c r="D1083" s="151">
        <v>2023</v>
      </c>
      <c r="E1083" s="151" t="s">
        <v>199</v>
      </c>
      <c r="F1083" s="174" t="s">
        <v>7370</v>
      </c>
      <c r="G1083" s="167">
        <f>FCCL!F84</f>
        <v>68069.282000000007</v>
      </c>
      <c r="H1083" s="167">
        <f>AVERAGE('Forensic Inputs'!$G$100,'Forensic Inputs'!$G$102)</f>
        <v>110655.664</v>
      </c>
      <c r="I1083" s="165">
        <f t="shared" si="48"/>
        <v>0.61514503225067629</v>
      </c>
      <c r="J1083" s="165">
        <v>0.61514503225067629</v>
      </c>
      <c r="K1083" s="169">
        <f t="shared" si="49"/>
        <v>0</v>
      </c>
      <c r="L1083" s="165">
        <v>0.11</v>
      </c>
      <c r="M1083" s="151">
        <v>2</v>
      </c>
      <c r="N1083" s="151" t="str">
        <f t="shared" si="50"/>
        <v>No fit</v>
      </c>
      <c r="O1083" s="174" t="s">
        <v>7518</v>
      </c>
      <c r="P1083" s="174" t="s">
        <v>7342</v>
      </c>
    </row>
    <row r="1084" spans="1:16" ht="64.05" customHeight="1" x14ac:dyDescent="0.3">
      <c r="A1084" s="154" t="s">
        <v>7775</v>
      </c>
      <c r="B1084" s="154" t="s">
        <v>6028</v>
      </c>
      <c r="C1084" s="154" t="s">
        <v>114</v>
      </c>
      <c r="D1084" s="154">
        <v>2023</v>
      </c>
      <c r="E1084" s="154" t="s">
        <v>199</v>
      </c>
      <c r="F1084" s="173" t="s">
        <v>7373</v>
      </c>
      <c r="G1084" s="166">
        <f>FCCL!F99</f>
        <v>7439.6810000000078</v>
      </c>
      <c r="H1084" s="166">
        <f>FCCL!F37</f>
        <v>138828.497</v>
      </c>
      <c r="I1084" s="164">
        <f t="shared" si="48"/>
        <v>5.3589004856834314E-2</v>
      </c>
      <c r="J1084" s="164">
        <v>5.3589004856834301E-2</v>
      </c>
      <c r="K1084" s="168">
        <f t="shared" si="49"/>
        <v>0</v>
      </c>
      <c r="L1084" s="164">
        <v>0.11</v>
      </c>
      <c r="M1084" s="154">
        <v>2</v>
      </c>
      <c r="N1084" s="154" t="str">
        <f t="shared" si="50"/>
        <v>No fit</v>
      </c>
      <c r="O1084" s="173" t="s">
        <v>7374</v>
      </c>
      <c r="P1084" s="173" t="s">
        <v>7342</v>
      </c>
    </row>
    <row r="1085" spans="1:16" ht="64.05" customHeight="1" x14ac:dyDescent="0.3">
      <c r="A1085" s="151" t="s">
        <v>7776</v>
      </c>
      <c r="B1085" s="151" t="s">
        <v>6028</v>
      </c>
      <c r="C1085" s="151" t="s">
        <v>114</v>
      </c>
      <c r="D1085" s="151">
        <v>2023</v>
      </c>
      <c r="E1085" s="151" t="s">
        <v>199</v>
      </c>
      <c r="F1085" s="174" t="s">
        <v>7376</v>
      </c>
      <c r="G1085" s="167">
        <f>FCCL!F99</f>
        <v>7439.6810000000078</v>
      </c>
      <c r="H1085" s="167">
        <f>AVERAGE(FCCL!E37,FCCL!F37)</f>
        <v>126263.28700000001</v>
      </c>
      <c r="I1085" s="165">
        <f t="shared" si="48"/>
        <v>5.8921965178999398E-2</v>
      </c>
      <c r="J1085" s="165">
        <v>5.8921965178999385E-2</v>
      </c>
      <c r="K1085" s="169">
        <f t="shared" si="49"/>
        <v>0</v>
      </c>
      <c r="L1085" s="165">
        <v>0.11</v>
      </c>
      <c r="M1085" s="151">
        <v>2</v>
      </c>
      <c r="N1085" s="151" t="str">
        <f t="shared" si="50"/>
        <v>No fit</v>
      </c>
      <c r="O1085" s="174" t="s">
        <v>7377</v>
      </c>
      <c r="P1085" s="174" t="s">
        <v>7342</v>
      </c>
    </row>
    <row r="1086" spans="1:16" ht="64.05" customHeight="1" x14ac:dyDescent="0.3">
      <c r="A1086" s="154" t="s">
        <v>7777</v>
      </c>
      <c r="B1086" s="154" t="s">
        <v>6028</v>
      </c>
      <c r="C1086" s="154" t="s">
        <v>114</v>
      </c>
      <c r="D1086" s="154">
        <v>2023</v>
      </c>
      <c r="E1086" s="154" t="s">
        <v>199</v>
      </c>
      <c r="F1086" s="173" t="s">
        <v>7379</v>
      </c>
      <c r="G1086" s="166">
        <f>FCCL!F99</f>
        <v>7439.6810000000078</v>
      </c>
      <c r="H1086" s="166">
        <f>FCCL!F20</f>
        <v>104425.181</v>
      </c>
      <c r="I1086" s="164">
        <f t="shared" si="48"/>
        <v>7.1244128367850351E-2</v>
      </c>
      <c r="J1086" s="164">
        <v>7.1244128367850337E-2</v>
      </c>
      <c r="K1086" s="168">
        <f t="shared" si="49"/>
        <v>0</v>
      </c>
      <c r="L1086" s="164">
        <v>0.11</v>
      </c>
      <c r="M1086" s="154">
        <v>2</v>
      </c>
      <c r="N1086" s="154" t="str">
        <f t="shared" si="50"/>
        <v>No fit</v>
      </c>
      <c r="O1086" s="173" t="s">
        <v>7380</v>
      </c>
      <c r="P1086" s="173" t="s">
        <v>7342</v>
      </c>
    </row>
    <row r="1087" spans="1:16" ht="64.05" customHeight="1" x14ac:dyDescent="0.3">
      <c r="A1087" s="151" t="s">
        <v>7778</v>
      </c>
      <c r="B1087" s="151" t="s">
        <v>6028</v>
      </c>
      <c r="C1087" s="151" t="s">
        <v>114</v>
      </c>
      <c r="D1087" s="151">
        <v>2023</v>
      </c>
      <c r="E1087" s="151" t="s">
        <v>199</v>
      </c>
      <c r="F1087" s="174" t="s">
        <v>7382</v>
      </c>
      <c r="G1087" s="167">
        <f>FCCL!F99</f>
        <v>7439.6810000000078</v>
      </c>
      <c r="H1087" s="167">
        <f>AVERAGE(FCCL!E20,FCCL!F20)</f>
        <v>89275.747999999992</v>
      </c>
      <c r="I1087" s="165">
        <f t="shared" si="48"/>
        <v>8.3333729110844398E-2</v>
      </c>
      <c r="J1087" s="165">
        <v>8.3333729110844371E-2</v>
      </c>
      <c r="K1087" s="169">
        <f t="shared" si="49"/>
        <v>0</v>
      </c>
      <c r="L1087" s="165">
        <v>0.11</v>
      </c>
      <c r="M1087" s="151">
        <v>2</v>
      </c>
      <c r="N1087" s="151" t="str">
        <f t="shared" si="50"/>
        <v>No fit</v>
      </c>
      <c r="O1087" s="174" t="s">
        <v>7383</v>
      </c>
      <c r="P1087" s="174" t="s">
        <v>7342</v>
      </c>
    </row>
    <row r="1088" spans="1:16" ht="64.05" customHeight="1" x14ac:dyDescent="0.3">
      <c r="A1088" s="154" t="s">
        <v>7779</v>
      </c>
      <c r="B1088" s="154" t="s">
        <v>6028</v>
      </c>
      <c r="C1088" s="154" t="s">
        <v>114</v>
      </c>
      <c r="D1088" s="154">
        <v>2023</v>
      </c>
      <c r="E1088" s="154" t="s">
        <v>199</v>
      </c>
      <c r="F1088" s="173" t="s">
        <v>7385</v>
      </c>
      <c r="G1088" s="166">
        <f>FCCL!F99</f>
        <v>7439.6810000000078</v>
      </c>
      <c r="H1088" s="166">
        <f>FCCL!F22</f>
        <v>69894.008999999991</v>
      </c>
      <c r="I1088" s="164">
        <f t="shared" si="48"/>
        <v>0.10644232755342463</v>
      </c>
      <c r="J1088" s="164">
        <v>0.1064423275534246</v>
      </c>
      <c r="K1088" s="168">
        <f t="shared" si="49"/>
        <v>0</v>
      </c>
      <c r="L1088" s="164">
        <v>0.11</v>
      </c>
      <c r="M1088" s="154">
        <v>2</v>
      </c>
      <c r="N1088" s="154" t="str">
        <f t="shared" si="50"/>
        <v>Numeric fit</v>
      </c>
      <c r="O1088" s="173" t="s">
        <v>7386</v>
      </c>
      <c r="P1088" s="173" t="s">
        <v>7342</v>
      </c>
    </row>
    <row r="1089" spans="1:16" ht="64.05" customHeight="1" x14ac:dyDescent="0.3">
      <c r="A1089" s="151" t="s">
        <v>7780</v>
      </c>
      <c r="B1089" s="151" t="s">
        <v>6028</v>
      </c>
      <c r="C1089" s="151" t="s">
        <v>114</v>
      </c>
      <c r="D1089" s="151">
        <v>2023</v>
      </c>
      <c r="E1089" s="151" t="s">
        <v>199</v>
      </c>
      <c r="F1089" s="174" t="s">
        <v>7388</v>
      </c>
      <c r="G1089" s="167">
        <f>FCCL!F99</f>
        <v>7439.6810000000078</v>
      </c>
      <c r="H1089" s="167">
        <f>AVERAGE(FCCL!E22,FCCL!F22)</f>
        <v>57109.076999999997</v>
      </c>
      <c r="I1089" s="165">
        <f t="shared" si="48"/>
        <v>0.13027142778021097</v>
      </c>
      <c r="J1089" s="165">
        <v>0.13027142778021095</v>
      </c>
      <c r="K1089" s="169">
        <f t="shared" si="49"/>
        <v>0</v>
      </c>
      <c r="L1089" s="165">
        <v>0.11</v>
      </c>
      <c r="M1089" s="151">
        <v>2</v>
      </c>
      <c r="N1089" s="151" t="str">
        <f t="shared" si="50"/>
        <v>No fit</v>
      </c>
      <c r="O1089" s="174" t="s">
        <v>7389</v>
      </c>
      <c r="P1089" s="174" t="s">
        <v>7342</v>
      </c>
    </row>
    <row r="1090" spans="1:16" ht="64.05" customHeight="1" x14ac:dyDescent="0.3">
      <c r="A1090" s="154" t="s">
        <v>7781</v>
      </c>
      <c r="B1090" s="154" t="s">
        <v>6028</v>
      </c>
      <c r="C1090" s="154" t="s">
        <v>114</v>
      </c>
      <c r="D1090" s="154">
        <v>2023</v>
      </c>
      <c r="E1090" s="154" t="s">
        <v>199</v>
      </c>
      <c r="F1090" s="173" t="s">
        <v>7391</v>
      </c>
      <c r="G1090" s="166">
        <f>FCCL!F99</f>
        <v>7439.6810000000078</v>
      </c>
      <c r="H1090" s="166">
        <f>FCCL!F28</f>
        <v>115693.99799999999</v>
      </c>
      <c r="I1090" s="164">
        <f t="shared" si="48"/>
        <v>6.4304813807195146E-2</v>
      </c>
      <c r="J1090" s="164">
        <v>6.4304813807195133E-2</v>
      </c>
      <c r="K1090" s="168">
        <f t="shared" si="49"/>
        <v>0</v>
      </c>
      <c r="L1090" s="164">
        <v>0.11</v>
      </c>
      <c r="M1090" s="154">
        <v>2</v>
      </c>
      <c r="N1090" s="154" t="str">
        <f t="shared" si="50"/>
        <v>No fit</v>
      </c>
      <c r="O1090" s="173" t="s">
        <v>7392</v>
      </c>
      <c r="P1090" s="173" t="s">
        <v>7342</v>
      </c>
    </row>
    <row r="1091" spans="1:16" ht="64.05" customHeight="1" x14ac:dyDescent="0.3">
      <c r="A1091" s="151" t="s">
        <v>7782</v>
      </c>
      <c r="B1091" s="151" t="s">
        <v>6028</v>
      </c>
      <c r="C1091" s="151" t="s">
        <v>114</v>
      </c>
      <c r="D1091" s="151">
        <v>2023</v>
      </c>
      <c r="E1091" s="151" t="s">
        <v>199</v>
      </c>
      <c r="F1091" s="174" t="s">
        <v>7394</v>
      </c>
      <c r="G1091" s="167">
        <f>FCCL!F99</f>
        <v>7439.6810000000078</v>
      </c>
      <c r="H1091" s="167">
        <f>AVERAGE(FCCL!E28,FCCL!F28)</f>
        <v>100587.6315</v>
      </c>
      <c r="I1091" s="165">
        <f t="shared" si="48"/>
        <v>7.396218490341934E-2</v>
      </c>
      <c r="J1091" s="165">
        <v>7.3962184903419326E-2</v>
      </c>
      <c r="K1091" s="169">
        <f t="shared" si="49"/>
        <v>0</v>
      </c>
      <c r="L1091" s="165">
        <v>0.11</v>
      </c>
      <c r="M1091" s="151">
        <v>2</v>
      </c>
      <c r="N1091" s="151" t="str">
        <f t="shared" si="50"/>
        <v>No fit</v>
      </c>
      <c r="O1091" s="174" t="s">
        <v>7395</v>
      </c>
      <c r="P1091" s="174" t="s">
        <v>7342</v>
      </c>
    </row>
    <row r="1092" spans="1:16" ht="64.05" customHeight="1" x14ac:dyDescent="0.3">
      <c r="A1092" s="154" t="s">
        <v>7783</v>
      </c>
      <c r="B1092" s="154" t="s">
        <v>6028</v>
      </c>
      <c r="C1092" s="154" t="s">
        <v>114</v>
      </c>
      <c r="D1092" s="154">
        <v>2023</v>
      </c>
      <c r="E1092" s="154" t="s">
        <v>199</v>
      </c>
      <c r="F1092" s="173" t="s">
        <v>7397</v>
      </c>
      <c r="G1092" s="166">
        <f>FCCL!F99</f>
        <v>7439.6810000000078</v>
      </c>
      <c r="H1092" s="166">
        <f>'Forensic Inputs'!$G$102</f>
        <v>127453.357</v>
      </c>
      <c r="I1092" s="164">
        <f t="shared" si="48"/>
        <v>5.8371793220009162E-2</v>
      </c>
      <c r="J1092" s="164">
        <v>5.8371793220009148E-2</v>
      </c>
      <c r="K1092" s="168">
        <f t="shared" si="49"/>
        <v>0</v>
      </c>
      <c r="L1092" s="164">
        <v>0.11</v>
      </c>
      <c r="M1092" s="154">
        <v>2</v>
      </c>
      <c r="N1092" s="154" t="str">
        <f t="shared" si="50"/>
        <v>No fit</v>
      </c>
      <c r="O1092" s="173" t="s">
        <v>7528</v>
      </c>
      <c r="P1092" s="173" t="s">
        <v>7342</v>
      </c>
    </row>
    <row r="1093" spans="1:16" ht="64.05" customHeight="1" x14ac:dyDescent="0.3">
      <c r="A1093" s="151" t="s">
        <v>7784</v>
      </c>
      <c r="B1093" s="151" t="s">
        <v>6028</v>
      </c>
      <c r="C1093" s="151" t="s">
        <v>114</v>
      </c>
      <c r="D1093" s="151">
        <v>2023</v>
      </c>
      <c r="E1093" s="151" t="s">
        <v>199</v>
      </c>
      <c r="F1093" s="174" t="s">
        <v>7400</v>
      </c>
      <c r="G1093" s="167">
        <f>FCCL!F99</f>
        <v>7439.6810000000078</v>
      </c>
      <c r="H1093" s="167">
        <f>('Forensic Inputs'!$G$102-FCCL!F21)</f>
        <v>92922.184999999998</v>
      </c>
      <c r="I1093" s="165">
        <f t="shared" si="48"/>
        <v>8.006356070942594E-2</v>
      </c>
      <c r="J1093" s="165">
        <v>8.0063560709425913E-2</v>
      </c>
      <c r="K1093" s="169">
        <f t="shared" si="49"/>
        <v>0</v>
      </c>
      <c r="L1093" s="165">
        <v>0.11</v>
      </c>
      <c r="M1093" s="151">
        <v>2</v>
      </c>
      <c r="N1093" s="151" t="str">
        <f t="shared" si="50"/>
        <v>No fit</v>
      </c>
      <c r="O1093" s="174" t="s">
        <v>7530</v>
      </c>
      <c r="P1093" s="174" t="s">
        <v>7342</v>
      </c>
    </row>
    <row r="1094" spans="1:16" ht="64.05" customHeight="1" x14ac:dyDescent="0.3">
      <c r="A1094" s="154" t="s">
        <v>7785</v>
      </c>
      <c r="B1094" s="154" t="s">
        <v>6028</v>
      </c>
      <c r="C1094" s="154" t="s">
        <v>114</v>
      </c>
      <c r="D1094" s="154">
        <v>2023</v>
      </c>
      <c r="E1094" s="154" t="s">
        <v>199</v>
      </c>
      <c r="F1094" s="173" t="s">
        <v>7403</v>
      </c>
      <c r="G1094" s="166">
        <f>FCCL!F99</f>
        <v>7439.6810000000078</v>
      </c>
      <c r="H1094" s="166">
        <f>AVERAGE('Forensic Inputs'!$G$100,'Forensic Inputs'!$G$102)</f>
        <v>110655.664</v>
      </c>
      <c r="I1094" s="164">
        <f t="shared" ref="I1094:I1157" si="51">G1094/H1094</f>
        <v>6.7232717522710886E-2</v>
      </c>
      <c r="J1094" s="164">
        <v>6.7232717522710858E-2</v>
      </c>
      <c r="K1094" s="168">
        <f t="shared" ref="K1094:K1157" si="52">I1094-J1094</f>
        <v>0</v>
      </c>
      <c r="L1094" s="164">
        <v>0.11</v>
      </c>
      <c r="M1094" s="154">
        <v>2</v>
      </c>
      <c r="N1094" s="154" t="str">
        <f t="shared" ref="N1094:N1157" si="53">IF(ROUND(I1094,M1094)=ROUND(L1094,M1094),"Numeric fit","No fit")</f>
        <v>No fit</v>
      </c>
      <c r="O1094" s="173" t="s">
        <v>7532</v>
      </c>
      <c r="P1094" s="173" t="s">
        <v>7342</v>
      </c>
    </row>
    <row r="1095" spans="1:16" ht="64.05" customHeight="1" x14ac:dyDescent="0.3">
      <c r="A1095" s="151" t="s">
        <v>7786</v>
      </c>
      <c r="B1095" s="151" t="s">
        <v>6028</v>
      </c>
      <c r="C1095" s="151" t="s">
        <v>114</v>
      </c>
      <c r="D1095" s="151">
        <v>2023</v>
      </c>
      <c r="E1095" s="151" t="s">
        <v>199</v>
      </c>
      <c r="F1095" s="174" t="s">
        <v>7406</v>
      </c>
      <c r="G1095" s="167">
        <f>FCCL!F96</f>
        <v>12900.109000000008</v>
      </c>
      <c r="H1095" s="167">
        <f>FCCL!F37</f>
        <v>138828.497</v>
      </c>
      <c r="I1095" s="165">
        <f t="shared" si="51"/>
        <v>9.2921188940048874E-2</v>
      </c>
      <c r="J1095" s="165">
        <v>9.292118894004886E-2</v>
      </c>
      <c r="K1095" s="169">
        <f t="shared" si="52"/>
        <v>0</v>
      </c>
      <c r="L1095" s="165">
        <v>0.11</v>
      </c>
      <c r="M1095" s="151">
        <v>2</v>
      </c>
      <c r="N1095" s="151" t="str">
        <f t="shared" si="53"/>
        <v>No fit</v>
      </c>
      <c r="O1095" s="174" t="s">
        <v>7407</v>
      </c>
      <c r="P1095" s="174" t="s">
        <v>7342</v>
      </c>
    </row>
    <row r="1096" spans="1:16" ht="64.05" customHeight="1" x14ac:dyDescent="0.3">
      <c r="A1096" s="154" t="s">
        <v>7787</v>
      </c>
      <c r="B1096" s="154" t="s">
        <v>6028</v>
      </c>
      <c r="C1096" s="154" t="s">
        <v>114</v>
      </c>
      <c r="D1096" s="154">
        <v>2023</v>
      </c>
      <c r="E1096" s="154" t="s">
        <v>199</v>
      </c>
      <c r="F1096" s="173" t="s">
        <v>7409</v>
      </c>
      <c r="G1096" s="166">
        <f>FCCL!F96</f>
        <v>12900.109000000008</v>
      </c>
      <c r="H1096" s="166">
        <f>AVERAGE(FCCL!E37,FCCL!F37)</f>
        <v>126263.28700000001</v>
      </c>
      <c r="I1096" s="164">
        <f t="shared" si="51"/>
        <v>0.10216832862904961</v>
      </c>
      <c r="J1096" s="164">
        <v>0.10216832862904959</v>
      </c>
      <c r="K1096" s="168">
        <f t="shared" si="52"/>
        <v>0</v>
      </c>
      <c r="L1096" s="164">
        <v>0.11</v>
      </c>
      <c r="M1096" s="154">
        <v>2</v>
      </c>
      <c r="N1096" s="154" t="str">
        <f t="shared" si="53"/>
        <v>No fit</v>
      </c>
      <c r="O1096" s="173" t="s">
        <v>7410</v>
      </c>
      <c r="P1096" s="173" t="s">
        <v>7342</v>
      </c>
    </row>
    <row r="1097" spans="1:16" ht="64.05" customHeight="1" x14ac:dyDescent="0.3">
      <c r="A1097" s="151" t="s">
        <v>7788</v>
      </c>
      <c r="B1097" s="151" t="s">
        <v>6028</v>
      </c>
      <c r="C1097" s="151" t="s">
        <v>114</v>
      </c>
      <c r="D1097" s="151">
        <v>2023</v>
      </c>
      <c r="E1097" s="151" t="s">
        <v>199</v>
      </c>
      <c r="F1097" s="174" t="s">
        <v>7412</v>
      </c>
      <c r="G1097" s="167">
        <f>FCCL!F96</f>
        <v>12900.109000000008</v>
      </c>
      <c r="H1097" s="167">
        <f>FCCL!F20</f>
        <v>104425.181</v>
      </c>
      <c r="I1097" s="165">
        <f t="shared" si="51"/>
        <v>0.12353446627016149</v>
      </c>
      <c r="J1097" s="165">
        <v>0.12353446627016147</v>
      </c>
      <c r="K1097" s="169">
        <f t="shared" si="52"/>
        <v>0</v>
      </c>
      <c r="L1097" s="165">
        <v>0.11</v>
      </c>
      <c r="M1097" s="151">
        <v>2</v>
      </c>
      <c r="N1097" s="151" t="str">
        <f t="shared" si="53"/>
        <v>No fit</v>
      </c>
      <c r="O1097" s="174" t="s">
        <v>7413</v>
      </c>
      <c r="P1097" s="174" t="s">
        <v>7342</v>
      </c>
    </row>
    <row r="1098" spans="1:16" ht="64.05" customHeight="1" x14ac:dyDescent="0.3">
      <c r="A1098" s="154" t="s">
        <v>7789</v>
      </c>
      <c r="B1098" s="154" t="s">
        <v>6028</v>
      </c>
      <c r="C1098" s="154" t="s">
        <v>114</v>
      </c>
      <c r="D1098" s="154">
        <v>2023</v>
      </c>
      <c r="E1098" s="154" t="s">
        <v>199</v>
      </c>
      <c r="F1098" s="173" t="s">
        <v>7415</v>
      </c>
      <c r="G1098" s="166">
        <f>FCCL!F96</f>
        <v>12900.109000000008</v>
      </c>
      <c r="H1098" s="166">
        <f>AVERAGE(FCCL!E20,FCCL!F20)</f>
        <v>89275.747999999992</v>
      </c>
      <c r="I1098" s="164">
        <f t="shared" si="51"/>
        <v>0.14449734994099414</v>
      </c>
      <c r="J1098" s="164">
        <v>0.14449734994099414</v>
      </c>
      <c r="K1098" s="168">
        <f t="shared" si="52"/>
        <v>0</v>
      </c>
      <c r="L1098" s="164">
        <v>0.11</v>
      </c>
      <c r="M1098" s="154">
        <v>2</v>
      </c>
      <c r="N1098" s="154" t="str">
        <f t="shared" si="53"/>
        <v>No fit</v>
      </c>
      <c r="O1098" s="173" t="s">
        <v>7416</v>
      </c>
      <c r="P1098" s="173" t="s">
        <v>7342</v>
      </c>
    </row>
    <row r="1099" spans="1:16" ht="64.05" customHeight="1" x14ac:dyDescent="0.3">
      <c r="A1099" s="151" t="s">
        <v>7790</v>
      </c>
      <c r="B1099" s="151" t="s">
        <v>6028</v>
      </c>
      <c r="C1099" s="151" t="s">
        <v>114</v>
      </c>
      <c r="D1099" s="151">
        <v>2023</v>
      </c>
      <c r="E1099" s="151" t="s">
        <v>199</v>
      </c>
      <c r="F1099" s="174" t="s">
        <v>7418</v>
      </c>
      <c r="G1099" s="167">
        <f>FCCL!F96</f>
        <v>12900.109000000008</v>
      </c>
      <c r="H1099" s="167">
        <f>FCCL!F22</f>
        <v>69894.008999999991</v>
      </c>
      <c r="I1099" s="165">
        <f t="shared" si="51"/>
        <v>0.18456673446789995</v>
      </c>
      <c r="J1099" s="165">
        <v>0.18456673446789992</v>
      </c>
      <c r="K1099" s="169">
        <f t="shared" si="52"/>
        <v>0</v>
      </c>
      <c r="L1099" s="165">
        <v>0.11</v>
      </c>
      <c r="M1099" s="151">
        <v>2</v>
      </c>
      <c r="N1099" s="151" t="str">
        <f t="shared" si="53"/>
        <v>No fit</v>
      </c>
      <c r="O1099" s="174" t="s">
        <v>7419</v>
      </c>
      <c r="P1099" s="174" t="s">
        <v>7342</v>
      </c>
    </row>
    <row r="1100" spans="1:16" ht="64.05" customHeight="1" x14ac:dyDescent="0.3">
      <c r="A1100" s="154" t="s">
        <v>7791</v>
      </c>
      <c r="B1100" s="154" t="s">
        <v>6028</v>
      </c>
      <c r="C1100" s="154" t="s">
        <v>114</v>
      </c>
      <c r="D1100" s="154">
        <v>2023</v>
      </c>
      <c r="E1100" s="154" t="s">
        <v>199</v>
      </c>
      <c r="F1100" s="173" t="s">
        <v>7421</v>
      </c>
      <c r="G1100" s="166">
        <f>FCCL!F96</f>
        <v>12900.109000000008</v>
      </c>
      <c r="H1100" s="166">
        <f>AVERAGE(FCCL!E22,FCCL!F22)</f>
        <v>57109.076999999997</v>
      </c>
      <c r="I1100" s="164">
        <f t="shared" si="51"/>
        <v>0.22588544024271323</v>
      </c>
      <c r="J1100" s="164">
        <v>0.2258854402427132</v>
      </c>
      <c r="K1100" s="168">
        <f t="shared" si="52"/>
        <v>0</v>
      </c>
      <c r="L1100" s="164">
        <v>0.11</v>
      </c>
      <c r="M1100" s="154">
        <v>2</v>
      </c>
      <c r="N1100" s="154" t="str">
        <f t="shared" si="53"/>
        <v>No fit</v>
      </c>
      <c r="O1100" s="173" t="s">
        <v>7422</v>
      </c>
      <c r="P1100" s="173" t="s">
        <v>7342</v>
      </c>
    </row>
    <row r="1101" spans="1:16" ht="64.05" customHeight="1" x14ac:dyDescent="0.3">
      <c r="A1101" s="151" t="s">
        <v>7792</v>
      </c>
      <c r="B1101" s="151" t="s">
        <v>6028</v>
      </c>
      <c r="C1101" s="151" t="s">
        <v>114</v>
      </c>
      <c r="D1101" s="151">
        <v>2023</v>
      </c>
      <c r="E1101" s="151" t="s">
        <v>199</v>
      </c>
      <c r="F1101" s="174" t="s">
        <v>7424</v>
      </c>
      <c r="G1101" s="167">
        <f>FCCL!F96</f>
        <v>12900.109000000008</v>
      </c>
      <c r="H1101" s="167">
        <f>FCCL!F28</f>
        <v>115693.99799999999</v>
      </c>
      <c r="I1101" s="165">
        <f t="shared" si="51"/>
        <v>0.11150197264338646</v>
      </c>
      <c r="J1101" s="165">
        <v>0.11150197264338645</v>
      </c>
      <c r="K1101" s="169">
        <f t="shared" si="52"/>
        <v>0</v>
      </c>
      <c r="L1101" s="165">
        <v>0.11</v>
      </c>
      <c r="M1101" s="151">
        <v>2</v>
      </c>
      <c r="N1101" s="151" t="str">
        <f t="shared" si="53"/>
        <v>Numeric fit</v>
      </c>
      <c r="O1101" s="174" t="s">
        <v>7425</v>
      </c>
      <c r="P1101" s="174" t="s">
        <v>7342</v>
      </c>
    </row>
    <row r="1102" spans="1:16" ht="64.05" customHeight="1" x14ac:dyDescent="0.3">
      <c r="A1102" s="154" t="s">
        <v>7793</v>
      </c>
      <c r="B1102" s="154" t="s">
        <v>6028</v>
      </c>
      <c r="C1102" s="154" t="s">
        <v>114</v>
      </c>
      <c r="D1102" s="154">
        <v>2023</v>
      </c>
      <c r="E1102" s="154" t="s">
        <v>199</v>
      </c>
      <c r="F1102" s="173" t="s">
        <v>7427</v>
      </c>
      <c r="G1102" s="166">
        <f>FCCL!F96</f>
        <v>12900.109000000008</v>
      </c>
      <c r="H1102" s="166">
        <f>AVERAGE(FCCL!E28,FCCL!F28)</f>
        <v>100587.6315</v>
      </c>
      <c r="I1102" s="164">
        <f t="shared" si="51"/>
        <v>0.12824746748311702</v>
      </c>
      <c r="J1102" s="164">
        <v>0.12824746748311702</v>
      </c>
      <c r="K1102" s="168">
        <f t="shared" si="52"/>
        <v>0</v>
      </c>
      <c r="L1102" s="164">
        <v>0.11</v>
      </c>
      <c r="M1102" s="154">
        <v>2</v>
      </c>
      <c r="N1102" s="154" t="str">
        <f t="shared" si="53"/>
        <v>No fit</v>
      </c>
      <c r="O1102" s="173" t="s">
        <v>7428</v>
      </c>
      <c r="P1102" s="173" t="s">
        <v>7342</v>
      </c>
    </row>
    <row r="1103" spans="1:16" ht="64.05" customHeight="1" x14ac:dyDescent="0.3">
      <c r="A1103" s="151" t="s">
        <v>7794</v>
      </c>
      <c r="B1103" s="151" t="s">
        <v>6028</v>
      </c>
      <c r="C1103" s="151" t="s">
        <v>114</v>
      </c>
      <c r="D1103" s="151">
        <v>2023</v>
      </c>
      <c r="E1103" s="151" t="s">
        <v>199</v>
      </c>
      <c r="F1103" s="174" t="s">
        <v>7430</v>
      </c>
      <c r="G1103" s="167">
        <f>FCCL!F96</f>
        <v>12900.109000000008</v>
      </c>
      <c r="H1103" s="167">
        <f>'Forensic Inputs'!$G$102</f>
        <v>127453.357</v>
      </c>
      <c r="I1103" s="165">
        <f t="shared" si="51"/>
        <v>0.10121435247876608</v>
      </c>
      <c r="J1103" s="165">
        <v>0.10121435247876606</v>
      </c>
      <c r="K1103" s="169">
        <f t="shared" si="52"/>
        <v>0</v>
      </c>
      <c r="L1103" s="165">
        <v>0.11</v>
      </c>
      <c r="M1103" s="151">
        <v>2</v>
      </c>
      <c r="N1103" s="151" t="str">
        <f t="shared" si="53"/>
        <v>No fit</v>
      </c>
      <c r="O1103" s="174" t="s">
        <v>7542</v>
      </c>
      <c r="P1103" s="174" t="s">
        <v>7342</v>
      </c>
    </row>
    <row r="1104" spans="1:16" ht="64.05" customHeight="1" x14ac:dyDescent="0.3">
      <c r="A1104" s="154" t="s">
        <v>7795</v>
      </c>
      <c r="B1104" s="154" t="s">
        <v>6028</v>
      </c>
      <c r="C1104" s="154" t="s">
        <v>114</v>
      </c>
      <c r="D1104" s="154">
        <v>2023</v>
      </c>
      <c r="E1104" s="154" t="s">
        <v>199</v>
      </c>
      <c r="F1104" s="173" t="s">
        <v>7433</v>
      </c>
      <c r="G1104" s="166">
        <f>FCCL!F96</f>
        <v>12900.109000000008</v>
      </c>
      <c r="H1104" s="166">
        <f>('Forensic Inputs'!$G$102-FCCL!F21)</f>
        <v>92922.184999999998</v>
      </c>
      <c r="I1104" s="164">
        <f t="shared" si="51"/>
        <v>0.13882700885692698</v>
      </c>
      <c r="J1104" s="164">
        <v>0.13882700885692698</v>
      </c>
      <c r="K1104" s="168">
        <f t="shared" si="52"/>
        <v>0</v>
      </c>
      <c r="L1104" s="164">
        <v>0.11</v>
      </c>
      <c r="M1104" s="154">
        <v>2</v>
      </c>
      <c r="N1104" s="154" t="str">
        <f t="shared" si="53"/>
        <v>No fit</v>
      </c>
      <c r="O1104" s="173" t="s">
        <v>7544</v>
      </c>
      <c r="P1104" s="173" t="s">
        <v>7342</v>
      </c>
    </row>
    <row r="1105" spans="1:16" ht="64.05" customHeight="1" x14ac:dyDescent="0.3">
      <c r="A1105" s="151" t="s">
        <v>7796</v>
      </c>
      <c r="B1105" s="151" t="s">
        <v>6028</v>
      </c>
      <c r="C1105" s="151" t="s">
        <v>114</v>
      </c>
      <c r="D1105" s="151">
        <v>2023</v>
      </c>
      <c r="E1105" s="151" t="s">
        <v>199</v>
      </c>
      <c r="F1105" s="174" t="s">
        <v>7436</v>
      </c>
      <c r="G1105" s="167">
        <f>FCCL!F96</f>
        <v>12900.109000000008</v>
      </c>
      <c r="H1105" s="167">
        <f>AVERAGE('Forensic Inputs'!$G$100,'Forensic Inputs'!$G$102)</f>
        <v>110655.664</v>
      </c>
      <c r="I1105" s="165">
        <f t="shared" si="51"/>
        <v>0.1165788404649581</v>
      </c>
      <c r="J1105" s="165">
        <v>0.11657884046495809</v>
      </c>
      <c r="K1105" s="169">
        <f t="shared" si="52"/>
        <v>0</v>
      </c>
      <c r="L1105" s="165">
        <v>0.11</v>
      </c>
      <c r="M1105" s="151">
        <v>2</v>
      </c>
      <c r="N1105" s="151" t="str">
        <f t="shared" si="53"/>
        <v>No fit</v>
      </c>
      <c r="O1105" s="174" t="s">
        <v>7546</v>
      </c>
      <c r="P1105" s="174" t="s">
        <v>7342</v>
      </c>
    </row>
    <row r="1106" spans="1:16" ht="64.05" customHeight="1" x14ac:dyDescent="0.3">
      <c r="A1106" s="154" t="s">
        <v>7797</v>
      </c>
      <c r="B1106" s="154" t="s">
        <v>6028</v>
      </c>
      <c r="C1106" s="154" t="s">
        <v>114</v>
      </c>
      <c r="D1106" s="154">
        <v>2023</v>
      </c>
      <c r="E1106" s="154" t="s">
        <v>199</v>
      </c>
      <c r="F1106" s="173" t="s">
        <v>7439</v>
      </c>
      <c r="G1106" s="166">
        <f>FCCL!F108</f>
        <v>16545.374000000007</v>
      </c>
      <c r="H1106" s="166">
        <f>FCCL!F37</f>
        <v>138828.497</v>
      </c>
      <c r="I1106" s="164">
        <f t="shared" si="51"/>
        <v>0.11917851419222673</v>
      </c>
      <c r="J1106" s="164">
        <v>0.11917851419222673</v>
      </c>
      <c r="K1106" s="168">
        <f t="shared" si="52"/>
        <v>0</v>
      </c>
      <c r="L1106" s="164">
        <v>0.11</v>
      </c>
      <c r="M1106" s="154">
        <v>2</v>
      </c>
      <c r="N1106" s="154" t="str">
        <f t="shared" si="53"/>
        <v>No fit</v>
      </c>
      <c r="O1106" s="173" t="s">
        <v>7440</v>
      </c>
      <c r="P1106" s="173" t="s">
        <v>7342</v>
      </c>
    </row>
    <row r="1107" spans="1:16" ht="64.05" customHeight="1" x14ac:dyDescent="0.3">
      <c r="A1107" s="151" t="s">
        <v>7798</v>
      </c>
      <c r="B1107" s="151" t="s">
        <v>6028</v>
      </c>
      <c r="C1107" s="151" t="s">
        <v>114</v>
      </c>
      <c r="D1107" s="151">
        <v>2023</v>
      </c>
      <c r="E1107" s="151" t="s">
        <v>199</v>
      </c>
      <c r="F1107" s="174" t="s">
        <v>7442</v>
      </c>
      <c r="G1107" s="167">
        <f>FCCL!F108</f>
        <v>16545.374000000007</v>
      </c>
      <c r="H1107" s="167">
        <f>AVERAGE(FCCL!E37,FCCL!F37)</f>
        <v>126263.28700000001</v>
      </c>
      <c r="I1107" s="165">
        <f t="shared" si="51"/>
        <v>0.13103867634936517</v>
      </c>
      <c r="J1107" s="165">
        <v>0.13103867634936517</v>
      </c>
      <c r="K1107" s="169">
        <f t="shared" si="52"/>
        <v>0</v>
      </c>
      <c r="L1107" s="165">
        <v>0.11</v>
      </c>
      <c r="M1107" s="151">
        <v>2</v>
      </c>
      <c r="N1107" s="151" t="str">
        <f t="shared" si="53"/>
        <v>No fit</v>
      </c>
      <c r="O1107" s="174" t="s">
        <v>7443</v>
      </c>
      <c r="P1107" s="174" t="s">
        <v>7342</v>
      </c>
    </row>
    <row r="1108" spans="1:16" ht="64.05" customHeight="1" x14ac:dyDescent="0.3">
      <c r="A1108" s="154" t="s">
        <v>7799</v>
      </c>
      <c r="B1108" s="154" t="s">
        <v>6028</v>
      </c>
      <c r="C1108" s="154" t="s">
        <v>114</v>
      </c>
      <c r="D1108" s="154">
        <v>2023</v>
      </c>
      <c r="E1108" s="154" t="s">
        <v>199</v>
      </c>
      <c r="F1108" s="173" t="s">
        <v>7445</v>
      </c>
      <c r="G1108" s="166">
        <f>FCCL!F108</f>
        <v>16545.374000000007</v>
      </c>
      <c r="H1108" s="166">
        <f>FCCL!F20</f>
        <v>104425.181</v>
      </c>
      <c r="I1108" s="164">
        <f t="shared" si="51"/>
        <v>0.15844237799310118</v>
      </c>
      <c r="J1108" s="164">
        <v>0.15844237799310118</v>
      </c>
      <c r="K1108" s="168">
        <f t="shared" si="52"/>
        <v>0</v>
      </c>
      <c r="L1108" s="164">
        <v>0.11</v>
      </c>
      <c r="M1108" s="154">
        <v>2</v>
      </c>
      <c r="N1108" s="154" t="str">
        <f t="shared" si="53"/>
        <v>No fit</v>
      </c>
      <c r="O1108" s="173" t="s">
        <v>7446</v>
      </c>
      <c r="P1108" s="173" t="s">
        <v>7342</v>
      </c>
    </row>
    <row r="1109" spans="1:16" ht="64.05" customHeight="1" x14ac:dyDescent="0.3">
      <c r="A1109" s="151" t="s">
        <v>7800</v>
      </c>
      <c r="B1109" s="151" t="s">
        <v>6028</v>
      </c>
      <c r="C1109" s="151" t="s">
        <v>114</v>
      </c>
      <c r="D1109" s="151">
        <v>2023</v>
      </c>
      <c r="E1109" s="151" t="s">
        <v>199</v>
      </c>
      <c r="F1109" s="174" t="s">
        <v>7448</v>
      </c>
      <c r="G1109" s="167">
        <f>FCCL!F108</f>
        <v>16545.374000000007</v>
      </c>
      <c r="H1109" s="167">
        <f>AVERAGE(FCCL!E20,FCCL!F20)</f>
        <v>89275.747999999992</v>
      </c>
      <c r="I1109" s="165">
        <f t="shared" si="51"/>
        <v>0.18532887565388989</v>
      </c>
      <c r="J1109" s="165">
        <v>0.18532887565388989</v>
      </c>
      <c r="K1109" s="169">
        <f t="shared" si="52"/>
        <v>0</v>
      </c>
      <c r="L1109" s="165">
        <v>0.11</v>
      </c>
      <c r="M1109" s="151">
        <v>2</v>
      </c>
      <c r="N1109" s="151" t="str">
        <f t="shared" si="53"/>
        <v>No fit</v>
      </c>
      <c r="O1109" s="174" t="s">
        <v>7449</v>
      </c>
      <c r="P1109" s="174" t="s">
        <v>7342</v>
      </c>
    </row>
    <row r="1110" spans="1:16" ht="64.05" customHeight="1" x14ac:dyDescent="0.3">
      <c r="A1110" s="154" t="s">
        <v>7801</v>
      </c>
      <c r="B1110" s="154" t="s">
        <v>6028</v>
      </c>
      <c r="C1110" s="154" t="s">
        <v>114</v>
      </c>
      <c r="D1110" s="154">
        <v>2023</v>
      </c>
      <c r="E1110" s="154" t="s">
        <v>199</v>
      </c>
      <c r="F1110" s="173" t="s">
        <v>7451</v>
      </c>
      <c r="G1110" s="166">
        <f>FCCL!F108</f>
        <v>16545.374000000007</v>
      </c>
      <c r="H1110" s="166">
        <f>FCCL!F22</f>
        <v>69894.008999999991</v>
      </c>
      <c r="I1110" s="164">
        <f t="shared" si="51"/>
        <v>0.23672091838372025</v>
      </c>
      <c r="J1110" s="164">
        <v>0.23672091838372025</v>
      </c>
      <c r="K1110" s="168">
        <f t="shared" si="52"/>
        <v>0</v>
      </c>
      <c r="L1110" s="164">
        <v>0.11</v>
      </c>
      <c r="M1110" s="154">
        <v>2</v>
      </c>
      <c r="N1110" s="154" t="str">
        <f t="shared" si="53"/>
        <v>No fit</v>
      </c>
      <c r="O1110" s="173" t="s">
        <v>7452</v>
      </c>
      <c r="P1110" s="173" t="s">
        <v>7342</v>
      </c>
    </row>
    <row r="1111" spans="1:16" ht="64.05" customHeight="1" x14ac:dyDescent="0.3">
      <c r="A1111" s="151" t="s">
        <v>7802</v>
      </c>
      <c r="B1111" s="151" t="s">
        <v>6028</v>
      </c>
      <c r="C1111" s="151" t="s">
        <v>114</v>
      </c>
      <c r="D1111" s="151">
        <v>2023</v>
      </c>
      <c r="E1111" s="151" t="s">
        <v>199</v>
      </c>
      <c r="F1111" s="174" t="s">
        <v>7454</v>
      </c>
      <c r="G1111" s="167">
        <f>FCCL!F108</f>
        <v>16545.374000000007</v>
      </c>
      <c r="H1111" s="167">
        <f>AVERAGE(FCCL!E22,FCCL!F22)</f>
        <v>57109.076999999997</v>
      </c>
      <c r="I1111" s="165">
        <f t="shared" si="51"/>
        <v>0.28971531093034486</v>
      </c>
      <c r="J1111" s="165">
        <v>0.28971531093034486</v>
      </c>
      <c r="K1111" s="169">
        <f t="shared" si="52"/>
        <v>0</v>
      </c>
      <c r="L1111" s="165">
        <v>0.11</v>
      </c>
      <c r="M1111" s="151">
        <v>2</v>
      </c>
      <c r="N1111" s="151" t="str">
        <f t="shared" si="53"/>
        <v>No fit</v>
      </c>
      <c r="O1111" s="174" t="s">
        <v>7455</v>
      </c>
      <c r="P1111" s="174" t="s">
        <v>7342</v>
      </c>
    </row>
    <row r="1112" spans="1:16" ht="64.05" customHeight="1" x14ac:dyDescent="0.3">
      <c r="A1112" s="154" t="s">
        <v>7803</v>
      </c>
      <c r="B1112" s="154" t="s">
        <v>6028</v>
      </c>
      <c r="C1112" s="154" t="s">
        <v>114</v>
      </c>
      <c r="D1112" s="154">
        <v>2023</v>
      </c>
      <c r="E1112" s="154" t="s">
        <v>199</v>
      </c>
      <c r="F1112" s="173" t="s">
        <v>7457</v>
      </c>
      <c r="G1112" s="166">
        <f>FCCL!F108</f>
        <v>16545.374000000007</v>
      </c>
      <c r="H1112" s="166">
        <f>FCCL!F28</f>
        <v>115693.99799999999</v>
      </c>
      <c r="I1112" s="164">
        <f t="shared" si="51"/>
        <v>0.14300978690355232</v>
      </c>
      <c r="J1112" s="164">
        <v>0.14300978690355232</v>
      </c>
      <c r="K1112" s="168">
        <f t="shared" si="52"/>
        <v>0</v>
      </c>
      <c r="L1112" s="164">
        <v>0.11</v>
      </c>
      <c r="M1112" s="154">
        <v>2</v>
      </c>
      <c r="N1112" s="154" t="str">
        <f t="shared" si="53"/>
        <v>No fit</v>
      </c>
      <c r="O1112" s="173" t="s">
        <v>7458</v>
      </c>
      <c r="P1112" s="173" t="s">
        <v>7342</v>
      </c>
    </row>
    <row r="1113" spans="1:16" ht="64.05" customHeight="1" x14ac:dyDescent="0.3">
      <c r="A1113" s="151" t="s">
        <v>7804</v>
      </c>
      <c r="B1113" s="151" t="s">
        <v>6028</v>
      </c>
      <c r="C1113" s="151" t="s">
        <v>114</v>
      </c>
      <c r="D1113" s="151">
        <v>2023</v>
      </c>
      <c r="E1113" s="151" t="s">
        <v>199</v>
      </c>
      <c r="F1113" s="174" t="s">
        <v>7460</v>
      </c>
      <c r="G1113" s="167">
        <f>FCCL!F108</f>
        <v>16545.374000000007</v>
      </c>
      <c r="H1113" s="167">
        <f>AVERAGE(FCCL!E28,FCCL!F28)</f>
        <v>100587.6315</v>
      </c>
      <c r="I1113" s="165">
        <f t="shared" si="51"/>
        <v>0.16448716162483662</v>
      </c>
      <c r="J1113" s="165">
        <v>0.16448716162483665</v>
      </c>
      <c r="K1113" s="169">
        <f t="shared" si="52"/>
        <v>0</v>
      </c>
      <c r="L1113" s="165">
        <v>0.11</v>
      </c>
      <c r="M1113" s="151">
        <v>2</v>
      </c>
      <c r="N1113" s="151" t="str">
        <f t="shared" si="53"/>
        <v>No fit</v>
      </c>
      <c r="O1113" s="174" t="s">
        <v>7461</v>
      </c>
      <c r="P1113" s="174" t="s">
        <v>7342</v>
      </c>
    </row>
    <row r="1114" spans="1:16" ht="64.05" customHeight="1" x14ac:dyDescent="0.3">
      <c r="A1114" s="154" t="s">
        <v>7805</v>
      </c>
      <c r="B1114" s="154" t="s">
        <v>6028</v>
      </c>
      <c r="C1114" s="154" t="s">
        <v>114</v>
      </c>
      <c r="D1114" s="154">
        <v>2023</v>
      </c>
      <c r="E1114" s="154" t="s">
        <v>199</v>
      </c>
      <c r="F1114" s="173" t="s">
        <v>7463</v>
      </c>
      <c r="G1114" s="166">
        <f>FCCL!F108</f>
        <v>16545.374000000007</v>
      </c>
      <c r="H1114" s="166">
        <f>'Forensic Inputs'!$G$102</f>
        <v>127453.357</v>
      </c>
      <c r="I1114" s="164">
        <f t="shared" si="51"/>
        <v>0.12981512915348323</v>
      </c>
      <c r="J1114" s="164">
        <v>0.12981512915348323</v>
      </c>
      <c r="K1114" s="168">
        <f t="shared" si="52"/>
        <v>0</v>
      </c>
      <c r="L1114" s="164">
        <v>0.11</v>
      </c>
      <c r="M1114" s="154">
        <v>2</v>
      </c>
      <c r="N1114" s="154" t="str">
        <f t="shared" si="53"/>
        <v>No fit</v>
      </c>
      <c r="O1114" s="173" t="s">
        <v>7556</v>
      </c>
      <c r="P1114" s="173" t="s">
        <v>7342</v>
      </c>
    </row>
    <row r="1115" spans="1:16" ht="64.05" customHeight="1" x14ac:dyDescent="0.3">
      <c r="A1115" s="151" t="s">
        <v>7806</v>
      </c>
      <c r="B1115" s="151" t="s">
        <v>6028</v>
      </c>
      <c r="C1115" s="151" t="s">
        <v>114</v>
      </c>
      <c r="D1115" s="151">
        <v>2023</v>
      </c>
      <c r="E1115" s="151" t="s">
        <v>199</v>
      </c>
      <c r="F1115" s="174" t="s">
        <v>7466</v>
      </c>
      <c r="G1115" s="167">
        <f>FCCL!F108</f>
        <v>16545.374000000007</v>
      </c>
      <c r="H1115" s="167">
        <f>('Forensic Inputs'!$G$102-FCCL!F21)</f>
        <v>92922.184999999998</v>
      </c>
      <c r="I1115" s="165">
        <f t="shared" si="51"/>
        <v>0.17805623059767706</v>
      </c>
      <c r="J1115" s="165">
        <v>0.17805623059767706</v>
      </c>
      <c r="K1115" s="169">
        <f t="shared" si="52"/>
        <v>0</v>
      </c>
      <c r="L1115" s="165">
        <v>0.11</v>
      </c>
      <c r="M1115" s="151">
        <v>2</v>
      </c>
      <c r="N1115" s="151" t="str">
        <f t="shared" si="53"/>
        <v>No fit</v>
      </c>
      <c r="O1115" s="174" t="s">
        <v>7558</v>
      </c>
      <c r="P1115" s="174" t="s">
        <v>7342</v>
      </c>
    </row>
    <row r="1116" spans="1:16" ht="64.05" customHeight="1" x14ac:dyDescent="0.3">
      <c r="A1116" s="154" t="s">
        <v>7807</v>
      </c>
      <c r="B1116" s="154" t="s">
        <v>6028</v>
      </c>
      <c r="C1116" s="154" t="s">
        <v>114</v>
      </c>
      <c r="D1116" s="154">
        <v>2023</v>
      </c>
      <c r="E1116" s="154" t="s">
        <v>199</v>
      </c>
      <c r="F1116" s="173" t="s">
        <v>7469</v>
      </c>
      <c r="G1116" s="166">
        <f>FCCL!F108</f>
        <v>16545.374000000007</v>
      </c>
      <c r="H1116" s="166">
        <f>AVERAGE('Forensic Inputs'!$G$100,'Forensic Inputs'!$G$102)</f>
        <v>110655.664</v>
      </c>
      <c r="I1116" s="164">
        <f t="shared" si="51"/>
        <v>0.14952125722186266</v>
      </c>
      <c r="J1116" s="164">
        <v>0.14952125722186266</v>
      </c>
      <c r="K1116" s="168">
        <f t="shared" si="52"/>
        <v>0</v>
      </c>
      <c r="L1116" s="164">
        <v>0.11</v>
      </c>
      <c r="M1116" s="154">
        <v>2</v>
      </c>
      <c r="N1116" s="154" t="str">
        <f t="shared" si="53"/>
        <v>No fit</v>
      </c>
      <c r="O1116" s="173" t="s">
        <v>7560</v>
      </c>
      <c r="P1116" s="173" t="s">
        <v>7342</v>
      </c>
    </row>
    <row r="1117" spans="1:16" ht="64.05" customHeight="1" x14ac:dyDescent="0.3">
      <c r="A1117" s="151" t="s">
        <v>7808</v>
      </c>
      <c r="B1117" s="151" t="s">
        <v>6028</v>
      </c>
      <c r="C1117" s="151" t="s">
        <v>114</v>
      </c>
      <c r="D1117" s="151">
        <v>2023</v>
      </c>
      <c r="E1117" s="151" t="s">
        <v>199</v>
      </c>
      <c r="F1117" s="174" t="s">
        <v>7472</v>
      </c>
      <c r="G1117" s="167">
        <f>FCCL!F91</f>
        <v>15581.499000000007</v>
      </c>
      <c r="H1117" s="167">
        <f>FCCL!F37</f>
        <v>138828.497</v>
      </c>
      <c r="I1117" s="165">
        <f t="shared" si="51"/>
        <v>0.11223559526110843</v>
      </c>
      <c r="J1117" s="165">
        <v>0.11223559526110842</v>
      </c>
      <c r="K1117" s="169">
        <f t="shared" si="52"/>
        <v>0</v>
      </c>
      <c r="L1117" s="165">
        <v>0.11</v>
      </c>
      <c r="M1117" s="151">
        <v>2</v>
      </c>
      <c r="N1117" s="151" t="str">
        <f t="shared" si="53"/>
        <v>Numeric fit</v>
      </c>
      <c r="O1117" s="174" t="s">
        <v>7473</v>
      </c>
      <c r="P1117" s="174" t="s">
        <v>7342</v>
      </c>
    </row>
    <row r="1118" spans="1:16" ht="64.05" customHeight="1" x14ac:dyDescent="0.3">
      <c r="A1118" s="154" t="s">
        <v>7809</v>
      </c>
      <c r="B1118" s="154" t="s">
        <v>6028</v>
      </c>
      <c r="C1118" s="154" t="s">
        <v>114</v>
      </c>
      <c r="D1118" s="154">
        <v>2023</v>
      </c>
      <c r="E1118" s="154" t="s">
        <v>199</v>
      </c>
      <c r="F1118" s="173" t="s">
        <v>7475</v>
      </c>
      <c r="G1118" s="166">
        <f>FCCL!F91</f>
        <v>15581.499000000007</v>
      </c>
      <c r="H1118" s="166">
        <f>AVERAGE(FCCL!E37,FCCL!F37)</f>
        <v>126263.28700000001</v>
      </c>
      <c r="I1118" s="164">
        <f t="shared" si="51"/>
        <v>0.12340482629760784</v>
      </c>
      <c r="J1118" s="164">
        <v>0.12340482629760782</v>
      </c>
      <c r="K1118" s="168">
        <f t="shared" si="52"/>
        <v>0</v>
      </c>
      <c r="L1118" s="164">
        <v>0.11</v>
      </c>
      <c r="M1118" s="154">
        <v>2</v>
      </c>
      <c r="N1118" s="154" t="str">
        <f t="shared" si="53"/>
        <v>No fit</v>
      </c>
      <c r="O1118" s="173" t="s">
        <v>7476</v>
      </c>
      <c r="P1118" s="173" t="s">
        <v>7342</v>
      </c>
    </row>
    <row r="1119" spans="1:16" ht="64.05" customHeight="1" x14ac:dyDescent="0.3">
      <c r="A1119" s="151" t="s">
        <v>7810</v>
      </c>
      <c r="B1119" s="151" t="s">
        <v>6028</v>
      </c>
      <c r="C1119" s="151" t="s">
        <v>114</v>
      </c>
      <c r="D1119" s="151">
        <v>2023</v>
      </c>
      <c r="E1119" s="151" t="s">
        <v>199</v>
      </c>
      <c r="F1119" s="174" t="s">
        <v>7478</v>
      </c>
      <c r="G1119" s="167">
        <f>FCCL!F91</f>
        <v>15581.499000000007</v>
      </c>
      <c r="H1119" s="167">
        <f>FCCL!F20</f>
        <v>104425.181</v>
      </c>
      <c r="I1119" s="165">
        <f t="shared" si="51"/>
        <v>0.14921208515788933</v>
      </c>
      <c r="J1119" s="165">
        <v>0.14921208515788931</v>
      </c>
      <c r="K1119" s="169">
        <f t="shared" si="52"/>
        <v>0</v>
      </c>
      <c r="L1119" s="165">
        <v>0.11</v>
      </c>
      <c r="M1119" s="151">
        <v>2</v>
      </c>
      <c r="N1119" s="151" t="str">
        <f t="shared" si="53"/>
        <v>No fit</v>
      </c>
      <c r="O1119" s="174" t="s">
        <v>7479</v>
      </c>
      <c r="P1119" s="174" t="s">
        <v>7342</v>
      </c>
    </row>
    <row r="1120" spans="1:16" ht="64.05" customHeight="1" x14ac:dyDescent="0.3">
      <c r="A1120" s="154" t="s">
        <v>7811</v>
      </c>
      <c r="B1120" s="154" t="s">
        <v>6028</v>
      </c>
      <c r="C1120" s="154" t="s">
        <v>114</v>
      </c>
      <c r="D1120" s="154">
        <v>2023</v>
      </c>
      <c r="E1120" s="154" t="s">
        <v>199</v>
      </c>
      <c r="F1120" s="173" t="s">
        <v>7481</v>
      </c>
      <c r="G1120" s="166">
        <f>FCCL!F91</f>
        <v>15581.499000000007</v>
      </c>
      <c r="H1120" s="166">
        <f>AVERAGE(FCCL!E20,FCCL!F20)</f>
        <v>89275.747999999992</v>
      </c>
      <c r="I1120" s="164">
        <f t="shared" si="51"/>
        <v>0.17453227051091197</v>
      </c>
      <c r="J1120" s="164">
        <v>0.17453227051091194</v>
      </c>
      <c r="K1120" s="168">
        <f t="shared" si="52"/>
        <v>0</v>
      </c>
      <c r="L1120" s="164">
        <v>0.11</v>
      </c>
      <c r="M1120" s="154">
        <v>2</v>
      </c>
      <c r="N1120" s="154" t="str">
        <f t="shared" si="53"/>
        <v>No fit</v>
      </c>
      <c r="O1120" s="173" t="s">
        <v>7482</v>
      </c>
      <c r="P1120" s="173" t="s">
        <v>7342</v>
      </c>
    </row>
    <row r="1121" spans="1:16" ht="64.05" customHeight="1" x14ac:dyDescent="0.3">
      <c r="A1121" s="151" t="s">
        <v>7812</v>
      </c>
      <c r="B1121" s="151" t="s">
        <v>6028</v>
      </c>
      <c r="C1121" s="151" t="s">
        <v>114</v>
      </c>
      <c r="D1121" s="151">
        <v>2023</v>
      </c>
      <c r="E1121" s="151" t="s">
        <v>199</v>
      </c>
      <c r="F1121" s="174" t="s">
        <v>7484</v>
      </c>
      <c r="G1121" s="167">
        <f>FCCL!F91</f>
        <v>15581.499000000007</v>
      </c>
      <c r="H1121" s="167">
        <f>FCCL!F22</f>
        <v>69894.008999999991</v>
      </c>
      <c r="I1121" s="165">
        <f t="shared" si="51"/>
        <v>0.22293039450634472</v>
      </c>
      <c r="J1121" s="165">
        <v>0.22293039450634469</v>
      </c>
      <c r="K1121" s="169">
        <f t="shared" si="52"/>
        <v>0</v>
      </c>
      <c r="L1121" s="165">
        <v>0.11</v>
      </c>
      <c r="M1121" s="151">
        <v>2</v>
      </c>
      <c r="N1121" s="151" t="str">
        <f t="shared" si="53"/>
        <v>No fit</v>
      </c>
      <c r="O1121" s="174" t="s">
        <v>7485</v>
      </c>
      <c r="P1121" s="174" t="s">
        <v>7342</v>
      </c>
    </row>
    <row r="1122" spans="1:16" ht="64.05" customHeight="1" x14ac:dyDescent="0.3">
      <c r="A1122" s="154" t="s">
        <v>7813</v>
      </c>
      <c r="B1122" s="154" t="s">
        <v>6028</v>
      </c>
      <c r="C1122" s="154" t="s">
        <v>114</v>
      </c>
      <c r="D1122" s="154">
        <v>2023</v>
      </c>
      <c r="E1122" s="154" t="s">
        <v>199</v>
      </c>
      <c r="F1122" s="173" t="s">
        <v>7487</v>
      </c>
      <c r="G1122" s="166">
        <f>FCCL!F91</f>
        <v>15581.499000000007</v>
      </c>
      <c r="H1122" s="166">
        <f>AVERAGE(FCCL!E22,FCCL!F22)</f>
        <v>57109.076999999997</v>
      </c>
      <c r="I1122" s="164">
        <f t="shared" si="51"/>
        <v>0.27283752108268194</v>
      </c>
      <c r="J1122" s="164">
        <v>0.27283752108268194</v>
      </c>
      <c r="K1122" s="168">
        <f t="shared" si="52"/>
        <v>0</v>
      </c>
      <c r="L1122" s="164">
        <v>0.11</v>
      </c>
      <c r="M1122" s="154">
        <v>2</v>
      </c>
      <c r="N1122" s="154" t="str">
        <f t="shared" si="53"/>
        <v>No fit</v>
      </c>
      <c r="O1122" s="173" t="s">
        <v>7488</v>
      </c>
      <c r="P1122" s="173" t="s">
        <v>7342</v>
      </c>
    </row>
    <row r="1123" spans="1:16" ht="64.05" customHeight="1" x14ac:dyDescent="0.3">
      <c r="A1123" s="151" t="s">
        <v>7814</v>
      </c>
      <c r="B1123" s="151" t="s">
        <v>6028</v>
      </c>
      <c r="C1123" s="151" t="s">
        <v>114</v>
      </c>
      <c r="D1123" s="151">
        <v>2023</v>
      </c>
      <c r="E1123" s="151" t="s">
        <v>199</v>
      </c>
      <c r="F1123" s="174" t="s">
        <v>7490</v>
      </c>
      <c r="G1123" s="167">
        <f>FCCL!F91</f>
        <v>15581.499000000007</v>
      </c>
      <c r="H1123" s="167">
        <f>FCCL!F28</f>
        <v>115693.99799999999</v>
      </c>
      <c r="I1123" s="165">
        <f t="shared" si="51"/>
        <v>0.13467854226975551</v>
      </c>
      <c r="J1123" s="165">
        <v>0.13467854226975548</v>
      </c>
      <c r="K1123" s="169">
        <f t="shared" si="52"/>
        <v>0</v>
      </c>
      <c r="L1123" s="165">
        <v>0.11</v>
      </c>
      <c r="M1123" s="151">
        <v>2</v>
      </c>
      <c r="N1123" s="151" t="str">
        <f t="shared" si="53"/>
        <v>No fit</v>
      </c>
      <c r="O1123" s="174" t="s">
        <v>7491</v>
      </c>
      <c r="P1123" s="174" t="s">
        <v>7342</v>
      </c>
    </row>
    <row r="1124" spans="1:16" ht="64.05" customHeight="1" x14ac:dyDescent="0.3">
      <c r="A1124" s="154" t="s">
        <v>7815</v>
      </c>
      <c r="B1124" s="154" t="s">
        <v>6028</v>
      </c>
      <c r="C1124" s="154" t="s">
        <v>114</v>
      </c>
      <c r="D1124" s="154">
        <v>2023</v>
      </c>
      <c r="E1124" s="154" t="s">
        <v>199</v>
      </c>
      <c r="F1124" s="173" t="s">
        <v>7493</v>
      </c>
      <c r="G1124" s="166">
        <f>FCCL!F91</f>
        <v>15581.499000000007</v>
      </c>
      <c r="H1124" s="166">
        <f>AVERAGE(FCCL!E28,FCCL!F28)</f>
        <v>100587.6315</v>
      </c>
      <c r="I1124" s="164">
        <f t="shared" si="51"/>
        <v>0.15490472106404063</v>
      </c>
      <c r="J1124" s="164">
        <v>0.15490472106404063</v>
      </c>
      <c r="K1124" s="168">
        <f t="shared" si="52"/>
        <v>0</v>
      </c>
      <c r="L1124" s="164">
        <v>0.11</v>
      </c>
      <c r="M1124" s="154">
        <v>2</v>
      </c>
      <c r="N1124" s="154" t="str">
        <f t="shared" si="53"/>
        <v>No fit</v>
      </c>
      <c r="O1124" s="173" t="s">
        <v>7494</v>
      </c>
      <c r="P1124" s="173" t="s">
        <v>7342</v>
      </c>
    </row>
    <row r="1125" spans="1:16" ht="64.05" customHeight="1" x14ac:dyDescent="0.3">
      <c r="A1125" s="151" t="s">
        <v>7816</v>
      </c>
      <c r="B1125" s="151" t="s">
        <v>6028</v>
      </c>
      <c r="C1125" s="151" t="s">
        <v>114</v>
      </c>
      <c r="D1125" s="151">
        <v>2023</v>
      </c>
      <c r="E1125" s="151" t="s">
        <v>199</v>
      </c>
      <c r="F1125" s="174" t="s">
        <v>7496</v>
      </c>
      <c r="G1125" s="167">
        <f>FCCL!F91</f>
        <v>15581.499000000007</v>
      </c>
      <c r="H1125" s="167">
        <f>'Forensic Inputs'!$G$102</f>
        <v>127453.357</v>
      </c>
      <c r="I1125" s="165">
        <f t="shared" si="51"/>
        <v>0.12225255863601935</v>
      </c>
      <c r="J1125" s="165">
        <v>0.12225255863601933</v>
      </c>
      <c r="K1125" s="169">
        <f t="shared" si="52"/>
        <v>0</v>
      </c>
      <c r="L1125" s="165">
        <v>0.11</v>
      </c>
      <c r="M1125" s="151">
        <v>2</v>
      </c>
      <c r="N1125" s="151" t="str">
        <f t="shared" si="53"/>
        <v>No fit</v>
      </c>
      <c r="O1125" s="174" t="s">
        <v>7570</v>
      </c>
      <c r="P1125" s="174" t="s">
        <v>7342</v>
      </c>
    </row>
    <row r="1126" spans="1:16" ht="64.05" customHeight="1" x14ac:dyDescent="0.3">
      <c r="A1126" s="154" t="s">
        <v>7817</v>
      </c>
      <c r="B1126" s="154" t="s">
        <v>6028</v>
      </c>
      <c r="C1126" s="154" t="s">
        <v>114</v>
      </c>
      <c r="D1126" s="154">
        <v>2023</v>
      </c>
      <c r="E1126" s="154" t="s">
        <v>199</v>
      </c>
      <c r="F1126" s="173" t="s">
        <v>7499</v>
      </c>
      <c r="G1126" s="166">
        <f>FCCL!F91</f>
        <v>15581.499000000007</v>
      </c>
      <c r="H1126" s="166">
        <f>('Forensic Inputs'!$G$102-FCCL!F21)</f>
        <v>92922.184999999998</v>
      </c>
      <c r="I1126" s="164">
        <f t="shared" si="51"/>
        <v>0.16768330404628354</v>
      </c>
      <c r="J1126" s="164">
        <v>0.16768330404628351</v>
      </c>
      <c r="K1126" s="168">
        <f t="shared" si="52"/>
        <v>0</v>
      </c>
      <c r="L1126" s="164">
        <v>0.11</v>
      </c>
      <c r="M1126" s="154">
        <v>2</v>
      </c>
      <c r="N1126" s="154" t="str">
        <f t="shared" si="53"/>
        <v>No fit</v>
      </c>
      <c r="O1126" s="173" t="s">
        <v>7572</v>
      </c>
      <c r="P1126" s="173" t="s">
        <v>7342</v>
      </c>
    </row>
    <row r="1127" spans="1:16" ht="64.05" customHeight="1" x14ac:dyDescent="0.3">
      <c r="A1127" s="151" t="s">
        <v>7818</v>
      </c>
      <c r="B1127" s="151" t="s">
        <v>6028</v>
      </c>
      <c r="C1127" s="151" t="s">
        <v>114</v>
      </c>
      <c r="D1127" s="151">
        <v>2023</v>
      </c>
      <c r="E1127" s="151" t="s">
        <v>199</v>
      </c>
      <c r="F1127" s="174" t="s">
        <v>7502</v>
      </c>
      <c r="G1127" s="167">
        <f>FCCL!F91</f>
        <v>15581.499000000007</v>
      </c>
      <c r="H1127" s="167">
        <f>AVERAGE('Forensic Inputs'!$G$100,'Forensic Inputs'!$G$102)</f>
        <v>110655.664</v>
      </c>
      <c r="I1127" s="165">
        <f t="shared" si="51"/>
        <v>0.14081067734589714</v>
      </c>
      <c r="J1127" s="165">
        <v>0.14081067734589714</v>
      </c>
      <c r="K1127" s="169">
        <f t="shared" si="52"/>
        <v>0</v>
      </c>
      <c r="L1127" s="165">
        <v>0.11</v>
      </c>
      <c r="M1127" s="151">
        <v>2</v>
      </c>
      <c r="N1127" s="151" t="str">
        <f t="shared" si="53"/>
        <v>No fit</v>
      </c>
      <c r="O1127" s="174" t="s">
        <v>7574</v>
      </c>
      <c r="P1127" s="174" t="s">
        <v>7342</v>
      </c>
    </row>
    <row r="1128" spans="1:16" ht="64.05" customHeight="1" x14ac:dyDescent="0.3">
      <c r="A1128" s="154" t="s">
        <v>7819</v>
      </c>
      <c r="B1128" s="154" t="s">
        <v>6031</v>
      </c>
      <c r="C1128" s="154" t="s">
        <v>114</v>
      </c>
      <c r="D1128" s="154">
        <v>2024</v>
      </c>
      <c r="E1128" s="154" t="s">
        <v>199</v>
      </c>
      <c r="F1128" s="173" t="s">
        <v>5893</v>
      </c>
      <c r="G1128" s="166">
        <f>FCCL!G84</f>
        <v>80026.225999999995</v>
      </c>
      <c r="H1128" s="166">
        <f>AVERAGE(FCCL!F22,FCCL!G22)</f>
        <v>90019.759499999986</v>
      </c>
      <c r="I1128" s="164">
        <f t="shared" si="51"/>
        <v>0.88898511220750387</v>
      </c>
      <c r="J1128" s="164">
        <v>0.88898511220750387</v>
      </c>
      <c r="K1128" s="168">
        <f t="shared" si="52"/>
        <v>0</v>
      </c>
      <c r="L1128" s="164">
        <v>0.09</v>
      </c>
      <c r="M1128" s="154">
        <v>2</v>
      </c>
      <c r="N1128" s="154" t="str">
        <f t="shared" si="53"/>
        <v>No fit</v>
      </c>
      <c r="O1128" s="173" t="s">
        <v>6050</v>
      </c>
      <c r="P1128" s="173" t="s">
        <v>6051</v>
      </c>
    </row>
    <row r="1129" spans="1:16" ht="64.05" customHeight="1" x14ac:dyDescent="0.3">
      <c r="A1129" s="151" t="s">
        <v>7820</v>
      </c>
      <c r="B1129" s="151" t="s">
        <v>6031</v>
      </c>
      <c r="C1129" s="151" t="s">
        <v>114</v>
      </c>
      <c r="D1129" s="151">
        <v>2024</v>
      </c>
      <c r="E1129" s="151" t="s">
        <v>199</v>
      </c>
      <c r="F1129" s="174" t="s">
        <v>6009</v>
      </c>
      <c r="G1129" s="167">
        <f>FCCL!G84</f>
        <v>80026.225999999995</v>
      </c>
      <c r="H1129" s="167">
        <f>FCCL!G37</f>
        <v>147636.299</v>
      </c>
      <c r="I1129" s="165">
        <f t="shared" si="51"/>
        <v>0.54204979765850125</v>
      </c>
      <c r="J1129" s="165">
        <v>0.54204979765850125</v>
      </c>
      <c r="K1129" s="169">
        <f t="shared" si="52"/>
        <v>0</v>
      </c>
      <c r="L1129" s="165">
        <v>0.09</v>
      </c>
      <c r="M1129" s="151">
        <v>2</v>
      </c>
      <c r="N1129" s="151" t="str">
        <f t="shared" si="53"/>
        <v>No fit</v>
      </c>
      <c r="O1129" s="174" t="s">
        <v>7341</v>
      </c>
      <c r="P1129" s="174" t="s">
        <v>7342</v>
      </c>
    </row>
    <row r="1130" spans="1:16" ht="64.05" customHeight="1" x14ac:dyDescent="0.3">
      <c r="A1130" s="154" t="s">
        <v>7821</v>
      </c>
      <c r="B1130" s="154" t="s">
        <v>6031</v>
      </c>
      <c r="C1130" s="154" t="s">
        <v>114</v>
      </c>
      <c r="D1130" s="154">
        <v>2024</v>
      </c>
      <c r="E1130" s="154" t="s">
        <v>199</v>
      </c>
      <c r="F1130" s="173" t="s">
        <v>7344</v>
      </c>
      <c r="G1130" s="166">
        <f>FCCL!G84</f>
        <v>80026.225999999995</v>
      </c>
      <c r="H1130" s="166">
        <f>AVERAGE(FCCL!F37,FCCL!G37)</f>
        <v>143232.39799999999</v>
      </c>
      <c r="I1130" s="164">
        <f t="shared" si="51"/>
        <v>0.55871595475208058</v>
      </c>
      <c r="J1130" s="164">
        <v>0.55871595475208058</v>
      </c>
      <c r="K1130" s="168">
        <f t="shared" si="52"/>
        <v>0</v>
      </c>
      <c r="L1130" s="164">
        <v>0.09</v>
      </c>
      <c r="M1130" s="154">
        <v>2</v>
      </c>
      <c r="N1130" s="154" t="str">
        <f t="shared" si="53"/>
        <v>No fit</v>
      </c>
      <c r="O1130" s="173" t="s">
        <v>7345</v>
      </c>
      <c r="P1130" s="173" t="s">
        <v>7342</v>
      </c>
    </row>
    <row r="1131" spans="1:16" ht="64.05" customHeight="1" x14ac:dyDescent="0.3">
      <c r="A1131" s="151" t="s">
        <v>7822</v>
      </c>
      <c r="B1131" s="151" t="s">
        <v>6031</v>
      </c>
      <c r="C1131" s="151" t="s">
        <v>114</v>
      </c>
      <c r="D1131" s="151">
        <v>2024</v>
      </c>
      <c r="E1131" s="151" t="s">
        <v>199</v>
      </c>
      <c r="F1131" s="174" t="s">
        <v>6025</v>
      </c>
      <c r="G1131" s="167">
        <f>FCCL!G84</f>
        <v>80026.225999999995</v>
      </c>
      <c r="H1131" s="167">
        <f>FCCL!G20</f>
        <v>110845.663</v>
      </c>
      <c r="I1131" s="165">
        <f t="shared" si="51"/>
        <v>0.72196082222901214</v>
      </c>
      <c r="J1131" s="165">
        <v>0.72196082222901214</v>
      </c>
      <c r="K1131" s="169">
        <f t="shared" si="52"/>
        <v>0</v>
      </c>
      <c r="L1131" s="165">
        <v>0.09</v>
      </c>
      <c r="M1131" s="151">
        <v>2</v>
      </c>
      <c r="N1131" s="151" t="str">
        <f t="shared" si="53"/>
        <v>No fit</v>
      </c>
      <c r="O1131" s="174" t="s">
        <v>7347</v>
      </c>
      <c r="P1131" s="174" t="s">
        <v>7342</v>
      </c>
    </row>
    <row r="1132" spans="1:16" ht="64.05" customHeight="1" x14ac:dyDescent="0.3">
      <c r="A1132" s="154" t="s">
        <v>7823</v>
      </c>
      <c r="B1132" s="154" t="s">
        <v>6031</v>
      </c>
      <c r="C1132" s="154" t="s">
        <v>114</v>
      </c>
      <c r="D1132" s="154">
        <v>2024</v>
      </c>
      <c r="E1132" s="154" t="s">
        <v>199</v>
      </c>
      <c r="F1132" s="173" t="s">
        <v>7349</v>
      </c>
      <c r="G1132" s="166">
        <f>FCCL!G84</f>
        <v>80026.225999999995</v>
      </c>
      <c r="H1132" s="166">
        <f>AVERAGE(FCCL!F20,FCCL!G20)</f>
        <v>107635.42199999999</v>
      </c>
      <c r="I1132" s="164">
        <f t="shared" si="51"/>
        <v>0.74349340127081953</v>
      </c>
      <c r="J1132" s="164">
        <v>0.74349340127081953</v>
      </c>
      <c r="K1132" s="168">
        <f t="shared" si="52"/>
        <v>0</v>
      </c>
      <c r="L1132" s="164">
        <v>0.09</v>
      </c>
      <c r="M1132" s="154">
        <v>2</v>
      </c>
      <c r="N1132" s="154" t="str">
        <f t="shared" si="53"/>
        <v>No fit</v>
      </c>
      <c r="O1132" s="173" t="s">
        <v>7350</v>
      </c>
      <c r="P1132" s="173" t="s">
        <v>7342</v>
      </c>
    </row>
    <row r="1133" spans="1:16" ht="64.05" customHeight="1" x14ac:dyDescent="0.3">
      <c r="A1133" s="151" t="s">
        <v>7824</v>
      </c>
      <c r="B1133" s="151" t="s">
        <v>6031</v>
      </c>
      <c r="C1133" s="151" t="s">
        <v>114</v>
      </c>
      <c r="D1133" s="151">
        <v>2024</v>
      </c>
      <c r="E1133" s="151" t="s">
        <v>199</v>
      </c>
      <c r="F1133" s="174" t="s">
        <v>7352</v>
      </c>
      <c r="G1133" s="167">
        <f>FCCL!G84</f>
        <v>80026.225999999995</v>
      </c>
      <c r="H1133" s="167">
        <f>FCCL!G22</f>
        <v>110145.51</v>
      </c>
      <c r="I1133" s="165">
        <f t="shared" si="51"/>
        <v>0.72655005183597587</v>
      </c>
      <c r="J1133" s="165">
        <v>0.72655005183597587</v>
      </c>
      <c r="K1133" s="169">
        <f t="shared" si="52"/>
        <v>0</v>
      </c>
      <c r="L1133" s="165">
        <v>0.09</v>
      </c>
      <c r="M1133" s="151">
        <v>2</v>
      </c>
      <c r="N1133" s="151" t="str">
        <f t="shared" si="53"/>
        <v>No fit</v>
      </c>
      <c r="O1133" s="174" t="s">
        <v>7353</v>
      </c>
      <c r="P1133" s="174" t="s">
        <v>7342</v>
      </c>
    </row>
    <row r="1134" spans="1:16" ht="64.05" customHeight="1" x14ac:dyDescent="0.3">
      <c r="A1134" s="154" t="s">
        <v>7825</v>
      </c>
      <c r="B1134" s="154" t="s">
        <v>6031</v>
      </c>
      <c r="C1134" s="154" t="s">
        <v>114</v>
      </c>
      <c r="D1134" s="154">
        <v>2024</v>
      </c>
      <c r="E1134" s="154" t="s">
        <v>199</v>
      </c>
      <c r="F1134" s="173" t="s">
        <v>7355</v>
      </c>
      <c r="G1134" s="166">
        <f>FCCL!G84</f>
        <v>80026.225999999995</v>
      </c>
      <c r="H1134" s="166">
        <f>AVERAGE(FCCL!F22,FCCL!G22)</f>
        <v>90019.759499999986</v>
      </c>
      <c r="I1134" s="164">
        <f t="shared" si="51"/>
        <v>0.88898511220750387</v>
      </c>
      <c r="J1134" s="164">
        <v>0.88898511220750387</v>
      </c>
      <c r="K1134" s="168">
        <f t="shared" si="52"/>
        <v>0</v>
      </c>
      <c r="L1134" s="164">
        <v>0.09</v>
      </c>
      <c r="M1134" s="154">
        <v>2</v>
      </c>
      <c r="N1134" s="154" t="str">
        <f t="shared" si="53"/>
        <v>No fit</v>
      </c>
      <c r="O1134" s="173" t="s">
        <v>7356</v>
      </c>
      <c r="P1134" s="173" t="s">
        <v>7342</v>
      </c>
    </row>
    <row r="1135" spans="1:16" ht="64.05" customHeight="1" x14ac:dyDescent="0.3">
      <c r="A1135" s="151" t="s">
        <v>7826</v>
      </c>
      <c r="B1135" s="151" t="s">
        <v>6031</v>
      </c>
      <c r="C1135" s="151" t="s">
        <v>114</v>
      </c>
      <c r="D1135" s="151">
        <v>2024</v>
      </c>
      <c r="E1135" s="151" t="s">
        <v>199</v>
      </c>
      <c r="F1135" s="174" t="s">
        <v>7358</v>
      </c>
      <c r="G1135" s="167">
        <f>FCCL!G84</f>
        <v>80026.225999999995</v>
      </c>
      <c r="H1135" s="167">
        <f>FCCL!G28</f>
        <v>121852.22799999999</v>
      </c>
      <c r="I1135" s="165">
        <f t="shared" si="51"/>
        <v>0.65674815564307942</v>
      </c>
      <c r="J1135" s="165">
        <v>0.65674815564307931</v>
      </c>
      <c r="K1135" s="169">
        <f t="shared" si="52"/>
        <v>0</v>
      </c>
      <c r="L1135" s="165">
        <v>0.09</v>
      </c>
      <c r="M1135" s="151">
        <v>2</v>
      </c>
      <c r="N1135" s="151" t="str">
        <f t="shared" si="53"/>
        <v>No fit</v>
      </c>
      <c r="O1135" s="174" t="s">
        <v>7359</v>
      </c>
      <c r="P1135" s="174" t="s">
        <v>7342</v>
      </c>
    </row>
    <row r="1136" spans="1:16" ht="64.05" customHeight="1" x14ac:dyDescent="0.3">
      <c r="A1136" s="154" t="s">
        <v>7827</v>
      </c>
      <c r="B1136" s="154" t="s">
        <v>6031</v>
      </c>
      <c r="C1136" s="154" t="s">
        <v>114</v>
      </c>
      <c r="D1136" s="154">
        <v>2024</v>
      </c>
      <c r="E1136" s="154" t="s">
        <v>199</v>
      </c>
      <c r="F1136" s="173" t="s">
        <v>7361</v>
      </c>
      <c r="G1136" s="166">
        <f>FCCL!G84</f>
        <v>80026.225999999995</v>
      </c>
      <c r="H1136" s="166">
        <f>AVERAGE(FCCL!F28,FCCL!G28)</f>
        <v>118773.11299999998</v>
      </c>
      <c r="I1136" s="164">
        <f t="shared" si="51"/>
        <v>0.67377392053368179</v>
      </c>
      <c r="J1136" s="164">
        <v>0.67377392053368168</v>
      </c>
      <c r="K1136" s="168">
        <f t="shared" si="52"/>
        <v>0</v>
      </c>
      <c r="L1136" s="164">
        <v>0.09</v>
      </c>
      <c r="M1136" s="154">
        <v>2</v>
      </c>
      <c r="N1136" s="154" t="str">
        <f t="shared" si="53"/>
        <v>No fit</v>
      </c>
      <c r="O1136" s="173" t="s">
        <v>7362</v>
      </c>
      <c r="P1136" s="173" t="s">
        <v>7342</v>
      </c>
    </row>
    <row r="1137" spans="1:16" ht="64.05" customHeight="1" x14ac:dyDescent="0.3">
      <c r="A1137" s="151" t="s">
        <v>7828</v>
      </c>
      <c r="B1137" s="151" t="s">
        <v>6031</v>
      </c>
      <c r="C1137" s="151" t="s">
        <v>114</v>
      </c>
      <c r="D1137" s="151">
        <v>2024</v>
      </c>
      <c r="E1137" s="151" t="s">
        <v>199</v>
      </c>
      <c r="F1137" s="174" t="s">
        <v>7364</v>
      </c>
      <c r="G1137" s="167">
        <f>FCCL!G84</f>
        <v>80026.225999999995</v>
      </c>
      <c r="H1137" s="167">
        <f>'Forensic Inputs'!$G$104</f>
        <v>137590.82500000001</v>
      </c>
      <c r="I1137" s="165">
        <f t="shared" si="51"/>
        <v>0.58162472679410115</v>
      </c>
      <c r="J1137" s="165">
        <v>0.58162472679410115</v>
      </c>
      <c r="K1137" s="169">
        <f t="shared" si="52"/>
        <v>0</v>
      </c>
      <c r="L1137" s="165">
        <v>0.09</v>
      </c>
      <c r="M1137" s="151">
        <v>2</v>
      </c>
      <c r="N1137" s="151" t="str">
        <f t="shared" si="53"/>
        <v>No fit</v>
      </c>
      <c r="O1137" s="174" t="s">
        <v>7514</v>
      </c>
      <c r="P1137" s="174" t="s">
        <v>7342</v>
      </c>
    </row>
    <row r="1138" spans="1:16" ht="64.05" customHeight="1" x14ac:dyDescent="0.3">
      <c r="A1138" s="154" t="s">
        <v>7829</v>
      </c>
      <c r="B1138" s="154" t="s">
        <v>6031</v>
      </c>
      <c r="C1138" s="154" t="s">
        <v>114</v>
      </c>
      <c r="D1138" s="154">
        <v>2024</v>
      </c>
      <c r="E1138" s="154" t="s">
        <v>199</v>
      </c>
      <c r="F1138" s="173" t="s">
        <v>7367</v>
      </c>
      <c r="G1138" s="166">
        <f>FCCL!G84</f>
        <v>80026.225999999995</v>
      </c>
      <c r="H1138" s="166">
        <f>('Forensic Inputs'!$G$104-FCCL!G21)</f>
        <v>136890.67200000002</v>
      </c>
      <c r="I1138" s="164">
        <f t="shared" si="51"/>
        <v>0.58459955547592013</v>
      </c>
      <c r="J1138" s="164">
        <v>0.58459955547592013</v>
      </c>
      <c r="K1138" s="168">
        <f t="shared" si="52"/>
        <v>0</v>
      </c>
      <c r="L1138" s="164">
        <v>0.09</v>
      </c>
      <c r="M1138" s="154">
        <v>2</v>
      </c>
      <c r="N1138" s="154" t="str">
        <f t="shared" si="53"/>
        <v>No fit</v>
      </c>
      <c r="O1138" s="173" t="s">
        <v>7516</v>
      </c>
      <c r="P1138" s="173" t="s">
        <v>7342</v>
      </c>
    </row>
    <row r="1139" spans="1:16" ht="64.05" customHeight="1" x14ac:dyDescent="0.3">
      <c r="A1139" s="151" t="s">
        <v>7830</v>
      </c>
      <c r="B1139" s="151" t="s">
        <v>6031</v>
      </c>
      <c r="C1139" s="151" t="s">
        <v>114</v>
      </c>
      <c r="D1139" s="151">
        <v>2024</v>
      </c>
      <c r="E1139" s="151" t="s">
        <v>199</v>
      </c>
      <c r="F1139" s="174" t="s">
        <v>7370</v>
      </c>
      <c r="G1139" s="167">
        <f>FCCL!G84</f>
        <v>80026.225999999995</v>
      </c>
      <c r="H1139" s="167">
        <f>AVERAGE('Forensic Inputs'!$G$102,'Forensic Inputs'!$G$104)</f>
        <v>132522.09100000001</v>
      </c>
      <c r="I1139" s="165">
        <f t="shared" si="51"/>
        <v>0.60387083690069443</v>
      </c>
      <c r="J1139" s="165">
        <v>0.60387083690069443</v>
      </c>
      <c r="K1139" s="169">
        <f t="shared" si="52"/>
        <v>0</v>
      </c>
      <c r="L1139" s="165">
        <v>0.09</v>
      </c>
      <c r="M1139" s="151">
        <v>2</v>
      </c>
      <c r="N1139" s="151" t="str">
        <f t="shared" si="53"/>
        <v>No fit</v>
      </c>
      <c r="O1139" s="174" t="s">
        <v>7587</v>
      </c>
      <c r="P1139" s="174" t="s">
        <v>7342</v>
      </c>
    </row>
    <row r="1140" spans="1:16" ht="64.05" customHeight="1" x14ac:dyDescent="0.3">
      <c r="A1140" s="154" t="s">
        <v>7831</v>
      </c>
      <c r="B1140" s="154" t="s">
        <v>6031</v>
      </c>
      <c r="C1140" s="154" t="s">
        <v>114</v>
      </c>
      <c r="D1140" s="154">
        <v>2024</v>
      </c>
      <c r="E1140" s="154" t="s">
        <v>199</v>
      </c>
      <c r="F1140" s="173" t="s">
        <v>7373</v>
      </c>
      <c r="G1140" s="166">
        <f>FCCL!G99</f>
        <v>8223.1159999999945</v>
      </c>
      <c r="H1140" s="166">
        <f>FCCL!G37</f>
        <v>147636.299</v>
      </c>
      <c r="I1140" s="164">
        <f t="shared" si="51"/>
        <v>5.5698470198037101E-2</v>
      </c>
      <c r="J1140" s="164">
        <v>5.5698470198037073E-2</v>
      </c>
      <c r="K1140" s="168">
        <f t="shared" si="52"/>
        <v>0</v>
      </c>
      <c r="L1140" s="164">
        <v>0.09</v>
      </c>
      <c r="M1140" s="154">
        <v>2</v>
      </c>
      <c r="N1140" s="154" t="str">
        <f t="shared" si="53"/>
        <v>No fit</v>
      </c>
      <c r="O1140" s="173" t="s">
        <v>7374</v>
      </c>
      <c r="P1140" s="173" t="s">
        <v>7342</v>
      </c>
    </row>
    <row r="1141" spans="1:16" ht="64.05" customHeight="1" x14ac:dyDescent="0.3">
      <c r="A1141" s="151" t="s">
        <v>7832</v>
      </c>
      <c r="B1141" s="151" t="s">
        <v>6031</v>
      </c>
      <c r="C1141" s="151" t="s">
        <v>114</v>
      </c>
      <c r="D1141" s="151">
        <v>2024</v>
      </c>
      <c r="E1141" s="151" t="s">
        <v>199</v>
      </c>
      <c r="F1141" s="174" t="s">
        <v>7376</v>
      </c>
      <c r="G1141" s="167">
        <f>FCCL!G99</f>
        <v>8223.1159999999945</v>
      </c>
      <c r="H1141" s="167">
        <f>AVERAGE(FCCL!F37,FCCL!G37)</f>
        <v>143232.39799999999</v>
      </c>
      <c r="I1141" s="165">
        <f t="shared" si="51"/>
        <v>5.7411005574311447E-2</v>
      </c>
      <c r="J1141" s="165">
        <v>5.7411005574311419E-2</v>
      </c>
      <c r="K1141" s="169">
        <f t="shared" si="52"/>
        <v>0</v>
      </c>
      <c r="L1141" s="165">
        <v>0.09</v>
      </c>
      <c r="M1141" s="151">
        <v>2</v>
      </c>
      <c r="N1141" s="151" t="str">
        <f t="shared" si="53"/>
        <v>No fit</v>
      </c>
      <c r="O1141" s="174" t="s">
        <v>7377</v>
      </c>
      <c r="P1141" s="174" t="s">
        <v>7342</v>
      </c>
    </row>
    <row r="1142" spans="1:16" ht="64.05" customHeight="1" x14ac:dyDescent="0.3">
      <c r="A1142" s="154" t="s">
        <v>7833</v>
      </c>
      <c r="B1142" s="154" t="s">
        <v>6031</v>
      </c>
      <c r="C1142" s="154" t="s">
        <v>114</v>
      </c>
      <c r="D1142" s="154">
        <v>2024</v>
      </c>
      <c r="E1142" s="154" t="s">
        <v>199</v>
      </c>
      <c r="F1142" s="173" t="s">
        <v>7379</v>
      </c>
      <c r="G1142" s="166">
        <f>FCCL!G99</f>
        <v>8223.1159999999945</v>
      </c>
      <c r="H1142" s="166">
        <f>FCCL!G20</f>
        <v>110845.663</v>
      </c>
      <c r="I1142" s="164">
        <f t="shared" si="51"/>
        <v>7.4185275070256865E-2</v>
      </c>
      <c r="J1142" s="164">
        <v>7.4185275070256837E-2</v>
      </c>
      <c r="K1142" s="168">
        <f t="shared" si="52"/>
        <v>0</v>
      </c>
      <c r="L1142" s="164">
        <v>0.09</v>
      </c>
      <c r="M1142" s="154">
        <v>2</v>
      </c>
      <c r="N1142" s="154" t="str">
        <f t="shared" si="53"/>
        <v>No fit</v>
      </c>
      <c r="O1142" s="173" t="s">
        <v>7380</v>
      </c>
      <c r="P1142" s="173" t="s">
        <v>7342</v>
      </c>
    </row>
    <row r="1143" spans="1:16" ht="64.05" customHeight="1" x14ac:dyDescent="0.3">
      <c r="A1143" s="151" t="s">
        <v>7834</v>
      </c>
      <c r="B1143" s="151" t="s">
        <v>6031</v>
      </c>
      <c r="C1143" s="151" t="s">
        <v>114</v>
      </c>
      <c r="D1143" s="151">
        <v>2024</v>
      </c>
      <c r="E1143" s="151" t="s">
        <v>199</v>
      </c>
      <c r="F1143" s="174" t="s">
        <v>7382</v>
      </c>
      <c r="G1143" s="167">
        <f>FCCL!G99</f>
        <v>8223.1159999999945</v>
      </c>
      <c r="H1143" s="167">
        <f>AVERAGE(FCCL!F20,FCCL!G20)</f>
        <v>107635.42199999999</v>
      </c>
      <c r="I1143" s="165">
        <f t="shared" si="51"/>
        <v>7.6397860919800137E-2</v>
      </c>
      <c r="J1143" s="165">
        <v>7.6397860919800095E-2</v>
      </c>
      <c r="K1143" s="169">
        <f t="shared" si="52"/>
        <v>0</v>
      </c>
      <c r="L1143" s="165">
        <v>0.09</v>
      </c>
      <c r="M1143" s="151">
        <v>2</v>
      </c>
      <c r="N1143" s="151" t="str">
        <f t="shared" si="53"/>
        <v>No fit</v>
      </c>
      <c r="O1143" s="174" t="s">
        <v>7383</v>
      </c>
      <c r="P1143" s="174" t="s">
        <v>7342</v>
      </c>
    </row>
    <row r="1144" spans="1:16" ht="64.05" customHeight="1" x14ac:dyDescent="0.3">
      <c r="A1144" s="154" t="s">
        <v>7835</v>
      </c>
      <c r="B1144" s="154" t="s">
        <v>6031</v>
      </c>
      <c r="C1144" s="154" t="s">
        <v>114</v>
      </c>
      <c r="D1144" s="154">
        <v>2024</v>
      </c>
      <c r="E1144" s="154" t="s">
        <v>199</v>
      </c>
      <c r="F1144" s="173" t="s">
        <v>7385</v>
      </c>
      <c r="G1144" s="166">
        <f>FCCL!G99</f>
        <v>8223.1159999999945</v>
      </c>
      <c r="H1144" s="166">
        <f>FCCL!G22</f>
        <v>110145.51</v>
      </c>
      <c r="I1144" s="164">
        <f t="shared" si="51"/>
        <v>7.4656842571249563E-2</v>
      </c>
      <c r="J1144" s="164">
        <v>7.4656842571249535E-2</v>
      </c>
      <c r="K1144" s="168">
        <f t="shared" si="52"/>
        <v>0</v>
      </c>
      <c r="L1144" s="164">
        <v>0.09</v>
      </c>
      <c r="M1144" s="154">
        <v>2</v>
      </c>
      <c r="N1144" s="154" t="str">
        <f t="shared" si="53"/>
        <v>No fit</v>
      </c>
      <c r="O1144" s="173" t="s">
        <v>7386</v>
      </c>
      <c r="P1144" s="173" t="s">
        <v>7342</v>
      </c>
    </row>
    <row r="1145" spans="1:16" ht="64.05" customHeight="1" x14ac:dyDescent="0.3">
      <c r="A1145" s="151" t="s">
        <v>7836</v>
      </c>
      <c r="B1145" s="151" t="s">
        <v>6031</v>
      </c>
      <c r="C1145" s="151" t="s">
        <v>114</v>
      </c>
      <c r="D1145" s="151">
        <v>2024</v>
      </c>
      <c r="E1145" s="151" t="s">
        <v>199</v>
      </c>
      <c r="F1145" s="174" t="s">
        <v>7388</v>
      </c>
      <c r="G1145" s="167">
        <f>FCCL!G99</f>
        <v>8223.1159999999945</v>
      </c>
      <c r="H1145" s="167">
        <f>AVERAGE(FCCL!F22,FCCL!G22)</f>
        <v>90019.759499999986</v>
      </c>
      <c r="I1145" s="165">
        <f t="shared" si="51"/>
        <v>9.1347900124083267E-2</v>
      </c>
      <c r="J1145" s="165">
        <v>9.1347900124083226E-2</v>
      </c>
      <c r="K1145" s="169">
        <f t="shared" si="52"/>
        <v>0</v>
      </c>
      <c r="L1145" s="165">
        <v>0.09</v>
      </c>
      <c r="M1145" s="151">
        <v>2</v>
      </c>
      <c r="N1145" s="151" t="str">
        <f t="shared" si="53"/>
        <v>Numeric fit</v>
      </c>
      <c r="O1145" s="174" t="s">
        <v>7389</v>
      </c>
      <c r="P1145" s="174" t="s">
        <v>7342</v>
      </c>
    </row>
    <row r="1146" spans="1:16" ht="64.05" customHeight="1" x14ac:dyDescent="0.3">
      <c r="A1146" s="154" t="s">
        <v>7837</v>
      </c>
      <c r="B1146" s="154" t="s">
        <v>6031</v>
      </c>
      <c r="C1146" s="154" t="s">
        <v>114</v>
      </c>
      <c r="D1146" s="154">
        <v>2024</v>
      </c>
      <c r="E1146" s="154" t="s">
        <v>199</v>
      </c>
      <c r="F1146" s="173" t="s">
        <v>7391</v>
      </c>
      <c r="G1146" s="166">
        <f>FCCL!G99</f>
        <v>8223.1159999999945</v>
      </c>
      <c r="H1146" s="166">
        <f>FCCL!G28</f>
        <v>121852.22799999999</v>
      </c>
      <c r="I1146" s="164">
        <f t="shared" si="51"/>
        <v>6.7484330282413837E-2</v>
      </c>
      <c r="J1146" s="164">
        <v>6.7484330282413796E-2</v>
      </c>
      <c r="K1146" s="168">
        <f t="shared" si="52"/>
        <v>0</v>
      </c>
      <c r="L1146" s="164">
        <v>0.09</v>
      </c>
      <c r="M1146" s="154">
        <v>2</v>
      </c>
      <c r="N1146" s="154" t="str">
        <f t="shared" si="53"/>
        <v>No fit</v>
      </c>
      <c r="O1146" s="173" t="s">
        <v>7392</v>
      </c>
      <c r="P1146" s="173" t="s">
        <v>7342</v>
      </c>
    </row>
    <row r="1147" spans="1:16" ht="64.05" customHeight="1" x14ac:dyDescent="0.3">
      <c r="A1147" s="151" t="s">
        <v>7838</v>
      </c>
      <c r="B1147" s="151" t="s">
        <v>6031</v>
      </c>
      <c r="C1147" s="151" t="s">
        <v>114</v>
      </c>
      <c r="D1147" s="151">
        <v>2024</v>
      </c>
      <c r="E1147" s="151" t="s">
        <v>199</v>
      </c>
      <c r="F1147" s="174" t="s">
        <v>7394</v>
      </c>
      <c r="G1147" s="167">
        <f>FCCL!G99</f>
        <v>8223.1159999999945</v>
      </c>
      <c r="H1147" s="167">
        <f>AVERAGE(FCCL!F28,FCCL!G28)</f>
        <v>118773.11299999998</v>
      </c>
      <c r="I1147" s="165">
        <f t="shared" si="51"/>
        <v>6.9233817252899621E-2</v>
      </c>
      <c r="J1147" s="165">
        <v>6.9233817252899579E-2</v>
      </c>
      <c r="K1147" s="169">
        <f t="shared" si="52"/>
        <v>0</v>
      </c>
      <c r="L1147" s="165">
        <v>0.09</v>
      </c>
      <c r="M1147" s="151">
        <v>2</v>
      </c>
      <c r="N1147" s="151" t="str">
        <f t="shared" si="53"/>
        <v>No fit</v>
      </c>
      <c r="O1147" s="174" t="s">
        <v>7395</v>
      </c>
      <c r="P1147" s="174" t="s">
        <v>7342</v>
      </c>
    </row>
    <row r="1148" spans="1:16" ht="64.05" customHeight="1" x14ac:dyDescent="0.3">
      <c r="A1148" s="154" t="s">
        <v>7839</v>
      </c>
      <c r="B1148" s="154" t="s">
        <v>6031</v>
      </c>
      <c r="C1148" s="154" t="s">
        <v>114</v>
      </c>
      <c r="D1148" s="154">
        <v>2024</v>
      </c>
      <c r="E1148" s="154" t="s">
        <v>199</v>
      </c>
      <c r="F1148" s="173" t="s">
        <v>7397</v>
      </c>
      <c r="G1148" s="166">
        <f>FCCL!G99</f>
        <v>8223.1159999999945</v>
      </c>
      <c r="H1148" s="166">
        <f>'Forensic Inputs'!$G$104</f>
        <v>137590.82500000001</v>
      </c>
      <c r="I1148" s="164">
        <f t="shared" si="51"/>
        <v>5.9765002499258174E-2</v>
      </c>
      <c r="J1148" s="164">
        <v>5.9765002499258146E-2</v>
      </c>
      <c r="K1148" s="168">
        <f t="shared" si="52"/>
        <v>0</v>
      </c>
      <c r="L1148" s="164">
        <v>0.09</v>
      </c>
      <c r="M1148" s="154">
        <v>2</v>
      </c>
      <c r="N1148" s="154" t="str">
        <f t="shared" si="53"/>
        <v>No fit</v>
      </c>
      <c r="O1148" s="173" t="s">
        <v>7528</v>
      </c>
      <c r="P1148" s="173" t="s">
        <v>7342</v>
      </c>
    </row>
    <row r="1149" spans="1:16" ht="64.05" customHeight="1" x14ac:dyDescent="0.3">
      <c r="A1149" s="151" t="s">
        <v>7840</v>
      </c>
      <c r="B1149" s="151" t="s">
        <v>6031</v>
      </c>
      <c r="C1149" s="151" t="s">
        <v>114</v>
      </c>
      <c r="D1149" s="151">
        <v>2024</v>
      </c>
      <c r="E1149" s="151" t="s">
        <v>199</v>
      </c>
      <c r="F1149" s="174" t="s">
        <v>7400</v>
      </c>
      <c r="G1149" s="167">
        <f>FCCL!G99</f>
        <v>8223.1159999999945</v>
      </c>
      <c r="H1149" s="167">
        <f>('Forensic Inputs'!$G$104-FCCL!G21)</f>
        <v>136890.67200000002</v>
      </c>
      <c r="I1149" s="165">
        <f t="shared" si="51"/>
        <v>6.0070681806573302E-2</v>
      </c>
      <c r="J1149" s="165">
        <v>6.0070681806573274E-2</v>
      </c>
      <c r="K1149" s="169">
        <f t="shared" si="52"/>
        <v>0</v>
      </c>
      <c r="L1149" s="165">
        <v>0.09</v>
      </c>
      <c r="M1149" s="151">
        <v>2</v>
      </c>
      <c r="N1149" s="151" t="str">
        <f t="shared" si="53"/>
        <v>No fit</v>
      </c>
      <c r="O1149" s="174" t="s">
        <v>7530</v>
      </c>
      <c r="P1149" s="174" t="s">
        <v>7342</v>
      </c>
    </row>
    <row r="1150" spans="1:16" ht="64.05" customHeight="1" x14ac:dyDescent="0.3">
      <c r="A1150" s="154" t="s">
        <v>7841</v>
      </c>
      <c r="B1150" s="154" t="s">
        <v>6031</v>
      </c>
      <c r="C1150" s="154" t="s">
        <v>114</v>
      </c>
      <c r="D1150" s="154">
        <v>2024</v>
      </c>
      <c r="E1150" s="154" t="s">
        <v>199</v>
      </c>
      <c r="F1150" s="173" t="s">
        <v>7403</v>
      </c>
      <c r="G1150" s="166">
        <f>FCCL!G99</f>
        <v>8223.1159999999945</v>
      </c>
      <c r="H1150" s="166">
        <f>AVERAGE('Forensic Inputs'!$G$102,'Forensic Inputs'!$G$104)</f>
        <v>132522.09100000001</v>
      </c>
      <c r="I1150" s="164">
        <f t="shared" si="51"/>
        <v>6.205090742191801E-2</v>
      </c>
      <c r="J1150" s="164">
        <v>6.2050907421917982E-2</v>
      </c>
      <c r="K1150" s="168">
        <f t="shared" si="52"/>
        <v>0</v>
      </c>
      <c r="L1150" s="164">
        <v>0.09</v>
      </c>
      <c r="M1150" s="154">
        <v>2</v>
      </c>
      <c r="N1150" s="154" t="str">
        <f t="shared" si="53"/>
        <v>No fit</v>
      </c>
      <c r="O1150" s="173" t="s">
        <v>7599</v>
      </c>
      <c r="P1150" s="173" t="s">
        <v>7342</v>
      </c>
    </row>
    <row r="1151" spans="1:16" ht="64.05" customHeight="1" x14ac:dyDescent="0.3">
      <c r="A1151" s="151" t="s">
        <v>7842</v>
      </c>
      <c r="B1151" s="151" t="s">
        <v>6031</v>
      </c>
      <c r="C1151" s="151" t="s">
        <v>114</v>
      </c>
      <c r="D1151" s="151">
        <v>2024</v>
      </c>
      <c r="E1151" s="151" t="s">
        <v>199</v>
      </c>
      <c r="F1151" s="174" t="s">
        <v>7406</v>
      </c>
      <c r="G1151" s="167">
        <f>FCCL!G96</f>
        <v>15354.953999999994</v>
      </c>
      <c r="H1151" s="167">
        <f>FCCL!G37</f>
        <v>147636.299</v>
      </c>
      <c r="I1151" s="165">
        <f t="shared" si="51"/>
        <v>0.10400527582989597</v>
      </c>
      <c r="J1151" s="165">
        <v>0.10400527582989594</v>
      </c>
      <c r="K1151" s="169">
        <f t="shared" si="52"/>
        <v>0</v>
      </c>
      <c r="L1151" s="165">
        <v>0.09</v>
      </c>
      <c r="M1151" s="151">
        <v>2</v>
      </c>
      <c r="N1151" s="151" t="str">
        <f t="shared" si="53"/>
        <v>No fit</v>
      </c>
      <c r="O1151" s="174" t="s">
        <v>7407</v>
      </c>
      <c r="P1151" s="174" t="s">
        <v>7342</v>
      </c>
    </row>
    <row r="1152" spans="1:16" ht="64.05" customHeight="1" x14ac:dyDescent="0.3">
      <c r="A1152" s="154" t="s">
        <v>7843</v>
      </c>
      <c r="B1152" s="154" t="s">
        <v>6031</v>
      </c>
      <c r="C1152" s="154" t="s">
        <v>114</v>
      </c>
      <c r="D1152" s="154">
        <v>2024</v>
      </c>
      <c r="E1152" s="154" t="s">
        <v>199</v>
      </c>
      <c r="F1152" s="173" t="s">
        <v>7409</v>
      </c>
      <c r="G1152" s="166">
        <f>FCCL!G96</f>
        <v>15354.953999999994</v>
      </c>
      <c r="H1152" s="166">
        <f>AVERAGE(FCCL!F37,FCCL!G37)</f>
        <v>143232.39799999999</v>
      </c>
      <c r="I1152" s="164">
        <f t="shared" si="51"/>
        <v>0.10720307845435915</v>
      </c>
      <c r="J1152" s="164">
        <v>0.10720307845435913</v>
      </c>
      <c r="K1152" s="168">
        <f t="shared" si="52"/>
        <v>0</v>
      </c>
      <c r="L1152" s="164">
        <v>0.09</v>
      </c>
      <c r="M1152" s="154">
        <v>2</v>
      </c>
      <c r="N1152" s="154" t="str">
        <f t="shared" si="53"/>
        <v>No fit</v>
      </c>
      <c r="O1152" s="173" t="s">
        <v>7410</v>
      </c>
      <c r="P1152" s="173" t="s">
        <v>7342</v>
      </c>
    </row>
    <row r="1153" spans="1:16" ht="64.05" customHeight="1" x14ac:dyDescent="0.3">
      <c r="A1153" s="151" t="s">
        <v>7844</v>
      </c>
      <c r="B1153" s="151" t="s">
        <v>6031</v>
      </c>
      <c r="C1153" s="151" t="s">
        <v>114</v>
      </c>
      <c r="D1153" s="151">
        <v>2024</v>
      </c>
      <c r="E1153" s="151" t="s">
        <v>199</v>
      </c>
      <c r="F1153" s="174" t="s">
        <v>7412</v>
      </c>
      <c r="G1153" s="167">
        <f>FCCL!G96</f>
        <v>15354.953999999994</v>
      </c>
      <c r="H1153" s="167">
        <f>FCCL!G20</f>
        <v>110845.663</v>
      </c>
      <c r="I1153" s="165">
        <f t="shared" si="51"/>
        <v>0.13852552805787263</v>
      </c>
      <c r="J1153" s="165">
        <v>0.1385255280578726</v>
      </c>
      <c r="K1153" s="169">
        <f t="shared" si="52"/>
        <v>0</v>
      </c>
      <c r="L1153" s="165">
        <v>0.09</v>
      </c>
      <c r="M1153" s="151">
        <v>2</v>
      </c>
      <c r="N1153" s="151" t="str">
        <f t="shared" si="53"/>
        <v>No fit</v>
      </c>
      <c r="O1153" s="174" t="s">
        <v>7413</v>
      </c>
      <c r="P1153" s="174" t="s">
        <v>7342</v>
      </c>
    </row>
    <row r="1154" spans="1:16" ht="64.05" customHeight="1" x14ac:dyDescent="0.3">
      <c r="A1154" s="154" t="s">
        <v>7845</v>
      </c>
      <c r="B1154" s="154" t="s">
        <v>6031</v>
      </c>
      <c r="C1154" s="154" t="s">
        <v>114</v>
      </c>
      <c r="D1154" s="154">
        <v>2024</v>
      </c>
      <c r="E1154" s="154" t="s">
        <v>199</v>
      </c>
      <c r="F1154" s="173" t="s">
        <v>7415</v>
      </c>
      <c r="G1154" s="166">
        <f>FCCL!G96</f>
        <v>15354.953999999994</v>
      </c>
      <c r="H1154" s="166">
        <f>AVERAGE(FCCL!F20,FCCL!G20)</f>
        <v>107635.42199999999</v>
      </c>
      <c r="I1154" s="164">
        <f t="shared" si="51"/>
        <v>0.14265707064352845</v>
      </c>
      <c r="J1154" s="164">
        <v>0.14265707064352842</v>
      </c>
      <c r="K1154" s="168">
        <f t="shared" si="52"/>
        <v>0</v>
      </c>
      <c r="L1154" s="164">
        <v>0.09</v>
      </c>
      <c r="M1154" s="154">
        <v>2</v>
      </c>
      <c r="N1154" s="154" t="str">
        <f t="shared" si="53"/>
        <v>No fit</v>
      </c>
      <c r="O1154" s="173" t="s">
        <v>7416</v>
      </c>
      <c r="P1154" s="173" t="s">
        <v>7342</v>
      </c>
    </row>
    <row r="1155" spans="1:16" ht="64.05" customHeight="1" x14ac:dyDescent="0.3">
      <c r="A1155" s="151" t="s">
        <v>7846</v>
      </c>
      <c r="B1155" s="151" t="s">
        <v>6031</v>
      </c>
      <c r="C1155" s="151" t="s">
        <v>114</v>
      </c>
      <c r="D1155" s="151">
        <v>2024</v>
      </c>
      <c r="E1155" s="151" t="s">
        <v>199</v>
      </c>
      <c r="F1155" s="174" t="s">
        <v>7418</v>
      </c>
      <c r="G1155" s="167">
        <f>FCCL!G96</f>
        <v>15354.953999999994</v>
      </c>
      <c r="H1155" s="167">
        <f>FCCL!G22</f>
        <v>110145.51</v>
      </c>
      <c r="I1155" s="165">
        <f t="shared" si="51"/>
        <v>0.13940608200915311</v>
      </c>
      <c r="J1155" s="165">
        <v>0.13940608200915308</v>
      </c>
      <c r="K1155" s="169">
        <f t="shared" si="52"/>
        <v>0</v>
      </c>
      <c r="L1155" s="165">
        <v>0.09</v>
      </c>
      <c r="M1155" s="151">
        <v>2</v>
      </c>
      <c r="N1155" s="151" t="str">
        <f t="shared" si="53"/>
        <v>No fit</v>
      </c>
      <c r="O1155" s="174" t="s">
        <v>7419</v>
      </c>
      <c r="P1155" s="174" t="s">
        <v>7342</v>
      </c>
    </row>
    <row r="1156" spans="1:16" ht="64.05" customHeight="1" x14ac:dyDescent="0.3">
      <c r="A1156" s="154" t="s">
        <v>7847</v>
      </c>
      <c r="B1156" s="154" t="s">
        <v>6031</v>
      </c>
      <c r="C1156" s="154" t="s">
        <v>114</v>
      </c>
      <c r="D1156" s="154">
        <v>2024</v>
      </c>
      <c r="E1156" s="154" t="s">
        <v>199</v>
      </c>
      <c r="F1156" s="173" t="s">
        <v>7421</v>
      </c>
      <c r="G1156" s="166">
        <f>FCCL!G96</f>
        <v>15354.953999999994</v>
      </c>
      <c r="H1156" s="166">
        <f>AVERAGE(FCCL!F22,FCCL!G22)</f>
        <v>90019.759499999986</v>
      </c>
      <c r="I1156" s="164">
        <f t="shared" si="51"/>
        <v>0.17057315066477152</v>
      </c>
      <c r="J1156" s="164">
        <v>0.17057315066477147</v>
      </c>
      <c r="K1156" s="168">
        <f t="shared" si="52"/>
        <v>0</v>
      </c>
      <c r="L1156" s="164">
        <v>0.09</v>
      </c>
      <c r="M1156" s="154">
        <v>2</v>
      </c>
      <c r="N1156" s="154" t="str">
        <f t="shared" si="53"/>
        <v>No fit</v>
      </c>
      <c r="O1156" s="173" t="s">
        <v>7422</v>
      </c>
      <c r="P1156" s="173" t="s">
        <v>7342</v>
      </c>
    </row>
    <row r="1157" spans="1:16" ht="64.05" customHeight="1" x14ac:dyDescent="0.3">
      <c r="A1157" s="151" t="s">
        <v>7848</v>
      </c>
      <c r="B1157" s="151" t="s">
        <v>6031</v>
      </c>
      <c r="C1157" s="151" t="s">
        <v>114</v>
      </c>
      <c r="D1157" s="151">
        <v>2024</v>
      </c>
      <c r="E1157" s="151" t="s">
        <v>199</v>
      </c>
      <c r="F1157" s="174" t="s">
        <v>7424</v>
      </c>
      <c r="G1157" s="167">
        <f>FCCL!G96</f>
        <v>15354.953999999994</v>
      </c>
      <c r="H1157" s="167">
        <f>FCCL!G28</f>
        <v>121852.22799999999</v>
      </c>
      <c r="I1157" s="165">
        <f t="shared" si="51"/>
        <v>0.12601291131090353</v>
      </c>
      <c r="J1157" s="165">
        <v>0.12601291131090347</v>
      </c>
      <c r="K1157" s="169">
        <f t="shared" si="52"/>
        <v>0</v>
      </c>
      <c r="L1157" s="165">
        <v>0.09</v>
      </c>
      <c r="M1157" s="151">
        <v>2</v>
      </c>
      <c r="N1157" s="151" t="str">
        <f t="shared" si="53"/>
        <v>No fit</v>
      </c>
      <c r="O1157" s="174" t="s">
        <v>7425</v>
      </c>
      <c r="P1157" s="174" t="s">
        <v>7342</v>
      </c>
    </row>
    <row r="1158" spans="1:16" ht="64.05" customHeight="1" x14ac:dyDescent="0.3">
      <c r="A1158" s="154" t="s">
        <v>7849</v>
      </c>
      <c r="B1158" s="154" t="s">
        <v>6031</v>
      </c>
      <c r="C1158" s="154" t="s">
        <v>114</v>
      </c>
      <c r="D1158" s="154">
        <v>2024</v>
      </c>
      <c r="E1158" s="154" t="s">
        <v>199</v>
      </c>
      <c r="F1158" s="173" t="s">
        <v>7427</v>
      </c>
      <c r="G1158" s="166">
        <f>FCCL!G96</f>
        <v>15354.953999999994</v>
      </c>
      <c r="H1158" s="166">
        <f>AVERAGE(FCCL!F28,FCCL!G28)</f>
        <v>118773.11299999998</v>
      </c>
      <c r="I1158" s="164">
        <f t="shared" ref="I1158:I1221" si="54">G1158/H1158</f>
        <v>0.12927971333040666</v>
      </c>
      <c r="J1158" s="164">
        <v>0.12927971333040661</v>
      </c>
      <c r="K1158" s="168">
        <f t="shared" ref="K1158:K1221" si="55">I1158-J1158</f>
        <v>0</v>
      </c>
      <c r="L1158" s="164">
        <v>0.09</v>
      </c>
      <c r="M1158" s="154">
        <v>2</v>
      </c>
      <c r="N1158" s="154" t="str">
        <f t="shared" ref="N1158:N1221" si="56">IF(ROUND(I1158,M1158)=ROUND(L1158,M1158),"Numeric fit","No fit")</f>
        <v>No fit</v>
      </c>
      <c r="O1158" s="173" t="s">
        <v>7428</v>
      </c>
      <c r="P1158" s="173" t="s">
        <v>7342</v>
      </c>
    </row>
    <row r="1159" spans="1:16" ht="64.05" customHeight="1" x14ac:dyDescent="0.3">
      <c r="A1159" s="151" t="s">
        <v>7850</v>
      </c>
      <c r="B1159" s="151" t="s">
        <v>6031</v>
      </c>
      <c r="C1159" s="151" t="s">
        <v>114</v>
      </c>
      <c r="D1159" s="151">
        <v>2024</v>
      </c>
      <c r="E1159" s="151" t="s">
        <v>199</v>
      </c>
      <c r="F1159" s="174" t="s">
        <v>7430</v>
      </c>
      <c r="G1159" s="167">
        <f>FCCL!G96</f>
        <v>15354.953999999994</v>
      </c>
      <c r="H1159" s="167">
        <f>'Forensic Inputs'!$G$104</f>
        <v>137590.82500000001</v>
      </c>
      <c r="I1159" s="165">
        <f t="shared" si="54"/>
        <v>0.11159867672862629</v>
      </c>
      <c r="J1159" s="165">
        <v>0.11159867672862626</v>
      </c>
      <c r="K1159" s="169">
        <f t="shared" si="55"/>
        <v>0</v>
      </c>
      <c r="L1159" s="165">
        <v>0.09</v>
      </c>
      <c r="M1159" s="151">
        <v>2</v>
      </c>
      <c r="N1159" s="151" t="str">
        <f t="shared" si="56"/>
        <v>No fit</v>
      </c>
      <c r="O1159" s="174" t="s">
        <v>7542</v>
      </c>
      <c r="P1159" s="174" t="s">
        <v>7342</v>
      </c>
    </row>
    <row r="1160" spans="1:16" ht="64.05" customHeight="1" x14ac:dyDescent="0.3">
      <c r="A1160" s="154" t="s">
        <v>7851</v>
      </c>
      <c r="B1160" s="154" t="s">
        <v>6031</v>
      </c>
      <c r="C1160" s="154" t="s">
        <v>114</v>
      </c>
      <c r="D1160" s="154">
        <v>2024</v>
      </c>
      <c r="E1160" s="154" t="s">
        <v>199</v>
      </c>
      <c r="F1160" s="173" t="s">
        <v>7433</v>
      </c>
      <c r="G1160" s="166">
        <f>FCCL!G96</f>
        <v>15354.953999999994</v>
      </c>
      <c r="H1160" s="166">
        <f>('Forensic Inputs'!$G$104-FCCL!G21)</f>
        <v>136890.67200000002</v>
      </c>
      <c r="I1160" s="164">
        <f t="shared" si="54"/>
        <v>0.11216946907821441</v>
      </c>
      <c r="J1160" s="164">
        <v>0.11216946907821439</v>
      </c>
      <c r="K1160" s="168">
        <f t="shared" si="55"/>
        <v>0</v>
      </c>
      <c r="L1160" s="164">
        <v>0.09</v>
      </c>
      <c r="M1160" s="154">
        <v>2</v>
      </c>
      <c r="N1160" s="154" t="str">
        <f t="shared" si="56"/>
        <v>No fit</v>
      </c>
      <c r="O1160" s="173" t="s">
        <v>7544</v>
      </c>
      <c r="P1160" s="173" t="s">
        <v>7342</v>
      </c>
    </row>
    <row r="1161" spans="1:16" ht="64.05" customHeight="1" x14ac:dyDescent="0.3">
      <c r="A1161" s="151" t="s">
        <v>7852</v>
      </c>
      <c r="B1161" s="151" t="s">
        <v>6031</v>
      </c>
      <c r="C1161" s="151" t="s">
        <v>114</v>
      </c>
      <c r="D1161" s="151">
        <v>2024</v>
      </c>
      <c r="E1161" s="151" t="s">
        <v>199</v>
      </c>
      <c r="F1161" s="174" t="s">
        <v>7436</v>
      </c>
      <c r="G1161" s="167">
        <f>FCCL!G96</f>
        <v>15354.953999999994</v>
      </c>
      <c r="H1161" s="167">
        <f>AVERAGE('Forensic Inputs'!$G$102,'Forensic Inputs'!$G$104)</f>
        <v>132522.09100000001</v>
      </c>
      <c r="I1161" s="165">
        <f t="shared" si="54"/>
        <v>0.11586712739085887</v>
      </c>
      <c r="J1161" s="165">
        <v>0.11586712739085885</v>
      </c>
      <c r="K1161" s="169">
        <f t="shared" si="55"/>
        <v>0</v>
      </c>
      <c r="L1161" s="165">
        <v>0.09</v>
      </c>
      <c r="M1161" s="151">
        <v>2</v>
      </c>
      <c r="N1161" s="151" t="str">
        <f t="shared" si="56"/>
        <v>No fit</v>
      </c>
      <c r="O1161" s="174" t="s">
        <v>7611</v>
      </c>
      <c r="P1161" s="174" t="s">
        <v>7342</v>
      </c>
    </row>
    <row r="1162" spans="1:16" ht="64.05" customHeight="1" x14ac:dyDescent="0.3">
      <c r="A1162" s="154" t="s">
        <v>7853</v>
      </c>
      <c r="B1162" s="154" t="s">
        <v>6031</v>
      </c>
      <c r="C1162" s="154" t="s">
        <v>114</v>
      </c>
      <c r="D1162" s="154">
        <v>2024</v>
      </c>
      <c r="E1162" s="154" t="s">
        <v>199</v>
      </c>
      <c r="F1162" s="173" t="s">
        <v>7439</v>
      </c>
      <c r="G1162" s="166">
        <f>FCCL!G108</f>
        <v>20891.251999999993</v>
      </c>
      <c r="H1162" s="166">
        <f>FCCL!G37</f>
        <v>147636.299</v>
      </c>
      <c r="I1162" s="164">
        <f t="shared" si="54"/>
        <v>0.14150484766622329</v>
      </c>
      <c r="J1162" s="164">
        <v>0.14150484766622326</v>
      </c>
      <c r="K1162" s="168">
        <f t="shared" si="55"/>
        <v>0</v>
      </c>
      <c r="L1162" s="164">
        <v>0.09</v>
      </c>
      <c r="M1162" s="154">
        <v>2</v>
      </c>
      <c r="N1162" s="154" t="str">
        <f t="shared" si="56"/>
        <v>No fit</v>
      </c>
      <c r="O1162" s="173" t="s">
        <v>7440</v>
      </c>
      <c r="P1162" s="173" t="s">
        <v>7342</v>
      </c>
    </row>
    <row r="1163" spans="1:16" ht="64.05" customHeight="1" x14ac:dyDescent="0.3">
      <c r="A1163" s="151" t="s">
        <v>7854</v>
      </c>
      <c r="B1163" s="151" t="s">
        <v>6031</v>
      </c>
      <c r="C1163" s="151" t="s">
        <v>114</v>
      </c>
      <c r="D1163" s="151">
        <v>2024</v>
      </c>
      <c r="E1163" s="151" t="s">
        <v>199</v>
      </c>
      <c r="F1163" s="174" t="s">
        <v>7442</v>
      </c>
      <c r="G1163" s="167">
        <f>FCCL!G108</f>
        <v>20891.251999999993</v>
      </c>
      <c r="H1163" s="167">
        <f>AVERAGE(FCCL!F37,FCCL!G37)</f>
        <v>143232.39799999999</v>
      </c>
      <c r="I1163" s="165">
        <f t="shared" si="54"/>
        <v>0.14585563246661551</v>
      </c>
      <c r="J1163" s="165">
        <v>0.14585563246661548</v>
      </c>
      <c r="K1163" s="169">
        <f t="shared" si="55"/>
        <v>0</v>
      </c>
      <c r="L1163" s="165">
        <v>0.09</v>
      </c>
      <c r="M1163" s="151">
        <v>2</v>
      </c>
      <c r="N1163" s="151" t="str">
        <f t="shared" si="56"/>
        <v>No fit</v>
      </c>
      <c r="O1163" s="174" t="s">
        <v>7443</v>
      </c>
      <c r="P1163" s="174" t="s">
        <v>7342</v>
      </c>
    </row>
    <row r="1164" spans="1:16" ht="64.05" customHeight="1" x14ac:dyDescent="0.3">
      <c r="A1164" s="154" t="s">
        <v>7855</v>
      </c>
      <c r="B1164" s="154" t="s">
        <v>6031</v>
      </c>
      <c r="C1164" s="154" t="s">
        <v>114</v>
      </c>
      <c r="D1164" s="154">
        <v>2024</v>
      </c>
      <c r="E1164" s="154" t="s">
        <v>199</v>
      </c>
      <c r="F1164" s="173" t="s">
        <v>7445</v>
      </c>
      <c r="G1164" s="166">
        <f>FCCL!G108</f>
        <v>20891.251999999993</v>
      </c>
      <c r="H1164" s="166">
        <f>FCCL!G20</f>
        <v>110845.663</v>
      </c>
      <c r="I1164" s="164">
        <f t="shared" si="54"/>
        <v>0.18847153271120759</v>
      </c>
      <c r="J1164" s="164">
        <v>0.18847153271120756</v>
      </c>
      <c r="K1164" s="168">
        <f t="shared" si="55"/>
        <v>0</v>
      </c>
      <c r="L1164" s="164">
        <v>0.09</v>
      </c>
      <c r="M1164" s="154">
        <v>2</v>
      </c>
      <c r="N1164" s="154" t="str">
        <f t="shared" si="56"/>
        <v>No fit</v>
      </c>
      <c r="O1164" s="173" t="s">
        <v>7446</v>
      </c>
      <c r="P1164" s="173" t="s">
        <v>7342</v>
      </c>
    </row>
    <row r="1165" spans="1:16" ht="64.05" customHeight="1" x14ac:dyDescent="0.3">
      <c r="A1165" s="151" t="s">
        <v>7856</v>
      </c>
      <c r="B1165" s="151" t="s">
        <v>6031</v>
      </c>
      <c r="C1165" s="151" t="s">
        <v>114</v>
      </c>
      <c r="D1165" s="151">
        <v>2024</v>
      </c>
      <c r="E1165" s="151" t="s">
        <v>199</v>
      </c>
      <c r="F1165" s="174" t="s">
        <v>7448</v>
      </c>
      <c r="G1165" s="167">
        <f>FCCL!G108</f>
        <v>20891.251999999993</v>
      </c>
      <c r="H1165" s="167">
        <f>AVERAGE(FCCL!F20,FCCL!G20)</f>
        <v>107635.42199999999</v>
      </c>
      <c r="I1165" s="165">
        <f t="shared" si="54"/>
        <v>0.19409272163210356</v>
      </c>
      <c r="J1165" s="165">
        <v>0.19409272163210353</v>
      </c>
      <c r="K1165" s="169">
        <f t="shared" si="55"/>
        <v>0</v>
      </c>
      <c r="L1165" s="165">
        <v>0.09</v>
      </c>
      <c r="M1165" s="151">
        <v>2</v>
      </c>
      <c r="N1165" s="151" t="str">
        <f t="shared" si="56"/>
        <v>No fit</v>
      </c>
      <c r="O1165" s="174" t="s">
        <v>7449</v>
      </c>
      <c r="P1165" s="174" t="s">
        <v>7342</v>
      </c>
    </row>
    <row r="1166" spans="1:16" ht="64.05" customHeight="1" x14ac:dyDescent="0.3">
      <c r="A1166" s="154" t="s">
        <v>7857</v>
      </c>
      <c r="B1166" s="154" t="s">
        <v>6031</v>
      </c>
      <c r="C1166" s="154" t="s">
        <v>114</v>
      </c>
      <c r="D1166" s="154">
        <v>2024</v>
      </c>
      <c r="E1166" s="154" t="s">
        <v>199</v>
      </c>
      <c r="F1166" s="173" t="s">
        <v>7451</v>
      </c>
      <c r="G1166" s="166">
        <f>FCCL!G108</f>
        <v>20891.251999999993</v>
      </c>
      <c r="H1166" s="166">
        <f>FCCL!G22</f>
        <v>110145.51</v>
      </c>
      <c r="I1166" s="164">
        <f t="shared" si="54"/>
        <v>0.18966957436576393</v>
      </c>
      <c r="J1166" s="164">
        <v>0.1896695743657639</v>
      </c>
      <c r="K1166" s="168">
        <f t="shared" si="55"/>
        <v>0</v>
      </c>
      <c r="L1166" s="164">
        <v>0.09</v>
      </c>
      <c r="M1166" s="154">
        <v>2</v>
      </c>
      <c r="N1166" s="154" t="str">
        <f t="shared" si="56"/>
        <v>No fit</v>
      </c>
      <c r="O1166" s="173" t="s">
        <v>7452</v>
      </c>
      <c r="P1166" s="173" t="s">
        <v>7342</v>
      </c>
    </row>
    <row r="1167" spans="1:16" ht="64.05" customHeight="1" x14ac:dyDescent="0.3">
      <c r="A1167" s="151" t="s">
        <v>7858</v>
      </c>
      <c r="B1167" s="151" t="s">
        <v>6031</v>
      </c>
      <c r="C1167" s="151" t="s">
        <v>114</v>
      </c>
      <c r="D1167" s="151">
        <v>2024</v>
      </c>
      <c r="E1167" s="151" t="s">
        <v>199</v>
      </c>
      <c r="F1167" s="174" t="s">
        <v>7454</v>
      </c>
      <c r="G1167" s="167">
        <f>FCCL!G108</f>
        <v>20891.251999999993</v>
      </c>
      <c r="H1167" s="167">
        <f>AVERAGE(FCCL!F22,FCCL!G22)</f>
        <v>90019.759499999986</v>
      </c>
      <c r="I1167" s="165">
        <f t="shared" si="54"/>
        <v>0.23207407036007463</v>
      </c>
      <c r="J1167" s="165">
        <v>0.23207407036007457</v>
      </c>
      <c r="K1167" s="169">
        <f t="shared" si="55"/>
        <v>0</v>
      </c>
      <c r="L1167" s="165">
        <v>0.09</v>
      </c>
      <c r="M1167" s="151">
        <v>2</v>
      </c>
      <c r="N1167" s="151" t="str">
        <f t="shared" si="56"/>
        <v>No fit</v>
      </c>
      <c r="O1167" s="174" t="s">
        <v>7455</v>
      </c>
      <c r="P1167" s="174" t="s">
        <v>7342</v>
      </c>
    </row>
    <row r="1168" spans="1:16" ht="64.05" customHeight="1" x14ac:dyDescent="0.3">
      <c r="A1168" s="154" t="s">
        <v>7859</v>
      </c>
      <c r="B1168" s="154" t="s">
        <v>6031</v>
      </c>
      <c r="C1168" s="154" t="s">
        <v>114</v>
      </c>
      <c r="D1168" s="154">
        <v>2024</v>
      </c>
      <c r="E1168" s="154" t="s">
        <v>199</v>
      </c>
      <c r="F1168" s="173" t="s">
        <v>7457</v>
      </c>
      <c r="G1168" s="166">
        <f>FCCL!G108</f>
        <v>20891.251999999993</v>
      </c>
      <c r="H1168" s="166">
        <f>FCCL!G28</f>
        <v>121852.22799999999</v>
      </c>
      <c r="I1168" s="164">
        <f t="shared" si="54"/>
        <v>0.1714474354953936</v>
      </c>
      <c r="J1168" s="164">
        <v>0.17144743549539357</v>
      </c>
      <c r="K1168" s="168">
        <f t="shared" si="55"/>
        <v>0</v>
      </c>
      <c r="L1168" s="164">
        <v>0.09</v>
      </c>
      <c r="M1168" s="154">
        <v>2</v>
      </c>
      <c r="N1168" s="154" t="str">
        <f t="shared" si="56"/>
        <v>No fit</v>
      </c>
      <c r="O1168" s="173" t="s">
        <v>7458</v>
      </c>
      <c r="P1168" s="173" t="s">
        <v>7342</v>
      </c>
    </row>
    <row r="1169" spans="1:16" ht="64.05" customHeight="1" x14ac:dyDescent="0.3">
      <c r="A1169" s="151" t="s">
        <v>7860</v>
      </c>
      <c r="B1169" s="151" t="s">
        <v>6031</v>
      </c>
      <c r="C1169" s="151" t="s">
        <v>114</v>
      </c>
      <c r="D1169" s="151">
        <v>2024</v>
      </c>
      <c r="E1169" s="151" t="s">
        <v>199</v>
      </c>
      <c r="F1169" s="174" t="s">
        <v>7460</v>
      </c>
      <c r="G1169" s="167">
        <f>FCCL!G108</f>
        <v>20891.251999999993</v>
      </c>
      <c r="H1169" s="167">
        <f>AVERAGE(FCCL!F28,FCCL!G28)</f>
        <v>118773.11299999998</v>
      </c>
      <c r="I1169" s="165">
        <f t="shared" si="54"/>
        <v>0.17589209773427422</v>
      </c>
      <c r="J1169" s="165">
        <v>0.17589209773427417</v>
      </c>
      <c r="K1169" s="169">
        <f t="shared" si="55"/>
        <v>0</v>
      </c>
      <c r="L1169" s="165">
        <v>0.09</v>
      </c>
      <c r="M1169" s="151">
        <v>2</v>
      </c>
      <c r="N1169" s="151" t="str">
        <f t="shared" si="56"/>
        <v>No fit</v>
      </c>
      <c r="O1169" s="174" t="s">
        <v>7461</v>
      </c>
      <c r="P1169" s="174" t="s">
        <v>7342</v>
      </c>
    </row>
    <row r="1170" spans="1:16" ht="64.05" customHeight="1" x14ac:dyDescent="0.3">
      <c r="A1170" s="154" t="s">
        <v>7861</v>
      </c>
      <c r="B1170" s="154" t="s">
        <v>6031</v>
      </c>
      <c r="C1170" s="154" t="s">
        <v>114</v>
      </c>
      <c r="D1170" s="154">
        <v>2024</v>
      </c>
      <c r="E1170" s="154" t="s">
        <v>199</v>
      </c>
      <c r="F1170" s="173" t="s">
        <v>7463</v>
      </c>
      <c r="G1170" s="166">
        <f>FCCL!G108</f>
        <v>20891.251999999993</v>
      </c>
      <c r="H1170" s="166">
        <f>'Forensic Inputs'!$G$104</f>
        <v>137590.82500000001</v>
      </c>
      <c r="I1170" s="164">
        <f t="shared" si="54"/>
        <v>0.15183608354699515</v>
      </c>
      <c r="J1170" s="164">
        <v>0.15183608354699515</v>
      </c>
      <c r="K1170" s="168">
        <f t="shared" si="55"/>
        <v>0</v>
      </c>
      <c r="L1170" s="164">
        <v>0.09</v>
      </c>
      <c r="M1170" s="154">
        <v>2</v>
      </c>
      <c r="N1170" s="154" t="str">
        <f t="shared" si="56"/>
        <v>No fit</v>
      </c>
      <c r="O1170" s="173" t="s">
        <v>7556</v>
      </c>
      <c r="P1170" s="173" t="s">
        <v>7342</v>
      </c>
    </row>
    <row r="1171" spans="1:16" ht="64.05" customHeight="1" x14ac:dyDescent="0.3">
      <c r="A1171" s="151" t="s">
        <v>7862</v>
      </c>
      <c r="B1171" s="151" t="s">
        <v>6031</v>
      </c>
      <c r="C1171" s="151" t="s">
        <v>114</v>
      </c>
      <c r="D1171" s="151">
        <v>2024</v>
      </c>
      <c r="E1171" s="151" t="s">
        <v>199</v>
      </c>
      <c r="F1171" s="174" t="s">
        <v>7466</v>
      </c>
      <c r="G1171" s="167">
        <f>FCCL!G108</f>
        <v>20891.251999999993</v>
      </c>
      <c r="H1171" s="167">
        <f>('Forensic Inputs'!$G$104-FCCL!G21)</f>
        <v>136890.67200000002</v>
      </c>
      <c r="I1171" s="165">
        <f t="shared" si="54"/>
        <v>0.15261267765564032</v>
      </c>
      <c r="J1171" s="165">
        <v>0.15261267765564032</v>
      </c>
      <c r="K1171" s="169">
        <f t="shared" si="55"/>
        <v>0</v>
      </c>
      <c r="L1171" s="165">
        <v>0.09</v>
      </c>
      <c r="M1171" s="151">
        <v>2</v>
      </c>
      <c r="N1171" s="151" t="str">
        <f t="shared" si="56"/>
        <v>No fit</v>
      </c>
      <c r="O1171" s="174" t="s">
        <v>7558</v>
      </c>
      <c r="P1171" s="174" t="s">
        <v>7342</v>
      </c>
    </row>
    <row r="1172" spans="1:16" ht="64.05" customHeight="1" x14ac:dyDescent="0.3">
      <c r="A1172" s="154" t="s">
        <v>7863</v>
      </c>
      <c r="B1172" s="154" t="s">
        <v>6031</v>
      </c>
      <c r="C1172" s="154" t="s">
        <v>114</v>
      </c>
      <c r="D1172" s="154">
        <v>2024</v>
      </c>
      <c r="E1172" s="154" t="s">
        <v>199</v>
      </c>
      <c r="F1172" s="173" t="s">
        <v>7469</v>
      </c>
      <c r="G1172" s="166">
        <f>FCCL!G108</f>
        <v>20891.251999999993</v>
      </c>
      <c r="H1172" s="166">
        <f>AVERAGE('Forensic Inputs'!$G$102,'Forensic Inputs'!$G$104)</f>
        <v>132522.09100000001</v>
      </c>
      <c r="I1172" s="164">
        <f t="shared" si="54"/>
        <v>0.15764354336968611</v>
      </c>
      <c r="J1172" s="164">
        <v>0.15764354336968608</v>
      </c>
      <c r="K1172" s="168">
        <f t="shared" si="55"/>
        <v>0</v>
      </c>
      <c r="L1172" s="164">
        <v>0.09</v>
      </c>
      <c r="M1172" s="154">
        <v>2</v>
      </c>
      <c r="N1172" s="154" t="str">
        <f t="shared" si="56"/>
        <v>No fit</v>
      </c>
      <c r="O1172" s="173" t="s">
        <v>7623</v>
      </c>
      <c r="P1172" s="173" t="s">
        <v>7342</v>
      </c>
    </row>
    <row r="1173" spans="1:16" ht="64.05" customHeight="1" x14ac:dyDescent="0.3">
      <c r="A1173" s="151" t="s">
        <v>7864</v>
      </c>
      <c r="B1173" s="151" t="s">
        <v>6031</v>
      </c>
      <c r="C1173" s="151" t="s">
        <v>114</v>
      </c>
      <c r="D1173" s="151">
        <v>2024</v>
      </c>
      <c r="E1173" s="151" t="s">
        <v>199</v>
      </c>
      <c r="F1173" s="174" t="s">
        <v>7472</v>
      </c>
      <c r="G1173" s="167">
        <f>FCCL!G91</f>
        <v>20051.560999999994</v>
      </c>
      <c r="H1173" s="167">
        <f>FCCL!G37</f>
        <v>147636.299</v>
      </c>
      <c r="I1173" s="165">
        <f t="shared" si="54"/>
        <v>0.13581728298404441</v>
      </c>
      <c r="J1173" s="165">
        <v>0.13581728298404439</v>
      </c>
      <c r="K1173" s="169">
        <f t="shared" si="55"/>
        <v>0</v>
      </c>
      <c r="L1173" s="165">
        <v>0.09</v>
      </c>
      <c r="M1173" s="151">
        <v>2</v>
      </c>
      <c r="N1173" s="151" t="str">
        <f t="shared" si="56"/>
        <v>No fit</v>
      </c>
      <c r="O1173" s="174" t="s">
        <v>7473</v>
      </c>
      <c r="P1173" s="174" t="s">
        <v>7342</v>
      </c>
    </row>
    <row r="1174" spans="1:16" ht="64.05" customHeight="1" x14ac:dyDescent="0.3">
      <c r="A1174" s="154" t="s">
        <v>7865</v>
      </c>
      <c r="B1174" s="154" t="s">
        <v>6031</v>
      </c>
      <c r="C1174" s="154" t="s">
        <v>114</v>
      </c>
      <c r="D1174" s="154">
        <v>2024</v>
      </c>
      <c r="E1174" s="154" t="s">
        <v>199</v>
      </c>
      <c r="F1174" s="173" t="s">
        <v>7475</v>
      </c>
      <c r="G1174" s="166">
        <f>FCCL!G91</f>
        <v>20051.560999999994</v>
      </c>
      <c r="H1174" s="166">
        <f>AVERAGE(FCCL!F37,FCCL!G37)</f>
        <v>143232.39799999999</v>
      </c>
      <c r="I1174" s="164">
        <f t="shared" si="54"/>
        <v>0.13999319483571027</v>
      </c>
      <c r="J1174" s="164">
        <v>0.13999319483571024</v>
      </c>
      <c r="K1174" s="168">
        <f t="shared" si="55"/>
        <v>0</v>
      </c>
      <c r="L1174" s="164">
        <v>0.09</v>
      </c>
      <c r="M1174" s="154">
        <v>2</v>
      </c>
      <c r="N1174" s="154" t="str">
        <f t="shared" si="56"/>
        <v>No fit</v>
      </c>
      <c r="O1174" s="173" t="s">
        <v>7476</v>
      </c>
      <c r="P1174" s="173" t="s">
        <v>7342</v>
      </c>
    </row>
    <row r="1175" spans="1:16" ht="64.05" customHeight="1" x14ac:dyDescent="0.3">
      <c r="A1175" s="151" t="s">
        <v>7866</v>
      </c>
      <c r="B1175" s="151" t="s">
        <v>6031</v>
      </c>
      <c r="C1175" s="151" t="s">
        <v>114</v>
      </c>
      <c r="D1175" s="151">
        <v>2024</v>
      </c>
      <c r="E1175" s="151" t="s">
        <v>199</v>
      </c>
      <c r="F1175" s="174" t="s">
        <v>7478</v>
      </c>
      <c r="G1175" s="167">
        <f>FCCL!G91</f>
        <v>20051.560999999994</v>
      </c>
      <c r="H1175" s="167">
        <f>FCCL!G20</f>
        <v>110845.663</v>
      </c>
      <c r="I1175" s="165">
        <f t="shared" si="54"/>
        <v>0.18089621602966996</v>
      </c>
      <c r="J1175" s="165">
        <v>0.18089621602966993</v>
      </c>
      <c r="K1175" s="169">
        <f t="shared" si="55"/>
        <v>0</v>
      </c>
      <c r="L1175" s="165">
        <v>0.09</v>
      </c>
      <c r="M1175" s="151">
        <v>2</v>
      </c>
      <c r="N1175" s="151" t="str">
        <f t="shared" si="56"/>
        <v>No fit</v>
      </c>
      <c r="O1175" s="174" t="s">
        <v>7479</v>
      </c>
      <c r="P1175" s="174" t="s">
        <v>7342</v>
      </c>
    </row>
    <row r="1176" spans="1:16" ht="64.05" customHeight="1" x14ac:dyDescent="0.3">
      <c r="A1176" s="154" t="s">
        <v>7867</v>
      </c>
      <c r="B1176" s="154" t="s">
        <v>6031</v>
      </c>
      <c r="C1176" s="154" t="s">
        <v>114</v>
      </c>
      <c r="D1176" s="154">
        <v>2024</v>
      </c>
      <c r="E1176" s="154" t="s">
        <v>199</v>
      </c>
      <c r="F1176" s="173" t="s">
        <v>7481</v>
      </c>
      <c r="G1176" s="166">
        <f>FCCL!G91</f>
        <v>20051.560999999994</v>
      </c>
      <c r="H1176" s="166">
        <f>AVERAGE(FCCL!F20,FCCL!G20)</f>
        <v>107635.42199999999</v>
      </c>
      <c r="I1176" s="164">
        <f t="shared" si="54"/>
        <v>0.18629147010730349</v>
      </c>
      <c r="J1176" s="164">
        <v>0.18629147010730346</v>
      </c>
      <c r="K1176" s="168">
        <f t="shared" si="55"/>
        <v>0</v>
      </c>
      <c r="L1176" s="164">
        <v>0.09</v>
      </c>
      <c r="M1176" s="154">
        <v>2</v>
      </c>
      <c r="N1176" s="154" t="str">
        <f t="shared" si="56"/>
        <v>No fit</v>
      </c>
      <c r="O1176" s="173" t="s">
        <v>7482</v>
      </c>
      <c r="P1176" s="173" t="s">
        <v>7342</v>
      </c>
    </row>
    <row r="1177" spans="1:16" ht="64.05" customHeight="1" x14ac:dyDescent="0.3">
      <c r="A1177" s="151" t="s">
        <v>7868</v>
      </c>
      <c r="B1177" s="151" t="s">
        <v>6031</v>
      </c>
      <c r="C1177" s="151" t="s">
        <v>114</v>
      </c>
      <c r="D1177" s="151">
        <v>2024</v>
      </c>
      <c r="E1177" s="151" t="s">
        <v>199</v>
      </c>
      <c r="F1177" s="174" t="s">
        <v>7484</v>
      </c>
      <c r="G1177" s="167">
        <f>FCCL!G91</f>
        <v>20051.560999999994</v>
      </c>
      <c r="H1177" s="167">
        <f>FCCL!G22</f>
        <v>110145.51</v>
      </c>
      <c r="I1177" s="165">
        <f t="shared" si="54"/>
        <v>0.18204610428514059</v>
      </c>
      <c r="J1177" s="165">
        <v>0.18204610428514056</v>
      </c>
      <c r="K1177" s="169">
        <f t="shared" si="55"/>
        <v>0</v>
      </c>
      <c r="L1177" s="165">
        <v>0.09</v>
      </c>
      <c r="M1177" s="151">
        <v>2</v>
      </c>
      <c r="N1177" s="151" t="str">
        <f t="shared" si="56"/>
        <v>No fit</v>
      </c>
      <c r="O1177" s="174" t="s">
        <v>7485</v>
      </c>
      <c r="P1177" s="174" t="s">
        <v>7342</v>
      </c>
    </row>
    <row r="1178" spans="1:16" ht="64.05" customHeight="1" x14ac:dyDescent="0.3">
      <c r="A1178" s="154" t="s">
        <v>7869</v>
      </c>
      <c r="B1178" s="154" t="s">
        <v>6031</v>
      </c>
      <c r="C1178" s="154" t="s">
        <v>114</v>
      </c>
      <c r="D1178" s="154">
        <v>2024</v>
      </c>
      <c r="E1178" s="154" t="s">
        <v>199</v>
      </c>
      <c r="F1178" s="173" t="s">
        <v>7487</v>
      </c>
      <c r="G1178" s="166">
        <f>FCCL!G91</f>
        <v>20051.560999999994</v>
      </c>
      <c r="H1178" s="166">
        <f>AVERAGE(FCCL!F22,FCCL!G22)</f>
        <v>90019.759499999986</v>
      </c>
      <c r="I1178" s="164">
        <f t="shared" si="54"/>
        <v>0.22274621828999663</v>
      </c>
      <c r="J1178" s="164">
        <v>0.22274621828999658</v>
      </c>
      <c r="K1178" s="168">
        <f t="shared" si="55"/>
        <v>0</v>
      </c>
      <c r="L1178" s="164">
        <v>0.09</v>
      </c>
      <c r="M1178" s="154">
        <v>2</v>
      </c>
      <c r="N1178" s="154" t="str">
        <f t="shared" si="56"/>
        <v>No fit</v>
      </c>
      <c r="O1178" s="173" t="s">
        <v>7488</v>
      </c>
      <c r="P1178" s="173" t="s">
        <v>7342</v>
      </c>
    </row>
    <row r="1179" spans="1:16" ht="64.05" customHeight="1" x14ac:dyDescent="0.3">
      <c r="A1179" s="151" t="s">
        <v>7870</v>
      </c>
      <c r="B1179" s="151" t="s">
        <v>6031</v>
      </c>
      <c r="C1179" s="151" t="s">
        <v>114</v>
      </c>
      <c r="D1179" s="151">
        <v>2024</v>
      </c>
      <c r="E1179" s="151" t="s">
        <v>199</v>
      </c>
      <c r="F1179" s="174" t="s">
        <v>7490</v>
      </c>
      <c r="G1179" s="167">
        <f>FCCL!G91</f>
        <v>20051.560999999994</v>
      </c>
      <c r="H1179" s="167">
        <f>FCCL!G28</f>
        <v>121852.22799999999</v>
      </c>
      <c r="I1179" s="165">
        <f t="shared" si="54"/>
        <v>0.16455637561259853</v>
      </c>
      <c r="J1179" s="165">
        <v>0.16455637561259848</v>
      </c>
      <c r="K1179" s="169">
        <f t="shared" si="55"/>
        <v>0</v>
      </c>
      <c r="L1179" s="165">
        <v>0.09</v>
      </c>
      <c r="M1179" s="151">
        <v>2</v>
      </c>
      <c r="N1179" s="151" t="str">
        <f t="shared" si="56"/>
        <v>No fit</v>
      </c>
      <c r="O1179" s="174" t="s">
        <v>7491</v>
      </c>
      <c r="P1179" s="174" t="s">
        <v>7342</v>
      </c>
    </row>
    <row r="1180" spans="1:16" ht="64.05" customHeight="1" x14ac:dyDescent="0.3">
      <c r="A1180" s="154" t="s">
        <v>7871</v>
      </c>
      <c r="B1180" s="154" t="s">
        <v>6031</v>
      </c>
      <c r="C1180" s="154" t="s">
        <v>114</v>
      </c>
      <c r="D1180" s="154">
        <v>2024</v>
      </c>
      <c r="E1180" s="154" t="s">
        <v>199</v>
      </c>
      <c r="F1180" s="173" t="s">
        <v>7493</v>
      </c>
      <c r="G1180" s="166">
        <f>FCCL!G91</f>
        <v>20051.560999999994</v>
      </c>
      <c r="H1180" s="166">
        <f>AVERAGE(FCCL!F28,FCCL!G28)</f>
        <v>118773.11299999998</v>
      </c>
      <c r="I1180" s="164">
        <f t="shared" si="54"/>
        <v>0.16882239164683674</v>
      </c>
      <c r="J1180" s="164">
        <v>0.16882239164683668</v>
      </c>
      <c r="K1180" s="168">
        <f t="shared" si="55"/>
        <v>0</v>
      </c>
      <c r="L1180" s="164">
        <v>0.09</v>
      </c>
      <c r="M1180" s="154">
        <v>2</v>
      </c>
      <c r="N1180" s="154" t="str">
        <f t="shared" si="56"/>
        <v>No fit</v>
      </c>
      <c r="O1180" s="173" t="s">
        <v>7494</v>
      </c>
      <c r="P1180" s="173" t="s">
        <v>7342</v>
      </c>
    </row>
    <row r="1181" spans="1:16" ht="64.05" customHeight="1" x14ac:dyDescent="0.3">
      <c r="A1181" s="151" t="s">
        <v>7872</v>
      </c>
      <c r="B1181" s="151" t="s">
        <v>6031</v>
      </c>
      <c r="C1181" s="151" t="s">
        <v>114</v>
      </c>
      <c r="D1181" s="151">
        <v>2024</v>
      </c>
      <c r="E1181" s="151" t="s">
        <v>199</v>
      </c>
      <c r="F1181" s="174" t="s">
        <v>7496</v>
      </c>
      <c r="G1181" s="167">
        <f>FCCL!G91</f>
        <v>20051.560999999994</v>
      </c>
      <c r="H1181" s="167">
        <f>'Forensic Inputs'!$G$104</f>
        <v>137590.82500000001</v>
      </c>
      <c r="I1181" s="165">
        <f t="shared" si="54"/>
        <v>0.1457332710956562</v>
      </c>
      <c r="J1181" s="165">
        <v>0.14573327109565617</v>
      </c>
      <c r="K1181" s="169">
        <f t="shared" si="55"/>
        <v>0</v>
      </c>
      <c r="L1181" s="165">
        <v>0.09</v>
      </c>
      <c r="M1181" s="151">
        <v>2</v>
      </c>
      <c r="N1181" s="151" t="str">
        <f t="shared" si="56"/>
        <v>No fit</v>
      </c>
      <c r="O1181" s="174" t="s">
        <v>7570</v>
      </c>
      <c r="P1181" s="174" t="s">
        <v>7342</v>
      </c>
    </row>
    <row r="1182" spans="1:16" ht="64.05" customHeight="1" x14ac:dyDescent="0.3">
      <c r="A1182" s="154" t="s">
        <v>7873</v>
      </c>
      <c r="B1182" s="154" t="s">
        <v>6031</v>
      </c>
      <c r="C1182" s="154" t="s">
        <v>114</v>
      </c>
      <c r="D1182" s="154">
        <v>2024</v>
      </c>
      <c r="E1182" s="154" t="s">
        <v>199</v>
      </c>
      <c r="F1182" s="173" t="s">
        <v>7499</v>
      </c>
      <c r="G1182" s="166">
        <f>FCCL!G91</f>
        <v>20051.560999999994</v>
      </c>
      <c r="H1182" s="166">
        <f>('Forensic Inputs'!$G$104-FCCL!G21)</f>
        <v>136890.67200000002</v>
      </c>
      <c r="I1182" s="164">
        <f t="shared" si="54"/>
        <v>0.14647865122614045</v>
      </c>
      <c r="J1182" s="164">
        <v>0.14647865122614043</v>
      </c>
      <c r="K1182" s="168">
        <f t="shared" si="55"/>
        <v>0</v>
      </c>
      <c r="L1182" s="164">
        <v>0.09</v>
      </c>
      <c r="M1182" s="154">
        <v>2</v>
      </c>
      <c r="N1182" s="154" t="str">
        <f t="shared" si="56"/>
        <v>No fit</v>
      </c>
      <c r="O1182" s="173" t="s">
        <v>7572</v>
      </c>
      <c r="P1182" s="173" t="s">
        <v>7342</v>
      </c>
    </row>
    <row r="1183" spans="1:16" ht="64.05" customHeight="1" x14ac:dyDescent="0.3">
      <c r="A1183" s="151" t="s">
        <v>7874</v>
      </c>
      <c r="B1183" s="151" t="s">
        <v>6031</v>
      </c>
      <c r="C1183" s="151" t="s">
        <v>114</v>
      </c>
      <c r="D1183" s="151">
        <v>2024</v>
      </c>
      <c r="E1183" s="151" t="s">
        <v>199</v>
      </c>
      <c r="F1183" s="174" t="s">
        <v>7502</v>
      </c>
      <c r="G1183" s="167">
        <f>FCCL!G91</f>
        <v>20051.560999999994</v>
      </c>
      <c r="H1183" s="167">
        <f>AVERAGE('Forensic Inputs'!$G$102,'Forensic Inputs'!$G$104)</f>
        <v>132522.09100000001</v>
      </c>
      <c r="I1183" s="165">
        <f t="shared" si="54"/>
        <v>0.15130730920929999</v>
      </c>
      <c r="J1183" s="165">
        <v>0.15130730920929997</v>
      </c>
      <c r="K1183" s="169">
        <f t="shared" si="55"/>
        <v>0</v>
      </c>
      <c r="L1183" s="165">
        <v>0.09</v>
      </c>
      <c r="M1183" s="151">
        <v>2</v>
      </c>
      <c r="N1183" s="151" t="str">
        <f t="shared" si="56"/>
        <v>No fit</v>
      </c>
      <c r="O1183" s="174" t="s">
        <v>7635</v>
      </c>
      <c r="P1183" s="174" t="s">
        <v>7342</v>
      </c>
    </row>
    <row r="1184" spans="1:16" ht="64.05" customHeight="1" x14ac:dyDescent="0.3">
      <c r="A1184" s="154" t="s">
        <v>7875</v>
      </c>
      <c r="B1184" s="154" t="s">
        <v>6034</v>
      </c>
      <c r="C1184" s="154" t="s">
        <v>114</v>
      </c>
      <c r="D1184" s="154">
        <v>2025</v>
      </c>
      <c r="E1184" s="154" t="s">
        <v>199</v>
      </c>
      <c r="F1184" s="173" t="s">
        <v>5893</v>
      </c>
      <c r="G1184" s="166">
        <f>FCCL!H84</f>
        <v>88956.327999999994</v>
      </c>
      <c r="H1184" s="166">
        <f>AVERAGE(FCCL!G22,FCCL!H22)</f>
        <v>109714.01250000001</v>
      </c>
      <c r="I1184" s="164">
        <f t="shared" si="54"/>
        <v>0.81080188367005523</v>
      </c>
      <c r="J1184" s="164">
        <v>0.81080188367005523</v>
      </c>
      <c r="K1184" s="168">
        <f t="shared" si="55"/>
        <v>0</v>
      </c>
      <c r="L1184" s="164">
        <v>0.12</v>
      </c>
      <c r="M1184" s="154">
        <v>2</v>
      </c>
      <c r="N1184" s="154" t="str">
        <f t="shared" si="56"/>
        <v>No fit</v>
      </c>
      <c r="O1184" s="173" t="s">
        <v>6050</v>
      </c>
      <c r="P1184" s="173" t="s">
        <v>6051</v>
      </c>
    </row>
    <row r="1185" spans="1:16" ht="64.05" customHeight="1" x14ac:dyDescent="0.3">
      <c r="A1185" s="151" t="s">
        <v>7876</v>
      </c>
      <c r="B1185" s="151" t="s">
        <v>6034</v>
      </c>
      <c r="C1185" s="151" t="s">
        <v>114</v>
      </c>
      <c r="D1185" s="151">
        <v>2025</v>
      </c>
      <c r="E1185" s="151" t="s">
        <v>199</v>
      </c>
      <c r="F1185" s="174" t="s">
        <v>6009</v>
      </c>
      <c r="G1185" s="167">
        <f>FCCL!H84</f>
        <v>88956.327999999994</v>
      </c>
      <c r="H1185" s="167">
        <f>FCCL!H37</f>
        <v>160845.19100000002</v>
      </c>
      <c r="I1185" s="165">
        <f t="shared" si="54"/>
        <v>0.55305556508680442</v>
      </c>
      <c r="J1185" s="165">
        <v>0.55305556508680453</v>
      </c>
      <c r="K1185" s="169">
        <f t="shared" si="55"/>
        <v>0</v>
      </c>
      <c r="L1185" s="165">
        <v>0.12</v>
      </c>
      <c r="M1185" s="151">
        <v>2</v>
      </c>
      <c r="N1185" s="151" t="str">
        <f t="shared" si="56"/>
        <v>No fit</v>
      </c>
      <c r="O1185" s="174" t="s">
        <v>7341</v>
      </c>
      <c r="P1185" s="174" t="s">
        <v>7342</v>
      </c>
    </row>
    <row r="1186" spans="1:16" ht="64.05" customHeight="1" x14ac:dyDescent="0.3">
      <c r="A1186" s="154" t="s">
        <v>7877</v>
      </c>
      <c r="B1186" s="154" t="s">
        <v>6034</v>
      </c>
      <c r="C1186" s="154" t="s">
        <v>114</v>
      </c>
      <c r="D1186" s="154">
        <v>2025</v>
      </c>
      <c r="E1186" s="154" t="s">
        <v>199</v>
      </c>
      <c r="F1186" s="173" t="s">
        <v>7344</v>
      </c>
      <c r="G1186" s="166">
        <f>FCCL!H84</f>
        <v>88956.327999999994</v>
      </c>
      <c r="H1186" s="166">
        <f>AVERAGE(FCCL!G37,FCCL!H37)</f>
        <v>154240.745</v>
      </c>
      <c r="I1186" s="164">
        <f t="shared" si="54"/>
        <v>0.57673689270626904</v>
      </c>
      <c r="J1186" s="164">
        <v>0.57673689270626904</v>
      </c>
      <c r="K1186" s="168">
        <f t="shared" si="55"/>
        <v>0</v>
      </c>
      <c r="L1186" s="164">
        <v>0.12</v>
      </c>
      <c r="M1186" s="154">
        <v>2</v>
      </c>
      <c r="N1186" s="154" t="str">
        <f t="shared" si="56"/>
        <v>No fit</v>
      </c>
      <c r="O1186" s="173" t="s">
        <v>7345</v>
      </c>
      <c r="P1186" s="173" t="s">
        <v>7342</v>
      </c>
    </row>
    <row r="1187" spans="1:16" ht="64.05" customHeight="1" x14ac:dyDescent="0.3">
      <c r="A1187" s="151" t="s">
        <v>7878</v>
      </c>
      <c r="B1187" s="151" t="s">
        <v>6034</v>
      </c>
      <c r="C1187" s="151" t="s">
        <v>114</v>
      </c>
      <c r="D1187" s="151">
        <v>2025</v>
      </c>
      <c r="E1187" s="151" t="s">
        <v>199</v>
      </c>
      <c r="F1187" s="174" t="s">
        <v>6025</v>
      </c>
      <c r="G1187" s="167">
        <f>FCCL!H84</f>
        <v>88956.327999999994</v>
      </c>
      <c r="H1187" s="167">
        <f>FCCL!H20</f>
        <v>109579.08900000001</v>
      </c>
      <c r="I1187" s="165">
        <f t="shared" si="54"/>
        <v>0.81180021491144161</v>
      </c>
      <c r="J1187" s="165">
        <v>0.81180021491144161</v>
      </c>
      <c r="K1187" s="169">
        <f t="shared" si="55"/>
        <v>0</v>
      </c>
      <c r="L1187" s="165">
        <v>0.12</v>
      </c>
      <c r="M1187" s="151">
        <v>2</v>
      </c>
      <c r="N1187" s="151" t="str">
        <f t="shared" si="56"/>
        <v>No fit</v>
      </c>
      <c r="O1187" s="174" t="s">
        <v>7347</v>
      </c>
      <c r="P1187" s="174" t="s">
        <v>7342</v>
      </c>
    </row>
    <row r="1188" spans="1:16" ht="64.05" customHeight="1" x14ac:dyDescent="0.3">
      <c r="A1188" s="154" t="s">
        <v>7879</v>
      </c>
      <c r="B1188" s="154" t="s">
        <v>6034</v>
      </c>
      <c r="C1188" s="154" t="s">
        <v>114</v>
      </c>
      <c r="D1188" s="154">
        <v>2025</v>
      </c>
      <c r="E1188" s="154" t="s">
        <v>199</v>
      </c>
      <c r="F1188" s="173" t="s">
        <v>7349</v>
      </c>
      <c r="G1188" s="166">
        <f>FCCL!H84</f>
        <v>88956.327999999994</v>
      </c>
      <c r="H1188" s="166">
        <f>AVERAGE(FCCL!G20,FCCL!H20)</f>
        <v>110212.376</v>
      </c>
      <c r="I1188" s="164">
        <f t="shared" si="54"/>
        <v>0.80713556161787126</v>
      </c>
      <c r="J1188" s="164">
        <v>0.80713556161787126</v>
      </c>
      <c r="K1188" s="168">
        <f t="shared" si="55"/>
        <v>0</v>
      </c>
      <c r="L1188" s="164">
        <v>0.12</v>
      </c>
      <c r="M1188" s="154">
        <v>2</v>
      </c>
      <c r="N1188" s="154" t="str">
        <f t="shared" si="56"/>
        <v>No fit</v>
      </c>
      <c r="O1188" s="173" t="s">
        <v>7350</v>
      </c>
      <c r="P1188" s="173" t="s">
        <v>7342</v>
      </c>
    </row>
    <row r="1189" spans="1:16" ht="64.05" customHeight="1" x14ac:dyDescent="0.3">
      <c r="A1189" s="151" t="s">
        <v>7880</v>
      </c>
      <c r="B1189" s="151" t="s">
        <v>6034</v>
      </c>
      <c r="C1189" s="151" t="s">
        <v>114</v>
      </c>
      <c r="D1189" s="151">
        <v>2025</v>
      </c>
      <c r="E1189" s="151" t="s">
        <v>199</v>
      </c>
      <c r="F1189" s="174" t="s">
        <v>7352</v>
      </c>
      <c r="G1189" s="167">
        <f>FCCL!H84</f>
        <v>88956.327999999994</v>
      </c>
      <c r="H1189" s="167">
        <f>FCCL!H22</f>
        <v>109282.51500000001</v>
      </c>
      <c r="I1189" s="165">
        <f t="shared" si="54"/>
        <v>0.81400330144305322</v>
      </c>
      <c r="J1189" s="165">
        <v>0.81400330144305322</v>
      </c>
      <c r="K1189" s="169">
        <f t="shared" si="55"/>
        <v>0</v>
      </c>
      <c r="L1189" s="165">
        <v>0.12</v>
      </c>
      <c r="M1189" s="151">
        <v>2</v>
      </c>
      <c r="N1189" s="151" t="str">
        <f t="shared" si="56"/>
        <v>No fit</v>
      </c>
      <c r="O1189" s="174" t="s">
        <v>7353</v>
      </c>
      <c r="P1189" s="174" t="s">
        <v>7342</v>
      </c>
    </row>
    <row r="1190" spans="1:16" ht="64.05" customHeight="1" x14ac:dyDescent="0.3">
      <c r="A1190" s="154" t="s">
        <v>7881</v>
      </c>
      <c r="B1190" s="154" t="s">
        <v>6034</v>
      </c>
      <c r="C1190" s="154" t="s">
        <v>114</v>
      </c>
      <c r="D1190" s="154">
        <v>2025</v>
      </c>
      <c r="E1190" s="154" t="s">
        <v>199</v>
      </c>
      <c r="F1190" s="173" t="s">
        <v>7355</v>
      </c>
      <c r="G1190" s="166">
        <f>FCCL!H84</f>
        <v>88956.327999999994</v>
      </c>
      <c r="H1190" s="166">
        <f>AVERAGE(FCCL!G22,FCCL!H22)</f>
        <v>109714.01250000001</v>
      </c>
      <c r="I1190" s="164">
        <f t="shared" si="54"/>
        <v>0.81080188367005523</v>
      </c>
      <c r="J1190" s="164">
        <v>0.81080188367005523</v>
      </c>
      <c r="K1190" s="168">
        <f t="shared" si="55"/>
        <v>0</v>
      </c>
      <c r="L1190" s="164">
        <v>0.12</v>
      </c>
      <c r="M1190" s="154">
        <v>2</v>
      </c>
      <c r="N1190" s="154" t="str">
        <f t="shared" si="56"/>
        <v>No fit</v>
      </c>
      <c r="O1190" s="173" t="s">
        <v>7356</v>
      </c>
      <c r="P1190" s="173" t="s">
        <v>7342</v>
      </c>
    </row>
    <row r="1191" spans="1:16" ht="64.05" customHeight="1" x14ac:dyDescent="0.3">
      <c r="A1191" s="151" t="s">
        <v>7882</v>
      </c>
      <c r="B1191" s="151" t="s">
        <v>6034</v>
      </c>
      <c r="C1191" s="151" t="s">
        <v>114</v>
      </c>
      <c r="D1191" s="151">
        <v>2025</v>
      </c>
      <c r="E1191" s="151" t="s">
        <v>199</v>
      </c>
      <c r="F1191" s="174" t="s">
        <v>7358</v>
      </c>
      <c r="G1191" s="167">
        <f>FCCL!H84</f>
        <v>88956.327999999994</v>
      </c>
      <c r="H1191" s="167">
        <f>FCCL!H28</f>
        <v>120372.62600000002</v>
      </c>
      <c r="I1191" s="165">
        <f t="shared" si="54"/>
        <v>0.73900795351926596</v>
      </c>
      <c r="J1191" s="165">
        <v>0.73900795351926596</v>
      </c>
      <c r="K1191" s="169">
        <f t="shared" si="55"/>
        <v>0</v>
      </c>
      <c r="L1191" s="165">
        <v>0.12</v>
      </c>
      <c r="M1191" s="151">
        <v>2</v>
      </c>
      <c r="N1191" s="151" t="str">
        <f t="shared" si="56"/>
        <v>No fit</v>
      </c>
      <c r="O1191" s="174" t="s">
        <v>7359</v>
      </c>
      <c r="P1191" s="174" t="s">
        <v>7342</v>
      </c>
    </row>
    <row r="1192" spans="1:16" ht="64.05" customHeight="1" x14ac:dyDescent="0.3">
      <c r="A1192" s="154" t="s">
        <v>7883</v>
      </c>
      <c r="B1192" s="154" t="s">
        <v>6034</v>
      </c>
      <c r="C1192" s="154" t="s">
        <v>114</v>
      </c>
      <c r="D1192" s="154">
        <v>2025</v>
      </c>
      <c r="E1192" s="154" t="s">
        <v>199</v>
      </c>
      <c r="F1192" s="173" t="s">
        <v>7361</v>
      </c>
      <c r="G1192" s="166">
        <f>FCCL!H84</f>
        <v>88956.327999999994</v>
      </c>
      <c r="H1192" s="166">
        <f>AVERAGE(FCCL!G28,FCCL!H28)</f>
        <v>121112.427</v>
      </c>
      <c r="I1192" s="164">
        <f t="shared" si="54"/>
        <v>0.73449381044936035</v>
      </c>
      <c r="J1192" s="164">
        <v>0.73449381044936035</v>
      </c>
      <c r="K1192" s="168">
        <f t="shared" si="55"/>
        <v>0</v>
      </c>
      <c r="L1192" s="164">
        <v>0.12</v>
      </c>
      <c r="M1192" s="154">
        <v>2</v>
      </c>
      <c r="N1192" s="154" t="str">
        <f t="shared" si="56"/>
        <v>No fit</v>
      </c>
      <c r="O1192" s="173" t="s">
        <v>7362</v>
      </c>
      <c r="P1192" s="173" t="s">
        <v>7342</v>
      </c>
    </row>
    <row r="1193" spans="1:16" ht="64.05" customHeight="1" x14ac:dyDescent="0.3">
      <c r="A1193" s="151" t="s">
        <v>7884</v>
      </c>
      <c r="B1193" s="151" t="s">
        <v>6034</v>
      </c>
      <c r="C1193" s="151" t="s">
        <v>114</v>
      </c>
      <c r="D1193" s="151">
        <v>2025</v>
      </c>
      <c r="E1193" s="151" t="s">
        <v>199</v>
      </c>
      <c r="F1193" s="174" t="s">
        <v>7364</v>
      </c>
      <c r="G1193" s="167">
        <f>FCCL!H84</f>
        <v>88956.327999999994</v>
      </c>
      <c r="H1193" s="167">
        <f>'Forensic Inputs'!$G$106</f>
        <v>140843.77100000001</v>
      </c>
      <c r="I1193" s="165">
        <f t="shared" si="54"/>
        <v>0.63159575583928373</v>
      </c>
      <c r="J1193" s="165">
        <v>0.63159575583928373</v>
      </c>
      <c r="K1193" s="169">
        <f t="shared" si="55"/>
        <v>0</v>
      </c>
      <c r="L1193" s="165">
        <v>0.12</v>
      </c>
      <c r="M1193" s="151">
        <v>2</v>
      </c>
      <c r="N1193" s="151" t="str">
        <f t="shared" si="56"/>
        <v>No fit</v>
      </c>
      <c r="O1193" s="174" t="s">
        <v>7646</v>
      </c>
      <c r="P1193" s="174" t="s">
        <v>7342</v>
      </c>
    </row>
    <row r="1194" spans="1:16" ht="64.05" customHeight="1" x14ac:dyDescent="0.3">
      <c r="A1194" s="154" t="s">
        <v>7885</v>
      </c>
      <c r="B1194" s="154" t="s">
        <v>6034</v>
      </c>
      <c r="C1194" s="154" t="s">
        <v>114</v>
      </c>
      <c r="D1194" s="154">
        <v>2025</v>
      </c>
      <c r="E1194" s="154" t="s">
        <v>199</v>
      </c>
      <c r="F1194" s="173" t="s">
        <v>7367</v>
      </c>
      <c r="G1194" s="166">
        <f>FCCL!H84</f>
        <v>88956.327999999994</v>
      </c>
      <c r="H1194" s="166">
        <f>('Forensic Inputs'!$G$106-FCCL!H21)</f>
        <v>140547.19700000001</v>
      </c>
      <c r="I1194" s="164">
        <f t="shared" si="54"/>
        <v>0.63292851012887852</v>
      </c>
      <c r="J1194" s="164">
        <v>0.63292851012887852</v>
      </c>
      <c r="K1194" s="168">
        <f t="shared" si="55"/>
        <v>0</v>
      </c>
      <c r="L1194" s="164">
        <v>0.12</v>
      </c>
      <c r="M1194" s="154">
        <v>2</v>
      </c>
      <c r="N1194" s="154" t="str">
        <f t="shared" si="56"/>
        <v>No fit</v>
      </c>
      <c r="O1194" s="173" t="s">
        <v>7648</v>
      </c>
      <c r="P1194" s="173" t="s">
        <v>7342</v>
      </c>
    </row>
    <row r="1195" spans="1:16" ht="64.05" customHeight="1" x14ac:dyDescent="0.3">
      <c r="A1195" s="151" t="s">
        <v>7886</v>
      </c>
      <c r="B1195" s="151" t="s">
        <v>6034</v>
      </c>
      <c r="C1195" s="151" t="s">
        <v>114</v>
      </c>
      <c r="D1195" s="151">
        <v>2025</v>
      </c>
      <c r="E1195" s="151" t="s">
        <v>199</v>
      </c>
      <c r="F1195" s="174" t="s">
        <v>7370</v>
      </c>
      <c r="G1195" s="167">
        <f>FCCL!H84</f>
        <v>88956.327999999994</v>
      </c>
      <c r="H1195" s="167">
        <f>AVERAGE('Forensic Inputs'!$G$104,'Forensic Inputs'!$G$106)</f>
        <v>139217.29800000001</v>
      </c>
      <c r="I1195" s="165">
        <f t="shared" si="54"/>
        <v>0.63897467683936793</v>
      </c>
      <c r="J1195" s="165">
        <v>0.63897467683936793</v>
      </c>
      <c r="K1195" s="169">
        <f t="shared" si="55"/>
        <v>0</v>
      </c>
      <c r="L1195" s="165">
        <v>0.12</v>
      </c>
      <c r="M1195" s="151">
        <v>2</v>
      </c>
      <c r="N1195" s="151" t="str">
        <f t="shared" si="56"/>
        <v>No fit</v>
      </c>
      <c r="O1195" s="174" t="s">
        <v>7650</v>
      </c>
      <c r="P1195" s="174" t="s">
        <v>7342</v>
      </c>
    </row>
    <row r="1196" spans="1:16" ht="64.05" customHeight="1" x14ac:dyDescent="0.3">
      <c r="A1196" s="154" t="s">
        <v>7887</v>
      </c>
      <c r="B1196" s="154" t="s">
        <v>6034</v>
      </c>
      <c r="C1196" s="154" t="s">
        <v>114</v>
      </c>
      <c r="D1196" s="154">
        <v>2025</v>
      </c>
      <c r="E1196" s="154" t="s">
        <v>199</v>
      </c>
      <c r="F1196" s="173" t="s">
        <v>7373</v>
      </c>
      <c r="G1196" s="166">
        <f>FCCL!H99</f>
        <v>13326.20199999999</v>
      </c>
      <c r="H1196" s="166">
        <f>FCCL!H37</f>
        <v>160845.19100000002</v>
      </c>
      <c r="I1196" s="164">
        <f t="shared" si="54"/>
        <v>8.2851106191915852E-2</v>
      </c>
      <c r="J1196" s="164">
        <v>8.2851106191915894E-2</v>
      </c>
      <c r="K1196" s="168">
        <f t="shared" si="55"/>
        <v>0</v>
      </c>
      <c r="L1196" s="164">
        <v>0.12</v>
      </c>
      <c r="M1196" s="154">
        <v>2</v>
      </c>
      <c r="N1196" s="154" t="str">
        <f t="shared" si="56"/>
        <v>No fit</v>
      </c>
      <c r="O1196" s="173" t="s">
        <v>7374</v>
      </c>
      <c r="P1196" s="173" t="s">
        <v>7342</v>
      </c>
    </row>
    <row r="1197" spans="1:16" ht="64.05" customHeight="1" x14ac:dyDescent="0.3">
      <c r="A1197" s="151" t="s">
        <v>7888</v>
      </c>
      <c r="B1197" s="151" t="s">
        <v>6034</v>
      </c>
      <c r="C1197" s="151" t="s">
        <v>114</v>
      </c>
      <c r="D1197" s="151">
        <v>2025</v>
      </c>
      <c r="E1197" s="151" t="s">
        <v>199</v>
      </c>
      <c r="F1197" s="174" t="s">
        <v>7376</v>
      </c>
      <c r="G1197" s="167">
        <f>FCCL!H99</f>
        <v>13326.20199999999</v>
      </c>
      <c r="H1197" s="167">
        <f>AVERAGE(FCCL!G37,FCCL!H37)</f>
        <v>154240.745</v>
      </c>
      <c r="I1197" s="165">
        <f t="shared" si="54"/>
        <v>8.6398713906626887E-2</v>
      </c>
      <c r="J1197" s="165">
        <v>8.6398713906626901E-2</v>
      </c>
      <c r="K1197" s="169">
        <f t="shared" si="55"/>
        <v>0</v>
      </c>
      <c r="L1197" s="165">
        <v>0.12</v>
      </c>
      <c r="M1197" s="151">
        <v>2</v>
      </c>
      <c r="N1197" s="151" t="str">
        <f t="shared" si="56"/>
        <v>No fit</v>
      </c>
      <c r="O1197" s="174" t="s">
        <v>7377</v>
      </c>
      <c r="P1197" s="174" t="s">
        <v>7342</v>
      </c>
    </row>
    <row r="1198" spans="1:16" ht="64.05" customHeight="1" x14ac:dyDescent="0.3">
      <c r="A1198" s="154" t="s">
        <v>7889</v>
      </c>
      <c r="B1198" s="154" t="s">
        <v>6034</v>
      </c>
      <c r="C1198" s="154" t="s">
        <v>114</v>
      </c>
      <c r="D1198" s="154">
        <v>2025</v>
      </c>
      <c r="E1198" s="154" t="s">
        <v>199</v>
      </c>
      <c r="F1198" s="173" t="s">
        <v>7379</v>
      </c>
      <c r="G1198" s="166">
        <f>FCCL!H99</f>
        <v>13326.20199999999</v>
      </c>
      <c r="H1198" s="166">
        <f>FCCL!H20</f>
        <v>109579.08900000001</v>
      </c>
      <c r="I1198" s="164">
        <f t="shared" si="54"/>
        <v>0.1216126372432243</v>
      </c>
      <c r="J1198" s="164">
        <v>0.12161263724322433</v>
      </c>
      <c r="K1198" s="168">
        <f t="shared" si="55"/>
        <v>0</v>
      </c>
      <c r="L1198" s="164">
        <v>0.12</v>
      </c>
      <c r="M1198" s="154">
        <v>2</v>
      </c>
      <c r="N1198" s="154" t="str">
        <f t="shared" si="56"/>
        <v>Numeric fit</v>
      </c>
      <c r="O1198" s="173" t="s">
        <v>7380</v>
      </c>
      <c r="P1198" s="173" t="s">
        <v>7342</v>
      </c>
    </row>
    <row r="1199" spans="1:16" ht="64.05" customHeight="1" x14ac:dyDescent="0.3">
      <c r="A1199" s="151" t="s">
        <v>7890</v>
      </c>
      <c r="B1199" s="151" t="s">
        <v>6034</v>
      </c>
      <c r="C1199" s="151" t="s">
        <v>114</v>
      </c>
      <c r="D1199" s="151">
        <v>2025</v>
      </c>
      <c r="E1199" s="151" t="s">
        <v>199</v>
      </c>
      <c r="F1199" s="174" t="s">
        <v>7382</v>
      </c>
      <c r="G1199" s="167">
        <f>FCCL!H99</f>
        <v>13326.20199999999</v>
      </c>
      <c r="H1199" s="167">
        <f>AVERAGE(FCCL!G20,FCCL!H20)</f>
        <v>110212.376</v>
      </c>
      <c r="I1199" s="165">
        <f t="shared" si="54"/>
        <v>0.12091384365037181</v>
      </c>
      <c r="J1199" s="165">
        <v>0.12091384365037183</v>
      </c>
      <c r="K1199" s="169">
        <f t="shared" si="55"/>
        <v>0</v>
      </c>
      <c r="L1199" s="165">
        <v>0.12</v>
      </c>
      <c r="M1199" s="151">
        <v>2</v>
      </c>
      <c r="N1199" s="151" t="str">
        <f t="shared" si="56"/>
        <v>Numeric fit</v>
      </c>
      <c r="O1199" s="174" t="s">
        <v>7383</v>
      </c>
      <c r="P1199" s="174" t="s">
        <v>7342</v>
      </c>
    </row>
    <row r="1200" spans="1:16" ht="64.05" customHeight="1" x14ac:dyDescent="0.3">
      <c r="A1200" s="154" t="s">
        <v>7891</v>
      </c>
      <c r="B1200" s="154" t="s">
        <v>6034</v>
      </c>
      <c r="C1200" s="154" t="s">
        <v>114</v>
      </c>
      <c r="D1200" s="154">
        <v>2025</v>
      </c>
      <c r="E1200" s="154" t="s">
        <v>199</v>
      </c>
      <c r="F1200" s="173" t="s">
        <v>7385</v>
      </c>
      <c r="G1200" s="166">
        <f>FCCL!H99</f>
        <v>13326.20199999999</v>
      </c>
      <c r="H1200" s="166">
        <f>FCCL!H22</f>
        <v>109282.51500000001</v>
      </c>
      <c r="I1200" s="164">
        <f t="shared" si="54"/>
        <v>0.12194267307995235</v>
      </c>
      <c r="J1200" s="164">
        <v>0.12194267307995238</v>
      </c>
      <c r="K1200" s="168">
        <f t="shared" si="55"/>
        <v>0</v>
      </c>
      <c r="L1200" s="164">
        <v>0.12</v>
      </c>
      <c r="M1200" s="154">
        <v>2</v>
      </c>
      <c r="N1200" s="154" t="str">
        <f t="shared" si="56"/>
        <v>Numeric fit</v>
      </c>
      <c r="O1200" s="173" t="s">
        <v>7386</v>
      </c>
      <c r="P1200" s="173" t="s">
        <v>7342</v>
      </c>
    </row>
    <row r="1201" spans="1:16" ht="64.05" customHeight="1" x14ac:dyDescent="0.3">
      <c r="A1201" s="151" t="s">
        <v>7892</v>
      </c>
      <c r="B1201" s="151" t="s">
        <v>6034</v>
      </c>
      <c r="C1201" s="151" t="s">
        <v>114</v>
      </c>
      <c r="D1201" s="151">
        <v>2025</v>
      </c>
      <c r="E1201" s="151" t="s">
        <v>199</v>
      </c>
      <c r="F1201" s="174" t="s">
        <v>7388</v>
      </c>
      <c r="G1201" s="167">
        <f>FCCL!H99</f>
        <v>13326.20199999999</v>
      </c>
      <c r="H1201" s="167">
        <f>AVERAGE(FCCL!G22,FCCL!H22)</f>
        <v>109714.01250000001</v>
      </c>
      <c r="I1201" s="165">
        <f t="shared" si="54"/>
        <v>0.12146308111737313</v>
      </c>
      <c r="J1201" s="165">
        <v>0.12146308111737315</v>
      </c>
      <c r="K1201" s="169">
        <f t="shared" si="55"/>
        <v>0</v>
      </c>
      <c r="L1201" s="165">
        <v>0.12</v>
      </c>
      <c r="M1201" s="151">
        <v>2</v>
      </c>
      <c r="N1201" s="151" t="str">
        <f t="shared" si="56"/>
        <v>Numeric fit</v>
      </c>
      <c r="O1201" s="174" t="s">
        <v>7389</v>
      </c>
      <c r="P1201" s="174" t="s">
        <v>7342</v>
      </c>
    </row>
    <row r="1202" spans="1:16" ht="64.05" customHeight="1" x14ac:dyDescent="0.3">
      <c r="A1202" s="154" t="s">
        <v>7893</v>
      </c>
      <c r="B1202" s="154" t="s">
        <v>6034</v>
      </c>
      <c r="C1202" s="154" t="s">
        <v>114</v>
      </c>
      <c r="D1202" s="154">
        <v>2025</v>
      </c>
      <c r="E1202" s="154" t="s">
        <v>199</v>
      </c>
      <c r="F1202" s="173" t="s">
        <v>7391</v>
      </c>
      <c r="G1202" s="166">
        <f>FCCL!H99</f>
        <v>13326.20199999999</v>
      </c>
      <c r="H1202" s="166">
        <f>FCCL!H28</f>
        <v>120372.62600000002</v>
      </c>
      <c r="I1202" s="164">
        <f t="shared" si="54"/>
        <v>0.11070791128208823</v>
      </c>
      <c r="J1202" s="164">
        <v>0.11070791128208829</v>
      </c>
      <c r="K1202" s="168">
        <f t="shared" si="55"/>
        <v>0</v>
      </c>
      <c r="L1202" s="164">
        <v>0.12</v>
      </c>
      <c r="M1202" s="154">
        <v>2</v>
      </c>
      <c r="N1202" s="154" t="str">
        <f t="shared" si="56"/>
        <v>No fit</v>
      </c>
      <c r="O1202" s="173" t="s">
        <v>7392</v>
      </c>
      <c r="P1202" s="173" t="s">
        <v>7342</v>
      </c>
    </row>
    <row r="1203" spans="1:16" ht="64.05" customHeight="1" x14ac:dyDescent="0.3">
      <c r="A1203" s="151" t="s">
        <v>7894</v>
      </c>
      <c r="B1203" s="151" t="s">
        <v>6034</v>
      </c>
      <c r="C1203" s="151" t="s">
        <v>114</v>
      </c>
      <c r="D1203" s="151">
        <v>2025</v>
      </c>
      <c r="E1203" s="151" t="s">
        <v>199</v>
      </c>
      <c r="F1203" s="174" t="s">
        <v>7394</v>
      </c>
      <c r="G1203" s="167">
        <f>FCCL!H99</f>
        <v>13326.20199999999</v>
      </c>
      <c r="H1203" s="167">
        <f>AVERAGE(FCCL!G28,FCCL!H28)</f>
        <v>121112.427</v>
      </c>
      <c r="I1203" s="165">
        <f t="shared" si="54"/>
        <v>0.110031665041276</v>
      </c>
      <c r="J1203" s="165">
        <v>0.11003166504127602</v>
      </c>
      <c r="K1203" s="169">
        <f t="shared" si="55"/>
        <v>0</v>
      </c>
      <c r="L1203" s="165">
        <v>0.12</v>
      </c>
      <c r="M1203" s="151">
        <v>2</v>
      </c>
      <c r="N1203" s="151" t="str">
        <f t="shared" si="56"/>
        <v>No fit</v>
      </c>
      <c r="O1203" s="174" t="s">
        <v>7395</v>
      </c>
      <c r="P1203" s="174" t="s">
        <v>7342</v>
      </c>
    </row>
    <row r="1204" spans="1:16" ht="64.05" customHeight="1" x14ac:dyDescent="0.3">
      <c r="A1204" s="154" t="s">
        <v>7895</v>
      </c>
      <c r="B1204" s="154" t="s">
        <v>6034</v>
      </c>
      <c r="C1204" s="154" t="s">
        <v>114</v>
      </c>
      <c r="D1204" s="154">
        <v>2025</v>
      </c>
      <c r="E1204" s="154" t="s">
        <v>199</v>
      </c>
      <c r="F1204" s="173" t="s">
        <v>7397</v>
      </c>
      <c r="G1204" s="166">
        <f>FCCL!H99</f>
        <v>13326.20199999999</v>
      </c>
      <c r="H1204" s="166">
        <f>'Forensic Inputs'!$G$106</f>
        <v>140843.77100000001</v>
      </c>
      <c r="I1204" s="164">
        <f t="shared" si="54"/>
        <v>9.4616907126123376E-2</v>
      </c>
      <c r="J1204" s="164">
        <v>9.4616907126123403E-2</v>
      </c>
      <c r="K1204" s="168">
        <f t="shared" si="55"/>
        <v>0</v>
      </c>
      <c r="L1204" s="164">
        <v>0.12</v>
      </c>
      <c r="M1204" s="154">
        <v>2</v>
      </c>
      <c r="N1204" s="154" t="str">
        <f t="shared" si="56"/>
        <v>No fit</v>
      </c>
      <c r="O1204" s="173" t="s">
        <v>7660</v>
      </c>
      <c r="P1204" s="173" t="s">
        <v>7342</v>
      </c>
    </row>
    <row r="1205" spans="1:16" ht="64.05" customHeight="1" x14ac:dyDescent="0.3">
      <c r="A1205" s="151" t="s">
        <v>7896</v>
      </c>
      <c r="B1205" s="151" t="s">
        <v>6034</v>
      </c>
      <c r="C1205" s="151" t="s">
        <v>114</v>
      </c>
      <c r="D1205" s="151">
        <v>2025</v>
      </c>
      <c r="E1205" s="151" t="s">
        <v>199</v>
      </c>
      <c r="F1205" s="174" t="s">
        <v>7400</v>
      </c>
      <c r="G1205" s="167">
        <f>FCCL!H99</f>
        <v>13326.20199999999</v>
      </c>
      <c r="H1205" s="167">
        <f>('Forensic Inputs'!$G$106-FCCL!H21)</f>
        <v>140547.19700000001</v>
      </c>
      <c r="I1205" s="165">
        <f t="shared" si="54"/>
        <v>9.4816561869960236E-2</v>
      </c>
      <c r="J1205" s="165">
        <v>9.481656186996025E-2</v>
      </c>
      <c r="K1205" s="169">
        <f t="shared" si="55"/>
        <v>0</v>
      </c>
      <c r="L1205" s="165">
        <v>0.12</v>
      </c>
      <c r="M1205" s="151">
        <v>2</v>
      </c>
      <c r="N1205" s="151" t="str">
        <f t="shared" si="56"/>
        <v>No fit</v>
      </c>
      <c r="O1205" s="174" t="s">
        <v>7662</v>
      </c>
      <c r="P1205" s="174" t="s">
        <v>7342</v>
      </c>
    </row>
    <row r="1206" spans="1:16" ht="64.05" customHeight="1" x14ac:dyDescent="0.3">
      <c r="A1206" s="154" t="s">
        <v>7897</v>
      </c>
      <c r="B1206" s="154" t="s">
        <v>6034</v>
      </c>
      <c r="C1206" s="154" t="s">
        <v>114</v>
      </c>
      <c r="D1206" s="154">
        <v>2025</v>
      </c>
      <c r="E1206" s="154" t="s">
        <v>199</v>
      </c>
      <c r="F1206" s="173" t="s">
        <v>7403</v>
      </c>
      <c r="G1206" s="166">
        <f>FCCL!H99</f>
        <v>13326.20199999999</v>
      </c>
      <c r="H1206" s="166">
        <f>AVERAGE('Forensic Inputs'!$G$104,'Forensic Inputs'!$G$106)</f>
        <v>139217.29800000001</v>
      </c>
      <c r="I1206" s="164">
        <f t="shared" si="54"/>
        <v>9.572231462213833E-2</v>
      </c>
      <c r="J1206" s="164">
        <v>9.5722314622138358E-2</v>
      </c>
      <c r="K1206" s="168">
        <f t="shared" si="55"/>
        <v>0</v>
      </c>
      <c r="L1206" s="164">
        <v>0.12</v>
      </c>
      <c r="M1206" s="154">
        <v>2</v>
      </c>
      <c r="N1206" s="154" t="str">
        <f t="shared" si="56"/>
        <v>No fit</v>
      </c>
      <c r="O1206" s="173" t="s">
        <v>7664</v>
      </c>
      <c r="P1206" s="173" t="s">
        <v>7342</v>
      </c>
    </row>
    <row r="1207" spans="1:16" ht="64.05" customHeight="1" x14ac:dyDescent="0.3">
      <c r="A1207" s="151" t="s">
        <v>7898</v>
      </c>
      <c r="B1207" s="151" t="s">
        <v>6034</v>
      </c>
      <c r="C1207" s="151" t="s">
        <v>114</v>
      </c>
      <c r="D1207" s="151">
        <v>2025</v>
      </c>
      <c r="E1207" s="151" t="s">
        <v>199</v>
      </c>
      <c r="F1207" s="174" t="s">
        <v>7406</v>
      </c>
      <c r="G1207" s="167">
        <f>FCCL!H96</f>
        <v>21525.51999999999</v>
      </c>
      <c r="H1207" s="167">
        <f>FCCL!H37</f>
        <v>160845.19100000002</v>
      </c>
      <c r="I1207" s="165">
        <f t="shared" si="54"/>
        <v>0.133827563424013</v>
      </c>
      <c r="J1207" s="165">
        <v>0.13382756342401306</v>
      </c>
      <c r="K1207" s="169">
        <f t="shared" si="55"/>
        <v>0</v>
      </c>
      <c r="L1207" s="165">
        <v>0.12</v>
      </c>
      <c r="M1207" s="151">
        <v>2</v>
      </c>
      <c r="N1207" s="151" t="str">
        <f t="shared" si="56"/>
        <v>No fit</v>
      </c>
      <c r="O1207" s="174" t="s">
        <v>7407</v>
      </c>
      <c r="P1207" s="174" t="s">
        <v>7342</v>
      </c>
    </row>
    <row r="1208" spans="1:16" ht="64.05" customHeight="1" x14ac:dyDescent="0.3">
      <c r="A1208" s="154" t="s">
        <v>7899</v>
      </c>
      <c r="B1208" s="154" t="s">
        <v>6034</v>
      </c>
      <c r="C1208" s="154" t="s">
        <v>114</v>
      </c>
      <c r="D1208" s="154">
        <v>2025</v>
      </c>
      <c r="E1208" s="154" t="s">
        <v>199</v>
      </c>
      <c r="F1208" s="173" t="s">
        <v>7409</v>
      </c>
      <c r="G1208" s="166">
        <f>FCCL!H96</f>
        <v>21525.51999999999</v>
      </c>
      <c r="H1208" s="166">
        <f>AVERAGE(FCCL!G37,FCCL!H37)</f>
        <v>154240.745</v>
      </c>
      <c r="I1208" s="164">
        <f t="shared" si="54"/>
        <v>0.13955793587485582</v>
      </c>
      <c r="J1208" s="164">
        <v>0.13955793587485585</v>
      </c>
      <c r="K1208" s="168">
        <f t="shared" si="55"/>
        <v>0</v>
      </c>
      <c r="L1208" s="164">
        <v>0.12</v>
      </c>
      <c r="M1208" s="154">
        <v>2</v>
      </c>
      <c r="N1208" s="154" t="str">
        <f t="shared" si="56"/>
        <v>No fit</v>
      </c>
      <c r="O1208" s="173" t="s">
        <v>7410</v>
      </c>
      <c r="P1208" s="173" t="s">
        <v>7342</v>
      </c>
    </row>
    <row r="1209" spans="1:16" ht="64.05" customHeight="1" x14ac:dyDescent="0.3">
      <c r="A1209" s="151" t="s">
        <v>7900</v>
      </c>
      <c r="B1209" s="151" t="s">
        <v>6034</v>
      </c>
      <c r="C1209" s="151" t="s">
        <v>114</v>
      </c>
      <c r="D1209" s="151">
        <v>2025</v>
      </c>
      <c r="E1209" s="151" t="s">
        <v>199</v>
      </c>
      <c r="F1209" s="174" t="s">
        <v>7412</v>
      </c>
      <c r="G1209" s="167">
        <f>FCCL!H96</f>
        <v>21525.51999999999</v>
      </c>
      <c r="H1209" s="167">
        <f>FCCL!H20</f>
        <v>109579.08900000001</v>
      </c>
      <c r="I1209" s="165">
        <f t="shared" si="54"/>
        <v>0.1964382091185298</v>
      </c>
      <c r="J1209" s="165">
        <v>0.19643820911852983</v>
      </c>
      <c r="K1209" s="169">
        <f t="shared" si="55"/>
        <v>0</v>
      </c>
      <c r="L1209" s="165">
        <v>0.12</v>
      </c>
      <c r="M1209" s="151">
        <v>2</v>
      </c>
      <c r="N1209" s="151" t="str">
        <f t="shared" si="56"/>
        <v>No fit</v>
      </c>
      <c r="O1209" s="174" t="s">
        <v>7413</v>
      </c>
      <c r="P1209" s="174" t="s">
        <v>7342</v>
      </c>
    </row>
    <row r="1210" spans="1:16" ht="64.05" customHeight="1" x14ac:dyDescent="0.3">
      <c r="A1210" s="154" t="s">
        <v>7901</v>
      </c>
      <c r="B1210" s="154" t="s">
        <v>6034</v>
      </c>
      <c r="C1210" s="154" t="s">
        <v>114</v>
      </c>
      <c r="D1210" s="154">
        <v>2025</v>
      </c>
      <c r="E1210" s="154" t="s">
        <v>199</v>
      </c>
      <c r="F1210" s="173" t="s">
        <v>7415</v>
      </c>
      <c r="G1210" s="166">
        <f>FCCL!H96</f>
        <v>21525.51999999999</v>
      </c>
      <c r="H1210" s="166">
        <f>AVERAGE(FCCL!G20,FCCL!H20)</f>
        <v>110212.376</v>
      </c>
      <c r="I1210" s="164">
        <f t="shared" si="54"/>
        <v>0.19530946324939033</v>
      </c>
      <c r="J1210" s="164">
        <v>0.19530946324939036</v>
      </c>
      <c r="K1210" s="168">
        <f t="shared" si="55"/>
        <v>0</v>
      </c>
      <c r="L1210" s="164">
        <v>0.12</v>
      </c>
      <c r="M1210" s="154">
        <v>2</v>
      </c>
      <c r="N1210" s="154" t="str">
        <f t="shared" si="56"/>
        <v>No fit</v>
      </c>
      <c r="O1210" s="173" t="s">
        <v>7416</v>
      </c>
      <c r="P1210" s="173" t="s">
        <v>7342</v>
      </c>
    </row>
    <row r="1211" spans="1:16" ht="64.05" customHeight="1" x14ac:dyDescent="0.3">
      <c r="A1211" s="151" t="s">
        <v>7902</v>
      </c>
      <c r="B1211" s="151" t="s">
        <v>6034</v>
      </c>
      <c r="C1211" s="151" t="s">
        <v>114</v>
      </c>
      <c r="D1211" s="151">
        <v>2025</v>
      </c>
      <c r="E1211" s="151" t="s">
        <v>199</v>
      </c>
      <c r="F1211" s="174" t="s">
        <v>7418</v>
      </c>
      <c r="G1211" s="167">
        <f>FCCL!H96</f>
        <v>21525.51999999999</v>
      </c>
      <c r="H1211" s="167">
        <f>FCCL!H22</f>
        <v>109282.51500000001</v>
      </c>
      <c r="I1211" s="165">
        <f t="shared" si="54"/>
        <v>0.19697130872216828</v>
      </c>
      <c r="J1211" s="165">
        <v>0.19697130872216831</v>
      </c>
      <c r="K1211" s="169">
        <f t="shared" si="55"/>
        <v>0</v>
      </c>
      <c r="L1211" s="165">
        <v>0.12</v>
      </c>
      <c r="M1211" s="151">
        <v>2</v>
      </c>
      <c r="N1211" s="151" t="str">
        <f t="shared" si="56"/>
        <v>No fit</v>
      </c>
      <c r="O1211" s="174" t="s">
        <v>7419</v>
      </c>
      <c r="P1211" s="174" t="s">
        <v>7342</v>
      </c>
    </row>
    <row r="1212" spans="1:16" ht="64.05" customHeight="1" x14ac:dyDescent="0.3">
      <c r="A1212" s="154" t="s">
        <v>7903</v>
      </c>
      <c r="B1212" s="154" t="s">
        <v>6034</v>
      </c>
      <c r="C1212" s="154" t="s">
        <v>114</v>
      </c>
      <c r="D1212" s="154">
        <v>2025</v>
      </c>
      <c r="E1212" s="154" t="s">
        <v>199</v>
      </c>
      <c r="F1212" s="173" t="s">
        <v>7421</v>
      </c>
      <c r="G1212" s="166">
        <f>FCCL!H96</f>
        <v>21525.51999999999</v>
      </c>
      <c r="H1212" s="166">
        <f>AVERAGE(FCCL!G22,FCCL!H22)</f>
        <v>109714.01250000001</v>
      </c>
      <c r="I1212" s="164">
        <f t="shared" si="54"/>
        <v>0.19619663440893648</v>
      </c>
      <c r="J1212" s="164">
        <v>0.1961966344089365</v>
      </c>
      <c r="K1212" s="168">
        <f t="shared" si="55"/>
        <v>0</v>
      </c>
      <c r="L1212" s="164">
        <v>0.12</v>
      </c>
      <c r="M1212" s="154">
        <v>2</v>
      </c>
      <c r="N1212" s="154" t="str">
        <f t="shared" si="56"/>
        <v>No fit</v>
      </c>
      <c r="O1212" s="173" t="s">
        <v>7422</v>
      </c>
      <c r="P1212" s="173" t="s">
        <v>7342</v>
      </c>
    </row>
    <row r="1213" spans="1:16" ht="64.05" customHeight="1" x14ac:dyDescent="0.3">
      <c r="A1213" s="151" t="s">
        <v>7904</v>
      </c>
      <c r="B1213" s="151" t="s">
        <v>6034</v>
      </c>
      <c r="C1213" s="151" t="s">
        <v>114</v>
      </c>
      <c r="D1213" s="151">
        <v>2025</v>
      </c>
      <c r="E1213" s="151" t="s">
        <v>199</v>
      </c>
      <c r="F1213" s="174" t="s">
        <v>7424</v>
      </c>
      <c r="G1213" s="167">
        <f>FCCL!H96</f>
        <v>21525.51999999999</v>
      </c>
      <c r="H1213" s="167">
        <f>FCCL!H28</f>
        <v>120372.62600000002</v>
      </c>
      <c r="I1213" s="165">
        <f t="shared" si="54"/>
        <v>0.17882404592552451</v>
      </c>
      <c r="J1213" s="165">
        <v>0.17882404592552456</v>
      </c>
      <c r="K1213" s="169">
        <f t="shared" si="55"/>
        <v>0</v>
      </c>
      <c r="L1213" s="165">
        <v>0.12</v>
      </c>
      <c r="M1213" s="151">
        <v>2</v>
      </c>
      <c r="N1213" s="151" t="str">
        <f t="shared" si="56"/>
        <v>No fit</v>
      </c>
      <c r="O1213" s="174" t="s">
        <v>7425</v>
      </c>
      <c r="P1213" s="174" t="s">
        <v>7342</v>
      </c>
    </row>
    <row r="1214" spans="1:16" ht="64.05" customHeight="1" x14ac:dyDescent="0.3">
      <c r="A1214" s="154" t="s">
        <v>7905</v>
      </c>
      <c r="B1214" s="154" t="s">
        <v>6034</v>
      </c>
      <c r="C1214" s="154" t="s">
        <v>114</v>
      </c>
      <c r="D1214" s="154">
        <v>2025</v>
      </c>
      <c r="E1214" s="154" t="s">
        <v>199</v>
      </c>
      <c r="F1214" s="173" t="s">
        <v>7427</v>
      </c>
      <c r="G1214" s="166">
        <f>FCCL!H96</f>
        <v>21525.51999999999</v>
      </c>
      <c r="H1214" s="166">
        <f>AVERAGE(FCCL!G28,FCCL!H28)</f>
        <v>121112.427</v>
      </c>
      <c r="I1214" s="164">
        <f t="shared" si="54"/>
        <v>0.17773172029654719</v>
      </c>
      <c r="J1214" s="164">
        <v>0.17773172029654721</v>
      </c>
      <c r="K1214" s="168">
        <f t="shared" si="55"/>
        <v>0</v>
      </c>
      <c r="L1214" s="164">
        <v>0.12</v>
      </c>
      <c r="M1214" s="154">
        <v>2</v>
      </c>
      <c r="N1214" s="154" t="str">
        <f t="shared" si="56"/>
        <v>No fit</v>
      </c>
      <c r="O1214" s="173" t="s">
        <v>7428</v>
      </c>
      <c r="P1214" s="173" t="s">
        <v>7342</v>
      </c>
    </row>
    <row r="1215" spans="1:16" ht="64.05" customHeight="1" x14ac:dyDescent="0.3">
      <c r="A1215" s="151" t="s">
        <v>7906</v>
      </c>
      <c r="B1215" s="151" t="s">
        <v>6034</v>
      </c>
      <c r="C1215" s="151" t="s">
        <v>114</v>
      </c>
      <c r="D1215" s="151">
        <v>2025</v>
      </c>
      <c r="E1215" s="151" t="s">
        <v>199</v>
      </c>
      <c r="F1215" s="174" t="s">
        <v>7430</v>
      </c>
      <c r="G1215" s="167">
        <f>FCCL!H96</f>
        <v>21525.51999999999</v>
      </c>
      <c r="H1215" s="167">
        <f>'Forensic Inputs'!$G$106</f>
        <v>140843.77100000001</v>
      </c>
      <c r="I1215" s="165">
        <f t="shared" si="54"/>
        <v>0.15283260201830287</v>
      </c>
      <c r="J1215" s="165">
        <v>0.1528326020183029</v>
      </c>
      <c r="K1215" s="169">
        <f t="shared" si="55"/>
        <v>0</v>
      </c>
      <c r="L1215" s="165">
        <v>0.12</v>
      </c>
      <c r="M1215" s="151">
        <v>2</v>
      </c>
      <c r="N1215" s="151" t="str">
        <f t="shared" si="56"/>
        <v>No fit</v>
      </c>
      <c r="O1215" s="174" t="s">
        <v>7674</v>
      </c>
      <c r="P1215" s="174" t="s">
        <v>7342</v>
      </c>
    </row>
    <row r="1216" spans="1:16" ht="64.05" customHeight="1" x14ac:dyDescent="0.3">
      <c r="A1216" s="154" t="s">
        <v>7907</v>
      </c>
      <c r="B1216" s="154" t="s">
        <v>6034</v>
      </c>
      <c r="C1216" s="154" t="s">
        <v>114</v>
      </c>
      <c r="D1216" s="154">
        <v>2025</v>
      </c>
      <c r="E1216" s="154" t="s">
        <v>199</v>
      </c>
      <c r="F1216" s="173" t="s">
        <v>7433</v>
      </c>
      <c r="G1216" s="166">
        <f>FCCL!H96</f>
        <v>21525.51999999999</v>
      </c>
      <c r="H1216" s="166">
        <f>('Forensic Inputs'!$G$106-FCCL!H21)</f>
        <v>140547.19700000001</v>
      </c>
      <c r="I1216" s="164">
        <f t="shared" si="54"/>
        <v>0.15315509991992218</v>
      </c>
      <c r="J1216" s="164">
        <v>0.15315509991992221</v>
      </c>
      <c r="K1216" s="168">
        <f t="shared" si="55"/>
        <v>0</v>
      </c>
      <c r="L1216" s="164">
        <v>0.12</v>
      </c>
      <c r="M1216" s="154">
        <v>2</v>
      </c>
      <c r="N1216" s="154" t="str">
        <f t="shared" si="56"/>
        <v>No fit</v>
      </c>
      <c r="O1216" s="173" t="s">
        <v>7676</v>
      </c>
      <c r="P1216" s="173" t="s">
        <v>7342</v>
      </c>
    </row>
    <row r="1217" spans="1:16" ht="64.05" customHeight="1" x14ac:dyDescent="0.3">
      <c r="A1217" s="151" t="s">
        <v>7908</v>
      </c>
      <c r="B1217" s="151" t="s">
        <v>6034</v>
      </c>
      <c r="C1217" s="151" t="s">
        <v>114</v>
      </c>
      <c r="D1217" s="151">
        <v>2025</v>
      </c>
      <c r="E1217" s="151" t="s">
        <v>199</v>
      </c>
      <c r="F1217" s="174" t="s">
        <v>7436</v>
      </c>
      <c r="G1217" s="167">
        <f>FCCL!H96</f>
        <v>21525.51999999999</v>
      </c>
      <c r="H1217" s="167">
        <f>AVERAGE('Forensic Inputs'!$G$104,'Forensic Inputs'!$G$106)</f>
        <v>139217.29800000001</v>
      </c>
      <c r="I1217" s="165">
        <f t="shared" si="54"/>
        <v>0.15461814235182175</v>
      </c>
      <c r="J1217" s="165">
        <v>0.15461814235182175</v>
      </c>
      <c r="K1217" s="169">
        <f t="shared" si="55"/>
        <v>0</v>
      </c>
      <c r="L1217" s="165">
        <v>0.12</v>
      </c>
      <c r="M1217" s="151">
        <v>2</v>
      </c>
      <c r="N1217" s="151" t="str">
        <f t="shared" si="56"/>
        <v>No fit</v>
      </c>
      <c r="O1217" s="174" t="s">
        <v>7678</v>
      </c>
      <c r="P1217" s="174" t="s">
        <v>7342</v>
      </c>
    </row>
    <row r="1218" spans="1:16" ht="64.05" customHeight="1" x14ac:dyDescent="0.3">
      <c r="A1218" s="154" t="s">
        <v>7909</v>
      </c>
      <c r="B1218" s="154" t="s">
        <v>6034</v>
      </c>
      <c r="C1218" s="154" t="s">
        <v>114</v>
      </c>
      <c r="D1218" s="154">
        <v>2025</v>
      </c>
      <c r="E1218" s="154" t="s">
        <v>199</v>
      </c>
      <c r="F1218" s="173" t="s">
        <v>7439</v>
      </c>
      <c r="G1218" s="166">
        <f>FCCL!H108</f>
        <v>27297.651999999987</v>
      </c>
      <c r="H1218" s="166">
        <f>FCCL!H37</f>
        <v>160845.19100000002</v>
      </c>
      <c r="I1218" s="164">
        <f t="shared" si="54"/>
        <v>0.16971382128546189</v>
      </c>
      <c r="J1218" s="164">
        <v>0.16971382128546197</v>
      </c>
      <c r="K1218" s="168">
        <f t="shared" si="55"/>
        <v>0</v>
      </c>
      <c r="L1218" s="164">
        <v>0.12</v>
      </c>
      <c r="M1218" s="154">
        <v>2</v>
      </c>
      <c r="N1218" s="154" t="str">
        <f t="shared" si="56"/>
        <v>No fit</v>
      </c>
      <c r="O1218" s="173" t="s">
        <v>7440</v>
      </c>
      <c r="P1218" s="173" t="s">
        <v>7342</v>
      </c>
    </row>
    <row r="1219" spans="1:16" ht="64.05" customHeight="1" x14ac:dyDescent="0.3">
      <c r="A1219" s="151" t="s">
        <v>7910</v>
      </c>
      <c r="B1219" s="151" t="s">
        <v>6034</v>
      </c>
      <c r="C1219" s="151" t="s">
        <v>114</v>
      </c>
      <c r="D1219" s="151">
        <v>2025</v>
      </c>
      <c r="E1219" s="151" t="s">
        <v>199</v>
      </c>
      <c r="F1219" s="174" t="s">
        <v>7442</v>
      </c>
      <c r="G1219" s="167">
        <f>FCCL!H108</f>
        <v>27297.651999999987</v>
      </c>
      <c r="H1219" s="167">
        <f>AVERAGE(FCCL!G37,FCCL!H37)</f>
        <v>154240.745</v>
      </c>
      <c r="I1219" s="165">
        <f t="shared" si="54"/>
        <v>0.17698081009657979</v>
      </c>
      <c r="J1219" s="165">
        <v>0.17698081009657984</v>
      </c>
      <c r="K1219" s="169">
        <f t="shared" si="55"/>
        <v>0</v>
      </c>
      <c r="L1219" s="165">
        <v>0.12</v>
      </c>
      <c r="M1219" s="151">
        <v>2</v>
      </c>
      <c r="N1219" s="151" t="str">
        <f t="shared" si="56"/>
        <v>No fit</v>
      </c>
      <c r="O1219" s="174" t="s">
        <v>7443</v>
      </c>
      <c r="P1219" s="174" t="s">
        <v>7342</v>
      </c>
    </row>
    <row r="1220" spans="1:16" ht="64.05" customHeight="1" x14ac:dyDescent="0.3">
      <c r="A1220" s="154" t="s">
        <v>7911</v>
      </c>
      <c r="B1220" s="154" t="s">
        <v>6034</v>
      </c>
      <c r="C1220" s="154" t="s">
        <v>114</v>
      </c>
      <c r="D1220" s="154">
        <v>2025</v>
      </c>
      <c r="E1220" s="154" t="s">
        <v>199</v>
      </c>
      <c r="F1220" s="173" t="s">
        <v>7445</v>
      </c>
      <c r="G1220" s="166">
        <f>FCCL!H108</f>
        <v>27297.651999999987</v>
      </c>
      <c r="H1220" s="166">
        <f>FCCL!H20</f>
        <v>109579.08900000001</v>
      </c>
      <c r="I1220" s="164">
        <f t="shared" si="54"/>
        <v>0.24911369723104729</v>
      </c>
      <c r="J1220" s="164">
        <v>0.24911369723104737</v>
      </c>
      <c r="K1220" s="168">
        <f t="shared" si="55"/>
        <v>0</v>
      </c>
      <c r="L1220" s="164">
        <v>0.12</v>
      </c>
      <c r="M1220" s="154">
        <v>2</v>
      </c>
      <c r="N1220" s="154" t="str">
        <f t="shared" si="56"/>
        <v>No fit</v>
      </c>
      <c r="O1220" s="173" t="s">
        <v>7446</v>
      </c>
      <c r="P1220" s="173" t="s">
        <v>7342</v>
      </c>
    </row>
    <row r="1221" spans="1:16" ht="64.05" customHeight="1" x14ac:dyDescent="0.3">
      <c r="A1221" s="151" t="s">
        <v>7912</v>
      </c>
      <c r="B1221" s="151" t="s">
        <v>6034</v>
      </c>
      <c r="C1221" s="151" t="s">
        <v>114</v>
      </c>
      <c r="D1221" s="151">
        <v>2025</v>
      </c>
      <c r="E1221" s="151" t="s">
        <v>199</v>
      </c>
      <c r="F1221" s="174" t="s">
        <v>7448</v>
      </c>
      <c r="G1221" s="167">
        <f>FCCL!H108</f>
        <v>27297.651999999987</v>
      </c>
      <c r="H1221" s="167">
        <f>AVERAGE(FCCL!G20,FCCL!H20)</f>
        <v>110212.376</v>
      </c>
      <c r="I1221" s="165">
        <f t="shared" si="54"/>
        <v>0.24768227481095215</v>
      </c>
      <c r="J1221" s="165">
        <v>0.2476822748109522</v>
      </c>
      <c r="K1221" s="169">
        <f t="shared" si="55"/>
        <v>0</v>
      </c>
      <c r="L1221" s="165">
        <v>0.12</v>
      </c>
      <c r="M1221" s="151">
        <v>2</v>
      </c>
      <c r="N1221" s="151" t="str">
        <f t="shared" si="56"/>
        <v>No fit</v>
      </c>
      <c r="O1221" s="174" t="s">
        <v>7449</v>
      </c>
      <c r="P1221" s="174" t="s">
        <v>7342</v>
      </c>
    </row>
    <row r="1222" spans="1:16" ht="64.05" customHeight="1" x14ac:dyDescent="0.3">
      <c r="A1222" s="154" t="s">
        <v>7913</v>
      </c>
      <c r="B1222" s="154" t="s">
        <v>6034</v>
      </c>
      <c r="C1222" s="154" t="s">
        <v>114</v>
      </c>
      <c r="D1222" s="154">
        <v>2025</v>
      </c>
      <c r="E1222" s="154" t="s">
        <v>199</v>
      </c>
      <c r="F1222" s="173" t="s">
        <v>7451</v>
      </c>
      <c r="G1222" s="166">
        <f>FCCL!H108</f>
        <v>27297.651999999987</v>
      </c>
      <c r="H1222" s="166">
        <f>FCCL!H22</f>
        <v>109282.51500000001</v>
      </c>
      <c r="I1222" s="164">
        <f t="shared" ref="I1222:I1285" si="57">G1222/H1222</f>
        <v>0.24978974907376522</v>
      </c>
      <c r="J1222" s="164">
        <v>0.24978974907376528</v>
      </c>
      <c r="K1222" s="168">
        <f t="shared" ref="K1222:K1285" si="58">I1222-J1222</f>
        <v>0</v>
      </c>
      <c r="L1222" s="164">
        <v>0.12</v>
      </c>
      <c r="M1222" s="154">
        <v>2</v>
      </c>
      <c r="N1222" s="154" t="str">
        <f t="shared" ref="N1222:N1285" si="59">IF(ROUND(I1222,M1222)=ROUND(L1222,M1222),"Numeric fit","No fit")</f>
        <v>No fit</v>
      </c>
      <c r="O1222" s="173" t="s">
        <v>7452</v>
      </c>
      <c r="P1222" s="173" t="s">
        <v>7342</v>
      </c>
    </row>
    <row r="1223" spans="1:16" ht="64.05" customHeight="1" x14ac:dyDescent="0.3">
      <c r="A1223" s="151" t="s">
        <v>7914</v>
      </c>
      <c r="B1223" s="151" t="s">
        <v>6034</v>
      </c>
      <c r="C1223" s="151" t="s">
        <v>114</v>
      </c>
      <c r="D1223" s="151">
        <v>2025</v>
      </c>
      <c r="E1223" s="151" t="s">
        <v>199</v>
      </c>
      <c r="F1223" s="174" t="s">
        <v>7454</v>
      </c>
      <c r="G1223" s="167">
        <f>FCCL!H108</f>
        <v>27297.651999999987</v>
      </c>
      <c r="H1223" s="167">
        <f>AVERAGE(FCCL!G22,FCCL!H22)</f>
        <v>109714.01250000001</v>
      </c>
      <c r="I1223" s="165">
        <f t="shared" si="57"/>
        <v>0.24880734354693285</v>
      </c>
      <c r="J1223" s="165">
        <v>0.2488073435469329</v>
      </c>
      <c r="K1223" s="169">
        <f t="shared" si="58"/>
        <v>0</v>
      </c>
      <c r="L1223" s="165">
        <v>0.12</v>
      </c>
      <c r="M1223" s="151">
        <v>2</v>
      </c>
      <c r="N1223" s="151" t="str">
        <f t="shared" si="59"/>
        <v>No fit</v>
      </c>
      <c r="O1223" s="174" t="s">
        <v>7455</v>
      </c>
      <c r="P1223" s="174" t="s">
        <v>7342</v>
      </c>
    </row>
    <row r="1224" spans="1:16" ht="64.05" customHeight="1" x14ac:dyDescent="0.3">
      <c r="A1224" s="154" t="s">
        <v>7915</v>
      </c>
      <c r="B1224" s="154" t="s">
        <v>6034</v>
      </c>
      <c r="C1224" s="154" t="s">
        <v>114</v>
      </c>
      <c r="D1224" s="154">
        <v>2025</v>
      </c>
      <c r="E1224" s="154" t="s">
        <v>199</v>
      </c>
      <c r="F1224" s="173" t="s">
        <v>7457</v>
      </c>
      <c r="G1224" s="166">
        <f>FCCL!H108</f>
        <v>27297.651999999987</v>
      </c>
      <c r="H1224" s="166">
        <f>FCCL!H28</f>
        <v>120372.62600000002</v>
      </c>
      <c r="I1224" s="164">
        <f t="shared" si="57"/>
        <v>0.22677624396098148</v>
      </c>
      <c r="J1224" s="164">
        <v>0.22677624396098159</v>
      </c>
      <c r="K1224" s="168">
        <f t="shared" si="58"/>
        <v>0</v>
      </c>
      <c r="L1224" s="164">
        <v>0.12</v>
      </c>
      <c r="M1224" s="154">
        <v>2</v>
      </c>
      <c r="N1224" s="154" t="str">
        <f t="shared" si="59"/>
        <v>No fit</v>
      </c>
      <c r="O1224" s="173" t="s">
        <v>7458</v>
      </c>
      <c r="P1224" s="173" t="s">
        <v>7342</v>
      </c>
    </row>
    <row r="1225" spans="1:16" ht="64.05" customHeight="1" x14ac:dyDescent="0.3">
      <c r="A1225" s="151" t="s">
        <v>7916</v>
      </c>
      <c r="B1225" s="151" t="s">
        <v>6034</v>
      </c>
      <c r="C1225" s="151" t="s">
        <v>114</v>
      </c>
      <c r="D1225" s="151">
        <v>2025</v>
      </c>
      <c r="E1225" s="151" t="s">
        <v>199</v>
      </c>
      <c r="F1225" s="174" t="s">
        <v>7460</v>
      </c>
      <c r="G1225" s="167">
        <f>FCCL!H108</f>
        <v>27297.651999999987</v>
      </c>
      <c r="H1225" s="167">
        <f>AVERAGE(FCCL!G28,FCCL!H28)</f>
        <v>121112.427</v>
      </c>
      <c r="I1225" s="165">
        <f t="shared" si="57"/>
        <v>0.22539100797641506</v>
      </c>
      <c r="J1225" s="165">
        <v>0.22539100797641512</v>
      </c>
      <c r="K1225" s="169">
        <f t="shared" si="58"/>
        <v>0</v>
      </c>
      <c r="L1225" s="165">
        <v>0.12</v>
      </c>
      <c r="M1225" s="151">
        <v>2</v>
      </c>
      <c r="N1225" s="151" t="str">
        <f t="shared" si="59"/>
        <v>No fit</v>
      </c>
      <c r="O1225" s="174" t="s">
        <v>7461</v>
      </c>
      <c r="P1225" s="174" t="s">
        <v>7342</v>
      </c>
    </row>
    <row r="1226" spans="1:16" ht="64.05" customHeight="1" x14ac:dyDescent="0.3">
      <c r="A1226" s="154" t="s">
        <v>7917</v>
      </c>
      <c r="B1226" s="154" t="s">
        <v>6034</v>
      </c>
      <c r="C1226" s="154" t="s">
        <v>114</v>
      </c>
      <c r="D1226" s="154">
        <v>2025</v>
      </c>
      <c r="E1226" s="154" t="s">
        <v>199</v>
      </c>
      <c r="F1226" s="173" t="s">
        <v>7463</v>
      </c>
      <c r="G1226" s="166">
        <f>FCCL!H108</f>
        <v>27297.651999999987</v>
      </c>
      <c r="H1226" s="166">
        <f>'Forensic Inputs'!$G$106</f>
        <v>140843.77100000001</v>
      </c>
      <c r="I1226" s="164">
        <f t="shared" si="57"/>
        <v>0.19381511731889078</v>
      </c>
      <c r="J1226" s="164">
        <v>0.19381511731889081</v>
      </c>
      <c r="K1226" s="168">
        <f t="shared" si="58"/>
        <v>0</v>
      </c>
      <c r="L1226" s="164">
        <v>0.12</v>
      </c>
      <c r="M1226" s="154">
        <v>2</v>
      </c>
      <c r="N1226" s="154" t="str">
        <f t="shared" si="59"/>
        <v>No fit</v>
      </c>
      <c r="O1226" s="173" t="s">
        <v>7688</v>
      </c>
      <c r="P1226" s="173" t="s">
        <v>7342</v>
      </c>
    </row>
    <row r="1227" spans="1:16" ht="64.05" customHeight="1" x14ac:dyDescent="0.3">
      <c r="A1227" s="151" t="s">
        <v>7918</v>
      </c>
      <c r="B1227" s="151" t="s">
        <v>6034</v>
      </c>
      <c r="C1227" s="151" t="s">
        <v>114</v>
      </c>
      <c r="D1227" s="151">
        <v>2025</v>
      </c>
      <c r="E1227" s="151" t="s">
        <v>199</v>
      </c>
      <c r="F1227" s="174" t="s">
        <v>7466</v>
      </c>
      <c r="G1227" s="167">
        <f>FCCL!H108</f>
        <v>27297.651999999987</v>
      </c>
      <c r="H1227" s="167">
        <f>('Forensic Inputs'!$G$106-FCCL!H21)</f>
        <v>140547.19700000001</v>
      </c>
      <c r="I1227" s="165">
        <f t="shared" si="57"/>
        <v>0.19422409398886828</v>
      </c>
      <c r="J1227" s="165">
        <v>0.19422409398886833</v>
      </c>
      <c r="K1227" s="169">
        <f t="shared" si="58"/>
        <v>0</v>
      </c>
      <c r="L1227" s="165">
        <v>0.12</v>
      </c>
      <c r="M1227" s="151">
        <v>2</v>
      </c>
      <c r="N1227" s="151" t="str">
        <f t="shared" si="59"/>
        <v>No fit</v>
      </c>
      <c r="O1227" s="174" t="s">
        <v>7690</v>
      </c>
      <c r="P1227" s="174" t="s">
        <v>7342</v>
      </c>
    </row>
    <row r="1228" spans="1:16" ht="64.05" customHeight="1" x14ac:dyDescent="0.3">
      <c r="A1228" s="154" t="s">
        <v>7919</v>
      </c>
      <c r="B1228" s="154" t="s">
        <v>6034</v>
      </c>
      <c r="C1228" s="154" t="s">
        <v>114</v>
      </c>
      <c r="D1228" s="154">
        <v>2025</v>
      </c>
      <c r="E1228" s="154" t="s">
        <v>199</v>
      </c>
      <c r="F1228" s="173" t="s">
        <v>7469</v>
      </c>
      <c r="G1228" s="166">
        <f>FCCL!H108</f>
        <v>27297.651999999987</v>
      </c>
      <c r="H1228" s="166">
        <f>AVERAGE('Forensic Inputs'!$G$104,'Forensic Inputs'!$G$106)</f>
        <v>139217.29800000001</v>
      </c>
      <c r="I1228" s="164">
        <f t="shared" si="57"/>
        <v>0.19607945558604353</v>
      </c>
      <c r="J1228" s="164">
        <v>0.19607945558604356</v>
      </c>
      <c r="K1228" s="168">
        <f t="shared" si="58"/>
        <v>0</v>
      </c>
      <c r="L1228" s="164">
        <v>0.12</v>
      </c>
      <c r="M1228" s="154">
        <v>2</v>
      </c>
      <c r="N1228" s="154" t="str">
        <f t="shared" si="59"/>
        <v>No fit</v>
      </c>
      <c r="O1228" s="173" t="s">
        <v>7692</v>
      </c>
      <c r="P1228" s="173" t="s">
        <v>7342</v>
      </c>
    </row>
    <row r="1229" spans="1:16" ht="64.05" customHeight="1" x14ac:dyDescent="0.3">
      <c r="A1229" s="151" t="s">
        <v>7920</v>
      </c>
      <c r="B1229" s="151" t="s">
        <v>6034</v>
      </c>
      <c r="C1229" s="151" t="s">
        <v>114</v>
      </c>
      <c r="D1229" s="151">
        <v>2025</v>
      </c>
      <c r="E1229" s="151" t="s">
        <v>199</v>
      </c>
      <c r="F1229" s="174" t="s">
        <v>7472</v>
      </c>
      <c r="G1229" s="167">
        <f>FCCL!H91</f>
        <v>25468.048999999992</v>
      </c>
      <c r="H1229" s="167">
        <f>FCCL!H37</f>
        <v>160845.19100000002</v>
      </c>
      <c r="I1229" s="165">
        <f t="shared" si="57"/>
        <v>0.15833888997029441</v>
      </c>
      <c r="J1229" s="165">
        <v>0.15833888997029444</v>
      </c>
      <c r="K1229" s="169">
        <f t="shared" si="58"/>
        <v>0</v>
      </c>
      <c r="L1229" s="165">
        <v>0.12</v>
      </c>
      <c r="M1229" s="151">
        <v>2</v>
      </c>
      <c r="N1229" s="151" t="str">
        <f t="shared" si="59"/>
        <v>No fit</v>
      </c>
      <c r="O1229" s="174" t="s">
        <v>7473</v>
      </c>
      <c r="P1229" s="174" t="s">
        <v>7342</v>
      </c>
    </row>
    <row r="1230" spans="1:16" ht="64.05" customHeight="1" x14ac:dyDescent="0.3">
      <c r="A1230" s="154" t="s">
        <v>7921</v>
      </c>
      <c r="B1230" s="154" t="s">
        <v>6034</v>
      </c>
      <c r="C1230" s="154" t="s">
        <v>114</v>
      </c>
      <c r="D1230" s="154">
        <v>2025</v>
      </c>
      <c r="E1230" s="154" t="s">
        <v>199</v>
      </c>
      <c r="F1230" s="173" t="s">
        <v>7475</v>
      </c>
      <c r="G1230" s="166">
        <f>FCCL!H91</f>
        <v>25468.048999999992</v>
      </c>
      <c r="H1230" s="166">
        <f>AVERAGE(FCCL!G37,FCCL!H37)</f>
        <v>154240.745</v>
      </c>
      <c r="I1230" s="164">
        <f t="shared" si="57"/>
        <v>0.16511881474638879</v>
      </c>
      <c r="J1230" s="164">
        <v>0.16511881474638879</v>
      </c>
      <c r="K1230" s="168">
        <f t="shared" si="58"/>
        <v>0</v>
      </c>
      <c r="L1230" s="164">
        <v>0.12</v>
      </c>
      <c r="M1230" s="154">
        <v>2</v>
      </c>
      <c r="N1230" s="154" t="str">
        <f t="shared" si="59"/>
        <v>No fit</v>
      </c>
      <c r="O1230" s="173" t="s">
        <v>7476</v>
      </c>
      <c r="P1230" s="173" t="s">
        <v>7342</v>
      </c>
    </row>
    <row r="1231" spans="1:16" ht="64.05" customHeight="1" x14ac:dyDescent="0.3">
      <c r="A1231" s="151" t="s">
        <v>7922</v>
      </c>
      <c r="B1231" s="151" t="s">
        <v>6034</v>
      </c>
      <c r="C1231" s="151" t="s">
        <v>114</v>
      </c>
      <c r="D1231" s="151">
        <v>2025</v>
      </c>
      <c r="E1231" s="151" t="s">
        <v>199</v>
      </c>
      <c r="F1231" s="174" t="s">
        <v>7478</v>
      </c>
      <c r="G1231" s="167">
        <f>FCCL!H91</f>
        <v>25468.048999999992</v>
      </c>
      <c r="H1231" s="167">
        <f>FCCL!H20</f>
        <v>109579.08900000001</v>
      </c>
      <c r="I1231" s="165">
        <f t="shared" si="57"/>
        <v>0.23241705358583506</v>
      </c>
      <c r="J1231" s="165">
        <v>0.23241705358583506</v>
      </c>
      <c r="K1231" s="169">
        <f t="shared" si="58"/>
        <v>0</v>
      </c>
      <c r="L1231" s="165">
        <v>0.12</v>
      </c>
      <c r="M1231" s="151">
        <v>2</v>
      </c>
      <c r="N1231" s="151" t="str">
        <f t="shared" si="59"/>
        <v>No fit</v>
      </c>
      <c r="O1231" s="174" t="s">
        <v>7479</v>
      </c>
      <c r="P1231" s="174" t="s">
        <v>7342</v>
      </c>
    </row>
    <row r="1232" spans="1:16" ht="64.05" customHeight="1" x14ac:dyDescent="0.3">
      <c r="A1232" s="154" t="s">
        <v>7923</v>
      </c>
      <c r="B1232" s="154" t="s">
        <v>6034</v>
      </c>
      <c r="C1232" s="154" t="s">
        <v>114</v>
      </c>
      <c r="D1232" s="154">
        <v>2025</v>
      </c>
      <c r="E1232" s="154" t="s">
        <v>199</v>
      </c>
      <c r="F1232" s="173" t="s">
        <v>7481</v>
      </c>
      <c r="G1232" s="166">
        <f>FCCL!H91</f>
        <v>25468.048999999992</v>
      </c>
      <c r="H1232" s="166">
        <f>AVERAGE(FCCL!G20,FCCL!H20)</f>
        <v>110212.376</v>
      </c>
      <c r="I1232" s="164">
        <f t="shared" si="57"/>
        <v>0.23108157109324992</v>
      </c>
      <c r="J1232" s="164">
        <v>0.23108157109324992</v>
      </c>
      <c r="K1232" s="168">
        <f t="shared" si="58"/>
        <v>0</v>
      </c>
      <c r="L1232" s="164">
        <v>0.12</v>
      </c>
      <c r="M1232" s="154">
        <v>2</v>
      </c>
      <c r="N1232" s="154" t="str">
        <f t="shared" si="59"/>
        <v>No fit</v>
      </c>
      <c r="O1232" s="173" t="s">
        <v>7482</v>
      </c>
      <c r="P1232" s="173" t="s">
        <v>7342</v>
      </c>
    </row>
    <row r="1233" spans="1:16" ht="64.05" customHeight="1" x14ac:dyDescent="0.3">
      <c r="A1233" s="151" t="s">
        <v>7924</v>
      </c>
      <c r="B1233" s="151" t="s">
        <v>6034</v>
      </c>
      <c r="C1233" s="151" t="s">
        <v>114</v>
      </c>
      <c r="D1233" s="151">
        <v>2025</v>
      </c>
      <c r="E1233" s="151" t="s">
        <v>199</v>
      </c>
      <c r="F1233" s="174" t="s">
        <v>7484</v>
      </c>
      <c r="G1233" s="167">
        <f>FCCL!H91</f>
        <v>25468.048999999992</v>
      </c>
      <c r="H1233" s="167">
        <f>FCCL!H22</f>
        <v>109282.51500000001</v>
      </c>
      <c r="I1233" s="165">
        <f t="shared" si="57"/>
        <v>0.23304779360174854</v>
      </c>
      <c r="J1233" s="165">
        <v>0.23304779360174854</v>
      </c>
      <c r="K1233" s="169">
        <f t="shared" si="58"/>
        <v>0</v>
      </c>
      <c r="L1233" s="165">
        <v>0.12</v>
      </c>
      <c r="M1233" s="151">
        <v>2</v>
      </c>
      <c r="N1233" s="151" t="str">
        <f t="shared" si="59"/>
        <v>No fit</v>
      </c>
      <c r="O1233" s="174" t="s">
        <v>7485</v>
      </c>
      <c r="P1233" s="174" t="s">
        <v>7342</v>
      </c>
    </row>
    <row r="1234" spans="1:16" ht="64.05" customHeight="1" x14ac:dyDescent="0.3">
      <c r="A1234" s="154" t="s">
        <v>7925</v>
      </c>
      <c r="B1234" s="154" t="s">
        <v>6034</v>
      </c>
      <c r="C1234" s="154" t="s">
        <v>114</v>
      </c>
      <c r="D1234" s="154">
        <v>2025</v>
      </c>
      <c r="E1234" s="154" t="s">
        <v>199</v>
      </c>
      <c r="F1234" s="173" t="s">
        <v>7487</v>
      </c>
      <c r="G1234" s="166">
        <f>FCCL!H91</f>
        <v>25468.048999999992</v>
      </c>
      <c r="H1234" s="166">
        <f>AVERAGE(FCCL!G22,FCCL!H22)</f>
        <v>109714.01250000001</v>
      </c>
      <c r="I1234" s="164">
        <f t="shared" si="57"/>
        <v>0.23213123300909252</v>
      </c>
      <c r="J1234" s="164">
        <v>0.23213123300909252</v>
      </c>
      <c r="K1234" s="168">
        <f t="shared" si="58"/>
        <v>0</v>
      </c>
      <c r="L1234" s="164">
        <v>0.12</v>
      </c>
      <c r="M1234" s="154">
        <v>2</v>
      </c>
      <c r="N1234" s="154" t="str">
        <f t="shared" si="59"/>
        <v>No fit</v>
      </c>
      <c r="O1234" s="173" t="s">
        <v>7488</v>
      </c>
      <c r="P1234" s="173" t="s">
        <v>7342</v>
      </c>
    </row>
    <row r="1235" spans="1:16" ht="64.05" customHeight="1" x14ac:dyDescent="0.3">
      <c r="A1235" s="151" t="s">
        <v>7926</v>
      </c>
      <c r="B1235" s="151" t="s">
        <v>6034</v>
      </c>
      <c r="C1235" s="151" t="s">
        <v>114</v>
      </c>
      <c r="D1235" s="151">
        <v>2025</v>
      </c>
      <c r="E1235" s="151" t="s">
        <v>199</v>
      </c>
      <c r="F1235" s="174" t="s">
        <v>7490</v>
      </c>
      <c r="G1235" s="167">
        <f>FCCL!H91</f>
        <v>25468.048999999992</v>
      </c>
      <c r="H1235" s="167">
        <f>FCCL!H28</f>
        <v>120372.62600000002</v>
      </c>
      <c r="I1235" s="165">
        <f t="shared" si="57"/>
        <v>0.21157675001623699</v>
      </c>
      <c r="J1235" s="165">
        <v>0.21157675001623699</v>
      </c>
      <c r="K1235" s="169">
        <f t="shared" si="58"/>
        <v>0</v>
      </c>
      <c r="L1235" s="165">
        <v>0.12</v>
      </c>
      <c r="M1235" s="151">
        <v>2</v>
      </c>
      <c r="N1235" s="151" t="str">
        <f t="shared" si="59"/>
        <v>No fit</v>
      </c>
      <c r="O1235" s="174" t="s">
        <v>7491</v>
      </c>
      <c r="P1235" s="174" t="s">
        <v>7342</v>
      </c>
    </row>
    <row r="1236" spans="1:16" ht="64.05" customHeight="1" x14ac:dyDescent="0.3">
      <c r="A1236" s="154" t="s">
        <v>7927</v>
      </c>
      <c r="B1236" s="154" t="s">
        <v>6034</v>
      </c>
      <c r="C1236" s="154" t="s">
        <v>114</v>
      </c>
      <c r="D1236" s="154">
        <v>2025</v>
      </c>
      <c r="E1236" s="154" t="s">
        <v>199</v>
      </c>
      <c r="F1236" s="173" t="s">
        <v>7493</v>
      </c>
      <c r="G1236" s="166">
        <f>FCCL!H91</f>
        <v>25468.048999999992</v>
      </c>
      <c r="H1236" s="166">
        <f>AVERAGE(FCCL!G28,FCCL!H28)</f>
        <v>121112.427</v>
      </c>
      <c r="I1236" s="164">
        <f t="shared" si="57"/>
        <v>0.2102843583507743</v>
      </c>
      <c r="J1236" s="164">
        <v>0.2102843583507743</v>
      </c>
      <c r="K1236" s="168">
        <f t="shared" si="58"/>
        <v>0</v>
      </c>
      <c r="L1236" s="164">
        <v>0.12</v>
      </c>
      <c r="M1236" s="154">
        <v>2</v>
      </c>
      <c r="N1236" s="154" t="str">
        <f t="shared" si="59"/>
        <v>No fit</v>
      </c>
      <c r="O1236" s="173" t="s">
        <v>7494</v>
      </c>
      <c r="P1236" s="173" t="s">
        <v>7342</v>
      </c>
    </row>
    <row r="1237" spans="1:16" ht="64.05" customHeight="1" x14ac:dyDescent="0.3">
      <c r="A1237" s="151" t="s">
        <v>7928</v>
      </c>
      <c r="B1237" s="151" t="s">
        <v>6034</v>
      </c>
      <c r="C1237" s="151" t="s">
        <v>114</v>
      </c>
      <c r="D1237" s="151">
        <v>2025</v>
      </c>
      <c r="E1237" s="151" t="s">
        <v>199</v>
      </c>
      <c r="F1237" s="174" t="s">
        <v>7496</v>
      </c>
      <c r="G1237" s="167">
        <f>FCCL!H91</f>
        <v>25468.048999999992</v>
      </c>
      <c r="H1237" s="167">
        <f>'Forensic Inputs'!$G$106</f>
        <v>140843.77100000001</v>
      </c>
      <c r="I1237" s="165">
        <f t="shared" si="57"/>
        <v>0.18082481617167145</v>
      </c>
      <c r="J1237" s="165">
        <v>0.18082481617167145</v>
      </c>
      <c r="K1237" s="169">
        <f t="shared" si="58"/>
        <v>0</v>
      </c>
      <c r="L1237" s="165">
        <v>0.12</v>
      </c>
      <c r="M1237" s="151">
        <v>2</v>
      </c>
      <c r="N1237" s="151" t="str">
        <f t="shared" si="59"/>
        <v>No fit</v>
      </c>
      <c r="O1237" s="174" t="s">
        <v>7702</v>
      </c>
      <c r="P1237" s="174" t="s">
        <v>7342</v>
      </c>
    </row>
    <row r="1238" spans="1:16" ht="64.05" customHeight="1" x14ac:dyDescent="0.3">
      <c r="A1238" s="154" t="s">
        <v>7929</v>
      </c>
      <c r="B1238" s="154" t="s">
        <v>6034</v>
      </c>
      <c r="C1238" s="154" t="s">
        <v>114</v>
      </c>
      <c r="D1238" s="154">
        <v>2025</v>
      </c>
      <c r="E1238" s="154" t="s">
        <v>199</v>
      </c>
      <c r="F1238" s="173" t="s">
        <v>7499</v>
      </c>
      <c r="G1238" s="166">
        <f>FCCL!H91</f>
        <v>25468.048999999992</v>
      </c>
      <c r="H1238" s="166">
        <f>('Forensic Inputs'!$G$106-FCCL!H21)</f>
        <v>140547.19700000001</v>
      </c>
      <c r="I1238" s="164">
        <f t="shared" si="57"/>
        <v>0.18120638151182758</v>
      </c>
      <c r="J1238" s="164">
        <v>0.18120638151182758</v>
      </c>
      <c r="K1238" s="168">
        <f t="shared" si="58"/>
        <v>0</v>
      </c>
      <c r="L1238" s="164">
        <v>0.12</v>
      </c>
      <c r="M1238" s="154">
        <v>2</v>
      </c>
      <c r="N1238" s="154" t="str">
        <f t="shared" si="59"/>
        <v>No fit</v>
      </c>
      <c r="O1238" s="173" t="s">
        <v>7704</v>
      </c>
      <c r="P1238" s="173" t="s">
        <v>7342</v>
      </c>
    </row>
    <row r="1239" spans="1:16" ht="64.05" customHeight="1" x14ac:dyDescent="0.3">
      <c r="A1239" s="151" t="s">
        <v>7930</v>
      </c>
      <c r="B1239" s="151" t="s">
        <v>6034</v>
      </c>
      <c r="C1239" s="151" t="s">
        <v>114</v>
      </c>
      <c r="D1239" s="151">
        <v>2025</v>
      </c>
      <c r="E1239" s="151" t="s">
        <v>199</v>
      </c>
      <c r="F1239" s="174" t="s">
        <v>7502</v>
      </c>
      <c r="G1239" s="167">
        <f>FCCL!H91</f>
        <v>25468.048999999992</v>
      </c>
      <c r="H1239" s="167">
        <f>AVERAGE('Forensic Inputs'!$G$104,'Forensic Inputs'!$G$106)</f>
        <v>139217.29800000001</v>
      </c>
      <c r="I1239" s="165">
        <f t="shared" si="57"/>
        <v>0.18293738900176032</v>
      </c>
      <c r="J1239" s="165">
        <v>0.18293738900176032</v>
      </c>
      <c r="K1239" s="169">
        <f t="shared" si="58"/>
        <v>0</v>
      </c>
      <c r="L1239" s="165">
        <v>0.12</v>
      </c>
      <c r="M1239" s="151">
        <v>2</v>
      </c>
      <c r="N1239" s="151" t="str">
        <f t="shared" si="59"/>
        <v>No fit</v>
      </c>
      <c r="O1239" s="174" t="s">
        <v>7706</v>
      </c>
      <c r="P1239" s="174" t="s">
        <v>7342</v>
      </c>
    </row>
    <row r="1240" spans="1:16" ht="64.05" customHeight="1" x14ac:dyDescent="0.3">
      <c r="A1240" s="154" t="s">
        <v>7931</v>
      </c>
      <c r="B1240" s="154" t="s">
        <v>7932</v>
      </c>
      <c r="C1240" s="154" t="s">
        <v>86</v>
      </c>
      <c r="D1240" s="154">
        <v>2023</v>
      </c>
      <c r="E1240" s="154" t="s">
        <v>190</v>
      </c>
      <c r="F1240" s="173" t="s">
        <v>5893</v>
      </c>
      <c r="G1240" s="166">
        <f>365*AVERAGE(DGKC!E51,DGKC!F51)</f>
        <v>1898229.22</v>
      </c>
      <c r="H1240" s="166">
        <f>-DGKC!F85</f>
        <v>55428.046000000002</v>
      </c>
      <c r="I1240" s="164">
        <f t="shared" si="57"/>
        <v>34.246728091407007</v>
      </c>
      <c r="J1240" s="164">
        <v>34.246728091407007</v>
      </c>
      <c r="K1240" s="168">
        <f t="shared" si="58"/>
        <v>0</v>
      </c>
      <c r="L1240" s="164">
        <v>87</v>
      </c>
      <c r="M1240" s="154">
        <v>0</v>
      </c>
      <c r="N1240" s="154" t="str">
        <f t="shared" si="59"/>
        <v>No fit</v>
      </c>
      <c r="O1240" s="173" t="s">
        <v>6050</v>
      </c>
      <c r="P1240" s="173" t="s">
        <v>6051</v>
      </c>
    </row>
    <row r="1241" spans="1:16" ht="64.05" customHeight="1" x14ac:dyDescent="0.3">
      <c r="A1241" s="151" t="s">
        <v>7933</v>
      </c>
      <c r="B1241" s="151" t="s">
        <v>7932</v>
      </c>
      <c r="C1241" s="151" t="s">
        <v>86</v>
      </c>
      <c r="D1241" s="151">
        <v>2023</v>
      </c>
      <c r="E1241" s="151" t="s">
        <v>190</v>
      </c>
      <c r="F1241" s="174" t="s">
        <v>6115</v>
      </c>
      <c r="G1241" s="167">
        <f>(365*DGKC!F51)</f>
        <v>2383467.8849999998</v>
      </c>
      <c r="H1241" s="167">
        <f>(DGKC!F85*-1)</f>
        <v>55428.046000000002</v>
      </c>
      <c r="I1241" s="165">
        <f t="shared" si="57"/>
        <v>43.001116889453392</v>
      </c>
      <c r="J1241" s="165">
        <v>43.001116889453392</v>
      </c>
      <c r="K1241" s="169">
        <f t="shared" si="58"/>
        <v>0</v>
      </c>
      <c r="L1241" s="165">
        <v>87</v>
      </c>
      <c r="M1241" s="151">
        <v>0</v>
      </c>
      <c r="N1241" s="151" t="str">
        <f t="shared" si="59"/>
        <v>No fit</v>
      </c>
      <c r="O1241" s="174" t="s">
        <v>6116</v>
      </c>
      <c r="P1241" s="174" t="s">
        <v>6051</v>
      </c>
    </row>
    <row r="1242" spans="1:16" ht="64.05" customHeight="1" x14ac:dyDescent="0.3">
      <c r="A1242" s="154" t="s">
        <v>7934</v>
      </c>
      <c r="B1242" s="154" t="s">
        <v>7932</v>
      </c>
      <c r="C1242" s="154" t="s">
        <v>86</v>
      </c>
      <c r="D1242" s="154">
        <v>2023</v>
      </c>
      <c r="E1242" s="154" t="s">
        <v>190</v>
      </c>
      <c r="F1242" s="173" t="s">
        <v>6118</v>
      </c>
      <c r="G1242" s="166">
        <f>(365*DGKC!F51)</f>
        <v>2383467.8849999998</v>
      </c>
      <c r="H1242" s="166">
        <f>DGKC!F84</f>
        <v>64983.821000000004</v>
      </c>
      <c r="I1242" s="164">
        <f t="shared" si="57"/>
        <v>36.67786609531624</v>
      </c>
      <c r="J1242" s="164">
        <v>36.67786609531624</v>
      </c>
      <c r="K1242" s="168">
        <f t="shared" si="58"/>
        <v>0</v>
      </c>
      <c r="L1242" s="164">
        <v>87</v>
      </c>
      <c r="M1242" s="154">
        <v>0</v>
      </c>
      <c r="N1242" s="154" t="str">
        <f t="shared" si="59"/>
        <v>No fit</v>
      </c>
      <c r="O1242" s="173" t="s">
        <v>6119</v>
      </c>
      <c r="P1242" s="173" t="s">
        <v>6051</v>
      </c>
    </row>
    <row r="1243" spans="1:16" ht="64.05" customHeight="1" x14ac:dyDescent="0.3">
      <c r="A1243" s="151" t="s">
        <v>7935</v>
      </c>
      <c r="B1243" s="151" t="s">
        <v>7932</v>
      </c>
      <c r="C1243" s="151" t="s">
        <v>86</v>
      </c>
      <c r="D1243" s="151">
        <v>2023</v>
      </c>
      <c r="E1243" s="151" t="s">
        <v>190</v>
      </c>
      <c r="F1243" s="174" t="s">
        <v>6121</v>
      </c>
      <c r="G1243" s="167">
        <f>(365*DGKC!F51)</f>
        <v>2383467.8849999998</v>
      </c>
      <c r="H1243" s="167">
        <f>((DGKC!F85*-1)+(DGKC!F65-DGKC!E65))</f>
        <v>55357.823000000004</v>
      </c>
      <c r="I1243" s="165">
        <f t="shared" si="57"/>
        <v>43.055665050267592</v>
      </c>
      <c r="J1243" s="165">
        <v>43.055665050267592</v>
      </c>
      <c r="K1243" s="169">
        <f t="shared" si="58"/>
        <v>0</v>
      </c>
      <c r="L1243" s="165">
        <v>87</v>
      </c>
      <c r="M1243" s="151">
        <v>0</v>
      </c>
      <c r="N1243" s="151" t="str">
        <f t="shared" si="59"/>
        <v>No fit</v>
      </c>
      <c r="O1243" s="174" t="s">
        <v>6122</v>
      </c>
      <c r="P1243" s="174" t="s">
        <v>6051</v>
      </c>
    </row>
    <row r="1244" spans="1:16" ht="64.05" customHeight="1" x14ac:dyDescent="0.3">
      <c r="A1244" s="154" t="s">
        <v>7936</v>
      </c>
      <c r="B1244" s="154" t="s">
        <v>7932</v>
      </c>
      <c r="C1244" s="154" t="s">
        <v>86</v>
      </c>
      <c r="D1244" s="154">
        <v>2023</v>
      </c>
      <c r="E1244" s="154" t="s">
        <v>190</v>
      </c>
      <c r="F1244" s="173" t="s">
        <v>6124</v>
      </c>
      <c r="G1244" s="166">
        <f>(365*DGKC!F51)</f>
        <v>2383467.8849999998</v>
      </c>
      <c r="H1244" s="166">
        <f>((DGKC!F85*-1)+(DGKC!F31-DGKC!E31))</f>
        <v>58319.701000000001</v>
      </c>
      <c r="I1244" s="164">
        <f t="shared" si="57"/>
        <v>40.869000425773784</v>
      </c>
      <c r="J1244" s="164">
        <v>40.869000425773784</v>
      </c>
      <c r="K1244" s="168">
        <f t="shared" si="58"/>
        <v>0</v>
      </c>
      <c r="L1244" s="164">
        <v>87</v>
      </c>
      <c r="M1244" s="154">
        <v>0</v>
      </c>
      <c r="N1244" s="154" t="str">
        <f t="shared" si="59"/>
        <v>No fit</v>
      </c>
      <c r="O1244" s="173" t="s">
        <v>6125</v>
      </c>
      <c r="P1244" s="173" t="s">
        <v>6051</v>
      </c>
    </row>
    <row r="1245" spans="1:16" ht="64.05" customHeight="1" x14ac:dyDescent="0.3">
      <c r="A1245" s="151" t="s">
        <v>7937</v>
      </c>
      <c r="B1245" s="151" t="s">
        <v>7932</v>
      </c>
      <c r="C1245" s="151" t="s">
        <v>86</v>
      </c>
      <c r="D1245" s="151">
        <v>2023</v>
      </c>
      <c r="E1245" s="151" t="s">
        <v>190</v>
      </c>
      <c r="F1245" s="174" t="s">
        <v>6127</v>
      </c>
      <c r="G1245" s="167">
        <f>(365*AVERAGE(DGKC!E51,DGKC!F51))</f>
        <v>1898229.22</v>
      </c>
      <c r="H1245" s="167">
        <f>(DGKC!F85*-1)</f>
        <v>55428.046000000002</v>
      </c>
      <c r="I1245" s="165">
        <f t="shared" si="57"/>
        <v>34.246728091407007</v>
      </c>
      <c r="J1245" s="165">
        <v>34.246728091407007</v>
      </c>
      <c r="K1245" s="169">
        <f t="shared" si="58"/>
        <v>0</v>
      </c>
      <c r="L1245" s="165">
        <v>87</v>
      </c>
      <c r="M1245" s="151">
        <v>0</v>
      </c>
      <c r="N1245" s="151" t="str">
        <f t="shared" si="59"/>
        <v>No fit</v>
      </c>
      <c r="O1245" s="174" t="s">
        <v>6128</v>
      </c>
      <c r="P1245" s="174" t="s">
        <v>6051</v>
      </c>
    </row>
    <row r="1246" spans="1:16" ht="64.05" customHeight="1" x14ac:dyDescent="0.3">
      <c r="A1246" s="154" t="s">
        <v>7938</v>
      </c>
      <c r="B1246" s="154" t="s">
        <v>7932</v>
      </c>
      <c r="C1246" s="154" t="s">
        <v>86</v>
      </c>
      <c r="D1246" s="154">
        <v>2023</v>
      </c>
      <c r="E1246" s="154" t="s">
        <v>190</v>
      </c>
      <c r="F1246" s="173" t="s">
        <v>6130</v>
      </c>
      <c r="G1246" s="166">
        <f>(365*AVERAGE(DGKC!E51,DGKC!F51))</f>
        <v>1898229.22</v>
      </c>
      <c r="H1246" s="166">
        <f>DGKC!F84</f>
        <v>64983.821000000004</v>
      </c>
      <c r="I1246" s="164">
        <f t="shared" si="57"/>
        <v>29.210797253673338</v>
      </c>
      <c r="J1246" s="164">
        <v>29.210797253673338</v>
      </c>
      <c r="K1246" s="168">
        <f t="shared" si="58"/>
        <v>0</v>
      </c>
      <c r="L1246" s="164">
        <v>87</v>
      </c>
      <c r="M1246" s="154">
        <v>0</v>
      </c>
      <c r="N1246" s="154" t="str">
        <f t="shared" si="59"/>
        <v>No fit</v>
      </c>
      <c r="O1246" s="173" t="s">
        <v>6131</v>
      </c>
      <c r="P1246" s="173" t="s">
        <v>6051</v>
      </c>
    </row>
    <row r="1247" spans="1:16" ht="64.05" customHeight="1" x14ac:dyDescent="0.3">
      <c r="A1247" s="151" t="s">
        <v>7939</v>
      </c>
      <c r="B1247" s="151" t="s">
        <v>7932</v>
      </c>
      <c r="C1247" s="151" t="s">
        <v>86</v>
      </c>
      <c r="D1247" s="151">
        <v>2023</v>
      </c>
      <c r="E1247" s="151" t="s">
        <v>190</v>
      </c>
      <c r="F1247" s="174" t="s">
        <v>6133</v>
      </c>
      <c r="G1247" s="167">
        <f>(365*AVERAGE(DGKC!E51,DGKC!F51))</f>
        <v>1898229.22</v>
      </c>
      <c r="H1247" s="167">
        <f>((DGKC!F85*-1)+(DGKC!F65-DGKC!E65))</f>
        <v>55357.823000000004</v>
      </c>
      <c r="I1247" s="165">
        <f t="shared" si="57"/>
        <v>34.29017105676283</v>
      </c>
      <c r="J1247" s="165">
        <v>34.29017105676283</v>
      </c>
      <c r="K1247" s="169">
        <f t="shared" si="58"/>
        <v>0</v>
      </c>
      <c r="L1247" s="165">
        <v>87</v>
      </c>
      <c r="M1247" s="151">
        <v>0</v>
      </c>
      <c r="N1247" s="151" t="str">
        <f t="shared" si="59"/>
        <v>No fit</v>
      </c>
      <c r="O1247" s="174" t="s">
        <v>6134</v>
      </c>
      <c r="P1247" s="174" t="s">
        <v>6051</v>
      </c>
    </row>
    <row r="1248" spans="1:16" ht="64.05" customHeight="1" x14ac:dyDescent="0.3">
      <c r="A1248" s="154" t="s">
        <v>7940</v>
      </c>
      <c r="B1248" s="154" t="s">
        <v>7932</v>
      </c>
      <c r="C1248" s="154" t="s">
        <v>86</v>
      </c>
      <c r="D1248" s="154">
        <v>2023</v>
      </c>
      <c r="E1248" s="154" t="s">
        <v>190</v>
      </c>
      <c r="F1248" s="173" t="s">
        <v>6136</v>
      </c>
      <c r="G1248" s="166">
        <f>(365*AVERAGE(DGKC!E51,DGKC!F51))</f>
        <v>1898229.22</v>
      </c>
      <c r="H1248" s="166">
        <f>((DGKC!F85*-1)+(DGKC!F31-DGKC!E31))</f>
        <v>58319.701000000001</v>
      </c>
      <c r="I1248" s="164">
        <f t="shared" si="57"/>
        <v>32.548678876114266</v>
      </c>
      <c r="J1248" s="164">
        <v>32.548678876114266</v>
      </c>
      <c r="K1248" s="168">
        <f t="shared" si="58"/>
        <v>0</v>
      </c>
      <c r="L1248" s="164">
        <v>87</v>
      </c>
      <c r="M1248" s="154">
        <v>0</v>
      </c>
      <c r="N1248" s="154" t="str">
        <f t="shared" si="59"/>
        <v>No fit</v>
      </c>
      <c r="O1248" s="173" t="s">
        <v>6137</v>
      </c>
      <c r="P1248" s="173" t="s">
        <v>6051</v>
      </c>
    </row>
    <row r="1249" spans="1:16" ht="64.05" customHeight="1" x14ac:dyDescent="0.3">
      <c r="A1249" s="151" t="s">
        <v>7941</v>
      </c>
      <c r="B1249" s="151" t="s">
        <v>7932</v>
      </c>
      <c r="C1249" s="151" t="s">
        <v>86</v>
      </c>
      <c r="D1249" s="151">
        <v>2023</v>
      </c>
      <c r="E1249" s="151" t="s">
        <v>190</v>
      </c>
      <c r="F1249" s="174" t="s">
        <v>6139</v>
      </c>
      <c r="G1249" s="167">
        <f>(365*DGKC!F50)</f>
        <v>5030904.1350000007</v>
      </c>
      <c r="H1249" s="167">
        <f>(DGKC!F85*-1)</f>
        <v>55428.046000000002</v>
      </c>
      <c r="I1249" s="165">
        <f t="shared" si="57"/>
        <v>90.76459478654543</v>
      </c>
      <c r="J1249" s="165">
        <v>90.76459478654543</v>
      </c>
      <c r="K1249" s="169">
        <f t="shared" si="58"/>
        <v>0</v>
      </c>
      <c r="L1249" s="165">
        <v>87</v>
      </c>
      <c r="M1249" s="151">
        <v>0</v>
      </c>
      <c r="N1249" s="151" t="str">
        <f t="shared" si="59"/>
        <v>No fit</v>
      </c>
      <c r="O1249" s="174" t="s">
        <v>6140</v>
      </c>
      <c r="P1249" s="174" t="s">
        <v>6051</v>
      </c>
    </row>
    <row r="1250" spans="1:16" ht="64.05" customHeight="1" x14ac:dyDescent="0.3">
      <c r="A1250" s="154" t="s">
        <v>7942</v>
      </c>
      <c r="B1250" s="154" t="s">
        <v>7932</v>
      </c>
      <c r="C1250" s="154" t="s">
        <v>86</v>
      </c>
      <c r="D1250" s="154">
        <v>2023</v>
      </c>
      <c r="E1250" s="154" t="s">
        <v>190</v>
      </c>
      <c r="F1250" s="173" t="s">
        <v>6142</v>
      </c>
      <c r="G1250" s="166">
        <f>(365*DGKC!F50)</f>
        <v>5030904.1350000007</v>
      </c>
      <c r="H1250" s="166">
        <f>DGKC!F84</f>
        <v>64983.821000000004</v>
      </c>
      <c r="I1250" s="164">
        <f t="shared" si="57"/>
        <v>77.417795038552754</v>
      </c>
      <c r="J1250" s="164">
        <v>77.417795038552754</v>
      </c>
      <c r="K1250" s="168">
        <f t="shared" si="58"/>
        <v>0</v>
      </c>
      <c r="L1250" s="164">
        <v>87</v>
      </c>
      <c r="M1250" s="154">
        <v>0</v>
      </c>
      <c r="N1250" s="154" t="str">
        <f t="shared" si="59"/>
        <v>No fit</v>
      </c>
      <c r="O1250" s="173" t="s">
        <v>6143</v>
      </c>
      <c r="P1250" s="173" t="s">
        <v>6051</v>
      </c>
    </row>
    <row r="1251" spans="1:16" ht="64.05" customHeight="1" x14ac:dyDescent="0.3">
      <c r="A1251" s="151" t="s">
        <v>7943</v>
      </c>
      <c r="B1251" s="151" t="s">
        <v>7932</v>
      </c>
      <c r="C1251" s="151" t="s">
        <v>86</v>
      </c>
      <c r="D1251" s="151">
        <v>2023</v>
      </c>
      <c r="E1251" s="151" t="s">
        <v>190</v>
      </c>
      <c r="F1251" s="174" t="s">
        <v>6145</v>
      </c>
      <c r="G1251" s="167">
        <f>(365*DGKC!F50)</f>
        <v>5030904.1350000007</v>
      </c>
      <c r="H1251" s="167">
        <f>((DGKC!F85*-1)+(DGKC!F65-DGKC!E65))</f>
        <v>55357.823000000004</v>
      </c>
      <c r="I1251" s="165">
        <f t="shared" si="57"/>
        <v>90.879732300889074</v>
      </c>
      <c r="J1251" s="165">
        <v>90.879732300889074</v>
      </c>
      <c r="K1251" s="169">
        <f t="shared" si="58"/>
        <v>0</v>
      </c>
      <c r="L1251" s="165">
        <v>87</v>
      </c>
      <c r="M1251" s="151">
        <v>0</v>
      </c>
      <c r="N1251" s="151" t="str">
        <f t="shared" si="59"/>
        <v>No fit</v>
      </c>
      <c r="O1251" s="174" t="s">
        <v>6146</v>
      </c>
      <c r="P1251" s="174" t="s">
        <v>6051</v>
      </c>
    </row>
    <row r="1252" spans="1:16" ht="64.05" customHeight="1" x14ac:dyDescent="0.3">
      <c r="A1252" s="154" t="s">
        <v>7944</v>
      </c>
      <c r="B1252" s="154" t="s">
        <v>7932</v>
      </c>
      <c r="C1252" s="154" t="s">
        <v>86</v>
      </c>
      <c r="D1252" s="154">
        <v>2023</v>
      </c>
      <c r="E1252" s="154" t="s">
        <v>190</v>
      </c>
      <c r="F1252" s="173" t="s">
        <v>6148</v>
      </c>
      <c r="G1252" s="166">
        <f>(365*DGKC!F50)</f>
        <v>5030904.1350000007</v>
      </c>
      <c r="H1252" s="166">
        <f>((DGKC!F85*-1)+(DGKC!F31-DGKC!E31))</f>
        <v>58319.701000000001</v>
      </c>
      <c r="I1252" s="164">
        <f t="shared" si="57"/>
        <v>86.264230589933931</v>
      </c>
      <c r="J1252" s="164">
        <v>86.264230589933931</v>
      </c>
      <c r="K1252" s="168">
        <f t="shared" si="58"/>
        <v>0</v>
      </c>
      <c r="L1252" s="164">
        <v>87</v>
      </c>
      <c r="M1252" s="154">
        <v>0</v>
      </c>
      <c r="N1252" s="154" t="str">
        <f t="shared" si="59"/>
        <v>No fit</v>
      </c>
      <c r="O1252" s="173" t="s">
        <v>6149</v>
      </c>
      <c r="P1252" s="173" t="s">
        <v>6051</v>
      </c>
    </row>
    <row r="1253" spans="1:16" ht="64.05" customHeight="1" x14ac:dyDescent="0.3">
      <c r="A1253" s="151" t="s">
        <v>7945</v>
      </c>
      <c r="B1253" s="151" t="s">
        <v>7932</v>
      </c>
      <c r="C1253" s="151" t="s">
        <v>86</v>
      </c>
      <c r="D1253" s="151">
        <v>2023</v>
      </c>
      <c r="E1253" s="151" t="s">
        <v>190</v>
      </c>
      <c r="F1253" s="174" t="s">
        <v>5780</v>
      </c>
      <c r="G1253" s="167">
        <f>(365*AVERAGE(DGKC!E50,DGKC!F50))</f>
        <v>4813438.96</v>
      </c>
      <c r="H1253" s="167">
        <f>(DGKC!F85*-1)</f>
        <v>55428.046000000002</v>
      </c>
      <c r="I1253" s="165">
        <f t="shared" si="57"/>
        <v>86.841216809266555</v>
      </c>
      <c r="J1253" s="165">
        <v>86.841216809266555</v>
      </c>
      <c r="K1253" s="169">
        <f t="shared" si="58"/>
        <v>0</v>
      </c>
      <c r="L1253" s="165">
        <v>87</v>
      </c>
      <c r="M1253" s="151">
        <v>0</v>
      </c>
      <c r="N1253" s="151" t="str">
        <f t="shared" si="59"/>
        <v>Numeric fit</v>
      </c>
      <c r="O1253" s="174" t="s">
        <v>6151</v>
      </c>
      <c r="P1253" s="174" t="s">
        <v>6051</v>
      </c>
    </row>
    <row r="1254" spans="1:16" ht="64.05" customHeight="1" x14ac:dyDescent="0.3">
      <c r="A1254" s="154" t="s">
        <v>7946</v>
      </c>
      <c r="B1254" s="154" t="s">
        <v>7932</v>
      </c>
      <c r="C1254" s="154" t="s">
        <v>86</v>
      </c>
      <c r="D1254" s="154">
        <v>2023</v>
      </c>
      <c r="E1254" s="154" t="s">
        <v>190</v>
      </c>
      <c r="F1254" s="173" t="s">
        <v>6153</v>
      </c>
      <c r="G1254" s="166">
        <f>(365*AVERAGE(DGKC!E50,DGKC!F50))</f>
        <v>4813438.96</v>
      </c>
      <c r="H1254" s="166">
        <f>DGKC!F84</f>
        <v>64983.821000000004</v>
      </c>
      <c r="I1254" s="164">
        <f t="shared" si="57"/>
        <v>74.071344004225296</v>
      </c>
      <c r="J1254" s="164">
        <v>74.071344004225296</v>
      </c>
      <c r="K1254" s="168">
        <f t="shared" si="58"/>
        <v>0</v>
      </c>
      <c r="L1254" s="164">
        <v>87</v>
      </c>
      <c r="M1254" s="154">
        <v>0</v>
      </c>
      <c r="N1254" s="154" t="str">
        <f t="shared" si="59"/>
        <v>No fit</v>
      </c>
      <c r="O1254" s="173" t="s">
        <v>6154</v>
      </c>
      <c r="P1254" s="173" t="s">
        <v>6051</v>
      </c>
    </row>
    <row r="1255" spans="1:16" ht="64.05" customHeight="1" x14ac:dyDescent="0.3">
      <c r="A1255" s="151" t="s">
        <v>7947</v>
      </c>
      <c r="B1255" s="151" t="s">
        <v>7932</v>
      </c>
      <c r="C1255" s="151" t="s">
        <v>86</v>
      </c>
      <c r="D1255" s="151">
        <v>2023</v>
      </c>
      <c r="E1255" s="151" t="s">
        <v>190</v>
      </c>
      <c r="F1255" s="174" t="s">
        <v>6156</v>
      </c>
      <c r="G1255" s="167">
        <f>(365*AVERAGE(DGKC!E50,DGKC!F50))</f>
        <v>4813438.96</v>
      </c>
      <c r="H1255" s="167">
        <f>((DGKC!F85*-1)+(DGKC!F65-DGKC!E65))</f>
        <v>55357.823000000004</v>
      </c>
      <c r="I1255" s="165">
        <f t="shared" si="57"/>
        <v>86.951377405141088</v>
      </c>
      <c r="J1255" s="165">
        <v>86.951377405141088</v>
      </c>
      <c r="K1255" s="169">
        <f t="shared" si="58"/>
        <v>0</v>
      </c>
      <c r="L1255" s="165">
        <v>87</v>
      </c>
      <c r="M1255" s="151">
        <v>0</v>
      </c>
      <c r="N1255" s="151" t="str">
        <f t="shared" si="59"/>
        <v>Numeric fit</v>
      </c>
      <c r="O1255" s="174" t="s">
        <v>6157</v>
      </c>
      <c r="P1255" s="174" t="s">
        <v>6051</v>
      </c>
    </row>
    <row r="1256" spans="1:16" ht="64.05" customHeight="1" x14ac:dyDescent="0.3">
      <c r="A1256" s="154" t="s">
        <v>7948</v>
      </c>
      <c r="B1256" s="154" t="s">
        <v>7932</v>
      </c>
      <c r="C1256" s="154" t="s">
        <v>86</v>
      </c>
      <c r="D1256" s="154">
        <v>2023</v>
      </c>
      <c r="E1256" s="154" t="s">
        <v>190</v>
      </c>
      <c r="F1256" s="173" t="s">
        <v>6159</v>
      </c>
      <c r="G1256" s="166">
        <f>(365*AVERAGE(DGKC!E50,DGKC!F50))</f>
        <v>4813438.96</v>
      </c>
      <c r="H1256" s="166">
        <f>((DGKC!F85*-1)+(DGKC!F31-DGKC!E31))</f>
        <v>58319.701000000001</v>
      </c>
      <c r="I1256" s="164">
        <f t="shared" si="57"/>
        <v>82.535384740741378</v>
      </c>
      <c r="J1256" s="164">
        <v>82.535384740741378</v>
      </c>
      <c r="K1256" s="168">
        <f t="shared" si="58"/>
        <v>0</v>
      </c>
      <c r="L1256" s="164">
        <v>87</v>
      </c>
      <c r="M1256" s="154">
        <v>0</v>
      </c>
      <c r="N1256" s="154" t="str">
        <f t="shared" si="59"/>
        <v>No fit</v>
      </c>
      <c r="O1256" s="173" t="s">
        <v>6160</v>
      </c>
      <c r="P1256" s="173" t="s">
        <v>6051</v>
      </c>
    </row>
    <row r="1257" spans="1:16" ht="64.05" customHeight="1" x14ac:dyDescent="0.3">
      <c r="A1257" s="151" t="s">
        <v>7949</v>
      </c>
      <c r="B1257" s="151" t="s">
        <v>7932</v>
      </c>
      <c r="C1257" s="151" t="s">
        <v>86</v>
      </c>
      <c r="D1257" s="151">
        <v>2023</v>
      </c>
      <c r="E1257" s="151" t="s">
        <v>190</v>
      </c>
      <c r="F1257" s="174" t="s">
        <v>6162</v>
      </c>
      <c r="G1257" s="167">
        <f>(365*AVERAGE((((DGKC!E61-DGKC!E54)-DGKC!E55)-DGKC!E56),(((DGKC!F61-DGKC!F54)-DGKC!F55)-DGKC!F56)))</f>
        <v>5400629.7899999982</v>
      </c>
      <c r="H1257" s="167">
        <f>(DGKC!F85*-1)</f>
        <v>55428.046000000002</v>
      </c>
      <c r="I1257" s="165">
        <f t="shared" si="57"/>
        <v>97.434966226303516</v>
      </c>
      <c r="J1257" s="165">
        <v>97.434966226303558</v>
      </c>
      <c r="K1257" s="169">
        <f t="shared" si="58"/>
        <v>0</v>
      </c>
      <c r="L1257" s="165">
        <v>87</v>
      </c>
      <c r="M1257" s="151">
        <v>0</v>
      </c>
      <c r="N1257" s="151" t="str">
        <f t="shared" si="59"/>
        <v>No fit</v>
      </c>
      <c r="O1257" s="174" t="s">
        <v>6163</v>
      </c>
      <c r="P1257" s="174" t="s">
        <v>6051</v>
      </c>
    </row>
    <row r="1258" spans="1:16" ht="64.05" customHeight="1" x14ac:dyDescent="0.3">
      <c r="A1258" s="154" t="s">
        <v>7950</v>
      </c>
      <c r="B1258" s="154" t="s">
        <v>7932</v>
      </c>
      <c r="C1258" s="154" t="s">
        <v>86</v>
      </c>
      <c r="D1258" s="154">
        <v>2023</v>
      </c>
      <c r="E1258" s="154" t="s">
        <v>190</v>
      </c>
      <c r="F1258" s="173" t="s">
        <v>6165</v>
      </c>
      <c r="G1258" s="166">
        <f>(365*AVERAGE((((DGKC!E61-DGKC!E54)-DGKC!E55)-DGKC!E56),(((DGKC!F61-DGKC!F54)-DGKC!F55)-DGKC!F56)))</f>
        <v>5400629.7899999982</v>
      </c>
      <c r="H1258" s="166">
        <f>DGKC!F84</f>
        <v>64983.821000000004</v>
      </c>
      <c r="I1258" s="164">
        <f t="shared" si="57"/>
        <v>83.10729819965492</v>
      </c>
      <c r="J1258" s="164">
        <v>83.107298199654949</v>
      </c>
      <c r="K1258" s="168">
        <f t="shared" si="58"/>
        <v>0</v>
      </c>
      <c r="L1258" s="164">
        <v>87</v>
      </c>
      <c r="M1258" s="154">
        <v>0</v>
      </c>
      <c r="N1258" s="154" t="str">
        <f t="shared" si="59"/>
        <v>No fit</v>
      </c>
      <c r="O1258" s="173" t="s">
        <v>6166</v>
      </c>
      <c r="P1258" s="173" t="s">
        <v>6051</v>
      </c>
    </row>
    <row r="1259" spans="1:16" ht="64.05" customHeight="1" x14ac:dyDescent="0.3">
      <c r="A1259" s="151" t="s">
        <v>7951</v>
      </c>
      <c r="B1259" s="151" t="s">
        <v>7932</v>
      </c>
      <c r="C1259" s="151" t="s">
        <v>86</v>
      </c>
      <c r="D1259" s="151">
        <v>2023</v>
      </c>
      <c r="E1259" s="151" t="s">
        <v>190</v>
      </c>
      <c r="F1259" s="174" t="s">
        <v>6168</v>
      </c>
      <c r="G1259" s="167">
        <f>(365*AVERAGE((((DGKC!E61-DGKC!E54)-DGKC!E55)-DGKC!E56),(((DGKC!F61-DGKC!F54)-DGKC!F55)-DGKC!F56)))</f>
        <v>5400629.7899999982</v>
      </c>
      <c r="H1259" s="167">
        <f>((DGKC!F85*-1)+(DGKC!F65-DGKC!E65))</f>
        <v>55357.823000000004</v>
      </c>
      <c r="I1259" s="165">
        <f t="shared" si="57"/>
        <v>97.558565299795077</v>
      </c>
      <c r="J1259" s="165">
        <v>97.558565299795106</v>
      </c>
      <c r="K1259" s="169">
        <f t="shared" si="58"/>
        <v>0</v>
      </c>
      <c r="L1259" s="165">
        <v>87</v>
      </c>
      <c r="M1259" s="151">
        <v>0</v>
      </c>
      <c r="N1259" s="151" t="str">
        <f t="shared" si="59"/>
        <v>No fit</v>
      </c>
      <c r="O1259" s="174" t="s">
        <v>6169</v>
      </c>
      <c r="P1259" s="174" t="s">
        <v>6051</v>
      </c>
    </row>
    <row r="1260" spans="1:16" ht="64.05" customHeight="1" x14ac:dyDescent="0.3">
      <c r="A1260" s="154" t="s">
        <v>7952</v>
      </c>
      <c r="B1260" s="154" t="s">
        <v>7932</v>
      </c>
      <c r="C1260" s="154" t="s">
        <v>86</v>
      </c>
      <c r="D1260" s="154">
        <v>2023</v>
      </c>
      <c r="E1260" s="154" t="s">
        <v>190</v>
      </c>
      <c r="F1260" s="173" t="s">
        <v>6171</v>
      </c>
      <c r="G1260" s="166">
        <f>(365*AVERAGE((((DGKC!E61-DGKC!E54)-DGKC!E55)-DGKC!E56),(((DGKC!F61-DGKC!F54)-DGKC!F55)-DGKC!F56)))</f>
        <v>5400629.7899999982</v>
      </c>
      <c r="H1260" s="166">
        <f>((DGKC!F85*-1)+(DGKC!F31-DGKC!E31))</f>
        <v>58319.701000000001</v>
      </c>
      <c r="I1260" s="164">
        <f t="shared" si="57"/>
        <v>92.603866230384099</v>
      </c>
      <c r="J1260" s="164">
        <v>92.603866230384142</v>
      </c>
      <c r="K1260" s="168">
        <f t="shared" si="58"/>
        <v>0</v>
      </c>
      <c r="L1260" s="164">
        <v>87</v>
      </c>
      <c r="M1260" s="154">
        <v>0</v>
      </c>
      <c r="N1260" s="154" t="str">
        <f t="shared" si="59"/>
        <v>No fit</v>
      </c>
      <c r="O1260" s="173" t="s">
        <v>6172</v>
      </c>
      <c r="P1260" s="173" t="s">
        <v>6051</v>
      </c>
    </row>
    <row r="1261" spans="1:16" ht="64.05" customHeight="1" x14ac:dyDescent="0.3">
      <c r="A1261" s="151" t="s">
        <v>7953</v>
      </c>
      <c r="B1261" s="151" t="s">
        <v>7932</v>
      </c>
      <c r="C1261" s="151" t="s">
        <v>86</v>
      </c>
      <c r="D1261" s="151">
        <v>2023</v>
      </c>
      <c r="E1261" s="151" t="s">
        <v>190</v>
      </c>
      <c r="F1261" s="174" t="s">
        <v>6174</v>
      </c>
      <c r="G1261" s="167">
        <f>(365*(DGKC!F51+'Forensic Inputs'!$G$51))</f>
        <v>3913680.38</v>
      </c>
      <c r="H1261" s="167">
        <f>(DGKC!F85*-1)</f>
        <v>55428.046000000002</v>
      </c>
      <c r="I1261" s="165">
        <f t="shared" si="57"/>
        <v>70.608305044706057</v>
      </c>
      <c r="J1261" s="165">
        <v>70.608305044706057</v>
      </c>
      <c r="K1261" s="169">
        <f t="shared" si="58"/>
        <v>0</v>
      </c>
      <c r="L1261" s="165">
        <v>87</v>
      </c>
      <c r="M1261" s="151">
        <v>0</v>
      </c>
      <c r="N1261" s="151" t="str">
        <f t="shared" si="59"/>
        <v>No fit</v>
      </c>
      <c r="O1261" s="174" t="s">
        <v>7954</v>
      </c>
      <c r="P1261" s="174" t="s">
        <v>6051</v>
      </c>
    </row>
    <row r="1262" spans="1:16" ht="64.05" customHeight="1" x14ac:dyDescent="0.3">
      <c r="A1262" s="154" t="s">
        <v>7955</v>
      </c>
      <c r="B1262" s="154" t="s">
        <v>7932</v>
      </c>
      <c r="C1262" s="154" t="s">
        <v>86</v>
      </c>
      <c r="D1262" s="154">
        <v>2023</v>
      </c>
      <c r="E1262" s="154" t="s">
        <v>190</v>
      </c>
      <c r="F1262" s="173" t="s">
        <v>6177</v>
      </c>
      <c r="G1262" s="166">
        <f>(365*(DGKC!F51+'Forensic Inputs'!$G$51))</f>
        <v>3913680.38</v>
      </c>
      <c r="H1262" s="166">
        <f>DGKC!F84</f>
        <v>64983.821000000004</v>
      </c>
      <c r="I1262" s="164">
        <f t="shared" si="57"/>
        <v>60.225457964375465</v>
      </c>
      <c r="J1262" s="164">
        <v>60.225457964375465</v>
      </c>
      <c r="K1262" s="168">
        <f t="shared" si="58"/>
        <v>0</v>
      </c>
      <c r="L1262" s="164">
        <v>87</v>
      </c>
      <c r="M1262" s="154">
        <v>0</v>
      </c>
      <c r="N1262" s="154" t="str">
        <f t="shared" si="59"/>
        <v>No fit</v>
      </c>
      <c r="O1262" s="173" t="s">
        <v>7956</v>
      </c>
      <c r="P1262" s="173" t="s">
        <v>6051</v>
      </c>
    </row>
    <row r="1263" spans="1:16" ht="64.05" customHeight="1" x14ac:dyDescent="0.3">
      <c r="A1263" s="151" t="s">
        <v>7957</v>
      </c>
      <c r="B1263" s="151" t="s">
        <v>7932</v>
      </c>
      <c r="C1263" s="151" t="s">
        <v>86</v>
      </c>
      <c r="D1263" s="151">
        <v>2023</v>
      </c>
      <c r="E1263" s="151" t="s">
        <v>190</v>
      </c>
      <c r="F1263" s="174" t="s">
        <v>6180</v>
      </c>
      <c r="G1263" s="167">
        <f>(365*(DGKC!F51+'Forensic Inputs'!$G$51))</f>
        <v>3913680.38</v>
      </c>
      <c r="H1263" s="167">
        <f>((DGKC!F85*-1)+(DGKC!F65-DGKC!E65))</f>
        <v>55357.823000000004</v>
      </c>
      <c r="I1263" s="165">
        <f t="shared" si="57"/>
        <v>70.697873722382468</v>
      </c>
      <c r="J1263" s="165">
        <v>70.697873722382468</v>
      </c>
      <c r="K1263" s="169">
        <f t="shared" si="58"/>
        <v>0</v>
      </c>
      <c r="L1263" s="165">
        <v>87</v>
      </c>
      <c r="M1263" s="151">
        <v>0</v>
      </c>
      <c r="N1263" s="151" t="str">
        <f t="shared" si="59"/>
        <v>No fit</v>
      </c>
      <c r="O1263" s="174" t="s">
        <v>7958</v>
      </c>
      <c r="P1263" s="174" t="s">
        <v>6051</v>
      </c>
    </row>
    <row r="1264" spans="1:16" ht="64.05" customHeight="1" x14ac:dyDescent="0.3">
      <c r="A1264" s="154" t="s">
        <v>7959</v>
      </c>
      <c r="B1264" s="154" t="s">
        <v>7932</v>
      </c>
      <c r="C1264" s="154" t="s">
        <v>86</v>
      </c>
      <c r="D1264" s="154">
        <v>2023</v>
      </c>
      <c r="E1264" s="154" t="s">
        <v>190</v>
      </c>
      <c r="F1264" s="173" t="s">
        <v>6183</v>
      </c>
      <c r="G1264" s="166">
        <f>(365*(DGKC!F51+'Forensic Inputs'!$G$51))</f>
        <v>3913680.38</v>
      </c>
      <c r="H1264" s="166">
        <f>((DGKC!F85*-1)+(DGKC!F31-DGKC!E31))</f>
        <v>58319.701000000001</v>
      </c>
      <c r="I1264" s="164">
        <f t="shared" si="57"/>
        <v>67.107346452273475</v>
      </c>
      <c r="J1264" s="164">
        <v>67.107346452273475</v>
      </c>
      <c r="K1264" s="168">
        <f t="shared" si="58"/>
        <v>0</v>
      </c>
      <c r="L1264" s="164">
        <v>87</v>
      </c>
      <c r="M1264" s="154">
        <v>0</v>
      </c>
      <c r="N1264" s="154" t="str">
        <f t="shared" si="59"/>
        <v>No fit</v>
      </c>
      <c r="O1264" s="173" t="s">
        <v>7960</v>
      </c>
      <c r="P1264" s="173" t="s">
        <v>6051</v>
      </c>
    </row>
    <row r="1265" spans="1:16" ht="64.05" customHeight="1" x14ac:dyDescent="0.3">
      <c r="A1265" s="151" t="s">
        <v>7961</v>
      </c>
      <c r="B1265" s="151" t="s">
        <v>7932</v>
      </c>
      <c r="C1265" s="151" t="s">
        <v>86</v>
      </c>
      <c r="D1265" s="151">
        <v>2023</v>
      </c>
      <c r="E1265" s="151" t="s">
        <v>190</v>
      </c>
      <c r="F1265" s="174" t="s">
        <v>6186</v>
      </c>
      <c r="G1265" s="167">
        <f>(365*AVERAGE((DGKC!E51+'Forensic Inputs'!$G$46),(DGKC!F51+'Forensic Inputs'!$G$51)))</f>
        <v>3710932.1875</v>
      </c>
      <c r="H1265" s="167">
        <f>(DGKC!F85*-1)</f>
        <v>55428.046000000002</v>
      </c>
      <c r="I1265" s="165">
        <f t="shared" si="57"/>
        <v>66.950442155222277</v>
      </c>
      <c r="J1265" s="165">
        <v>66.950442155222277</v>
      </c>
      <c r="K1265" s="169">
        <f t="shared" si="58"/>
        <v>0</v>
      </c>
      <c r="L1265" s="165">
        <v>87</v>
      </c>
      <c r="M1265" s="151">
        <v>0</v>
      </c>
      <c r="N1265" s="151" t="str">
        <f t="shared" si="59"/>
        <v>No fit</v>
      </c>
      <c r="O1265" s="174" t="s">
        <v>7962</v>
      </c>
      <c r="P1265" s="174" t="s">
        <v>6051</v>
      </c>
    </row>
    <row r="1266" spans="1:16" ht="64.05" customHeight="1" x14ac:dyDescent="0.3">
      <c r="A1266" s="154" t="s">
        <v>7963</v>
      </c>
      <c r="B1266" s="154" t="s">
        <v>7932</v>
      </c>
      <c r="C1266" s="154" t="s">
        <v>86</v>
      </c>
      <c r="D1266" s="154">
        <v>2023</v>
      </c>
      <c r="E1266" s="154" t="s">
        <v>190</v>
      </c>
      <c r="F1266" s="173" t="s">
        <v>6189</v>
      </c>
      <c r="G1266" s="166">
        <f>(365*AVERAGE((DGKC!E51+'Forensic Inputs'!$G$46),(DGKC!F51+'Forensic Inputs'!$G$51)))</f>
        <v>3710932.1875</v>
      </c>
      <c r="H1266" s="166">
        <f>DGKC!F84</f>
        <v>64983.821000000004</v>
      </c>
      <c r="I1266" s="164">
        <f t="shared" si="57"/>
        <v>57.105478415927557</v>
      </c>
      <c r="J1266" s="164">
        <v>57.105478415927557</v>
      </c>
      <c r="K1266" s="168">
        <f t="shared" si="58"/>
        <v>0</v>
      </c>
      <c r="L1266" s="164">
        <v>87</v>
      </c>
      <c r="M1266" s="154">
        <v>0</v>
      </c>
      <c r="N1266" s="154" t="str">
        <f t="shared" si="59"/>
        <v>No fit</v>
      </c>
      <c r="O1266" s="173" t="s">
        <v>7964</v>
      </c>
      <c r="P1266" s="173" t="s">
        <v>6051</v>
      </c>
    </row>
    <row r="1267" spans="1:16" ht="64.05" customHeight="1" x14ac:dyDescent="0.3">
      <c r="A1267" s="151" t="s">
        <v>7965</v>
      </c>
      <c r="B1267" s="151" t="s">
        <v>7932</v>
      </c>
      <c r="C1267" s="151" t="s">
        <v>86</v>
      </c>
      <c r="D1267" s="151">
        <v>2023</v>
      </c>
      <c r="E1267" s="151" t="s">
        <v>190</v>
      </c>
      <c r="F1267" s="174" t="s">
        <v>6192</v>
      </c>
      <c r="G1267" s="167">
        <f>(365*AVERAGE((DGKC!E51+'Forensic Inputs'!$G$46),(DGKC!F51+'Forensic Inputs'!$G$51)))</f>
        <v>3710932.1875</v>
      </c>
      <c r="H1267" s="167">
        <f>((DGKC!F85*-1)+(DGKC!F65-DGKC!E65))</f>
        <v>55357.823000000004</v>
      </c>
      <c r="I1267" s="165">
        <f t="shared" si="57"/>
        <v>67.035370727999904</v>
      </c>
      <c r="J1267" s="165">
        <v>67.035370727999904</v>
      </c>
      <c r="K1267" s="169">
        <f t="shared" si="58"/>
        <v>0</v>
      </c>
      <c r="L1267" s="165">
        <v>87</v>
      </c>
      <c r="M1267" s="151">
        <v>0</v>
      </c>
      <c r="N1267" s="151" t="str">
        <f t="shared" si="59"/>
        <v>No fit</v>
      </c>
      <c r="O1267" s="174" t="s">
        <v>7966</v>
      </c>
      <c r="P1267" s="174" t="s">
        <v>6051</v>
      </c>
    </row>
    <row r="1268" spans="1:16" ht="64.05" customHeight="1" x14ac:dyDescent="0.3">
      <c r="A1268" s="154" t="s">
        <v>7967</v>
      </c>
      <c r="B1268" s="154" t="s">
        <v>7932</v>
      </c>
      <c r="C1268" s="154" t="s">
        <v>86</v>
      </c>
      <c r="D1268" s="154">
        <v>2023</v>
      </c>
      <c r="E1268" s="154" t="s">
        <v>190</v>
      </c>
      <c r="F1268" s="173" t="s">
        <v>6195</v>
      </c>
      <c r="G1268" s="166">
        <f>(365*AVERAGE((DGKC!E51+'Forensic Inputs'!$G$46),(DGKC!F51+'Forensic Inputs'!$G$51)))</f>
        <v>3710932.1875</v>
      </c>
      <c r="H1268" s="166">
        <f>((DGKC!F85*-1)+(DGKC!F31-DGKC!E31))</f>
        <v>58319.701000000001</v>
      </c>
      <c r="I1268" s="164">
        <f t="shared" si="57"/>
        <v>63.630850705150216</v>
      </c>
      <c r="J1268" s="164">
        <v>63.630850705150216</v>
      </c>
      <c r="K1268" s="168">
        <f t="shared" si="58"/>
        <v>0</v>
      </c>
      <c r="L1268" s="164">
        <v>87</v>
      </c>
      <c r="M1268" s="154">
        <v>0</v>
      </c>
      <c r="N1268" s="154" t="str">
        <f t="shared" si="59"/>
        <v>No fit</v>
      </c>
      <c r="O1268" s="173" t="s">
        <v>7968</v>
      </c>
      <c r="P1268" s="173" t="s">
        <v>6051</v>
      </c>
    </row>
    <row r="1269" spans="1:16" ht="64.05" customHeight="1" x14ac:dyDescent="0.3">
      <c r="A1269" s="151" t="s">
        <v>7969</v>
      </c>
      <c r="B1269" s="151" t="s">
        <v>7932</v>
      </c>
      <c r="C1269" s="151" t="s">
        <v>86</v>
      </c>
      <c r="D1269" s="151">
        <v>2023</v>
      </c>
      <c r="E1269" s="151" t="s">
        <v>190</v>
      </c>
      <c r="F1269" s="174" t="s">
        <v>6198</v>
      </c>
      <c r="G1269" s="167">
        <f>(365*(DGKC!F50-'Forensic Inputs'!$G$52))</f>
        <v>4157403.6550000003</v>
      </c>
      <c r="H1269" s="167">
        <f>(DGKC!F85*-1)</f>
        <v>55428.046000000002</v>
      </c>
      <c r="I1269" s="165">
        <f t="shared" si="57"/>
        <v>75.005416120929112</v>
      </c>
      <c r="J1269" s="165">
        <v>75.005416120929112</v>
      </c>
      <c r="K1269" s="169">
        <f t="shared" si="58"/>
        <v>0</v>
      </c>
      <c r="L1269" s="165">
        <v>87</v>
      </c>
      <c r="M1269" s="151">
        <v>0</v>
      </c>
      <c r="N1269" s="151" t="str">
        <f t="shared" si="59"/>
        <v>No fit</v>
      </c>
      <c r="O1269" s="174" t="s">
        <v>7970</v>
      </c>
      <c r="P1269" s="174" t="s">
        <v>6051</v>
      </c>
    </row>
    <row r="1270" spans="1:16" ht="64.05" customHeight="1" x14ac:dyDescent="0.3">
      <c r="A1270" s="154" t="s">
        <v>7971</v>
      </c>
      <c r="B1270" s="154" t="s">
        <v>7932</v>
      </c>
      <c r="C1270" s="154" t="s">
        <v>86</v>
      </c>
      <c r="D1270" s="154">
        <v>2023</v>
      </c>
      <c r="E1270" s="154" t="s">
        <v>190</v>
      </c>
      <c r="F1270" s="173" t="s">
        <v>6201</v>
      </c>
      <c r="G1270" s="166">
        <f>(365*(DGKC!F50-'Forensic Inputs'!$G$52))</f>
        <v>4157403.6550000003</v>
      </c>
      <c r="H1270" s="166">
        <f>DGKC!F84</f>
        <v>64983.821000000004</v>
      </c>
      <c r="I1270" s="164">
        <f t="shared" si="57"/>
        <v>63.975980344399879</v>
      </c>
      <c r="J1270" s="164">
        <v>63.975980344399879</v>
      </c>
      <c r="K1270" s="168">
        <f t="shared" si="58"/>
        <v>0</v>
      </c>
      <c r="L1270" s="164">
        <v>87</v>
      </c>
      <c r="M1270" s="154">
        <v>0</v>
      </c>
      <c r="N1270" s="154" t="str">
        <f t="shared" si="59"/>
        <v>No fit</v>
      </c>
      <c r="O1270" s="173" t="s">
        <v>7972</v>
      </c>
      <c r="P1270" s="173" t="s">
        <v>6051</v>
      </c>
    </row>
    <row r="1271" spans="1:16" ht="64.05" customHeight="1" x14ac:dyDescent="0.3">
      <c r="A1271" s="151" t="s">
        <v>7973</v>
      </c>
      <c r="B1271" s="151" t="s">
        <v>7932</v>
      </c>
      <c r="C1271" s="151" t="s">
        <v>86</v>
      </c>
      <c r="D1271" s="151">
        <v>2023</v>
      </c>
      <c r="E1271" s="151" t="s">
        <v>190</v>
      </c>
      <c r="F1271" s="174" t="s">
        <v>6204</v>
      </c>
      <c r="G1271" s="167">
        <f>(365*(DGKC!F50-'Forensic Inputs'!$G$52))</f>
        <v>4157403.6550000003</v>
      </c>
      <c r="H1271" s="167">
        <f>((DGKC!F85*-1)+(DGKC!F65-DGKC!E65))</f>
        <v>55357.823000000004</v>
      </c>
      <c r="I1271" s="165">
        <f t="shared" si="57"/>
        <v>75.100562661215918</v>
      </c>
      <c r="J1271" s="165">
        <v>75.100562661215918</v>
      </c>
      <c r="K1271" s="169">
        <f t="shared" si="58"/>
        <v>0</v>
      </c>
      <c r="L1271" s="165">
        <v>87</v>
      </c>
      <c r="M1271" s="151">
        <v>0</v>
      </c>
      <c r="N1271" s="151" t="str">
        <f t="shared" si="59"/>
        <v>No fit</v>
      </c>
      <c r="O1271" s="174" t="s">
        <v>7974</v>
      </c>
      <c r="P1271" s="174" t="s">
        <v>6051</v>
      </c>
    </row>
    <row r="1272" spans="1:16" ht="64.05" customHeight="1" x14ac:dyDescent="0.3">
      <c r="A1272" s="154" t="s">
        <v>7975</v>
      </c>
      <c r="B1272" s="154" t="s">
        <v>7932</v>
      </c>
      <c r="C1272" s="154" t="s">
        <v>86</v>
      </c>
      <c r="D1272" s="154">
        <v>2023</v>
      </c>
      <c r="E1272" s="154" t="s">
        <v>190</v>
      </c>
      <c r="F1272" s="173" t="s">
        <v>6207</v>
      </c>
      <c r="G1272" s="166">
        <f>(365*(DGKC!F50-'Forensic Inputs'!$G$52))</f>
        <v>4157403.6550000003</v>
      </c>
      <c r="H1272" s="166">
        <f>((DGKC!F85*-1)+(DGKC!F31-DGKC!E31))</f>
        <v>58319.701000000001</v>
      </c>
      <c r="I1272" s="164">
        <f t="shared" si="57"/>
        <v>71.286436379363465</v>
      </c>
      <c r="J1272" s="164">
        <v>71.286436379363465</v>
      </c>
      <c r="K1272" s="168">
        <f t="shared" si="58"/>
        <v>0</v>
      </c>
      <c r="L1272" s="164">
        <v>87</v>
      </c>
      <c r="M1272" s="154">
        <v>0</v>
      </c>
      <c r="N1272" s="154" t="str">
        <f t="shared" si="59"/>
        <v>No fit</v>
      </c>
      <c r="O1272" s="173" t="s">
        <v>7976</v>
      </c>
      <c r="P1272" s="173" t="s">
        <v>6051</v>
      </c>
    </row>
    <row r="1273" spans="1:16" ht="64.05" customHeight="1" x14ac:dyDescent="0.3">
      <c r="A1273" s="151" t="s">
        <v>7977</v>
      </c>
      <c r="B1273" s="151" t="s">
        <v>7932</v>
      </c>
      <c r="C1273" s="151" t="s">
        <v>86</v>
      </c>
      <c r="D1273" s="151">
        <v>2023</v>
      </c>
      <c r="E1273" s="151" t="s">
        <v>190</v>
      </c>
      <c r="F1273" s="174" t="s">
        <v>6210</v>
      </c>
      <c r="G1273" s="167">
        <f>(365*AVERAGE((DGKC!E50-'Forensic Inputs'!$G$47),(DGKC!F50-'Forensic Inputs'!$G$52)))</f>
        <v>4108667.2125000004</v>
      </c>
      <c r="H1273" s="167">
        <f>(DGKC!F85*-1)</f>
        <v>55428.046000000002</v>
      </c>
      <c r="I1273" s="165">
        <f t="shared" si="57"/>
        <v>74.126142070748813</v>
      </c>
      <c r="J1273" s="165">
        <v>74.126142070748813</v>
      </c>
      <c r="K1273" s="169">
        <f t="shared" si="58"/>
        <v>0</v>
      </c>
      <c r="L1273" s="165">
        <v>87</v>
      </c>
      <c r="M1273" s="151">
        <v>0</v>
      </c>
      <c r="N1273" s="151" t="str">
        <f t="shared" si="59"/>
        <v>No fit</v>
      </c>
      <c r="O1273" s="174" t="s">
        <v>7978</v>
      </c>
      <c r="P1273" s="174" t="s">
        <v>6051</v>
      </c>
    </row>
    <row r="1274" spans="1:16" ht="64.05" customHeight="1" x14ac:dyDescent="0.3">
      <c r="A1274" s="154" t="s">
        <v>7979</v>
      </c>
      <c r="B1274" s="154" t="s">
        <v>7932</v>
      </c>
      <c r="C1274" s="154" t="s">
        <v>86</v>
      </c>
      <c r="D1274" s="154">
        <v>2023</v>
      </c>
      <c r="E1274" s="154" t="s">
        <v>190</v>
      </c>
      <c r="F1274" s="173" t="s">
        <v>6213</v>
      </c>
      <c r="G1274" s="166">
        <f>(365*AVERAGE((DGKC!E50-'Forensic Inputs'!$G$47),(DGKC!F50-'Forensic Inputs'!$G$52)))</f>
        <v>4108667.2125000004</v>
      </c>
      <c r="H1274" s="166">
        <f>DGKC!F84</f>
        <v>64983.821000000004</v>
      </c>
      <c r="I1274" s="164">
        <f t="shared" si="57"/>
        <v>63.226002246005201</v>
      </c>
      <c r="J1274" s="164">
        <v>63.226002246005201</v>
      </c>
      <c r="K1274" s="168">
        <f t="shared" si="58"/>
        <v>0</v>
      </c>
      <c r="L1274" s="164">
        <v>87</v>
      </c>
      <c r="M1274" s="154">
        <v>0</v>
      </c>
      <c r="N1274" s="154" t="str">
        <f t="shared" si="59"/>
        <v>No fit</v>
      </c>
      <c r="O1274" s="173" t="s">
        <v>7980</v>
      </c>
      <c r="P1274" s="173" t="s">
        <v>6051</v>
      </c>
    </row>
    <row r="1275" spans="1:16" ht="64.05" customHeight="1" x14ac:dyDescent="0.3">
      <c r="A1275" s="151" t="s">
        <v>7981</v>
      </c>
      <c r="B1275" s="151" t="s">
        <v>7932</v>
      </c>
      <c r="C1275" s="151" t="s">
        <v>86</v>
      </c>
      <c r="D1275" s="151">
        <v>2023</v>
      </c>
      <c r="E1275" s="151" t="s">
        <v>190</v>
      </c>
      <c r="F1275" s="174" t="s">
        <v>6216</v>
      </c>
      <c r="G1275" s="167">
        <f>(365*AVERAGE((DGKC!E50-'Forensic Inputs'!$G$47),(DGKC!F50-'Forensic Inputs'!$G$52)))</f>
        <v>4108667.2125000004</v>
      </c>
      <c r="H1275" s="167">
        <f>((DGKC!F85*-1)+(DGKC!F65-DGKC!E65))</f>
        <v>55357.823000000004</v>
      </c>
      <c r="I1275" s="165">
        <f t="shared" si="57"/>
        <v>74.220173226465207</v>
      </c>
      <c r="J1275" s="165">
        <v>74.220173226465207</v>
      </c>
      <c r="K1275" s="169">
        <f t="shared" si="58"/>
        <v>0</v>
      </c>
      <c r="L1275" s="165">
        <v>87</v>
      </c>
      <c r="M1275" s="151">
        <v>0</v>
      </c>
      <c r="N1275" s="151" t="str">
        <f t="shared" si="59"/>
        <v>No fit</v>
      </c>
      <c r="O1275" s="174" t="s">
        <v>7982</v>
      </c>
      <c r="P1275" s="174" t="s">
        <v>6051</v>
      </c>
    </row>
    <row r="1276" spans="1:16" ht="64.05" customHeight="1" x14ac:dyDescent="0.3">
      <c r="A1276" s="154" t="s">
        <v>7983</v>
      </c>
      <c r="B1276" s="154" t="s">
        <v>7932</v>
      </c>
      <c r="C1276" s="154" t="s">
        <v>86</v>
      </c>
      <c r="D1276" s="154">
        <v>2023</v>
      </c>
      <c r="E1276" s="154" t="s">
        <v>190</v>
      </c>
      <c r="F1276" s="173" t="s">
        <v>6219</v>
      </c>
      <c r="G1276" s="166">
        <f>(365*AVERAGE((DGKC!E50-'Forensic Inputs'!$G$47),(DGKC!F50-'Forensic Inputs'!$G$52)))</f>
        <v>4108667.2125000004</v>
      </c>
      <c r="H1276" s="166">
        <f>((DGKC!F85*-1)+(DGKC!F31-DGKC!E31))</f>
        <v>58319.701000000001</v>
      </c>
      <c r="I1276" s="164">
        <f t="shared" si="57"/>
        <v>70.45075921256867</v>
      </c>
      <c r="J1276" s="164">
        <v>70.45075921256867</v>
      </c>
      <c r="K1276" s="168">
        <f t="shared" si="58"/>
        <v>0</v>
      </c>
      <c r="L1276" s="164">
        <v>87</v>
      </c>
      <c r="M1276" s="154">
        <v>0</v>
      </c>
      <c r="N1276" s="154" t="str">
        <f t="shared" si="59"/>
        <v>No fit</v>
      </c>
      <c r="O1276" s="173" t="s">
        <v>7984</v>
      </c>
      <c r="P1276" s="173" t="s">
        <v>6051</v>
      </c>
    </row>
    <row r="1277" spans="1:16" ht="64.05" customHeight="1" x14ac:dyDescent="0.3">
      <c r="A1277" s="151" t="s">
        <v>7985</v>
      </c>
      <c r="B1277" s="151" t="s">
        <v>7932</v>
      </c>
      <c r="C1277" s="151" t="s">
        <v>86</v>
      </c>
      <c r="D1277" s="151">
        <v>2023</v>
      </c>
      <c r="E1277" s="151" t="s">
        <v>190</v>
      </c>
      <c r="F1277" s="174" t="s">
        <v>6222</v>
      </c>
      <c r="G1277" s="167">
        <f>(365*'Forensic Inputs'!$G$55)</f>
        <v>3580097.0250000004</v>
      </c>
      <c r="H1277" s="167">
        <f>(DGKC!F85*-1)</f>
        <v>55428.046000000002</v>
      </c>
      <c r="I1277" s="165">
        <f t="shared" si="57"/>
        <v>64.589991590178016</v>
      </c>
      <c r="J1277" s="165">
        <v>64.589991590178016</v>
      </c>
      <c r="K1277" s="169">
        <f t="shared" si="58"/>
        <v>0</v>
      </c>
      <c r="L1277" s="165">
        <v>87</v>
      </c>
      <c r="M1277" s="151">
        <v>0</v>
      </c>
      <c r="N1277" s="151" t="str">
        <f t="shared" si="59"/>
        <v>No fit</v>
      </c>
      <c r="O1277" s="174" t="s">
        <v>7986</v>
      </c>
      <c r="P1277" s="174" t="s">
        <v>6051</v>
      </c>
    </row>
    <row r="1278" spans="1:16" ht="64.05" customHeight="1" x14ac:dyDescent="0.3">
      <c r="A1278" s="154" t="s">
        <v>7987</v>
      </c>
      <c r="B1278" s="154" t="s">
        <v>7932</v>
      </c>
      <c r="C1278" s="154" t="s">
        <v>86</v>
      </c>
      <c r="D1278" s="154">
        <v>2023</v>
      </c>
      <c r="E1278" s="154" t="s">
        <v>190</v>
      </c>
      <c r="F1278" s="173" t="s">
        <v>6225</v>
      </c>
      <c r="G1278" s="166">
        <f>(365*'Forensic Inputs'!$G$55)</f>
        <v>3580097.0250000004</v>
      </c>
      <c r="H1278" s="166">
        <f>DGKC!F84</f>
        <v>64983.821000000004</v>
      </c>
      <c r="I1278" s="164">
        <f t="shared" si="57"/>
        <v>55.092128623830845</v>
      </c>
      <c r="J1278" s="164">
        <v>55.092128623830845</v>
      </c>
      <c r="K1278" s="168">
        <f t="shared" si="58"/>
        <v>0</v>
      </c>
      <c r="L1278" s="164">
        <v>87</v>
      </c>
      <c r="M1278" s="154">
        <v>0</v>
      </c>
      <c r="N1278" s="154" t="str">
        <f t="shared" si="59"/>
        <v>No fit</v>
      </c>
      <c r="O1278" s="173" t="s">
        <v>7988</v>
      </c>
      <c r="P1278" s="173" t="s">
        <v>6051</v>
      </c>
    </row>
    <row r="1279" spans="1:16" ht="64.05" customHeight="1" x14ac:dyDescent="0.3">
      <c r="A1279" s="151" t="s">
        <v>7989</v>
      </c>
      <c r="B1279" s="151" t="s">
        <v>7932</v>
      </c>
      <c r="C1279" s="151" t="s">
        <v>86</v>
      </c>
      <c r="D1279" s="151">
        <v>2023</v>
      </c>
      <c r="E1279" s="151" t="s">
        <v>190</v>
      </c>
      <c r="F1279" s="174" t="s">
        <v>6228</v>
      </c>
      <c r="G1279" s="167">
        <f>(365*'Forensic Inputs'!$G$55)</f>
        <v>3580097.0250000004</v>
      </c>
      <c r="H1279" s="167">
        <f>((DGKC!F85*-1)+(DGKC!F65-DGKC!E65))</f>
        <v>55357.823000000004</v>
      </c>
      <c r="I1279" s="165">
        <f t="shared" si="57"/>
        <v>64.671925863125068</v>
      </c>
      <c r="J1279" s="165">
        <v>64.671925863125068</v>
      </c>
      <c r="K1279" s="169">
        <f t="shared" si="58"/>
        <v>0</v>
      </c>
      <c r="L1279" s="165">
        <v>87</v>
      </c>
      <c r="M1279" s="151">
        <v>0</v>
      </c>
      <c r="N1279" s="151" t="str">
        <f t="shared" si="59"/>
        <v>No fit</v>
      </c>
      <c r="O1279" s="174" t="s">
        <v>7990</v>
      </c>
      <c r="P1279" s="174" t="s">
        <v>6051</v>
      </c>
    </row>
    <row r="1280" spans="1:16" ht="64.05" customHeight="1" x14ac:dyDescent="0.3">
      <c r="A1280" s="154" t="s">
        <v>7991</v>
      </c>
      <c r="B1280" s="154" t="s">
        <v>7932</v>
      </c>
      <c r="C1280" s="154" t="s">
        <v>86</v>
      </c>
      <c r="D1280" s="154">
        <v>2023</v>
      </c>
      <c r="E1280" s="154" t="s">
        <v>190</v>
      </c>
      <c r="F1280" s="173" t="s">
        <v>6231</v>
      </c>
      <c r="G1280" s="166">
        <f>(365*'Forensic Inputs'!$G$55)</f>
        <v>3580097.0250000004</v>
      </c>
      <c r="H1280" s="166">
        <f>((DGKC!F85*-1)+(DGKC!F31-DGKC!E31))</f>
        <v>58319.701000000001</v>
      </c>
      <c r="I1280" s="164">
        <f t="shared" si="57"/>
        <v>61.387437925993488</v>
      </c>
      <c r="J1280" s="164">
        <v>61.387437925993488</v>
      </c>
      <c r="K1280" s="168">
        <f t="shared" si="58"/>
        <v>0</v>
      </c>
      <c r="L1280" s="164">
        <v>87</v>
      </c>
      <c r="M1280" s="154">
        <v>0</v>
      </c>
      <c r="N1280" s="154" t="str">
        <f t="shared" si="59"/>
        <v>No fit</v>
      </c>
      <c r="O1280" s="173" t="s">
        <v>7992</v>
      </c>
      <c r="P1280" s="173" t="s">
        <v>6051</v>
      </c>
    </row>
    <row r="1281" spans="1:16" ht="64.05" customHeight="1" x14ac:dyDescent="0.3">
      <c r="A1281" s="151" t="s">
        <v>7993</v>
      </c>
      <c r="B1281" s="151" t="s">
        <v>7932</v>
      </c>
      <c r="C1281" s="151" t="s">
        <v>86</v>
      </c>
      <c r="D1281" s="151">
        <v>2023</v>
      </c>
      <c r="E1281" s="151" t="s">
        <v>190</v>
      </c>
      <c r="F1281" s="174" t="s">
        <v>6234</v>
      </c>
      <c r="G1281" s="167">
        <f>(365*AVERAGE('Forensic Inputs'!$G$50,'Forensic Inputs'!$G$55))</f>
        <v>3370771.1675</v>
      </c>
      <c r="H1281" s="167">
        <f>(DGKC!F85*-1)</f>
        <v>55428.046000000002</v>
      </c>
      <c r="I1281" s="165">
        <f t="shared" si="57"/>
        <v>60.813458361855297</v>
      </c>
      <c r="J1281" s="165">
        <v>60.813458361855297</v>
      </c>
      <c r="K1281" s="169">
        <f t="shared" si="58"/>
        <v>0</v>
      </c>
      <c r="L1281" s="165">
        <v>87</v>
      </c>
      <c r="M1281" s="151">
        <v>0</v>
      </c>
      <c r="N1281" s="151" t="str">
        <f t="shared" si="59"/>
        <v>No fit</v>
      </c>
      <c r="O1281" s="174" t="s">
        <v>7994</v>
      </c>
      <c r="P1281" s="174" t="s">
        <v>6051</v>
      </c>
    </row>
    <row r="1282" spans="1:16" ht="64.05" customHeight="1" x14ac:dyDescent="0.3">
      <c r="A1282" s="154" t="s">
        <v>7995</v>
      </c>
      <c r="B1282" s="154" t="s">
        <v>7932</v>
      </c>
      <c r="C1282" s="154" t="s">
        <v>86</v>
      </c>
      <c r="D1282" s="154">
        <v>2023</v>
      </c>
      <c r="E1282" s="154" t="s">
        <v>190</v>
      </c>
      <c r="F1282" s="173" t="s">
        <v>6237</v>
      </c>
      <c r="G1282" s="166">
        <f>(365*AVERAGE('Forensic Inputs'!$G$50,'Forensic Inputs'!$G$55))</f>
        <v>3370771.1675</v>
      </c>
      <c r="H1282" s="166">
        <f>DGKC!F84</f>
        <v>64983.821000000004</v>
      </c>
      <c r="I1282" s="164">
        <f t="shared" si="57"/>
        <v>51.870929034782364</v>
      </c>
      <c r="J1282" s="164">
        <v>51.870929034782364</v>
      </c>
      <c r="K1282" s="168">
        <f t="shared" si="58"/>
        <v>0</v>
      </c>
      <c r="L1282" s="164">
        <v>87</v>
      </c>
      <c r="M1282" s="154">
        <v>0</v>
      </c>
      <c r="N1282" s="154" t="str">
        <f t="shared" si="59"/>
        <v>No fit</v>
      </c>
      <c r="O1282" s="173" t="s">
        <v>7996</v>
      </c>
      <c r="P1282" s="173" t="s">
        <v>6051</v>
      </c>
    </row>
    <row r="1283" spans="1:16" ht="64.05" customHeight="1" x14ac:dyDescent="0.3">
      <c r="A1283" s="151" t="s">
        <v>7997</v>
      </c>
      <c r="B1283" s="151" t="s">
        <v>7932</v>
      </c>
      <c r="C1283" s="151" t="s">
        <v>86</v>
      </c>
      <c r="D1283" s="151">
        <v>2023</v>
      </c>
      <c r="E1283" s="151" t="s">
        <v>190</v>
      </c>
      <c r="F1283" s="174" t="s">
        <v>6240</v>
      </c>
      <c r="G1283" s="167">
        <f>(365*AVERAGE('Forensic Inputs'!$G$50,'Forensic Inputs'!$G$55))</f>
        <v>3370771.1675</v>
      </c>
      <c r="H1283" s="167">
        <f>((DGKC!F85*-1)+(DGKC!F65-DGKC!E65))</f>
        <v>55357.823000000004</v>
      </c>
      <c r="I1283" s="165">
        <f t="shared" si="57"/>
        <v>60.890601993145573</v>
      </c>
      <c r="J1283" s="165">
        <v>60.890601993145573</v>
      </c>
      <c r="K1283" s="169">
        <f t="shared" si="58"/>
        <v>0</v>
      </c>
      <c r="L1283" s="165">
        <v>87</v>
      </c>
      <c r="M1283" s="151">
        <v>0</v>
      </c>
      <c r="N1283" s="151" t="str">
        <f t="shared" si="59"/>
        <v>No fit</v>
      </c>
      <c r="O1283" s="174" t="s">
        <v>7998</v>
      </c>
      <c r="P1283" s="174" t="s">
        <v>6051</v>
      </c>
    </row>
    <row r="1284" spans="1:16" ht="64.05" customHeight="1" x14ac:dyDescent="0.3">
      <c r="A1284" s="154" t="s">
        <v>7999</v>
      </c>
      <c r="B1284" s="154" t="s">
        <v>7932</v>
      </c>
      <c r="C1284" s="154" t="s">
        <v>86</v>
      </c>
      <c r="D1284" s="154">
        <v>2023</v>
      </c>
      <c r="E1284" s="154" t="s">
        <v>190</v>
      </c>
      <c r="F1284" s="173" t="s">
        <v>6243</v>
      </c>
      <c r="G1284" s="166">
        <f>(365*AVERAGE('Forensic Inputs'!$G$50,'Forensic Inputs'!$G$55))</f>
        <v>3370771.1675</v>
      </c>
      <c r="H1284" s="166">
        <f>((DGKC!F85*-1)+(DGKC!F31-DGKC!E31))</f>
        <v>58319.701000000001</v>
      </c>
      <c r="I1284" s="164">
        <f t="shared" si="57"/>
        <v>57.79815584959875</v>
      </c>
      <c r="J1284" s="164">
        <v>57.79815584959875</v>
      </c>
      <c r="K1284" s="168">
        <f t="shared" si="58"/>
        <v>0</v>
      </c>
      <c r="L1284" s="164">
        <v>87</v>
      </c>
      <c r="M1284" s="154">
        <v>0</v>
      </c>
      <c r="N1284" s="154" t="str">
        <f t="shared" si="59"/>
        <v>No fit</v>
      </c>
      <c r="O1284" s="173" t="s">
        <v>8000</v>
      </c>
      <c r="P1284" s="173" t="s">
        <v>6051</v>
      </c>
    </row>
    <row r="1285" spans="1:16" ht="64.05" customHeight="1" x14ac:dyDescent="0.3">
      <c r="A1285" s="151" t="s">
        <v>8001</v>
      </c>
      <c r="B1285" s="151" t="s">
        <v>7932</v>
      </c>
      <c r="C1285" s="151" t="s">
        <v>86</v>
      </c>
      <c r="D1285" s="151">
        <v>2023</v>
      </c>
      <c r="E1285" s="151" t="s">
        <v>190</v>
      </c>
      <c r="F1285" s="174" t="s">
        <v>6246</v>
      </c>
      <c r="G1285" s="167">
        <f>(365*DGKC!F50)</f>
        <v>5030904.1350000007</v>
      </c>
      <c r="H1285" s="167">
        <f>'Forensic Inputs'!$G$79</f>
        <v>56332.883000000002</v>
      </c>
      <c r="I1285" s="165">
        <f t="shared" si="57"/>
        <v>89.306704487324055</v>
      </c>
      <c r="J1285" s="165">
        <v>89.306704487324055</v>
      </c>
      <c r="K1285" s="169">
        <f t="shared" si="58"/>
        <v>0</v>
      </c>
      <c r="L1285" s="165">
        <v>87</v>
      </c>
      <c r="M1285" s="151">
        <v>0</v>
      </c>
      <c r="N1285" s="151" t="str">
        <f t="shared" si="59"/>
        <v>No fit</v>
      </c>
      <c r="O1285" s="174" t="s">
        <v>8002</v>
      </c>
      <c r="P1285" s="174" t="s">
        <v>6051</v>
      </c>
    </row>
    <row r="1286" spans="1:16" ht="64.05" customHeight="1" x14ac:dyDescent="0.3">
      <c r="A1286" s="154" t="s">
        <v>8003</v>
      </c>
      <c r="B1286" s="154" t="s">
        <v>7932</v>
      </c>
      <c r="C1286" s="154" t="s">
        <v>86</v>
      </c>
      <c r="D1286" s="154">
        <v>2023</v>
      </c>
      <c r="E1286" s="154" t="s">
        <v>190</v>
      </c>
      <c r="F1286" s="173" t="s">
        <v>6249</v>
      </c>
      <c r="G1286" s="166">
        <f>(365*AVERAGE(DGKC!E50,DGKC!F50))</f>
        <v>4813438.96</v>
      </c>
      <c r="H1286" s="166">
        <f>'Forensic Inputs'!$G$79</f>
        <v>56332.883000000002</v>
      </c>
      <c r="I1286" s="164">
        <f t="shared" ref="I1286:I1349" si="60">G1286/H1286</f>
        <v>85.446345076995257</v>
      </c>
      <c r="J1286" s="164">
        <v>85.446345076995257</v>
      </c>
      <c r="K1286" s="168">
        <f t="shared" ref="K1286:K1349" si="61">I1286-J1286</f>
        <v>0</v>
      </c>
      <c r="L1286" s="164">
        <v>87</v>
      </c>
      <c r="M1286" s="154">
        <v>0</v>
      </c>
      <c r="N1286" s="154" t="str">
        <f t="shared" ref="N1286:N1349" si="62">IF(ROUND(I1286,M1286)=ROUND(L1286,M1286),"Numeric fit","No fit")</f>
        <v>No fit</v>
      </c>
      <c r="O1286" s="173" t="s">
        <v>8004</v>
      </c>
      <c r="P1286" s="173" t="s">
        <v>6051</v>
      </c>
    </row>
    <row r="1287" spans="1:16" ht="64.05" customHeight="1" x14ac:dyDescent="0.3">
      <c r="A1287" s="151" t="s">
        <v>8005</v>
      </c>
      <c r="B1287" s="151" t="s">
        <v>7932</v>
      </c>
      <c r="C1287" s="151" t="s">
        <v>86</v>
      </c>
      <c r="D1287" s="151">
        <v>2023</v>
      </c>
      <c r="E1287" s="151" t="s">
        <v>190</v>
      </c>
      <c r="F1287" s="174" t="s">
        <v>6252</v>
      </c>
      <c r="G1287" s="167">
        <f>(365*'Forensic Inputs'!$G$69)</f>
        <v>5277048.09</v>
      </c>
      <c r="H1287" s="167">
        <f>'Forensic Inputs'!$G$74</f>
        <v>59820.917000000001</v>
      </c>
      <c r="I1287" s="165">
        <f t="shared" si="60"/>
        <v>88.214095581316471</v>
      </c>
      <c r="J1287" s="165">
        <v>88.214095581316471</v>
      </c>
      <c r="K1287" s="169">
        <f t="shared" si="61"/>
        <v>0</v>
      </c>
      <c r="L1287" s="165">
        <v>87</v>
      </c>
      <c r="M1287" s="151">
        <v>0</v>
      </c>
      <c r="N1287" s="151" t="str">
        <f t="shared" si="62"/>
        <v>No fit</v>
      </c>
      <c r="O1287" s="174" t="s">
        <v>8006</v>
      </c>
      <c r="P1287" s="174" t="s">
        <v>6051</v>
      </c>
    </row>
    <row r="1288" spans="1:16" ht="64.05" customHeight="1" x14ac:dyDescent="0.3">
      <c r="A1288" s="154" t="s">
        <v>8007</v>
      </c>
      <c r="B1288" s="154" t="s">
        <v>7932</v>
      </c>
      <c r="C1288" s="154" t="s">
        <v>86</v>
      </c>
      <c r="D1288" s="154">
        <v>2023</v>
      </c>
      <c r="E1288" s="154" t="s">
        <v>190</v>
      </c>
      <c r="F1288" s="173" t="s">
        <v>6255</v>
      </c>
      <c r="G1288" s="166">
        <f>(365*AVERAGE('Forensic Inputs'!$G$68,'Forensic Inputs'!$G$69))</f>
        <v>4923402.1449999996</v>
      </c>
      <c r="H1288" s="166">
        <f>'Forensic Inputs'!$G$74</f>
        <v>59820.917000000001</v>
      </c>
      <c r="I1288" s="164">
        <f t="shared" si="60"/>
        <v>82.302351617244511</v>
      </c>
      <c r="J1288" s="164">
        <v>82.302351617244511</v>
      </c>
      <c r="K1288" s="168">
        <f t="shared" si="61"/>
        <v>0</v>
      </c>
      <c r="L1288" s="164">
        <v>87</v>
      </c>
      <c r="M1288" s="154">
        <v>0</v>
      </c>
      <c r="N1288" s="154" t="str">
        <f t="shared" si="62"/>
        <v>No fit</v>
      </c>
      <c r="O1288" s="173" t="s">
        <v>8008</v>
      </c>
      <c r="P1288" s="173" t="s">
        <v>6051</v>
      </c>
    </row>
    <row r="1289" spans="1:16" ht="64.05" customHeight="1" x14ac:dyDescent="0.3">
      <c r="A1289" s="151" t="s">
        <v>8009</v>
      </c>
      <c r="B1289" s="151" t="s">
        <v>7932</v>
      </c>
      <c r="C1289" s="151" t="s">
        <v>86</v>
      </c>
      <c r="D1289" s="151">
        <v>2023</v>
      </c>
      <c r="E1289" s="151" t="s">
        <v>190</v>
      </c>
      <c r="F1289" s="174" t="s">
        <v>6258</v>
      </c>
      <c r="G1289" s="167">
        <f>(365*(((('Forensic Inputs'!$G$124+'Forensic Inputs'!$G$125)+'Forensic Inputs'!$G$126)+DGKC!F50)/4))</f>
        <v>4858420.3737499993</v>
      </c>
      <c r="H1289" s="167">
        <f>(DGKC!F85*-1)</f>
        <v>55428.046000000002</v>
      </c>
      <c r="I1289" s="165">
        <f t="shared" si="60"/>
        <v>87.652744853210223</v>
      </c>
      <c r="J1289" s="165">
        <v>87.652744853210223</v>
      </c>
      <c r="K1289" s="169">
        <f t="shared" si="61"/>
        <v>0</v>
      </c>
      <c r="L1289" s="165">
        <v>87</v>
      </c>
      <c r="M1289" s="151">
        <v>0</v>
      </c>
      <c r="N1289" s="151" t="str">
        <f t="shared" si="62"/>
        <v>No fit</v>
      </c>
      <c r="O1289" s="174" t="s">
        <v>8010</v>
      </c>
      <c r="P1289" s="174" t="s">
        <v>6051</v>
      </c>
    </row>
    <row r="1290" spans="1:16" ht="64.05" customHeight="1" x14ac:dyDescent="0.3">
      <c r="A1290" s="154" t="s">
        <v>8011</v>
      </c>
      <c r="B1290" s="154" t="s">
        <v>7932</v>
      </c>
      <c r="C1290" s="154" t="s">
        <v>86</v>
      </c>
      <c r="D1290" s="154">
        <v>2023</v>
      </c>
      <c r="E1290" s="154" t="s">
        <v>190</v>
      </c>
      <c r="F1290" s="173" t="s">
        <v>6261</v>
      </c>
      <c r="G1290" s="166">
        <f>(365*((((('Forensic Inputs'!$G$124+'Forensic Inputs'!$G$125)+'Forensic Inputs'!$G$126)+(DGKC!E50/2))+(DGKC!F50/2))/4))</f>
        <v>4804054.08</v>
      </c>
      <c r="H1290" s="166">
        <f>(DGKC!F85*-1)</f>
        <v>55428.046000000002</v>
      </c>
      <c r="I1290" s="164">
        <f t="shared" si="60"/>
        <v>86.671900358890511</v>
      </c>
      <c r="J1290" s="164">
        <v>86.671900358890511</v>
      </c>
      <c r="K1290" s="168">
        <f t="shared" si="61"/>
        <v>0</v>
      </c>
      <c r="L1290" s="164">
        <v>87</v>
      </c>
      <c r="M1290" s="154">
        <v>0</v>
      </c>
      <c r="N1290" s="154" t="str">
        <f t="shared" si="62"/>
        <v>Numeric fit</v>
      </c>
      <c r="O1290" s="173" t="s">
        <v>8012</v>
      </c>
      <c r="P1290" s="173" t="s">
        <v>6051</v>
      </c>
    </row>
    <row r="1291" spans="1:16" ht="64.05" customHeight="1" x14ac:dyDescent="0.3">
      <c r="A1291" s="151" t="s">
        <v>8013</v>
      </c>
      <c r="B1291" s="151" t="s">
        <v>8014</v>
      </c>
      <c r="C1291" s="151" t="s">
        <v>114</v>
      </c>
      <c r="D1291" s="151">
        <v>2021</v>
      </c>
      <c r="E1291" s="151" t="s">
        <v>187</v>
      </c>
      <c r="F1291" s="174" t="s">
        <v>5893</v>
      </c>
      <c r="G1291" s="167">
        <f>365*AVERAGE(FCCL!C32,FCCL!D32)</f>
        <v>456293.8</v>
      </c>
      <c r="H1291" s="167">
        <f>FCCL!D84</f>
        <v>24271.285</v>
      </c>
      <c r="I1291" s="165">
        <f t="shared" si="60"/>
        <v>18.799738044359827</v>
      </c>
      <c r="J1291" s="165">
        <v>18.799738044359827</v>
      </c>
      <c r="K1291" s="169">
        <f t="shared" si="61"/>
        <v>0</v>
      </c>
      <c r="L1291" s="165">
        <v>19</v>
      </c>
      <c r="M1291" s="151">
        <v>0</v>
      </c>
      <c r="N1291" s="151" t="str">
        <f t="shared" si="62"/>
        <v>Numeric fit</v>
      </c>
      <c r="O1291" s="174" t="s">
        <v>6050</v>
      </c>
      <c r="P1291" s="174" t="s">
        <v>6051</v>
      </c>
    </row>
    <row r="1292" spans="1:16" ht="64.05" customHeight="1" x14ac:dyDescent="0.3">
      <c r="A1292" s="154" t="s">
        <v>8015</v>
      </c>
      <c r="B1292" s="154" t="s">
        <v>8014</v>
      </c>
      <c r="C1292" s="154" t="s">
        <v>114</v>
      </c>
      <c r="D1292" s="154">
        <v>2021</v>
      </c>
      <c r="E1292" s="154" t="s">
        <v>187</v>
      </c>
      <c r="F1292" s="173" t="s">
        <v>6084</v>
      </c>
      <c r="G1292" s="166">
        <f>(365*AVERAGE(FCCL!C32,FCCL!D32))</f>
        <v>456293.8</v>
      </c>
      <c r="H1292" s="166">
        <f>FCCL!D84</f>
        <v>24271.285</v>
      </c>
      <c r="I1292" s="164">
        <f t="shared" si="60"/>
        <v>18.799738044359827</v>
      </c>
      <c r="J1292" s="164">
        <v>18.799738044359827</v>
      </c>
      <c r="K1292" s="168">
        <f t="shared" si="61"/>
        <v>0</v>
      </c>
      <c r="L1292" s="164">
        <v>19</v>
      </c>
      <c r="M1292" s="154">
        <v>0</v>
      </c>
      <c r="N1292" s="154" t="str">
        <f t="shared" si="62"/>
        <v>Numeric fit</v>
      </c>
      <c r="O1292" s="173" t="s">
        <v>6862</v>
      </c>
      <c r="P1292" s="173" t="s">
        <v>6051</v>
      </c>
    </row>
    <row r="1293" spans="1:16" ht="64.05" customHeight="1" x14ac:dyDescent="0.3">
      <c r="A1293" s="151" t="s">
        <v>8016</v>
      </c>
      <c r="B1293" s="151" t="s">
        <v>8014</v>
      </c>
      <c r="C1293" s="151" t="s">
        <v>114</v>
      </c>
      <c r="D1293" s="151">
        <v>2021</v>
      </c>
      <c r="E1293" s="151" t="s">
        <v>187</v>
      </c>
      <c r="F1293" s="174" t="s">
        <v>5814</v>
      </c>
      <c r="G1293" s="167">
        <f>(366*AVERAGE(FCCL!C32,FCCL!D32))</f>
        <v>457543.92</v>
      </c>
      <c r="H1293" s="167">
        <f>FCCL!D84</f>
        <v>24271.285</v>
      </c>
      <c r="I1293" s="165">
        <f t="shared" si="60"/>
        <v>18.85124417598821</v>
      </c>
      <c r="J1293" s="165">
        <v>18.85124417598821</v>
      </c>
      <c r="K1293" s="169">
        <f t="shared" si="61"/>
        <v>0</v>
      </c>
      <c r="L1293" s="165">
        <v>19</v>
      </c>
      <c r="M1293" s="151">
        <v>0</v>
      </c>
      <c r="N1293" s="151" t="str">
        <f t="shared" si="62"/>
        <v>Numeric fit</v>
      </c>
      <c r="O1293" s="174" t="s">
        <v>6862</v>
      </c>
      <c r="P1293" s="174" t="s">
        <v>6051</v>
      </c>
    </row>
    <row r="1294" spans="1:16" ht="64.05" customHeight="1" x14ac:dyDescent="0.3">
      <c r="A1294" s="154" t="s">
        <v>8017</v>
      </c>
      <c r="B1294" s="154" t="s">
        <v>8014</v>
      </c>
      <c r="C1294" s="154" t="s">
        <v>114</v>
      </c>
      <c r="D1294" s="154">
        <v>2021</v>
      </c>
      <c r="E1294" s="154" t="s">
        <v>187</v>
      </c>
      <c r="F1294" s="173" t="s">
        <v>6088</v>
      </c>
      <c r="G1294" s="166">
        <f>(360*AVERAGE(FCCL!C32,FCCL!D32))</f>
        <v>450043.19999999995</v>
      </c>
      <c r="H1294" s="166">
        <f>FCCL!D84</f>
        <v>24271.285</v>
      </c>
      <c r="I1294" s="164">
        <f t="shared" si="60"/>
        <v>18.54220738621791</v>
      </c>
      <c r="J1294" s="164">
        <v>18.54220738621791</v>
      </c>
      <c r="K1294" s="168">
        <f t="shared" si="61"/>
        <v>0</v>
      </c>
      <c r="L1294" s="164">
        <v>19</v>
      </c>
      <c r="M1294" s="154">
        <v>0</v>
      </c>
      <c r="N1294" s="154" t="str">
        <f t="shared" si="62"/>
        <v>Numeric fit</v>
      </c>
      <c r="O1294" s="173" t="s">
        <v>6862</v>
      </c>
      <c r="P1294" s="173" t="s">
        <v>6051</v>
      </c>
    </row>
    <row r="1295" spans="1:16" ht="64.05" customHeight="1" x14ac:dyDescent="0.3">
      <c r="A1295" s="151" t="s">
        <v>8018</v>
      </c>
      <c r="B1295" s="151" t="s">
        <v>8014</v>
      </c>
      <c r="C1295" s="151" t="s">
        <v>114</v>
      </c>
      <c r="D1295" s="151">
        <v>2021</v>
      </c>
      <c r="E1295" s="151" t="s">
        <v>187</v>
      </c>
      <c r="F1295" s="174" t="s">
        <v>6090</v>
      </c>
      <c r="G1295" s="167">
        <f>(365*FCCL!D32)</f>
        <v>529104</v>
      </c>
      <c r="H1295" s="167">
        <f>FCCL!D84</f>
        <v>24271.285</v>
      </c>
      <c r="I1295" s="165">
        <f t="shared" si="60"/>
        <v>21.799587454887536</v>
      </c>
      <c r="J1295" s="165">
        <v>21.799587454887536</v>
      </c>
      <c r="K1295" s="169">
        <f t="shared" si="61"/>
        <v>0</v>
      </c>
      <c r="L1295" s="165">
        <v>19</v>
      </c>
      <c r="M1295" s="151">
        <v>0</v>
      </c>
      <c r="N1295" s="151" t="str">
        <f t="shared" si="62"/>
        <v>No fit</v>
      </c>
      <c r="O1295" s="174" t="s">
        <v>6866</v>
      </c>
      <c r="P1295" s="174" t="s">
        <v>6051</v>
      </c>
    </row>
    <row r="1296" spans="1:16" ht="64.05" customHeight="1" x14ac:dyDescent="0.3">
      <c r="A1296" s="154" t="s">
        <v>8019</v>
      </c>
      <c r="B1296" s="154" t="s">
        <v>8014</v>
      </c>
      <c r="C1296" s="154" t="s">
        <v>114</v>
      </c>
      <c r="D1296" s="154">
        <v>2021</v>
      </c>
      <c r="E1296" s="154" t="s">
        <v>187</v>
      </c>
      <c r="F1296" s="173" t="s">
        <v>6093</v>
      </c>
      <c r="G1296" s="166">
        <f>(366*FCCL!D32)</f>
        <v>530553.59999999998</v>
      </c>
      <c r="H1296" s="166">
        <f>FCCL!D84</f>
        <v>24271.285</v>
      </c>
      <c r="I1296" s="164">
        <f t="shared" si="60"/>
        <v>21.859312352024212</v>
      </c>
      <c r="J1296" s="164">
        <v>21.859312352024212</v>
      </c>
      <c r="K1296" s="168">
        <f t="shared" si="61"/>
        <v>0</v>
      </c>
      <c r="L1296" s="164">
        <v>19</v>
      </c>
      <c r="M1296" s="154">
        <v>0</v>
      </c>
      <c r="N1296" s="154" t="str">
        <f t="shared" si="62"/>
        <v>No fit</v>
      </c>
      <c r="O1296" s="173" t="s">
        <v>6866</v>
      </c>
      <c r="P1296" s="173" t="s">
        <v>6051</v>
      </c>
    </row>
    <row r="1297" spans="1:16" ht="64.05" customHeight="1" x14ac:dyDescent="0.3">
      <c r="A1297" s="151" t="s">
        <v>8020</v>
      </c>
      <c r="B1297" s="151" t="s">
        <v>8014</v>
      </c>
      <c r="C1297" s="151" t="s">
        <v>114</v>
      </c>
      <c r="D1297" s="151">
        <v>2021</v>
      </c>
      <c r="E1297" s="151" t="s">
        <v>187</v>
      </c>
      <c r="F1297" s="174" t="s">
        <v>6095</v>
      </c>
      <c r="G1297" s="167">
        <f>(360*FCCL!D32)</f>
        <v>521855.99999999994</v>
      </c>
      <c r="H1297" s="167">
        <f>FCCL!D84</f>
        <v>24271.285</v>
      </c>
      <c r="I1297" s="165">
        <f t="shared" si="60"/>
        <v>21.500962969204142</v>
      </c>
      <c r="J1297" s="165">
        <v>21.500962969204142</v>
      </c>
      <c r="K1297" s="169">
        <f t="shared" si="61"/>
        <v>0</v>
      </c>
      <c r="L1297" s="165">
        <v>19</v>
      </c>
      <c r="M1297" s="151">
        <v>0</v>
      </c>
      <c r="N1297" s="151" t="str">
        <f t="shared" si="62"/>
        <v>No fit</v>
      </c>
      <c r="O1297" s="174" t="s">
        <v>6866</v>
      </c>
      <c r="P1297" s="174" t="s">
        <v>6051</v>
      </c>
    </row>
    <row r="1298" spans="1:16" ht="64.05" customHeight="1" x14ac:dyDescent="0.3">
      <c r="A1298" s="154" t="s">
        <v>8021</v>
      </c>
      <c r="B1298" s="154" t="s">
        <v>8014</v>
      </c>
      <c r="C1298" s="154" t="s">
        <v>114</v>
      </c>
      <c r="D1298" s="154">
        <v>2021</v>
      </c>
      <c r="E1298" s="154" t="s">
        <v>187</v>
      </c>
      <c r="F1298" s="173" t="s">
        <v>6097</v>
      </c>
      <c r="G1298" s="166">
        <f>(365*FCCL!C32)</f>
        <v>383483.60000000003</v>
      </c>
      <c r="H1298" s="166">
        <f>FCCL!D84</f>
        <v>24271.285</v>
      </c>
      <c r="I1298" s="164">
        <f t="shared" si="60"/>
        <v>15.79988863383212</v>
      </c>
      <c r="J1298" s="164">
        <v>15.79988863383212</v>
      </c>
      <c r="K1298" s="168">
        <f t="shared" si="61"/>
        <v>0</v>
      </c>
      <c r="L1298" s="164">
        <v>19</v>
      </c>
      <c r="M1298" s="154">
        <v>0</v>
      </c>
      <c r="N1298" s="154" t="str">
        <f t="shared" si="62"/>
        <v>No fit</v>
      </c>
      <c r="O1298" s="173" t="s">
        <v>6866</v>
      </c>
      <c r="P1298" s="173" t="s">
        <v>6051</v>
      </c>
    </row>
    <row r="1299" spans="1:16" ht="64.05" customHeight="1" x14ac:dyDescent="0.3">
      <c r="A1299" s="151" t="s">
        <v>8022</v>
      </c>
      <c r="B1299" s="151" t="s">
        <v>8014</v>
      </c>
      <c r="C1299" s="151" t="s">
        <v>114</v>
      </c>
      <c r="D1299" s="151">
        <v>2021</v>
      </c>
      <c r="E1299" s="151" t="s">
        <v>187</v>
      </c>
      <c r="F1299" s="174" t="s">
        <v>6099</v>
      </c>
      <c r="G1299" s="167">
        <f>(366*FCCL!C32)</f>
        <v>384534.24000000005</v>
      </c>
      <c r="H1299" s="167">
        <f>FCCL!D84</f>
        <v>24271.285</v>
      </c>
      <c r="I1299" s="165">
        <f t="shared" si="60"/>
        <v>15.843175999952209</v>
      </c>
      <c r="J1299" s="165">
        <v>15.843175999952209</v>
      </c>
      <c r="K1299" s="169">
        <f t="shared" si="61"/>
        <v>0</v>
      </c>
      <c r="L1299" s="165">
        <v>19</v>
      </c>
      <c r="M1299" s="151">
        <v>0</v>
      </c>
      <c r="N1299" s="151" t="str">
        <f t="shared" si="62"/>
        <v>No fit</v>
      </c>
      <c r="O1299" s="174" t="s">
        <v>6866</v>
      </c>
      <c r="P1299" s="174" t="s">
        <v>6051</v>
      </c>
    </row>
    <row r="1300" spans="1:16" ht="64.05" customHeight="1" x14ac:dyDescent="0.3">
      <c r="A1300" s="154" t="s">
        <v>8023</v>
      </c>
      <c r="B1300" s="154" t="s">
        <v>8014</v>
      </c>
      <c r="C1300" s="154" t="s">
        <v>114</v>
      </c>
      <c r="D1300" s="154">
        <v>2021</v>
      </c>
      <c r="E1300" s="154" t="s">
        <v>187</v>
      </c>
      <c r="F1300" s="173" t="s">
        <v>6101</v>
      </c>
      <c r="G1300" s="166">
        <f>(360*FCCL!C32)</f>
        <v>378230.4</v>
      </c>
      <c r="H1300" s="166">
        <f>FCCL!D84</f>
        <v>24271.285</v>
      </c>
      <c r="I1300" s="164">
        <f t="shared" si="60"/>
        <v>15.58345180323168</v>
      </c>
      <c r="J1300" s="164">
        <v>15.58345180323168</v>
      </c>
      <c r="K1300" s="168">
        <f t="shared" si="61"/>
        <v>0</v>
      </c>
      <c r="L1300" s="164">
        <v>19</v>
      </c>
      <c r="M1300" s="154">
        <v>0</v>
      </c>
      <c r="N1300" s="154" t="str">
        <f t="shared" si="62"/>
        <v>No fit</v>
      </c>
      <c r="O1300" s="173" t="s">
        <v>6866</v>
      </c>
      <c r="P1300" s="173" t="s">
        <v>6051</v>
      </c>
    </row>
    <row r="1301" spans="1:16" ht="64.05" customHeight="1" x14ac:dyDescent="0.3">
      <c r="A1301" s="151" t="s">
        <v>8024</v>
      </c>
      <c r="B1301" s="151" t="s">
        <v>8014</v>
      </c>
      <c r="C1301" s="151" t="s">
        <v>114</v>
      </c>
      <c r="D1301" s="151">
        <v>2021</v>
      </c>
      <c r="E1301" s="151" t="s">
        <v>187</v>
      </c>
      <c r="F1301" s="174" t="s">
        <v>5762</v>
      </c>
      <c r="G1301" s="167">
        <f>365</f>
        <v>365</v>
      </c>
      <c r="H1301" s="167">
        <f>ROUND((FCCL!D84/AVERAGE(FCCL!C32,FCCL!D32)),2)</f>
        <v>19.420000000000002</v>
      </c>
      <c r="I1301" s="165">
        <f t="shared" si="60"/>
        <v>18.795056642636457</v>
      </c>
      <c r="J1301" s="165">
        <v>18.795056642636457</v>
      </c>
      <c r="K1301" s="169">
        <f t="shared" si="61"/>
        <v>0</v>
      </c>
      <c r="L1301" s="165">
        <v>19</v>
      </c>
      <c r="M1301" s="151">
        <v>0</v>
      </c>
      <c r="N1301" s="151" t="str">
        <f t="shared" si="62"/>
        <v>Numeric fit</v>
      </c>
      <c r="O1301" s="174" t="s">
        <v>6873</v>
      </c>
      <c r="P1301" s="174" t="s">
        <v>6051</v>
      </c>
    </row>
    <row r="1302" spans="1:16" ht="64.05" customHeight="1" x14ac:dyDescent="0.3">
      <c r="A1302" s="154" t="s">
        <v>8025</v>
      </c>
      <c r="B1302" s="154" t="s">
        <v>8014</v>
      </c>
      <c r="C1302" s="154" t="s">
        <v>114</v>
      </c>
      <c r="D1302" s="154">
        <v>2021</v>
      </c>
      <c r="E1302" s="154" t="s">
        <v>187</v>
      </c>
      <c r="F1302" s="173" t="s">
        <v>6875</v>
      </c>
      <c r="G1302" s="166">
        <f>(365*AVERAGE(FCCL!C32,FCCL!D32))</f>
        <v>456293.8</v>
      </c>
      <c r="H1302" s="166">
        <f>(FCCL!D85*-1)</f>
        <v>18206.88</v>
      </c>
      <c r="I1302" s="164">
        <f t="shared" si="60"/>
        <v>25.061614071164303</v>
      </c>
      <c r="J1302" s="164">
        <v>25.061614071164303</v>
      </c>
      <c r="K1302" s="168">
        <f t="shared" si="61"/>
        <v>0</v>
      </c>
      <c r="L1302" s="164">
        <v>19</v>
      </c>
      <c r="M1302" s="154">
        <v>0</v>
      </c>
      <c r="N1302" s="154" t="str">
        <f t="shared" si="62"/>
        <v>No fit</v>
      </c>
      <c r="O1302" s="173" t="s">
        <v>6876</v>
      </c>
      <c r="P1302" s="173" t="s">
        <v>6051</v>
      </c>
    </row>
    <row r="1303" spans="1:16" ht="64.05" customHeight="1" x14ac:dyDescent="0.3">
      <c r="A1303" s="151" t="s">
        <v>8026</v>
      </c>
      <c r="B1303" s="151" t="s">
        <v>8014</v>
      </c>
      <c r="C1303" s="151" t="s">
        <v>114</v>
      </c>
      <c r="D1303" s="151">
        <v>2021</v>
      </c>
      <c r="E1303" s="151" t="s">
        <v>187</v>
      </c>
      <c r="F1303" s="174" t="s">
        <v>6883</v>
      </c>
      <c r="G1303" s="167">
        <f>(365*FCCL!D32)</f>
        <v>529104</v>
      </c>
      <c r="H1303" s="167">
        <f>(4*'Forensic Inputs'!$G$108)</f>
        <v>26971.596000000001</v>
      </c>
      <c r="I1303" s="165">
        <f t="shared" si="60"/>
        <v>19.617081614302691</v>
      </c>
      <c r="J1303" s="165">
        <v>19.617081614302691</v>
      </c>
      <c r="K1303" s="169">
        <f t="shared" si="61"/>
        <v>0</v>
      </c>
      <c r="L1303" s="165">
        <v>19</v>
      </c>
      <c r="M1303" s="151">
        <v>0</v>
      </c>
      <c r="N1303" s="151" t="str">
        <f t="shared" si="62"/>
        <v>No fit</v>
      </c>
      <c r="O1303" s="174" t="s">
        <v>8027</v>
      </c>
      <c r="P1303" s="174" t="s">
        <v>6885</v>
      </c>
    </row>
    <row r="1304" spans="1:16" ht="64.05" customHeight="1" x14ac:dyDescent="0.3">
      <c r="A1304" s="154" t="s">
        <v>8028</v>
      </c>
      <c r="B1304" s="154" t="s">
        <v>8014</v>
      </c>
      <c r="C1304" s="154" t="s">
        <v>114</v>
      </c>
      <c r="D1304" s="154">
        <v>2021</v>
      </c>
      <c r="E1304" s="154" t="s">
        <v>187</v>
      </c>
      <c r="F1304" s="173" t="s">
        <v>6887</v>
      </c>
      <c r="G1304" s="166">
        <f>(90*FCCL!D32)</f>
        <v>130463.99999999999</v>
      </c>
      <c r="H1304" s="166">
        <f>'Forensic Inputs'!$G$108</f>
        <v>6742.8990000000003</v>
      </c>
      <c r="I1304" s="164">
        <f t="shared" si="60"/>
        <v>19.348354468901281</v>
      </c>
      <c r="J1304" s="164">
        <v>19.348354468901281</v>
      </c>
      <c r="K1304" s="168">
        <f t="shared" si="61"/>
        <v>0</v>
      </c>
      <c r="L1304" s="164">
        <v>19</v>
      </c>
      <c r="M1304" s="154">
        <v>0</v>
      </c>
      <c r="N1304" s="154" t="str">
        <f t="shared" si="62"/>
        <v>Numeric fit</v>
      </c>
      <c r="O1304" s="173" t="s">
        <v>8029</v>
      </c>
      <c r="P1304" s="173" t="s">
        <v>6051</v>
      </c>
    </row>
    <row r="1305" spans="1:16" ht="64.05" customHeight="1" x14ac:dyDescent="0.3">
      <c r="A1305" s="151" t="s">
        <v>8030</v>
      </c>
      <c r="B1305" s="151" t="s">
        <v>8014</v>
      </c>
      <c r="C1305" s="151" t="s">
        <v>114</v>
      </c>
      <c r="D1305" s="151">
        <v>2021</v>
      </c>
      <c r="E1305" s="151" t="s">
        <v>187</v>
      </c>
      <c r="F1305" s="174" t="s">
        <v>6890</v>
      </c>
      <c r="G1305" s="167">
        <f>(90*FCCL!C32)</f>
        <v>94557.6</v>
      </c>
      <c r="H1305" s="167">
        <f>'Forensic Inputs'!$G$108</f>
        <v>6742.8990000000003</v>
      </c>
      <c r="I1305" s="165">
        <f t="shared" si="60"/>
        <v>14.023285830026522</v>
      </c>
      <c r="J1305" s="165">
        <v>14.023285830026522</v>
      </c>
      <c r="K1305" s="169">
        <f t="shared" si="61"/>
        <v>0</v>
      </c>
      <c r="L1305" s="165">
        <v>19</v>
      </c>
      <c r="M1305" s="151">
        <v>0</v>
      </c>
      <c r="N1305" s="151" t="str">
        <f t="shared" si="62"/>
        <v>No fit</v>
      </c>
      <c r="O1305" s="174" t="s">
        <v>8029</v>
      </c>
      <c r="P1305" s="174" t="s">
        <v>6051</v>
      </c>
    </row>
    <row r="1306" spans="1:16" ht="64.05" customHeight="1" x14ac:dyDescent="0.3">
      <c r="A1306" s="154" t="s">
        <v>8031</v>
      </c>
      <c r="B1306" s="154" t="s">
        <v>8032</v>
      </c>
      <c r="C1306" s="154" t="s">
        <v>114</v>
      </c>
      <c r="D1306" s="154">
        <v>2022</v>
      </c>
      <c r="E1306" s="154" t="s">
        <v>187</v>
      </c>
      <c r="F1306" s="173" t="s">
        <v>5893</v>
      </c>
      <c r="G1306" s="166">
        <f>365*AVERAGE(FCCL!D32,FCCL!E32)</f>
        <v>704880.33499999996</v>
      </c>
      <c r="H1306" s="166">
        <f>FCCL!E84</f>
        <v>54243.118000000002</v>
      </c>
      <c r="I1306" s="164">
        <f t="shared" si="60"/>
        <v>12.994834386179642</v>
      </c>
      <c r="J1306" s="164">
        <v>12.994834386179642</v>
      </c>
      <c r="K1306" s="168">
        <f t="shared" si="61"/>
        <v>0</v>
      </c>
      <c r="L1306" s="164">
        <v>13</v>
      </c>
      <c r="M1306" s="154">
        <v>0</v>
      </c>
      <c r="N1306" s="154" t="str">
        <f t="shared" si="62"/>
        <v>Numeric fit</v>
      </c>
      <c r="O1306" s="173" t="s">
        <v>6050</v>
      </c>
      <c r="P1306" s="173" t="s">
        <v>6051</v>
      </c>
    </row>
    <row r="1307" spans="1:16" ht="64.05" customHeight="1" x14ac:dyDescent="0.3">
      <c r="A1307" s="151" t="s">
        <v>8033</v>
      </c>
      <c r="B1307" s="151" t="s">
        <v>8032</v>
      </c>
      <c r="C1307" s="151" t="s">
        <v>114</v>
      </c>
      <c r="D1307" s="151">
        <v>2022</v>
      </c>
      <c r="E1307" s="151" t="s">
        <v>187</v>
      </c>
      <c r="F1307" s="174" t="s">
        <v>6084</v>
      </c>
      <c r="G1307" s="167">
        <f>(365*AVERAGE(FCCL!D32,FCCL!E32))</f>
        <v>704880.33499999996</v>
      </c>
      <c r="H1307" s="167">
        <f>FCCL!E84</f>
        <v>54243.118000000002</v>
      </c>
      <c r="I1307" s="165">
        <f t="shared" si="60"/>
        <v>12.994834386179642</v>
      </c>
      <c r="J1307" s="165">
        <v>12.994834386179642</v>
      </c>
      <c r="K1307" s="169">
        <f t="shared" si="61"/>
        <v>0</v>
      </c>
      <c r="L1307" s="165">
        <v>13</v>
      </c>
      <c r="M1307" s="151">
        <v>0</v>
      </c>
      <c r="N1307" s="151" t="str">
        <f t="shared" si="62"/>
        <v>Numeric fit</v>
      </c>
      <c r="O1307" s="174" t="s">
        <v>6862</v>
      </c>
      <c r="P1307" s="174" t="s">
        <v>6051</v>
      </c>
    </row>
    <row r="1308" spans="1:16" ht="64.05" customHeight="1" x14ac:dyDescent="0.3">
      <c r="A1308" s="154" t="s">
        <v>8034</v>
      </c>
      <c r="B1308" s="154" t="s">
        <v>8032</v>
      </c>
      <c r="C1308" s="154" t="s">
        <v>114</v>
      </c>
      <c r="D1308" s="154">
        <v>2022</v>
      </c>
      <c r="E1308" s="154" t="s">
        <v>187</v>
      </c>
      <c r="F1308" s="173" t="s">
        <v>5814</v>
      </c>
      <c r="G1308" s="166">
        <f>(366*AVERAGE(FCCL!D32,FCCL!E32))</f>
        <v>706811.51399999997</v>
      </c>
      <c r="H1308" s="166">
        <f>FCCL!E84</f>
        <v>54243.118000000002</v>
      </c>
      <c r="I1308" s="164">
        <f t="shared" si="60"/>
        <v>13.030436672169175</v>
      </c>
      <c r="J1308" s="164">
        <v>13.030436672169175</v>
      </c>
      <c r="K1308" s="168">
        <f t="shared" si="61"/>
        <v>0</v>
      </c>
      <c r="L1308" s="164">
        <v>13</v>
      </c>
      <c r="M1308" s="154">
        <v>0</v>
      </c>
      <c r="N1308" s="154" t="str">
        <f t="shared" si="62"/>
        <v>Numeric fit</v>
      </c>
      <c r="O1308" s="173" t="s">
        <v>6862</v>
      </c>
      <c r="P1308" s="173" t="s">
        <v>6051</v>
      </c>
    </row>
    <row r="1309" spans="1:16" ht="64.05" customHeight="1" x14ac:dyDescent="0.3">
      <c r="A1309" s="151" t="s">
        <v>8035</v>
      </c>
      <c r="B1309" s="151" t="s">
        <v>8032</v>
      </c>
      <c r="C1309" s="151" t="s">
        <v>114</v>
      </c>
      <c r="D1309" s="151">
        <v>2022</v>
      </c>
      <c r="E1309" s="151" t="s">
        <v>187</v>
      </c>
      <c r="F1309" s="174" t="s">
        <v>6088</v>
      </c>
      <c r="G1309" s="167">
        <f>(360*AVERAGE(FCCL!D32,FCCL!E32))</f>
        <v>695224.44</v>
      </c>
      <c r="H1309" s="167">
        <f>FCCL!E84</f>
        <v>54243.118000000002</v>
      </c>
      <c r="I1309" s="165">
        <f t="shared" si="60"/>
        <v>12.816822956231976</v>
      </c>
      <c r="J1309" s="165">
        <v>12.816822956231976</v>
      </c>
      <c r="K1309" s="169">
        <f t="shared" si="61"/>
        <v>0</v>
      </c>
      <c r="L1309" s="165">
        <v>13</v>
      </c>
      <c r="M1309" s="151">
        <v>0</v>
      </c>
      <c r="N1309" s="151" t="str">
        <f t="shared" si="62"/>
        <v>Numeric fit</v>
      </c>
      <c r="O1309" s="174" t="s">
        <v>6862</v>
      </c>
      <c r="P1309" s="174" t="s">
        <v>6051</v>
      </c>
    </row>
    <row r="1310" spans="1:16" ht="64.05" customHeight="1" x14ac:dyDescent="0.3">
      <c r="A1310" s="154" t="s">
        <v>8036</v>
      </c>
      <c r="B1310" s="154" t="s">
        <v>8032</v>
      </c>
      <c r="C1310" s="154" t="s">
        <v>114</v>
      </c>
      <c r="D1310" s="154">
        <v>2022</v>
      </c>
      <c r="E1310" s="154" t="s">
        <v>187</v>
      </c>
      <c r="F1310" s="173" t="s">
        <v>6090</v>
      </c>
      <c r="G1310" s="166">
        <f>(365*FCCL!E32)</f>
        <v>880656.66999999993</v>
      </c>
      <c r="H1310" s="166">
        <f>FCCL!E84</f>
        <v>54243.118000000002</v>
      </c>
      <c r="I1310" s="164">
        <f t="shared" si="60"/>
        <v>16.235362244478644</v>
      </c>
      <c r="J1310" s="164">
        <v>16.235362244478644</v>
      </c>
      <c r="K1310" s="168">
        <f t="shared" si="61"/>
        <v>0</v>
      </c>
      <c r="L1310" s="164">
        <v>13</v>
      </c>
      <c r="M1310" s="154">
        <v>0</v>
      </c>
      <c r="N1310" s="154" t="str">
        <f t="shared" si="62"/>
        <v>No fit</v>
      </c>
      <c r="O1310" s="173" t="s">
        <v>6866</v>
      </c>
      <c r="P1310" s="173" t="s">
        <v>6051</v>
      </c>
    </row>
    <row r="1311" spans="1:16" ht="64.05" customHeight="1" x14ac:dyDescent="0.3">
      <c r="A1311" s="151" t="s">
        <v>8037</v>
      </c>
      <c r="B1311" s="151" t="s">
        <v>8032</v>
      </c>
      <c r="C1311" s="151" t="s">
        <v>114</v>
      </c>
      <c r="D1311" s="151">
        <v>2022</v>
      </c>
      <c r="E1311" s="151" t="s">
        <v>187</v>
      </c>
      <c r="F1311" s="174" t="s">
        <v>6093</v>
      </c>
      <c r="G1311" s="167">
        <f>(366*FCCL!E32)</f>
        <v>883069.42799999996</v>
      </c>
      <c r="H1311" s="167">
        <f>FCCL!E84</f>
        <v>54243.118000000002</v>
      </c>
      <c r="I1311" s="165">
        <f t="shared" si="60"/>
        <v>16.279842688984065</v>
      </c>
      <c r="J1311" s="165">
        <v>16.279842688984065</v>
      </c>
      <c r="K1311" s="169">
        <f t="shared" si="61"/>
        <v>0</v>
      </c>
      <c r="L1311" s="165">
        <v>13</v>
      </c>
      <c r="M1311" s="151">
        <v>0</v>
      </c>
      <c r="N1311" s="151" t="str">
        <f t="shared" si="62"/>
        <v>No fit</v>
      </c>
      <c r="O1311" s="174" t="s">
        <v>6866</v>
      </c>
      <c r="P1311" s="174" t="s">
        <v>6051</v>
      </c>
    </row>
    <row r="1312" spans="1:16" ht="64.05" customHeight="1" x14ac:dyDescent="0.3">
      <c r="A1312" s="154" t="s">
        <v>8038</v>
      </c>
      <c r="B1312" s="154" t="s">
        <v>8032</v>
      </c>
      <c r="C1312" s="154" t="s">
        <v>114</v>
      </c>
      <c r="D1312" s="154">
        <v>2022</v>
      </c>
      <c r="E1312" s="154" t="s">
        <v>187</v>
      </c>
      <c r="F1312" s="173" t="s">
        <v>6095</v>
      </c>
      <c r="G1312" s="166">
        <f>(360*FCCL!E32)</f>
        <v>868592.87999999989</v>
      </c>
      <c r="H1312" s="166">
        <f>FCCL!E84</f>
        <v>54243.118000000002</v>
      </c>
      <c r="I1312" s="164">
        <f t="shared" si="60"/>
        <v>16.012960021951539</v>
      </c>
      <c r="J1312" s="164">
        <v>16.012960021951539</v>
      </c>
      <c r="K1312" s="168">
        <f t="shared" si="61"/>
        <v>0</v>
      </c>
      <c r="L1312" s="164">
        <v>13</v>
      </c>
      <c r="M1312" s="154">
        <v>0</v>
      </c>
      <c r="N1312" s="154" t="str">
        <f t="shared" si="62"/>
        <v>No fit</v>
      </c>
      <c r="O1312" s="173" t="s">
        <v>6866</v>
      </c>
      <c r="P1312" s="173" t="s">
        <v>6051</v>
      </c>
    </row>
    <row r="1313" spans="1:16" ht="64.05" customHeight="1" x14ac:dyDescent="0.3">
      <c r="A1313" s="151" t="s">
        <v>8039</v>
      </c>
      <c r="B1313" s="151" t="s">
        <v>8032</v>
      </c>
      <c r="C1313" s="151" t="s">
        <v>114</v>
      </c>
      <c r="D1313" s="151">
        <v>2022</v>
      </c>
      <c r="E1313" s="151" t="s">
        <v>187</v>
      </c>
      <c r="F1313" s="174" t="s">
        <v>6097</v>
      </c>
      <c r="G1313" s="167">
        <f>(365*FCCL!D32)</f>
        <v>529104</v>
      </c>
      <c r="H1313" s="167">
        <f>FCCL!E84</f>
        <v>54243.118000000002</v>
      </c>
      <c r="I1313" s="165">
        <f t="shared" si="60"/>
        <v>9.754306527880642</v>
      </c>
      <c r="J1313" s="165">
        <v>9.754306527880642</v>
      </c>
      <c r="K1313" s="169">
        <f t="shared" si="61"/>
        <v>0</v>
      </c>
      <c r="L1313" s="165">
        <v>13</v>
      </c>
      <c r="M1313" s="151">
        <v>0</v>
      </c>
      <c r="N1313" s="151" t="str">
        <f t="shared" si="62"/>
        <v>No fit</v>
      </c>
      <c r="O1313" s="174" t="s">
        <v>6866</v>
      </c>
      <c r="P1313" s="174" t="s">
        <v>6051</v>
      </c>
    </row>
    <row r="1314" spans="1:16" ht="64.05" customHeight="1" x14ac:dyDescent="0.3">
      <c r="A1314" s="154" t="s">
        <v>8040</v>
      </c>
      <c r="B1314" s="154" t="s">
        <v>8032</v>
      </c>
      <c r="C1314" s="154" t="s">
        <v>114</v>
      </c>
      <c r="D1314" s="154">
        <v>2022</v>
      </c>
      <c r="E1314" s="154" t="s">
        <v>187</v>
      </c>
      <c r="F1314" s="173" t="s">
        <v>6099</v>
      </c>
      <c r="G1314" s="166">
        <f>(366*FCCL!D32)</f>
        <v>530553.59999999998</v>
      </c>
      <c r="H1314" s="166">
        <f>FCCL!E84</f>
        <v>54243.118000000002</v>
      </c>
      <c r="I1314" s="164">
        <f t="shared" si="60"/>
        <v>9.7810306553542876</v>
      </c>
      <c r="J1314" s="164">
        <v>9.7810306553542876</v>
      </c>
      <c r="K1314" s="168">
        <f t="shared" si="61"/>
        <v>0</v>
      </c>
      <c r="L1314" s="164">
        <v>13</v>
      </c>
      <c r="M1314" s="154">
        <v>0</v>
      </c>
      <c r="N1314" s="154" t="str">
        <f t="shared" si="62"/>
        <v>No fit</v>
      </c>
      <c r="O1314" s="173" t="s">
        <v>6866</v>
      </c>
      <c r="P1314" s="173" t="s">
        <v>6051</v>
      </c>
    </row>
    <row r="1315" spans="1:16" ht="64.05" customHeight="1" x14ac:dyDescent="0.3">
      <c r="A1315" s="151" t="s">
        <v>8041</v>
      </c>
      <c r="B1315" s="151" t="s">
        <v>8032</v>
      </c>
      <c r="C1315" s="151" t="s">
        <v>114</v>
      </c>
      <c r="D1315" s="151">
        <v>2022</v>
      </c>
      <c r="E1315" s="151" t="s">
        <v>187</v>
      </c>
      <c r="F1315" s="174" t="s">
        <v>6101</v>
      </c>
      <c r="G1315" s="167">
        <f>(360*FCCL!D32)</f>
        <v>521855.99999999994</v>
      </c>
      <c r="H1315" s="167">
        <f>FCCL!E84</f>
        <v>54243.118000000002</v>
      </c>
      <c r="I1315" s="165">
        <f t="shared" si="60"/>
        <v>9.620685890512414</v>
      </c>
      <c r="J1315" s="165">
        <v>9.620685890512414</v>
      </c>
      <c r="K1315" s="169">
        <f t="shared" si="61"/>
        <v>0</v>
      </c>
      <c r="L1315" s="165">
        <v>13</v>
      </c>
      <c r="M1315" s="151">
        <v>0</v>
      </c>
      <c r="N1315" s="151" t="str">
        <f t="shared" si="62"/>
        <v>No fit</v>
      </c>
      <c r="O1315" s="174" t="s">
        <v>6866</v>
      </c>
      <c r="P1315" s="174" t="s">
        <v>6051</v>
      </c>
    </row>
    <row r="1316" spans="1:16" ht="64.05" customHeight="1" x14ac:dyDescent="0.3">
      <c r="A1316" s="154" t="s">
        <v>8042</v>
      </c>
      <c r="B1316" s="154" t="s">
        <v>8032</v>
      </c>
      <c r="C1316" s="154" t="s">
        <v>114</v>
      </c>
      <c r="D1316" s="154">
        <v>2022</v>
      </c>
      <c r="E1316" s="154" t="s">
        <v>187</v>
      </c>
      <c r="F1316" s="173" t="s">
        <v>5762</v>
      </c>
      <c r="G1316" s="166">
        <f>365</f>
        <v>365</v>
      </c>
      <c r="H1316" s="166">
        <f>ROUND((FCCL!E84/AVERAGE(FCCL!D32,FCCL!E32)),2)</f>
        <v>28.09</v>
      </c>
      <c r="I1316" s="164">
        <f t="shared" si="60"/>
        <v>12.993948024207903</v>
      </c>
      <c r="J1316" s="164">
        <v>12.993948024207903</v>
      </c>
      <c r="K1316" s="168">
        <f t="shared" si="61"/>
        <v>0</v>
      </c>
      <c r="L1316" s="164">
        <v>13</v>
      </c>
      <c r="M1316" s="154">
        <v>0</v>
      </c>
      <c r="N1316" s="154" t="str">
        <f t="shared" si="62"/>
        <v>Numeric fit</v>
      </c>
      <c r="O1316" s="173" t="s">
        <v>6873</v>
      </c>
      <c r="P1316" s="173" t="s">
        <v>6051</v>
      </c>
    </row>
    <row r="1317" spans="1:16" ht="64.05" customHeight="1" x14ac:dyDescent="0.3">
      <c r="A1317" s="151" t="s">
        <v>8043</v>
      </c>
      <c r="B1317" s="151" t="s">
        <v>8032</v>
      </c>
      <c r="C1317" s="151" t="s">
        <v>114</v>
      </c>
      <c r="D1317" s="151">
        <v>2022</v>
      </c>
      <c r="E1317" s="151" t="s">
        <v>187</v>
      </c>
      <c r="F1317" s="174" t="s">
        <v>6875</v>
      </c>
      <c r="G1317" s="167">
        <f>(365*AVERAGE(FCCL!D32,FCCL!E32))</f>
        <v>704880.33499999996</v>
      </c>
      <c r="H1317" s="167">
        <f>(FCCL!E85*-1)</f>
        <v>38779.542000000001</v>
      </c>
      <c r="I1317" s="165">
        <f t="shared" si="60"/>
        <v>18.176602885098539</v>
      </c>
      <c r="J1317" s="165">
        <v>18.176602885098539</v>
      </c>
      <c r="K1317" s="169">
        <f t="shared" si="61"/>
        <v>0</v>
      </c>
      <c r="L1317" s="165">
        <v>13</v>
      </c>
      <c r="M1317" s="151">
        <v>0</v>
      </c>
      <c r="N1317" s="151" t="str">
        <f t="shared" si="62"/>
        <v>No fit</v>
      </c>
      <c r="O1317" s="174" t="s">
        <v>6876</v>
      </c>
      <c r="P1317" s="174" t="s">
        <v>6051</v>
      </c>
    </row>
    <row r="1318" spans="1:16" ht="64.05" customHeight="1" x14ac:dyDescent="0.3">
      <c r="A1318" s="154" t="s">
        <v>8044</v>
      </c>
      <c r="B1318" s="154" t="s">
        <v>8032</v>
      </c>
      <c r="C1318" s="154" t="s">
        <v>114</v>
      </c>
      <c r="D1318" s="154">
        <v>2022</v>
      </c>
      <c r="E1318" s="154" t="s">
        <v>187</v>
      </c>
      <c r="F1318" s="173" t="s">
        <v>6883</v>
      </c>
      <c r="G1318" s="166">
        <f>(365*FCCL!E32)</f>
        <v>880656.66999999993</v>
      </c>
      <c r="H1318" s="166">
        <f>(4*'Forensic Inputs'!$G$110)</f>
        <v>125277.516</v>
      </c>
      <c r="I1318" s="164">
        <f t="shared" si="60"/>
        <v>7.0296466446540968</v>
      </c>
      <c r="J1318" s="164">
        <v>7.0296466446540968</v>
      </c>
      <c r="K1318" s="168">
        <f t="shared" si="61"/>
        <v>0</v>
      </c>
      <c r="L1318" s="164">
        <v>13</v>
      </c>
      <c r="M1318" s="154">
        <v>0</v>
      </c>
      <c r="N1318" s="154" t="str">
        <f t="shared" si="62"/>
        <v>No fit</v>
      </c>
      <c r="O1318" s="173" t="s">
        <v>8045</v>
      </c>
      <c r="P1318" s="173" t="s">
        <v>6885</v>
      </c>
    </row>
    <row r="1319" spans="1:16" ht="64.05" customHeight="1" x14ac:dyDescent="0.3">
      <c r="A1319" s="151" t="s">
        <v>8046</v>
      </c>
      <c r="B1319" s="151" t="s">
        <v>8032</v>
      </c>
      <c r="C1319" s="151" t="s">
        <v>114</v>
      </c>
      <c r="D1319" s="151">
        <v>2022</v>
      </c>
      <c r="E1319" s="151" t="s">
        <v>187</v>
      </c>
      <c r="F1319" s="174" t="s">
        <v>6887</v>
      </c>
      <c r="G1319" s="167">
        <f>(90*FCCL!E32)</f>
        <v>217148.21999999997</v>
      </c>
      <c r="H1319" s="167">
        <f>'Forensic Inputs'!$G$110</f>
        <v>31319.379000000001</v>
      </c>
      <c r="I1319" s="165">
        <f t="shared" si="60"/>
        <v>6.9333501152752728</v>
      </c>
      <c r="J1319" s="165">
        <v>6.9333501152752728</v>
      </c>
      <c r="K1319" s="169">
        <f t="shared" si="61"/>
        <v>0</v>
      </c>
      <c r="L1319" s="165">
        <v>13</v>
      </c>
      <c r="M1319" s="151">
        <v>0</v>
      </c>
      <c r="N1319" s="151" t="str">
        <f t="shared" si="62"/>
        <v>No fit</v>
      </c>
      <c r="O1319" s="174" t="s">
        <v>8047</v>
      </c>
      <c r="P1319" s="174" t="s">
        <v>6051</v>
      </c>
    </row>
    <row r="1320" spans="1:16" ht="64.05" customHeight="1" x14ac:dyDescent="0.3">
      <c r="A1320" s="154" t="s">
        <v>8048</v>
      </c>
      <c r="B1320" s="154" t="s">
        <v>8032</v>
      </c>
      <c r="C1320" s="154" t="s">
        <v>114</v>
      </c>
      <c r="D1320" s="154">
        <v>2022</v>
      </c>
      <c r="E1320" s="154" t="s">
        <v>187</v>
      </c>
      <c r="F1320" s="173" t="s">
        <v>6890</v>
      </c>
      <c r="G1320" s="166">
        <f>(90*FCCL!D32)</f>
        <v>130463.99999999999</v>
      </c>
      <c r="H1320" s="166">
        <f>'Forensic Inputs'!$G$110</f>
        <v>31319.379000000001</v>
      </c>
      <c r="I1320" s="164">
        <f t="shared" si="60"/>
        <v>4.1655998351691448</v>
      </c>
      <c r="J1320" s="164">
        <v>4.1655998351691448</v>
      </c>
      <c r="K1320" s="168">
        <f t="shared" si="61"/>
        <v>0</v>
      </c>
      <c r="L1320" s="164">
        <v>13</v>
      </c>
      <c r="M1320" s="154">
        <v>0</v>
      </c>
      <c r="N1320" s="154" t="str">
        <f t="shared" si="62"/>
        <v>No fit</v>
      </c>
      <c r="O1320" s="173" t="s">
        <v>8047</v>
      </c>
      <c r="P1320" s="173" t="s">
        <v>6051</v>
      </c>
    </row>
    <row r="1321" spans="1:16" ht="64.05" customHeight="1" x14ac:dyDescent="0.3">
      <c r="A1321" s="151" t="s">
        <v>8049</v>
      </c>
      <c r="B1321" s="151" t="s">
        <v>8050</v>
      </c>
      <c r="C1321" s="151" t="s">
        <v>114</v>
      </c>
      <c r="D1321" s="151">
        <v>2021</v>
      </c>
      <c r="E1321" s="151" t="s">
        <v>938</v>
      </c>
      <c r="F1321" s="174" t="s">
        <v>5893</v>
      </c>
      <c r="G1321" s="167">
        <f>FCCL!D108</f>
        <v>5217.3149999999987</v>
      </c>
      <c r="H1321" s="167">
        <f>FCCL!D106</f>
        <v>92.112000000000009</v>
      </c>
      <c r="I1321" s="165">
        <f t="shared" si="60"/>
        <v>56.640991401771736</v>
      </c>
      <c r="J1321" s="165">
        <v>56.640991401771736</v>
      </c>
      <c r="K1321" s="169">
        <f t="shared" si="61"/>
        <v>0</v>
      </c>
      <c r="L1321" s="165">
        <v>48</v>
      </c>
      <c r="M1321" s="151">
        <v>0</v>
      </c>
      <c r="N1321" s="151" t="str">
        <f t="shared" si="62"/>
        <v>No fit</v>
      </c>
      <c r="O1321" s="174" t="s">
        <v>6050</v>
      </c>
      <c r="P1321" s="174" t="s">
        <v>6051</v>
      </c>
    </row>
    <row r="1322" spans="1:16" ht="64.05" customHeight="1" x14ac:dyDescent="0.3">
      <c r="A1322" s="154" t="s">
        <v>8051</v>
      </c>
      <c r="B1322" s="154" t="s">
        <v>8050</v>
      </c>
      <c r="C1322" s="154" t="s">
        <v>114</v>
      </c>
      <c r="D1322" s="154">
        <v>2021</v>
      </c>
      <c r="E1322" s="154" t="s">
        <v>938</v>
      </c>
      <c r="F1322" s="173" t="s">
        <v>5828</v>
      </c>
      <c r="G1322" s="166">
        <f>FCCL!D108</f>
        <v>5217.3149999999987</v>
      </c>
      <c r="H1322" s="166">
        <f>'Forensic Inputs'!$G$31</f>
        <v>79.343999999999994</v>
      </c>
      <c r="I1322" s="164">
        <f t="shared" si="60"/>
        <v>65.755633696309729</v>
      </c>
      <c r="J1322" s="164">
        <v>65.755633696309729</v>
      </c>
      <c r="K1322" s="168">
        <f t="shared" si="61"/>
        <v>0</v>
      </c>
      <c r="L1322" s="164">
        <v>48</v>
      </c>
      <c r="M1322" s="154">
        <v>0</v>
      </c>
      <c r="N1322" s="154" t="str">
        <f t="shared" si="62"/>
        <v>No fit</v>
      </c>
      <c r="O1322" s="173" t="s">
        <v>8052</v>
      </c>
      <c r="P1322" s="173" t="s">
        <v>6051</v>
      </c>
    </row>
    <row r="1323" spans="1:16" ht="64.05" customHeight="1" x14ac:dyDescent="0.3">
      <c r="A1323" s="151" t="s">
        <v>8053</v>
      </c>
      <c r="B1323" s="151" t="s">
        <v>8050</v>
      </c>
      <c r="C1323" s="151" t="s">
        <v>114</v>
      </c>
      <c r="D1323" s="151">
        <v>2021</v>
      </c>
      <c r="E1323" s="151" t="s">
        <v>938</v>
      </c>
      <c r="F1323" s="174" t="s">
        <v>6522</v>
      </c>
      <c r="G1323" s="167">
        <f>FCCL!D108</f>
        <v>5217.3149999999987</v>
      </c>
      <c r="H1323" s="167">
        <f>FCCL!D106</f>
        <v>92.112000000000009</v>
      </c>
      <c r="I1323" s="165">
        <f t="shared" si="60"/>
        <v>56.640991401771736</v>
      </c>
      <c r="J1323" s="165">
        <v>56.640991401771736</v>
      </c>
      <c r="K1323" s="169">
        <f t="shared" si="61"/>
        <v>0</v>
      </c>
      <c r="L1323" s="165">
        <v>48</v>
      </c>
      <c r="M1323" s="151">
        <v>0</v>
      </c>
      <c r="N1323" s="151" t="str">
        <f t="shared" si="62"/>
        <v>No fit</v>
      </c>
      <c r="O1323" s="174" t="s">
        <v>6523</v>
      </c>
      <c r="P1323" s="174" t="s">
        <v>6051</v>
      </c>
    </row>
    <row r="1324" spans="1:16" ht="64.05" customHeight="1" x14ac:dyDescent="0.3">
      <c r="A1324" s="154" t="s">
        <v>8054</v>
      </c>
      <c r="B1324" s="154" t="s">
        <v>8050</v>
      </c>
      <c r="C1324" s="154" t="s">
        <v>114</v>
      </c>
      <c r="D1324" s="154">
        <v>2021</v>
      </c>
      <c r="E1324" s="154" t="s">
        <v>938</v>
      </c>
      <c r="F1324" s="173" t="s">
        <v>6525</v>
      </c>
      <c r="G1324" s="166">
        <f>FCCL!D108</f>
        <v>5217.3149999999987</v>
      </c>
      <c r="H1324" s="166">
        <f>(FCCL!D95*-1)</f>
        <v>109.623</v>
      </c>
      <c r="I1324" s="164">
        <f t="shared" si="60"/>
        <v>47.593251416217385</v>
      </c>
      <c r="J1324" s="164">
        <v>47.593251416217385</v>
      </c>
      <c r="K1324" s="168">
        <f t="shared" si="61"/>
        <v>0</v>
      </c>
      <c r="L1324" s="164">
        <v>48</v>
      </c>
      <c r="M1324" s="154">
        <v>0</v>
      </c>
      <c r="N1324" s="154" t="str">
        <f t="shared" si="62"/>
        <v>Numeric fit</v>
      </c>
      <c r="O1324" s="173" t="s">
        <v>6526</v>
      </c>
      <c r="P1324" s="173" t="s">
        <v>6051</v>
      </c>
    </row>
    <row r="1325" spans="1:16" ht="64.05" customHeight="1" x14ac:dyDescent="0.3">
      <c r="A1325" s="151" t="s">
        <v>8055</v>
      </c>
      <c r="B1325" s="151" t="s">
        <v>8050</v>
      </c>
      <c r="C1325" s="151" t="s">
        <v>114</v>
      </c>
      <c r="D1325" s="151">
        <v>2021</v>
      </c>
      <c r="E1325" s="151" t="s">
        <v>938</v>
      </c>
      <c r="F1325" s="174" t="s">
        <v>6528</v>
      </c>
      <c r="G1325" s="167">
        <f>FCCL!D108</f>
        <v>5217.3149999999987</v>
      </c>
      <c r="H1325" s="167">
        <f>((FCCL!D95*-1)-FCCL!D93)</f>
        <v>-50.92</v>
      </c>
      <c r="I1325" s="165">
        <f t="shared" si="60"/>
        <v>-102.46101728201097</v>
      </c>
      <c r="J1325" s="165">
        <v>-102.46101728201097</v>
      </c>
      <c r="K1325" s="169">
        <f t="shared" si="61"/>
        <v>0</v>
      </c>
      <c r="L1325" s="165">
        <v>48</v>
      </c>
      <c r="M1325" s="151">
        <v>0</v>
      </c>
      <c r="N1325" s="151" t="str">
        <f t="shared" si="62"/>
        <v>No fit</v>
      </c>
      <c r="O1325" s="174" t="s">
        <v>6529</v>
      </c>
      <c r="P1325" s="174" t="s">
        <v>6051</v>
      </c>
    </row>
    <row r="1326" spans="1:16" ht="64.05" customHeight="1" x14ac:dyDescent="0.3">
      <c r="A1326" s="154" t="s">
        <v>8056</v>
      </c>
      <c r="B1326" s="154" t="s">
        <v>8050</v>
      </c>
      <c r="C1326" s="154" t="s">
        <v>114</v>
      </c>
      <c r="D1326" s="154">
        <v>2021</v>
      </c>
      <c r="E1326" s="154" t="s">
        <v>938</v>
      </c>
      <c r="F1326" s="173" t="s">
        <v>6531</v>
      </c>
      <c r="G1326" s="166">
        <f>(FCCL!D108-FCCL!D93)</f>
        <v>5056.771999999999</v>
      </c>
      <c r="H1326" s="166">
        <f>'Forensic Inputs'!$G$31</f>
        <v>79.343999999999994</v>
      </c>
      <c r="I1326" s="164">
        <f t="shared" si="60"/>
        <v>63.732254486791682</v>
      </c>
      <c r="J1326" s="164">
        <v>63.732254486791682</v>
      </c>
      <c r="K1326" s="168">
        <f t="shared" si="61"/>
        <v>0</v>
      </c>
      <c r="L1326" s="164">
        <v>48</v>
      </c>
      <c r="M1326" s="154">
        <v>0</v>
      </c>
      <c r="N1326" s="154" t="str">
        <f t="shared" si="62"/>
        <v>No fit</v>
      </c>
      <c r="O1326" s="173" t="s">
        <v>8057</v>
      </c>
      <c r="P1326" s="173" t="s">
        <v>6051</v>
      </c>
    </row>
    <row r="1327" spans="1:16" ht="64.05" customHeight="1" x14ac:dyDescent="0.3">
      <c r="A1327" s="151" t="s">
        <v>8058</v>
      </c>
      <c r="B1327" s="151" t="s">
        <v>8050</v>
      </c>
      <c r="C1327" s="151" t="s">
        <v>114</v>
      </c>
      <c r="D1327" s="151">
        <v>2021</v>
      </c>
      <c r="E1327" s="151" t="s">
        <v>938</v>
      </c>
      <c r="F1327" s="174" t="s">
        <v>6534</v>
      </c>
      <c r="G1327" s="167">
        <f>(FCCL!D108-FCCL!D93)</f>
        <v>5056.771999999999</v>
      </c>
      <c r="H1327" s="167">
        <f>FCCL!D106</f>
        <v>92.112000000000009</v>
      </c>
      <c r="I1327" s="165">
        <f t="shared" si="60"/>
        <v>54.898080597533422</v>
      </c>
      <c r="J1327" s="165">
        <v>54.898080597533422</v>
      </c>
      <c r="K1327" s="169">
        <f t="shared" si="61"/>
        <v>0</v>
      </c>
      <c r="L1327" s="165">
        <v>48</v>
      </c>
      <c r="M1327" s="151">
        <v>0</v>
      </c>
      <c r="N1327" s="151" t="str">
        <f t="shared" si="62"/>
        <v>No fit</v>
      </c>
      <c r="O1327" s="174" t="s">
        <v>6535</v>
      </c>
      <c r="P1327" s="174" t="s">
        <v>6051</v>
      </c>
    </row>
    <row r="1328" spans="1:16" ht="64.05" customHeight="1" x14ac:dyDescent="0.3">
      <c r="A1328" s="154" t="s">
        <v>8059</v>
      </c>
      <c r="B1328" s="154" t="s">
        <v>8050</v>
      </c>
      <c r="C1328" s="154" t="s">
        <v>114</v>
      </c>
      <c r="D1328" s="154">
        <v>2021</v>
      </c>
      <c r="E1328" s="154" t="s">
        <v>938</v>
      </c>
      <c r="F1328" s="173" t="s">
        <v>6537</v>
      </c>
      <c r="G1328" s="166">
        <f>(FCCL!D108-FCCL!D93)</f>
        <v>5056.771999999999</v>
      </c>
      <c r="H1328" s="166">
        <f>(FCCL!D95*-1)</f>
        <v>109.623</v>
      </c>
      <c r="I1328" s="164">
        <f t="shared" si="60"/>
        <v>46.1287503534842</v>
      </c>
      <c r="J1328" s="164">
        <v>46.1287503534842</v>
      </c>
      <c r="K1328" s="168">
        <f t="shared" si="61"/>
        <v>0</v>
      </c>
      <c r="L1328" s="164">
        <v>48</v>
      </c>
      <c r="M1328" s="154">
        <v>0</v>
      </c>
      <c r="N1328" s="154" t="str">
        <f t="shared" si="62"/>
        <v>No fit</v>
      </c>
      <c r="O1328" s="173" t="s">
        <v>6538</v>
      </c>
      <c r="P1328" s="173" t="s">
        <v>6051</v>
      </c>
    </row>
    <row r="1329" spans="1:16" ht="64.05" customHeight="1" x14ac:dyDescent="0.3">
      <c r="A1329" s="151" t="s">
        <v>8060</v>
      </c>
      <c r="B1329" s="151" t="s">
        <v>8050</v>
      </c>
      <c r="C1329" s="151" t="s">
        <v>114</v>
      </c>
      <c r="D1329" s="151">
        <v>2021</v>
      </c>
      <c r="E1329" s="151" t="s">
        <v>938</v>
      </c>
      <c r="F1329" s="174" t="s">
        <v>6540</v>
      </c>
      <c r="G1329" s="167">
        <f>(FCCL!D108-FCCL!D93)</f>
        <v>5056.771999999999</v>
      </c>
      <c r="H1329" s="167">
        <f>((FCCL!D95*-1)-FCCL!D93)</f>
        <v>-50.92</v>
      </c>
      <c r="I1329" s="165">
        <f t="shared" si="60"/>
        <v>-99.308169677926131</v>
      </c>
      <c r="J1329" s="165">
        <v>-99.308169677926131</v>
      </c>
      <c r="K1329" s="169">
        <f t="shared" si="61"/>
        <v>0</v>
      </c>
      <c r="L1329" s="165">
        <v>48</v>
      </c>
      <c r="M1329" s="151">
        <v>0</v>
      </c>
      <c r="N1329" s="151" t="str">
        <f t="shared" si="62"/>
        <v>No fit</v>
      </c>
      <c r="O1329" s="174" t="s">
        <v>6541</v>
      </c>
      <c r="P1329" s="174" t="s">
        <v>6051</v>
      </c>
    </row>
    <row r="1330" spans="1:16" ht="64.05" customHeight="1" x14ac:dyDescent="0.3">
      <c r="A1330" s="154" t="s">
        <v>8061</v>
      </c>
      <c r="B1330" s="154" t="s">
        <v>8050</v>
      </c>
      <c r="C1330" s="154" t="s">
        <v>114</v>
      </c>
      <c r="D1330" s="154">
        <v>2021</v>
      </c>
      <c r="E1330" s="154" t="s">
        <v>938</v>
      </c>
      <c r="F1330" s="173" t="s">
        <v>6543</v>
      </c>
      <c r="G1330" s="166">
        <f>FCCL!D91</f>
        <v>4972.2129999999988</v>
      </c>
      <c r="H1330" s="166">
        <f>'Forensic Inputs'!$G$31</f>
        <v>79.343999999999994</v>
      </c>
      <c r="I1330" s="164">
        <f t="shared" si="60"/>
        <v>62.66652802984472</v>
      </c>
      <c r="J1330" s="164">
        <v>62.66652802984472</v>
      </c>
      <c r="K1330" s="168">
        <f t="shared" si="61"/>
        <v>0</v>
      </c>
      <c r="L1330" s="164">
        <v>48</v>
      </c>
      <c r="M1330" s="154">
        <v>0</v>
      </c>
      <c r="N1330" s="154" t="str">
        <f t="shared" si="62"/>
        <v>No fit</v>
      </c>
      <c r="O1330" s="173" t="s">
        <v>8062</v>
      </c>
      <c r="P1330" s="173" t="s">
        <v>6051</v>
      </c>
    </row>
    <row r="1331" spans="1:16" ht="64.05" customHeight="1" x14ac:dyDescent="0.3">
      <c r="A1331" s="151" t="s">
        <v>8063</v>
      </c>
      <c r="B1331" s="151" t="s">
        <v>8050</v>
      </c>
      <c r="C1331" s="151" t="s">
        <v>114</v>
      </c>
      <c r="D1331" s="151">
        <v>2021</v>
      </c>
      <c r="E1331" s="151" t="s">
        <v>938</v>
      </c>
      <c r="F1331" s="174" t="s">
        <v>6546</v>
      </c>
      <c r="G1331" s="167">
        <f>FCCL!D91</f>
        <v>4972.2129999999988</v>
      </c>
      <c r="H1331" s="167">
        <f>FCCL!D106</f>
        <v>92.112000000000009</v>
      </c>
      <c r="I1331" s="165">
        <f t="shared" si="60"/>
        <v>53.980078599965239</v>
      </c>
      <c r="J1331" s="165">
        <v>53.980078599965239</v>
      </c>
      <c r="K1331" s="169">
        <f t="shared" si="61"/>
        <v>0</v>
      </c>
      <c r="L1331" s="165">
        <v>48</v>
      </c>
      <c r="M1331" s="151">
        <v>0</v>
      </c>
      <c r="N1331" s="151" t="str">
        <f t="shared" si="62"/>
        <v>No fit</v>
      </c>
      <c r="O1331" s="174" t="s">
        <v>6547</v>
      </c>
      <c r="P1331" s="174" t="s">
        <v>6051</v>
      </c>
    </row>
    <row r="1332" spans="1:16" ht="64.05" customHeight="1" x14ac:dyDescent="0.3">
      <c r="A1332" s="154" t="s">
        <v>8064</v>
      </c>
      <c r="B1332" s="154" t="s">
        <v>8050</v>
      </c>
      <c r="C1332" s="154" t="s">
        <v>114</v>
      </c>
      <c r="D1332" s="154">
        <v>2021</v>
      </c>
      <c r="E1332" s="154" t="s">
        <v>938</v>
      </c>
      <c r="F1332" s="173" t="s">
        <v>6549</v>
      </c>
      <c r="G1332" s="166">
        <f>FCCL!D91</f>
        <v>4972.2129999999988</v>
      </c>
      <c r="H1332" s="166">
        <f>(FCCL!D95*-1)</f>
        <v>109.623</v>
      </c>
      <c r="I1332" s="164">
        <f t="shared" si="60"/>
        <v>45.357388504237235</v>
      </c>
      <c r="J1332" s="164">
        <v>45.357388504237235</v>
      </c>
      <c r="K1332" s="168">
        <f t="shared" si="61"/>
        <v>0</v>
      </c>
      <c r="L1332" s="164">
        <v>48</v>
      </c>
      <c r="M1332" s="154">
        <v>0</v>
      </c>
      <c r="N1332" s="154" t="str">
        <f t="shared" si="62"/>
        <v>No fit</v>
      </c>
      <c r="O1332" s="173" t="s">
        <v>6550</v>
      </c>
      <c r="P1332" s="173" t="s">
        <v>6051</v>
      </c>
    </row>
    <row r="1333" spans="1:16" ht="64.05" customHeight="1" x14ac:dyDescent="0.3">
      <c r="A1333" s="151" t="s">
        <v>8065</v>
      </c>
      <c r="B1333" s="151" t="s">
        <v>8050</v>
      </c>
      <c r="C1333" s="151" t="s">
        <v>114</v>
      </c>
      <c r="D1333" s="151">
        <v>2021</v>
      </c>
      <c r="E1333" s="151" t="s">
        <v>938</v>
      </c>
      <c r="F1333" s="174" t="s">
        <v>6552</v>
      </c>
      <c r="G1333" s="167">
        <f>FCCL!D91</f>
        <v>4972.2129999999988</v>
      </c>
      <c r="H1333" s="167">
        <f>((FCCL!D95*-1)-FCCL!D93)</f>
        <v>-50.92</v>
      </c>
      <c r="I1333" s="165">
        <f t="shared" si="60"/>
        <v>-97.64754516889235</v>
      </c>
      <c r="J1333" s="165">
        <v>-97.64754516889235</v>
      </c>
      <c r="K1333" s="169">
        <f t="shared" si="61"/>
        <v>0</v>
      </c>
      <c r="L1333" s="165">
        <v>48</v>
      </c>
      <c r="M1333" s="151">
        <v>0</v>
      </c>
      <c r="N1333" s="151" t="str">
        <f t="shared" si="62"/>
        <v>No fit</v>
      </c>
      <c r="O1333" s="174" t="s">
        <v>6553</v>
      </c>
      <c r="P1333" s="174" t="s">
        <v>6051</v>
      </c>
    </row>
    <row r="1334" spans="1:16" ht="64.05" customHeight="1" x14ac:dyDescent="0.3">
      <c r="A1334" s="154" t="s">
        <v>8066</v>
      </c>
      <c r="B1334" s="154" t="s">
        <v>8050</v>
      </c>
      <c r="C1334" s="154" t="s">
        <v>114</v>
      </c>
      <c r="D1334" s="154">
        <v>2021</v>
      </c>
      <c r="E1334" s="154" t="s">
        <v>938</v>
      </c>
      <c r="F1334" s="173" t="s">
        <v>6555</v>
      </c>
      <c r="G1334" s="166">
        <f>(FCCL!D108+FCCL!D107)</f>
        <v>6816.8659999999982</v>
      </c>
      <c r="H1334" s="166">
        <f>'Forensic Inputs'!$G$31</f>
        <v>79.343999999999994</v>
      </c>
      <c r="I1334" s="164">
        <f t="shared" si="60"/>
        <v>85.915330711837044</v>
      </c>
      <c r="J1334" s="164">
        <v>85.915330711837044</v>
      </c>
      <c r="K1334" s="168">
        <f t="shared" si="61"/>
        <v>0</v>
      </c>
      <c r="L1334" s="164">
        <v>48</v>
      </c>
      <c r="M1334" s="154">
        <v>0</v>
      </c>
      <c r="N1334" s="154" t="str">
        <f t="shared" si="62"/>
        <v>No fit</v>
      </c>
      <c r="O1334" s="173" t="s">
        <v>8067</v>
      </c>
      <c r="P1334" s="173" t="s">
        <v>6051</v>
      </c>
    </row>
    <row r="1335" spans="1:16" ht="64.05" customHeight="1" x14ac:dyDescent="0.3">
      <c r="A1335" s="151" t="s">
        <v>8068</v>
      </c>
      <c r="B1335" s="151" t="s">
        <v>8050</v>
      </c>
      <c r="C1335" s="151" t="s">
        <v>114</v>
      </c>
      <c r="D1335" s="151">
        <v>2021</v>
      </c>
      <c r="E1335" s="151" t="s">
        <v>938</v>
      </c>
      <c r="F1335" s="174" t="s">
        <v>6558</v>
      </c>
      <c r="G1335" s="167">
        <f>(FCCL!D108+FCCL!D107)</f>
        <v>6816.8659999999982</v>
      </c>
      <c r="H1335" s="167">
        <f>FCCL!D106</f>
        <v>92.112000000000009</v>
      </c>
      <c r="I1335" s="165">
        <f t="shared" si="60"/>
        <v>74.006274969602202</v>
      </c>
      <c r="J1335" s="165">
        <v>74.006274969602202</v>
      </c>
      <c r="K1335" s="169">
        <f t="shared" si="61"/>
        <v>0</v>
      </c>
      <c r="L1335" s="165">
        <v>48</v>
      </c>
      <c r="M1335" s="151">
        <v>0</v>
      </c>
      <c r="N1335" s="151" t="str">
        <f t="shared" si="62"/>
        <v>No fit</v>
      </c>
      <c r="O1335" s="174" t="s">
        <v>6559</v>
      </c>
      <c r="P1335" s="174" t="s">
        <v>6051</v>
      </c>
    </row>
    <row r="1336" spans="1:16" ht="64.05" customHeight="1" x14ac:dyDescent="0.3">
      <c r="A1336" s="154" t="s">
        <v>8069</v>
      </c>
      <c r="B1336" s="154" t="s">
        <v>8050</v>
      </c>
      <c r="C1336" s="154" t="s">
        <v>114</v>
      </c>
      <c r="D1336" s="154">
        <v>2021</v>
      </c>
      <c r="E1336" s="154" t="s">
        <v>938</v>
      </c>
      <c r="F1336" s="173" t="s">
        <v>6561</v>
      </c>
      <c r="G1336" s="166">
        <f>(FCCL!D108+FCCL!D107)</f>
        <v>6816.8659999999982</v>
      </c>
      <c r="H1336" s="166">
        <f>(FCCL!D95*-1)</f>
        <v>109.623</v>
      </c>
      <c r="I1336" s="164">
        <f t="shared" si="60"/>
        <v>62.184632786915138</v>
      </c>
      <c r="J1336" s="164">
        <v>62.184632786915138</v>
      </c>
      <c r="K1336" s="168">
        <f t="shared" si="61"/>
        <v>0</v>
      </c>
      <c r="L1336" s="164">
        <v>48</v>
      </c>
      <c r="M1336" s="154">
        <v>0</v>
      </c>
      <c r="N1336" s="154" t="str">
        <f t="shared" si="62"/>
        <v>No fit</v>
      </c>
      <c r="O1336" s="173" t="s">
        <v>6562</v>
      </c>
      <c r="P1336" s="173" t="s">
        <v>6051</v>
      </c>
    </row>
    <row r="1337" spans="1:16" ht="64.05" customHeight="1" x14ac:dyDescent="0.3">
      <c r="A1337" s="151" t="s">
        <v>8070</v>
      </c>
      <c r="B1337" s="151" t="s">
        <v>8050</v>
      </c>
      <c r="C1337" s="151" t="s">
        <v>114</v>
      </c>
      <c r="D1337" s="151">
        <v>2021</v>
      </c>
      <c r="E1337" s="151" t="s">
        <v>938</v>
      </c>
      <c r="F1337" s="174" t="s">
        <v>6564</v>
      </c>
      <c r="G1337" s="167">
        <f>(FCCL!D108+FCCL!D107)</f>
        <v>6816.8659999999982</v>
      </c>
      <c r="H1337" s="167">
        <f>((FCCL!D95*-1)-FCCL!D93)</f>
        <v>-50.92</v>
      </c>
      <c r="I1337" s="165">
        <f t="shared" si="60"/>
        <v>-133.87403770620577</v>
      </c>
      <c r="J1337" s="165">
        <v>-133.87403770620577</v>
      </c>
      <c r="K1337" s="169">
        <f t="shared" si="61"/>
        <v>0</v>
      </c>
      <c r="L1337" s="165">
        <v>48</v>
      </c>
      <c r="M1337" s="151">
        <v>0</v>
      </c>
      <c r="N1337" s="151" t="str">
        <f t="shared" si="62"/>
        <v>No fit</v>
      </c>
      <c r="O1337" s="174" t="s">
        <v>6565</v>
      </c>
      <c r="P1337" s="174" t="s">
        <v>6051</v>
      </c>
    </row>
    <row r="1338" spans="1:16" ht="64.05" customHeight="1" x14ac:dyDescent="0.3">
      <c r="A1338" s="154" t="s">
        <v>8071</v>
      </c>
      <c r="B1338" s="154" t="s">
        <v>8050</v>
      </c>
      <c r="C1338" s="154" t="s">
        <v>114</v>
      </c>
      <c r="D1338" s="154">
        <v>2021</v>
      </c>
      <c r="E1338" s="154" t="s">
        <v>938</v>
      </c>
      <c r="F1338" s="173" t="s">
        <v>6567</v>
      </c>
      <c r="G1338" s="166">
        <f>(FCCL!D96+'Forensic Inputs'!$G$31)</f>
        <v>5187.0359999999991</v>
      </c>
      <c r="H1338" s="166">
        <f>'Forensic Inputs'!$G$31</f>
        <v>79.343999999999994</v>
      </c>
      <c r="I1338" s="164">
        <f t="shared" si="60"/>
        <v>65.374016938898961</v>
      </c>
      <c r="J1338" s="164">
        <v>65.374016938898961</v>
      </c>
      <c r="K1338" s="168">
        <f t="shared" si="61"/>
        <v>0</v>
      </c>
      <c r="L1338" s="164">
        <v>48</v>
      </c>
      <c r="M1338" s="154">
        <v>0</v>
      </c>
      <c r="N1338" s="154" t="str">
        <f t="shared" si="62"/>
        <v>No fit</v>
      </c>
      <c r="O1338" s="173" t="s">
        <v>8072</v>
      </c>
      <c r="P1338" s="173" t="s">
        <v>6051</v>
      </c>
    </row>
    <row r="1339" spans="1:16" ht="64.05" customHeight="1" x14ac:dyDescent="0.3">
      <c r="A1339" s="151" t="s">
        <v>8073</v>
      </c>
      <c r="B1339" s="151" t="s">
        <v>8050</v>
      </c>
      <c r="C1339" s="151" t="s">
        <v>114</v>
      </c>
      <c r="D1339" s="151">
        <v>2021</v>
      </c>
      <c r="E1339" s="151" t="s">
        <v>938</v>
      </c>
      <c r="F1339" s="174" t="s">
        <v>6570</v>
      </c>
      <c r="G1339" s="167">
        <f>(FCCL!D96+'Forensic Inputs'!$G$31)</f>
        <v>5187.0359999999991</v>
      </c>
      <c r="H1339" s="167">
        <f>FCCL!D106</f>
        <v>92.112000000000009</v>
      </c>
      <c r="I1339" s="165">
        <f t="shared" si="60"/>
        <v>56.312272016675337</v>
      </c>
      <c r="J1339" s="165">
        <v>56.312272016675337</v>
      </c>
      <c r="K1339" s="169">
        <f t="shared" si="61"/>
        <v>0</v>
      </c>
      <c r="L1339" s="165">
        <v>48</v>
      </c>
      <c r="M1339" s="151">
        <v>0</v>
      </c>
      <c r="N1339" s="151" t="str">
        <f t="shared" si="62"/>
        <v>No fit</v>
      </c>
      <c r="O1339" s="174" t="s">
        <v>8074</v>
      </c>
      <c r="P1339" s="174" t="s">
        <v>6051</v>
      </c>
    </row>
    <row r="1340" spans="1:16" ht="64.05" customHeight="1" x14ac:dyDescent="0.3">
      <c r="A1340" s="154" t="s">
        <v>8075</v>
      </c>
      <c r="B1340" s="154" t="s">
        <v>8050</v>
      </c>
      <c r="C1340" s="154" t="s">
        <v>114</v>
      </c>
      <c r="D1340" s="154">
        <v>2021</v>
      </c>
      <c r="E1340" s="154" t="s">
        <v>938</v>
      </c>
      <c r="F1340" s="173" t="s">
        <v>6573</v>
      </c>
      <c r="G1340" s="166">
        <f>(FCCL!D96+'Forensic Inputs'!$G$31)</f>
        <v>5187.0359999999991</v>
      </c>
      <c r="H1340" s="166">
        <f>(FCCL!D95*-1)</f>
        <v>109.623</v>
      </c>
      <c r="I1340" s="164">
        <f t="shared" si="60"/>
        <v>47.31704113187925</v>
      </c>
      <c r="J1340" s="164">
        <v>47.31704113187925</v>
      </c>
      <c r="K1340" s="168">
        <f t="shared" si="61"/>
        <v>0</v>
      </c>
      <c r="L1340" s="164">
        <v>48</v>
      </c>
      <c r="M1340" s="154">
        <v>0</v>
      </c>
      <c r="N1340" s="154" t="str">
        <f t="shared" si="62"/>
        <v>No fit</v>
      </c>
      <c r="O1340" s="173" t="s">
        <v>8076</v>
      </c>
      <c r="P1340" s="173" t="s">
        <v>6051</v>
      </c>
    </row>
    <row r="1341" spans="1:16" ht="64.05" customHeight="1" x14ac:dyDescent="0.3">
      <c r="A1341" s="151" t="s">
        <v>8077</v>
      </c>
      <c r="B1341" s="151" t="s">
        <v>8050</v>
      </c>
      <c r="C1341" s="151" t="s">
        <v>114</v>
      </c>
      <c r="D1341" s="151">
        <v>2021</v>
      </c>
      <c r="E1341" s="151" t="s">
        <v>938</v>
      </c>
      <c r="F1341" s="174" t="s">
        <v>6576</v>
      </c>
      <c r="G1341" s="167">
        <f>(FCCL!D96+'Forensic Inputs'!$G$31)</f>
        <v>5187.0359999999991</v>
      </c>
      <c r="H1341" s="167">
        <f>((FCCL!D95*-1)-FCCL!D93)</f>
        <v>-50.92</v>
      </c>
      <c r="I1341" s="165">
        <f t="shared" si="60"/>
        <v>-101.86637863315002</v>
      </c>
      <c r="J1341" s="165">
        <v>-101.86637863315002</v>
      </c>
      <c r="K1341" s="169">
        <f t="shared" si="61"/>
        <v>0</v>
      </c>
      <c r="L1341" s="165">
        <v>48</v>
      </c>
      <c r="M1341" s="151">
        <v>0</v>
      </c>
      <c r="N1341" s="151" t="str">
        <f t="shared" si="62"/>
        <v>No fit</v>
      </c>
      <c r="O1341" s="174" t="s">
        <v>8078</v>
      </c>
      <c r="P1341" s="174" t="s">
        <v>6051</v>
      </c>
    </row>
    <row r="1342" spans="1:16" ht="64.05" customHeight="1" x14ac:dyDescent="0.3">
      <c r="A1342" s="154" t="s">
        <v>8079</v>
      </c>
      <c r="B1342" s="154" t="s">
        <v>8080</v>
      </c>
      <c r="C1342" s="154" t="s">
        <v>114</v>
      </c>
      <c r="D1342" s="154">
        <v>2022</v>
      </c>
      <c r="E1342" s="154" t="s">
        <v>938</v>
      </c>
      <c r="F1342" s="173" t="s">
        <v>5893</v>
      </c>
      <c r="G1342" s="166">
        <f>FCCL!E108</f>
        <v>12729.705000000002</v>
      </c>
      <c r="H1342" s="166">
        <f>FCCL!E106</f>
        <v>995.22400000000005</v>
      </c>
      <c r="I1342" s="164">
        <f t="shared" si="60"/>
        <v>12.790793831338474</v>
      </c>
      <c r="J1342" s="164">
        <v>12.790793831338474</v>
      </c>
      <c r="K1342" s="168">
        <f t="shared" si="61"/>
        <v>0</v>
      </c>
      <c r="L1342" s="164">
        <v>11</v>
      </c>
      <c r="M1342" s="154">
        <v>0</v>
      </c>
      <c r="N1342" s="154" t="str">
        <f t="shared" si="62"/>
        <v>No fit</v>
      </c>
      <c r="O1342" s="173" t="s">
        <v>6050</v>
      </c>
      <c r="P1342" s="173" t="s">
        <v>6051</v>
      </c>
    </row>
    <row r="1343" spans="1:16" ht="64.05" customHeight="1" x14ac:dyDescent="0.3">
      <c r="A1343" s="151" t="s">
        <v>8081</v>
      </c>
      <c r="B1343" s="151" t="s">
        <v>8080</v>
      </c>
      <c r="C1343" s="151" t="s">
        <v>114</v>
      </c>
      <c r="D1343" s="151">
        <v>2022</v>
      </c>
      <c r="E1343" s="151" t="s">
        <v>938</v>
      </c>
      <c r="F1343" s="174" t="s">
        <v>5828</v>
      </c>
      <c r="G1343" s="167">
        <f>FCCL!E108</f>
        <v>12729.705000000002</v>
      </c>
      <c r="H1343" s="167">
        <f>'Forensic Inputs'!$G$32</f>
        <v>966.47299999999996</v>
      </c>
      <c r="I1343" s="165">
        <f t="shared" si="60"/>
        <v>13.171299146484177</v>
      </c>
      <c r="J1343" s="165">
        <v>13.171299146484177</v>
      </c>
      <c r="K1343" s="169">
        <f t="shared" si="61"/>
        <v>0</v>
      </c>
      <c r="L1343" s="165">
        <v>11</v>
      </c>
      <c r="M1343" s="151">
        <v>0</v>
      </c>
      <c r="N1343" s="151" t="str">
        <f t="shared" si="62"/>
        <v>No fit</v>
      </c>
      <c r="O1343" s="174" t="s">
        <v>8052</v>
      </c>
      <c r="P1343" s="174" t="s">
        <v>6051</v>
      </c>
    </row>
    <row r="1344" spans="1:16" ht="64.05" customHeight="1" x14ac:dyDescent="0.3">
      <c r="A1344" s="154" t="s">
        <v>8082</v>
      </c>
      <c r="B1344" s="154" t="s">
        <v>8080</v>
      </c>
      <c r="C1344" s="154" t="s">
        <v>114</v>
      </c>
      <c r="D1344" s="154">
        <v>2022</v>
      </c>
      <c r="E1344" s="154" t="s">
        <v>938</v>
      </c>
      <c r="F1344" s="173" t="s">
        <v>6522</v>
      </c>
      <c r="G1344" s="166">
        <f>FCCL!E108</f>
        <v>12729.705000000002</v>
      </c>
      <c r="H1344" s="166">
        <f>FCCL!E106</f>
        <v>995.22400000000005</v>
      </c>
      <c r="I1344" s="164">
        <f t="shared" si="60"/>
        <v>12.790793831338474</v>
      </c>
      <c r="J1344" s="164">
        <v>12.790793831338474</v>
      </c>
      <c r="K1344" s="168">
        <f t="shared" si="61"/>
        <v>0</v>
      </c>
      <c r="L1344" s="164">
        <v>11</v>
      </c>
      <c r="M1344" s="154">
        <v>0</v>
      </c>
      <c r="N1344" s="154" t="str">
        <f t="shared" si="62"/>
        <v>No fit</v>
      </c>
      <c r="O1344" s="173" t="s">
        <v>6523</v>
      </c>
      <c r="P1344" s="173" t="s">
        <v>6051</v>
      </c>
    </row>
    <row r="1345" spans="1:16" ht="64.05" customHeight="1" x14ac:dyDescent="0.3">
      <c r="A1345" s="151" t="s">
        <v>8083</v>
      </c>
      <c r="B1345" s="151" t="s">
        <v>8080</v>
      </c>
      <c r="C1345" s="151" t="s">
        <v>114</v>
      </c>
      <c r="D1345" s="151">
        <v>2022</v>
      </c>
      <c r="E1345" s="151" t="s">
        <v>938</v>
      </c>
      <c r="F1345" s="174" t="s">
        <v>6525</v>
      </c>
      <c r="G1345" s="167">
        <f>FCCL!E108</f>
        <v>12729.705000000002</v>
      </c>
      <c r="H1345" s="167">
        <f>(FCCL!E95*-1)</f>
        <v>1201.6120000000001</v>
      </c>
      <c r="I1345" s="165">
        <f t="shared" si="60"/>
        <v>10.593856419543082</v>
      </c>
      <c r="J1345" s="165">
        <v>10.593856419543082</v>
      </c>
      <c r="K1345" s="169">
        <f t="shared" si="61"/>
        <v>0</v>
      </c>
      <c r="L1345" s="165">
        <v>11</v>
      </c>
      <c r="M1345" s="151">
        <v>0</v>
      </c>
      <c r="N1345" s="151" t="str">
        <f t="shared" si="62"/>
        <v>Numeric fit</v>
      </c>
      <c r="O1345" s="174" t="s">
        <v>6526</v>
      </c>
      <c r="P1345" s="174" t="s">
        <v>6051</v>
      </c>
    </row>
    <row r="1346" spans="1:16" ht="64.05" customHeight="1" x14ac:dyDescent="0.3">
      <c r="A1346" s="154" t="s">
        <v>8084</v>
      </c>
      <c r="B1346" s="154" t="s">
        <v>8080</v>
      </c>
      <c r="C1346" s="154" t="s">
        <v>114</v>
      </c>
      <c r="D1346" s="154">
        <v>2022</v>
      </c>
      <c r="E1346" s="154" t="s">
        <v>938</v>
      </c>
      <c r="F1346" s="173" t="s">
        <v>6528</v>
      </c>
      <c r="G1346" s="166">
        <f>FCCL!E108</f>
        <v>12729.705000000002</v>
      </c>
      <c r="H1346" s="166">
        <f>((FCCL!E95*-1)-FCCL!E93)</f>
        <v>455.7600000000001</v>
      </c>
      <c r="I1346" s="164">
        <f t="shared" si="60"/>
        <v>27.930720115850445</v>
      </c>
      <c r="J1346" s="164">
        <v>27.930720115850445</v>
      </c>
      <c r="K1346" s="168">
        <f t="shared" si="61"/>
        <v>0</v>
      </c>
      <c r="L1346" s="164">
        <v>11</v>
      </c>
      <c r="M1346" s="154">
        <v>0</v>
      </c>
      <c r="N1346" s="154" t="str">
        <f t="shared" si="62"/>
        <v>No fit</v>
      </c>
      <c r="O1346" s="173" t="s">
        <v>6529</v>
      </c>
      <c r="P1346" s="173" t="s">
        <v>6051</v>
      </c>
    </row>
    <row r="1347" spans="1:16" ht="64.05" customHeight="1" x14ac:dyDescent="0.3">
      <c r="A1347" s="151" t="s">
        <v>8085</v>
      </c>
      <c r="B1347" s="151" t="s">
        <v>8080</v>
      </c>
      <c r="C1347" s="151" t="s">
        <v>114</v>
      </c>
      <c r="D1347" s="151">
        <v>2022</v>
      </c>
      <c r="E1347" s="151" t="s">
        <v>938</v>
      </c>
      <c r="F1347" s="174" t="s">
        <v>6531</v>
      </c>
      <c r="G1347" s="167">
        <f>(FCCL!E108-FCCL!E93)</f>
        <v>11983.853000000001</v>
      </c>
      <c r="H1347" s="167">
        <f>'Forensic Inputs'!$G$32</f>
        <v>966.47299999999996</v>
      </c>
      <c r="I1347" s="165">
        <f t="shared" si="60"/>
        <v>12.399573500759981</v>
      </c>
      <c r="J1347" s="165">
        <v>12.399573500759981</v>
      </c>
      <c r="K1347" s="169">
        <f t="shared" si="61"/>
        <v>0</v>
      </c>
      <c r="L1347" s="165">
        <v>11</v>
      </c>
      <c r="M1347" s="151">
        <v>0</v>
      </c>
      <c r="N1347" s="151" t="str">
        <f t="shared" si="62"/>
        <v>No fit</v>
      </c>
      <c r="O1347" s="174" t="s">
        <v>8057</v>
      </c>
      <c r="P1347" s="174" t="s">
        <v>6051</v>
      </c>
    </row>
    <row r="1348" spans="1:16" ht="64.05" customHeight="1" x14ac:dyDescent="0.3">
      <c r="A1348" s="154" t="s">
        <v>8086</v>
      </c>
      <c r="B1348" s="154" t="s">
        <v>8080</v>
      </c>
      <c r="C1348" s="154" t="s">
        <v>114</v>
      </c>
      <c r="D1348" s="154">
        <v>2022</v>
      </c>
      <c r="E1348" s="154" t="s">
        <v>938</v>
      </c>
      <c r="F1348" s="173" t="s">
        <v>6534</v>
      </c>
      <c r="G1348" s="166">
        <f>(FCCL!E108-FCCL!E93)</f>
        <v>11983.853000000001</v>
      </c>
      <c r="H1348" s="166">
        <f>FCCL!E106</f>
        <v>995.22400000000005</v>
      </c>
      <c r="I1348" s="164">
        <f t="shared" si="60"/>
        <v>12.041362547526989</v>
      </c>
      <c r="J1348" s="164">
        <v>12.041362547526989</v>
      </c>
      <c r="K1348" s="168">
        <f t="shared" si="61"/>
        <v>0</v>
      </c>
      <c r="L1348" s="164">
        <v>11</v>
      </c>
      <c r="M1348" s="154">
        <v>0</v>
      </c>
      <c r="N1348" s="154" t="str">
        <f t="shared" si="62"/>
        <v>No fit</v>
      </c>
      <c r="O1348" s="173" t="s">
        <v>6535</v>
      </c>
      <c r="P1348" s="173" t="s">
        <v>6051</v>
      </c>
    </row>
    <row r="1349" spans="1:16" ht="64.05" customHeight="1" x14ac:dyDescent="0.3">
      <c r="A1349" s="151" t="s">
        <v>8087</v>
      </c>
      <c r="B1349" s="151" t="s">
        <v>8080</v>
      </c>
      <c r="C1349" s="151" t="s">
        <v>114</v>
      </c>
      <c r="D1349" s="151">
        <v>2022</v>
      </c>
      <c r="E1349" s="151" t="s">
        <v>938</v>
      </c>
      <c r="F1349" s="174" t="s">
        <v>6537</v>
      </c>
      <c r="G1349" s="167">
        <f>(FCCL!E108-FCCL!E93)</f>
        <v>11983.853000000001</v>
      </c>
      <c r="H1349" s="167">
        <f>(FCCL!E95*-1)</f>
        <v>1201.6120000000001</v>
      </c>
      <c r="I1349" s="165">
        <f t="shared" si="60"/>
        <v>9.9731469059896209</v>
      </c>
      <c r="J1349" s="165">
        <v>9.9731469059896209</v>
      </c>
      <c r="K1349" s="169">
        <f t="shared" si="61"/>
        <v>0</v>
      </c>
      <c r="L1349" s="165">
        <v>11</v>
      </c>
      <c r="M1349" s="151">
        <v>0</v>
      </c>
      <c r="N1349" s="151" t="str">
        <f t="shared" si="62"/>
        <v>No fit</v>
      </c>
      <c r="O1349" s="174" t="s">
        <v>6538</v>
      </c>
      <c r="P1349" s="174" t="s">
        <v>6051</v>
      </c>
    </row>
    <row r="1350" spans="1:16" ht="64.05" customHeight="1" x14ac:dyDescent="0.3">
      <c r="A1350" s="154" t="s">
        <v>8088</v>
      </c>
      <c r="B1350" s="154" t="s">
        <v>8080</v>
      </c>
      <c r="C1350" s="154" t="s">
        <v>114</v>
      </c>
      <c r="D1350" s="154">
        <v>2022</v>
      </c>
      <c r="E1350" s="154" t="s">
        <v>938</v>
      </c>
      <c r="F1350" s="173" t="s">
        <v>6540</v>
      </c>
      <c r="G1350" s="166">
        <f>(FCCL!E108-FCCL!E93)</f>
        <v>11983.853000000001</v>
      </c>
      <c r="H1350" s="166">
        <f>((FCCL!E95*-1)-FCCL!E93)</f>
        <v>455.7600000000001</v>
      </c>
      <c r="I1350" s="164">
        <f t="shared" ref="I1350:I1413" si="63">G1350/H1350</f>
        <v>26.294218448306122</v>
      </c>
      <c r="J1350" s="164">
        <v>26.294218448306122</v>
      </c>
      <c r="K1350" s="168">
        <f t="shared" ref="K1350:K1413" si="64">I1350-J1350</f>
        <v>0</v>
      </c>
      <c r="L1350" s="164">
        <v>11</v>
      </c>
      <c r="M1350" s="154">
        <v>0</v>
      </c>
      <c r="N1350" s="154" t="str">
        <f t="shared" ref="N1350:N1413" si="65">IF(ROUND(I1350,M1350)=ROUND(L1350,M1350),"Numeric fit","No fit")</f>
        <v>No fit</v>
      </c>
      <c r="O1350" s="173" t="s">
        <v>6541</v>
      </c>
      <c r="P1350" s="173" t="s">
        <v>6051</v>
      </c>
    </row>
    <row r="1351" spans="1:16" ht="64.05" customHeight="1" x14ac:dyDescent="0.3">
      <c r="A1351" s="151" t="s">
        <v>8089</v>
      </c>
      <c r="B1351" s="151" t="s">
        <v>8080</v>
      </c>
      <c r="C1351" s="151" t="s">
        <v>114</v>
      </c>
      <c r="D1351" s="151">
        <v>2022</v>
      </c>
      <c r="E1351" s="151" t="s">
        <v>938</v>
      </c>
      <c r="F1351" s="174" t="s">
        <v>6543</v>
      </c>
      <c r="G1351" s="167">
        <f>FCCL!E91</f>
        <v>11751.85</v>
      </c>
      <c r="H1351" s="167">
        <f>'Forensic Inputs'!$G$32</f>
        <v>966.47299999999996</v>
      </c>
      <c r="I1351" s="165">
        <f t="shared" si="63"/>
        <v>12.159522304296138</v>
      </c>
      <c r="J1351" s="165">
        <v>12.159522304296138</v>
      </c>
      <c r="K1351" s="169">
        <f t="shared" si="64"/>
        <v>0</v>
      </c>
      <c r="L1351" s="165">
        <v>11</v>
      </c>
      <c r="M1351" s="151">
        <v>0</v>
      </c>
      <c r="N1351" s="151" t="str">
        <f t="shared" si="65"/>
        <v>No fit</v>
      </c>
      <c r="O1351" s="174" t="s">
        <v>8062</v>
      </c>
      <c r="P1351" s="174" t="s">
        <v>6051</v>
      </c>
    </row>
    <row r="1352" spans="1:16" ht="64.05" customHeight="1" x14ac:dyDescent="0.3">
      <c r="A1352" s="154" t="s">
        <v>8090</v>
      </c>
      <c r="B1352" s="154" t="s">
        <v>8080</v>
      </c>
      <c r="C1352" s="154" t="s">
        <v>114</v>
      </c>
      <c r="D1352" s="154">
        <v>2022</v>
      </c>
      <c r="E1352" s="154" t="s">
        <v>938</v>
      </c>
      <c r="F1352" s="173" t="s">
        <v>6546</v>
      </c>
      <c r="G1352" s="166">
        <f>FCCL!E91</f>
        <v>11751.85</v>
      </c>
      <c r="H1352" s="166">
        <f>FCCL!E106</f>
        <v>995.22400000000005</v>
      </c>
      <c r="I1352" s="164">
        <f t="shared" si="63"/>
        <v>11.808246183773702</v>
      </c>
      <c r="J1352" s="164">
        <v>11.808246183773702</v>
      </c>
      <c r="K1352" s="168">
        <f t="shared" si="64"/>
        <v>0</v>
      </c>
      <c r="L1352" s="164">
        <v>11</v>
      </c>
      <c r="M1352" s="154">
        <v>0</v>
      </c>
      <c r="N1352" s="154" t="str">
        <f t="shared" si="65"/>
        <v>No fit</v>
      </c>
      <c r="O1352" s="173" t="s">
        <v>6547</v>
      </c>
      <c r="P1352" s="173" t="s">
        <v>6051</v>
      </c>
    </row>
    <row r="1353" spans="1:16" ht="64.05" customHeight="1" x14ac:dyDescent="0.3">
      <c r="A1353" s="151" t="s">
        <v>8091</v>
      </c>
      <c r="B1353" s="151" t="s">
        <v>8080</v>
      </c>
      <c r="C1353" s="151" t="s">
        <v>114</v>
      </c>
      <c r="D1353" s="151">
        <v>2022</v>
      </c>
      <c r="E1353" s="151" t="s">
        <v>938</v>
      </c>
      <c r="F1353" s="174" t="s">
        <v>6549</v>
      </c>
      <c r="G1353" s="167">
        <f>FCCL!E91</f>
        <v>11751.85</v>
      </c>
      <c r="H1353" s="167">
        <f>(FCCL!E95*-1)</f>
        <v>1201.6120000000001</v>
      </c>
      <c r="I1353" s="165">
        <f t="shared" si="63"/>
        <v>9.7800704387106645</v>
      </c>
      <c r="J1353" s="165">
        <v>9.7800704387106645</v>
      </c>
      <c r="K1353" s="169">
        <f t="shared" si="64"/>
        <v>0</v>
      </c>
      <c r="L1353" s="165">
        <v>11</v>
      </c>
      <c r="M1353" s="151">
        <v>0</v>
      </c>
      <c r="N1353" s="151" t="str">
        <f t="shared" si="65"/>
        <v>No fit</v>
      </c>
      <c r="O1353" s="174" t="s">
        <v>6550</v>
      </c>
      <c r="P1353" s="174" t="s">
        <v>6051</v>
      </c>
    </row>
    <row r="1354" spans="1:16" ht="64.05" customHeight="1" x14ac:dyDescent="0.3">
      <c r="A1354" s="154" t="s">
        <v>8092</v>
      </c>
      <c r="B1354" s="154" t="s">
        <v>8080</v>
      </c>
      <c r="C1354" s="154" t="s">
        <v>114</v>
      </c>
      <c r="D1354" s="154">
        <v>2022</v>
      </c>
      <c r="E1354" s="154" t="s">
        <v>938</v>
      </c>
      <c r="F1354" s="173" t="s">
        <v>6552</v>
      </c>
      <c r="G1354" s="166">
        <f>FCCL!E91</f>
        <v>11751.85</v>
      </c>
      <c r="H1354" s="166">
        <f>((FCCL!E95*-1)-FCCL!E93)</f>
        <v>455.7600000000001</v>
      </c>
      <c r="I1354" s="164">
        <f t="shared" si="63"/>
        <v>25.785172020361589</v>
      </c>
      <c r="J1354" s="164">
        <v>25.785172020361589</v>
      </c>
      <c r="K1354" s="168">
        <f t="shared" si="64"/>
        <v>0</v>
      </c>
      <c r="L1354" s="164">
        <v>11</v>
      </c>
      <c r="M1354" s="154">
        <v>0</v>
      </c>
      <c r="N1354" s="154" t="str">
        <f t="shared" si="65"/>
        <v>No fit</v>
      </c>
      <c r="O1354" s="173" t="s">
        <v>6553</v>
      </c>
      <c r="P1354" s="173" t="s">
        <v>6051</v>
      </c>
    </row>
    <row r="1355" spans="1:16" ht="64.05" customHeight="1" x14ac:dyDescent="0.3">
      <c r="A1355" s="151" t="s">
        <v>8093</v>
      </c>
      <c r="B1355" s="151" t="s">
        <v>8080</v>
      </c>
      <c r="C1355" s="151" t="s">
        <v>114</v>
      </c>
      <c r="D1355" s="151">
        <v>2022</v>
      </c>
      <c r="E1355" s="151" t="s">
        <v>938</v>
      </c>
      <c r="F1355" s="174" t="s">
        <v>6555</v>
      </c>
      <c r="G1355" s="167">
        <f>(FCCL!E108+FCCL!E107)</f>
        <v>15679.848000000002</v>
      </c>
      <c r="H1355" s="167">
        <f>'Forensic Inputs'!$G$32</f>
        <v>966.47299999999996</v>
      </c>
      <c r="I1355" s="165">
        <f t="shared" si="63"/>
        <v>16.223782764753906</v>
      </c>
      <c r="J1355" s="165">
        <v>16.223782764753906</v>
      </c>
      <c r="K1355" s="169">
        <f t="shared" si="64"/>
        <v>0</v>
      </c>
      <c r="L1355" s="165">
        <v>11</v>
      </c>
      <c r="M1355" s="151">
        <v>0</v>
      </c>
      <c r="N1355" s="151" t="str">
        <f t="shared" si="65"/>
        <v>No fit</v>
      </c>
      <c r="O1355" s="174" t="s">
        <v>8067</v>
      </c>
      <c r="P1355" s="174" t="s">
        <v>6051</v>
      </c>
    </row>
    <row r="1356" spans="1:16" ht="64.05" customHeight="1" x14ac:dyDescent="0.3">
      <c r="A1356" s="154" t="s">
        <v>8094</v>
      </c>
      <c r="B1356" s="154" t="s">
        <v>8080</v>
      </c>
      <c r="C1356" s="154" t="s">
        <v>114</v>
      </c>
      <c r="D1356" s="154">
        <v>2022</v>
      </c>
      <c r="E1356" s="154" t="s">
        <v>938</v>
      </c>
      <c r="F1356" s="173" t="s">
        <v>6558</v>
      </c>
      <c r="G1356" s="166">
        <f>(FCCL!E108+FCCL!E107)</f>
        <v>15679.848000000002</v>
      </c>
      <c r="H1356" s="166">
        <f>FCCL!E106</f>
        <v>995.22400000000005</v>
      </c>
      <c r="I1356" s="164">
        <f t="shared" si="63"/>
        <v>15.755094330522576</v>
      </c>
      <c r="J1356" s="164">
        <v>15.755094330522576</v>
      </c>
      <c r="K1356" s="168">
        <f t="shared" si="64"/>
        <v>0</v>
      </c>
      <c r="L1356" s="164">
        <v>11</v>
      </c>
      <c r="M1356" s="154">
        <v>0</v>
      </c>
      <c r="N1356" s="154" t="str">
        <f t="shared" si="65"/>
        <v>No fit</v>
      </c>
      <c r="O1356" s="173" t="s">
        <v>6559</v>
      </c>
      <c r="P1356" s="173" t="s">
        <v>6051</v>
      </c>
    </row>
    <row r="1357" spans="1:16" ht="64.05" customHeight="1" x14ac:dyDescent="0.3">
      <c r="A1357" s="151" t="s">
        <v>8095</v>
      </c>
      <c r="B1357" s="151" t="s">
        <v>8080</v>
      </c>
      <c r="C1357" s="151" t="s">
        <v>114</v>
      </c>
      <c r="D1357" s="151">
        <v>2022</v>
      </c>
      <c r="E1357" s="151" t="s">
        <v>938</v>
      </c>
      <c r="F1357" s="174" t="s">
        <v>6561</v>
      </c>
      <c r="G1357" s="167">
        <f>(FCCL!E108+FCCL!E107)</f>
        <v>15679.848000000002</v>
      </c>
      <c r="H1357" s="167">
        <f>(FCCL!E95*-1)</f>
        <v>1201.6120000000001</v>
      </c>
      <c r="I1357" s="165">
        <f t="shared" si="63"/>
        <v>13.049010828786663</v>
      </c>
      <c r="J1357" s="165">
        <v>13.049010828786663</v>
      </c>
      <c r="K1357" s="169">
        <f t="shared" si="64"/>
        <v>0</v>
      </c>
      <c r="L1357" s="165">
        <v>11</v>
      </c>
      <c r="M1357" s="151">
        <v>0</v>
      </c>
      <c r="N1357" s="151" t="str">
        <f t="shared" si="65"/>
        <v>No fit</v>
      </c>
      <c r="O1357" s="174" t="s">
        <v>6562</v>
      </c>
      <c r="P1357" s="174" t="s">
        <v>6051</v>
      </c>
    </row>
    <row r="1358" spans="1:16" ht="64.05" customHeight="1" x14ac:dyDescent="0.3">
      <c r="A1358" s="154" t="s">
        <v>8096</v>
      </c>
      <c r="B1358" s="154" t="s">
        <v>8080</v>
      </c>
      <c r="C1358" s="154" t="s">
        <v>114</v>
      </c>
      <c r="D1358" s="154">
        <v>2022</v>
      </c>
      <c r="E1358" s="154" t="s">
        <v>938</v>
      </c>
      <c r="F1358" s="173" t="s">
        <v>6564</v>
      </c>
      <c r="G1358" s="166">
        <f>(FCCL!E108+FCCL!E107)</f>
        <v>15679.848000000002</v>
      </c>
      <c r="H1358" s="166">
        <f>((FCCL!E95*-1)-FCCL!E93)</f>
        <v>455.7600000000001</v>
      </c>
      <c r="I1358" s="164">
        <f t="shared" si="63"/>
        <v>34.403738809899941</v>
      </c>
      <c r="J1358" s="164">
        <v>34.403738809899941</v>
      </c>
      <c r="K1358" s="168">
        <f t="shared" si="64"/>
        <v>0</v>
      </c>
      <c r="L1358" s="164">
        <v>11</v>
      </c>
      <c r="M1358" s="154">
        <v>0</v>
      </c>
      <c r="N1358" s="154" t="str">
        <f t="shared" si="65"/>
        <v>No fit</v>
      </c>
      <c r="O1358" s="173" t="s">
        <v>6565</v>
      </c>
      <c r="P1358" s="173" t="s">
        <v>6051</v>
      </c>
    </row>
    <row r="1359" spans="1:16" ht="64.05" customHeight="1" x14ac:dyDescent="0.3">
      <c r="A1359" s="151" t="s">
        <v>8097</v>
      </c>
      <c r="B1359" s="151" t="s">
        <v>8080</v>
      </c>
      <c r="C1359" s="151" t="s">
        <v>114</v>
      </c>
      <c r="D1359" s="151">
        <v>2022</v>
      </c>
      <c r="E1359" s="151" t="s">
        <v>938</v>
      </c>
      <c r="F1359" s="174" t="s">
        <v>6567</v>
      </c>
      <c r="G1359" s="167">
        <f>(FCCL!E96+'Forensic Inputs'!$G$32)</f>
        <v>12494.566000000001</v>
      </c>
      <c r="H1359" s="167">
        <f>'Forensic Inputs'!$G$32</f>
        <v>966.47299999999996</v>
      </c>
      <c r="I1359" s="165">
        <f t="shared" si="63"/>
        <v>12.928003162012805</v>
      </c>
      <c r="J1359" s="165">
        <v>12.928003162012805</v>
      </c>
      <c r="K1359" s="169">
        <f t="shared" si="64"/>
        <v>0</v>
      </c>
      <c r="L1359" s="165">
        <v>11</v>
      </c>
      <c r="M1359" s="151">
        <v>0</v>
      </c>
      <c r="N1359" s="151" t="str">
        <f t="shared" si="65"/>
        <v>No fit</v>
      </c>
      <c r="O1359" s="174" t="s">
        <v>8072</v>
      </c>
      <c r="P1359" s="174" t="s">
        <v>6051</v>
      </c>
    </row>
    <row r="1360" spans="1:16" ht="64.05" customHeight="1" x14ac:dyDescent="0.3">
      <c r="A1360" s="154" t="s">
        <v>8098</v>
      </c>
      <c r="B1360" s="154" t="s">
        <v>8080</v>
      </c>
      <c r="C1360" s="154" t="s">
        <v>114</v>
      </c>
      <c r="D1360" s="154">
        <v>2022</v>
      </c>
      <c r="E1360" s="154" t="s">
        <v>938</v>
      </c>
      <c r="F1360" s="173" t="s">
        <v>6570</v>
      </c>
      <c r="G1360" s="166">
        <f>(FCCL!E96+'Forensic Inputs'!$G$32)</f>
        <v>12494.566000000001</v>
      </c>
      <c r="H1360" s="166">
        <f>FCCL!E106</f>
        <v>995.22400000000005</v>
      </c>
      <c r="I1360" s="164">
        <f t="shared" si="63"/>
        <v>12.554526418173195</v>
      </c>
      <c r="J1360" s="164">
        <v>12.554526418173195</v>
      </c>
      <c r="K1360" s="168">
        <f t="shared" si="64"/>
        <v>0</v>
      </c>
      <c r="L1360" s="164">
        <v>11</v>
      </c>
      <c r="M1360" s="154">
        <v>0</v>
      </c>
      <c r="N1360" s="154" t="str">
        <f t="shared" si="65"/>
        <v>No fit</v>
      </c>
      <c r="O1360" s="173" t="s">
        <v>8074</v>
      </c>
      <c r="P1360" s="173" t="s">
        <v>6051</v>
      </c>
    </row>
    <row r="1361" spans="1:16" ht="64.05" customHeight="1" x14ac:dyDescent="0.3">
      <c r="A1361" s="151" t="s">
        <v>8099</v>
      </c>
      <c r="B1361" s="151" t="s">
        <v>8080</v>
      </c>
      <c r="C1361" s="151" t="s">
        <v>114</v>
      </c>
      <c r="D1361" s="151">
        <v>2022</v>
      </c>
      <c r="E1361" s="151" t="s">
        <v>938</v>
      </c>
      <c r="F1361" s="174" t="s">
        <v>6573</v>
      </c>
      <c r="G1361" s="167">
        <f>(FCCL!E96+'Forensic Inputs'!$G$32)</f>
        <v>12494.566000000001</v>
      </c>
      <c r="H1361" s="167">
        <f>(FCCL!E95*-1)</f>
        <v>1201.6120000000001</v>
      </c>
      <c r="I1361" s="165">
        <f t="shared" si="63"/>
        <v>10.398170124799019</v>
      </c>
      <c r="J1361" s="165">
        <v>10.398170124799019</v>
      </c>
      <c r="K1361" s="169">
        <f t="shared" si="64"/>
        <v>0</v>
      </c>
      <c r="L1361" s="165">
        <v>11</v>
      </c>
      <c r="M1361" s="151">
        <v>0</v>
      </c>
      <c r="N1361" s="151" t="str">
        <f t="shared" si="65"/>
        <v>No fit</v>
      </c>
      <c r="O1361" s="174" t="s">
        <v>8076</v>
      </c>
      <c r="P1361" s="174" t="s">
        <v>6051</v>
      </c>
    </row>
    <row r="1362" spans="1:16" ht="64.05" customHeight="1" x14ac:dyDescent="0.3">
      <c r="A1362" s="154" t="s">
        <v>8100</v>
      </c>
      <c r="B1362" s="154" t="s">
        <v>8080</v>
      </c>
      <c r="C1362" s="154" t="s">
        <v>114</v>
      </c>
      <c r="D1362" s="154">
        <v>2022</v>
      </c>
      <c r="E1362" s="154" t="s">
        <v>938</v>
      </c>
      <c r="F1362" s="173" t="s">
        <v>6576</v>
      </c>
      <c r="G1362" s="166">
        <f>(FCCL!E96+'Forensic Inputs'!$G$32)</f>
        <v>12494.566000000001</v>
      </c>
      <c r="H1362" s="166">
        <f>((FCCL!E95*-1)-FCCL!E93)</f>
        <v>455.7600000000001</v>
      </c>
      <c r="I1362" s="164">
        <f t="shared" si="63"/>
        <v>27.414792873442156</v>
      </c>
      <c r="J1362" s="164">
        <v>27.414792873442156</v>
      </c>
      <c r="K1362" s="168">
        <f t="shared" si="64"/>
        <v>0</v>
      </c>
      <c r="L1362" s="164">
        <v>11</v>
      </c>
      <c r="M1362" s="154">
        <v>0</v>
      </c>
      <c r="N1362" s="154" t="str">
        <f t="shared" si="65"/>
        <v>No fit</v>
      </c>
      <c r="O1362" s="173" t="s">
        <v>8078</v>
      </c>
      <c r="P1362" s="173" t="s">
        <v>6051</v>
      </c>
    </row>
    <row r="1363" spans="1:16" ht="64.05" customHeight="1" x14ac:dyDescent="0.3">
      <c r="A1363" s="151" t="s">
        <v>8101</v>
      </c>
      <c r="B1363" s="151" t="s">
        <v>8102</v>
      </c>
      <c r="C1363" s="151" t="s">
        <v>114</v>
      </c>
      <c r="D1363" s="151">
        <v>2023</v>
      </c>
      <c r="E1363" s="151" t="s">
        <v>938</v>
      </c>
      <c r="F1363" s="174" t="s">
        <v>5893</v>
      </c>
      <c r="G1363" s="167">
        <f>FCCL!F108</f>
        <v>16545.374000000007</v>
      </c>
      <c r="H1363" s="167">
        <f>FCCL!F106</f>
        <v>2624.81</v>
      </c>
      <c r="I1363" s="165">
        <f t="shared" si="63"/>
        <v>6.3034558691867248</v>
      </c>
      <c r="J1363" s="165">
        <v>6.3034558691867248</v>
      </c>
      <c r="K1363" s="169">
        <f t="shared" si="64"/>
        <v>0</v>
      </c>
      <c r="L1363" s="165">
        <v>6.38</v>
      </c>
      <c r="M1363" s="151">
        <v>2</v>
      </c>
      <c r="N1363" s="151" t="str">
        <f t="shared" si="65"/>
        <v>No fit</v>
      </c>
      <c r="O1363" s="174" t="s">
        <v>6050</v>
      </c>
      <c r="P1363" s="174" t="s">
        <v>6051</v>
      </c>
    </row>
    <row r="1364" spans="1:16" ht="64.05" customHeight="1" x14ac:dyDescent="0.3">
      <c r="A1364" s="154" t="s">
        <v>8103</v>
      </c>
      <c r="B1364" s="154" t="s">
        <v>8102</v>
      </c>
      <c r="C1364" s="154" t="s">
        <v>114</v>
      </c>
      <c r="D1364" s="154">
        <v>2023</v>
      </c>
      <c r="E1364" s="154" t="s">
        <v>938</v>
      </c>
      <c r="F1364" s="173" t="s">
        <v>5828</v>
      </c>
      <c r="G1364" s="166">
        <f>FCCL!F108</f>
        <v>16545.374000000007</v>
      </c>
      <c r="H1364" s="166">
        <f>'Forensic Inputs'!$G$33</f>
        <v>2591.8989999999999</v>
      </c>
      <c r="I1364" s="164">
        <f t="shared" si="63"/>
        <v>6.3834948815521004</v>
      </c>
      <c r="J1364" s="164">
        <v>6.3834948815521004</v>
      </c>
      <c r="K1364" s="168">
        <f t="shared" si="64"/>
        <v>0</v>
      </c>
      <c r="L1364" s="164">
        <v>6.38</v>
      </c>
      <c r="M1364" s="154">
        <v>2</v>
      </c>
      <c r="N1364" s="154" t="str">
        <f t="shared" si="65"/>
        <v>Numeric fit</v>
      </c>
      <c r="O1364" s="173" t="s">
        <v>8104</v>
      </c>
      <c r="P1364" s="173" t="s">
        <v>6051</v>
      </c>
    </row>
    <row r="1365" spans="1:16" ht="64.05" customHeight="1" x14ac:dyDescent="0.3">
      <c r="A1365" s="151" t="s">
        <v>8105</v>
      </c>
      <c r="B1365" s="151" t="s">
        <v>8102</v>
      </c>
      <c r="C1365" s="151" t="s">
        <v>114</v>
      </c>
      <c r="D1365" s="151">
        <v>2023</v>
      </c>
      <c r="E1365" s="151" t="s">
        <v>938</v>
      </c>
      <c r="F1365" s="174" t="s">
        <v>6522</v>
      </c>
      <c r="G1365" s="167">
        <f>FCCL!F108</f>
        <v>16545.374000000007</v>
      </c>
      <c r="H1365" s="167">
        <f>FCCL!F106</f>
        <v>2624.81</v>
      </c>
      <c r="I1365" s="165">
        <f t="shared" si="63"/>
        <v>6.3034558691867248</v>
      </c>
      <c r="J1365" s="165">
        <v>6.3034558691867248</v>
      </c>
      <c r="K1365" s="169">
        <f t="shared" si="64"/>
        <v>0</v>
      </c>
      <c r="L1365" s="165">
        <v>6.38</v>
      </c>
      <c r="M1365" s="151">
        <v>2</v>
      </c>
      <c r="N1365" s="151" t="str">
        <f t="shared" si="65"/>
        <v>No fit</v>
      </c>
      <c r="O1365" s="174" t="s">
        <v>6523</v>
      </c>
      <c r="P1365" s="174" t="s">
        <v>6051</v>
      </c>
    </row>
    <row r="1366" spans="1:16" ht="64.05" customHeight="1" x14ac:dyDescent="0.3">
      <c r="A1366" s="154" t="s">
        <v>8106</v>
      </c>
      <c r="B1366" s="154" t="s">
        <v>8102</v>
      </c>
      <c r="C1366" s="154" t="s">
        <v>114</v>
      </c>
      <c r="D1366" s="154">
        <v>2023</v>
      </c>
      <c r="E1366" s="154" t="s">
        <v>938</v>
      </c>
      <c r="F1366" s="173" t="s">
        <v>6525</v>
      </c>
      <c r="G1366" s="166">
        <f>FCCL!F108</f>
        <v>16545.374000000007</v>
      </c>
      <c r="H1366" s="166">
        <f>(FCCL!F95*-1)</f>
        <v>3645.2649999999999</v>
      </c>
      <c r="I1366" s="164">
        <f t="shared" si="63"/>
        <v>4.5388672702807638</v>
      </c>
      <c r="J1366" s="164">
        <v>4.5388672702807638</v>
      </c>
      <c r="K1366" s="168">
        <f t="shared" si="64"/>
        <v>0</v>
      </c>
      <c r="L1366" s="164">
        <v>6.38</v>
      </c>
      <c r="M1366" s="154">
        <v>2</v>
      </c>
      <c r="N1366" s="154" t="str">
        <f t="shared" si="65"/>
        <v>No fit</v>
      </c>
      <c r="O1366" s="173" t="s">
        <v>6526</v>
      </c>
      <c r="P1366" s="173" t="s">
        <v>6051</v>
      </c>
    </row>
    <row r="1367" spans="1:16" ht="64.05" customHeight="1" x14ac:dyDescent="0.3">
      <c r="A1367" s="151" t="s">
        <v>8107</v>
      </c>
      <c r="B1367" s="151" t="s">
        <v>8102</v>
      </c>
      <c r="C1367" s="151" t="s">
        <v>114</v>
      </c>
      <c r="D1367" s="151">
        <v>2023</v>
      </c>
      <c r="E1367" s="151" t="s">
        <v>938</v>
      </c>
      <c r="F1367" s="174" t="s">
        <v>6528</v>
      </c>
      <c r="G1367" s="167">
        <f>FCCL!F108</f>
        <v>16545.374000000007</v>
      </c>
      <c r="H1367" s="167">
        <f>((FCCL!F95*-1)-FCCL!F93)</f>
        <v>3117.5630000000001</v>
      </c>
      <c r="I1367" s="165">
        <f t="shared" si="63"/>
        <v>5.3071498474930596</v>
      </c>
      <c r="J1367" s="165">
        <v>5.3071498474930596</v>
      </c>
      <c r="K1367" s="169">
        <f t="shared" si="64"/>
        <v>0</v>
      </c>
      <c r="L1367" s="165">
        <v>6.38</v>
      </c>
      <c r="M1367" s="151">
        <v>2</v>
      </c>
      <c r="N1367" s="151" t="str">
        <f t="shared" si="65"/>
        <v>No fit</v>
      </c>
      <c r="O1367" s="174" t="s">
        <v>6529</v>
      </c>
      <c r="P1367" s="174" t="s">
        <v>6051</v>
      </c>
    </row>
    <row r="1368" spans="1:16" ht="64.05" customHeight="1" x14ac:dyDescent="0.3">
      <c r="A1368" s="154" t="s">
        <v>8108</v>
      </c>
      <c r="B1368" s="154" t="s">
        <v>8102</v>
      </c>
      <c r="C1368" s="154" t="s">
        <v>114</v>
      </c>
      <c r="D1368" s="154">
        <v>2023</v>
      </c>
      <c r="E1368" s="154" t="s">
        <v>938</v>
      </c>
      <c r="F1368" s="173" t="s">
        <v>6531</v>
      </c>
      <c r="G1368" s="166">
        <f>(FCCL!F108-FCCL!F93)</f>
        <v>16017.672000000008</v>
      </c>
      <c r="H1368" s="166">
        <f>'Forensic Inputs'!$G$33</f>
        <v>2591.8989999999999</v>
      </c>
      <c r="I1368" s="164">
        <f t="shared" si="63"/>
        <v>6.1798982136263829</v>
      </c>
      <c r="J1368" s="164">
        <v>6.1798982136263829</v>
      </c>
      <c r="K1368" s="168">
        <f t="shared" si="64"/>
        <v>0</v>
      </c>
      <c r="L1368" s="164">
        <v>6.38</v>
      </c>
      <c r="M1368" s="154">
        <v>2</v>
      </c>
      <c r="N1368" s="154" t="str">
        <f t="shared" si="65"/>
        <v>No fit</v>
      </c>
      <c r="O1368" s="173" t="s">
        <v>8109</v>
      </c>
      <c r="P1368" s="173" t="s">
        <v>6051</v>
      </c>
    </row>
    <row r="1369" spans="1:16" ht="64.05" customHeight="1" x14ac:dyDescent="0.3">
      <c r="A1369" s="151" t="s">
        <v>8110</v>
      </c>
      <c r="B1369" s="151" t="s">
        <v>8102</v>
      </c>
      <c r="C1369" s="151" t="s">
        <v>114</v>
      </c>
      <c r="D1369" s="151">
        <v>2023</v>
      </c>
      <c r="E1369" s="151" t="s">
        <v>938</v>
      </c>
      <c r="F1369" s="174" t="s">
        <v>6534</v>
      </c>
      <c r="G1369" s="167">
        <f>(FCCL!F108-FCCL!F93)</f>
        <v>16017.672000000008</v>
      </c>
      <c r="H1369" s="167">
        <f>FCCL!F106</f>
        <v>2624.81</v>
      </c>
      <c r="I1369" s="165">
        <f t="shared" si="63"/>
        <v>6.1024119841055189</v>
      </c>
      <c r="J1369" s="165">
        <v>6.1024119841055189</v>
      </c>
      <c r="K1369" s="169">
        <f t="shared" si="64"/>
        <v>0</v>
      </c>
      <c r="L1369" s="165">
        <v>6.38</v>
      </c>
      <c r="M1369" s="151">
        <v>2</v>
      </c>
      <c r="N1369" s="151" t="str">
        <f t="shared" si="65"/>
        <v>No fit</v>
      </c>
      <c r="O1369" s="174" t="s">
        <v>6535</v>
      </c>
      <c r="P1369" s="174" t="s">
        <v>6051</v>
      </c>
    </row>
    <row r="1370" spans="1:16" ht="64.05" customHeight="1" x14ac:dyDescent="0.3">
      <c r="A1370" s="154" t="s">
        <v>8111</v>
      </c>
      <c r="B1370" s="154" t="s">
        <v>8102</v>
      </c>
      <c r="C1370" s="154" t="s">
        <v>114</v>
      </c>
      <c r="D1370" s="154">
        <v>2023</v>
      </c>
      <c r="E1370" s="154" t="s">
        <v>938</v>
      </c>
      <c r="F1370" s="173" t="s">
        <v>6537</v>
      </c>
      <c r="G1370" s="166">
        <f>(FCCL!F108-FCCL!F93)</f>
        <v>16017.672000000008</v>
      </c>
      <c r="H1370" s="166">
        <f>(FCCL!F95*-1)</f>
        <v>3645.2649999999999</v>
      </c>
      <c r="I1370" s="164">
        <f t="shared" si="63"/>
        <v>4.394103583690077</v>
      </c>
      <c r="J1370" s="164">
        <v>4.394103583690077</v>
      </c>
      <c r="K1370" s="168">
        <f t="shared" si="64"/>
        <v>0</v>
      </c>
      <c r="L1370" s="164">
        <v>6.38</v>
      </c>
      <c r="M1370" s="154">
        <v>2</v>
      </c>
      <c r="N1370" s="154" t="str">
        <f t="shared" si="65"/>
        <v>No fit</v>
      </c>
      <c r="O1370" s="173" t="s">
        <v>6538</v>
      </c>
      <c r="P1370" s="173" t="s">
        <v>6051</v>
      </c>
    </row>
    <row r="1371" spans="1:16" ht="64.05" customHeight="1" x14ac:dyDescent="0.3">
      <c r="A1371" s="151" t="s">
        <v>8112</v>
      </c>
      <c r="B1371" s="151" t="s">
        <v>8102</v>
      </c>
      <c r="C1371" s="151" t="s">
        <v>114</v>
      </c>
      <c r="D1371" s="151">
        <v>2023</v>
      </c>
      <c r="E1371" s="151" t="s">
        <v>938</v>
      </c>
      <c r="F1371" s="174" t="s">
        <v>6540</v>
      </c>
      <c r="G1371" s="167">
        <f>(FCCL!F108-FCCL!F93)</f>
        <v>16017.672000000008</v>
      </c>
      <c r="H1371" s="167">
        <f>((FCCL!F95*-1)-FCCL!F93)</f>
        <v>3117.5630000000001</v>
      </c>
      <c r="I1371" s="165">
        <f t="shared" si="63"/>
        <v>5.1378823779984586</v>
      </c>
      <c r="J1371" s="165">
        <v>5.1378823779984586</v>
      </c>
      <c r="K1371" s="169">
        <f t="shared" si="64"/>
        <v>0</v>
      </c>
      <c r="L1371" s="165">
        <v>6.38</v>
      </c>
      <c r="M1371" s="151">
        <v>2</v>
      </c>
      <c r="N1371" s="151" t="str">
        <f t="shared" si="65"/>
        <v>No fit</v>
      </c>
      <c r="O1371" s="174" t="s">
        <v>6541</v>
      </c>
      <c r="P1371" s="174" t="s">
        <v>6051</v>
      </c>
    </row>
    <row r="1372" spans="1:16" ht="64.05" customHeight="1" x14ac:dyDescent="0.3">
      <c r="A1372" s="154" t="s">
        <v>8113</v>
      </c>
      <c r="B1372" s="154" t="s">
        <v>8102</v>
      </c>
      <c r="C1372" s="154" t="s">
        <v>114</v>
      </c>
      <c r="D1372" s="154">
        <v>2023</v>
      </c>
      <c r="E1372" s="154" t="s">
        <v>938</v>
      </c>
      <c r="F1372" s="173" t="s">
        <v>6543</v>
      </c>
      <c r="G1372" s="166">
        <f>FCCL!F91</f>
        <v>15581.499000000007</v>
      </c>
      <c r="H1372" s="166">
        <f>'Forensic Inputs'!$G$33</f>
        <v>2591.8989999999999</v>
      </c>
      <c r="I1372" s="164">
        <f t="shared" si="63"/>
        <v>6.0116150359253995</v>
      </c>
      <c r="J1372" s="164">
        <v>6.0116150359253995</v>
      </c>
      <c r="K1372" s="168">
        <f t="shared" si="64"/>
        <v>0</v>
      </c>
      <c r="L1372" s="164">
        <v>6.38</v>
      </c>
      <c r="M1372" s="154">
        <v>2</v>
      </c>
      <c r="N1372" s="154" t="str">
        <f t="shared" si="65"/>
        <v>No fit</v>
      </c>
      <c r="O1372" s="173" t="s">
        <v>8114</v>
      </c>
      <c r="P1372" s="173" t="s">
        <v>6051</v>
      </c>
    </row>
    <row r="1373" spans="1:16" ht="64.05" customHeight="1" x14ac:dyDescent="0.3">
      <c r="A1373" s="151" t="s">
        <v>8115</v>
      </c>
      <c r="B1373" s="151" t="s">
        <v>8102</v>
      </c>
      <c r="C1373" s="151" t="s">
        <v>114</v>
      </c>
      <c r="D1373" s="151">
        <v>2023</v>
      </c>
      <c r="E1373" s="151" t="s">
        <v>938</v>
      </c>
      <c r="F1373" s="174" t="s">
        <v>6546</v>
      </c>
      <c r="G1373" s="167">
        <f>FCCL!F91</f>
        <v>15581.499000000007</v>
      </c>
      <c r="H1373" s="167">
        <f>FCCL!F106</f>
        <v>2624.81</v>
      </c>
      <c r="I1373" s="165">
        <f t="shared" si="63"/>
        <v>5.9362388134760256</v>
      </c>
      <c r="J1373" s="165">
        <v>5.9362388134760256</v>
      </c>
      <c r="K1373" s="169">
        <f t="shared" si="64"/>
        <v>0</v>
      </c>
      <c r="L1373" s="165">
        <v>6.38</v>
      </c>
      <c r="M1373" s="151">
        <v>2</v>
      </c>
      <c r="N1373" s="151" t="str">
        <f t="shared" si="65"/>
        <v>No fit</v>
      </c>
      <c r="O1373" s="174" t="s">
        <v>6547</v>
      </c>
      <c r="P1373" s="174" t="s">
        <v>6051</v>
      </c>
    </row>
    <row r="1374" spans="1:16" ht="64.05" customHeight="1" x14ac:dyDescent="0.3">
      <c r="A1374" s="154" t="s">
        <v>8116</v>
      </c>
      <c r="B1374" s="154" t="s">
        <v>8102</v>
      </c>
      <c r="C1374" s="154" t="s">
        <v>114</v>
      </c>
      <c r="D1374" s="154">
        <v>2023</v>
      </c>
      <c r="E1374" s="154" t="s">
        <v>938</v>
      </c>
      <c r="F1374" s="173" t="s">
        <v>6549</v>
      </c>
      <c r="G1374" s="166">
        <f>FCCL!F91</f>
        <v>15581.499000000007</v>
      </c>
      <c r="H1374" s="166">
        <f>(FCCL!F95*-1)</f>
        <v>3645.2649999999999</v>
      </c>
      <c r="I1374" s="164">
        <f t="shared" si="63"/>
        <v>4.274448908378405</v>
      </c>
      <c r="J1374" s="164">
        <v>4.274448908378405</v>
      </c>
      <c r="K1374" s="168">
        <f t="shared" si="64"/>
        <v>0</v>
      </c>
      <c r="L1374" s="164">
        <v>6.38</v>
      </c>
      <c r="M1374" s="154">
        <v>2</v>
      </c>
      <c r="N1374" s="154" t="str">
        <f t="shared" si="65"/>
        <v>No fit</v>
      </c>
      <c r="O1374" s="173" t="s">
        <v>6550</v>
      </c>
      <c r="P1374" s="173" t="s">
        <v>6051</v>
      </c>
    </row>
    <row r="1375" spans="1:16" ht="64.05" customHeight="1" x14ac:dyDescent="0.3">
      <c r="A1375" s="151" t="s">
        <v>8117</v>
      </c>
      <c r="B1375" s="151" t="s">
        <v>8102</v>
      </c>
      <c r="C1375" s="151" t="s">
        <v>114</v>
      </c>
      <c r="D1375" s="151">
        <v>2023</v>
      </c>
      <c r="E1375" s="151" t="s">
        <v>938</v>
      </c>
      <c r="F1375" s="174" t="s">
        <v>6552</v>
      </c>
      <c r="G1375" s="167">
        <f>FCCL!F91</f>
        <v>15581.499000000007</v>
      </c>
      <c r="H1375" s="167">
        <f>((FCCL!F95*-1)-FCCL!F93)</f>
        <v>3117.5630000000001</v>
      </c>
      <c r="I1375" s="165">
        <f t="shared" si="63"/>
        <v>4.9979740585835817</v>
      </c>
      <c r="J1375" s="165">
        <v>4.9979740585835808</v>
      </c>
      <c r="K1375" s="169">
        <f t="shared" si="64"/>
        <v>0</v>
      </c>
      <c r="L1375" s="165">
        <v>6.38</v>
      </c>
      <c r="M1375" s="151">
        <v>2</v>
      </c>
      <c r="N1375" s="151" t="str">
        <f t="shared" si="65"/>
        <v>No fit</v>
      </c>
      <c r="O1375" s="174" t="s">
        <v>6553</v>
      </c>
      <c r="P1375" s="174" t="s">
        <v>6051</v>
      </c>
    </row>
    <row r="1376" spans="1:16" ht="64.05" customHeight="1" x14ac:dyDescent="0.3">
      <c r="A1376" s="154" t="s">
        <v>8118</v>
      </c>
      <c r="B1376" s="154" t="s">
        <v>8102</v>
      </c>
      <c r="C1376" s="154" t="s">
        <v>114</v>
      </c>
      <c r="D1376" s="154">
        <v>2023</v>
      </c>
      <c r="E1376" s="154" t="s">
        <v>938</v>
      </c>
      <c r="F1376" s="173" t="s">
        <v>6555</v>
      </c>
      <c r="G1376" s="166">
        <f>(FCCL!F108+FCCL!F107)</f>
        <v>20195.260000000006</v>
      </c>
      <c r="H1376" s="166">
        <f>'Forensic Inputs'!$G$33</f>
        <v>2591.8989999999999</v>
      </c>
      <c r="I1376" s="164">
        <f t="shared" si="63"/>
        <v>7.7916847840135768</v>
      </c>
      <c r="J1376" s="164">
        <v>7.7916847840135768</v>
      </c>
      <c r="K1376" s="168">
        <f t="shared" si="64"/>
        <v>0</v>
      </c>
      <c r="L1376" s="164">
        <v>6.38</v>
      </c>
      <c r="M1376" s="154">
        <v>2</v>
      </c>
      <c r="N1376" s="154" t="str">
        <f t="shared" si="65"/>
        <v>No fit</v>
      </c>
      <c r="O1376" s="173" t="s">
        <v>8119</v>
      </c>
      <c r="P1376" s="173" t="s">
        <v>6051</v>
      </c>
    </row>
    <row r="1377" spans="1:16" ht="64.05" customHeight="1" x14ac:dyDescent="0.3">
      <c r="A1377" s="151" t="s">
        <v>8120</v>
      </c>
      <c r="B1377" s="151" t="s">
        <v>8102</v>
      </c>
      <c r="C1377" s="151" t="s">
        <v>114</v>
      </c>
      <c r="D1377" s="151">
        <v>2023</v>
      </c>
      <c r="E1377" s="151" t="s">
        <v>938</v>
      </c>
      <c r="F1377" s="174" t="s">
        <v>6558</v>
      </c>
      <c r="G1377" s="167">
        <f>(FCCL!F108+FCCL!F107)</f>
        <v>20195.260000000006</v>
      </c>
      <c r="H1377" s="167">
        <f>FCCL!F106</f>
        <v>2624.81</v>
      </c>
      <c r="I1377" s="165">
        <f t="shared" si="63"/>
        <v>7.6939892792240228</v>
      </c>
      <c r="J1377" s="165">
        <v>7.6939892792240228</v>
      </c>
      <c r="K1377" s="169">
        <f t="shared" si="64"/>
        <v>0</v>
      </c>
      <c r="L1377" s="165">
        <v>6.38</v>
      </c>
      <c r="M1377" s="151">
        <v>2</v>
      </c>
      <c r="N1377" s="151" t="str">
        <f t="shared" si="65"/>
        <v>No fit</v>
      </c>
      <c r="O1377" s="174" t="s">
        <v>6559</v>
      </c>
      <c r="P1377" s="174" t="s">
        <v>6051</v>
      </c>
    </row>
    <row r="1378" spans="1:16" ht="64.05" customHeight="1" x14ac:dyDescent="0.3">
      <c r="A1378" s="154" t="s">
        <v>8121</v>
      </c>
      <c r="B1378" s="154" t="s">
        <v>8102</v>
      </c>
      <c r="C1378" s="154" t="s">
        <v>114</v>
      </c>
      <c r="D1378" s="154">
        <v>2023</v>
      </c>
      <c r="E1378" s="154" t="s">
        <v>938</v>
      </c>
      <c r="F1378" s="173" t="s">
        <v>6561</v>
      </c>
      <c r="G1378" s="166">
        <f>(FCCL!F108+FCCL!F107)</f>
        <v>20195.260000000006</v>
      </c>
      <c r="H1378" s="166">
        <f>(FCCL!F95*-1)</f>
        <v>3645.2649999999999</v>
      </c>
      <c r="I1378" s="164">
        <f t="shared" si="63"/>
        <v>5.5401349421784172</v>
      </c>
      <c r="J1378" s="164">
        <v>5.5401349421784172</v>
      </c>
      <c r="K1378" s="168">
        <f t="shared" si="64"/>
        <v>0</v>
      </c>
      <c r="L1378" s="164">
        <v>6.38</v>
      </c>
      <c r="M1378" s="154">
        <v>2</v>
      </c>
      <c r="N1378" s="154" t="str">
        <f t="shared" si="65"/>
        <v>No fit</v>
      </c>
      <c r="O1378" s="173" t="s">
        <v>6562</v>
      </c>
      <c r="P1378" s="173" t="s">
        <v>6051</v>
      </c>
    </row>
    <row r="1379" spans="1:16" ht="64.05" customHeight="1" x14ac:dyDescent="0.3">
      <c r="A1379" s="151" t="s">
        <v>8122</v>
      </c>
      <c r="B1379" s="151" t="s">
        <v>8102</v>
      </c>
      <c r="C1379" s="151" t="s">
        <v>114</v>
      </c>
      <c r="D1379" s="151">
        <v>2023</v>
      </c>
      <c r="E1379" s="151" t="s">
        <v>938</v>
      </c>
      <c r="F1379" s="174" t="s">
        <v>6564</v>
      </c>
      <c r="G1379" s="167">
        <f>(FCCL!F108+FCCL!F107)</f>
        <v>20195.260000000006</v>
      </c>
      <c r="H1379" s="167">
        <f>((FCCL!F95*-1)-FCCL!F93)</f>
        <v>3117.5630000000001</v>
      </c>
      <c r="I1379" s="165">
        <f t="shared" si="63"/>
        <v>6.4778995644995803</v>
      </c>
      <c r="J1379" s="165">
        <v>6.4778995644995803</v>
      </c>
      <c r="K1379" s="169">
        <f t="shared" si="64"/>
        <v>0</v>
      </c>
      <c r="L1379" s="165">
        <v>6.38</v>
      </c>
      <c r="M1379" s="151">
        <v>2</v>
      </c>
      <c r="N1379" s="151" t="str">
        <f t="shared" si="65"/>
        <v>No fit</v>
      </c>
      <c r="O1379" s="174" t="s">
        <v>6565</v>
      </c>
      <c r="P1379" s="174" t="s">
        <v>6051</v>
      </c>
    </row>
    <row r="1380" spans="1:16" ht="64.05" customHeight="1" x14ac:dyDescent="0.3">
      <c r="A1380" s="154" t="s">
        <v>8123</v>
      </c>
      <c r="B1380" s="154" t="s">
        <v>8102</v>
      </c>
      <c r="C1380" s="154" t="s">
        <v>114</v>
      </c>
      <c r="D1380" s="154">
        <v>2023</v>
      </c>
      <c r="E1380" s="154" t="s">
        <v>938</v>
      </c>
      <c r="F1380" s="173" t="s">
        <v>6567</v>
      </c>
      <c r="G1380" s="166">
        <f>(FCCL!F96+'Forensic Inputs'!$G$33)</f>
        <v>15492.008000000007</v>
      </c>
      <c r="H1380" s="166">
        <f>'Forensic Inputs'!$G$33</f>
        <v>2591.8989999999999</v>
      </c>
      <c r="I1380" s="164">
        <f t="shared" si="63"/>
        <v>5.9770878417716151</v>
      </c>
      <c r="J1380" s="164">
        <v>5.9770878417716142</v>
      </c>
      <c r="K1380" s="168">
        <f t="shared" si="64"/>
        <v>0</v>
      </c>
      <c r="L1380" s="164">
        <v>6.38</v>
      </c>
      <c r="M1380" s="154">
        <v>2</v>
      </c>
      <c r="N1380" s="154" t="str">
        <f t="shared" si="65"/>
        <v>No fit</v>
      </c>
      <c r="O1380" s="173" t="s">
        <v>8124</v>
      </c>
      <c r="P1380" s="173" t="s">
        <v>6051</v>
      </c>
    </row>
    <row r="1381" spans="1:16" ht="64.05" customHeight="1" x14ac:dyDescent="0.3">
      <c r="A1381" s="151" t="s">
        <v>8125</v>
      </c>
      <c r="B1381" s="151" t="s">
        <v>8102</v>
      </c>
      <c r="C1381" s="151" t="s">
        <v>114</v>
      </c>
      <c r="D1381" s="151">
        <v>2023</v>
      </c>
      <c r="E1381" s="151" t="s">
        <v>938</v>
      </c>
      <c r="F1381" s="174" t="s">
        <v>6570</v>
      </c>
      <c r="G1381" s="167">
        <f>(FCCL!F96+'Forensic Inputs'!$G$33)</f>
        <v>15492.008000000007</v>
      </c>
      <c r="H1381" s="167">
        <f>FCCL!F106</f>
        <v>2624.81</v>
      </c>
      <c r="I1381" s="165">
        <f t="shared" si="63"/>
        <v>5.902144536175955</v>
      </c>
      <c r="J1381" s="165">
        <v>5.9021445361759541</v>
      </c>
      <c r="K1381" s="169">
        <f t="shared" si="64"/>
        <v>0</v>
      </c>
      <c r="L1381" s="165">
        <v>6.38</v>
      </c>
      <c r="M1381" s="151">
        <v>2</v>
      </c>
      <c r="N1381" s="151" t="str">
        <f t="shared" si="65"/>
        <v>No fit</v>
      </c>
      <c r="O1381" s="174" t="s">
        <v>8126</v>
      </c>
      <c r="P1381" s="174" t="s">
        <v>6051</v>
      </c>
    </row>
    <row r="1382" spans="1:16" ht="64.05" customHeight="1" x14ac:dyDescent="0.3">
      <c r="A1382" s="154" t="s">
        <v>8127</v>
      </c>
      <c r="B1382" s="154" t="s">
        <v>8102</v>
      </c>
      <c r="C1382" s="154" t="s">
        <v>114</v>
      </c>
      <c r="D1382" s="154">
        <v>2023</v>
      </c>
      <c r="E1382" s="154" t="s">
        <v>938</v>
      </c>
      <c r="F1382" s="173" t="s">
        <v>6573</v>
      </c>
      <c r="G1382" s="166">
        <f>(FCCL!F96+'Forensic Inputs'!$G$33)</f>
        <v>15492.008000000007</v>
      </c>
      <c r="H1382" s="166">
        <f>(FCCL!F95*-1)</f>
        <v>3645.2649999999999</v>
      </c>
      <c r="I1382" s="164">
        <f t="shared" si="63"/>
        <v>4.2498989785379138</v>
      </c>
      <c r="J1382" s="164">
        <v>4.2498989785379129</v>
      </c>
      <c r="K1382" s="168">
        <f t="shared" si="64"/>
        <v>0</v>
      </c>
      <c r="L1382" s="164">
        <v>6.38</v>
      </c>
      <c r="M1382" s="154">
        <v>2</v>
      </c>
      <c r="N1382" s="154" t="str">
        <f t="shared" si="65"/>
        <v>No fit</v>
      </c>
      <c r="O1382" s="173" t="s">
        <v>8128</v>
      </c>
      <c r="P1382" s="173" t="s">
        <v>6051</v>
      </c>
    </row>
    <row r="1383" spans="1:16" ht="64.05" customHeight="1" x14ac:dyDescent="0.3">
      <c r="A1383" s="151" t="s">
        <v>8129</v>
      </c>
      <c r="B1383" s="151" t="s">
        <v>8102</v>
      </c>
      <c r="C1383" s="151" t="s">
        <v>114</v>
      </c>
      <c r="D1383" s="151">
        <v>2023</v>
      </c>
      <c r="E1383" s="151" t="s">
        <v>938</v>
      </c>
      <c r="F1383" s="174" t="s">
        <v>6576</v>
      </c>
      <c r="G1383" s="167">
        <f>(FCCL!F96+'Forensic Inputs'!$G$33)</f>
        <v>15492.008000000007</v>
      </c>
      <c r="H1383" s="167">
        <f>((FCCL!F95*-1)-FCCL!F93)</f>
        <v>3117.5630000000001</v>
      </c>
      <c r="I1383" s="165">
        <f t="shared" si="63"/>
        <v>4.9692686242427202</v>
      </c>
      <c r="J1383" s="165">
        <v>4.9692686242427193</v>
      </c>
      <c r="K1383" s="169">
        <f t="shared" si="64"/>
        <v>0</v>
      </c>
      <c r="L1383" s="165">
        <v>6.38</v>
      </c>
      <c r="M1383" s="151">
        <v>2</v>
      </c>
      <c r="N1383" s="151" t="str">
        <f t="shared" si="65"/>
        <v>No fit</v>
      </c>
      <c r="O1383" s="174" t="s">
        <v>8130</v>
      </c>
      <c r="P1383" s="174" t="s">
        <v>6051</v>
      </c>
    </row>
    <row r="1384" spans="1:16" ht="64.05" customHeight="1" x14ac:dyDescent="0.3">
      <c r="A1384" s="154" t="s">
        <v>8131</v>
      </c>
      <c r="B1384" s="154" t="s">
        <v>8132</v>
      </c>
      <c r="C1384" s="154" t="s">
        <v>114</v>
      </c>
      <c r="D1384" s="154">
        <v>2024</v>
      </c>
      <c r="E1384" s="154" t="s">
        <v>938</v>
      </c>
      <c r="F1384" s="173" t="s">
        <v>5893</v>
      </c>
      <c r="G1384" s="166">
        <f>FCCL!G108</f>
        <v>20891.251999999993</v>
      </c>
      <c r="H1384" s="166">
        <f>FCCL!G106</f>
        <v>5523.7370000000001</v>
      </c>
      <c r="I1384" s="164">
        <f t="shared" si="63"/>
        <v>3.7820866561894588</v>
      </c>
      <c r="J1384" s="164">
        <v>3.7820866561894584</v>
      </c>
      <c r="K1384" s="168">
        <f t="shared" si="64"/>
        <v>0</v>
      </c>
      <c r="L1384" s="164">
        <v>3.82</v>
      </c>
      <c r="M1384" s="154">
        <v>2</v>
      </c>
      <c r="N1384" s="154" t="str">
        <f t="shared" si="65"/>
        <v>No fit</v>
      </c>
      <c r="O1384" s="173" t="s">
        <v>6050</v>
      </c>
      <c r="P1384" s="173" t="s">
        <v>6051</v>
      </c>
    </row>
    <row r="1385" spans="1:16" ht="64.05" customHeight="1" x14ac:dyDescent="0.3">
      <c r="A1385" s="151" t="s">
        <v>8133</v>
      </c>
      <c r="B1385" s="151" t="s">
        <v>8132</v>
      </c>
      <c r="C1385" s="151" t="s">
        <v>114</v>
      </c>
      <c r="D1385" s="151">
        <v>2024</v>
      </c>
      <c r="E1385" s="151" t="s">
        <v>938</v>
      </c>
      <c r="F1385" s="174" t="s">
        <v>5828</v>
      </c>
      <c r="G1385" s="167">
        <f>FCCL!G108</f>
        <v>20891.251999999993</v>
      </c>
      <c r="H1385" s="167">
        <f>'Forensic Inputs'!$G$34</f>
        <v>5468.8919999999998</v>
      </c>
      <c r="I1385" s="165">
        <f t="shared" si="63"/>
        <v>3.8200154619985169</v>
      </c>
      <c r="J1385" s="165">
        <v>3.8200154619985165</v>
      </c>
      <c r="K1385" s="169">
        <f t="shared" si="64"/>
        <v>0</v>
      </c>
      <c r="L1385" s="165">
        <v>3.82</v>
      </c>
      <c r="M1385" s="151">
        <v>2</v>
      </c>
      <c r="N1385" s="151" t="str">
        <f t="shared" si="65"/>
        <v>Numeric fit</v>
      </c>
      <c r="O1385" s="174" t="s">
        <v>6520</v>
      </c>
      <c r="P1385" s="174" t="s">
        <v>6051</v>
      </c>
    </row>
    <row r="1386" spans="1:16" ht="64.05" customHeight="1" x14ac:dyDescent="0.3">
      <c r="A1386" s="154" t="s">
        <v>8134</v>
      </c>
      <c r="B1386" s="154" t="s">
        <v>8132</v>
      </c>
      <c r="C1386" s="154" t="s">
        <v>114</v>
      </c>
      <c r="D1386" s="154">
        <v>2024</v>
      </c>
      <c r="E1386" s="154" t="s">
        <v>938</v>
      </c>
      <c r="F1386" s="173" t="s">
        <v>6522</v>
      </c>
      <c r="G1386" s="166">
        <f>FCCL!G108</f>
        <v>20891.251999999993</v>
      </c>
      <c r="H1386" s="166">
        <f>FCCL!G106</f>
        <v>5523.7370000000001</v>
      </c>
      <c r="I1386" s="164">
        <f t="shared" si="63"/>
        <v>3.7820866561894588</v>
      </c>
      <c r="J1386" s="164">
        <v>3.7820866561894584</v>
      </c>
      <c r="K1386" s="168">
        <f t="shared" si="64"/>
        <v>0</v>
      </c>
      <c r="L1386" s="164">
        <v>3.82</v>
      </c>
      <c r="M1386" s="154">
        <v>2</v>
      </c>
      <c r="N1386" s="154" t="str">
        <f t="shared" si="65"/>
        <v>No fit</v>
      </c>
      <c r="O1386" s="173" t="s">
        <v>6523</v>
      </c>
      <c r="P1386" s="173" t="s">
        <v>6051</v>
      </c>
    </row>
    <row r="1387" spans="1:16" ht="64.05" customHeight="1" x14ac:dyDescent="0.3">
      <c r="A1387" s="151" t="s">
        <v>8135</v>
      </c>
      <c r="B1387" s="151" t="s">
        <v>8132</v>
      </c>
      <c r="C1387" s="151" t="s">
        <v>114</v>
      </c>
      <c r="D1387" s="151">
        <v>2024</v>
      </c>
      <c r="E1387" s="151" t="s">
        <v>938</v>
      </c>
      <c r="F1387" s="174" t="s">
        <v>6525</v>
      </c>
      <c r="G1387" s="167">
        <f>FCCL!G108</f>
        <v>20891.251999999993</v>
      </c>
      <c r="H1387" s="167">
        <f>(FCCL!G95*-1)</f>
        <v>5536.2979999999998</v>
      </c>
      <c r="I1387" s="165">
        <f t="shared" si="63"/>
        <v>3.7735056891807477</v>
      </c>
      <c r="J1387" s="165">
        <v>3.7735056891807468</v>
      </c>
      <c r="K1387" s="169">
        <f t="shared" si="64"/>
        <v>0</v>
      </c>
      <c r="L1387" s="165">
        <v>3.82</v>
      </c>
      <c r="M1387" s="151">
        <v>2</v>
      </c>
      <c r="N1387" s="151" t="str">
        <f t="shared" si="65"/>
        <v>No fit</v>
      </c>
      <c r="O1387" s="174" t="s">
        <v>6526</v>
      </c>
      <c r="P1387" s="174" t="s">
        <v>6051</v>
      </c>
    </row>
    <row r="1388" spans="1:16" ht="64.05" customHeight="1" x14ac:dyDescent="0.3">
      <c r="A1388" s="154" t="s">
        <v>8136</v>
      </c>
      <c r="B1388" s="154" t="s">
        <v>8132</v>
      </c>
      <c r="C1388" s="154" t="s">
        <v>114</v>
      </c>
      <c r="D1388" s="154">
        <v>2024</v>
      </c>
      <c r="E1388" s="154" t="s">
        <v>938</v>
      </c>
      <c r="F1388" s="173" t="s">
        <v>6528</v>
      </c>
      <c r="G1388" s="166">
        <f>FCCL!G108</f>
        <v>20891.251999999993</v>
      </c>
      <c r="H1388" s="166">
        <f>((FCCL!G95*-1)-FCCL!G93)</f>
        <v>5236.9799999999996</v>
      </c>
      <c r="I1388" s="164">
        <f t="shared" si="63"/>
        <v>3.9891792598024041</v>
      </c>
      <c r="J1388" s="164">
        <v>3.9891792598024036</v>
      </c>
      <c r="K1388" s="168">
        <f t="shared" si="64"/>
        <v>0</v>
      </c>
      <c r="L1388" s="164">
        <v>3.82</v>
      </c>
      <c r="M1388" s="154">
        <v>2</v>
      </c>
      <c r="N1388" s="154" t="str">
        <f t="shared" si="65"/>
        <v>No fit</v>
      </c>
      <c r="O1388" s="173" t="s">
        <v>6529</v>
      </c>
      <c r="P1388" s="173" t="s">
        <v>6051</v>
      </c>
    </row>
    <row r="1389" spans="1:16" ht="64.05" customHeight="1" x14ac:dyDescent="0.3">
      <c r="A1389" s="151" t="s">
        <v>8137</v>
      </c>
      <c r="B1389" s="151" t="s">
        <v>8132</v>
      </c>
      <c r="C1389" s="151" t="s">
        <v>114</v>
      </c>
      <c r="D1389" s="151">
        <v>2024</v>
      </c>
      <c r="E1389" s="151" t="s">
        <v>938</v>
      </c>
      <c r="F1389" s="174" t="s">
        <v>6531</v>
      </c>
      <c r="G1389" s="167">
        <f>(FCCL!G108-FCCL!G93)</f>
        <v>20591.933999999994</v>
      </c>
      <c r="H1389" s="167">
        <f>'Forensic Inputs'!$G$34</f>
        <v>5468.8919999999998</v>
      </c>
      <c r="I1389" s="165">
        <f t="shared" si="63"/>
        <v>3.7652844488426531</v>
      </c>
      <c r="J1389" s="165">
        <v>3.7652844488426522</v>
      </c>
      <c r="K1389" s="169">
        <f t="shared" si="64"/>
        <v>0</v>
      </c>
      <c r="L1389" s="165">
        <v>3.82</v>
      </c>
      <c r="M1389" s="151">
        <v>2</v>
      </c>
      <c r="N1389" s="151" t="str">
        <f t="shared" si="65"/>
        <v>No fit</v>
      </c>
      <c r="O1389" s="174" t="s">
        <v>6532</v>
      </c>
      <c r="P1389" s="174" t="s">
        <v>6051</v>
      </c>
    </row>
    <row r="1390" spans="1:16" ht="64.05" customHeight="1" x14ac:dyDescent="0.3">
      <c r="A1390" s="154" t="s">
        <v>8138</v>
      </c>
      <c r="B1390" s="154" t="s">
        <v>8132</v>
      </c>
      <c r="C1390" s="154" t="s">
        <v>114</v>
      </c>
      <c r="D1390" s="154">
        <v>2024</v>
      </c>
      <c r="E1390" s="154" t="s">
        <v>938</v>
      </c>
      <c r="F1390" s="173" t="s">
        <v>6534</v>
      </c>
      <c r="G1390" s="166">
        <f>(FCCL!G108-FCCL!G93)</f>
        <v>20591.933999999994</v>
      </c>
      <c r="H1390" s="166">
        <f>FCCL!G106</f>
        <v>5523.7370000000001</v>
      </c>
      <c r="I1390" s="164">
        <f t="shared" si="63"/>
        <v>3.7278990654334181</v>
      </c>
      <c r="J1390" s="164">
        <v>3.7278990654334176</v>
      </c>
      <c r="K1390" s="168">
        <f t="shared" si="64"/>
        <v>0</v>
      </c>
      <c r="L1390" s="164">
        <v>3.82</v>
      </c>
      <c r="M1390" s="154">
        <v>2</v>
      </c>
      <c r="N1390" s="154" t="str">
        <f t="shared" si="65"/>
        <v>No fit</v>
      </c>
      <c r="O1390" s="173" t="s">
        <v>6535</v>
      </c>
      <c r="P1390" s="173" t="s">
        <v>6051</v>
      </c>
    </row>
    <row r="1391" spans="1:16" ht="64.05" customHeight="1" x14ac:dyDescent="0.3">
      <c r="A1391" s="151" t="s">
        <v>8139</v>
      </c>
      <c r="B1391" s="151" t="s">
        <v>8132</v>
      </c>
      <c r="C1391" s="151" t="s">
        <v>114</v>
      </c>
      <c r="D1391" s="151">
        <v>2024</v>
      </c>
      <c r="E1391" s="151" t="s">
        <v>938</v>
      </c>
      <c r="F1391" s="174" t="s">
        <v>6537</v>
      </c>
      <c r="G1391" s="167">
        <f>(FCCL!G108-FCCL!G93)</f>
        <v>20591.933999999994</v>
      </c>
      <c r="H1391" s="167">
        <f>(FCCL!G95*-1)</f>
        <v>5536.2979999999998</v>
      </c>
      <c r="I1391" s="165">
        <f t="shared" si="63"/>
        <v>3.7194410416491297</v>
      </c>
      <c r="J1391" s="165">
        <v>3.7194410416491293</v>
      </c>
      <c r="K1391" s="169">
        <f t="shared" si="64"/>
        <v>0</v>
      </c>
      <c r="L1391" s="165">
        <v>3.82</v>
      </c>
      <c r="M1391" s="151">
        <v>2</v>
      </c>
      <c r="N1391" s="151" t="str">
        <f t="shared" si="65"/>
        <v>No fit</v>
      </c>
      <c r="O1391" s="174" t="s">
        <v>6538</v>
      </c>
      <c r="P1391" s="174" t="s">
        <v>6051</v>
      </c>
    </row>
    <row r="1392" spans="1:16" ht="64.05" customHeight="1" x14ac:dyDescent="0.3">
      <c r="A1392" s="154" t="s">
        <v>8140</v>
      </c>
      <c r="B1392" s="154" t="s">
        <v>8132</v>
      </c>
      <c r="C1392" s="154" t="s">
        <v>114</v>
      </c>
      <c r="D1392" s="154">
        <v>2024</v>
      </c>
      <c r="E1392" s="154" t="s">
        <v>938</v>
      </c>
      <c r="F1392" s="173" t="s">
        <v>6540</v>
      </c>
      <c r="G1392" s="166">
        <f>(FCCL!G108-FCCL!G93)</f>
        <v>20591.933999999994</v>
      </c>
      <c r="H1392" s="166">
        <f>((FCCL!G95*-1)-FCCL!G93)</f>
        <v>5236.9799999999996</v>
      </c>
      <c r="I1392" s="164">
        <f t="shared" si="63"/>
        <v>3.9320245637753048</v>
      </c>
      <c r="J1392" s="164">
        <v>3.932024563775304</v>
      </c>
      <c r="K1392" s="168">
        <f t="shared" si="64"/>
        <v>0</v>
      </c>
      <c r="L1392" s="164">
        <v>3.82</v>
      </c>
      <c r="M1392" s="154">
        <v>2</v>
      </c>
      <c r="N1392" s="154" t="str">
        <f t="shared" si="65"/>
        <v>No fit</v>
      </c>
      <c r="O1392" s="173" t="s">
        <v>6541</v>
      </c>
      <c r="P1392" s="173" t="s">
        <v>6051</v>
      </c>
    </row>
    <row r="1393" spans="1:16" ht="64.05" customHeight="1" x14ac:dyDescent="0.3">
      <c r="A1393" s="151" t="s">
        <v>8141</v>
      </c>
      <c r="B1393" s="151" t="s">
        <v>8132</v>
      </c>
      <c r="C1393" s="151" t="s">
        <v>114</v>
      </c>
      <c r="D1393" s="151">
        <v>2024</v>
      </c>
      <c r="E1393" s="151" t="s">
        <v>938</v>
      </c>
      <c r="F1393" s="174" t="s">
        <v>6543</v>
      </c>
      <c r="G1393" s="167">
        <f>FCCL!G91</f>
        <v>20051.560999999994</v>
      </c>
      <c r="H1393" s="167">
        <f>'Forensic Inputs'!$G$34</f>
        <v>5468.8919999999998</v>
      </c>
      <c r="I1393" s="165">
        <f t="shared" si="63"/>
        <v>3.6664759516187182</v>
      </c>
      <c r="J1393" s="165">
        <v>3.6664759516187173</v>
      </c>
      <c r="K1393" s="169">
        <f t="shared" si="64"/>
        <v>0</v>
      </c>
      <c r="L1393" s="165">
        <v>3.82</v>
      </c>
      <c r="M1393" s="151">
        <v>2</v>
      </c>
      <c r="N1393" s="151" t="str">
        <f t="shared" si="65"/>
        <v>No fit</v>
      </c>
      <c r="O1393" s="174" t="s">
        <v>6544</v>
      </c>
      <c r="P1393" s="174" t="s">
        <v>6051</v>
      </c>
    </row>
    <row r="1394" spans="1:16" ht="64.05" customHeight="1" x14ac:dyDescent="0.3">
      <c r="A1394" s="154" t="s">
        <v>8142</v>
      </c>
      <c r="B1394" s="154" t="s">
        <v>8132</v>
      </c>
      <c r="C1394" s="154" t="s">
        <v>114</v>
      </c>
      <c r="D1394" s="154">
        <v>2024</v>
      </c>
      <c r="E1394" s="154" t="s">
        <v>938</v>
      </c>
      <c r="F1394" s="173" t="s">
        <v>6546</v>
      </c>
      <c r="G1394" s="166">
        <f>FCCL!G91</f>
        <v>20051.560999999994</v>
      </c>
      <c r="H1394" s="166">
        <f>FCCL!G106</f>
        <v>5523.7370000000001</v>
      </c>
      <c r="I1394" s="164">
        <f t="shared" si="63"/>
        <v>3.630071634474993</v>
      </c>
      <c r="J1394" s="164">
        <v>3.6300716344749921</v>
      </c>
      <c r="K1394" s="168">
        <f t="shared" si="64"/>
        <v>0</v>
      </c>
      <c r="L1394" s="164">
        <v>3.82</v>
      </c>
      <c r="M1394" s="154">
        <v>2</v>
      </c>
      <c r="N1394" s="154" t="str">
        <f t="shared" si="65"/>
        <v>No fit</v>
      </c>
      <c r="O1394" s="173" t="s">
        <v>6547</v>
      </c>
      <c r="P1394" s="173" t="s">
        <v>6051</v>
      </c>
    </row>
    <row r="1395" spans="1:16" ht="64.05" customHeight="1" x14ac:dyDescent="0.3">
      <c r="A1395" s="151" t="s">
        <v>8143</v>
      </c>
      <c r="B1395" s="151" t="s">
        <v>8132</v>
      </c>
      <c r="C1395" s="151" t="s">
        <v>114</v>
      </c>
      <c r="D1395" s="151">
        <v>2024</v>
      </c>
      <c r="E1395" s="151" t="s">
        <v>938</v>
      </c>
      <c r="F1395" s="174" t="s">
        <v>6549</v>
      </c>
      <c r="G1395" s="167">
        <f>FCCL!G91</f>
        <v>20051.560999999994</v>
      </c>
      <c r="H1395" s="167">
        <f>(FCCL!G95*-1)</f>
        <v>5536.2979999999998</v>
      </c>
      <c r="I1395" s="165">
        <f t="shared" si="63"/>
        <v>3.6218355659323245</v>
      </c>
      <c r="J1395" s="165">
        <v>3.6218355659323236</v>
      </c>
      <c r="K1395" s="169">
        <f t="shared" si="64"/>
        <v>0</v>
      </c>
      <c r="L1395" s="165">
        <v>3.82</v>
      </c>
      <c r="M1395" s="151">
        <v>2</v>
      </c>
      <c r="N1395" s="151" t="str">
        <f t="shared" si="65"/>
        <v>No fit</v>
      </c>
      <c r="O1395" s="174" t="s">
        <v>6550</v>
      </c>
      <c r="P1395" s="174" t="s">
        <v>6051</v>
      </c>
    </row>
    <row r="1396" spans="1:16" ht="64.05" customHeight="1" x14ac:dyDescent="0.3">
      <c r="A1396" s="154" t="s">
        <v>8144</v>
      </c>
      <c r="B1396" s="154" t="s">
        <v>8132</v>
      </c>
      <c r="C1396" s="154" t="s">
        <v>114</v>
      </c>
      <c r="D1396" s="154">
        <v>2024</v>
      </c>
      <c r="E1396" s="154" t="s">
        <v>938</v>
      </c>
      <c r="F1396" s="173" t="s">
        <v>6552</v>
      </c>
      <c r="G1396" s="166">
        <f>FCCL!G91</f>
        <v>20051.560999999994</v>
      </c>
      <c r="H1396" s="166">
        <f>((FCCL!G95*-1)-FCCL!G93)</f>
        <v>5236.9799999999996</v>
      </c>
      <c r="I1396" s="164">
        <f t="shared" si="63"/>
        <v>3.8288404767633248</v>
      </c>
      <c r="J1396" s="164">
        <v>3.828840476763324</v>
      </c>
      <c r="K1396" s="168">
        <f t="shared" si="64"/>
        <v>0</v>
      </c>
      <c r="L1396" s="164">
        <v>3.82</v>
      </c>
      <c r="M1396" s="154">
        <v>2</v>
      </c>
      <c r="N1396" s="154" t="str">
        <f t="shared" si="65"/>
        <v>No fit</v>
      </c>
      <c r="O1396" s="173" t="s">
        <v>6553</v>
      </c>
      <c r="P1396" s="173" t="s">
        <v>6051</v>
      </c>
    </row>
    <row r="1397" spans="1:16" ht="64.05" customHeight="1" x14ac:dyDescent="0.3">
      <c r="A1397" s="151" t="s">
        <v>8145</v>
      </c>
      <c r="B1397" s="151" t="s">
        <v>8132</v>
      </c>
      <c r="C1397" s="151" t="s">
        <v>114</v>
      </c>
      <c r="D1397" s="151">
        <v>2024</v>
      </c>
      <c r="E1397" s="151" t="s">
        <v>938</v>
      </c>
      <c r="F1397" s="174" t="s">
        <v>6555</v>
      </c>
      <c r="G1397" s="167">
        <f>(FCCL!G108+FCCL!G107)</f>
        <v>24949.302999999993</v>
      </c>
      <c r="H1397" s="167">
        <f>'Forensic Inputs'!$G$34</f>
        <v>5468.8919999999998</v>
      </c>
      <c r="I1397" s="165">
        <f t="shared" si="63"/>
        <v>4.5620398062349725</v>
      </c>
      <c r="J1397" s="165">
        <v>4.5620398062349725</v>
      </c>
      <c r="K1397" s="169">
        <f t="shared" si="64"/>
        <v>0</v>
      </c>
      <c r="L1397" s="165">
        <v>3.82</v>
      </c>
      <c r="M1397" s="151">
        <v>2</v>
      </c>
      <c r="N1397" s="151" t="str">
        <f t="shared" si="65"/>
        <v>No fit</v>
      </c>
      <c r="O1397" s="174" t="s">
        <v>6556</v>
      </c>
      <c r="P1397" s="174" t="s">
        <v>6051</v>
      </c>
    </row>
    <row r="1398" spans="1:16" ht="64.05" customHeight="1" x14ac:dyDescent="0.3">
      <c r="A1398" s="154" t="s">
        <v>8146</v>
      </c>
      <c r="B1398" s="154" t="s">
        <v>8132</v>
      </c>
      <c r="C1398" s="154" t="s">
        <v>114</v>
      </c>
      <c r="D1398" s="154">
        <v>2024</v>
      </c>
      <c r="E1398" s="154" t="s">
        <v>938</v>
      </c>
      <c r="F1398" s="173" t="s">
        <v>6558</v>
      </c>
      <c r="G1398" s="166">
        <f>(FCCL!G108+FCCL!G107)</f>
        <v>24949.302999999993</v>
      </c>
      <c r="H1398" s="166">
        <f>FCCL!G106</f>
        <v>5523.7370000000001</v>
      </c>
      <c r="I1398" s="164">
        <f t="shared" si="63"/>
        <v>4.5167434655198084</v>
      </c>
      <c r="J1398" s="164">
        <v>4.5167434655198084</v>
      </c>
      <c r="K1398" s="168">
        <f t="shared" si="64"/>
        <v>0</v>
      </c>
      <c r="L1398" s="164">
        <v>3.82</v>
      </c>
      <c r="M1398" s="154">
        <v>2</v>
      </c>
      <c r="N1398" s="154" t="str">
        <f t="shared" si="65"/>
        <v>No fit</v>
      </c>
      <c r="O1398" s="173" t="s">
        <v>6559</v>
      </c>
      <c r="P1398" s="173" t="s">
        <v>6051</v>
      </c>
    </row>
    <row r="1399" spans="1:16" ht="64.05" customHeight="1" x14ac:dyDescent="0.3">
      <c r="A1399" s="151" t="s">
        <v>8147</v>
      </c>
      <c r="B1399" s="151" t="s">
        <v>8132</v>
      </c>
      <c r="C1399" s="151" t="s">
        <v>114</v>
      </c>
      <c r="D1399" s="151">
        <v>2024</v>
      </c>
      <c r="E1399" s="151" t="s">
        <v>938</v>
      </c>
      <c r="F1399" s="174" t="s">
        <v>6561</v>
      </c>
      <c r="G1399" s="167">
        <f>(FCCL!G108+FCCL!G107)</f>
        <v>24949.302999999993</v>
      </c>
      <c r="H1399" s="167">
        <f>(FCCL!G95*-1)</f>
        <v>5536.2979999999998</v>
      </c>
      <c r="I1399" s="165">
        <f t="shared" si="63"/>
        <v>4.5064956763526807</v>
      </c>
      <c r="J1399" s="165">
        <v>4.5064956763526798</v>
      </c>
      <c r="K1399" s="169">
        <f t="shared" si="64"/>
        <v>0</v>
      </c>
      <c r="L1399" s="165">
        <v>3.82</v>
      </c>
      <c r="M1399" s="151">
        <v>2</v>
      </c>
      <c r="N1399" s="151" t="str">
        <f t="shared" si="65"/>
        <v>No fit</v>
      </c>
      <c r="O1399" s="174" t="s">
        <v>6562</v>
      </c>
      <c r="P1399" s="174" t="s">
        <v>6051</v>
      </c>
    </row>
    <row r="1400" spans="1:16" ht="64.05" customHeight="1" x14ac:dyDescent="0.3">
      <c r="A1400" s="154" t="s">
        <v>8148</v>
      </c>
      <c r="B1400" s="154" t="s">
        <v>8132</v>
      </c>
      <c r="C1400" s="154" t="s">
        <v>114</v>
      </c>
      <c r="D1400" s="154">
        <v>2024</v>
      </c>
      <c r="E1400" s="154" t="s">
        <v>938</v>
      </c>
      <c r="F1400" s="173" t="s">
        <v>6564</v>
      </c>
      <c r="G1400" s="166">
        <f>(FCCL!G108+FCCL!G107)</f>
        <v>24949.302999999993</v>
      </c>
      <c r="H1400" s="166">
        <f>((FCCL!G95*-1)-FCCL!G93)</f>
        <v>5236.9799999999996</v>
      </c>
      <c r="I1400" s="164">
        <f t="shared" si="63"/>
        <v>4.7640630668820574</v>
      </c>
      <c r="J1400" s="164">
        <v>4.7640630668820565</v>
      </c>
      <c r="K1400" s="168">
        <f t="shared" si="64"/>
        <v>0</v>
      </c>
      <c r="L1400" s="164">
        <v>3.82</v>
      </c>
      <c r="M1400" s="154">
        <v>2</v>
      </c>
      <c r="N1400" s="154" t="str">
        <f t="shared" si="65"/>
        <v>No fit</v>
      </c>
      <c r="O1400" s="173" t="s">
        <v>6565</v>
      </c>
      <c r="P1400" s="173" t="s">
        <v>6051</v>
      </c>
    </row>
    <row r="1401" spans="1:16" ht="64.05" customHeight="1" x14ac:dyDescent="0.3">
      <c r="A1401" s="151" t="s">
        <v>8149</v>
      </c>
      <c r="B1401" s="151" t="s">
        <v>8132</v>
      </c>
      <c r="C1401" s="151" t="s">
        <v>114</v>
      </c>
      <c r="D1401" s="151">
        <v>2024</v>
      </c>
      <c r="E1401" s="151" t="s">
        <v>938</v>
      </c>
      <c r="F1401" s="174" t="s">
        <v>6567</v>
      </c>
      <c r="G1401" s="167">
        <f>(FCCL!G96+'Forensic Inputs'!$G$34)</f>
        <v>20823.845999999994</v>
      </c>
      <c r="H1401" s="167">
        <f>'Forensic Inputs'!$G$34</f>
        <v>5468.8919999999998</v>
      </c>
      <c r="I1401" s="165">
        <f t="shared" si="63"/>
        <v>3.807690113463567</v>
      </c>
      <c r="J1401" s="165">
        <v>3.8076901134635666</v>
      </c>
      <c r="K1401" s="169">
        <f t="shared" si="64"/>
        <v>0</v>
      </c>
      <c r="L1401" s="165">
        <v>3.82</v>
      </c>
      <c r="M1401" s="151">
        <v>2</v>
      </c>
      <c r="N1401" s="151" t="str">
        <f t="shared" si="65"/>
        <v>No fit</v>
      </c>
      <c r="O1401" s="174" t="s">
        <v>6568</v>
      </c>
      <c r="P1401" s="174" t="s">
        <v>6051</v>
      </c>
    </row>
    <row r="1402" spans="1:16" ht="64.05" customHeight="1" x14ac:dyDescent="0.3">
      <c r="A1402" s="154" t="s">
        <v>8150</v>
      </c>
      <c r="B1402" s="154" t="s">
        <v>8132</v>
      </c>
      <c r="C1402" s="154" t="s">
        <v>114</v>
      </c>
      <c r="D1402" s="154">
        <v>2024</v>
      </c>
      <c r="E1402" s="154" t="s">
        <v>938</v>
      </c>
      <c r="F1402" s="173" t="s">
        <v>6570</v>
      </c>
      <c r="G1402" s="166">
        <f>(FCCL!G96+'Forensic Inputs'!$G$34)</f>
        <v>20823.845999999994</v>
      </c>
      <c r="H1402" s="166">
        <f>FCCL!G106</f>
        <v>5523.7370000000001</v>
      </c>
      <c r="I1402" s="164">
        <f t="shared" si="63"/>
        <v>3.7698836856280438</v>
      </c>
      <c r="J1402" s="164">
        <v>3.7698836856280433</v>
      </c>
      <c r="K1402" s="168">
        <f t="shared" si="64"/>
        <v>0</v>
      </c>
      <c r="L1402" s="164">
        <v>3.82</v>
      </c>
      <c r="M1402" s="154">
        <v>2</v>
      </c>
      <c r="N1402" s="154" t="str">
        <f t="shared" si="65"/>
        <v>No fit</v>
      </c>
      <c r="O1402" s="173" t="s">
        <v>6571</v>
      </c>
      <c r="P1402" s="173" t="s">
        <v>6051</v>
      </c>
    </row>
    <row r="1403" spans="1:16" ht="64.05" customHeight="1" x14ac:dyDescent="0.3">
      <c r="A1403" s="151" t="s">
        <v>8151</v>
      </c>
      <c r="B1403" s="151" t="s">
        <v>8132</v>
      </c>
      <c r="C1403" s="151" t="s">
        <v>114</v>
      </c>
      <c r="D1403" s="151">
        <v>2024</v>
      </c>
      <c r="E1403" s="151" t="s">
        <v>938</v>
      </c>
      <c r="F1403" s="174" t="s">
        <v>6573</v>
      </c>
      <c r="G1403" s="167">
        <f>(FCCL!G96+'Forensic Inputs'!$G$34)</f>
        <v>20823.845999999994</v>
      </c>
      <c r="H1403" s="167">
        <f>(FCCL!G95*-1)</f>
        <v>5536.2979999999998</v>
      </c>
      <c r="I1403" s="165">
        <f t="shared" si="63"/>
        <v>3.7613304052635885</v>
      </c>
      <c r="J1403" s="165">
        <v>3.7613304052635881</v>
      </c>
      <c r="K1403" s="169">
        <f t="shared" si="64"/>
        <v>0</v>
      </c>
      <c r="L1403" s="165">
        <v>3.82</v>
      </c>
      <c r="M1403" s="151">
        <v>2</v>
      </c>
      <c r="N1403" s="151" t="str">
        <f t="shared" si="65"/>
        <v>No fit</v>
      </c>
      <c r="O1403" s="174" t="s">
        <v>6574</v>
      </c>
      <c r="P1403" s="174" t="s">
        <v>6051</v>
      </c>
    </row>
    <row r="1404" spans="1:16" ht="64.05" customHeight="1" x14ac:dyDescent="0.3">
      <c r="A1404" s="154" t="s">
        <v>8152</v>
      </c>
      <c r="B1404" s="154" t="s">
        <v>8132</v>
      </c>
      <c r="C1404" s="154" t="s">
        <v>114</v>
      </c>
      <c r="D1404" s="154">
        <v>2024</v>
      </c>
      <c r="E1404" s="154" t="s">
        <v>938</v>
      </c>
      <c r="F1404" s="173" t="s">
        <v>6576</v>
      </c>
      <c r="G1404" s="166">
        <f>(FCCL!G96+'Forensic Inputs'!$G$34)</f>
        <v>20823.845999999994</v>
      </c>
      <c r="H1404" s="166">
        <f>((FCCL!G95*-1)-FCCL!G93)</f>
        <v>5236.9799999999996</v>
      </c>
      <c r="I1404" s="164">
        <f t="shared" si="63"/>
        <v>3.9763081012339163</v>
      </c>
      <c r="J1404" s="164">
        <v>3.9763081012339159</v>
      </c>
      <c r="K1404" s="168">
        <f t="shared" si="64"/>
        <v>0</v>
      </c>
      <c r="L1404" s="164">
        <v>3.82</v>
      </c>
      <c r="M1404" s="154">
        <v>2</v>
      </c>
      <c r="N1404" s="154" t="str">
        <f t="shared" si="65"/>
        <v>No fit</v>
      </c>
      <c r="O1404" s="173" t="s">
        <v>6577</v>
      </c>
      <c r="P1404" s="173" t="s">
        <v>6051</v>
      </c>
    </row>
    <row r="1405" spans="1:16" ht="64.05" customHeight="1" x14ac:dyDescent="0.3">
      <c r="A1405" s="151" t="s">
        <v>8153</v>
      </c>
      <c r="B1405" s="151" t="s">
        <v>8154</v>
      </c>
      <c r="C1405" s="151" t="s">
        <v>114</v>
      </c>
      <c r="D1405" s="151">
        <v>2021</v>
      </c>
      <c r="E1405" s="151" t="s">
        <v>196</v>
      </c>
      <c r="F1405" s="174" t="s">
        <v>5893</v>
      </c>
      <c r="G1405" s="167">
        <f>FCCL!D84</f>
        <v>24271.285</v>
      </c>
      <c r="H1405" s="167">
        <f>AVERAGE(FCCL!C37,FCCL!D37)</f>
        <v>31630.073499999999</v>
      </c>
      <c r="I1405" s="165">
        <f t="shared" si="63"/>
        <v>0.76734835914940258</v>
      </c>
      <c r="J1405" s="165">
        <v>0.76734835914940258</v>
      </c>
      <c r="K1405" s="169">
        <f t="shared" si="64"/>
        <v>0</v>
      </c>
      <c r="L1405" s="165">
        <v>0.71</v>
      </c>
      <c r="M1405" s="151">
        <v>2</v>
      </c>
      <c r="N1405" s="151" t="str">
        <f t="shared" si="65"/>
        <v>No fit</v>
      </c>
      <c r="O1405" s="174" t="s">
        <v>6050</v>
      </c>
      <c r="P1405" s="174" t="s">
        <v>6051</v>
      </c>
    </row>
    <row r="1406" spans="1:16" ht="64.05" customHeight="1" x14ac:dyDescent="0.3">
      <c r="A1406" s="154" t="s">
        <v>8155</v>
      </c>
      <c r="B1406" s="154" t="s">
        <v>8154</v>
      </c>
      <c r="C1406" s="154" t="s">
        <v>114</v>
      </c>
      <c r="D1406" s="154">
        <v>2021</v>
      </c>
      <c r="E1406" s="154" t="s">
        <v>196</v>
      </c>
      <c r="F1406" s="173" t="s">
        <v>6009</v>
      </c>
      <c r="G1406" s="166">
        <f>FCCL!D84</f>
        <v>24271.285</v>
      </c>
      <c r="H1406" s="166">
        <f>FCCL!D37</f>
        <v>34052.231</v>
      </c>
      <c r="I1406" s="164">
        <f t="shared" si="63"/>
        <v>0.71276636764269574</v>
      </c>
      <c r="J1406" s="164">
        <v>0.71276636764269574</v>
      </c>
      <c r="K1406" s="168">
        <f t="shared" si="64"/>
        <v>0</v>
      </c>
      <c r="L1406" s="164">
        <v>0.71</v>
      </c>
      <c r="M1406" s="154">
        <v>2</v>
      </c>
      <c r="N1406" s="154" t="str">
        <f t="shared" si="65"/>
        <v>Numeric fit</v>
      </c>
      <c r="O1406" s="173" t="s">
        <v>7341</v>
      </c>
      <c r="P1406" s="173" t="s">
        <v>7342</v>
      </c>
    </row>
    <row r="1407" spans="1:16" ht="64.05" customHeight="1" x14ac:dyDescent="0.3">
      <c r="A1407" s="151" t="s">
        <v>8156</v>
      </c>
      <c r="B1407" s="151" t="s">
        <v>8154</v>
      </c>
      <c r="C1407" s="151" t="s">
        <v>114</v>
      </c>
      <c r="D1407" s="151">
        <v>2021</v>
      </c>
      <c r="E1407" s="151" t="s">
        <v>196</v>
      </c>
      <c r="F1407" s="174" t="s">
        <v>7344</v>
      </c>
      <c r="G1407" s="167">
        <f>FCCL!D84</f>
        <v>24271.285</v>
      </c>
      <c r="H1407" s="167">
        <f>AVERAGE(FCCL!C37,FCCL!D37)</f>
        <v>31630.073499999999</v>
      </c>
      <c r="I1407" s="165">
        <f t="shared" si="63"/>
        <v>0.76734835914940258</v>
      </c>
      <c r="J1407" s="165">
        <v>0.76734835914940258</v>
      </c>
      <c r="K1407" s="169">
        <f t="shared" si="64"/>
        <v>0</v>
      </c>
      <c r="L1407" s="165">
        <v>0.71</v>
      </c>
      <c r="M1407" s="151">
        <v>2</v>
      </c>
      <c r="N1407" s="151" t="str">
        <f t="shared" si="65"/>
        <v>No fit</v>
      </c>
      <c r="O1407" s="174" t="s">
        <v>7345</v>
      </c>
      <c r="P1407" s="174" t="s">
        <v>7342</v>
      </c>
    </row>
    <row r="1408" spans="1:16" ht="64.05" customHeight="1" x14ac:dyDescent="0.3">
      <c r="A1408" s="154" t="s">
        <v>8157</v>
      </c>
      <c r="B1408" s="154" t="s">
        <v>8154</v>
      </c>
      <c r="C1408" s="154" t="s">
        <v>114</v>
      </c>
      <c r="D1408" s="154">
        <v>2021</v>
      </c>
      <c r="E1408" s="154" t="s">
        <v>196</v>
      </c>
      <c r="F1408" s="173" t="s">
        <v>6025</v>
      </c>
      <c r="G1408" s="166">
        <f>FCCL!D84</f>
        <v>24271.285</v>
      </c>
      <c r="H1408" s="166">
        <f>FCCL!D20</f>
        <v>21422.215</v>
      </c>
      <c r="I1408" s="164">
        <f t="shared" si="63"/>
        <v>1.1329960510619466</v>
      </c>
      <c r="J1408" s="164">
        <v>1.1329960510619466</v>
      </c>
      <c r="K1408" s="168">
        <f t="shared" si="64"/>
        <v>0</v>
      </c>
      <c r="L1408" s="164">
        <v>0.71</v>
      </c>
      <c r="M1408" s="154">
        <v>2</v>
      </c>
      <c r="N1408" s="154" t="str">
        <f t="shared" si="65"/>
        <v>No fit</v>
      </c>
      <c r="O1408" s="173" t="s">
        <v>7347</v>
      </c>
      <c r="P1408" s="173" t="s">
        <v>7342</v>
      </c>
    </row>
    <row r="1409" spans="1:16" ht="64.05" customHeight="1" x14ac:dyDescent="0.3">
      <c r="A1409" s="151" t="s">
        <v>8158</v>
      </c>
      <c r="B1409" s="151" t="s">
        <v>8154</v>
      </c>
      <c r="C1409" s="151" t="s">
        <v>114</v>
      </c>
      <c r="D1409" s="151">
        <v>2021</v>
      </c>
      <c r="E1409" s="151" t="s">
        <v>196</v>
      </c>
      <c r="F1409" s="174" t="s">
        <v>7349</v>
      </c>
      <c r="G1409" s="167">
        <f>FCCL!D84</f>
        <v>24271.285</v>
      </c>
      <c r="H1409" s="167">
        <f>AVERAGE(FCCL!C20,FCCL!D20)</f>
        <v>21743.693500000001</v>
      </c>
      <c r="I1409" s="165">
        <f t="shared" si="63"/>
        <v>1.1162448090983255</v>
      </c>
      <c r="J1409" s="165">
        <v>1.1162448090983255</v>
      </c>
      <c r="K1409" s="169">
        <f t="shared" si="64"/>
        <v>0</v>
      </c>
      <c r="L1409" s="165">
        <v>0.71</v>
      </c>
      <c r="M1409" s="151">
        <v>2</v>
      </c>
      <c r="N1409" s="151" t="str">
        <f t="shared" si="65"/>
        <v>No fit</v>
      </c>
      <c r="O1409" s="174" t="s">
        <v>7350</v>
      </c>
      <c r="P1409" s="174" t="s">
        <v>7342</v>
      </c>
    </row>
    <row r="1410" spans="1:16" ht="64.05" customHeight="1" x14ac:dyDescent="0.3">
      <c r="A1410" s="154" t="s">
        <v>8159</v>
      </c>
      <c r="B1410" s="154" t="s">
        <v>8154</v>
      </c>
      <c r="C1410" s="154" t="s">
        <v>114</v>
      </c>
      <c r="D1410" s="154">
        <v>2021</v>
      </c>
      <c r="E1410" s="154" t="s">
        <v>196</v>
      </c>
      <c r="F1410" s="173" t="s">
        <v>7352</v>
      </c>
      <c r="G1410" s="166">
        <f>FCCL!D84</f>
        <v>24271.285</v>
      </c>
      <c r="H1410" s="166">
        <f>FCCL!D22</f>
        <v>21220.128000000001</v>
      </c>
      <c r="I1410" s="164">
        <f t="shared" si="63"/>
        <v>1.1437859847028256</v>
      </c>
      <c r="J1410" s="164">
        <v>1.1437859847028256</v>
      </c>
      <c r="K1410" s="168">
        <f t="shared" si="64"/>
        <v>0</v>
      </c>
      <c r="L1410" s="164">
        <v>0.71</v>
      </c>
      <c r="M1410" s="154">
        <v>2</v>
      </c>
      <c r="N1410" s="154" t="str">
        <f t="shared" si="65"/>
        <v>No fit</v>
      </c>
      <c r="O1410" s="173" t="s">
        <v>7353</v>
      </c>
      <c r="P1410" s="173" t="s">
        <v>7342</v>
      </c>
    </row>
    <row r="1411" spans="1:16" ht="64.05" customHeight="1" x14ac:dyDescent="0.3">
      <c r="A1411" s="151" t="s">
        <v>8160</v>
      </c>
      <c r="B1411" s="151" t="s">
        <v>8154</v>
      </c>
      <c r="C1411" s="151" t="s">
        <v>114</v>
      </c>
      <c r="D1411" s="151">
        <v>2021</v>
      </c>
      <c r="E1411" s="151" t="s">
        <v>196</v>
      </c>
      <c r="F1411" s="174" t="s">
        <v>7355</v>
      </c>
      <c r="G1411" s="167">
        <f>FCCL!D84</f>
        <v>24271.285</v>
      </c>
      <c r="H1411" s="167">
        <f>AVERAGE(FCCL!C22,FCCL!D22)</f>
        <v>21641.245999999999</v>
      </c>
      <c r="I1411" s="165">
        <f t="shared" si="63"/>
        <v>1.121529000686929</v>
      </c>
      <c r="J1411" s="165">
        <v>1.121529000686929</v>
      </c>
      <c r="K1411" s="169">
        <f t="shared" si="64"/>
        <v>0</v>
      </c>
      <c r="L1411" s="165">
        <v>0.71</v>
      </c>
      <c r="M1411" s="151">
        <v>2</v>
      </c>
      <c r="N1411" s="151" t="str">
        <f t="shared" si="65"/>
        <v>No fit</v>
      </c>
      <c r="O1411" s="174" t="s">
        <v>7356</v>
      </c>
      <c r="P1411" s="174" t="s">
        <v>7342</v>
      </c>
    </row>
    <row r="1412" spans="1:16" ht="64.05" customHeight="1" x14ac:dyDescent="0.3">
      <c r="A1412" s="154" t="s">
        <v>8161</v>
      </c>
      <c r="B1412" s="154" t="s">
        <v>8154</v>
      </c>
      <c r="C1412" s="154" t="s">
        <v>114</v>
      </c>
      <c r="D1412" s="154">
        <v>2021</v>
      </c>
      <c r="E1412" s="154" t="s">
        <v>196</v>
      </c>
      <c r="F1412" s="173" t="s">
        <v>7358</v>
      </c>
      <c r="G1412" s="166">
        <f>FCCL!D84</f>
        <v>24271.285</v>
      </c>
      <c r="H1412" s="166">
        <f>FCCL!D28</f>
        <v>21613.498999999996</v>
      </c>
      <c r="I1412" s="164">
        <f t="shared" si="63"/>
        <v>1.1229687983421843</v>
      </c>
      <c r="J1412" s="164">
        <v>1.1229687983421841</v>
      </c>
      <c r="K1412" s="168">
        <f t="shared" si="64"/>
        <v>0</v>
      </c>
      <c r="L1412" s="164">
        <v>0.71</v>
      </c>
      <c r="M1412" s="154">
        <v>2</v>
      </c>
      <c r="N1412" s="154" t="str">
        <f t="shared" si="65"/>
        <v>No fit</v>
      </c>
      <c r="O1412" s="173" t="s">
        <v>7359</v>
      </c>
      <c r="P1412" s="173" t="s">
        <v>7342</v>
      </c>
    </row>
    <row r="1413" spans="1:16" ht="64.05" customHeight="1" x14ac:dyDescent="0.3">
      <c r="A1413" s="151" t="s">
        <v>8162</v>
      </c>
      <c r="B1413" s="151" t="s">
        <v>8154</v>
      </c>
      <c r="C1413" s="151" t="s">
        <v>114</v>
      </c>
      <c r="D1413" s="151">
        <v>2021</v>
      </c>
      <c r="E1413" s="151" t="s">
        <v>196</v>
      </c>
      <c r="F1413" s="174" t="s">
        <v>7361</v>
      </c>
      <c r="G1413" s="167">
        <f>FCCL!D84</f>
        <v>24271.285</v>
      </c>
      <c r="H1413" s="167">
        <f>AVERAGE(FCCL!C28,FCCL!D28)</f>
        <v>21919.046999999999</v>
      </c>
      <c r="I1413" s="165">
        <f t="shared" si="63"/>
        <v>1.1073147933849496</v>
      </c>
      <c r="J1413" s="165">
        <v>1.1073147933849496</v>
      </c>
      <c r="K1413" s="169">
        <f t="shared" si="64"/>
        <v>0</v>
      </c>
      <c r="L1413" s="165">
        <v>0.71</v>
      </c>
      <c r="M1413" s="151">
        <v>2</v>
      </c>
      <c r="N1413" s="151" t="str">
        <f t="shared" si="65"/>
        <v>No fit</v>
      </c>
      <c r="O1413" s="174" t="s">
        <v>7362</v>
      </c>
      <c r="P1413" s="174" t="s">
        <v>7342</v>
      </c>
    </row>
    <row r="1414" spans="1:16" ht="64.05" customHeight="1" x14ac:dyDescent="0.3">
      <c r="A1414" s="154" t="s">
        <v>8163</v>
      </c>
      <c r="B1414" s="154" t="s">
        <v>8154</v>
      </c>
      <c r="C1414" s="154" t="s">
        <v>114</v>
      </c>
      <c r="D1414" s="154">
        <v>2021</v>
      </c>
      <c r="E1414" s="154" t="s">
        <v>196</v>
      </c>
      <c r="F1414" s="173" t="s">
        <v>7364</v>
      </c>
      <c r="G1414" s="166">
        <f>FCCL!D84</f>
        <v>24271.285</v>
      </c>
      <c r="H1414" s="166">
        <f>'Forensic Inputs'!$G$98</f>
        <v>38463.974999999999</v>
      </c>
      <c r="I1414" s="164">
        <f t="shared" ref="I1414:I1477" si="66">G1414/H1414</f>
        <v>0.63101343529887388</v>
      </c>
      <c r="J1414" s="164">
        <v>0.63101343529887388</v>
      </c>
      <c r="K1414" s="168">
        <f t="shared" ref="K1414:K1477" si="67">I1414-J1414</f>
        <v>0</v>
      </c>
      <c r="L1414" s="164">
        <v>0.71</v>
      </c>
      <c r="M1414" s="154">
        <v>2</v>
      </c>
      <c r="N1414" s="154" t="str">
        <f t="shared" ref="N1414:N1477" si="68">IF(ROUND(I1414,M1414)=ROUND(L1414,M1414),"Numeric fit","No fit")</f>
        <v>No fit</v>
      </c>
      <c r="O1414" s="173" t="s">
        <v>7365</v>
      </c>
      <c r="P1414" s="173" t="s">
        <v>7342</v>
      </c>
    </row>
    <row r="1415" spans="1:16" ht="64.05" customHeight="1" x14ac:dyDescent="0.3">
      <c r="A1415" s="151" t="s">
        <v>8164</v>
      </c>
      <c r="B1415" s="151" t="s">
        <v>8154</v>
      </c>
      <c r="C1415" s="151" t="s">
        <v>114</v>
      </c>
      <c r="D1415" s="151">
        <v>2021</v>
      </c>
      <c r="E1415" s="151" t="s">
        <v>196</v>
      </c>
      <c r="F1415" s="174" t="s">
        <v>7367</v>
      </c>
      <c r="G1415" s="167">
        <f>FCCL!D84</f>
        <v>24271.285</v>
      </c>
      <c r="H1415" s="167">
        <f>('Forensic Inputs'!$G$98-FCCL!D21)</f>
        <v>38261.887999999999</v>
      </c>
      <c r="I1415" s="165">
        <f t="shared" si="66"/>
        <v>0.6343462455381188</v>
      </c>
      <c r="J1415" s="165">
        <v>0.6343462455381188</v>
      </c>
      <c r="K1415" s="169">
        <f t="shared" si="67"/>
        <v>0</v>
      </c>
      <c r="L1415" s="165">
        <v>0.71</v>
      </c>
      <c r="M1415" s="151">
        <v>2</v>
      </c>
      <c r="N1415" s="151" t="str">
        <f t="shared" si="68"/>
        <v>No fit</v>
      </c>
      <c r="O1415" s="174" t="s">
        <v>7368</v>
      </c>
      <c r="P1415" s="174" t="s">
        <v>7342</v>
      </c>
    </row>
    <row r="1416" spans="1:16" ht="64.05" customHeight="1" x14ac:dyDescent="0.3">
      <c r="A1416" s="154" t="s">
        <v>8165</v>
      </c>
      <c r="B1416" s="154" t="s">
        <v>8154</v>
      </c>
      <c r="C1416" s="154" t="s">
        <v>114</v>
      </c>
      <c r="D1416" s="154">
        <v>2021</v>
      </c>
      <c r="E1416" s="154" t="s">
        <v>196</v>
      </c>
      <c r="F1416" s="173" t="s">
        <v>7373</v>
      </c>
      <c r="G1416" s="166">
        <f>FCCL!D99</f>
        <v>3471.3509999999992</v>
      </c>
      <c r="H1416" s="166">
        <f>FCCL!D37</f>
        <v>34052.231</v>
      </c>
      <c r="I1416" s="164">
        <f t="shared" si="66"/>
        <v>0.10194195499261118</v>
      </c>
      <c r="J1416" s="164">
        <v>0.10194195499261118</v>
      </c>
      <c r="K1416" s="168">
        <f t="shared" si="67"/>
        <v>0</v>
      </c>
      <c r="L1416" s="164">
        <v>0.71</v>
      </c>
      <c r="M1416" s="154">
        <v>2</v>
      </c>
      <c r="N1416" s="154" t="str">
        <f t="shared" si="68"/>
        <v>No fit</v>
      </c>
      <c r="O1416" s="173" t="s">
        <v>7374</v>
      </c>
      <c r="P1416" s="173" t="s">
        <v>7342</v>
      </c>
    </row>
    <row r="1417" spans="1:16" ht="64.05" customHeight="1" x14ac:dyDescent="0.3">
      <c r="A1417" s="151" t="s">
        <v>8166</v>
      </c>
      <c r="B1417" s="151" t="s">
        <v>8154</v>
      </c>
      <c r="C1417" s="151" t="s">
        <v>114</v>
      </c>
      <c r="D1417" s="151">
        <v>2021</v>
      </c>
      <c r="E1417" s="151" t="s">
        <v>196</v>
      </c>
      <c r="F1417" s="174" t="s">
        <v>7376</v>
      </c>
      <c r="G1417" s="167">
        <f>FCCL!D99</f>
        <v>3471.3509999999992</v>
      </c>
      <c r="H1417" s="167">
        <f>AVERAGE(FCCL!C37,FCCL!D37)</f>
        <v>31630.073499999999</v>
      </c>
      <c r="I1417" s="165">
        <f t="shared" si="66"/>
        <v>0.10974843292728989</v>
      </c>
      <c r="J1417" s="165">
        <v>0.10974843292728989</v>
      </c>
      <c r="K1417" s="169">
        <f t="shared" si="67"/>
        <v>0</v>
      </c>
      <c r="L1417" s="165">
        <v>0.71</v>
      </c>
      <c r="M1417" s="151">
        <v>2</v>
      </c>
      <c r="N1417" s="151" t="str">
        <f t="shared" si="68"/>
        <v>No fit</v>
      </c>
      <c r="O1417" s="174" t="s">
        <v>7377</v>
      </c>
      <c r="P1417" s="174" t="s">
        <v>7342</v>
      </c>
    </row>
    <row r="1418" spans="1:16" ht="64.05" customHeight="1" x14ac:dyDescent="0.3">
      <c r="A1418" s="154" t="s">
        <v>8167</v>
      </c>
      <c r="B1418" s="154" t="s">
        <v>8154</v>
      </c>
      <c r="C1418" s="154" t="s">
        <v>114</v>
      </c>
      <c r="D1418" s="154">
        <v>2021</v>
      </c>
      <c r="E1418" s="154" t="s">
        <v>196</v>
      </c>
      <c r="F1418" s="173" t="s">
        <v>7379</v>
      </c>
      <c r="G1418" s="166">
        <f>FCCL!D99</f>
        <v>3471.3509999999992</v>
      </c>
      <c r="H1418" s="166">
        <f>FCCL!D20</f>
        <v>21422.215</v>
      </c>
      <c r="I1418" s="164">
        <f t="shared" si="66"/>
        <v>0.16204444778469448</v>
      </c>
      <c r="J1418" s="164">
        <v>0.16204444778469448</v>
      </c>
      <c r="K1418" s="168">
        <f t="shared" si="67"/>
        <v>0</v>
      </c>
      <c r="L1418" s="164">
        <v>0.71</v>
      </c>
      <c r="M1418" s="154">
        <v>2</v>
      </c>
      <c r="N1418" s="154" t="str">
        <f t="shared" si="68"/>
        <v>No fit</v>
      </c>
      <c r="O1418" s="173" t="s">
        <v>7380</v>
      </c>
      <c r="P1418" s="173" t="s">
        <v>7342</v>
      </c>
    </row>
    <row r="1419" spans="1:16" ht="64.05" customHeight="1" x14ac:dyDescent="0.3">
      <c r="A1419" s="151" t="s">
        <v>8168</v>
      </c>
      <c r="B1419" s="151" t="s">
        <v>8154</v>
      </c>
      <c r="C1419" s="151" t="s">
        <v>114</v>
      </c>
      <c r="D1419" s="151">
        <v>2021</v>
      </c>
      <c r="E1419" s="151" t="s">
        <v>196</v>
      </c>
      <c r="F1419" s="174" t="s">
        <v>7382</v>
      </c>
      <c r="G1419" s="167">
        <f>FCCL!D99</f>
        <v>3471.3509999999992</v>
      </c>
      <c r="H1419" s="167">
        <f>AVERAGE(FCCL!C20,FCCL!D20)</f>
        <v>21743.693500000001</v>
      </c>
      <c r="I1419" s="165">
        <f t="shared" si="66"/>
        <v>0.15964863559174061</v>
      </c>
      <c r="J1419" s="165">
        <v>0.15964863559174061</v>
      </c>
      <c r="K1419" s="169">
        <f t="shared" si="67"/>
        <v>0</v>
      </c>
      <c r="L1419" s="165">
        <v>0.71</v>
      </c>
      <c r="M1419" s="151">
        <v>2</v>
      </c>
      <c r="N1419" s="151" t="str">
        <f t="shared" si="68"/>
        <v>No fit</v>
      </c>
      <c r="O1419" s="174" t="s">
        <v>7383</v>
      </c>
      <c r="P1419" s="174" t="s">
        <v>7342</v>
      </c>
    </row>
    <row r="1420" spans="1:16" ht="64.05" customHeight="1" x14ac:dyDescent="0.3">
      <c r="A1420" s="154" t="s">
        <v>8169</v>
      </c>
      <c r="B1420" s="154" t="s">
        <v>8154</v>
      </c>
      <c r="C1420" s="154" t="s">
        <v>114</v>
      </c>
      <c r="D1420" s="154">
        <v>2021</v>
      </c>
      <c r="E1420" s="154" t="s">
        <v>196</v>
      </c>
      <c r="F1420" s="173" t="s">
        <v>7385</v>
      </c>
      <c r="G1420" s="166">
        <f>FCCL!D99</f>
        <v>3471.3509999999992</v>
      </c>
      <c r="H1420" s="166">
        <f>FCCL!D22</f>
        <v>21220.128000000001</v>
      </c>
      <c r="I1420" s="164">
        <f t="shared" si="66"/>
        <v>0.16358765602167899</v>
      </c>
      <c r="J1420" s="164">
        <v>0.16358765602167899</v>
      </c>
      <c r="K1420" s="168">
        <f t="shared" si="67"/>
        <v>0</v>
      </c>
      <c r="L1420" s="164">
        <v>0.71</v>
      </c>
      <c r="M1420" s="154">
        <v>2</v>
      </c>
      <c r="N1420" s="154" t="str">
        <f t="shared" si="68"/>
        <v>No fit</v>
      </c>
      <c r="O1420" s="173" t="s">
        <v>7386</v>
      </c>
      <c r="P1420" s="173" t="s">
        <v>7342</v>
      </c>
    </row>
    <row r="1421" spans="1:16" ht="64.05" customHeight="1" x14ac:dyDescent="0.3">
      <c r="A1421" s="151" t="s">
        <v>8170</v>
      </c>
      <c r="B1421" s="151" t="s">
        <v>8154</v>
      </c>
      <c r="C1421" s="151" t="s">
        <v>114</v>
      </c>
      <c r="D1421" s="151">
        <v>2021</v>
      </c>
      <c r="E1421" s="151" t="s">
        <v>196</v>
      </c>
      <c r="F1421" s="174" t="s">
        <v>7388</v>
      </c>
      <c r="G1421" s="167">
        <f>FCCL!D99</f>
        <v>3471.3509999999992</v>
      </c>
      <c r="H1421" s="167">
        <f>AVERAGE(FCCL!C22,FCCL!D22)</f>
        <v>21641.245999999999</v>
      </c>
      <c r="I1421" s="165">
        <f t="shared" si="66"/>
        <v>0.16040439630878922</v>
      </c>
      <c r="J1421" s="165">
        <v>0.16040439630878922</v>
      </c>
      <c r="K1421" s="169">
        <f t="shared" si="67"/>
        <v>0</v>
      </c>
      <c r="L1421" s="165">
        <v>0.71</v>
      </c>
      <c r="M1421" s="151">
        <v>2</v>
      </c>
      <c r="N1421" s="151" t="str">
        <f t="shared" si="68"/>
        <v>No fit</v>
      </c>
      <c r="O1421" s="174" t="s">
        <v>7389</v>
      </c>
      <c r="P1421" s="174" t="s">
        <v>7342</v>
      </c>
    </row>
    <row r="1422" spans="1:16" ht="64.05" customHeight="1" x14ac:dyDescent="0.3">
      <c r="A1422" s="154" t="s">
        <v>8171</v>
      </c>
      <c r="B1422" s="154" t="s">
        <v>8154</v>
      </c>
      <c r="C1422" s="154" t="s">
        <v>114</v>
      </c>
      <c r="D1422" s="154">
        <v>2021</v>
      </c>
      <c r="E1422" s="154" t="s">
        <v>196</v>
      </c>
      <c r="F1422" s="173" t="s">
        <v>7391</v>
      </c>
      <c r="G1422" s="166">
        <f>FCCL!D99</f>
        <v>3471.3509999999992</v>
      </c>
      <c r="H1422" s="166">
        <f>FCCL!D28</f>
        <v>21613.498999999996</v>
      </c>
      <c r="I1422" s="164">
        <f t="shared" si="66"/>
        <v>0.16061032042983878</v>
      </c>
      <c r="J1422" s="164">
        <v>0.16061032042983875</v>
      </c>
      <c r="K1422" s="168">
        <f t="shared" si="67"/>
        <v>0</v>
      </c>
      <c r="L1422" s="164">
        <v>0.71</v>
      </c>
      <c r="M1422" s="154">
        <v>2</v>
      </c>
      <c r="N1422" s="154" t="str">
        <f t="shared" si="68"/>
        <v>No fit</v>
      </c>
      <c r="O1422" s="173" t="s">
        <v>7392</v>
      </c>
      <c r="P1422" s="173" t="s">
        <v>7342</v>
      </c>
    </row>
    <row r="1423" spans="1:16" ht="64.05" customHeight="1" x14ac:dyDescent="0.3">
      <c r="A1423" s="151" t="s">
        <v>8172</v>
      </c>
      <c r="B1423" s="151" t="s">
        <v>8154</v>
      </c>
      <c r="C1423" s="151" t="s">
        <v>114</v>
      </c>
      <c r="D1423" s="151">
        <v>2021</v>
      </c>
      <c r="E1423" s="151" t="s">
        <v>196</v>
      </c>
      <c r="F1423" s="174" t="s">
        <v>7394</v>
      </c>
      <c r="G1423" s="167">
        <f>FCCL!D99</f>
        <v>3471.3509999999992</v>
      </c>
      <c r="H1423" s="167">
        <f>AVERAGE(FCCL!C28,FCCL!D28)</f>
        <v>21919.046999999999</v>
      </c>
      <c r="I1423" s="165">
        <f t="shared" si="66"/>
        <v>0.15837143832028827</v>
      </c>
      <c r="J1423" s="165">
        <v>0.15837143832028827</v>
      </c>
      <c r="K1423" s="169">
        <f t="shared" si="67"/>
        <v>0</v>
      </c>
      <c r="L1423" s="165">
        <v>0.71</v>
      </c>
      <c r="M1423" s="151">
        <v>2</v>
      </c>
      <c r="N1423" s="151" t="str">
        <f t="shared" si="68"/>
        <v>No fit</v>
      </c>
      <c r="O1423" s="174" t="s">
        <v>7395</v>
      </c>
      <c r="P1423" s="174" t="s">
        <v>7342</v>
      </c>
    </row>
    <row r="1424" spans="1:16" ht="64.05" customHeight="1" x14ac:dyDescent="0.3">
      <c r="A1424" s="154" t="s">
        <v>8173</v>
      </c>
      <c r="B1424" s="154" t="s">
        <v>8154</v>
      </c>
      <c r="C1424" s="154" t="s">
        <v>114</v>
      </c>
      <c r="D1424" s="154">
        <v>2021</v>
      </c>
      <c r="E1424" s="154" t="s">
        <v>196</v>
      </c>
      <c r="F1424" s="173" t="s">
        <v>7397</v>
      </c>
      <c r="G1424" s="166">
        <f>FCCL!D99</f>
        <v>3471.3509999999992</v>
      </c>
      <c r="H1424" s="166">
        <f>'Forensic Inputs'!$G$98</f>
        <v>38463.974999999999</v>
      </c>
      <c r="I1424" s="164">
        <f t="shared" si="66"/>
        <v>9.0249408699958844E-2</v>
      </c>
      <c r="J1424" s="164">
        <v>9.0249408699958844E-2</v>
      </c>
      <c r="K1424" s="168">
        <f t="shared" si="67"/>
        <v>0</v>
      </c>
      <c r="L1424" s="164">
        <v>0.71</v>
      </c>
      <c r="M1424" s="154">
        <v>2</v>
      </c>
      <c r="N1424" s="154" t="str">
        <f t="shared" si="68"/>
        <v>No fit</v>
      </c>
      <c r="O1424" s="173" t="s">
        <v>7398</v>
      </c>
      <c r="P1424" s="173" t="s">
        <v>7342</v>
      </c>
    </row>
    <row r="1425" spans="1:16" ht="64.05" customHeight="1" x14ac:dyDescent="0.3">
      <c r="A1425" s="151" t="s">
        <v>8174</v>
      </c>
      <c r="B1425" s="151" t="s">
        <v>8154</v>
      </c>
      <c r="C1425" s="151" t="s">
        <v>114</v>
      </c>
      <c r="D1425" s="151">
        <v>2021</v>
      </c>
      <c r="E1425" s="151" t="s">
        <v>196</v>
      </c>
      <c r="F1425" s="174" t="s">
        <v>7400</v>
      </c>
      <c r="G1425" s="167">
        <f>FCCL!D99</f>
        <v>3471.3509999999992</v>
      </c>
      <c r="H1425" s="167">
        <f>('Forensic Inputs'!$G$98-FCCL!D21)</f>
        <v>38261.887999999999</v>
      </c>
      <c r="I1425" s="165">
        <f t="shared" si="66"/>
        <v>9.0726077082239107E-2</v>
      </c>
      <c r="J1425" s="165">
        <v>9.0726077082239107E-2</v>
      </c>
      <c r="K1425" s="169">
        <f t="shared" si="67"/>
        <v>0</v>
      </c>
      <c r="L1425" s="165">
        <v>0.71</v>
      </c>
      <c r="M1425" s="151">
        <v>2</v>
      </c>
      <c r="N1425" s="151" t="str">
        <f t="shared" si="68"/>
        <v>No fit</v>
      </c>
      <c r="O1425" s="174" t="s">
        <v>7401</v>
      </c>
      <c r="P1425" s="174" t="s">
        <v>7342</v>
      </c>
    </row>
    <row r="1426" spans="1:16" ht="64.05" customHeight="1" x14ac:dyDescent="0.3">
      <c r="A1426" s="154" t="s">
        <v>8175</v>
      </c>
      <c r="B1426" s="154" t="s">
        <v>8154</v>
      </c>
      <c r="C1426" s="154" t="s">
        <v>114</v>
      </c>
      <c r="D1426" s="154">
        <v>2021</v>
      </c>
      <c r="E1426" s="154" t="s">
        <v>196</v>
      </c>
      <c r="F1426" s="173" t="s">
        <v>7406</v>
      </c>
      <c r="G1426" s="166">
        <f>FCCL!D96</f>
        <v>5107.6919999999991</v>
      </c>
      <c r="H1426" s="166">
        <f>FCCL!D37</f>
        <v>34052.231</v>
      </c>
      <c r="I1426" s="164">
        <f t="shared" si="66"/>
        <v>0.1499958108471659</v>
      </c>
      <c r="J1426" s="164">
        <v>0.1499958108471659</v>
      </c>
      <c r="K1426" s="168">
        <f t="shared" si="67"/>
        <v>0</v>
      </c>
      <c r="L1426" s="164">
        <v>0.71</v>
      </c>
      <c r="M1426" s="154">
        <v>2</v>
      </c>
      <c r="N1426" s="154" t="str">
        <f t="shared" si="68"/>
        <v>No fit</v>
      </c>
      <c r="O1426" s="173" t="s">
        <v>7407</v>
      </c>
      <c r="P1426" s="173" t="s">
        <v>7342</v>
      </c>
    </row>
    <row r="1427" spans="1:16" ht="64.05" customHeight="1" x14ac:dyDescent="0.3">
      <c r="A1427" s="151" t="s">
        <v>8176</v>
      </c>
      <c r="B1427" s="151" t="s">
        <v>8154</v>
      </c>
      <c r="C1427" s="151" t="s">
        <v>114</v>
      </c>
      <c r="D1427" s="151">
        <v>2021</v>
      </c>
      <c r="E1427" s="151" t="s">
        <v>196</v>
      </c>
      <c r="F1427" s="174" t="s">
        <v>7409</v>
      </c>
      <c r="G1427" s="167">
        <f>FCCL!D96</f>
        <v>5107.6919999999991</v>
      </c>
      <c r="H1427" s="167">
        <f>AVERAGE(FCCL!C37,FCCL!D37)</f>
        <v>31630.073499999999</v>
      </c>
      <c r="I1427" s="165">
        <f t="shared" si="66"/>
        <v>0.16148214135512517</v>
      </c>
      <c r="J1427" s="165">
        <v>0.16148214135512517</v>
      </c>
      <c r="K1427" s="169">
        <f t="shared" si="67"/>
        <v>0</v>
      </c>
      <c r="L1427" s="165">
        <v>0.71</v>
      </c>
      <c r="M1427" s="151">
        <v>2</v>
      </c>
      <c r="N1427" s="151" t="str">
        <f t="shared" si="68"/>
        <v>No fit</v>
      </c>
      <c r="O1427" s="174" t="s">
        <v>7410</v>
      </c>
      <c r="P1427" s="174" t="s">
        <v>7342</v>
      </c>
    </row>
    <row r="1428" spans="1:16" ht="64.05" customHeight="1" x14ac:dyDescent="0.3">
      <c r="A1428" s="154" t="s">
        <v>8177</v>
      </c>
      <c r="B1428" s="154" t="s">
        <v>8154</v>
      </c>
      <c r="C1428" s="154" t="s">
        <v>114</v>
      </c>
      <c r="D1428" s="154">
        <v>2021</v>
      </c>
      <c r="E1428" s="154" t="s">
        <v>196</v>
      </c>
      <c r="F1428" s="173" t="s">
        <v>7412</v>
      </c>
      <c r="G1428" s="166">
        <f>FCCL!D96</f>
        <v>5107.6919999999991</v>
      </c>
      <c r="H1428" s="166">
        <f>FCCL!D20</f>
        <v>21422.215</v>
      </c>
      <c r="I1428" s="164">
        <f t="shared" si="66"/>
        <v>0.23842968619258087</v>
      </c>
      <c r="J1428" s="164">
        <v>0.23842968619258087</v>
      </c>
      <c r="K1428" s="168">
        <f t="shared" si="67"/>
        <v>0</v>
      </c>
      <c r="L1428" s="164">
        <v>0.71</v>
      </c>
      <c r="M1428" s="154">
        <v>2</v>
      </c>
      <c r="N1428" s="154" t="str">
        <f t="shared" si="68"/>
        <v>No fit</v>
      </c>
      <c r="O1428" s="173" t="s">
        <v>7413</v>
      </c>
      <c r="P1428" s="173" t="s">
        <v>7342</v>
      </c>
    </row>
    <row r="1429" spans="1:16" ht="64.05" customHeight="1" x14ac:dyDescent="0.3">
      <c r="A1429" s="151" t="s">
        <v>8178</v>
      </c>
      <c r="B1429" s="151" t="s">
        <v>8154</v>
      </c>
      <c r="C1429" s="151" t="s">
        <v>114</v>
      </c>
      <c r="D1429" s="151">
        <v>2021</v>
      </c>
      <c r="E1429" s="151" t="s">
        <v>196</v>
      </c>
      <c r="F1429" s="174" t="s">
        <v>7415</v>
      </c>
      <c r="G1429" s="167">
        <f>FCCL!D96</f>
        <v>5107.6919999999991</v>
      </c>
      <c r="H1429" s="167">
        <f>AVERAGE(FCCL!C20,FCCL!D20)</f>
        <v>21743.693500000001</v>
      </c>
      <c r="I1429" s="165">
        <f t="shared" si="66"/>
        <v>0.23490452530523384</v>
      </c>
      <c r="J1429" s="165">
        <v>0.23490452530523384</v>
      </c>
      <c r="K1429" s="169">
        <f t="shared" si="67"/>
        <v>0</v>
      </c>
      <c r="L1429" s="165">
        <v>0.71</v>
      </c>
      <c r="M1429" s="151">
        <v>2</v>
      </c>
      <c r="N1429" s="151" t="str">
        <f t="shared" si="68"/>
        <v>No fit</v>
      </c>
      <c r="O1429" s="174" t="s">
        <v>7416</v>
      </c>
      <c r="P1429" s="174" t="s">
        <v>7342</v>
      </c>
    </row>
    <row r="1430" spans="1:16" ht="64.05" customHeight="1" x14ac:dyDescent="0.3">
      <c r="A1430" s="154" t="s">
        <v>8179</v>
      </c>
      <c r="B1430" s="154" t="s">
        <v>8154</v>
      </c>
      <c r="C1430" s="154" t="s">
        <v>114</v>
      </c>
      <c r="D1430" s="154">
        <v>2021</v>
      </c>
      <c r="E1430" s="154" t="s">
        <v>196</v>
      </c>
      <c r="F1430" s="173" t="s">
        <v>7418</v>
      </c>
      <c r="G1430" s="166">
        <f>FCCL!D96</f>
        <v>5107.6919999999991</v>
      </c>
      <c r="H1430" s="166">
        <f>FCCL!D22</f>
        <v>21220.128000000001</v>
      </c>
      <c r="I1430" s="164">
        <f t="shared" si="66"/>
        <v>0.24070033884809738</v>
      </c>
      <c r="J1430" s="164">
        <v>0.24070033884809738</v>
      </c>
      <c r="K1430" s="168">
        <f t="shared" si="67"/>
        <v>0</v>
      </c>
      <c r="L1430" s="164">
        <v>0.71</v>
      </c>
      <c r="M1430" s="154">
        <v>2</v>
      </c>
      <c r="N1430" s="154" t="str">
        <f t="shared" si="68"/>
        <v>No fit</v>
      </c>
      <c r="O1430" s="173" t="s">
        <v>7419</v>
      </c>
      <c r="P1430" s="173" t="s">
        <v>7342</v>
      </c>
    </row>
    <row r="1431" spans="1:16" ht="64.05" customHeight="1" x14ac:dyDescent="0.3">
      <c r="A1431" s="151" t="s">
        <v>8180</v>
      </c>
      <c r="B1431" s="151" t="s">
        <v>8154</v>
      </c>
      <c r="C1431" s="151" t="s">
        <v>114</v>
      </c>
      <c r="D1431" s="151">
        <v>2021</v>
      </c>
      <c r="E1431" s="151" t="s">
        <v>196</v>
      </c>
      <c r="F1431" s="174" t="s">
        <v>7421</v>
      </c>
      <c r="G1431" s="167">
        <f>FCCL!D96</f>
        <v>5107.6919999999991</v>
      </c>
      <c r="H1431" s="167">
        <f>AVERAGE(FCCL!C22,FCCL!D22)</f>
        <v>21641.245999999999</v>
      </c>
      <c r="I1431" s="165">
        <f t="shared" si="66"/>
        <v>0.23601653989793375</v>
      </c>
      <c r="J1431" s="165">
        <v>0.23601653989793375</v>
      </c>
      <c r="K1431" s="169">
        <f t="shared" si="67"/>
        <v>0</v>
      </c>
      <c r="L1431" s="165">
        <v>0.71</v>
      </c>
      <c r="M1431" s="151">
        <v>2</v>
      </c>
      <c r="N1431" s="151" t="str">
        <f t="shared" si="68"/>
        <v>No fit</v>
      </c>
      <c r="O1431" s="174" t="s">
        <v>7422</v>
      </c>
      <c r="P1431" s="174" t="s">
        <v>7342</v>
      </c>
    </row>
    <row r="1432" spans="1:16" ht="64.05" customHeight="1" x14ac:dyDescent="0.3">
      <c r="A1432" s="154" t="s">
        <v>8181</v>
      </c>
      <c r="B1432" s="154" t="s">
        <v>8154</v>
      </c>
      <c r="C1432" s="154" t="s">
        <v>114</v>
      </c>
      <c r="D1432" s="154">
        <v>2021</v>
      </c>
      <c r="E1432" s="154" t="s">
        <v>196</v>
      </c>
      <c r="F1432" s="173" t="s">
        <v>7424</v>
      </c>
      <c r="G1432" s="166">
        <f>FCCL!D96</f>
        <v>5107.6919999999991</v>
      </c>
      <c r="H1432" s="166">
        <f>FCCL!D28</f>
        <v>21613.498999999996</v>
      </c>
      <c r="I1432" s="164">
        <f t="shared" si="66"/>
        <v>0.23631953345453227</v>
      </c>
      <c r="J1432" s="164">
        <v>0.23631953345453224</v>
      </c>
      <c r="K1432" s="168">
        <f t="shared" si="67"/>
        <v>0</v>
      </c>
      <c r="L1432" s="164">
        <v>0.71</v>
      </c>
      <c r="M1432" s="154">
        <v>2</v>
      </c>
      <c r="N1432" s="154" t="str">
        <f t="shared" si="68"/>
        <v>No fit</v>
      </c>
      <c r="O1432" s="173" t="s">
        <v>7425</v>
      </c>
      <c r="P1432" s="173" t="s">
        <v>7342</v>
      </c>
    </row>
    <row r="1433" spans="1:16" ht="64.05" customHeight="1" x14ac:dyDescent="0.3">
      <c r="A1433" s="151" t="s">
        <v>8182</v>
      </c>
      <c r="B1433" s="151" t="s">
        <v>8154</v>
      </c>
      <c r="C1433" s="151" t="s">
        <v>114</v>
      </c>
      <c r="D1433" s="151">
        <v>2021</v>
      </c>
      <c r="E1433" s="151" t="s">
        <v>196</v>
      </c>
      <c r="F1433" s="174" t="s">
        <v>7427</v>
      </c>
      <c r="G1433" s="167">
        <f>FCCL!D96</f>
        <v>5107.6919999999991</v>
      </c>
      <c r="H1433" s="167">
        <f>AVERAGE(FCCL!C28,FCCL!D28)</f>
        <v>21919.046999999999</v>
      </c>
      <c r="I1433" s="165">
        <f t="shared" si="66"/>
        <v>0.23302527705698151</v>
      </c>
      <c r="J1433" s="165">
        <v>0.23302527705698151</v>
      </c>
      <c r="K1433" s="169">
        <f t="shared" si="67"/>
        <v>0</v>
      </c>
      <c r="L1433" s="165">
        <v>0.71</v>
      </c>
      <c r="M1433" s="151">
        <v>2</v>
      </c>
      <c r="N1433" s="151" t="str">
        <f t="shared" si="68"/>
        <v>No fit</v>
      </c>
      <c r="O1433" s="174" t="s">
        <v>7428</v>
      </c>
      <c r="P1433" s="174" t="s">
        <v>7342</v>
      </c>
    </row>
    <row r="1434" spans="1:16" ht="64.05" customHeight="1" x14ac:dyDescent="0.3">
      <c r="A1434" s="154" t="s">
        <v>8183</v>
      </c>
      <c r="B1434" s="154" t="s">
        <v>8154</v>
      </c>
      <c r="C1434" s="154" t="s">
        <v>114</v>
      </c>
      <c r="D1434" s="154">
        <v>2021</v>
      </c>
      <c r="E1434" s="154" t="s">
        <v>196</v>
      </c>
      <c r="F1434" s="173" t="s">
        <v>7430</v>
      </c>
      <c r="G1434" s="166">
        <f>FCCL!D96</f>
        <v>5107.6919999999991</v>
      </c>
      <c r="H1434" s="166">
        <f>'Forensic Inputs'!$G$98</f>
        <v>38463.974999999999</v>
      </c>
      <c r="I1434" s="164">
        <f t="shared" si="66"/>
        <v>0.13279157965342894</v>
      </c>
      <c r="J1434" s="164">
        <v>0.13279157965342894</v>
      </c>
      <c r="K1434" s="168">
        <f t="shared" si="67"/>
        <v>0</v>
      </c>
      <c r="L1434" s="164">
        <v>0.71</v>
      </c>
      <c r="M1434" s="154">
        <v>2</v>
      </c>
      <c r="N1434" s="154" t="str">
        <f t="shared" si="68"/>
        <v>No fit</v>
      </c>
      <c r="O1434" s="173" t="s">
        <v>7431</v>
      </c>
      <c r="P1434" s="173" t="s">
        <v>7342</v>
      </c>
    </row>
    <row r="1435" spans="1:16" ht="64.05" customHeight="1" x14ac:dyDescent="0.3">
      <c r="A1435" s="151" t="s">
        <v>8184</v>
      </c>
      <c r="B1435" s="151" t="s">
        <v>8154</v>
      </c>
      <c r="C1435" s="151" t="s">
        <v>114</v>
      </c>
      <c r="D1435" s="151">
        <v>2021</v>
      </c>
      <c r="E1435" s="151" t="s">
        <v>196</v>
      </c>
      <c r="F1435" s="174" t="s">
        <v>7433</v>
      </c>
      <c r="G1435" s="167">
        <f>FCCL!D96</f>
        <v>5107.6919999999991</v>
      </c>
      <c r="H1435" s="167">
        <f>('Forensic Inputs'!$G$98-FCCL!D21)</f>
        <v>38261.887999999999</v>
      </c>
      <c r="I1435" s="165">
        <f t="shared" si="66"/>
        <v>0.13349294211514076</v>
      </c>
      <c r="J1435" s="165">
        <v>0.13349294211514076</v>
      </c>
      <c r="K1435" s="169">
        <f t="shared" si="67"/>
        <v>0</v>
      </c>
      <c r="L1435" s="165">
        <v>0.71</v>
      </c>
      <c r="M1435" s="151">
        <v>2</v>
      </c>
      <c r="N1435" s="151" t="str">
        <f t="shared" si="68"/>
        <v>No fit</v>
      </c>
      <c r="O1435" s="174" t="s">
        <v>7434</v>
      </c>
      <c r="P1435" s="174" t="s">
        <v>7342</v>
      </c>
    </row>
    <row r="1436" spans="1:16" ht="64.05" customHeight="1" x14ac:dyDescent="0.3">
      <c r="A1436" s="154" t="s">
        <v>8185</v>
      </c>
      <c r="B1436" s="154" t="s">
        <v>8154</v>
      </c>
      <c r="C1436" s="154" t="s">
        <v>114</v>
      </c>
      <c r="D1436" s="154">
        <v>2021</v>
      </c>
      <c r="E1436" s="154" t="s">
        <v>196</v>
      </c>
      <c r="F1436" s="173" t="s">
        <v>7439</v>
      </c>
      <c r="G1436" s="166">
        <f>FCCL!D108</f>
        <v>5217.3149999999987</v>
      </c>
      <c r="H1436" s="166">
        <f>FCCL!D37</f>
        <v>34052.231</v>
      </c>
      <c r="I1436" s="164">
        <f t="shared" si="66"/>
        <v>0.15321507128270095</v>
      </c>
      <c r="J1436" s="164">
        <v>0.15321507128270095</v>
      </c>
      <c r="K1436" s="168">
        <f t="shared" si="67"/>
        <v>0</v>
      </c>
      <c r="L1436" s="164">
        <v>0.71</v>
      </c>
      <c r="M1436" s="154">
        <v>2</v>
      </c>
      <c r="N1436" s="154" t="str">
        <f t="shared" si="68"/>
        <v>No fit</v>
      </c>
      <c r="O1436" s="173" t="s">
        <v>7440</v>
      </c>
      <c r="P1436" s="173" t="s">
        <v>7342</v>
      </c>
    </row>
    <row r="1437" spans="1:16" ht="64.05" customHeight="1" x14ac:dyDescent="0.3">
      <c r="A1437" s="151" t="s">
        <v>8186</v>
      </c>
      <c r="B1437" s="151" t="s">
        <v>8154</v>
      </c>
      <c r="C1437" s="151" t="s">
        <v>114</v>
      </c>
      <c r="D1437" s="151">
        <v>2021</v>
      </c>
      <c r="E1437" s="151" t="s">
        <v>196</v>
      </c>
      <c r="F1437" s="174" t="s">
        <v>7442</v>
      </c>
      <c r="G1437" s="167">
        <f>FCCL!D108</f>
        <v>5217.3149999999987</v>
      </c>
      <c r="H1437" s="167">
        <f>AVERAGE(FCCL!C37,FCCL!D37)</f>
        <v>31630.073499999999</v>
      </c>
      <c r="I1437" s="165">
        <f t="shared" si="66"/>
        <v>0.16494792527118216</v>
      </c>
      <c r="J1437" s="165">
        <v>0.16494792527118216</v>
      </c>
      <c r="K1437" s="169">
        <f t="shared" si="67"/>
        <v>0</v>
      </c>
      <c r="L1437" s="165">
        <v>0.71</v>
      </c>
      <c r="M1437" s="151">
        <v>2</v>
      </c>
      <c r="N1437" s="151" t="str">
        <f t="shared" si="68"/>
        <v>No fit</v>
      </c>
      <c r="O1437" s="174" t="s">
        <v>7443</v>
      </c>
      <c r="P1437" s="174" t="s">
        <v>7342</v>
      </c>
    </row>
    <row r="1438" spans="1:16" ht="64.05" customHeight="1" x14ac:dyDescent="0.3">
      <c r="A1438" s="154" t="s">
        <v>8187</v>
      </c>
      <c r="B1438" s="154" t="s">
        <v>8154</v>
      </c>
      <c r="C1438" s="154" t="s">
        <v>114</v>
      </c>
      <c r="D1438" s="154">
        <v>2021</v>
      </c>
      <c r="E1438" s="154" t="s">
        <v>196</v>
      </c>
      <c r="F1438" s="173" t="s">
        <v>7445</v>
      </c>
      <c r="G1438" s="166">
        <f>FCCL!D108</f>
        <v>5217.3149999999987</v>
      </c>
      <c r="H1438" s="166">
        <f>FCCL!D20</f>
        <v>21422.215</v>
      </c>
      <c r="I1438" s="164">
        <f t="shared" si="66"/>
        <v>0.2435469441418639</v>
      </c>
      <c r="J1438" s="164">
        <v>0.2435469441418639</v>
      </c>
      <c r="K1438" s="168">
        <f t="shared" si="67"/>
        <v>0</v>
      </c>
      <c r="L1438" s="164">
        <v>0.71</v>
      </c>
      <c r="M1438" s="154">
        <v>2</v>
      </c>
      <c r="N1438" s="154" t="str">
        <f t="shared" si="68"/>
        <v>No fit</v>
      </c>
      <c r="O1438" s="173" t="s">
        <v>7446</v>
      </c>
      <c r="P1438" s="173" t="s">
        <v>7342</v>
      </c>
    </row>
    <row r="1439" spans="1:16" ht="64.05" customHeight="1" x14ac:dyDescent="0.3">
      <c r="A1439" s="151" t="s">
        <v>8188</v>
      </c>
      <c r="B1439" s="151" t="s">
        <v>8154</v>
      </c>
      <c r="C1439" s="151" t="s">
        <v>114</v>
      </c>
      <c r="D1439" s="151">
        <v>2021</v>
      </c>
      <c r="E1439" s="151" t="s">
        <v>196</v>
      </c>
      <c r="F1439" s="174" t="s">
        <v>7448</v>
      </c>
      <c r="G1439" s="167">
        <f>FCCL!D108</f>
        <v>5217.3149999999987</v>
      </c>
      <c r="H1439" s="167">
        <f>AVERAGE(FCCL!C20,FCCL!D20)</f>
        <v>21743.693500000001</v>
      </c>
      <c r="I1439" s="165">
        <f t="shared" si="66"/>
        <v>0.23994612506840193</v>
      </c>
      <c r="J1439" s="165">
        <v>0.23994612506840193</v>
      </c>
      <c r="K1439" s="169">
        <f t="shared" si="67"/>
        <v>0</v>
      </c>
      <c r="L1439" s="165">
        <v>0.71</v>
      </c>
      <c r="M1439" s="151">
        <v>2</v>
      </c>
      <c r="N1439" s="151" t="str">
        <f t="shared" si="68"/>
        <v>No fit</v>
      </c>
      <c r="O1439" s="174" t="s">
        <v>7449</v>
      </c>
      <c r="P1439" s="174" t="s">
        <v>7342</v>
      </c>
    </row>
    <row r="1440" spans="1:16" ht="64.05" customHeight="1" x14ac:dyDescent="0.3">
      <c r="A1440" s="154" t="s">
        <v>8189</v>
      </c>
      <c r="B1440" s="154" t="s">
        <v>8154</v>
      </c>
      <c r="C1440" s="154" t="s">
        <v>114</v>
      </c>
      <c r="D1440" s="154">
        <v>2021</v>
      </c>
      <c r="E1440" s="154" t="s">
        <v>196</v>
      </c>
      <c r="F1440" s="173" t="s">
        <v>7451</v>
      </c>
      <c r="G1440" s="166">
        <f>FCCL!D108</f>
        <v>5217.3149999999987</v>
      </c>
      <c r="H1440" s="166">
        <f>FCCL!D22</f>
        <v>21220.128000000001</v>
      </c>
      <c r="I1440" s="164">
        <f t="shared" si="66"/>
        <v>0.24586633030677282</v>
      </c>
      <c r="J1440" s="164">
        <v>0.24586633030677282</v>
      </c>
      <c r="K1440" s="168">
        <f t="shared" si="67"/>
        <v>0</v>
      </c>
      <c r="L1440" s="164">
        <v>0.71</v>
      </c>
      <c r="M1440" s="154">
        <v>2</v>
      </c>
      <c r="N1440" s="154" t="str">
        <f t="shared" si="68"/>
        <v>No fit</v>
      </c>
      <c r="O1440" s="173" t="s">
        <v>7452</v>
      </c>
      <c r="P1440" s="173" t="s">
        <v>7342</v>
      </c>
    </row>
    <row r="1441" spans="1:16" ht="64.05" customHeight="1" x14ac:dyDescent="0.3">
      <c r="A1441" s="151" t="s">
        <v>8190</v>
      </c>
      <c r="B1441" s="151" t="s">
        <v>8154</v>
      </c>
      <c r="C1441" s="151" t="s">
        <v>114</v>
      </c>
      <c r="D1441" s="151">
        <v>2021</v>
      </c>
      <c r="E1441" s="151" t="s">
        <v>196</v>
      </c>
      <c r="F1441" s="174" t="s">
        <v>7454</v>
      </c>
      <c r="G1441" s="167">
        <f>FCCL!D108</f>
        <v>5217.3149999999987</v>
      </c>
      <c r="H1441" s="167">
        <f>AVERAGE(FCCL!C22,FCCL!D22)</f>
        <v>21641.245999999999</v>
      </c>
      <c r="I1441" s="165">
        <f t="shared" si="66"/>
        <v>0.24108200609151612</v>
      </c>
      <c r="J1441" s="165">
        <v>0.24108200609151612</v>
      </c>
      <c r="K1441" s="169">
        <f t="shared" si="67"/>
        <v>0</v>
      </c>
      <c r="L1441" s="165">
        <v>0.71</v>
      </c>
      <c r="M1441" s="151">
        <v>2</v>
      </c>
      <c r="N1441" s="151" t="str">
        <f t="shared" si="68"/>
        <v>No fit</v>
      </c>
      <c r="O1441" s="174" t="s">
        <v>7455</v>
      </c>
      <c r="P1441" s="174" t="s">
        <v>7342</v>
      </c>
    </row>
    <row r="1442" spans="1:16" ht="64.05" customHeight="1" x14ac:dyDescent="0.3">
      <c r="A1442" s="154" t="s">
        <v>8191</v>
      </c>
      <c r="B1442" s="154" t="s">
        <v>8154</v>
      </c>
      <c r="C1442" s="154" t="s">
        <v>114</v>
      </c>
      <c r="D1442" s="154">
        <v>2021</v>
      </c>
      <c r="E1442" s="154" t="s">
        <v>196</v>
      </c>
      <c r="F1442" s="173" t="s">
        <v>7457</v>
      </c>
      <c r="G1442" s="166">
        <f>FCCL!D108</f>
        <v>5217.3149999999987</v>
      </c>
      <c r="H1442" s="166">
        <f>FCCL!D28</f>
        <v>21613.498999999996</v>
      </c>
      <c r="I1442" s="164">
        <f t="shared" si="66"/>
        <v>0.24139150259752018</v>
      </c>
      <c r="J1442" s="164">
        <v>0.24139150259752012</v>
      </c>
      <c r="K1442" s="168">
        <f t="shared" si="67"/>
        <v>0</v>
      </c>
      <c r="L1442" s="164">
        <v>0.71</v>
      </c>
      <c r="M1442" s="154">
        <v>2</v>
      </c>
      <c r="N1442" s="154" t="str">
        <f t="shared" si="68"/>
        <v>No fit</v>
      </c>
      <c r="O1442" s="173" t="s">
        <v>7458</v>
      </c>
      <c r="P1442" s="173" t="s">
        <v>7342</v>
      </c>
    </row>
    <row r="1443" spans="1:16" ht="64.05" customHeight="1" x14ac:dyDescent="0.3">
      <c r="A1443" s="151" t="s">
        <v>8192</v>
      </c>
      <c r="B1443" s="151" t="s">
        <v>8154</v>
      </c>
      <c r="C1443" s="151" t="s">
        <v>114</v>
      </c>
      <c r="D1443" s="151">
        <v>2021</v>
      </c>
      <c r="E1443" s="151" t="s">
        <v>196</v>
      </c>
      <c r="F1443" s="174" t="s">
        <v>7460</v>
      </c>
      <c r="G1443" s="167">
        <f>FCCL!D108</f>
        <v>5217.3149999999987</v>
      </c>
      <c r="H1443" s="167">
        <f>AVERAGE(FCCL!C28,FCCL!D28)</f>
        <v>21919.046999999999</v>
      </c>
      <c r="I1443" s="165">
        <f t="shared" si="66"/>
        <v>0.23802654376351304</v>
      </c>
      <c r="J1443" s="165">
        <v>0.23802654376351304</v>
      </c>
      <c r="K1443" s="169">
        <f t="shared" si="67"/>
        <v>0</v>
      </c>
      <c r="L1443" s="165">
        <v>0.71</v>
      </c>
      <c r="M1443" s="151">
        <v>2</v>
      </c>
      <c r="N1443" s="151" t="str">
        <f t="shared" si="68"/>
        <v>No fit</v>
      </c>
      <c r="O1443" s="174" t="s">
        <v>7461</v>
      </c>
      <c r="P1443" s="174" t="s">
        <v>7342</v>
      </c>
    </row>
    <row r="1444" spans="1:16" ht="64.05" customHeight="1" x14ac:dyDescent="0.3">
      <c r="A1444" s="154" t="s">
        <v>8193</v>
      </c>
      <c r="B1444" s="154" t="s">
        <v>8154</v>
      </c>
      <c r="C1444" s="154" t="s">
        <v>114</v>
      </c>
      <c r="D1444" s="154">
        <v>2021</v>
      </c>
      <c r="E1444" s="154" t="s">
        <v>196</v>
      </c>
      <c r="F1444" s="173" t="s">
        <v>7463</v>
      </c>
      <c r="G1444" s="166">
        <f>FCCL!D108</f>
        <v>5217.3149999999987</v>
      </c>
      <c r="H1444" s="166">
        <f>'Forensic Inputs'!$G$98</f>
        <v>38463.974999999999</v>
      </c>
      <c r="I1444" s="164">
        <f t="shared" si="66"/>
        <v>0.13564159710482337</v>
      </c>
      <c r="J1444" s="164">
        <v>0.13564159710482337</v>
      </c>
      <c r="K1444" s="168">
        <f t="shared" si="67"/>
        <v>0</v>
      </c>
      <c r="L1444" s="164">
        <v>0.71</v>
      </c>
      <c r="M1444" s="154">
        <v>2</v>
      </c>
      <c r="N1444" s="154" t="str">
        <f t="shared" si="68"/>
        <v>No fit</v>
      </c>
      <c r="O1444" s="173" t="s">
        <v>7464</v>
      </c>
      <c r="P1444" s="173" t="s">
        <v>7342</v>
      </c>
    </row>
    <row r="1445" spans="1:16" ht="64.05" customHeight="1" x14ac:dyDescent="0.3">
      <c r="A1445" s="151" t="s">
        <v>8194</v>
      </c>
      <c r="B1445" s="151" t="s">
        <v>8154</v>
      </c>
      <c r="C1445" s="151" t="s">
        <v>114</v>
      </c>
      <c r="D1445" s="151">
        <v>2021</v>
      </c>
      <c r="E1445" s="151" t="s">
        <v>196</v>
      </c>
      <c r="F1445" s="174" t="s">
        <v>7466</v>
      </c>
      <c r="G1445" s="167">
        <f>FCCL!D108</f>
        <v>5217.3149999999987</v>
      </c>
      <c r="H1445" s="167">
        <f>('Forensic Inputs'!$G$98-FCCL!D21)</f>
        <v>38261.887999999999</v>
      </c>
      <c r="I1445" s="165">
        <f t="shared" si="66"/>
        <v>0.13635801244308693</v>
      </c>
      <c r="J1445" s="165">
        <v>0.13635801244308693</v>
      </c>
      <c r="K1445" s="169">
        <f t="shared" si="67"/>
        <v>0</v>
      </c>
      <c r="L1445" s="165">
        <v>0.71</v>
      </c>
      <c r="M1445" s="151">
        <v>2</v>
      </c>
      <c r="N1445" s="151" t="str">
        <f t="shared" si="68"/>
        <v>No fit</v>
      </c>
      <c r="O1445" s="174" t="s">
        <v>7467</v>
      </c>
      <c r="P1445" s="174" t="s">
        <v>7342</v>
      </c>
    </row>
    <row r="1446" spans="1:16" ht="64.05" customHeight="1" x14ac:dyDescent="0.3">
      <c r="A1446" s="154" t="s">
        <v>8195</v>
      </c>
      <c r="B1446" s="154" t="s">
        <v>8154</v>
      </c>
      <c r="C1446" s="154" t="s">
        <v>114</v>
      </c>
      <c r="D1446" s="154">
        <v>2021</v>
      </c>
      <c r="E1446" s="154" t="s">
        <v>196</v>
      </c>
      <c r="F1446" s="173" t="s">
        <v>7472</v>
      </c>
      <c r="G1446" s="166">
        <f>FCCL!D91</f>
        <v>4972.2129999999988</v>
      </c>
      <c r="H1446" s="166">
        <f>FCCL!D37</f>
        <v>34052.231</v>
      </c>
      <c r="I1446" s="164">
        <f t="shared" si="66"/>
        <v>0.14601724627088308</v>
      </c>
      <c r="J1446" s="164">
        <v>0.14601724627088308</v>
      </c>
      <c r="K1446" s="168">
        <f t="shared" si="67"/>
        <v>0</v>
      </c>
      <c r="L1446" s="164">
        <v>0.71</v>
      </c>
      <c r="M1446" s="154">
        <v>2</v>
      </c>
      <c r="N1446" s="154" t="str">
        <f t="shared" si="68"/>
        <v>No fit</v>
      </c>
      <c r="O1446" s="173" t="s">
        <v>7473</v>
      </c>
      <c r="P1446" s="173" t="s">
        <v>7342</v>
      </c>
    </row>
    <row r="1447" spans="1:16" ht="64.05" customHeight="1" x14ac:dyDescent="0.3">
      <c r="A1447" s="151" t="s">
        <v>8196</v>
      </c>
      <c r="B1447" s="151" t="s">
        <v>8154</v>
      </c>
      <c r="C1447" s="151" t="s">
        <v>114</v>
      </c>
      <c r="D1447" s="151">
        <v>2021</v>
      </c>
      <c r="E1447" s="151" t="s">
        <v>196</v>
      </c>
      <c r="F1447" s="174" t="s">
        <v>7475</v>
      </c>
      <c r="G1447" s="167">
        <f>FCCL!D91</f>
        <v>4972.2129999999988</v>
      </c>
      <c r="H1447" s="167">
        <f>AVERAGE(FCCL!C37,FCCL!D37)</f>
        <v>31630.073499999999</v>
      </c>
      <c r="I1447" s="165">
        <f t="shared" si="66"/>
        <v>0.15719890755233304</v>
      </c>
      <c r="J1447" s="165">
        <v>0.15719890755233304</v>
      </c>
      <c r="K1447" s="169">
        <f t="shared" si="67"/>
        <v>0</v>
      </c>
      <c r="L1447" s="165">
        <v>0.71</v>
      </c>
      <c r="M1447" s="151">
        <v>2</v>
      </c>
      <c r="N1447" s="151" t="str">
        <f t="shared" si="68"/>
        <v>No fit</v>
      </c>
      <c r="O1447" s="174" t="s">
        <v>7476</v>
      </c>
      <c r="P1447" s="174" t="s">
        <v>7342</v>
      </c>
    </row>
    <row r="1448" spans="1:16" ht="64.05" customHeight="1" x14ac:dyDescent="0.3">
      <c r="A1448" s="154" t="s">
        <v>8197</v>
      </c>
      <c r="B1448" s="154" t="s">
        <v>8154</v>
      </c>
      <c r="C1448" s="154" t="s">
        <v>114</v>
      </c>
      <c r="D1448" s="154">
        <v>2021</v>
      </c>
      <c r="E1448" s="154" t="s">
        <v>196</v>
      </c>
      <c r="F1448" s="173" t="s">
        <v>7478</v>
      </c>
      <c r="G1448" s="166">
        <f>FCCL!D91</f>
        <v>4972.2129999999988</v>
      </c>
      <c r="H1448" s="166">
        <f>FCCL!D20</f>
        <v>21422.215</v>
      </c>
      <c r="I1448" s="164">
        <f t="shared" si="66"/>
        <v>0.23210545688202638</v>
      </c>
      <c r="J1448" s="164">
        <v>0.23210545688202638</v>
      </c>
      <c r="K1448" s="168">
        <f t="shared" si="67"/>
        <v>0</v>
      </c>
      <c r="L1448" s="164">
        <v>0.71</v>
      </c>
      <c r="M1448" s="154">
        <v>2</v>
      </c>
      <c r="N1448" s="154" t="str">
        <f t="shared" si="68"/>
        <v>No fit</v>
      </c>
      <c r="O1448" s="173" t="s">
        <v>7479</v>
      </c>
      <c r="P1448" s="173" t="s">
        <v>7342</v>
      </c>
    </row>
    <row r="1449" spans="1:16" ht="64.05" customHeight="1" x14ac:dyDescent="0.3">
      <c r="A1449" s="151" t="s">
        <v>8198</v>
      </c>
      <c r="B1449" s="151" t="s">
        <v>8154</v>
      </c>
      <c r="C1449" s="151" t="s">
        <v>114</v>
      </c>
      <c r="D1449" s="151">
        <v>2021</v>
      </c>
      <c r="E1449" s="151" t="s">
        <v>196</v>
      </c>
      <c r="F1449" s="174" t="s">
        <v>7481</v>
      </c>
      <c r="G1449" s="167">
        <f>FCCL!D91</f>
        <v>4972.2129999999988</v>
      </c>
      <c r="H1449" s="167">
        <f>AVERAGE(FCCL!C20,FCCL!D20)</f>
        <v>21743.693500000001</v>
      </c>
      <c r="I1449" s="165">
        <f t="shared" si="66"/>
        <v>0.22867379914088645</v>
      </c>
      <c r="J1449" s="165">
        <v>0.22867379914088645</v>
      </c>
      <c r="K1449" s="169">
        <f t="shared" si="67"/>
        <v>0</v>
      </c>
      <c r="L1449" s="165">
        <v>0.71</v>
      </c>
      <c r="M1449" s="151">
        <v>2</v>
      </c>
      <c r="N1449" s="151" t="str">
        <f t="shared" si="68"/>
        <v>No fit</v>
      </c>
      <c r="O1449" s="174" t="s">
        <v>7482</v>
      </c>
      <c r="P1449" s="174" t="s">
        <v>7342</v>
      </c>
    </row>
    <row r="1450" spans="1:16" ht="64.05" customHeight="1" x14ac:dyDescent="0.3">
      <c r="A1450" s="154" t="s">
        <v>8199</v>
      </c>
      <c r="B1450" s="154" t="s">
        <v>8154</v>
      </c>
      <c r="C1450" s="154" t="s">
        <v>114</v>
      </c>
      <c r="D1450" s="154">
        <v>2021</v>
      </c>
      <c r="E1450" s="154" t="s">
        <v>196</v>
      </c>
      <c r="F1450" s="173" t="s">
        <v>7484</v>
      </c>
      <c r="G1450" s="166">
        <f>FCCL!D91</f>
        <v>4972.2129999999988</v>
      </c>
      <c r="H1450" s="166">
        <f>FCCL!D22</f>
        <v>21220.128000000001</v>
      </c>
      <c r="I1450" s="164">
        <f t="shared" si="66"/>
        <v>0.23431588160071412</v>
      </c>
      <c r="J1450" s="164">
        <v>0.23431588160071412</v>
      </c>
      <c r="K1450" s="168">
        <f t="shared" si="67"/>
        <v>0</v>
      </c>
      <c r="L1450" s="164">
        <v>0.71</v>
      </c>
      <c r="M1450" s="154">
        <v>2</v>
      </c>
      <c r="N1450" s="154" t="str">
        <f t="shared" si="68"/>
        <v>No fit</v>
      </c>
      <c r="O1450" s="173" t="s">
        <v>7485</v>
      </c>
      <c r="P1450" s="173" t="s">
        <v>7342</v>
      </c>
    </row>
    <row r="1451" spans="1:16" ht="64.05" customHeight="1" x14ac:dyDescent="0.3">
      <c r="A1451" s="151" t="s">
        <v>8200</v>
      </c>
      <c r="B1451" s="151" t="s">
        <v>8154</v>
      </c>
      <c r="C1451" s="151" t="s">
        <v>114</v>
      </c>
      <c r="D1451" s="151">
        <v>2021</v>
      </c>
      <c r="E1451" s="151" t="s">
        <v>196</v>
      </c>
      <c r="F1451" s="174" t="s">
        <v>7487</v>
      </c>
      <c r="G1451" s="167">
        <f>FCCL!D91</f>
        <v>4972.2129999999988</v>
      </c>
      <c r="H1451" s="167">
        <f>AVERAGE(FCCL!C22,FCCL!D22)</f>
        <v>21641.245999999999</v>
      </c>
      <c r="I1451" s="165">
        <f t="shared" si="66"/>
        <v>0.22975631809739602</v>
      </c>
      <c r="J1451" s="165">
        <v>0.22975631809739602</v>
      </c>
      <c r="K1451" s="169">
        <f t="shared" si="67"/>
        <v>0</v>
      </c>
      <c r="L1451" s="165">
        <v>0.71</v>
      </c>
      <c r="M1451" s="151">
        <v>2</v>
      </c>
      <c r="N1451" s="151" t="str">
        <f t="shared" si="68"/>
        <v>No fit</v>
      </c>
      <c r="O1451" s="174" t="s">
        <v>7488</v>
      </c>
      <c r="P1451" s="174" t="s">
        <v>7342</v>
      </c>
    </row>
    <row r="1452" spans="1:16" ht="64.05" customHeight="1" x14ac:dyDescent="0.3">
      <c r="A1452" s="154" t="s">
        <v>8201</v>
      </c>
      <c r="B1452" s="154" t="s">
        <v>8154</v>
      </c>
      <c r="C1452" s="154" t="s">
        <v>114</v>
      </c>
      <c r="D1452" s="154">
        <v>2021</v>
      </c>
      <c r="E1452" s="154" t="s">
        <v>196</v>
      </c>
      <c r="F1452" s="173" t="s">
        <v>7490</v>
      </c>
      <c r="G1452" s="166">
        <f>FCCL!D91</f>
        <v>4972.2129999999988</v>
      </c>
      <c r="H1452" s="166">
        <f>FCCL!D28</f>
        <v>21613.498999999996</v>
      </c>
      <c r="I1452" s="164">
        <f t="shared" si="66"/>
        <v>0.23005127490000576</v>
      </c>
      <c r="J1452" s="164">
        <v>0.23005127490000574</v>
      </c>
      <c r="K1452" s="168">
        <f t="shared" si="67"/>
        <v>0</v>
      </c>
      <c r="L1452" s="164">
        <v>0.71</v>
      </c>
      <c r="M1452" s="154">
        <v>2</v>
      </c>
      <c r="N1452" s="154" t="str">
        <f t="shared" si="68"/>
        <v>No fit</v>
      </c>
      <c r="O1452" s="173" t="s">
        <v>7491</v>
      </c>
      <c r="P1452" s="173" t="s">
        <v>7342</v>
      </c>
    </row>
    <row r="1453" spans="1:16" ht="64.05" customHeight="1" x14ac:dyDescent="0.3">
      <c r="A1453" s="151" t="s">
        <v>8202</v>
      </c>
      <c r="B1453" s="151" t="s">
        <v>8154</v>
      </c>
      <c r="C1453" s="151" t="s">
        <v>114</v>
      </c>
      <c r="D1453" s="151">
        <v>2021</v>
      </c>
      <c r="E1453" s="151" t="s">
        <v>196</v>
      </c>
      <c r="F1453" s="174" t="s">
        <v>7493</v>
      </c>
      <c r="G1453" s="167">
        <f>FCCL!D91</f>
        <v>4972.2129999999988</v>
      </c>
      <c r="H1453" s="167">
        <f>AVERAGE(FCCL!C28,FCCL!D28)</f>
        <v>21919.046999999999</v>
      </c>
      <c r="I1453" s="165">
        <f t="shared" si="66"/>
        <v>0.22684439702145806</v>
      </c>
      <c r="J1453" s="165">
        <v>0.22684439702145806</v>
      </c>
      <c r="K1453" s="169">
        <f t="shared" si="67"/>
        <v>0</v>
      </c>
      <c r="L1453" s="165">
        <v>0.71</v>
      </c>
      <c r="M1453" s="151">
        <v>2</v>
      </c>
      <c r="N1453" s="151" t="str">
        <f t="shared" si="68"/>
        <v>No fit</v>
      </c>
      <c r="O1453" s="174" t="s">
        <v>7494</v>
      </c>
      <c r="P1453" s="174" t="s">
        <v>7342</v>
      </c>
    </row>
    <row r="1454" spans="1:16" ht="64.05" customHeight="1" x14ac:dyDescent="0.3">
      <c r="A1454" s="154" t="s">
        <v>8203</v>
      </c>
      <c r="B1454" s="154" t="s">
        <v>8154</v>
      </c>
      <c r="C1454" s="154" t="s">
        <v>114</v>
      </c>
      <c r="D1454" s="154">
        <v>2021</v>
      </c>
      <c r="E1454" s="154" t="s">
        <v>196</v>
      </c>
      <c r="F1454" s="173" t="s">
        <v>7496</v>
      </c>
      <c r="G1454" s="166">
        <f>FCCL!D91</f>
        <v>4972.2129999999988</v>
      </c>
      <c r="H1454" s="166">
        <f>'Forensic Inputs'!$G$98</f>
        <v>38463.974999999999</v>
      </c>
      <c r="I1454" s="164">
        <f t="shared" si="66"/>
        <v>0.12926934878675433</v>
      </c>
      <c r="J1454" s="164">
        <v>0.12926934878675433</v>
      </c>
      <c r="K1454" s="168">
        <f t="shared" si="67"/>
        <v>0</v>
      </c>
      <c r="L1454" s="164">
        <v>0.71</v>
      </c>
      <c r="M1454" s="154">
        <v>2</v>
      </c>
      <c r="N1454" s="154" t="str">
        <f t="shared" si="68"/>
        <v>No fit</v>
      </c>
      <c r="O1454" s="173" t="s">
        <v>7497</v>
      </c>
      <c r="P1454" s="173" t="s">
        <v>7342</v>
      </c>
    </row>
    <row r="1455" spans="1:16" ht="64.05" customHeight="1" x14ac:dyDescent="0.3">
      <c r="A1455" s="151" t="s">
        <v>8204</v>
      </c>
      <c r="B1455" s="151" t="s">
        <v>8154</v>
      </c>
      <c r="C1455" s="151" t="s">
        <v>114</v>
      </c>
      <c r="D1455" s="151">
        <v>2021</v>
      </c>
      <c r="E1455" s="151" t="s">
        <v>196</v>
      </c>
      <c r="F1455" s="174" t="s">
        <v>7499</v>
      </c>
      <c r="G1455" s="167">
        <f>FCCL!D91</f>
        <v>4972.2129999999988</v>
      </c>
      <c r="H1455" s="167">
        <f>('Forensic Inputs'!$G$98-FCCL!D21)</f>
        <v>38261.887999999999</v>
      </c>
      <c r="I1455" s="165">
        <f t="shared" si="66"/>
        <v>0.12995210795661727</v>
      </c>
      <c r="J1455" s="165">
        <v>0.12995210795661727</v>
      </c>
      <c r="K1455" s="169">
        <f t="shared" si="67"/>
        <v>0</v>
      </c>
      <c r="L1455" s="165">
        <v>0.71</v>
      </c>
      <c r="M1455" s="151">
        <v>2</v>
      </c>
      <c r="N1455" s="151" t="str">
        <f t="shared" si="68"/>
        <v>No fit</v>
      </c>
      <c r="O1455" s="174" t="s">
        <v>7500</v>
      </c>
      <c r="P1455" s="174" t="s">
        <v>7342</v>
      </c>
    </row>
    <row r="1456" spans="1:16" ht="64.05" customHeight="1" x14ac:dyDescent="0.3">
      <c r="A1456" s="154" t="s">
        <v>8205</v>
      </c>
      <c r="B1456" s="154" t="s">
        <v>8206</v>
      </c>
      <c r="C1456" s="154" t="s">
        <v>114</v>
      </c>
      <c r="D1456" s="154">
        <v>2021</v>
      </c>
      <c r="E1456" s="154" t="s">
        <v>199</v>
      </c>
      <c r="F1456" s="173" t="s">
        <v>5893</v>
      </c>
      <c r="G1456" s="166">
        <f>FCCL!D84</f>
        <v>24271.285</v>
      </c>
      <c r="H1456" s="166">
        <f>AVERAGE(FCCL!C22,FCCL!D22)</f>
        <v>21641.245999999999</v>
      </c>
      <c r="I1456" s="164">
        <f t="shared" si="66"/>
        <v>1.121529000686929</v>
      </c>
      <c r="J1456" s="164">
        <v>1.121529000686929</v>
      </c>
      <c r="K1456" s="168">
        <f t="shared" si="67"/>
        <v>0</v>
      </c>
      <c r="L1456" s="164">
        <v>1.1299999999999999</v>
      </c>
      <c r="M1456" s="154">
        <v>2</v>
      </c>
      <c r="N1456" s="154" t="str">
        <f t="shared" si="68"/>
        <v>No fit</v>
      </c>
      <c r="O1456" s="173" t="s">
        <v>6050</v>
      </c>
      <c r="P1456" s="173" t="s">
        <v>6051</v>
      </c>
    </row>
    <row r="1457" spans="1:16" ht="64.05" customHeight="1" x14ac:dyDescent="0.3">
      <c r="A1457" s="151" t="s">
        <v>8207</v>
      </c>
      <c r="B1457" s="151" t="s">
        <v>8206</v>
      </c>
      <c r="C1457" s="151" t="s">
        <v>114</v>
      </c>
      <c r="D1457" s="151">
        <v>2021</v>
      </c>
      <c r="E1457" s="151" t="s">
        <v>199</v>
      </c>
      <c r="F1457" s="174" t="s">
        <v>6009</v>
      </c>
      <c r="G1457" s="167">
        <f>FCCL!D84</f>
        <v>24271.285</v>
      </c>
      <c r="H1457" s="167">
        <f>FCCL!D37</f>
        <v>34052.231</v>
      </c>
      <c r="I1457" s="165">
        <f t="shared" si="66"/>
        <v>0.71276636764269574</v>
      </c>
      <c r="J1457" s="165">
        <v>0.71276636764269574</v>
      </c>
      <c r="K1457" s="169">
        <f t="shared" si="67"/>
        <v>0</v>
      </c>
      <c r="L1457" s="165">
        <v>1.1299999999999999</v>
      </c>
      <c r="M1457" s="151">
        <v>2</v>
      </c>
      <c r="N1457" s="151" t="str">
        <f t="shared" si="68"/>
        <v>No fit</v>
      </c>
      <c r="O1457" s="174" t="s">
        <v>7341</v>
      </c>
      <c r="P1457" s="174" t="s">
        <v>7342</v>
      </c>
    </row>
    <row r="1458" spans="1:16" ht="64.05" customHeight="1" x14ac:dyDescent="0.3">
      <c r="A1458" s="154" t="s">
        <v>8208</v>
      </c>
      <c r="B1458" s="154" t="s">
        <v>8206</v>
      </c>
      <c r="C1458" s="154" t="s">
        <v>114</v>
      </c>
      <c r="D1458" s="154">
        <v>2021</v>
      </c>
      <c r="E1458" s="154" t="s">
        <v>199</v>
      </c>
      <c r="F1458" s="173" t="s">
        <v>7344</v>
      </c>
      <c r="G1458" s="166">
        <f>FCCL!D84</f>
        <v>24271.285</v>
      </c>
      <c r="H1458" s="166">
        <f>AVERAGE(FCCL!C37,FCCL!D37)</f>
        <v>31630.073499999999</v>
      </c>
      <c r="I1458" s="164">
        <f t="shared" si="66"/>
        <v>0.76734835914940258</v>
      </c>
      <c r="J1458" s="164">
        <v>0.76734835914940258</v>
      </c>
      <c r="K1458" s="168">
        <f t="shared" si="67"/>
        <v>0</v>
      </c>
      <c r="L1458" s="164">
        <v>1.1299999999999999</v>
      </c>
      <c r="M1458" s="154">
        <v>2</v>
      </c>
      <c r="N1458" s="154" t="str">
        <f t="shared" si="68"/>
        <v>No fit</v>
      </c>
      <c r="O1458" s="173" t="s">
        <v>7345</v>
      </c>
      <c r="P1458" s="173" t="s">
        <v>7342</v>
      </c>
    </row>
    <row r="1459" spans="1:16" ht="64.05" customHeight="1" x14ac:dyDescent="0.3">
      <c r="A1459" s="151" t="s">
        <v>8209</v>
      </c>
      <c r="B1459" s="151" t="s">
        <v>8206</v>
      </c>
      <c r="C1459" s="151" t="s">
        <v>114</v>
      </c>
      <c r="D1459" s="151">
        <v>2021</v>
      </c>
      <c r="E1459" s="151" t="s">
        <v>199</v>
      </c>
      <c r="F1459" s="174" t="s">
        <v>6025</v>
      </c>
      <c r="G1459" s="167">
        <f>FCCL!D84</f>
        <v>24271.285</v>
      </c>
      <c r="H1459" s="167">
        <f>FCCL!D20</f>
        <v>21422.215</v>
      </c>
      <c r="I1459" s="165">
        <f t="shared" si="66"/>
        <v>1.1329960510619466</v>
      </c>
      <c r="J1459" s="165">
        <v>1.1329960510619466</v>
      </c>
      <c r="K1459" s="169">
        <f t="shared" si="67"/>
        <v>0</v>
      </c>
      <c r="L1459" s="165">
        <v>1.1299999999999999</v>
      </c>
      <c r="M1459" s="151">
        <v>2</v>
      </c>
      <c r="N1459" s="151" t="str">
        <f t="shared" si="68"/>
        <v>Numeric fit</v>
      </c>
      <c r="O1459" s="174" t="s">
        <v>7347</v>
      </c>
      <c r="P1459" s="174" t="s">
        <v>7342</v>
      </c>
    </row>
    <row r="1460" spans="1:16" ht="64.05" customHeight="1" x14ac:dyDescent="0.3">
      <c r="A1460" s="154" t="s">
        <v>8210</v>
      </c>
      <c r="B1460" s="154" t="s">
        <v>8206</v>
      </c>
      <c r="C1460" s="154" t="s">
        <v>114</v>
      </c>
      <c r="D1460" s="154">
        <v>2021</v>
      </c>
      <c r="E1460" s="154" t="s">
        <v>199</v>
      </c>
      <c r="F1460" s="173" t="s">
        <v>7349</v>
      </c>
      <c r="G1460" s="166">
        <f>FCCL!D84</f>
        <v>24271.285</v>
      </c>
      <c r="H1460" s="166">
        <f>AVERAGE(FCCL!C20,FCCL!D20)</f>
        <v>21743.693500000001</v>
      </c>
      <c r="I1460" s="164">
        <f t="shared" si="66"/>
        <v>1.1162448090983255</v>
      </c>
      <c r="J1460" s="164">
        <v>1.1162448090983255</v>
      </c>
      <c r="K1460" s="168">
        <f t="shared" si="67"/>
        <v>0</v>
      </c>
      <c r="L1460" s="164">
        <v>1.1299999999999999</v>
      </c>
      <c r="M1460" s="154">
        <v>2</v>
      </c>
      <c r="N1460" s="154" t="str">
        <f t="shared" si="68"/>
        <v>No fit</v>
      </c>
      <c r="O1460" s="173" t="s">
        <v>7350</v>
      </c>
      <c r="P1460" s="173" t="s">
        <v>7342</v>
      </c>
    </row>
    <row r="1461" spans="1:16" ht="64.05" customHeight="1" x14ac:dyDescent="0.3">
      <c r="A1461" s="151" t="s">
        <v>8211</v>
      </c>
      <c r="B1461" s="151" t="s">
        <v>8206</v>
      </c>
      <c r="C1461" s="151" t="s">
        <v>114</v>
      </c>
      <c r="D1461" s="151">
        <v>2021</v>
      </c>
      <c r="E1461" s="151" t="s">
        <v>199</v>
      </c>
      <c r="F1461" s="174" t="s">
        <v>7352</v>
      </c>
      <c r="G1461" s="167">
        <f>FCCL!D84</f>
        <v>24271.285</v>
      </c>
      <c r="H1461" s="167">
        <f>FCCL!D22</f>
        <v>21220.128000000001</v>
      </c>
      <c r="I1461" s="165">
        <f t="shared" si="66"/>
        <v>1.1437859847028256</v>
      </c>
      <c r="J1461" s="165">
        <v>1.1437859847028256</v>
      </c>
      <c r="K1461" s="169">
        <f t="shared" si="67"/>
        <v>0</v>
      </c>
      <c r="L1461" s="165">
        <v>1.1299999999999999</v>
      </c>
      <c r="M1461" s="151">
        <v>2</v>
      </c>
      <c r="N1461" s="151" t="str">
        <f t="shared" si="68"/>
        <v>No fit</v>
      </c>
      <c r="O1461" s="174" t="s">
        <v>7353</v>
      </c>
      <c r="P1461" s="174" t="s">
        <v>7342</v>
      </c>
    </row>
    <row r="1462" spans="1:16" ht="64.05" customHeight="1" x14ac:dyDescent="0.3">
      <c r="A1462" s="154" t="s">
        <v>8212</v>
      </c>
      <c r="B1462" s="154" t="s">
        <v>8206</v>
      </c>
      <c r="C1462" s="154" t="s">
        <v>114</v>
      </c>
      <c r="D1462" s="154">
        <v>2021</v>
      </c>
      <c r="E1462" s="154" t="s">
        <v>199</v>
      </c>
      <c r="F1462" s="173" t="s">
        <v>7355</v>
      </c>
      <c r="G1462" s="166">
        <f>FCCL!D84</f>
        <v>24271.285</v>
      </c>
      <c r="H1462" s="166">
        <f>AVERAGE(FCCL!C22,FCCL!D22)</f>
        <v>21641.245999999999</v>
      </c>
      <c r="I1462" s="164">
        <f t="shared" si="66"/>
        <v>1.121529000686929</v>
      </c>
      <c r="J1462" s="164">
        <v>1.121529000686929</v>
      </c>
      <c r="K1462" s="168">
        <f t="shared" si="67"/>
        <v>0</v>
      </c>
      <c r="L1462" s="164">
        <v>1.1299999999999999</v>
      </c>
      <c r="M1462" s="154">
        <v>2</v>
      </c>
      <c r="N1462" s="154" t="str">
        <f t="shared" si="68"/>
        <v>No fit</v>
      </c>
      <c r="O1462" s="173" t="s">
        <v>7356</v>
      </c>
      <c r="P1462" s="173" t="s">
        <v>7342</v>
      </c>
    </row>
    <row r="1463" spans="1:16" ht="64.05" customHeight="1" x14ac:dyDescent="0.3">
      <c r="A1463" s="151" t="s">
        <v>8213</v>
      </c>
      <c r="B1463" s="151" t="s">
        <v>8206</v>
      </c>
      <c r="C1463" s="151" t="s">
        <v>114</v>
      </c>
      <c r="D1463" s="151">
        <v>2021</v>
      </c>
      <c r="E1463" s="151" t="s">
        <v>199</v>
      </c>
      <c r="F1463" s="174" t="s">
        <v>7358</v>
      </c>
      <c r="G1463" s="167">
        <f>FCCL!D84</f>
        <v>24271.285</v>
      </c>
      <c r="H1463" s="167">
        <f>FCCL!D28</f>
        <v>21613.498999999996</v>
      </c>
      <c r="I1463" s="165">
        <f t="shared" si="66"/>
        <v>1.1229687983421843</v>
      </c>
      <c r="J1463" s="165">
        <v>1.1229687983421841</v>
      </c>
      <c r="K1463" s="169">
        <f t="shared" si="67"/>
        <v>0</v>
      </c>
      <c r="L1463" s="165">
        <v>1.1299999999999999</v>
      </c>
      <c r="M1463" s="151">
        <v>2</v>
      </c>
      <c r="N1463" s="151" t="str">
        <f t="shared" si="68"/>
        <v>No fit</v>
      </c>
      <c r="O1463" s="174" t="s">
        <v>7359</v>
      </c>
      <c r="P1463" s="174" t="s">
        <v>7342</v>
      </c>
    </row>
    <row r="1464" spans="1:16" ht="64.05" customHeight="1" x14ac:dyDescent="0.3">
      <c r="A1464" s="154" t="s">
        <v>8214</v>
      </c>
      <c r="B1464" s="154" t="s">
        <v>8206</v>
      </c>
      <c r="C1464" s="154" t="s">
        <v>114</v>
      </c>
      <c r="D1464" s="154">
        <v>2021</v>
      </c>
      <c r="E1464" s="154" t="s">
        <v>199</v>
      </c>
      <c r="F1464" s="173" t="s">
        <v>7361</v>
      </c>
      <c r="G1464" s="166">
        <f>FCCL!D84</f>
        <v>24271.285</v>
      </c>
      <c r="H1464" s="166">
        <f>AVERAGE(FCCL!C28,FCCL!D28)</f>
        <v>21919.046999999999</v>
      </c>
      <c r="I1464" s="164">
        <f t="shared" si="66"/>
        <v>1.1073147933849496</v>
      </c>
      <c r="J1464" s="164">
        <v>1.1073147933849496</v>
      </c>
      <c r="K1464" s="168">
        <f t="shared" si="67"/>
        <v>0</v>
      </c>
      <c r="L1464" s="164">
        <v>1.1299999999999999</v>
      </c>
      <c r="M1464" s="154">
        <v>2</v>
      </c>
      <c r="N1464" s="154" t="str">
        <f t="shared" si="68"/>
        <v>No fit</v>
      </c>
      <c r="O1464" s="173" t="s">
        <v>7362</v>
      </c>
      <c r="P1464" s="173" t="s">
        <v>7342</v>
      </c>
    </row>
    <row r="1465" spans="1:16" ht="64.05" customHeight="1" x14ac:dyDescent="0.3">
      <c r="A1465" s="151" t="s">
        <v>8215</v>
      </c>
      <c r="B1465" s="151" t="s">
        <v>8206</v>
      </c>
      <c r="C1465" s="151" t="s">
        <v>114</v>
      </c>
      <c r="D1465" s="151">
        <v>2021</v>
      </c>
      <c r="E1465" s="151" t="s">
        <v>199</v>
      </c>
      <c r="F1465" s="174" t="s">
        <v>7364</v>
      </c>
      <c r="G1465" s="167">
        <f>FCCL!D84</f>
        <v>24271.285</v>
      </c>
      <c r="H1465" s="167">
        <f>'Forensic Inputs'!$G$98</f>
        <v>38463.974999999999</v>
      </c>
      <c r="I1465" s="165">
        <f t="shared" si="66"/>
        <v>0.63101343529887388</v>
      </c>
      <c r="J1465" s="165">
        <v>0.63101343529887388</v>
      </c>
      <c r="K1465" s="169">
        <f t="shared" si="67"/>
        <v>0</v>
      </c>
      <c r="L1465" s="165">
        <v>1.1299999999999999</v>
      </c>
      <c r="M1465" s="151">
        <v>2</v>
      </c>
      <c r="N1465" s="151" t="str">
        <f t="shared" si="68"/>
        <v>No fit</v>
      </c>
      <c r="O1465" s="174" t="s">
        <v>7365</v>
      </c>
      <c r="P1465" s="174" t="s">
        <v>7342</v>
      </c>
    </row>
    <row r="1466" spans="1:16" ht="64.05" customHeight="1" x14ac:dyDescent="0.3">
      <c r="A1466" s="154" t="s">
        <v>8216</v>
      </c>
      <c r="B1466" s="154" t="s">
        <v>8206</v>
      </c>
      <c r="C1466" s="154" t="s">
        <v>114</v>
      </c>
      <c r="D1466" s="154">
        <v>2021</v>
      </c>
      <c r="E1466" s="154" t="s">
        <v>199</v>
      </c>
      <c r="F1466" s="173" t="s">
        <v>7367</v>
      </c>
      <c r="G1466" s="166">
        <f>FCCL!D84</f>
        <v>24271.285</v>
      </c>
      <c r="H1466" s="166">
        <f>('Forensic Inputs'!$G$98-FCCL!D21)</f>
        <v>38261.887999999999</v>
      </c>
      <c r="I1466" s="164">
        <f t="shared" si="66"/>
        <v>0.6343462455381188</v>
      </c>
      <c r="J1466" s="164">
        <v>0.6343462455381188</v>
      </c>
      <c r="K1466" s="168">
        <f t="shared" si="67"/>
        <v>0</v>
      </c>
      <c r="L1466" s="164">
        <v>1.1299999999999999</v>
      </c>
      <c r="M1466" s="154">
        <v>2</v>
      </c>
      <c r="N1466" s="154" t="str">
        <f t="shared" si="68"/>
        <v>No fit</v>
      </c>
      <c r="O1466" s="173" t="s">
        <v>7368</v>
      </c>
      <c r="P1466" s="173" t="s">
        <v>7342</v>
      </c>
    </row>
    <row r="1467" spans="1:16" ht="64.05" customHeight="1" x14ac:dyDescent="0.3">
      <c r="A1467" s="151" t="s">
        <v>8217</v>
      </c>
      <c r="B1467" s="151" t="s">
        <v>8206</v>
      </c>
      <c r="C1467" s="151" t="s">
        <v>114</v>
      </c>
      <c r="D1467" s="151">
        <v>2021</v>
      </c>
      <c r="E1467" s="151" t="s">
        <v>199</v>
      </c>
      <c r="F1467" s="174" t="s">
        <v>7373</v>
      </c>
      <c r="G1467" s="167">
        <f>FCCL!D99</f>
        <v>3471.3509999999992</v>
      </c>
      <c r="H1467" s="167">
        <f>FCCL!D37</f>
        <v>34052.231</v>
      </c>
      <c r="I1467" s="165">
        <f t="shared" si="66"/>
        <v>0.10194195499261118</v>
      </c>
      <c r="J1467" s="165">
        <v>0.10194195499261118</v>
      </c>
      <c r="K1467" s="169">
        <f t="shared" si="67"/>
        <v>0</v>
      </c>
      <c r="L1467" s="165">
        <v>1.1299999999999999</v>
      </c>
      <c r="M1467" s="151">
        <v>2</v>
      </c>
      <c r="N1467" s="151" t="str">
        <f t="shared" si="68"/>
        <v>No fit</v>
      </c>
      <c r="O1467" s="174" t="s">
        <v>7374</v>
      </c>
      <c r="P1467" s="174" t="s">
        <v>7342</v>
      </c>
    </row>
    <row r="1468" spans="1:16" ht="64.05" customHeight="1" x14ac:dyDescent="0.3">
      <c r="A1468" s="154" t="s">
        <v>8218</v>
      </c>
      <c r="B1468" s="154" t="s">
        <v>8206</v>
      </c>
      <c r="C1468" s="154" t="s">
        <v>114</v>
      </c>
      <c r="D1468" s="154">
        <v>2021</v>
      </c>
      <c r="E1468" s="154" t="s">
        <v>199</v>
      </c>
      <c r="F1468" s="173" t="s">
        <v>7376</v>
      </c>
      <c r="G1468" s="166">
        <f>FCCL!D99</f>
        <v>3471.3509999999992</v>
      </c>
      <c r="H1468" s="166">
        <f>AVERAGE(FCCL!C37,FCCL!D37)</f>
        <v>31630.073499999999</v>
      </c>
      <c r="I1468" s="164">
        <f t="shared" si="66"/>
        <v>0.10974843292728989</v>
      </c>
      <c r="J1468" s="164">
        <v>0.10974843292728989</v>
      </c>
      <c r="K1468" s="168">
        <f t="shared" si="67"/>
        <v>0</v>
      </c>
      <c r="L1468" s="164">
        <v>1.1299999999999999</v>
      </c>
      <c r="M1468" s="154">
        <v>2</v>
      </c>
      <c r="N1468" s="154" t="str">
        <f t="shared" si="68"/>
        <v>No fit</v>
      </c>
      <c r="O1468" s="173" t="s">
        <v>7377</v>
      </c>
      <c r="P1468" s="173" t="s">
        <v>7342</v>
      </c>
    </row>
    <row r="1469" spans="1:16" ht="64.05" customHeight="1" x14ac:dyDescent="0.3">
      <c r="A1469" s="151" t="s">
        <v>8219</v>
      </c>
      <c r="B1469" s="151" t="s">
        <v>8206</v>
      </c>
      <c r="C1469" s="151" t="s">
        <v>114</v>
      </c>
      <c r="D1469" s="151">
        <v>2021</v>
      </c>
      <c r="E1469" s="151" t="s">
        <v>199</v>
      </c>
      <c r="F1469" s="174" t="s">
        <v>7379</v>
      </c>
      <c r="G1469" s="167">
        <f>FCCL!D99</f>
        <v>3471.3509999999992</v>
      </c>
      <c r="H1469" s="167">
        <f>FCCL!D20</f>
        <v>21422.215</v>
      </c>
      <c r="I1469" s="165">
        <f t="shared" si="66"/>
        <v>0.16204444778469448</v>
      </c>
      <c r="J1469" s="165">
        <v>0.16204444778469448</v>
      </c>
      <c r="K1469" s="169">
        <f t="shared" si="67"/>
        <v>0</v>
      </c>
      <c r="L1469" s="165">
        <v>1.1299999999999999</v>
      </c>
      <c r="M1469" s="151">
        <v>2</v>
      </c>
      <c r="N1469" s="151" t="str">
        <f t="shared" si="68"/>
        <v>No fit</v>
      </c>
      <c r="O1469" s="174" t="s">
        <v>7380</v>
      </c>
      <c r="P1469" s="174" t="s">
        <v>7342</v>
      </c>
    </row>
    <row r="1470" spans="1:16" ht="64.05" customHeight="1" x14ac:dyDescent="0.3">
      <c r="A1470" s="154" t="s">
        <v>8220</v>
      </c>
      <c r="B1470" s="154" t="s">
        <v>8206</v>
      </c>
      <c r="C1470" s="154" t="s">
        <v>114</v>
      </c>
      <c r="D1470" s="154">
        <v>2021</v>
      </c>
      <c r="E1470" s="154" t="s">
        <v>199</v>
      </c>
      <c r="F1470" s="173" t="s">
        <v>7382</v>
      </c>
      <c r="G1470" s="166">
        <f>FCCL!D99</f>
        <v>3471.3509999999992</v>
      </c>
      <c r="H1470" s="166">
        <f>AVERAGE(FCCL!C20,FCCL!D20)</f>
        <v>21743.693500000001</v>
      </c>
      <c r="I1470" s="164">
        <f t="shared" si="66"/>
        <v>0.15964863559174061</v>
      </c>
      <c r="J1470" s="164">
        <v>0.15964863559174061</v>
      </c>
      <c r="K1470" s="168">
        <f t="shared" si="67"/>
        <v>0</v>
      </c>
      <c r="L1470" s="164">
        <v>1.1299999999999999</v>
      </c>
      <c r="M1470" s="154">
        <v>2</v>
      </c>
      <c r="N1470" s="154" t="str">
        <f t="shared" si="68"/>
        <v>No fit</v>
      </c>
      <c r="O1470" s="173" t="s">
        <v>7383</v>
      </c>
      <c r="P1470" s="173" t="s">
        <v>7342</v>
      </c>
    </row>
    <row r="1471" spans="1:16" ht="64.05" customHeight="1" x14ac:dyDescent="0.3">
      <c r="A1471" s="151" t="s">
        <v>8221</v>
      </c>
      <c r="B1471" s="151" t="s">
        <v>8206</v>
      </c>
      <c r="C1471" s="151" t="s">
        <v>114</v>
      </c>
      <c r="D1471" s="151">
        <v>2021</v>
      </c>
      <c r="E1471" s="151" t="s">
        <v>199</v>
      </c>
      <c r="F1471" s="174" t="s">
        <v>7385</v>
      </c>
      <c r="G1471" s="167">
        <f>FCCL!D99</f>
        <v>3471.3509999999992</v>
      </c>
      <c r="H1471" s="167">
        <f>FCCL!D22</f>
        <v>21220.128000000001</v>
      </c>
      <c r="I1471" s="165">
        <f t="shared" si="66"/>
        <v>0.16358765602167899</v>
      </c>
      <c r="J1471" s="165">
        <v>0.16358765602167899</v>
      </c>
      <c r="K1471" s="169">
        <f t="shared" si="67"/>
        <v>0</v>
      </c>
      <c r="L1471" s="165">
        <v>1.1299999999999999</v>
      </c>
      <c r="M1471" s="151">
        <v>2</v>
      </c>
      <c r="N1471" s="151" t="str">
        <f t="shared" si="68"/>
        <v>No fit</v>
      </c>
      <c r="O1471" s="174" t="s">
        <v>7386</v>
      </c>
      <c r="P1471" s="174" t="s">
        <v>7342</v>
      </c>
    </row>
    <row r="1472" spans="1:16" ht="64.05" customHeight="1" x14ac:dyDescent="0.3">
      <c r="A1472" s="154" t="s">
        <v>8222</v>
      </c>
      <c r="B1472" s="154" t="s">
        <v>8206</v>
      </c>
      <c r="C1472" s="154" t="s">
        <v>114</v>
      </c>
      <c r="D1472" s="154">
        <v>2021</v>
      </c>
      <c r="E1472" s="154" t="s">
        <v>199</v>
      </c>
      <c r="F1472" s="173" t="s">
        <v>7388</v>
      </c>
      <c r="G1472" s="166">
        <f>FCCL!D99</f>
        <v>3471.3509999999992</v>
      </c>
      <c r="H1472" s="166">
        <f>AVERAGE(FCCL!C22,FCCL!D22)</f>
        <v>21641.245999999999</v>
      </c>
      <c r="I1472" s="164">
        <f t="shared" si="66"/>
        <v>0.16040439630878922</v>
      </c>
      <c r="J1472" s="164">
        <v>0.16040439630878922</v>
      </c>
      <c r="K1472" s="168">
        <f t="shared" si="67"/>
        <v>0</v>
      </c>
      <c r="L1472" s="164">
        <v>1.1299999999999999</v>
      </c>
      <c r="M1472" s="154">
        <v>2</v>
      </c>
      <c r="N1472" s="154" t="str">
        <f t="shared" si="68"/>
        <v>No fit</v>
      </c>
      <c r="O1472" s="173" t="s">
        <v>7389</v>
      </c>
      <c r="P1472" s="173" t="s">
        <v>7342</v>
      </c>
    </row>
    <row r="1473" spans="1:16" ht="64.05" customHeight="1" x14ac:dyDescent="0.3">
      <c r="A1473" s="151" t="s">
        <v>8223</v>
      </c>
      <c r="B1473" s="151" t="s">
        <v>8206</v>
      </c>
      <c r="C1473" s="151" t="s">
        <v>114</v>
      </c>
      <c r="D1473" s="151">
        <v>2021</v>
      </c>
      <c r="E1473" s="151" t="s">
        <v>199</v>
      </c>
      <c r="F1473" s="174" t="s">
        <v>7391</v>
      </c>
      <c r="G1473" s="167">
        <f>FCCL!D99</f>
        <v>3471.3509999999992</v>
      </c>
      <c r="H1473" s="167">
        <f>FCCL!D28</f>
        <v>21613.498999999996</v>
      </c>
      <c r="I1473" s="165">
        <f t="shared" si="66"/>
        <v>0.16061032042983878</v>
      </c>
      <c r="J1473" s="165">
        <v>0.16061032042983875</v>
      </c>
      <c r="K1473" s="169">
        <f t="shared" si="67"/>
        <v>0</v>
      </c>
      <c r="L1473" s="165">
        <v>1.1299999999999999</v>
      </c>
      <c r="M1473" s="151">
        <v>2</v>
      </c>
      <c r="N1473" s="151" t="str">
        <f t="shared" si="68"/>
        <v>No fit</v>
      </c>
      <c r="O1473" s="174" t="s">
        <v>7392</v>
      </c>
      <c r="P1473" s="174" t="s">
        <v>7342</v>
      </c>
    </row>
    <row r="1474" spans="1:16" ht="64.05" customHeight="1" x14ac:dyDescent="0.3">
      <c r="A1474" s="154" t="s">
        <v>8224</v>
      </c>
      <c r="B1474" s="154" t="s">
        <v>8206</v>
      </c>
      <c r="C1474" s="154" t="s">
        <v>114</v>
      </c>
      <c r="D1474" s="154">
        <v>2021</v>
      </c>
      <c r="E1474" s="154" t="s">
        <v>199</v>
      </c>
      <c r="F1474" s="173" t="s">
        <v>7394</v>
      </c>
      <c r="G1474" s="166">
        <f>FCCL!D99</f>
        <v>3471.3509999999992</v>
      </c>
      <c r="H1474" s="166">
        <f>AVERAGE(FCCL!C28,FCCL!D28)</f>
        <v>21919.046999999999</v>
      </c>
      <c r="I1474" s="164">
        <f t="shared" si="66"/>
        <v>0.15837143832028827</v>
      </c>
      <c r="J1474" s="164">
        <v>0.15837143832028827</v>
      </c>
      <c r="K1474" s="168">
        <f t="shared" si="67"/>
        <v>0</v>
      </c>
      <c r="L1474" s="164">
        <v>1.1299999999999999</v>
      </c>
      <c r="M1474" s="154">
        <v>2</v>
      </c>
      <c r="N1474" s="154" t="str">
        <f t="shared" si="68"/>
        <v>No fit</v>
      </c>
      <c r="O1474" s="173" t="s">
        <v>7395</v>
      </c>
      <c r="P1474" s="173" t="s">
        <v>7342</v>
      </c>
    </row>
    <row r="1475" spans="1:16" ht="64.05" customHeight="1" x14ac:dyDescent="0.3">
      <c r="A1475" s="151" t="s">
        <v>8225</v>
      </c>
      <c r="B1475" s="151" t="s">
        <v>8206</v>
      </c>
      <c r="C1475" s="151" t="s">
        <v>114</v>
      </c>
      <c r="D1475" s="151">
        <v>2021</v>
      </c>
      <c r="E1475" s="151" t="s">
        <v>199</v>
      </c>
      <c r="F1475" s="174" t="s">
        <v>7397</v>
      </c>
      <c r="G1475" s="167">
        <f>FCCL!D99</f>
        <v>3471.3509999999992</v>
      </c>
      <c r="H1475" s="167">
        <f>'Forensic Inputs'!$G$98</f>
        <v>38463.974999999999</v>
      </c>
      <c r="I1475" s="165">
        <f t="shared" si="66"/>
        <v>9.0249408699958844E-2</v>
      </c>
      <c r="J1475" s="165">
        <v>9.0249408699958844E-2</v>
      </c>
      <c r="K1475" s="169">
        <f t="shared" si="67"/>
        <v>0</v>
      </c>
      <c r="L1475" s="165">
        <v>1.1299999999999999</v>
      </c>
      <c r="M1475" s="151">
        <v>2</v>
      </c>
      <c r="N1475" s="151" t="str">
        <f t="shared" si="68"/>
        <v>No fit</v>
      </c>
      <c r="O1475" s="174" t="s">
        <v>7398</v>
      </c>
      <c r="P1475" s="174" t="s">
        <v>7342</v>
      </c>
    </row>
    <row r="1476" spans="1:16" ht="64.05" customHeight="1" x14ac:dyDescent="0.3">
      <c r="A1476" s="154" t="s">
        <v>8226</v>
      </c>
      <c r="B1476" s="154" t="s">
        <v>8206</v>
      </c>
      <c r="C1476" s="154" t="s">
        <v>114</v>
      </c>
      <c r="D1476" s="154">
        <v>2021</v>
      </c>
      <c r="E1476" s="154" t="s">
        <v>199</v>
      </c>
      <c r="F1476" s="173" t="s">
        <v>7400</v>
      </c>
      <c r="G1476" s="166">
        <f>FCCL!D99</f>
        <v>3471.3509999999992</v>
      </c>
      <c r="H1476" s="166">
        <f>('Forensic Inputs'!$G$98-FCCL!D21)</f>
        <v>38261.887999999999</v>
      </c>
      <c r="I1476" s="164">
        <f t="shared" si="66"/>
        <v>9.0726077082239107E-2</v>
      </c>
      <c r="J1476" s="164">
        <v>9.0726077082239107E-2</v>
      </c>
      <c r="K1476" s="168">
        <f t="shared" si="67"/>
        <v>0</v>
      </c>
      <c r="L1476" s="164">
        <v>1.1299999999999999</v>
      </c>
      <c r="M1476" s="154">
        <v>2</v>
      </c>
      <c r="N1476" s="154" t="str">
        <f t="shared" si="68"/>
        <v>No fit</v>
      </c>
      <c r="O1476" s="173" t="s">
        <v>7401</v>
      </c>
      <c r="P1476" s="173" t="s">
        <v>7342</v>
      </c>
    </row>
    <row r="1477" spans="1:16" ht="64.05" customHeight="1" x14ac:dyDescent="0.3">
      <c r="A1477" s="151" t="s">
        <v>8227</v>
      </c>
      <c r="B1477" s="151" t="s">
        <v>8206</v>
      </c>
      <c r="C1477" s="151" t="s">
        <v>114</v>
      </c>
      <c r="D1477" s="151">
        <v>2021</v>
      </c>
      <c r="E1477" s="151" t="s">
        <v>199</v>
      </c>
      <c r="F1477" s="174" t="s">
        <v>7406</v>
      </c>
      <c r="G1477" s="167">
        <f>FCCL!D96</f>
        <v>5107.6919999999991</v>
      </c>
      <c r="H1477" s="167">
        <f>FCCL!D37</f>
        <v>34052.231</v>
      </c>
      <c r="I1477" s="165">
        <f t="shared" si="66"/>
        <v>0.1499958108471659</v>
      </c>
      <c r="J1477" s="165">
        <v>0.1499958108471659</v>
      </c>
      <c r="K1477" s="169">
        <f t="shared" si="67"/>
        <v>0</v>
      </c>
      <c r="L1477" s="165">
        <v>1.1299999999999999</v>
      </c>
      <c r="M1477" s="151">
        <v>2</v>
      </c>
      <c r="N1477" s="151" t="str">
        <f t="shared" si="68"/>
        <v>No fit</v>
      </c>
      <c r="O1477" s="174" t="s">
        <v>7407</v>
      </c>
      <c r="P1477" s="174" t="s">
        <v>7342</v>
      </c>
    </row>
    <row r="1478" spans="1:16" ht="64.05" customHeight="1" x14ac:dyDescent="0.3">
      <c r="A1478" s="154" t="s">
        <v>8228</v>
      </c>
      <c r="B1478" s="154" t="s">
        <v>8206</v>
      </c>
      <c r="C1478" s="154" t="s">
        <v>114</v>
      </c>
      <c r="D1478" s="154">
        <v>2021</v>
      </c>
      <c r="E1478" s="154" t="s">
        <v>199</v>
      </c>
      <c r="F1478" s="173" t="s">
        <v>7409</v>
      </c>
      <c r="G1478" s="166">
        <f>FCCL!D96</f>
        <v>5107.6919999999991</v>
      </c>
      <c r="H1478" s="166">
        <f>AVERAGE(FCCL!C37,FCCL!D37)</f>
        <v>31630.073499999999</v>
      </c>
      <c r="I1478" s="164">
        <f t="shared" ref="I1478:I1541" si="69">G1478/H1478</f>
        <v>0.16148214135512517</v>
      </c>
      <c r="J1478" s="164">
        <v>0.16148214135512517</v>
      </c>
      <c r="K1478" s="168">
        <f t="shared" ref="K1478:K1541" si="70">I1478-J1478</f>
        <v>0</v>
      </c>
      <c r="L1478" s="164">
        <v>1.1299999999999999</v>
      </c>
      <c r="M1478" s="154">
        <v>2</v>
      </c>
      <c r="N1478" s="154" t="str">
        <f t="shared" ref="N1478:N1541" si="71">IF(ROUND(I1478,M1478)=ROUND(L1478,M1478),"Numeric fit","No fit")</f>
        <v>No fit</v>
      </c>
      <c r="O1478" s="173" t="s">
        <v>7410</v>
      </c>
      <c r="P1478" s="173" t="s">
        <v>7342</v>
      </c>
    </row>
    <row r="1479" spans="1:16" ht="64.05" customHeight="1" x14ac:dyDescent="0.3">
      <c r="A1479" s="151" t="s">
        <v>8229</v>
      </c>
      <c r="B1479" s="151" t="s">
        <v>8206</v>
      </c>
      <c r="C1479" s="151" t="s">
        <v>114</v>
      </c>
      <c r="D1479" s="151">
        <v>2021</v>
      </c>
      <c r="E1479" s="151" t="s">
        <v>199</v>
      </c>
      <c r="F1479" s="174" t="s">
        <v>7412</v>
      </c>
      <c r="G1479" s="167">
        <f>FCCL!D96</f>
        <v>5107.6919999999991</v>
      </c>
      <c r="H1479" s="167">
        <f>FCCL!D20</f>
        <v>21422.215</v>
      </c>
      <c r="I1479" s="165">
        <f t="shared" si="69"/>
        <v>0.23842968619258087</v>
      </c>
      <c r="J1479" s="165">
        <v>0.23842968619258087</v>
      </c>
      <c r="K1479" s="169">
        <f t="shared" si="70"/>
        <v>0</v>
      </c>
      <c r="L1479" s="165">
        <v>1.1299999999999999</v>
      </c>
      <c r="M1479" s="151">
        <v>2</v>
      </c>
      <c r="N1479" s="151" t="str">
        <f t="shared" si="71"/>
        <v>No fit</v>
      </c>
      <c r="O1479" s="174" t="s">
        <v>7413</v>
      </c>
      <c r="P1479" s="174" t="s">
        <v>7342</v>
      </c>
    </row>
    <row r="1480" spans="1:16" ht="64.05" customHeight="1" x14ac:dyDescent="0.3">
      <c r="A1480" s="154" t="s">
        <v>8230</v>
      </c>
      <c r="B1480" s="154" t="s">
        <v>8206</v>
      </c>
      <c r="C1480" s="154" t="s">
        <v>114</v>
      </c>
      <c r="D1480" s="154">
        <v>2021</v>
      </c>
      <c r="E1480" s="154" t="s">
        <v>199</v>
      </c>
      <c r="F1480" s="173" t="s">
        <v>7415</v>
      </c>
      <c r="G1480" s="166">
        <f>FCCL!D96</f>
        <v>5107.6919999999991</v>
      </c>
      <c r="H1480" s="166">
        <f>AVERAGE(FCCL!C20,FCCL!D20)</f>
        <v>21743.693500000001</v>
      </c>
      <c r="I1480" s="164">
        <f t="shared" si="69"/>
        <v>0.23490452530523384</v>
      </c>
      <c r="J1480" s="164">
        <v>0.23490452530523384</v>
      </c>
      <c r="K1480" s="168">
        <f t="shared" si="70"/>
        <v>0</v>
      </c>
      <c r="L1480" s="164">
        <v>1.1299999999999999</v>
      </c>
      <c r="M1480" s="154">
        <v>2</v>
      </c>
      <c r="N1480" s="154" t="str">
        <f t="shared" si="71"/>
        <v>No fit</v>
      </c>
      <c r="O1480" s="173" t="s">
        <v>7416</v>
      </c>
      <c r="P1480" s="173" t="s">
        <v>7342</v>
      </c>
    </row>
    <row r="1481" spans="1:16" ht="64.05" customHeight="1" x14ac:dyDescent="0.3">
      <c r="A1481" s="151" t="s">
        <v>8231</v>
      </c>
      <c r="B1481" s="151" t="s">
        <v>8206</v>
      </c>
      <c r="C1481" s="151" t="s">
        <v>114</v>
      </c>
      <c r="D1481" s="151">
        <v>2021</v>
      </c>
      <c r="E1481" s="151" t="s">
        <v>199</v>
      </c>
      <c r="F1481" s="174" t="s">
        <v>7418</v>
      </c>
      <c r="G1481" s="167">
        <f>FCCL!D96</f>
        <v>5107.6919999999991</v>
      </c>
      <c r="H1481" s="167">
        <f>FCCL!D22</f>
        <v>21220.128000000001</v>
      </c>
      <c r="I1481" s="165">
        <f t="shared" si="69"/>
        <v>0.24070033884809738</v>
      </c>
      <c r="J1481" s="165">
        <v>0.24070033884809738</v>
      </c>
      <c r="K1481" s="169">
        <f t="shared" si="70"/>
        <v>0</v>
      </c>
      <c r="L1481" s="165">
        <v>1.1299999999999999</v>
      </c>
      <c r="M1481" s="151">
        <v>2</v>
      </c>
      <c r="N1481" s="151" t="str">
        <f t="shared" si="71"/>
        <v>No fit</v>
      </c>
      <c r="O1481" s="174" t="s">
        <v>7419</v>
      </c>
      <c r="P1481" s="174" t="s">
        <v>7342</v>
      </c>
    </row>
    <row r="1482" spans="1:16" ht="64.05" customHeight="1" x14ac:dyDescent="0.3">
      <c r="A1482" s="154" t="s">
        <v>8232</v>
      </c>
      <c r="B1482" s="154" t="s">
        <v>8206</v>
      </c>
      <c r="C1482" s="154" t="s">
        <v>114</v>
      </c>
      <c r="D1482" s="154">
        <v>2021</v>
      </c>
      <c r="E1482" s="154" t="s">
        <v>199</v>
      </c>
      <c r="F1482" s="173" t="s">
        <v>7421</v>
      </c>
      <c r="G1482" s="166">
        <f>FCCL!D96</f>
        <v>5107.6919999999991</v>
      </c>
      <c r="H1482" s="166">
        <f>AVERAGE(FCCL!C22,FCCL!D22)</f>
        <v>21641.245999999999</v>
      </c>
      <c r="I1482" s="164">
        <f t="shared" si="69"/>
        <v>0.23601653989793375</v>
      </c>
      <c r="J1482" s="164">
        <v>0.23601653989793375</v>
      </c>
      <c r="K1482" s="168">
        <f t="shared" si="70"/>
        <v>0</v>
      </c>
      <c r="L1482" s="164">
        <v>1.1299999999999999</v>
      </c>
      <c r="M1482" s="154">
        <v>2</v>
      </c>
      <c r="N1482" s="154" t="str">
        <f t="shared" si="71"/>
        <v>No fit</v>
      </c>
      <c r="O1482" s="173" t="s">
        <v>7422</v>
      </c>
      <c r="P1482" s="173" t="s">
        <v>7342</v>
      </c>
    </row>
    <row r="1483" spans="1:16" ht="64.05" customHeight="1" x14ac:dyDescent="0.3">
      <c r="A1483" s="151" t="s">
        <v>8233</v>
      </c>
      <c r="B1483" s="151" t="s">
        <v>8206</v>
      </c>
      <c r="C1483" s="151" t="s">
        <v>114</v>
      </c>
      <c r="D1483" s="151">
        <v>2021</v>
      </c>
      <c r="E1483" s="151" t="s">
        <v>199</v>
      </c>
      <c r="F1483" s="174" t="s">
        <v>7424</v>
      </c>
      <c r="G1483" s="167">
        <f>FCCL!D96</f>
        <v>5107.6919999999991</v>
      </c>
      <c r="H1483" s="167">
        <f>FCCL!D28</f>
        <v>21613.498999999996</v>
      </c>
      <c r="I1483" s="165">
        <f t="shared" si="69"/>
        <v>0.23631953345453227</v>
      </c>
      <c r="J1483" s="165">
        <v>0.23631953345453224</v>
      </c>
      <c r="K1483" s="169">
        <f t="shared" si="70"/>
        <v>0</v>
      </c>
      <c r="L1483" s="165">
        <v>1.1299999999999999</v>
      </c>
      <c r="M1483" s="151">
        <v>2</v>
      </c>
      <c r="N1483" s="151" t="str">
        <f t="shared" si="71"/>
        <v>No fit</v>
      </c>
      <c r="O1483" s="174" t="s">
        <v>7425</v>
      </c>
      <c r="P1483" s="174" t="s">
        <v>7342</v>
      </c>
    </row>
    <row r="1484" spans="1:16" ht="64.05" customHeight="1" x14ac:dyDescent="0.3">
      <c r="A1484" s="154" t="s">
        <v>8234</v>
      </c>
      <c r="B1484" s="154" t="s">
        <v>8206</v>
      </c>
      <c r="C1484" s="154" t="s">
        <v>114</v>
      </c>
      <c r="D1484" s="154">
        <v>2021</v>
      </c>
      <c r="E1484" s="154" t="s">
        <v>199</v>
      </c>
      <c r="F1484" s="173" t="s">
        <v>7427</v>
      </c>
      <c r="G1484" s="166">
        <f>FCCL!D96</f>
        <v>5107.6919999999991</v>
      </c>
      <c r="H1484" s="166">
        <f>AVERAGE(FCCL!C28,FCCL!D28)</f>
        <v>21919.046999999999</v>
      </c>
      <c r="I1484" s="164">
        <f t="shared" si="69"/>
        <v>0.23302527705698151</v>
      </c>
      <c r="J1484" s="164">
        <v>0.23302527705698151</v>
      </c>
      <c r="K1484" s="168">
        <f t="shared" si="70"/>
        <v>0</v>
      </c>
      <c r="L1484" s="164">
        <v>1.1299999999999999</v>
      </c>
      <c r="M1484" s="154">
        <v>2</v>
      </c>
      <c r="N1484" s="154" t="str">
        <f t="shared" si="71"/>
        <v>No fit</v>
      </c>
      <c r="O1484" s="173" t="s">
        <v>7428</v>
      </c>
      <c r="P1484" s="173" t="s">
        <v>7342</v>
      </c>
    </row>
    <row r="1485" spans="1:16" ht="64.05" customHeight="1" x14ac:dyDescent="0.3">
      <c r="A1485" s="151" t="s">
        <v>8235</v>
      </c>
      <c r="B1485" s="151" t="s">
        <v>8206</v>
      </c>
      <c r="C1485" s="151" t="s">
        <v>114</v>
      </c>
      <c r="D1485" s="151">
        <v>2021</v>
      </c>
      <c r="E1485" s="151" t="s">
        <v>199</v>
      </c>
      <c r="F1485" s="174" t="s">
        <v>7430</v>
      </c>
      <c r="G1485" s="167">
        <f>FCCL!D96</f>
        <v>5107.6919999999991</v>
      </c>
      <c r="H1485" s="167">
        <f>'Forensic Inputs'!$G$98</f>
        <v>38463.974999999999</v>
      </c>
      <c r="I1485" s="165">
        <f t="shared" si="69"/>
        <v>0.13279157965342894</v>
      </c>
      <c r="J1485" s="165">
        <v>0.13279157965342894</v>
      </c>
      <c r="K1485" s="169">
        <f t="shared" si="70"/>
        <v>0</v>
      </c>
      <c r="L1485" s="165">
        <v>1.1299999999999999</v>
      </c>
      <c r="M1485" s="151">
        <v>2</v>
      </c>
      <c r="N1485" s="151" t="str">
        <f t="shared" si="71"/>
        <v>No fit</v>
      </c>
      <c r="O1485" s="174" t="s">
        <v>7431</v>
      </c>
      <c r="P1485" s="174" t="s">
        <v>7342</v>
      </c>
    </row>
    <row r="1486" spans="1:16" ht="64.05" customHeight="1" x14ac:dyDescent="0.3">
      <c r="A1486" s="154" t="s">
        <v>8236</v>
      </c>
      <c r="B1486" s="154" t="s">
        <v>8206</v>
      </c>
      <c r="C1486" s="154" t="s">
        <v>114</v>
      </c>
      <c r="D1486" s="154">
        <v>2021</v>
      </c>
      <c r="E1486" s="154" t="s">
        <v>199</v>
      </c>
      <c r="F1486" s="173" t="s">
        <v>7433</v>
      </c>
      <c r="G1486" s="166">
        <f>FCCL!D96</f>
        <v>5107.6919999999991</v>
      </c>
      <c r="H1486" s="166">
        <f>('Forensic Inputs'!$G$98-FCCL!D21)</f>
        <v>38261.887999999999</v>
      </c>
      <c r="I1486" s="164">
        <f t="shared" si="69"/>
        <v>0.13349294211514076</v>
      </c>
      <c r="J1486" s="164">
        <v>0.13349294211514076</v>
      </c>
      <c r="K1486" s="168">
        <f t="shared" si="70"/>
        <v>0</v>
      </c>
      <c r="L1486" s="164">
        <v>1.1299999999999999</v>
      </c>
      <c r="M1486" s="154">
        <v>2</v>
      </c>
      <c r="N1486" s="154" t="str">
        <f t="shared" si="71"/>
        <v>No fit</v>
      </c>
      <c r="O1486" s="173" t="s">
        <v>7434</v>
      </c>
      <c r="P1486" s="173" t="s">
        <v>7342</v>
      </c>
    </row>
    <row r="1487" spans="1:16" ht="64.05" customHeight="1" x14ac:dyDescent="0.3">
      <c r="A1487" s="151" t="s">
        <v>8237</v>
      </c>
      <c r="B1487" s="151" t="s">
        <v>8206</v>
      </c>
      <c r="C1487" s="151" t="s">
        <v>114</v>
      </c>
      <c r="D1487" s="151">
        <v>2021</v>
      </c>
      <c r="E1487" s="151" t="s">
        <v>199</v>
      </c>
      <c r="F1487" s="174" t="s">
        <v>7439</v>
      </c>
      <c r="G1487" s="167">
        <f>FCCL!D108</f>
        <v>5217.3149999999987</v>
      </c>
      <c r="H1487" s="167">
        <f>FCCL!D37</f>
        <v>34052.231</v>
      </c>
      <c r="I1487" s="165">
        <f t="shared" si="69"/>
        <v>0.15321507128270095</v>
      </c>
      <c r="J1487" s="165">
        <v>0.15321507128270095</v>
      </c>
      <c r="K1487" s="169">
        <f t="shared" si="70"/>
        <v>0</v>
      </c>
      <c r="L1487" s="165">
        <v>1.1299999999999999</v>
      </c>
      <c r="M1487" s="151">
        <v>2</v>
      </c>
      <c r="N1487" s="151" t="str">
        <f t="shared" si="71"/>
        <v>No fit</v>
      </c>
      <c r="O1487" s="174" t="s">
        <v>7440</v>
      </c>
      <c r="P1487" s="174" t="s">
        <v>7342</v>
      </c>
    </row>
    <row r="1488" spans="1:16" ht="64.05" customHeight="1" x14ac:dyDescent="0.3">
      <c r="A1488" s="154" t="s">
        <v>8238</v>
      </c>
      <c r="B1488" s="154" t="s">
        <v>8206</v>
      </c>
      <c r="C1488" s="154" t="s">
        <v>114</v>
      </c>
      <c r="D1488" s="154">
        <v>2021</v>
      </c>
      <c r="E1488" s="154" t="s">
        <v>199</v>
      </c>
      <c r="F1488" s="173" t="s">
        <v>7442</v>
      </c>
      <c r="G1488" s="166">
        <f>FCCL!D108</f>
        <v>5217.3149999999987</v>
      </c>
      <c r="H1488" s="166">
        <f>AVERAGE(FCCL!C37,FCCL!D37)</f>
        <v>31630.073499999999</v>
      </c>
      <c r="I1488" s="164">
        <f t="shared" si="69"/>
        <v>0.16494792527118216</v>
      </c>
      <c r="J1488" s="164">
        <v>0.16494792527118216</v>
      </c>
      <c r="K1488" s="168">
        <f t="shared" si="70"/>
        <v>0</v>
      </c>
      <c r="L1488" s="164">
        <v>1.1299999999999999</v>
      </c>
      <c r="M1488" s="154">
        <v>2</v>
      </c>
      <c r="N1488" s="154" t="str">
        <f t="shared" si="71"/>
        <v>No fit</v>
      </c>
      <c r="O1488" s="173" t="s">
        <v>7443</v>
      </c>
      <c r="P1488" s="173" t="s">
        <v>7342</v>
      </c>
    </row>
    <row r="1489" spans="1:16" ht="64.05" customHeight="1" x14ac:dyDescent="0.3">
      <c r="A1489" s="151" t="s">
        <v>8239</v>
      </c>
      <c r="B1489" s="151" t="s">
        <v>8206</v>
      </c>
      <c r="C1489" s="151" t="s">
        <v>114</v>
      </c>
      <c r="D1489" s="151">
        <v>2021</v>
      </c>
      <c r="E1489" s="151" t="s">
        <v>199</v>
      </c>
      <c r="F1489" s="174" t="s">
        <v>7445</v>
      </c>
      <c r="G1489" s="167">
        <f>FCCL!D108</f>
        <v>5217.3149999999987</v>
      </c>
      <c r="H1489" s="167">
        <f>FCCL!D20</f>
        <v>21422.215</v>
      </c>
      <c r="I1489" s="165">
        <f t="shared" si="69"/>
        <v>0.2435469441418639</v>
      </c>
      <c r="J1489" s="165">
        <v>0.2435469441418639</v>
      </c>
      <c r="K1489" s="169">
        <f t="shared" si="70"/>
        <v>0</v>
      </c>
      <c r="L1489" s="165">
        <v>1.1299999999999999</v>
      </c>
      <c r="M1489" s="151">
        <v>2</v>
      </c>
      <c r="N1489" s="151" t="str">
        <f t="shared" si="71"/>
        <v>No fit</v>
      </c>
      <c r="O1489" s="174" t="s">
        <v>7446</v>
      </c>
      <c r="P1489" s="174" t="s">
        <v>7342</v>
      </c>
    </row>
    <row r="1490" spans="1:16" ht="64.05" customHeight="1" x14ac:dyDescent="0.3">
      <c r="A1490" s="154" t="s">
        <v>8240</v>
      </c>
      <c r="B1490" s="154" t="s">
        <v>8206</v>
      </c>
      <c r="C1490" s="154" t="s">
        <v>114</v>
      </c>
      <c r="D1490" s="154">
        <v>2021</v>
      </c>
      <c r="E1490" s="154" t="s">
        <v>199</v>
      </c>
      <c r="F1490" s="173" t="s">
        <v>7448</v>
      </c>
      <c r="G1490" s="166">
        <f>FCCL!D108</f>
        <v>5217.3149999999987</v>
      </c>
      <c r="H1490" s="166">
        <f>AVERAGE(FCCL!C20,FCCL!D20)</f>
        <v>21743.693500000001</v>
      </c>
      <c r="I1490" s="164">
        <f t="shared" si="69"/>
        <v>0.23994612506840193</v>
      </c>
      <c r="J1490" s="164">
        <v>0.23994612506840193</v>
      </c>
      <c r="K1490" s="168">
        <f t="shared" si="70"/>
        <v>0</v>
      </c>
      <c r="L1490" s="164">
        <v>1.1299999999999999</v>
      </c>
      <c r="M1490" s="154">
        <v>2</v>
      </c>
      <c r="N1490" s="154" t="str">
        <f t="shared" si="71"/>
        <v>No fit</v>
      </c>
      <c r="O1490" s="173" t="s">
        <v>7449</v>
      </c>
      <c r="P1490" s="173" t="s">
        <v>7342</v>
      </c>
    </row>
    <row r="1491" spans="1:16" ht="64.05" customHeight="1" x14ac:dyDescent="0.3">
      <c r="A1491" s="151" t="s">
        <v>8241</v>
      </c>
      <c r="B1491" s="151" t="s">
        <v>8206</v>
      </c>
      <c r="C1491" s="151" t="s">
        <v>114</v>
      </c>
      <c r="D1491" s="151">
        <v>2021</v>
      </c>
      <c r="E1491" s="151" t="s">
        <v>199</v>
      </c>
      <c r="F1491" s="174" t="s">
        <v>7451</v>
      </c>
      <c r="G1491" s="167">
        <f>FCCL!D108</f>
        <v>5217.3149999999987</v>
      </c>
      <c r="H1491" s="167">
        <f>FCCL!D22</f>
        <v>21220.128000000001</v>
      </c>
      <c r="I1491" s="165">
        <f t="shared" si="69"/>
        <v>0.24586633030677282</v>
      </c>
      <c r="J1491" s="165">
        <v>0.24586633030677282</v>
      </c>
      <c r="K1491" s="169">
        <f t="shared" si="70"/>
        <v>0</v>
      </c>
      <c r="L1491" s="165">
        <v>1.1299999999999999</v>
      </c>
      <c r="M1491" s="151">
        <v>2</v>
      </c>
      <c r="N1491" s="151" t="str">
        <f t="shared" si="71"/>
        <v>No fit</v>
      </c>
      <c r="O1491" s="174" t="s">
        <v>7452</v>
      </c>
      <c r="P1491" s="174" t="s">
        <v>7342</v>
      </c>
    </row>
    <row r="1492" spans="1:16" ht="64.05" customHeight="1" x14ac:dyDescent="0.3">
      <c r="A1492" s="154" t="s">
        <v>8242</v>
      </c>
      <c r="B1492" s="154" t="s">
        <v>8206</v>
      </c>
      <c r="C1492" s="154" t="s">
        <v>114</v>
      </c>
      <c r="D1492" s="154">
        <v>2021</v>
      </c>
      <c r="E1492" s="154" t="s">
        <v>199</v>
      </c>
      <c r="F1492" s="173" t="s">
        <v>7454</v>
      </c>
      <c r="G1492" s="166">
        <f>FCCL!D108</f>
        <v>5217.3149999999987</v>
      </c>
      <c r="H1492" s="166">
        <f>AVERAGE(FCCL!C22,FCCL!D22)</f>
        <v>21641.245999999999</v>
      </c>
      <c r="I1492" s="164">
        <f t="shared" si="69"/>
        <v>0.24108200609151612</v>
      </c>
      <c r="J1492" s="164">
        <v>0.24108200609151612</v>
      </c>
      <c r="K1492" s="168">
        <f t="shared" si="70"/>
        <v>0</v>
      </c>
      <c r="L1492" s="164">
        <v>1.1299999999999999</v>
      </c>
      <c r="M1492" s="154">
        <v>2</v>
      </c>
      <c r="N1492" s="154" t="str">
        <f t="shared" si="71"/>
        <v>No fit</v>
      </c>
      <c r="O1492" s="173" t="s">
        <v>7455</v>
      </c>
      <c r="P1492" s="173" t="s">
        <v>7342</v>
      </c>
    </row>
    <row r="1493" spans="1:16" ht="64.05" customHeight="1" x14ac:dyDescent="0.3">
      <c r="A1493" s="151" t="s">
        <v>8243</v>
      </c>
      <c r="B1493" s="151" t="s">
        <v>8206</v>
      </c>
      <c r="C1493" s="151" t="s">
        <v>114</v>
      </c>
      <c r="D1493" s="151">
        <v>2021</v>
      </c>
      <c r="E1493" s="151" t="s">
        <v>199</v>
      </c>
      <c r="F1493" s="174" t="s">
        <v>7457</v>
      </c>
      <c r="G1493" s="167">
        <f>FCCL!D108</f>
        <v>5217.3149999999987</v>
      </c>
      <c r="H1493" s="167">
        <f>FCCL!D28</f>
        <v>21613.498999999996</v>
      </c>
      <c r="I1493" s="165">
        <f t="shared" si="69"/>
        <v>0.24139150259752018</v>
      </c>
      <c r="J1493" s="165">
        <v>0.24139150259752012</v>
      </c>
      <c r="K1493" s="169">
        <f t="shared" si="70"/>
        <v>0</v>
      </c>
      <c r="L1493" s="165">
        <v>1.1299999999999999</v>
      </c>
      <c r="M1493" s="151">
        <v>2</v>
      </c>
      <c r="N1493" s="151" t="str">
        <f t="shared" si="71"/>
        <v>No fit</v>
      </c>
      <c r="O1493" s="174" t="s">
        <v>7458</v>
      </c>
      <c r="P1493" s="174" t="s">
        <v>7342</v>
      </c>
    </row>
    <row r="1494" spans="1:16" ht="64.05" customHeight="1" x14ac:dyDescent="0.3">
      <c r="A1494" s="154" t="s">
        <v>8244</v>
      </c>
      <c r="B1494" s="154" t="s">
        <v>8206</v>
      </c>
      <c r="C1494" s="154" t="s">
        <v>114</v>
      </c>
      <c r="D1494" s="154">
        <v>2021</v>
      </c>
      <c r="E1494" s="154" t="s">
        <v>199</v>
      </c>
      <c r="F1494" s="173" t="s">
        <v>7460</v>
      </c>
      <c r="G1494" s="166">
        <f>FCCL!D108</f>
        <v>5217.3149999999987</v>
      </c>
      <c r="H1494" s="166">
        <f>AVERAGE(FCCL!C28,FCCL!D28)</f>
        <v>21919.046999999999</v>
      </c>
      <c r="I1494" s="164">
        <f t="shared" si="69"/>
        <v>0.23802654376351304</v>
      </c>
      <c r="J1494" s="164">
        <v>0.23802654376351304</v>
      </c>
      <c r="K1494" s="168">
        <f t="shared" si="70"/>
        <v>0</v>
      </c>
      <c r="L1494" s="164">
        <v>1.1299999999999999</v>
      </c>
      <c r="M1494" s="154">
        <v>2</v>
      </c>
      <c r="N1494" s="154" t="str">
        <f t="shared" si="71"/>
        <v>No fit</v>
      </c>
      <c r="O1494" s="173" t="s">
        <v>7461</v>
      </c>
      <c r="P1494" s="173" t="s">
        <v>7342</v>
      </c>
    </row>
    <row r="1495" spans="1:16" ht="64.05" customHeight="1" x14ac:dyDescent="0.3">
      <c r="A1495" s="151" t="s">
        <v>8245</v>
      </c>
      <c r="B1495" s="151" t="s">
        <v>8206</v>
      </c>
      <c r="C1495" s="151" t="s">
        <v>114</v>
      </c>
      <c r="D1495" s="151">
        <v>2021</v>
      </c>
      <c r="E1495" s="151" t="s">
        <v>199</v>
      </c>
      <c r="F1495" s="174" t="s">
        <v>7463</v>
      </c>
      <c r="G1495" s="167">
        <f>FCCL!D108</f>
        <v>5217.3149999999987</v>
      </c>
      <c r="H1495" s="167">
        <f>'Forensic Inputs'!$G$98</f>
        <v>38463.974999999999</v>
      </c>
      <c r="I1495" s="165">
        <f t="shared" si="69"/>
        <v>0.13564159710482337</v>
      </c>
      <c r="J1495" s="165">
        <v>0.13564159710482337</v>
      </c>
      <c r="K1495" s="169">
        <f t="shared" si="70"/>
        <v>0</v>
      </c>
      <c r="L1495" s="165">
        <v>1.1299999999999999</v>
      </c>
      <c r="M1495" s="151">
        <v>2</v>
      </c>
      <c r="N1495" s="151" t="str">
        <f t="shared" si="71"/>
        <v>No fit</v>
      </c>
      <c r="O1495" s="174" t="s">
        <v>7464</v>
      </c>
      <c r="P1495" s="174" t="s">
        <v>7342</v>
      </c>
    </row>
    <row r="1496" spans="1:16" ht="64.05" customHeight="1" x14ac:dyDescent="0.3">
      <c r="A1496" s="154" t="s">
        <v>8246</v>
      </c>
      <c r="B1496" s="154" t="s">
        <v>8206</v>
      </c>
      <c r="C1496" s="154" t="s">
        <v>114</v>
      </c>
      <c r="D1496" s="154">
        <v>2021</v>
      </c>
      <c r="E1496" s="154" t="s">
        <v>199</v>
      </c>
      <c r="F1496" s="173" t="s">
        <v>7466</v>
      </c>
      <c r="G1496" s="166">
        <f>FCCL!D108</f>
        <v>5217.3149999999987</v>
      </c>
      <c r="H1496" s="166">
        <f>('Forensic Inputs'!$G$98-FCCL!D21)</f>
        <v>38261.887999999999</v>
      </c>
      <c r="I1496" s="164">
        <f t="shared" si="69"/>
        <v>0.13635801244308693</v>
      </c>
      <c r="J1496" s="164">
        <v>0.13635801244308693</v>
      </c>
      <c r="K1496" s="168">
        <f t="shared" si="70"/>
        <v>0</v>
      </c>
      <c r="L1496" s="164">
        <v>1.1299999999999999</v>
      </c>
      <c r="M1496" s="154">
        <v>2</v>
      </c>
      <c r="N1496" s="154" t="str">
        <f t="shared" si="71"/>
        <v>No fit</v>
      </c>
      <c r="O1496" s="173" t="s">
        <v>7467</v>
      </c>
      <c r="P1496" s="173" t="s">
        <v>7342</v>
      </c>
    </row>
    <row r="1497" spans="1:16" ht="64.05" customHeight="1" x14ac:dyDescent="0.3">
      <c r="A1497" s="151" t="s">
        <v>8247</v>
      </c>
      <c r="B1497" s="151" t="s">
        <v>8206</v>
      </c>
      <c r="C1497" s="151" t="s">
        <v>114</v>
      </c>
      <c r="D1497" s="151">
        <v>2021</v>
      </c>
      <c r="E1497" s="151" t="s">
        <v>199</v>
      </c>
      <c r="F1497" s="174" t="s">
        <v>7472</v>
      </c>
      <c r="G1497" s="167">
        <f>FCCL!D91</f>
        <v>4972.2129999999988</v>
      </c>
      <c r="H1497" s="167">
        <f>FCCL!D37</f>
        <v>34052.231</v>
      </c>
      <c r="I1497" s="165">
        <f t="shared" si="69"/>
        <v>0.14601724627088308</v>
      </c>
      <c r="J1497" s="165">
        <v>0.14601724627088308</v>
      </c>
      <c r="K1497" s="169">
        <f t="shared" si="70"/>
        <v>0</v>
      </c>
      <c r="L1497" s="165">
        <v>1.1299999999999999</v>
      </c>
      <c r="M1497" s="151">
        <v>2</v>
      </c>
      <c r="N1497" s="151" t="str">
        <f t="shared" si="71"/>
        <v>No fit</v>
      </c>
      <c r="O1497" s="174" t="s">
        <v>7473</v>
      </c>
      <c r="P1497" s="174" t="s">
        <v>7342</v>
      </c>
    </row>
    <row r="1498" spans="1:16" ht="64.05" customHeight="1" x14ac:dyDescent="0.3">
      <c r="A1498" s="154" t="s">
        <v>8248</v>
      </c>
      <c r="B1498" s="154" t="s">
        <v>8206</v>
      </c>
      <c r="C1498" s="154" t="s">
        <v>114</v>
      </c>
      <c r="D1498" s="154">
        <v>2021</v>
      </c>
      <c r="E1498" s="154" t="s">
        <v>199</v>
      </c>
      <c r="F1498" s="173" t="s">
        <v>7475</v>
      </c>
      <c r="G1498" s="166">
        <f>FCCL!D91</f>
        <v>4972.2129999999988</v>
      </c>
      <c r="H1498" s="166">
        <f>AVERAGE(FCCL!C37,FCCL!D37)</f>
        <v>31630.073499999999</v>
      </c>
      <c r="I1498" s="164">
        <f t="shared" si="69"/>
        <v>0.15719890755233304</v>
      </c>
      <c r="J1498" s="164">
        <v>0.15719890755233304</v>
      </c>
      <c r="K1498" s="168">
        <f t="shared" si="70"/>
        <v>0</v>
      </c>
      <c r="L1498" s="164">
        <v>1.1299999999999999</v>
      </c>
      <c r="M1498" s="154">
        <v>2</v>
      </c>
      <c r="N1498" s="154" t="str">
        <f t="shared" si="71"/>
        <v>No fit</v>
      </c>
      <c r="O1498" s="173" t="s">
        <v>7476</v>
      </c>
      <c r="P1498" s="173" t="s">
        <v>7342</v>
      </c>
    </row>
    <row r="1499" spans="1:16" ht="64.05" customHeight="1" x14ac:dyDescent="0.3">
      <c r="A1499" s="151" t="s">
        <v>8249</v>
      </c>
      <c r="B1499" s="151" t="s">
        <v>8206</v>
      </c>
      <c r="C1499" s="151" t="s">
        <v>114</v>
      </c>
      <c r="D1499" s="151">
        <v>2021</v>
      </c>
      <c r="E1499" s="151" t="s">
        <v>199</v>
      </c>
      <c r="F1499" s="174" t="s">
        <v>7478</v>
      </c>
      <c r="G1499" s="167">
        <f>FCCL!D91</f>
        <v>4972.2129999999988</v>
      </c>
      <c r="H1499" s="167">
        <f>FCCL!D20</f>
        <v>21422.215</v>
      </c>
      <c r="I1499" s="165">
        <f t="shared" si="69"/>
        <v>0.23210545688202638</v>
      </c>
      <c r="J1499" s="165">
        <v>0.23210545688202638</v>
      </c>
      <c r="K1499" s="169">
        <f t="shared" si="70"/>
        <v>0</v>
      </c>
      <c r="L1499" s="165">
        <v>1.1299999999999999</v>
      </c>
      <c r="M1499" s="151">
        <v>2</v>
      </c>
      <c r="N1499" s="151" t="str">
        <f t="shared" si="71"/>
        <v>No fit</v>
      </c>
      <c r="O1499" s="174" t="s">
        <v>7479</v>
      </c>
      <c r="P1499" s="174" t="s">
        <v>7342</v>
      </c>
    </row>
    <row r="1500" spans="1:16" ht="64.05" customHeight="1" x14ac:dyDescent="0.3">
      <c r="A1500" s="154" t="s">
        <v>8250</v>
      </c>
      <c r="B1500" s="154" t="s">
        <v>8206</v>
      </c>
      <c r="C1500" s="154" t="s">
        <v>114</v>
      </c>
      <c r="D1500" s="154">
        <v>2021</v>
      </c>
      <c r="E1500" s="154" t="s">
        <v>199</v>
      </c>
      <c r="F1500" s="173" t="s">
        <v>7481</v>
      </c>
      <c r="G1500" s="166">
        <f>FCCL!D91</f>
        <v>4972.2129999999988</v>
      </c>
      <c r="H1500" s="166">
        <f>AVERAGE(FCCL!C20,FCCL!D20)</f>
        <v>21743.693500000001</v>
      </c>
      <c r="I1500" s="164">
        <f t="shared" si="69"/>
        <v>0.22867379914088645</v>
      </c>
      <c r="J1500" s="164">
        <v>0.22867379914088645</v>
      </c>
      <c r="K1500" s="168">
        <f t="shared" si="70"/>
        <v>0</v>
      </c>
      <c r="L1500" s="164">
        <v>1.1299999999999999</v>
      </c>
      <c r="M1500" s="154">
        <v>2</v>
      </c>
      <c r="N1500" s="154" t="str">
        <f t="shared" si="71"/>
        <v>No fit</v>
      </c>
      <c r="O1500" s="173" t="s">
        <v>7482</v>
      </c>
      <c r="P1500" s="173" t="s">
        <v>7342</v>
      </c>
    </row>
    <row r="1501" spans="1:16" ht="64.05" customHeight="1" x14ac:dyDescent="0.3">
      <c r="A1501" s="151" t="s">
        <v>8251</v>
      </c>
      <c r="B1501" s="151" t="s">
        <v>8206</v>
      </c>
      <c r="C1501" s="151" t="s">
        <v>114</v>
      </c>
      <c r="D1501" s="151">
        <v>2021</v>
      </c>
      <c r="E1501" s="151" t="s">
        <v>199</v>
      </c>
      <c r="F1501" s="174" t="s">
        <v>7484</v>
      </c>
      <c r="G1501" s="167">
        <f>FCCL!D91</f>
        <v>4972.2129999999988</v>
      </c>
      <c r="H1501" s="167">
        <f>FCCL!D22</f>
        <v>21220.128000000001</v>
      </c>
      <c r="I1501" s="165">
        <f t="shared" si="69"/>
        <v>0.23431588160071412</v>
      </c>
      <c r="J1501" s="165">
        <v>0.23431588160071412</v>
      </c>
      <c r="K1501" s="169">
        <f t="shared" si="70"/>
        <v>0</v>
      </c>
      <c r="L1501" s="165">
        <v>1.1299999999999999</v>
      </c>
      <c r="M1501" s="151">
        <v>2</v>
      </c>
      <c r="N1501" s="151" t="str">
        <f t="shared" si="71"/>
        <v>No fit</v>
      </c>
      <c r="O1501" s="174" t="s">
        <v>7485</v>
      </c>
      <c r="P1501" s="174" t="s">
        <v>7342</v>
      </c>
    </row>
    <row r="1502" spans="1:16" ht="64.05" customHeight="1" x14ac:dyDescent="0.3">
      <c r="A1502" s="154" t="s">
        <v>8252</v>
      </c>
      <c r="B1502" s="154" t="s">
        <v>8206</v>
      </c>
      <c r="C1502" s="154" t="s">
        <v>114</v>
      </c>
      <c r="D1502" s="154">
        <v>2021</v>
      </c>
      <c r="E1502" s="154" t="s">
        <v>199</v>
      </c>
      <c r="F1502" s="173" t="s">
        <v>7487</v>
      </c>
      <c r="G1502" s="166">
        <f>FCCL!D91</f>
        <v>4972.2129999999988</v>
      </c>
      <c r="H1502" s="166">
        <f>AVERAGE(FCCL!C22,FCCL!D22)</f>
        <v>21641.245999999999</v>
      </c>
      <c r="I1502" s="164">
        <f t="shared" si="69"/>
        <v>0.22975631809739602</v>
      </c>
      <c r="J1502" s="164">
        <v>0.22975631809739602</v>
      </c>
      <c r="K1502" s="168">
        <f t="shared" si="70"/>
        <v>0</v>
      </c>
      <c r="L1502" s="164">
        <v>1.1299999999999999</v>
      </c>
      <c r="M1502" s="154">
        <v>2</v>
      </c>
      <c r="N1502" s="154" t="str">
        <f t="shared" si="71"/>
        <v>No fit</v>
      </c>
      <c r="O1502" s="173" t="s">
        <v>7488</v>
      </c>
      <c r="P1502" s="173" t="s">
        <v>7342</v>
      </c>
    </row>
    <row r="1503" spans="1:16" ht="64.05" customHeight="1" x14ac:dyDescent="0.3">
      <c r="A1503" s="151" t="s">
        <v>8253</v>
      </c>
      <c r="B1503" s="151" t="s">
        <v>8206</v>
      </c>
      <c r="C1503" s="151" t="s">
        <v>114</v>
      </c>
      <c r="D1503" s="151">
        <v>2021</v>
      </c>
      <c r="E1503" s="151" t="s">
        <v>199</v>
      </c>
      <c r="F1503" s="174" t="s">
        <v>7490</v>
      </c>
      <c r="G1503" s="167">
        <f>FCCL!D91</f>
        <v>4972.2129999999988</v>
      </c>
      <c r="H1503" s="167">
        <f>FCCL!D28</f>
        <v>21613.498999999996</v>
      </c>
      <c r="I1503" s="165">
        <f t="shared" si="69"/>
        <v>0.23005127490000576</v>
      </c>
      <c r="J1503" s="165">
        <v>0.23005127490000574</v>
      </c>
      <c r="K1503" s="169">
        <f t="shared" si="70"/>
        <v>0</v>
      </c>
      <c r="L1503" s="165">
        <v>1.1299999999999999</v>
      </c>
      <c r="M1503" s="151">
        <v>2</v>
      </c>
      <c r="N1503" s="151" t="str">
        <f t="shared" si="71"/>
        <v>No fit</v>
      </c>
      <c r="O1503" s="174" t="s">
        <v>7491</v>
      </c>
      <c r="P1503" s="174" t="s">
        <v>7342</v>
      </c>
    </row>
    <row r="1504" spans="1:16" ht="64.05" customHeight="1" x14ac:dyDescent="0.3">
      <c r="A1504" s="154" t="s">
        <v>8254</v>
      </c>
      <c r="B1504" s="154" t="s">
        <v>8206</v>
      </c>
      <c r="C1504" s="154" t="s">
        <v>114</v>
      </c>
      <c r="D1504" s="154">
        <v>2021</v>
      </c>
      <c r="E1504" s="154" t="s">
        <v>199</v>
      </c>
      <c r="F1504" s="173" t="s">
        <v>7493</v>
      </c>
      <c r="G1504" s="166">
        <f>FCCL!D91</f>
        <v>4972.2129999999988</v>
      </c>
      <c r="H1504" s="166">
        <f>AVERAGE(FCCL!C28,FCCL!D28)</f>
        <v>21919.046999999999</v>
      </c>
      <c r="I1504" s="164">
        <f t="shared" si="69"/>
        <v>0.22684439702145806</v>
      </c>
      <c r="J1504" s="164">
        <v>0.22684439702145806</v>
      </c>
      <c r="K1504" s="168">
        <f t="shared" si="70"/>
        <v>0</v>
      </c>
      <c r="L1504" s="164">
        <v>1.1299999999999999</v>
      </c>
      <c r="M1504" s="154">
        <v>2</v>
      </c>
      <c r="N1504" s="154" t="str">
        <f t="shared" si="71"/>
        <v>No fit</v>
      </c>
      <c r="O1504" s="173" t="s">
        <v>7494</v>
      </c>
      <c r="P1504" s="173" t="s">
        <v>7342</v>
      </c>
    </row>
    <row r="1505" spans="1:16" ht="64.05" customHeight="1" x14ac:dyDescent="0.3">
      <c r="A1505" s="151" t="s">
        <v>8255</v>
      </c>
      <c r="B1505" s="151" t="s">
        <v>8206</v>
      </c>
      <c r="C1505" s="151" t="s">
        <v>114</v>
      </c>
      <c r="D1505" s="151">
        <v>2021</v>
      </c>
      <c r="E1505" s="151" t="s">
        <v>199</v>
      </c>
      <c r="F1505" s="174" t="s">
        <v>7496</v>
      </c>
      <c r="G1505" s="167">
        <f>FCCL!D91</f>
        <v>4972.2129999999988</v>
      </c>
      <c r="H1505" s="167">
        <f>'Forensic Inputs'!$G$98</f>
        <v>38463.974999999999</v>
      </c>
      <c r="I1505" s="165">
        <f t="shared" si="69"/>
        <v>0.12926934878675433</v>
      </c>
      <c r="J1505" s="165">
        <v>0.12926934878675433</v>
      </c>
      <c r="K1505" s="169">
        <f t="shared" si="70"/>
        <v>0</v>
      </c>
      <c r="L1505" s="165">
        <v>1.1299999999999999</v>
      </c>
      <c r="M1505" s="151">
        <v>2</v>
      </c>
      <c r="N1505" s="151" t="str">
        <f t="shared" si="71"/>
        <v>No fit</v>
      </c>
      <c r="O1505" s="174" t="s">
        <v>7497</v>
      </c>
      <c r="P1505" s="174" t="s">
        <v>7342</v>
      </c>
    </row>
    <row r="1506" spans="1:16" ht="64.05" customHeight="1" x14ac:dyDescent="0.3">
      <c r="A1506" s="154" t="s">
        <v>8256</v>
      </c>
      <c r="B1506" s="154" t="s">
        <v>8206</v>
      </c>
      <c r="C1506" s="154" t="s">
        <v>114</v>
      </c>
      <c r="D1506" s="154">
        <v>2021</v>
      </c>
      <c r="E1506" s="154" t="s">
        <v>199</v>
      </c>
      <c r="F1506" s="173" t="s">
        <v>7499</v>
      </c>
      <c r="G1506" s="166">
        <f>FCCL!D91</f>
        <v>4972.2129999999988</v>
      </c>
      <c r="H1506" s="166">
        <f>('Forensic Inputs'!$G$98-FCCL!D21)</f>
        <v>38261.887999999999</v>
      </c>
      <c r="I1506" s="164">
        <f t="shared" si="69"/>
        <v>0.12995210795661727</v>
      </c>
      <c r="J1506" s="164">
        <v>0.12995210795661727</v>
      </c>
      <c r="K1506" s="168">
        <f t="shared" si="70"/>
        <v>0</v>
      </c>
      <c r="L1506" s="164">
        <v>1.1299999999999999</v>
      </c>
      <c r="M1506" s="154">
        <v>2</v>
      </c>
      <c r="N1506" s="154" t="str">
        <f t="shared" si="71"/>
        <v>No fit</v>
      </c>
      <c r="O1506" s="173" t="s">
        <v>7500</v>
      </c>
      <c r="P1506" s="173" t="s">
        <v>7342</v>
      </c>
    </row>
    <row r="1507" spans="1:16" ht="64.05" customHeight="1" x14ac:dyDescent="0.3">
      <c r="A1507" s="151" t="s">
        <v>8257</v>
      </c>
      <c r="B1507" s="151" t="s">
        <v>8258</v>
      </c>
      <c r="C1507" s="151" t="s">
        <v>68</v>
      </c>
      <c r="D1507" s="151">
        <v>2021</v>
      </c>
      <c r="E1507" s="151" t="s">
        <v>187</v>
      </c>
      <c r="F1507" s="174" t="s">
        <v>5893</v>
      </c>
      <c r="G1507" s="167">
        <f>365*AVERAGE(LUCK!C32,LUCK!D32)</f>
        <v>1119244.76</v>
      </c>
      <c r="H1507" s="167">
        <f>LUCK!D84</f>
        <v>62940.805</v>
      </c>
      <c r="I1507" s="165">
        <f t="shared" si="69"/>
        <v>17.782498333156049</v>
      </c>
      <c r="J1507" s="165">
        <v>17.782498333156049</v>
      </c>
      <c r="K1507" s="169">
        <f t="shared" si="70"/>
        <v>0</v>
      </c>
      <c r="L1507" s="165">
        <v>17.78</v>
      </c>
      <c r="M1507" s="151">
        <v>2</v>
      </c>
      <c r="N1507" s="151" t="str">
        <f t="shared" si="71"/>
        <v>Numeric fit</v>
      </c>
      <c r="O1507" s="174" t="s">
        <v>6050</v>
      </c>
      <c r="P1507" s="174" t="s">
        <v>6051</v>
      </c>
    </row>
    <row r="1508" spans="1:16" ht="64.05" customHeight="1" x14ac:dyDescent="0.3">
      <c r="A1508" s="154" t="s">
        <v>8259</v>
      </c>
      <c r="B1508" s="154" t="s">
        <v>8258</v>
      </c>
      <c r="C1508" s="154" t="s">
        <v>68</v>
      </c>
      <c r="D1508" s="154">
        <v>2021</v>
      </c>
      <c r="E1508" s="154" t="s">
        <v>187</v>
      </c>
      <c r="F1508" s="173" t="s">
        <v>6084</v>
      </c>
      <c r="G1508" s="166">
        <f>(365*AVERAGE(LUCK!C32,LUCK!D32))</f>
        <v>1119244.76</v>
      </c>
      <c r="H1508" s="166">
        <f>LUCK!D84</f>
        <v>62940.805</v>
      </c>
      <c r="I1508" s="164">
        <f t="shared" si="69"/>
        <v>17.782498333156049</v>
      </c>
      <c r="J1508" s="164">
        <v>17.782498333156049</v>
      </c>
      <c r="K1508" s="168">
        <f t="shared" si="70"/>
        <v>0</v>
      </c>
      <c r="L1508" s="164">
        <v>17.78</v>
      </c>
      <c r="M1508" s="154">
        <v>2</v>
      </c>
      <c r="N1508" s="154" t="str">
        <f t="shared" si="71"/>
        <v>Numeric fit</v>
      </c>
      <c r="O1508" s="173" t="s">
        <v>6085</v>
      </c>
      <c r="P1508" s="173" t="s">
        <v>6051</v>
      </c>
    </row>
    <row r="1509" spans="1:16" ht="64.05" customHeight="1" x14ac:dyDescent="0.3">
      <c r="A1509" s="151" t="s">
        <v>8260</v>
      </c>
      <c r="B1509" s="151" t="s">
        <v>8258</v>
      </c>
      <c r="C1509" s="151" t="s">
        <v>68</v>
      </c>
      <c r="D1509" s="151">
        <v>2021</v>
      </c>
      <c r="E1509" s="151" t="s">
        <v>187</v>
      </c>
      <c r="F1509" s="174" t="s">
        <v>5814</v>
      </c>
      <c r="G1509" s="167">
        <f>(366*AVERAGE(LUCK!C32,LUCK!D32))</f>
        <v>1122311.1839999999</v>
      </c>
      <c r="H1509" s="167">
        <f>LUCK!D84</f>
        <v>62940.805</v>
      </c>
      <c r="I1509" s="165">
        <f t="shared" si="69"/>
        <v>17.831217506671546</v>
      </c>
      <c r="J1509" s="165">
        <v>17.831217506671546</v>
      </c>
      <c r="K1509" s="169">
        <f t="shared" si="70"/>
        <v>0</v>
      </c>
      <c r="L1509" s="165">
        <v>17.78</v>
      </c>
      <c r="M1509" s="151">
        <v>2</v>
      </c>
      <c r="N1509" s="151" t="str">
        <f t="shared" si="71"/>
        <v>No fit</v>
      </c>
      <c r="O1509" s="174" t="s">
        <v>6085</v>
      </c>
      <c r="P1509" s="174" t="s">
        <v>6051</v>
      </c>
    </row>
    <row r="1510" spans="1:16" ht="64.05" customHeight="1" x14ac:dyDescent="0.3">
      <c r="A1510" s="154" t="s">
        <v>8261</v>
      </c>
      <c r="B1510" s="154" t="s">
        <v>8258</v>
      </c>
      <c r="C1510" s="154" t="s">
        <v>68</v>
      </c>
      <c r="D1510" s="154">
        <v>2021</v>
      </c>
      <c r="E1510" s="154" t="s">
        <v>187</v>
      </c>
      <c r="F1510" s="173" t="s">
        <v>6088</v>
      </c>
      <c r="G1510" s="166">
        <f>(360*AVERAGE(LUCK!C32,LUCK!D32))</f>
        <v>1103912.6399999999</v>
      </c>
      <c r="H1510" s="166">
        <f>LUCK!D84</f>
        <v>62940.805</v>
      </c>
      <c r="I1510" s="164">
        <f t="shared" si="69"/>
        <v>17.53890246557857</v>
      </c>
      <c r="J1510" s="164">
        <v>17.53890246557857</v>
      </c>
      <c r="K1510" s="168">
        <f t="shared" si="70"/>
        <v>0</v>
      </c>
      <c r="L1510" s="164">
        <v>17.78</v>
      </c>
      <c r="M1510" s="154">
        <v>2</v>
      </c>
      <c r="N1510" s="154" t="str">
        <f t="shared" si="71"/>
        <v>No fit</v>
      </c>
      <c r="O1510" s="173" t="s">
        <v>6085</v>
      </c>
      <c r="P1510" s="173" t="s">
        <v>6051</v>
      </c>
    </row>
    <row r="1511" spans="1:16" ht="64.05" customHeight="1" x14ac:dyDescent="0.3">
      <c r="A1511" s="151" t="s">
        <v>8262</v>
      </c>
      <c r="B1511" s="151" t="s">
        <v>8258</v>
      </c>
      <c r="C1511" s="151" t="s">
        <v>68</v>
      </c>
      <c r="D1511" s="151">
        <v>2021</v>
      </c>
      <c r="E1511" s="151" t="s">
        <v>187</v>
      </c>
      <c r="F1511" s="174" t="s">
        <v>6090</v>
      </c>
      <c r="G1511" s="167">
        <f>(365*LUCK!D32)</f>
        <v>989179.56500000006</v>
      </c>
      <c r="H1511" s="167">
        <f>LUCK!D84</f>
        <v>62940.805</v>
      </c>
      <c r="I1511" s="165">
        <f t="shared" si="69"/>
        <v>15.716029767970079</v>
      </c>
      <c r="J1511" s="165">
        <v>15.716029767970079</v>
      </c>
      <c r="K1511" s="169">
        <f t="shared" si="70"/>
        <v>0</v>
      </c>
      <c r="L1511" s="165">
        <v>17.78</v>
      </c>
      <c r="M1511" s="151">
        <v>2</v>
      </c>
      <c r="N1511" s="151" t="str">
        <f t="shared" si="71"/>
        <v>No fit</v>
      </c>
      <c r="O1511" s="174" t="s">
        <v>6091</v>
      </c>
      <c r="P1511" s="174" t="s">
        <v>6051</v>
      </c>
    </row>
    <row r="1512" spans="1:16" ht="64.05" customHeight="1" x14ac:dyDescent="0.3">
      <c r="A1512" s="154" t="s">
        <v>8263</v>
      </c>
      <c r="B1512" s="154" t="s">
        <v>8258</v>
      </c>
      <c r="C1512" s="154" t="s">
        <v>68</v>
      </c>
      <c r="D1512" s="154">
        <v>2021</v>
      </c>
      <c r="E1512" s="154" t="s">
        <v>187</v>
      </c>
      <c r="F1512" s="173" t="s">
        <v>6093</v>
      </c>
      <c r="G1512" s="166">
        <f>(366*LUCK!D32)</f>
        <v>991889.64600000007</v>
      </c>
      <c r="H1512" s="166">
        <f>LUCK!D84</f>
        <v>62940.805</v>
      </c>
      <c r="I1512" s="164">
        <f t="shared" si="69"/>
        <v>15.759087383772737</v>
      </c>
      <c r="J1512" s="164">
        <v>15.759087383772737</v>
      </c>
      <c r="K1512" s="168">
        <f t="shared" si="70"/>
        <v>0</v>
      </c>
      <c r="L1512" s="164">
        <v>17.78</v>
      </c>
      <c r="M1512" s="154">
        <v>2</v>
      </c>
      <c r="N1512" s="154" t="str">
        <f t="shared" si="71"/>
        <v>No fit</v>
      </c>
      <c r="O1512" s="173" t="s">
        <v>6091</v>
      </c>
      <c r="P1512" s="173" t="s">
        <v>6051</v>
      </c>
    </row>
    <row r="1513" spans="1:16" ht="64.05" customHeight="1" x14ac:dyDescent="0.3">
      <c r="A1513" s="151" t="s">
        <v>8264</v>
      </c>
      <c r="B1513" s="151" t="s">
        <v>8258</v>
      </c>
      <c r="C1513" s="151" t="s">
        <v>68</v>
      </c>
      <c r="D1513" s="151">
        <v>2021</v>
      </c>
      <c r="E1513" s="151" t="s">
        <v>187</v>
      </c>
      <c r="F1513" s="174" t="s">
        <v>6095</v>
      </c>
      <c r="G1513" s="167">
        <f>(360*LUCK!D32)</f>
        <v>975629.16</v>
      </c>
      <c r="H1513" s="167">
        <f>LUCK!D84</f>
        <v>62940.805</v>
      </c>
      <c r="I1513" s="165">
        <f t="shared" si="69"/>
        <v>15.500741688956792</v>
      </c>
      <c r="J1513" s="165">
        <v>15.500741688956792</v>
      </c>
      <c r="K1513" s="169">
        <f t="shared" si="70"/>
        <v>0</v>
      </c>
      <c r="L1513" s="165">
        <v>17.78</v>
      </c>
      <c r="M1513" s="151">
        <v>2</v>
      </c>
      <c r="N1513" s="151" t="str">
        <f t="shared" si="71"/>
        <v>No fit</v>
      </c>
      <c r="O1513" s="174" t="s">
        <v>6091</v>
      </c>
      <c r="P1513" s="174" t="s">
        <v>6051</v>
      </c>
    </row>
    <row r="1514" spans="1:16" ht="64.05" customHeight="1" x14ac:dyDescent="0.3">
      <c r="A1514" s="154" t="s">
        <v>8265</v>
      </c>
      <c r="B1514" s="154" t="s">
        <v>8258</v>
      </c>
      <c r="C1514" s="154" t="s">
        <v>68</v>
      </c>
      <c r="D1514" s="154">
        <v>2021</v>
      </c>
      <c r="E1514" s="154" t="s">
        <v>187</v>
      </c>
      <c r="F1514" s="173" t="s">
        <v>6097</v>
      </c>
      <c r="G1514" s="166">
        <f>(365*LUCK!C32)</f>
        <v>1249309.9549999998</v>
      </c>
      <c r="H1514" s="166">
        <f>LUCK!D84</f>
        <v>62940.805</v>
      </c>
      <c r="I1514" s="164">
        <f t="shared" si="69"/>
        <v>19.84896689834202</v>
      </c>
      <c r="J1514" s="164">
        <v>19.84896689834202</v>
      </c>
      <c r="K1514" s="168">
        <f t="shared" si="70"/>
        <v>0</v>
      </c>
      <c r="L1514" s="164">
        <v>17.78</v>
      </c>
      <c r="M1514" s="154">
        <v>2</v>
      </c>
      <c r="N1514" s="154" t="str">
        <f t="shared" si="71"/>
        <v>No fit</v>
      </c>
      <c r="O1514" s="173" t="s">
        <v>6091</v>
      </c>
      <c r="P1514" s="173" t="s">
        <v>6051</v>
      </c>
    </row>
    <row r="1515" spans="1:16" ht="64.05" customHeight="1" x14ac:dyDescent="0.3">
      <c r="A1515" s="151" t="s">
        <v>8266</v>
      </c>
      <c r="B1515" s="151" t="s">
        <v>8258</v>
      </c>
      <c r="C1515" s="151" t="s">
        <v>68</v>
      </c>
      <c r="D1515" s="151">
        <v>2021</v>
      </c>
      <c r="E1515" s="151" t="s">
        <v>187</v>
      </c>
      <c r="F1515" s="174" t="s">
        <v>6099</v>
      </c>
      <c r="G1515" s="167">
        <f>(366*LUCK!C32)</f>
        <v>1252732.7219999998</v>
      </c>
      <c r="H1515" s="167">
        <f>LUCK!D84</f>
        <v>62940.805</v>
      </c>
      <c r="I1515" s="165">
        <f t="shared" si="69"/>
        <v>19.903347629570352</v>
      </c>
      <c r="J1515" s="165">
        <v>19.903347629570352</v>
      </c>
      <c r="K1515" s="169">
        <f t="shared" si="70"/>
        <v>0</v>
      </c>
      <c r="L1515" s="165">
        <v>17.78</v>
      </c>
      <c r="M1515" s="151">
        <v>2</v>
      </c>
      <c r="N1515" s="151" t="str">
        <f t="shared" si="71"/>
        <v>No fit</v>
      </c>
      <c r="O1515" s="174" t="s">
        <v>6091</v>
      </c>
      <c r="P1515" s="174" t="s">
        <v>6051</v>
      </c>
    </row>
    <row r="1516" spans="1:16" ht="64.05" customHeight="1" x14ac:dyDescent="0.3">
      <c r="A1516" s="154" t="s">
        <v>8267</v>
      </c>
      <c r="B1516" s="154" t="s">
        <v>8258</v>
      </c>
      <c r="C1516" s="154" t="s">
        <v>68</v>
      </c>
      <c r="D1516" s="154">
        <v>2021</v>
      </c>
      <c r="E1516" s="154" t="s">
        <v>187</v>
      </c>
      <c r="F1516" s="173" t="s">
        <v>6101</v>
      </c>
      <c r="G1516" s="166">
        <f>(360*LUCK!C32)</f>
        <v>1232196.1199999999</v>
      </c>
      <c r="H1516" s="166">
        <f>LUCK!D84</f>
        <v>62940.805</v>
      </c>
      <c r="I1516" s="164">
        <f t="shared" si="69"/>
        <v>19.577063242200349</v>
      </c>
      <c r="J1516" s="164">
        <v>19.577063242200349</v>
      </c>
      <c r="K1516" s="168">
        <f t="shared" si="70"/>
        <v>0</v>
      </c>
      <c r="L1516" s="164">
        <v>17.78</v>
      </c>
      <c r="M1516" s="154">
        <v>2</v>
      </c>
      <c r="N1516" s="154" t="str">
        <f t="shared" si="71"/>
        <v>No fit</v>
      </c>
      <c r="O1516" s="173" t="s">
        <v>6091</v>
      </c>
      <c r="P1516" s="173" t="s">
        <v>6051</v>
      </c>
    </row>
    <row r="1517" spans="1:16" ht="64.05" customHeight="1" x14ac:dyDescent="0.3">
      <c r="A1517" s="151" t="s">
        <v>8268</v>
      </c>
      <c r="B1517" s="151" t="s">
        <v>8258</v>
      </c>
      <c r="C1517" s="151" t="s">
        <v>68</v>
      </c>
      <c r="D1517" s="151">
        <v>2021</v>
      </c>
      <c r="E1517" s="151" t="s">
        <v>187</v>
      </c>
      <c r="F1517" s="174" t="s">
        <v>5762</v>
      </c>
      <c r="G1517" s="167">
        <f>365</f>
        <v>365</v>
      </c>
      <c r="H1517" s="167">
        <f>ROUND((LUCK!D84/AVERAGE(LUCK!C32,LUCK!D32)),2)</f>
        <v>20.53</v>
      </c>
      <c r="I1517" s="165">
        <f t="shared" si="69"/>
        <v>17.778860204578663</v>
      </c>
      <c r="J1517" s="165">
        <v>17.778860204578663</v>
      </c>
      <c r="K1517" s="169">
        <f t="shared" si="70"/>
        <v>0</v>
      </c>
      <c r="L1517" s="165">
        <v>17.78</v>
      </c>
      <c r="M1517" s="151">
        <v>2</v>
      </c>
      <c r="N1517" s="151" t="str">
        <f t="shared" si="71"/>
        <v>Numeric fit</v>
      </c>
      <c r="O1517" s="174" t="s">
        <v>6103</v>
      </c>
      <c r="P1517" s="174" t="s">
        <v>6051</v>
      </c>
    </row>
    <row r="1518" spans="1:16" ht="64.05" customHeight="1" x14ac:dyDescent="0.3">
      <c r="A1518" s="154" t="s">
        <v>8269</v>
      </c>
      <c r="B1518" s="154" t="s">
        <v>8270</v>
      </c>
      <c r="C1518" s="154" t="s">
        <v>68</v>
      </c>
      <c r="D1518" s="154">
        <v>2022</v>
      </c>
      <c r="E1518" s="154" t="s">
        <v>187</v>
      </c>
      <c r="F1518" s="173" t="s">
        <v>5893</v>
      </c>
      <c r="G1518" s="166">
        <f>365*AVERAGE(LUCK!D32,LUCK!E32)</f>
        <v>1137524.6900000002</v>
      </c>
      <c r="H1518" s="166">
        <f>LUCK!E84</f>
        <v>81093.524999999994</v>
      </c>
      <c r="I1518" s="164">
        <f t="shared" si="69"/>
        <v>14.027318333985361</v>
      </c>
      <c r="J1518" s="164">
        <v>14.027318333985361</v>
      </c>
      <c r="K1518" s="168">
        <f t="shared" si="70"/>
        <v>0</v>
      </c>
      <c r="L1518" s="164">
        <v>14.03</v>
      </c>
      <c r="M1518" s="154">
        <v>2</v>
      </c>
      <c r="N1518" s="154" t="str">
        <f t="shared" si="71"/>
        <v>Numeric fit</v>
      </c>
      <c r="O1518" s="173" t="s">
        <v>6050</v>
      </c>
      <c r="P1518" s="173" t="s">
        <v>6051</v>
      </c>
    </row>
    <row r="1519" spans="1:16" ht="64.05" customHeight="1" x14ac:dyDescent="0.3">
      <c r="A1519" s="151" t="s">
        <v>8271</v>
      </c>
      <c r="B1519" s="151" t="s">
        <v>8270</v>
      </c>
      <c r="C1519" s="151" t="s">
        <v>68</v>
      </c>
      <c r="D1519" s="151">
        <v>2022</v>
      </c>
      <c r="E1519" s="151" t="s">
        <v>187</v>
      </c>
      <c r="F1519" s="174" t="s">
        <v>6084</v>
      </c>
      <c r="G1519" s="167">
        <f>(365*AVERAGE(LUCK!D32,LUCK!E32))</f>
        <v>1137524.6900000002</v>
      </c>
      <c r="H1519" s="167">
        <f>LUCK!E84</f>
        <v>81093.524999999994</v>
      </c>
      <c r="I1519" s="165">
        <f t="shared" si="69"/>
        <v>14.027318333985361</v>
      </c>
      <c r="J1519" s="165">
        <v>14.027318333985361</v>
      </c>
      <c r="K1519" s="169">
        <f t="shared" si="70"/>
        <v>0</v>
      </c>
      <c r="L1519" s="165">
        <v>14.03</v>
      </c>
      <c r="M1519" s="151">
        <v>2</v>
      </c>
      <c r="N1519" s="151" t="str">
        <f t="shared" si="71"/>
        <v>Numeric fit</v>
      </c>
      <c r="O1519" s="174" t="s">
        <v>6085</v>
      </c>
      <c r="P1519" s="174" t="s">
        <v>6051</v>
      </c>
    </row>
    <row r="1520" spans="1:16" ht="64.05" customHeight="1" x14ac:dyDescent="0.3">
      <c r="A1520" s="154" t="s">
        <v>8272</v>
      </c>
      <c r="B1520" s="154" t="s">
        <v>8270</v>
      </c>
      <c r="C1520" s="154" t="s">
        <v>68</v>
      </c>
      <c r="D1520" s="154">
        <v>2022</v>
      </c>
      <c r="E1520" s="154" t="s">
        <v>187</v>
      </c>
      <c r="F1520" s="173" t="s">
        <v>5814</v>
      </c>
      <c r="G1520" s="166">
        <f>(366*AVERAGE(LUCK!D32,LUCK!E32))</f>
        <v>1140641.1960000002</v>
      </c>
      <c r="H1520" s="166">
        <f>LUCK!E84</f>
        <v>81093.524999999994</v>
      </c>
      <c r="I1520" s="164">
        <f t="shared" si="69"/>
        <v>14.065749343119569</v>
      </c>
      <c r="J1520" s="164">
        <v>14.065749343119569</v>
      </c>
      <c r="K1520" s="168">
        <f t="shared" si="70"/>
        <v>0</v>
      </c>
      <c r="L1520" s="164">
        <v>14.03</v>
      </c>
      <c r="M1520" s="154">
        <v>2</v>
      </c>
      <c r="N1520" s="154" t="str">
        <f t="shared" si="71"/>
        <v>No fit</v>
      </c>
      <c r="O1520" s="173" t="s">
        <v>6085</v>
      </c>
      <c r="P1520" s="173" t="s">
        <v>6051</v>
      </c>
    </row>
    <row r="1521" spans="1:16" ht="64.05" customHeight="1" x14ac:dyDescent="0.3">
      <c r="A1521" s="151" t="s">
        <v>8273</v>
      </c>
      <c r="B1521" s="151" t="s">
        <v>8270</v>
      </c>
      <c r="C1521" s="151" t="s">
        <v>68</v>
      </c>
      <c r="D1521" s="151">
        <v>2022</v>
      </c>
      <c r="E1521" s="151" t="s">
        <v>187</v>
      </c>
      <c r="F1521" s="174" t="s">
        <v>6088</v>
      </c>
      <c r="G1521" s="167">
        <f>(360*AVERAGE(LUCK!D32,LUCK!E32))</f>
        <v>1121942.1600000001</v>
      </c>
      <c r="H1521" s="167">
        <f>LUCK!E84</f>
        <v>81093.524999999994</v>
      </c>
      <c r="I1521" s="165">
        <f t="shared" si="69"/>
        <v>13.835163288314329</v>
      </c>
      <c r="J1521" s="165">
        <v>13.835163288314329</v>
      </c>
      <c r="K1521" s="169">
        <f t="shared" si="70"/>
        <v>0</v>
      </c>
      <c r="L1521" s="165">
        <v>14.03</v>
      </c>
      <c r="M1521" s="151">
        <v>2</v>
      </c>
      <c r="N1521" s="151" t="str">
        <f t="shared" si="71"/>
        <v>No fit</v>
      </c>
      <c r="O1521" s="174" t="s">
        <v>6085</v>
      </c>
      <c r="P1521" s="174" t="s">
        <v>6051</v>
      </c>
    </row>
    <row r="1522" spans="1:16" ht="64.05" customHeight="1" x14ac:dyDescent="0.3">
      <c r="A1522" s="154" t="s">
        <v>8274</v>
      </c>
      <c r="B1522" s="154" t="s">
        <v>8270</v>
      </c>
      <c r="C1522" s="154" t="s">
        <v>68</v>
      </c>
      <c r="D1522" s="154">
        <v>2022</v>
      </c>
      <c r="E1522" s="154" t="s">
        <v>187</v>
      </c>
      <c r="F1522" s="173" t="s">
        <v>6090</v>
      </c>
      <c r="G1522" s="166">
        <f>(365*LUCK!E32)</f>
        <v>1285869.8149999999</v>
      </c>
      <c r="H1522" s="166">
        <f>LUCK!E84</f>
        <v>81093.524999999994</v>
      </c>
      <c r="I1522" s="164">
        <f t="shared" si="69"/>
        <v>15.856627455767892</v>
      </c>
      <c r="J1522" s="164">
        <v>15.856627455767892</v>
      </c>
      <c r="K1522" s="168">
        <f t="shared" si="70"/>
        <v>0</v>
      </c>
      <c r="L1522" s="164">
        <v>14.03</v>
      </c>
      <c r="M1522" s="154">
        <v>2</v>
      </c>
      <c r="N1522" s="154" t="str">
        <f t="shared" si="71"/>
        <v>No fit</v>
      </c>
      <c r="O1522" s="173" t="s">
        <v>6091</v>
      </c>
      <c r="P1522" s="173" t="s">
        <v>6051</v>
      </c>
    </row>
    <row r="1523" spans="1:16" ht="64.05" customHeight="1" x14ac:dyDescent="0.3">
      <c r="A1523" s="151" t="s">
        <v>8275</v>
      </c>
      <c r="B1523" s="151" t="s">
        <v>8270</v>
      </c>
      <c r="C1523" s="151" t="s">
        <v>68</v>
      </c>
      <c r="D1523" s="151">
        <v>2022</v>
      </c>
      <c r="E1523" s="151" t="s">
        <v>187</v>
      </c>
      <c r="F1523" s="174" t="s">
        <v>6093</v>
      </c>
      <c r="G1523" s="167">
        <f>(366*LUCK!E32)</f>
        <v>1289392.746</v>
      </c>
      <c r="H1523" s="167">
        <f>LUCK!E84</f>
        <v>81093.524999999994</v>
      </c>
      <c r="I1523" s="165">
        <f t="shared" si="69"/>
        <v>15.900070270715204</v>
      </c>
      <c r="J1523" s="165">
        <v>15.900070270715204</v>
      </c>
      <c r="K1523" s="169">
        <f t="shared" si="70"/>
        <v>0</v>
      </c>
      <c r="L1523" s="165">
        <v>14.03</v>
      </c>
      <c r="M1523" s="151">
        <v>2</v>
      </c>
      <c r="N1523" s="151" t="str">
        <f t="shared" si="71"/>
        <v>No fit</v>
      </c>
      <c r="O1523" s="174" t="s">
        <v>6091</v>
      </c>
      <c r="P1523" s="174" t="s">
        <v>6051</v>
      </c>
    </row>
    <row r="1524" spans="1:16" ht="64.05" customHeight="1" x14ac:dyDescent="0.3">
      <c r="A1524" s="154" t="s">
        <v>8276</v>
      </c>
      <c r="B1524" s="154" t="s">
        <v>8270</v>
      </c>
      <c r="C1524" s="154" t="s">
        <v>68</v>
      </c>
      <c r="D1524" s="154">
        <v>2022</v>
      </c>
      <c r="E1524" s="154" t="s">
        <v>187</v>
      </c>
      <c r="F1524" s="173" t="s">
        <v>6095</v>
      </c>
      <c r="G1524" s="166">
        <f>(360*LUCK!E32)</f>
        <v>1268255.1599999999</v>
      </c>
      <c r="H1524" s="166">
        <f>LUCK!E84</f>
        <v>81093.524999999994</v>
      </c>
      <c r="I1524" s="164">
        <f t="shared" si="69"/>
        <v>15.639413381031346</v>
      </c>
      <c r="J1524" s="164">
        <v>15.639413381031346</v>
      </c>
      <c r="K1524" s="168">
        <f t="shared" si="70"/>
        <v>0</v>
      </c>
      <c r="L1524" s="164">
        <v>14.03</v>
      </c>
      <c r="M1524" s="154">
        <v>2</v>
      </c>
      <c r="N1524" s="154" t="str">
        <f t="shared" si="71"/>
        <v>No fit</v>
      </c>
      <c r="O1524" s="173" t="s">
        <v>6091</v>
      </c>
      <c r="P1524" s="173" t="s">
        <v>6051</v>
      </c>
    </row>
    <row r="1525" spans="1:16" ht="64.05" customHeight="1" x14ac:dyDescent="0.3">
      <c r="A1525" s="151" t="s">
        <v>8277</v>
      </c>
      <c r="B1525" s="151" t="s">
        <v>8270</v>
      </c>
      <c r="C1525" s="151" t="s">
        <v>68</v>
      </c>
      <c r="D1525" s="151">
        <v>2022</v>
      </c>
      <c r="E1525" s="151" t="s">
        <v>187</v>
      </c>
      <c r="F1525" s="174" t="s">
        <v>6097</v>
      </c>
      <c r="G1525" s="167">
        <f>(365*LUCK!D32)</f>
        <v>989179.56500000006</v>
      </c>
      <c r="H1525" s="167">
        <f>LUCK!E84</f>
        <v>81093.524999999994</v>
      </c>
      <c r="I1525" s="165">
        <f t="shared" si="69"/>
        <v>12.198009212202825</v>
      </c>
      <c r="J1525" s="165">
        <v>12.198009212202825</v>
      </c>
      <c r="K1525" s="169">
        <f t="shared" si="70"/>
        <v>0</v>
      </c>
      <c r="L1525" s="165">
        <v>14.03</v>
      </c>
      <c r="M1525" s="151">
        <v>2</v>
      </c>
      <c r="N1525" s="151" t="str">
        <f t="shared" si="71"/>
        <v>No fit</v>
      </c>
      <c r="O1525" s="174" t="s">
        <v>6091</v>
      </c>
      <c r="P1525" s="174" t="s">
        <v>6051</v>
      </c>
    </row>
    <row r="1526" spans="1:16" ht="64.05" customHeight="1" x14ac:dyDescent="0.3">
      <c r="A1526" s="154" t="s">
        <v>8278</v>
      </c>
      <c r="B1526" s="154" t="s">
        <v>8270</v>
      </c>
      <c r="C1526" s="154" t="s">
        <v>68</v>
      </c>
      <c r="D1526" s="154">
        <v>2022</v>
      </c>
      <c r="E1526" s="154" t="s">
        <v>187</v>
      </c>
      <c r="F1526" s="173" t="s">
        <v>6099</v>
      </c>
      <c r="G1526" s="166">
        <f>(366*LUCK!D32)</f>
        <v>991889.64600000007</v>
      </c>
      <c r="H1526" s="166">
        <f>LUCK!E84</f>
        <v>81093.524999999994</v>
      </c>
      <c r="I1526" s="164">
        <f t="shared" si="69"/>
        <v>12.231428415523929</v>
      </c>
      <c r="J1526" s="164">
        <v>12.231428415523929</v>
      </c>
      <c r="K1526" s="168">
        <f t="shared" si="70"/>
        <v>0</v>
      </c>
      <c r="L1526" s="164">
        <v>14.03</v>
      </c>
      <c r="M1526" s="154">
        <v>2</v>
      </c>
      <c r="N1526" s="154" t="str">
        <f t="shared" si="71"/>
        <v>No fit</v>
      </c>
      <c r="O1526" s="173" t="s">
        <v>6091</v>
      </c>
      <c r="P1526" s="173" t="s">
        <v>6051</v>
      </c>
    </row>
    <row r="1527" spans="1:16" ht="64.05" customHeight="1" x14ac:dyDescent="0.3">
      <c r="A1527" s="151" t="s">
        <v>8279</v>
      </c>
      <c r="B1527" s="151" t="s">
        <v>8270</v>
      </c>
      <c r="C1527" s="151" t="s">
        <v>68</v>
      </c>
      <c r="D1527" s="151">
        <v>2022</v>
      </c>
      <c r="E1527" s="151" t="s">
        <v>187</v>
      </c>
      <c r="F1527" s="174" t="s">
        <v>6101</v>
      </c>
      <c r="G1527" s="167">
        <f>(360*LUCK!D32)</f>
        <v>975629.16</v>
      </c>
      <c r="H1527" s="167">
        <f>LUCK!E84</f>
        <v>81093.524999999994</v>
      </c>
      <c r="I1527" s="165">
        <f t="shared" si="69"/>
        <v>12.030913195597307</v>
      </c>
      <c r="J1527" s="165">
        <v>12.030913195597307</v>
      </c>
      <c r="K1527" s="169">
        <f t="shared" si="70"/>
        <v>0</v>
      </c>
      <c r="L1527" s="165">
        <v>14.03</v>
      </c>
      <c r="M1527" s="151">
        <v>2</v>
      </c>
      <c r="N1527" s="151" t="str">
        <f t="shared" si="71"/>
        <v>No fit</v>
      </c>
      <c r="O1527" s="174" t="s">
        <v>6091</v>
      </c>
      <c r="P1527" s="174" t="s">
        <v>6051</v>
      </c>
    </row>
    <row r="1528" spans="1:16" ht="64.05" customHeight="1" x14ac:dyDescent="0.3">
      <c r="A1528" s="154" t="s">
        <v>8280</v>
      </c>
      <c r="B1528" s="154" t="s">
        <v>8270</v>
      </c>
      <c r="C1528" s="154" t="s">
        <v>68</v>
      </c>
      <c r="D1528" s="154">
        <v>2022</v>
      </c>
      <c r="E1528" s="154" t="s">
        <v>187</v>
      </c>
      <c r="F1528" s="173" t="s">
        <v>5762</v>
      </c>
      <c r="G1528" s="166">
        <f>365</f>
        <v>365</v>
      </c>
      <c r="H1528" s="166">
        <f>ROUND((LUCK!E84/AVERAGE(LUCK!D32,LUCK!E32)),2)</f>
        <v>26.02</v>
      </c>
      <c r="I1528" s="164">
        <f t="shared" si="69"/>
        <v>14.027671022290546</v>
      </c>
      <c r="J1528" s="164">
        <v>14.027671022290546</v>
      </c>
      <c r="K1528" s="168">
        <f t="shared" si="70"/>
        <v>0</v>
      </c>
      <c r="L1528" s="164">
        <v>14.03</v>
      </c>
      <c r="M1528" s="154">
        <v>2</v>
      </c>
      <c r="N1528" s="154" t="str">
        <f t="shared" si="71"/>
        <v>Numeric fit</v>
      </c>
      <c r="O1528" s="173" t="s">
        <v>6103</v>
      </c>
      <c r="P1528" s="173" t="s">
        <v>6051</v>
      </c>
    </row>
    <row r="1529" spans="1:16" ht="64.05" customHeight="1" x14ac:dyDescent="0.3">
      <c r="A1529" s="151" t="s">
        <v>8281</v>
      </c>
      <c r="B1529" s="151" t="s">
        <v>8282</v>
      </c>
      <c r="C1529" s="151" t="s">
        <v>68</v>
      </c>
      <c r="D1529" s="151">
        <v>2023</v>
      </c>
      <c r="E1529" s="151" t="s">
        <v>187</v>
      </c>
      <c r="F1529" s="174" t="s">
        <v>5893</v>
      </c>
      <c r="G1529" s="167">
        <f>365*AVERAGE(LUCK!E32,LUCK!F32)</f>
        <v>1571799.135</v>
      </c>
      <c r="H1529" s="167">
        <f>LUCK!F84</f>
        <v>95832.146999999997</v>
      </c>
      <c r="I1529" s="165">
        <f t="shared" si="69"/>
        <v>16.401585315624828</v>
      </c>
      <c r="J1529" s="165">
        <v>16.401585315624828</v>
      </c>
      <c r="K1529" s="169">
        <f t="shared" si="70"/>
        <v>0</v>
      </c>
      <c r="L1529" s="165">
        <v>16.399999999999999</v>
      </c>
      <c r="M1529" s="151">
        <v>2</v>
      </c>
      <c r="N1529" s="151" t="str">
        <f t="shared" si="71"/>
        <v>Numeric fit</v>
      </c>
      <c r="O1529" s="174" t="s">
        <v>6050</v>
      </c>
      <c r="P1529" s="174" t="s">
        <v>6051</v>
      </c>
    </row>
    <row r="1530" spans="1:16" ht="64.05" customHeight="1" x14ac:dyDescent="0.3">
      <c r="A1530" s="154" t="s">
        <v>8283</v>
      </c>
      <c r="B1530" s="154" t="s">
        <v>8282</v>
      </c>
      <c r="C1530" s="154" t="s">
        <v>68</v>
      </c>
      <c r="D1530" s="154">
        <v>2023</v>
      </c>
      <c r="E1530" s="154" t="s">
        <v>187</v>
      </c>
      <c r="F1530" s="173" t="s">
        <v>6084</v>
      </c>
      <c r="G1530" s="166">
        <f>(365*AVERAGE(LUCK!E32,LUCK!F32))</f>
        <v>1571799.135</v>
      </c>
      <c r="H1530" s="166">
        <f>LUCK!F84</f>
        <v>95832.146999999997</v>
      </c>
      <c r="I1530" s="164">
        <f t="shared" si="69"/>
        <v>16.401585315624828</v>
      </c>
      <c r="J1530" s="164">
        <v>16.401585315624828</v>
      </c>
      <c r="K1530" s="168">
        <f t="shared" si="70"/>
        <v>0</v>
      </c>
      <c r="L1530" s="164">
        <v>16.399999999999999</v>
      </c>
      <c r="M1530" s="154">
        <v>2</v>
      </c>
      <c r="N1530" s="154" t="str">
        <f t="shared" si="71"/>
        <v>Numeric fit</v>
      </c>
      <c r="O1530" s="173" t="s">
        <v>6085</v>
      </c>
      <c r="P1530" s="173" t="s">
        <v>6051</v>
      </c>
    </row>
    <row r="1531" spans="1:16" ht="64.05" customHeight="1" x14ac:dyDescent="0.3">
      <c r="A1531" s="151" t="s">
        <v>8284</v>
      </c>
      <c r="B1531" s="151" t="s">
        <v>8282</v>
      </c>
      <c r="C1531" s="151" t="s">
        <v>68</v>
      </c>
      <c r="D1531" s="151">
        <v>2023</v>
      </c>
      <c r="E1531" s="151" t="s">
        <v>187</v>
      </c>
      <c r="F1531" s="174" t="s">
        <v>5814</v>
      </c>
      <c r="G1531" s="167">
        <f>(366*AVERAGE(LUCK!E32,LUCK!F32))</f>
        <v>1576105.4339999999</v>
      </c>
      <c r="H1531" s="167">
        <f>LUCK!F84</f>
        <v>95832.146999999997</v>
      </c>
      <c r="I1531" s="165">
        <f t="shared" si="69"/>
        <v>16.446521165804622</v>
      </c>
      <c r="J1531" s="165">
        <v>16.446521165804622</v>
      </c>
      <c r="K1531" s="169">
        <f t="shared" si="70"/>
        <v>0</v>
      </c>
      <c r="L1531" s="165">
        <v>16.399999999999999</v>
      </c>
      <c r="M1531" s="151">
        <v>2</v>
      </c>
      <c r="N1531" s="151" t="str">
        <f t="shared" si="71"/>
        <v>No fit</v>
      </c>
      <c r="O1531" s="174" t="s">
        <v>6085</v>
      </c>
      <c r="P1531" s="174" t="s">
        <v>6051</v>
      </c>
    </row>
    <row r="1532" spans="1:16" ht="64.05" customHeight="1" x14ac:dyDescent="0.3">
      <c r="A1532" s="154" t="s">
        <v>8285</v>
      </c>
      <c r="B1532" s="154" t="s">
        <v>8282</v>
      </c>
      <c r="C1532" s="154" t="s">
        <v>68</v>
      </c>
      <c r="D1532" s="154">
        <v>2023</v>
      </c>
      <c r="E1532" s="154" t="s">
        <v>187</v>
      </c>
      <c r="F1532" s="173" t="s">
        <v>6088</v>
      </c>
      <c r="G1532" s="166">
        <f>(360*AVERAGE(LUCK!E32,LUCK!F32))</f>
        <v>1550267.64</v>
      </c>
      <c r="H1532" s="166">
        <f>LUCK!F84</f>
        <v>95832.146999999997</v>
      </c>
      <c r="I1532" s="164">
        <f t="shared" si="69"/>
        <v>16.176906064725859</v>
      </c>
      <c r="J1532" s="164">
        <v>16.176906064725859</v>
      </c>
      <c r="K1532" s="168">
        <f t="shared" si="70"/>
        <v>0</v>
      </c>
      <c r="L1532" s="164">
        <v>16.399999999999999</v>
      </c>
      <c r="M1532" s="154">
        <v>2</v>
      </c>
      <c r="N1532" s="154" t="str">
        <f t="shared" si="71"/>
        <v>No fit</v>
      </c>
      <c r="O1532" s="173" t="s">
        <v>6085</v>
      </c>
      <c r="P1532" s="173" t="s">
        <v>6051</v>
      </c>
    </row>
    <row r="1533" spans="1:16" ht="64.05" customHeight="1" x14ac:dyDescent="0.3">
      <c r="A1533" s="151" t="s">
        <v>8286</v>
      </c>
      <c r="B1533" s="151" t="s">
        <v>8282</v>
      </c>
      <c r="C1533" s="151" t="s">
        <v>68</v>
      </c>
      <c r="D1533" s="151">
        <v>2023</v>
      </c>
      <c r="E1533" s="151" t="s">
        <v>187</v>
      </c>
      <c r="F1533" s="174" t="s">
        <v>6090</v>
      </c>
      <c r="G1533" s="167">
        <f>(365*LUCK!F32)</f>
        <v>1857728.4550000001</v>
      </c>
      <c r="H1533" s="167">
        <f>LUCK!F84</f>
        <v>95832.146999999997</v>
      </c>
      <c r="I1533" s="165">
        <f t="shared" si="69"/>
        <v>19.385232546235244</v>
      </c>
      <c r="J1533" s="165">
        <v>19.385232546235244</v>
      </c>
      <c r="K1533" s="169">
        <f t="shared" si="70"/>
        <v>0</v>
      </c>
      <c r="L1533" s="165">
        <v>16.399999999999999</v>
      </c>
      <c r="M1533" s="151">
        <v>2</v>
      </c>
      <c r="N1533" s="151" t="str">
        <f t="shared" si="71"/>
        <v>No fit</v>
      </c>
      <c r="O1533" s="174" t="s">
        <v>6091</v>
      </c>
      <c r="P1533" s="174" t="s">
        <v>6051</v>
      </c>
    </row>
    <row r="1534" spans="1:16" ht="64.05" customHeight="1" x14ac:dyDescent="0.3">
      <c r="A1534" s="154" t="s">
        <v>8287</v>
      </c>
      <c r="B1534" s="154" t="s">
        <v>8282</v>
      </c>
      <c r="C1534" s="154" t="s">
        <v>68</v>
      </c>
      <c r="D1534" s="154">
        <v>2023</v>
      </c>
      <c r="E1534" s="154" t="s">
        <v>187</v>
      </c>
      <c r="F1534" s="173" t="s">
        <v>6093</v>
      </c>
      <c r="G1534" s="166">
        <f>(366*LUCK!F32)</f>
        <v>1862818.1220000002</v>
      </c>
      <c r="H1534" s="166">
        <f>LUCK!F84</f>
        <v>95832.146999999997</v>
      </c>
      <c r="I1534" s="164">
        <f t="shared" si="69"/>
        <v>19.438342772389312</v>
      </c>
      <c r="J1534" s="164">
        <v>19.438342772389312</v>
      </c>
      <c r="K1534" s="168">
        <f t="shared" si="70"/>
        <v>0</v>
      </c>
      <c r="L1534" s="164">
        <v>16.399999999999999</v>
      </c>
      <c r="M1534" s="154">
        <v>2</v>
      </c>
      <c r="N1534" s="154" t="str">
        <f t="shared" si="71"/>
        <v>No fit</v>
      </c>
      <c r="O1534" s="173" t="s">
        <v>6091</v>
      </c>
      <c r="P1534" s="173" t="s">
        <v>6051</v>
      </c>
    </row>
    <row r="1535" spans="1:16" ht="64.05" customHeight="1" x14ac:dyDescent="0.3">
      <c r="A1535" s="151" t="s">
        <v>8288</v>
      </c>
      <c r="B1535" s="151" t="s">
        <v>8282</v>
      </c>
      <c r="C1535" s="151" t="s">
        <v>68</v>
      </c>
      <c r="D1535" s="151">
        <v>2023</v>
      </c>
      <c r="E1535" s="151" t="s">
        <v>187</v>
      </c>
      <c r="F1535" s="174" t="s">
        <v>6095</v>
      </c>
      <c r="G1535" s="167">
        <f>(360*LUCK!F32)</f>
        <v>1832280.12</v>
      </c>
      <c r="H1535" s="167">
        <f>LUCK!F84</f>
        <v>95832.146999999997</v>
      </c>
      <c r="I1535" s="165">
        <f t="shared" si="69"/>
        <v>19.119681415464896</v>
      </c>
      <c r="J1535" s="165">
        <v>19.119681415464896</v>
      </c>
      <c r="K1535" s="169">
        <f t="shared" si="70"/>
        <v>0</v>
      </c>
      <c r="L1535" s="165">
        <v>16.399999999999999</v>
      </c>
      <c r="M1535" s="151">
        <v>2</v>
      </c>
      <c r="N1535" s="151" t="str">
        <f t="shared" si="71"/>
        <v>No fit</v>
      </c>
      <c r="O1535" s="174" t="s">
        <v>6091</v>
      </c>
      <c r="P1535" s="174" t="s">
        <v>6051</v>
      </c>
    </row>
    <row r="1536" spans="1:16" ht="64.05" customHeight="1" x14ac:dyDescent="0.3">
      <c r="A1536" s="154" t="s">
        <v>8289</v>
      </c>
      <c r="B1536" s="154" t="s">
        <v>8282</v>
      </c>
      <c r="C1536" s="154" t="s">
        <v>68</v>
      </c>
      <c r="D1536" s="154">
        <v>2023</v>
      </c>
      <c r="E1536" s="154" t="s">
        <v>187</v>
      </c>
      <c r="F1536" s="173" t="s">
        <v>6097</v>
      </c>
      <c r="G1536" s="166">
        <f>(365*LUCK!E32)</f>
        <v>1285869.8149999999</v>
      </c>
      <c r="H1536" s="166">
        <f>LUCK!F84</f>
        <v>95832.146999999997</v>
      </c>
      <c r="I1536" s="164">
        <f t="shared" si="69"/>
        <v>13.417938085014416</v>
      </c>
      <c r="J1536" s="164">
        <v>13.417938085014416</v>
      </c>
      <c r="K1536" s="168">
        <f t="shared" si="70"/>
        <v>0</v>
      </c>
      <c r="L1536" s="164">
        <v>16.399999999999999</v>
      </c>
      <c r="M1536" s="154">
        <v>2</v>
      </c>
      <c r="N1536" s="154" t="str">
        <f t="shared" si="71"/>
        <v>No fit</v>
      </c>
      <c r="O1536" s="173" t="s">
        <v>6091</v>
      </c>
      <c r="P1536" s="173" t="s">
        <v>6051</v>
      </c>
    </row>
    <row r="1537" spans="1:16" ht="64.05" customHeight="1" x14ac:dyDescent="0.3">
      <c r="A1537" s="151" t="s">
        <v>8290</v>
      </c>
      <c r="B1537" s="151" t="s">
        <v>8282</v>
      </c>
      <c r="C1537" s="151" t="s">
        <v>68</v>
      </c>
      <c r="D1537" s="151">
        <v>2023</v>
      </c>
      <c r="E1537" s="151" t="s">
        <v>187</v>
      </c>
      <c r="F1537" s="174" t="s">
        <v>6099</v>
      </c>
      <c r="G1537" s="167">
        <f>(366*LUCK!E32)</f>
        <v>1289392.746</v>
      </c>
      <c r="H1537" s="167">
        <f>LUCK!F84</f>
        <v>95832.146999999997</v>
      </c>
      <c r="I1537" s="165">
        <f t="shared" si="69"/>
        <v>13.454699559219936</v>
      </c>
      <c r="J1537" s="165">
        <v>13.454699559219936</v>
      </c>
      <c r="K1537" s="169">
        <f t="shared" si="70"/>
        <v>0</v>
      </c>
      <c r="L1537" s="165">
        <v>16.399999999999999</v>
      </c>
      <c r="M1537" s="151">
        <v>2</v>
      </c>
      <c r="N1537" s="151" t="str">
        <f t="shared" si="71"/>
        <v>No fit</v>
      </c>
      <c r="O1537" s="174" t="s">
        <v>6091</v>
      </c>
      <c r="P1537" s="174" t="s">
        <v>6051</v>
      </c>
    </row>
    <row r="1538" spans="1:16" ht="64.05" customHeight="1" x14ac:dyDescent="0.3">
      <c r="A1538" s="154" t="s">
        <v>8291</v>
      </c>
      <c r="B1538" s="154" t="s">
        <v>8282</v>
      </c>
      <c r="C1538" s="154" t="s">
        <v>68</v>
      </c>
      <c r="D1538" s="154">
        <v>2023</v>
      </c>
      <c r="E1538" s="154" t="s">
        <v>187</v>
      </c>
      <c r="F1538" s="173" t="s">
        <v>6101</v>
      </c>
      <c r="G1538" s="166">
        <f>(360*LUCK!E32)</f>
        <v>1268255.1599999999</v>
      </c>
      <c r="H1538" s="166">
        <f>LUCK!F84</f>
        <v>95832.146999999997</v>
      </c>
      <c r="I1538" s="164">
        <f t="shared" si="69"/>
        <v>13.23413071398682</v>
      </c>
      <c r="J1538" s="164">
        <v>13.23413071398682</v>
      </c>
      <c r="K1538" s="168">
        <f t="shared" si="70"/>
        <v>0</v>
      </c>
      <c r="L1538" s="164">
        <v>16.399999999999999</v>
      </c>
      <c r="M1538" s="154">
        <v>2</v>
      </c>
      <c r="N1538" s="154" t="str">
        <f t="shared" si="71"/>
        <v>No fit</v>
      </c>
      <c r="O1538" s="173" t="s">
        <v>6091</v>
      </c>
      <c r="P1538" s="173" t="s">
        <v>6051</v>
      </c>
    </row>
    <row r="1539" spans="1:16" ht="64.05" customHeight="1" x14ac:dyDescent="0.3">
      <c r="A1539" s="151" t="s">
        <v>8292</v>
      </c>
      <c r="B1539" s="151" t="s">
        <v>8282</v>
      </c>
      <c r="C1539" s="151" t="s">
        <v>68</v>
      </c>
      <c r="D1539" s="151">
        <v>2023</v>
      </c>
      <c r="E1539" s="151" t="s">
        <v>187</v>
      </c>
      <c r="F1539" s="174" t="s">
        <v>5762</v>
      </c>
      <c r="G1539" s="167">
        <f>365</f>
        <v>365</v>
      </c>
      <c r="H1539" s="167">
        <f>ROUND((LUCK!F84/AVERAGE(LUCK!E32,LUCK!F32)),2)</f>
        <v>22.25</v>
      </c>
      <c r="I1539" s="165">
        <f t="shared" si="69"/>
        <v>16.40449438202247</v>
      </c>
      <c r="J1539" s="165">
        <v>16.40449438202247</v>
      </c>
      <c r="K1539" s="169">
        <f t="shared" si="70"/>
        <v>0</v>
      </c>
      <c r="L1539" s="165">
        <v>16.399999999999999</v>
      </c>
      <c r="M1539" s="151">
        <v>2</v>
      </c>
      <c r="N1539" s="151" t="str">
        <f t="shared" si="71"/>
        <v>Numeric fit</v>
      </c>
      <c r="O1539" s="174" t="s">
        <v>6103</v>
      </c>
      <c r="P1539" s="174" t="s">
        <v>6051</v>
      </c>
    </row>
    <row r="1540" spans="1:16" ht="64.05" customHeight="1" x14ac:dyDescent="0.3">
      <c r="A1540" s="154" t="s">
        <v>8293</v>
      </c>
      <c r="B1540" s="154" t="s">
        <v>8294</v>
      </c>
      <c r="C1540" s="154" t="s">
        <v>68</v>
      </c>
      <c r="D1540" s="154">
        <v>2024</v>
      </c>
      <c r="E1540" s="154" t="s">
        <v>187</v>
      </c>
      <c r="F1540" s="173" t="s">
        <v>5893</v>
      </c>
      <c r="G1540" s="166">
        <f>365*AVERAGE(LUCK!F32,LUCK!G32)</f>
        <v>2194041.645</v>
      </c>
      <c r="H1540" s="166">
        <f>LUCK!G84</f>
        <v>115324.942</v>
      </c>
      <c r="I1540" s="164">
        <f t="shared" si="69"/>
        <v>19.024866667611246</v>
      </c>
      <c r="J1540" s="164">
        <v>19.024866667611246</v>
      </c>
      <c r="K1540" s="168">
        <f t="shared" si="70"/>
        <v>0</v>
      </c>
      <c r="L1540" s="164">
        <v>19.02</v>
      </c>
      <c r="M1540" s="154">
        <v>2</v>
      </c>
      <c r="N1540" s="154" t="str">
        <f t="shared" si="71"/>
        <v>Numeric fit</v>
      </c>
      <c r="O1540" s="173" t="s">
        <v>6050</v>
      </c>
      <c r="P1540" s="173" t="s">
        <v>6051</v>
      </c>
    </row>
    <row r="1541" spans="1:16" ht="64.05" customHeight="1" x14ac:dyDescent="0.3">
      <c r="A1541" s="151" t="s">
        <v>8295</v>
      </c>
      <c r="B1541" s="151" t="s">
        <v>8294</v>
      </c>
      <c r="C1541" s="151" t="s">
        <v>68</v>
      </c>
      <c r="D1541" s="151">
        <v>2024</v>
      </c>
      <c r="E1541" s="151" t="s">
        <v>187</v>
      </c>
      <c r="F1541" s="174" t="s">
        <v>6084</v>
      </c>
      <c r="G1541" s="167">
        <f>(365*AVERAGE(LUCK!F32,LUCK!G32))</f>
        <v>2194041.645</v>
      </c>
      <c r="H1541" s="167">
        <f>LUCK!G84</f>
        <v>115324.942</v>
      </c>
      <c r="I1541" s="165">
        <f t="shared" si="69"/>
        <v>19.024866667611246</v>
      </c>
      <c r="J1541" s="165">
        <v>19.024866667611246</v>
      </c>
      <c r="K1541" s="169">
        <f t="shared" si="70"/>
        <v>0</v>
      </c>
      <c r="L1541" s="165">
        <v>19.02</v>
      </c>
      <c r="M1541" s="151">
        <v>2</v>
      </c>
      <c r="N1541" s="151" t="str">
        <f t="shared" si="71"/>
        <v>Numeric fit</v>
      </c>
      <c r="O1541" s="174" t="s">
        <v>6085</v>
      </c>
      <c r="P1541" s="174" t="s">
        <v>6051</v>
      </c>
    </row>
    <row r="1542" spans="1:16" ht="64.05" customHeight="1" x14ac:dyDescent="0.3">
      <c r="A1542" s="154" t="s">
        <v>8296</v>
      </c>
      <c r="B1542" s="154" t="s">
        <v>8294</v>
      </c>
      <c r="C1542" s="154" t="s">
        <v>68</v>
      </c>
      <c r="D1542" s="154">
        <v>2024</v>
      </c>
      <c r="E1542" s="154" t="s">
        <v>187</v>
      </c>
      <c r="F1542" s="173" t="s">
        <v>5814</v>
      </c>
      <c r="G1542" s="166">
        <f>(366*AVERAGE(LUCK!F32,LUCK!G32))</f>
        <v>2200052.7180000003</v>
      </c>
      <c r="H1542" s="166">
        <f>LUCK!G84</f>
        <v>115324.942</v>
      </c>
      <c r="I1542" s="164">
        <f t="shared" ref="I1542:I1605" si="72">G1542/H1542</f>
        <v>19.076989589988266</v>
      </c>
      <c r="J1542" s="164">
        <v>19.076989589988266</v>
      </c>
      <c r="K1542" s="168">
        <f t="shared" ref="K1542:K1605" si="73">I1542-J1542</f>
        <v>0</v>
      </c>
      <c r="L1542" s="164">
        <v>19.02</v>
      </c>
      <c r="M1542" s="154">
        <v>2</v>
      </c>
      <c r="N1542" s="154" t="str">
        <f t="shared" ref="N1542:N1605" si="74">IF(ROUND(I1542,M1542)=ROUND(L1542,M1542),"Numeric fit","No fit")</f>
        <v>No fit</v>
      </c>
      <c r="O1542" s="173" t="s">
        <v>6085</v>
      </c>
      <c r="P1542" s="173" t="s">
        <v>6051</v>
      </c>
    </row>
    <row r="1543" spans="1:16" ht="64.05" customHeight="1" x14ac:dyDescent="0.3">
      <c r="A1543" s="151" t="s">
        <v>8297</v>
      </c>
      <c r="B1543" s="151" t="s">
        <v>8294</v>
      </c>
      <c r="C1543" s="151" t="s">
        <v>68</v>
      </c>
      <c r="D1543" s="151">
        <v>2024</v>
      </c>
      <c r="E1543" s="151" t="s">
        <v>187</v>
      </c>
      <c r="F1543" s="174" t="s">
        <v>6088</v>
      </c>
      <c r="G1543" s="167">
        <f>(360*AVERAGE(LUCK!F32,LUCK!G32))</f>
        <v>2163986.2800000003</v>
      </c>
      <c r="H1543" s="167">
        <f>LUCK!G84</f>
        <v>115324.942</v>
      </c>
      <c r="I1543" s="165">
        <f t="shared" si="72"/>
        <v>18.764252055726161</v>
      </c>
      <c r="J1543" s="165">
        <v>18.764252055726161</v>
      </c>
      <c r="K1543" s="169">
        <f t="shared" si="73"/>
        <v>0</v>
      </c>
      <c r="L1543" s="165">
        <v>19.02</v>
      </c>
      <c r="M1543" s="151">
        <v>2</v>
      </c>
      <c r="N1543" s="151" t="str">
        <f t="shared" si="74"/>
        <v>No fit</v>
      </c>
      <c r="O1543" s="174" t="s">
        <v>6085</v>
      </c>
      <c r="P1543" s="174" t="s">
        <v>6051</v>
      </c>
    </row>
    <row r="1544" spans="1:16" ht="64.05" customHeight="1" x14ac:dyDescent="0.3">
      <c r="A1544" s="154" t="s">
        <v>8298</v>
      </c>
      <c r="B1544" s="154" t="s">
        <v>8294</v>
      </c>
      <c r="C1544" s="154" t="s">
        <v>68</v>
      </c>
      <c r="D1544" s="154">
        <v>2024</v>
      </c>
      <c r="E1544" s="154" t="s">
        <v>187</v>
      </c>
      <c r="F1544" s="173" t="s">
        <v>6090</v>
      </c>
      <c r="G1544" s="166">
        <f>(365*LUCK!G32)</f>
        <v>2530354.835</v>
      </c>
      <c r="H1544" s="166">
        <f>LUCK!G84</f>
        <v>115324.942</v>
      </c>
      <c r="I1544" s="164">
        <f t="shared" si="72"/>
        <v>21.941089161787744</v>
      </c>
      <c r="J1544" s="164">
        <v>21.941089161787744</v>
      </c>
      <c r="K1544" s="168">
        <f t="shared" si="73"/>
        <v>0</v>
      </c>
      <c r="L1544" s="164">
        <v>19.02</v>
      </c>
      <c r="M1544" s="154">
        <v>2</v>
      </c>
      <c r="N1544" s="154" t="str">
        <f t="shared" si="74"/>
        <v>No fit</v>
      </c>
      <c r="O1544" s="173" t="s">
        <v>6091</v>
      </c>
      <c r="P1544" s="173" t="s">
        <v>6051</v>
      </c>
    </row>
    <row r="1545" spans="1:16" ht="64.05" customHeight="1" x14ac:dyDescent="0.3">
      <c r="A1545" s="151" t="s">
        <v>8299</v>
      </c>
      <c r="B1545" s="151" t="s">
        <v>8294</v>
      </c>
      <c r="C1545" s="151" t="s">
        <v>68</v>
      </c>
      <c r="D1545" s="151">
        <v>2024</v>
      </c>
      <c r="E1545" s="151" t="s">
        <v>187</v>
      </c>
      <c r="F1545" s="174" t="s">
        <v>6093</v>
      </c>
      <c r="G1545" s="167">
        <f>(366*LUCK!G32)</f>
        <v>2537287.3140000002</v>
      </c>
      <c r="H1545" s="167">
        <f>LUCK!G84</f>
        <v>115324.942</v>
      </c>
      <c r="I1545" s="165">
        <f t="shared" si="72"/>
        <v>22.001201734833739</v>
      </c>
      <c r="J1545" s="165">
        <v>22.001201734833739</v>
      </c>
      <c r="K1545" s="169">
        <f t="shared" si="73"/>
        <v>0</v>
      </c>
      <c r="L1545" s="165">
        <v>19.02</v>
      </c>
      <c r="M1545" s="151">
        <v>2</v>
      </c>
      <c r="N1545" s="151" t="str">
        <f t="shared" si="74"/>
        <v>No fit</v>
      </c>
      <c r="O1545" s="174" t="s">
        <v>6091</v>
      </c>
      <c r="P1545" s="174" t="s">
        <v>6051</v>
      </c>
    </row>
    <row r="1546" spans="1:16" ht="64.05" customHeight="1" x14ac:dyDescent="0.3">
      <c r="A1546" s="154" t="s">
        <v>8300</v>
      </c>
      <c r="B1546" s="154" t="s">
        <v>8294</v>
      </c>
      <c r="C1546" s="154" t="s">
        <v>68</v>
      </c>
      <c r="D1546" s="154">
        <v>2024</v>
      </c>
      <c r="E1546" s="154" t="s">
        <v>187</v>
      </c>
      <c r="F1546" s="173" t="s">
        <v>6095</v>
      </c>
      <c r="G1546" s="166">
        <f>(360*LUCK!G32)</f>
        <v>2495692.44</v>
      </c>
      <c r="H1546" s="166">
        <f>LUCK!G84</f>
        <v>115324.942</v>
      </c>
      <c r="I1546" s="164">
        <f t="shared" si="72"/>
        <v>21.640526296557773</v>
      </c>
      <c r="J1546" s="164">
        <v>21.640526296557773</v>
      </c>
      <c r="K1546" s="168">
        <f t="shared" si="73"/>
        <v>0</v>
      </c>
      <c r="L1546" s="164">
        <v>19.02</v>
      </c>
      <c r="M1546" s="154">
        <v>2</v>
      </c>
      <c r="N1546" s="154" t="str">
        <f t="shared" si="74"/>
        <v>No fit</v>
      </c>
      <c r="O1546" s="173" t="s">
        <v>6091</v>
      </c>
      <c r="P1546" s="173" t="s">
        <v>6051</v>
      </c>
    </row>
    <row r="1547" spans="1:16" ht="64.05" customHeight="1" x14ac:dyDescent="0.3">
      <c r="A1547" s="151" t="s">
        <v>8301</v>
      </c>
      <c r="B1547" s="151" t="s">
        <v>8294</v>
      </c>
      <c r="C1547" s="151" t="s">
        <v>68</v>
      </c>
      <c r="D1547" s="151">
        <v>2024</v>
      </c>
      <c r="E1547" s="151" t="s">
        <v>187</v>
      </c>
      <c r="F1547" s="174" t="s">
        <v>6097</v>
      </c>
      <c r="G1547" s="167">
        <f>(365*LUCK!F32)</f>
        <v>1857728.4550000001</v>
      </c>
      <c r="H1547" s="167">
        <f>LUCK!G84</f>
        <v>115324.942</v>
      </c>
      <c r="I1547" s="165">
        <f t="shared" si="72"/>
        <v>16.108644173434747</v>
      </c>
      <c r="J1547" s="165">
        <v>16.108644173434747</v>
      </c>
      <c r="K1547" s="169">
        <f t="shared" si="73"/>
        <v>0</v>
      </c>
      <c r="L1547" s="165">
        <v>19.02</v>
      </c>
      <c r="M1547" s="151">
        <v>2</v>
      </c>
      <c r="N1547" s="151" t="str">
        <f t="shared" si="74"/>
        <v>No fit</v>
      </c>
      <c r="O1547" s="174" t="s">
        <v>6091</v>
      </c>
      <c r="P1547" s="174" t="s">
        <v>6051</v>
      </c>
    </row>
    <row r="1548" spans="1:16" ht="64.05" customHeight="1" x14ac:dyDescent="0.3">
      <c r="A1548" s="154" t="s">
        <v>8302</v>
      </c>
      <c r="B1548" s="154" t="s">
        <v>8294</v>
      </c>
      <c r="C1548" s="154" t="s">
        <v>68</v>
      </c>
      <c r="D1548" s="154">
        <v>2024</v>
      </c>
      <c r="E1548" s="154" t="s">
        <v>187</v>
      </c>
      <c r="F1548" s="173" t="s">
        <v>6099</v>
      </c>
      <c r="G1548" s="166">
        <f>(366*LUCK!F32)</f>
        <v>1862818.1220000002</v>
      </c>
      <c r="H1548" s="166">
        <f>LUCK!G84</f>
        <v>115324.942</v>
      </c>
      <c r="I1548" s="164">
        <f t="shared" si="72"/>
        <v>16.152777445142789</v>
      </c>
      <c r="J1548" s="164">
        <v>16.152777445142789</v>
      </c>
      <c r="K1548" s="168">
        <f t="shared" si="73"/>
        <v>0</v>
      </c>
      <c r="L1548" s="164">
        <v>19.02</v>
      </c>
      <c r="M1548" s="154">
        <v>2</v>
      </c>
      <c r="N1548" s="154" t="str">
        <f t="shared" si="74"/>
        <v>No fit</v>
      </c>
      <c r="O1548" s="173" t="s">
        <v>6091</v>
      </c>
      <c r="P1548" s="173" t="s">
        <v>6051</v>
      </c>
    </row>
    <row r="1549" spans="1:16" ht="64.05" customHeight="1" x14ac:dyDescent="0.3">
      <c r="A1549" s="151" t="s">
        <v>8303</v>
      </c>
      <c r="B1549" s="151" t="s">
        <v>8294</v>
      </c>
      <c r="C1549" s="151" t="s">
        <v>68</v>
      </c>
      <c r="D1549" s="151">
        <v>2024</v>
      </c>
      <c r="E1549" s="151" t="s">
        <v>187</v>
      </c>
      <c r="F1549" s="174" t="s">
        <v>6101</v>
      </c>
      <c r="G1549" s="167">
        <f>(360*LUCK!F32)</f>
        <v>1832280.12</v>
      </c>
      <c r="H1549" s="167">
        <f>LUCK!G84</f>
        <v>115324.942</v>
      </c>
      <c r="I1549" s="165">
        <f t="shared" si="72"/>
        <v>15.887977814894546</v>
      </c>
      <c r="J1549" s="165">
        <v>15.887977814894546</v>
      </c>
      <c r="K1549" s="169">
        <f t="shared" si="73"/>
        <v>0</v>
      </c>
      <c r="L1549" s="165">
        <v>19.02</v>
      </c>
      <c r="M1549" s="151">
        <v>2</v>
      </c>
      <c r="N1549" s="151" t="str">
        <f t="shared" si="74"/>
        <v>No fit</v>
      </c>
      <c r="O1549" s="174" t="s">
        <v>6091</v>
      </c>
      <c r="P1549" s="174" t="s">
        <v>6051</v>
      </c>
    </row>
    <row r="1550" spans="1:16" ht="64.05" customHeight="1" x14ac:dyDescent="0.3">
      <c r="A1550" s="154" t="s">
        <v>8304</v>
      </c>
      <c r="B1550" s="154" t="s">
        <v>8294</v>
      </c>
      <c r="C1550" s="154" t="s">
        <v>68</v>
      </c>
      <c r="D1550" s="154">
        <v>2024</v>
      </c>
      <c r="E1550" s="154" t="s">
        <v>187</v>
      </c>
      <c r="F1550" s="173" t="s">
        <v>5762</v>
      </c>
      <c r="G1550" s="166">
        <f>365</f>
        <v>365</v>
      </c>
      <c r="H1550" s="166">
        <f>ROUND((LUCK!G84/AVERAGE(LUCK!F32,LUCK!G32)),2)</f>
        <v>19.190000000000001</v>
      </c>
      <c r="I1550" s="164">
        <f t="shared" si="72"/>
        <v>19.02032308494007</v>
      </c>
      <c r="J1550" s="164">
        <v>19.02032308494007</v>
      </c>
      <c r="K1550" s="168">
        <f t="shared" si="73"/>
        <v>0</v>
      </c>
      <c r="L1550" s="164">
        <v>19.02</v>
      </c>
      <c r="M1550" s="154">
        <v>2</v>
      </c>
      <c r="N1550" s="154" t="str">
        <f t="shared" si="74"/>
        <v>Numeric fit</v>
      </c>
      <c r="O1550" s="173" t="s">
        <v>6103</v>
      </c>
      <c r="P1550" s="173" t="s">
        <v>6051</v>
      </c>
    </row>
    <row r="1551" spans="1:16" ht="64.05" customHeight="1" x14ac:dyDescent="0.3">
      <c r="A1551" s="151" t="s">
        <v>8305</v>
      </c>
      <c r="B1551" s="151" t="s">
        <v>8306</v>
      </c>
      <c r="C1551" s="151" t="s">
        <v>106</v>
      </c>
      <c r="D1551" s="151">
        <v>2023</v>
      </c>
      <c r="E1551" s="151" t="s">
        <v>31</v>
      </c>
      <c r="F1551" s="174" t="s">
        <v>5893</v>
      </c>
      <c r="G1551" s="167">
        <f>-MLCF!F85</f>
        <v>43901.906000000003</v>
      </c>
      <c r="H1551" s="167">
        <f>AVERAGE(MLCF!E65,MLCF!F65)</f>
        <v>14674.842999999999</v>
      </c>
      <c r="I1551" s="165">
        <f t="shared" si="72"/>
        <v>2.991643999189634</v>
      </c>
      <c r="J1551" s="165">
        <v>2.991643999189634</v>
      </c>
      <c r="K1551" s="169">
        <f t="shared" si="73"/>
        <v>0</v>
      </c>
      <c r="L1551" s="165">
        <v>13.36</v>
      </c>
      <c r="M1551" s="151">
        <v>2</v>
      </c>
      <c r="N1551" s="151" t="str">
        <f t="shared" si="74"/>
        <v>No fit</v>
      </c>
      <c r="O1551" s="174" t="s">
        <v>6050</v>
      </c>
      <c r="P1551" s="174" t="s">
        <v>6051</v>
      </c>
    </row>
    <row r="1552" spans="1:16" ht="64.05" customHeight="1" x14ac:dyDescent="0.3">
      <c r="A1552" s="154" t="s">
        <v>8307</v>
      </c>
      <c r="B1552" s="154" t="s">
        <v>8306</v>
      </c>
      <c r="C1552" s="154" t="s">
        <v>106</v>
      </c>
      <c r="D1552" s="154">
        <v>2023</v>
      </c>
      <c r="E1552" s="154" t="s">
        <v>31</v>
      </c>
      <c r="F1552" s="173" t="s">
        <v>6809</v>
      </c>
      <c r="G1552" s="166">
        <f>(MLCF!F85*-1)</f>
        <v>43901.906000000003</v>
      </c>
      <c r="H1552" s="166">
        <f>AVERAGE(MLCF!E31,MLCF!F31)</f>
        <v>3285.1130000000003</v>
      </c>
      <c r="I1552" s="164">
        <f t="shared" si="72"/>
        <v>13.363895245003748</v>
      </c>
      <c r="J1552" s="164">
        <v>13.363895245003748</v>
      </c>
      <c r="K1552" s="168">
        <f t="shared" si="73"/>
        <v>0</v>
      </c>
      <c r="L1552" s="164">
        <v>13.36</v>
      </c>
      <c r="M1552" s="154">
        <v>2</v>
      </c>
      <c r="N1552" s="154" t="str">
        <f t="shared" si="74"/>
        <v>Numeric fit</v>
      </c>
      <c r="O1552" s="173" t="s">
        <v>6810</v>
      </c>
      <c r="P1552" s="173" t="s">
        <v>6051</v>
      </c>
    </row>
    <row r="1553" spans="1:16" ht="64.05" customHeight="1" x14ac:dyDescent="0.3">
      <c r="A1553" s="151" t="s">
        <v>8308</v>
      </c>
      <c r="B1553" s="151" t="s">
        <v>8306</v>
      </c>
      <c r="C1553" s="151" t="s">
        <v>106</v>
      </c>
      <c r="D1553" s="151">
        <v>2023</v>
      </c>
      <c r="E1553" s="151" t="s">
        <v>31</v>
      </c>
      <c r="F1553" s="174" t="s">
        <v>5925</v>
      </c>
      <c r="G1553" s="167">
        <f>(MLCF!F85*-1)</f>
        <v>43901.906000000003</v>
      </c>
      <c r="H1553" s="167">
        <f>AVERAGE(MLCF!E31,MLCF!F31)</f>
        <v>3285.1130000000003</v>
      </c>
      <c r="I1553" s="165">
        <f t="shared" si="72"/>
        <v>13.363895245003748</v>
      </c>
      <c r="J1553" s="165">
        <v>13.363895245003748</v>
      </c>
      <c r="K1553" s="169">
        <f t="shared" si="73"/>
        <v>0</v>
      </c>
      <c r="L1553" s="165">
        <v>13.36</v>
      </c>
      <c r="M1553" s="151">
        <v>2</v>
      </c>
      <c r="N1553" s="151" t="str">
        <f t="shared" si="74"/>
        <v>Numeric fit</v>
      </c>
      <c r="O1553" s="174" t="s">
        <v>6810</v>
      </c>
      <c r="P1553" s="174" t="s">
        <v>6051</v>
      </c>
    </row>
    <row r="1554" spans="1:16" ht="64.05" customHeight="1" x14ac:dyDescent="0.3">
      <c r="A1554" s="154" t="s">
        <v>8309</v>
      </c>
      <c r="B1554" s="154" t="s">
        <v>8306</v>
      </c>
      <c r="C1554" s="154" t="s">
        <v>106</v>
      </c>
      <c r="D1554" s="154">
        <v>2023</v>
      </c>
      <c r="E1554" s="154" t="s">
        <v>31</v>
      </c>
      <c r="F1554" s="173" t="s">
        <v>6814</v>
      </c>
      <c r="G1554" s="166">
        <f>(MLCF!F85*-1)</f>
        <v>43901.906000000003</v>
      </c>
      <c r="H1554" s="166">
        <f>MLCF!F31</f>
        <v>3874.605</v>
      </c>
      <c r="I1554" s="164">
        <f t="shared" si="72"/>
        <v>11.330679127291686</v>
      </c>
      <c r="J1554" s="164">
        <v>11.330679127291686</v>
      </c>
      <c r="K1554" s="168">
        <f t="shared" si="73"/>
        <v>0</v>
      </c>
      <c r="L1554" s="164">
        <v>13.36</v>
      </c>
      <c r="M1554" s="154">
        <v>2</v>
      </c>
      <c r="N1554" s="154" t="str">
        <f t="shared" si="74"/>
        <v>No fit</v>
      </c>
      <c r="O1554" s="173" t="s">
        <v>8310</v>
      </c>
      <c r="P1554" s="173" t="s">
        <v>6051</v>
      </c>
    </row>
    <row r="1555" spans="1:16" ht="64.05" customHeight="1" x14ac:dyDescent="0.3">
      <c r="A1555" s="151" t="s">
        <v>8311</v>
      </c>
      <c r="B1555" s="151" t="s">
        <v>8312</v>
      </c>
      <c r="C1555" s="151" t="s">
        <v>106</v>
      </c>
      <c r="D1555" s="151">
        <v>2024</v>
      </c>
      <c r="E1555" s="151" t="s">
        <v>31</v>
      </c>
      <c r="F1555" s="174" t="s">
        <v>5893</v>
      </c>
      <c r="G1555" s="167">
        <f>-MLCF!G85</f>
        <v>45488.063999999998</v>
      </c>
      <c r="H1555" s="167">
        <f>AVERAGE(MLCF!F65,MLCF!G65)</f>
        <v>14667.1505</v>
      </c>
      <c r="I1555" s="165">
        <f t="shared" si="72"/>
        <v>3.1013565995658121</v>
      </c>
      <c r="J1555" s="165">
        <v>3.1013565995658121</v>
      </c>
      <c r="K1555" s="169">
        <f t="shared" si="73"/>
        <v>0</v>
      </c>
      <c r="L1555" s="165">
        <v>12.76</v>
      </c>
      <c r="M1555" s="151">
        <v>2</v>
      </c>
      <c r="N1555" s="151" t="str">
        <f t="shared" si="74"/>
        <v>No fit</v>
      </c>
      <c r="O1555" s="174" t="s">
        <v>6050</v>
      </c>
      <c r="P1555" s="174" t="s">
        <v>6051</v>
      </c>
    </row>
    <row r="1556" spans="1:16" ht="64.05" customHeight="1" x14ac:dyDescent="0.3">
      <c r="A1556" s="154" t="s">
        <v>8313</v>
      </c>
      <c r="B1556" s="154" t="s">
        <v>8312</v>
      </c>
      <c r="C1556" s="154" t="s">
        <v>106</v>
      </c>
      <c r="D1556" s="154">
        <v>2024</v>
      </c>
      <c r="E1556" s="154" t="s">
        <v>31</v>
      </c>
      <c r="F1556" s="173" t="s">
        <v>6809</v>
      </c>
      <c r="G1556" s="166">
        <f>(MLCF!G85*-1)</f>
        <v>45488.063999999998</v>
      </c>
      <c r="H1556" s="166">
        <f>AVERAGE(MLCF!F31,MLCF!G31)</f>
        <v>3565.5789999999997</v>
      </c>
      <c r="I1556" s="164">
        <f t="shared" si="72"/>
        <v>12.757553261335676</v>
      </c>
      <c r="J1556" s="164">
        <v>12.757553261335676</v>
      </c>
      <c r="K1556" s="168">
        <f t="shared" si="73"/>
        <v>0</v>
      </c>
      <c r="L1556" s="164">
        <v>12.76</v>
      </c>
      <c r="M1556" s="154">
        <v>2</v>
      </c>
      <c r="N1556" s="154" t="str">
        <f t="shared" si="74"/>
        <v>Numeric fit</v>
      </c>
      <c r="O1556" s="173" t="s">
        <v>6810</v>
      </c>
      <c r="P1556" s="173" t="s">
        <v>6051</v>
      </c>
    </row>
    <row r="1557" spans="1:16" ht="64.05" customHeight="1" x14ac:dyDescent="0.3">
      <c r="A1557" s="151" t="s">
        <v>8314</v>
      </c>
      <c r="B1557" s="151" t="s">
        <v>8312</v>
      </c>
      <c r="C1557" s="151" t="s">
        <v>106</v>
      </c>
      <c r="D1557" s="151">
        <v>2024</v>
      </c>
      <c r="E1557" s="151" t="s">
        <v>31</v>
      </c>
      <c r="F1557" s="174" t="s">
        <v>5925</v>
      </c>
      <c r="G1557" s="167">
        <f>(MLCF!G85*-1)</f>
        <v>45488.063999999998</v>
      </c>
      <c r="H1557" s="167">
        <f>AVERAGE(MLCF!F31,MLCF!G31)</f>
        <v>3565.5789999999997</v>
      </c>
      <c r="I1557" s="165">
        <f t="shared" si="72"/>
        <v>12.757553261335676</v>
      </c>
      <c r="J1557" s="165">
        <v>12.757553261335676</v>
      </c>
      <c r="K1557" s="169">
        <f t="shared" si="73"/>
        <v>0</v>
      </c>
      <c r="L1557" s="165">
        <v>12.76</v>
      </c>
      <c r="M1557" s="151">
        <v>2</v>
      </c>
      <c r="N1557" s="151" t="str">
        <f t="shared" si="74"/>
        <v>Numeric fit</v>
      </c>
      <c r="O1557" s="174" t="s">
        <v>6810</v>
      </c>
      <c r="P1557" s="174" t="s">
        <v>6051</v>
      </c>
    </row>
    <row r="1558" spans="1:16" ht="64.05" customHeight="1" x14ac:dyDescent="0.3">
      <c r="A1558" s="154" t="s">
        <v>8315</v>
      </c>
      <c r="B1558" s="154" t="s">
        <v>8312</v>
      </c>
      <c r="C1558" s="154" t="s">
        <v>106</v>
      </c>
      <c r="D1558" s="154">
        <v>2024</v>
      </c>
      <c r="E1558" s="154" t="s">
        <v>31</v>
      </c>
      <c r="F1558" s="173" t="s">
        <v>6814</v>
      </c>
      <c r="G1558" s="166">
        <f>(MLCF!G85*-1)</f>
        <v>45488.063999999998</v>
      </c>
      <c r="H1558" s="166">
        <f>MLCF!G31</f>
        <v>3256.5529999999999</v>
      </c>
      <c r="I1558" s="164">
        <f t="shared" si="72"/>
        <v>13.968163269567546</v>
      </c>
      <c r="J1558" s="164">
        <v>13.968163269567546</v>
      </c>
      <c r="K1558" s="168">
        <f t="shared" si="73"/>
        <v>0</v>
      </c>
      <c r="L1558" s="164">
        <v>12.76</v>
      </c>
      <c r="M1558" s="154">
        <v>2</v>
      </c>
      <c r="N1558" s="154" t="str">
        <f t="shared" si="74"/>
        <v>No fit</v>
      </c>
      <c r="O1558" s="173" t="s">
        <v>8310</v>
      </c>
      <c r="P1558" s="173" t="s">
        <v>6051</v>
      </c>
    </row>
    <row r="1559" spans="1:16" ht="64.05" customHeight="1" x14ac:dyDescent="0.3">
      <c r="A1559" s="151" t="s">
        <v>8316</v>
      </c>
      <c r="B1559" s="151" t="s">
        <v>8317</v>
      </c>
      <c r="C1559" s="151" t="s">
        <v>106</v>
      </c>
      <c r="D1559" s="151">
        <v>2025</v>
      </c>
      <c r="E1559" s="151" t="s">
        <v>31</v>
      </c>
      <c r="F1559" s="174" t="s">
        <v>5893</v>
      </c>
      <c r="G1559" s="167">
        <f>-MLCF!H85</f>
        <v>45195.63</v>
      </c>
      <c r="H1559" s="167">
        <f>AVERAGE(MLCF!G65,MLCF!H65)</f>
        <v>16219.071</v>
      </c>
      <c r="I1559" s="165">
        <f t="shared" si="72"/>
        <v>2.7865732877055658</v>
      </c>
      <c r="J1559" s="165">
        <v>2.7865732877055658</v>
      </c>
      <c r="K1559" s="169">
        <f t="shared" si="73"/>
        <v>0</v>
      </c>
      <c r="L1559" s="165">
        <v>11.74</v>
      </c>
      <c r="M1559" s="151">
        <v>2</v>
      </c>
      <c r="N1559" s="151" t="str">
        <f t="shared" si="74"/>
        <v>No fit</v>
      </c>
      <c r="O1559" s="174" t="s">
        <v>6050</v>
      </c>
      <c r="P1559" s="174" t="s">
        <v>6051</v>
      </c>
    </row>
    <row r="1560" spans="1:16" ht="64.05" customHeight="1" x14ac:dyDescent="0.3">
      <c r="A1560" s="154" t="s">
        <v>8318</v>
      </c>
      <c r="B1560" s="154" t="s">
        <v>8317</v>
      </c>
      <c r="C1560" s="154" t="s">
        <v>106</v>
      </c>
      <c r="D1560" s="154">
        <v>2025</v>
      </c>
      <c r="E1560" s="154" t="s">
        <v>31</v>
      </c>
      <c r="F1560" s="173" t="s">
        <v>6809</v>
      </c>
      <c r="G1560" s="166">
        <f>(MLCF!H85*-1)</f>
        <v>45195.63</v>
      </c>
      <c r="H1560" s="166">
        <f>AVERAGE(MLCF!G31,MLCF!H31)</f>
        <v>3849.7709999999997</v>
      </c>
      <c r="I1560" s="164">
        <f t="shared" si="72"/>
        <v>11.739822966093309</v>
      </c>
      <c r="J1560" s="164">
        <v>11.739822966093309</v>
      </c>
      <c r="K1560" s="168">
        <f t="shared" si="73"/>
        <v>0</v>
      </c>
      <c r="L1560" s="164">
        <v>11.74</v>
      </c>
      <c r="M1560" s="154">
        <v>2</v>
      </c>
      <c r="N1560" s="154" t="str">
        <f t="shared" si="74"/>
        <v>Numeric fit</v>
      </c>
      <c r="O1560" s="173" t="s">
        <v>6810</v>
      </c>
      <c r="P1560" s="173" t="s">
        <v>6051</v>
      </c>
    </row>
    <row r="1561" spans="1:16" ht="64.05" customHeight="1" x14ac:dyDescent="0.3">
      <c r="A1561" s="151" t="s">
        <v>8319</v>
      </c>
      <c r="B1561" s="151" t="s">
        <v>8317</v>
      </c>
      <c r="C1561" s="151" t="s">
        <v>106</v>
      </c>
      <c r="D1561" s="151">
        <v>2025</v>
      </c>
      <c r="E1561" s="151" t="s">
        <v>31</v>
      </c>
      <c r="F1561" s="174" t="s">
        <v>5925</v>
      </c>
      <c r="G1561" s="167">
        <f>(MLCF!H85*-1)</f>
        <v>45195.63</v>
      </c>
      <c r="H1561" s="167">
        <f>AVERAGE(MLCF!G31,MLCF!H31)</f>
        <v>3849.7709999999997</v>
      </c>
      <c r="I1561" s="165">
        <f t="shared" si="72"/>
        <v>11.739822966093309</v>
      </c>
      <c r="J1561" s="165">
        <v>11.739822966093309</v>
      </c>
      <c r="K1561" s="169">
        <f t="shared" si="73"/>
        <v>0</v>
      </c>
      <c r="L1561" s="165">
        <v>11.74</v>
      </c>
      <c r="M1561" s="151">
        <v>2</v>
      </c>
      <c r="N1561" s="151" t="str">
        <f t="shared" si="74"/>
        <v>Numeric fit</v>
      </c>
      <c r="O1561" s="174" t="s">
        <v>6810</v>
      </c>
      <c r="P1561" s="174" t="s">
        <v>6051</v>
      </c>
    </row>
    <row r="1562" spans="1:16" ht="64.05" customHeight="1" x14ac:dyDescent="0.3">
      <c r="A1562" s="154" t="s">
        <v>8320</v>
      </c>
      <c r="B1562" s="154" t="s">
        <v>8317</v>
      </c>
      <c r="C1562" s="154" t="s">
        <v>106</v>
      </c>
      <c r="D1562" s="154">
        <v>2025</v>
      </c>
      <c r="E1562" s="154" t="s">
        <v>31</v>
      </c>
      <c r="F1562" s="173" t="s">
        <v>6814</v>
      </c>
      <c r="G1562" s="166">
        <f>(MLCF!H85*-1)</f>
        <v>45195.63</v>
      </c>
      <c r="H1562" s="166">
        <f>MLCF!H31</f>
        <v>4442.9889999999996</v>
      </c>
      <c r="I1562" s="164">
        <f t="shared" si="72"/>
        <v>10.172347939641535</v>
      </c>
      <c r="J1562" s="164">
        <v>10.172347939641535</v>
      </c>
      <c r="K1562" s="168">
        <f t="shared" si="73"/>
        <v>0</v>
      </c>
      <c r="L1562" s="164">
        <v>11.74</v>
      </c>
      <c r="M1562" s="154">
        <v>2</v>
      </c>
      <c r="N1562" s="154" t="str">
        <f t="shared" si="74"/>
        <v>No fit</v>
      </c>
      <c r="O1562" s="173" t="s">
        <v>8310</v>
      </c>
      <c r="P1562" s="173" t="s">
        <v>6051</v>
      </c>
    </row>
    <row r="1563" spans="1:16" ht="64.05" customHeight="1" x14ac:dyDescent="0.3">
      <c r="A1563" s="151" t="s">
        <v>8321</v>
      </c>
      <c r="B1563" s="151" t="s">
        <v>8322</v>
      </c>
      <c r="C1563" s="151" t="s">
        <v>106</v>
      </c>
      <c r="D1563" s="151">
        <v>2023</v>
      </c>
      <c r="E1563" s="151" t="s">
        <v>134</v>
      </c>
      <c r="F1563" s="174" t="s">
        <v>5893</v>
      </c>
      <c r="G1563" s="167">
        <f>365*AVERAGE(MLCF!E65,MLCF!F65)</f>
        <v>5356317.6949999994</v>
      </c>
      <c r="H1563" s="167">
        <f>-MLCF!F85</f>
        <v>43901.906000000003</v>
      </c>
      <c r="I1563" s="165">
        <f t="shared" si="72"/>
        <v>122.0064954583065</v>
      </c>
      <c r="J1563" s="165">
        <v>122.0064954583065</v>
      </c>
      <c r="K1563" s="169">
        <f t="shared" si="73"/>
        <v>0</v>
      </c>
      <c r="L1563" s="165">
        <v>27.31</v>
      </c>
      <c r="M1563" s="151">
        <v>2</v>
      </c>
      <c r="N1563" s="151" t="str">
        <f t="shared" si="74"/>
        <v>No fit</v>
      </c>
      <c r="O1563" s="174" t="s">
        <v>6050</v>
      </c>
      <c r="P1563" s="174" t="s">
        <v>6051</v>
      </c>
    </row>
    <row r="1564" spans="1:16" ht="64.05" customHeight="1" x14ac:dyDescent="0.3">
      <c r="A1564" s="154" t="s">
        <v>8323</v>
      </c>
      <c r="B1564" s="154" t="s">
        <v>8322</v>
      </c>
      <c r="C1564" s="154" t="s">
        <v>106</v>
      </c>
      <c r="D1564" s="154">
        <v>2023</v>
      </c>
      <c r="E1564" s="154" t="s">
        <v>134</v>
      </c>
      <c r="F1564" s="173" t="s">
        <v>6478</v>
      </c>
      <c r="G1564" s="166">
        <f>(365*AVERAGE(MLCF!E31,MLCF!F31))</f>
        <v>1199066.2450000001</v>
      </c>
      <c r="H1564" s="166">
        <f>(MLCF!F85*-1)</f>
        <v>43901.906000000003</v>
      </c>
      <c r="I1564" s="164">
        <f t="shared" si="72"/>
        <v>27.312396072279871</v>
      </c>
      <c r="J1564" s="164">
        <v>27.312396072279871</v>
      </c>
      <c r="K1564" s="168">
        <f t="shared" si="73"/>
        <v>0</v>
      </c>
      <c r="L1564" s="164">
        <v>27.31</v>
      </c>
      <c r="M1564" s="154">
        <v>2</v>
      </c>
      <c r="N1564" s="154" t="str">
        <f t="shared" si="74"/>
        <v>Numeric fit</v>
      </c>
      <c r="O1564" s="173" t="s">
        <v>6479</v>
      </c>
      <c r="P1564" s="173" t="s">
        <v>6051</v>
      </c>
    </row>
    <row r="1565" spans="1:16" ht="64.05" customHeight="1" x14ac:dyDescent="0.3">
      <c r="A1565" s="151" t="s">
        <v>8324</v>
      </c>
      <c r="B1565" s="151" t="s">
        <v>8322</v>
      </c>
      <c r="C1565" s="151" t="s">
        <v>106</v>
      </c>
      <c r="D1565" s="151">
        <v>2023</v>
      </c>
      <c r="E1565" s="151" t="s">
        <v>134</v>
      </c>
      <c r="F1565" s="174" t="s">
        <v>6481</v>
      </c>
      <c r="G1565" s="167">
        <f>(365*AVERAGE(MLCF!E31,MLCF!F31))</f>
        <v>1199066.2450000001</v>
      </c>
      <c r="H1565" s="167">
        <f>(MLCF!F85*-1)</f>
        <v>43901.906000000003</v>
      </c>
      <c r="I1565" s="165">
        <f t="shared" si="72"/>
        <v>27.312396072279871</v>
      </c>
      <c r="J1565" s="165">
        <v>27.312396072279871</v>
      </c>
      <c r="K1565" s="169">
        <f t="shared" si="73"/>
        <v>0</v>
      </c>
      <c r="L1565" s="165">
        <v>27.31</v>
      </c>
      <c r="M1565" s="151">
        <v>2</v>
      </c>
      <c r="N1565" s="151" t="str">
        <f t="shared" si="74"/>
        <v>Numeric fit</v>
      </c>
      <c r="O1565" s="174" t="s">
        <v>6479</v>
      </c>
      <c r="P1565" s="174" t="s">
        <v>6051</v>
      </c>
    </row>
    <row r="1566" spans="1:16" ht="64.05" customHeight="1" x14ac:dyDescent="0.3">
      <c r="A1566" s="154" t="s">
        <v>8325</v>
      </c>
      <c r="B1566" s="154" t="s">
        <v>8322</v>
      </c>
      <c r="C1566" s="154" t="s">
        <v>106</v>
      </c>
      <c r="D1566" s="154">
        <v>2023</v>
      </c>
      <c r="E1566" s="154" t="s">
        <v>134</v>
      </c>
      <c r="F1566" s="173" t="s">
        <v>5801</v>
      </c>
      <c r="G1566" s="166">
        <f>(365*AVERAGE(MLCF!E31,MLCF!F31))</f>
        <v>1199066.2450000001</v>
      </c>
      <c r="H1566" s="166">
        <f>(MLCF!F85*-1)</f>
        <v>43901.906000000003</v>
      </c>
      <c r="I1566" s="164">
        <f t="shared" si="72"/>
        <v>27.312396072279871</v>
      </c>
      <c r="J1566" s="164">
        <v>27.312396072279871</v>
      </c>
      <c r="K1566" s="168">
        <f t="shared" si="73"/>
        <v>0</v>
      </c>
      <c r="L1566" s="164">
        <v>27.31</v>
      </c>
      <c r="M1566" s="154">
        <v>2</v>
      </c>
      <c r="N1566" s="154" t="str">
        <f t="shared" si="74"/>
        <v>Numeric fit</v>
      </c>
      <c r="O1566" s="173" t="s">
        <v>6479</v>
      </c>
      <c r="P1566" s="173" t="s">
        <v>6051</v>
      </c>
    </row>
    <row r="1567" spans="1:16" ht="64.05" customHeight="1" x14ac:dyDescent="0.3">
      <c r="A1567" s="151" t="s">
        <v>8326</v>
      </c>
      <c r="B1567" s="151" t="s">
        <v>8327</v>
      </c>
      <c r="C1567" s="151" t="s">
        <v>106</v>
      </c>
      <c r="D1567" s="151">
        <v>2025</v>
      </c>
      <c r="E1567" s="151" t="s">
        <v>134</v>
      </c>
      <c r="F1567" s="174" t="s">
        <v>5893</v>
      </c>
      <c r="G1567" s="167">
        <f>365*AVERAGE(MLCF!G65,MLCF!H65)</f>
        <v>5919960.915</v>
      </c>
      <c r="H1567" s="167">
        <f>-MLCF!H85</f>
        <v>45195.63</v>
      </c>
      <c r="I1567" s="165">
        <f t="shared" si="72"/>
        <v>130.98525045452405</v>
      </c>
      <c r="J1567" s="165">
        <v>130.98525045452405</v>
      </c>
      <c r="K1567" s="169">
        <f t="shared" si="73"/>
        <v>0</v>
      </c>
      <c r="L1567" s="165">
        <v>31.09</v>
      </c>
      <c r="M1567" s="151">
        <v>2</v>
      </c>
      <c r="N1567" s="151" t="str">
        <f t="shared" si="74"/>
        <v>No fit</v>
      </c>
      <c r="O1567" s="174" t="s">
        <v>6050</v>
      </c>
      <c r="P1567" s="174" t="s">
        <v>6051</v>
      </c>
    </row>
    <row r="1568" spans="1:16" ht="64.05" customHeight="1" x14ac:dyDescent="0.3">
      <c r="A1568" s="154" t="s">
        <v>8328</v>
      </c>
      <c r="B1568" s="154" t="s">
        <v>8327</v>
      </c>
      <c r="C1568" s="154" t="s">
        <v>106</v>
      </c>
      <c r="D1568" s="154">
        <v>2025</v>
      </c>
      <c r="E1568" s="154" t="s">
        <v>134</v>
      </c>
      <c r="F1568" s="173" t="s">
        <v>6478</v>
      </c>
      <c r="G1568" s="166">
        <f>(365*AVERAGE(MLCF!G31,MLCF!H31))</f>
        <v>1405166.4149999998</v>
      </c>
      <c r="H1568" s="166">
        <f>(MLCF!H85*-1)</f>
        <v>45195.63</v>
      </c>
      <c r="I1568" s="164">
        <f t="shared" si="72"/>
        <v>31.090758442796346</v>
      </c>
      <c r="J1568" s="164">
        <v>31.090758442796346</v>
      </c>
      <c r="K1568" s="168">
        <f t="shared" si="73"/>
        <v>0</v>
      </c>
      <c r="L1568" s="164">
        <v>31.09</v>
      </c>
      <c r="M1568" s="154">
        <v>2</v>
      </c>
      <c r="N1568" s="154" t="str">
        <f t="shared" si="74"/>
        <v>Numeric fit</v>
      </c>
      <c r="O1568" s="173" t="s">
        <v>6479</v>
      </c>
      <c r="P1568" s="173" t="s">
        <v>6051</v>
      </c>
    </row>
    <row r="1569" spans="1:16" ht="64.05" customHeight="1" x14ac:dyDescent="0.3">
      <c r="A1569" s="151" t="s">
        <v>8329</v>
      </c>
      <c r="B1569" s="151" t="s">
        <v>8327</v>
      </c>
      <c r="C1569" s="151" t="s">
        <v>106</v>
      </c>
      <c r="D1569" s="151">
        <v>2025</v>
      </c>
      <c r="E1569" s="151" t="s">
        <v>134</v>
      </c>
      <c r="F1569" s="174" t="s">
        <v>6481</v>
      </c>
      <c r="G1569" s="167">
        <f>(365*AVERAGE(MLCF!G31,MLCF!H31))</f>
        <v>1405166.4149999998</v>
      </c>
      <c r="H1569" s="167">
        <f>(MLCF!H85*-1)</f>
        <v>45195.63</v>
      </c>
      <c r="I1569" s="165">
        <f t="shared" si="72"/>
        <v>31.090758442796346</v>
      </c>
      <c r="J1569" s="165">
        <v>31.090758442796346</v>
      </c>
      <c r="K1569" s="169">
        <f t="shared" si="73"/>
        <v>0</v>
      </c>
      <c r="L1569" s="165">
        <v>31.09</v>
      </c>
      <c r="M1569" s="151">
        <v>2</v>
      </c>
      <c r="N1569" s="151" t="str">
        <f t="shared" si="74"/>
        <v>Numeric fit</v>
      </c>
      <c r="O1569" s="174" t="s">
        <v>6479</v>
      </c>
      <c r="P1569" s="174" t="s">
        <v>6051</v>
      </c>
    </row>
    <row r="1570" spans="1:16" ht="64.05" customHeight="1" x14ac:dyDescent="0.3">
      <c r="A1570" s="154" t="s">
        <v>8330</v>
      </c>
      <c r="B1570" s="154" t="s">
        <v>8327</v>
      </c>
      <c r="C1570" s="154" t="s">
        <v>106</v>
      </c>
      <c r="D1570" s="154">
        <v>2025</v>
      </c>
      <c r="E1570" s="154" t="s">
        <v>134</v>
      </c>
      <c r="F1570" s="173" t="s">
        <v>5801</v>
      </c>
      <c r="G1570" s="166">
        <f>(365*AVERAGE(MLCF!G31,MLCF!H31))</f>
        <v>1405166.4149999998</v>
      </c>
      <c r="H1570" s="166">
        <f>(MLCF!H85*-1)</f>
        <v>45195.63</v>
      </c>
      <c r="I1570" s="164">
        <f t="shared" si="72"/>
        <v>31.090758442796346</v>
      </c>
      <c r="J1570" s="164">
        <v>31.090758442796346</v>
      </c>
      <c r="K1570" s="168">
        <f t="shared" si="73"/>
        <v>0</v>
      </c>
      <c r="L1570" s="164">
        <v>31.09</v>
      </c>
      <c r="M1570" s="154">
        <v>2</v>
      </c>
      <c r="N1570" s="154" t="str">
        <f t="shared" si="74"/>
        <v>Numeric fit</v>
      </c>
      <c r="O1570" s="173" t="s">
        <v>6479</v>
      </c>
      <c r="P1570" s="173" t="s">
        <v>6051</v>
      </c>
    </row>
    <row r="1571" spans="1:16" ht="64.05" customHeight="1" x14ac:dyDescent="0.3">
      <c r="A1571" s="151" t="s">
        <v>8331</v>
      </c>
      <c r="B1571" s="151" t="s">
        <v>8332</v>
      </c>
      <c r="C1571" s="151" t="s">
        <v>106</v>
      </c>
      <c r="D1571" s="151">
        <v>2021</v>
      </c>
      <c r="E1571" s="151" t="s">
        <v>187</v>
      </c>
      <c r="F1571" s="174" t="s">
        <v>5893</v>
      </c>
      <c r="G1571" s="167">
        <f>365*AVERAGE(MLCF!C32,MLCF!D32)</f>
        <v>863559.70499999996</v>
      </c>
      <c r="H1571" s="167">
        <f>MLCF!D84</f>
        <v>35538.300999999999</v>
      </c>
      <c r="I1571" s="165">
        <f t="shared" si="72"/>
        <v>24.299408826550263</v>
      </c>
      <c r="J1571" s="165">
        <v>24.299408826550263</v>
      </c>
      <c r="K1571" s="169">
        <f t="shared" si="73"/>
        <v>0</v>
      </c>
      <c r="L1571" s="165">
        <v>24.3</v>
      </c>
      <c r="M1571" s="151">
        <v>2</v>
      </c>
      <c r="N1571" s="151" t="str">
        <f t="shared" si="74"/>
        <v>Numeric fit</v>
      </c>
      <c r="O1571" s="174" t="s">
        <v>6050</v>
      </c>
      <c r="P1571" s="174" t="s">
        <v>6051</v>
      </c>
    </row>
    <row r="1572" spans="1:16" ht="64.05" customHeight="1" x14ac:dyDescent="0.3">
      <c r="A1572" s="154" t="s">
        <v>8333</v>
      </c>
      <c r="B1572" s="154" t="s">
        <v>8332</v>
      </c>
      <c r="C1572" s="154" t="s">
        <v>106</v>
      </c>
      <c r="D1572" s="154">
        <v>2021</v>
      </c>
      <c r="E1572" s="154" t="s">
        <v>187</v>
      </c>
      <c r="F1572" s="173" t="s">
        <v>6084</v>
      </c>
      <c r="G1572" s="166">
        <f>(365*AVERAGE(MLCF!C32,MLCF!D32))</f>
        <v>863559.70499999996</v>
      </c>
      <c r="H1572" s="166">
        <f>MLCF!D84</f>
        <v>35538.300999999999</v>
      </c>
      <c r="I1572" s="164">
        <f t="shared" si="72"/>
        <v>24.299408826550263</v>
      </c>
      <c r="J1572" s="164">
        <v>24.299408826550263</v>
      </c>
      <c r="K1572" s="168">
        <f t="shared" si="73"/>
        <v>0</v>
      </c>
      <c r="L1572" s="164">
        <v>24.3</v>
      </c>
      <c r="M1572" s="154">
        <v>2</v>
      </c>
      <c r="N1572" s="154" t="str">
        <f t="shared" si="74"/>
        <v>Numeric fit</v>
      </c>
      <c r="O1572" s="173" t="s">
        <v>6494</v>
      </c>
      <c r="P1572" s="173" t="s">
        <v>6051</v>
      </c>
    </row>
    <row r="1573" spans="1:16" ht="64.05" customHeight="1" x14ac:dyDescent="0.3">
      <c r="A1573" s="151" t="s">
        <v>8334</v>
      </c>
      <c r="B1573" s="151" t="s">
        <v>8332</v>
      </c>
      <c r="C1573" s="151" t="s">
        <v>106</v>
      </c>
      <c r="D1573" s="151">
        <v>2021</v>
      </c>
      <c r="E1573" s="151" t="s">
        <v>187</v>
      </c>
      <c r="F1573" s="174" t="s">
        <v>5814</v>
      </c>
      <c r="G1573" s="167">
        <f>(366*AVERAGE(MLCF!C32,MLCF!D32))</f>
        <v>865925.62199999997</v>
      </c>
      <c r="H1573" s="167">
        <f>MLCF!D84</f>
        <v>35538.300999999999</v>
      </c>
      <c r="I1573" s="165">
        <f t="shared" si="72"/>
        <v>24.365982549362727</v>
      </c>
      <c r="J1573" s="165">
        <v>24.365982549362727</v>
      </c>
      <c r="K1573" s="169">
        <f t="shared" si="73"/>
        <v>0</v>
      </c>
      <c r="L1573" s="165">
        <v>24.3</v>
      </c>
      <c r="M1573" s="151">
        <v>2</v>
      </c>
      <c r="N1573" s="151" t="str">
        <f t="shared" si="74"/>
        <v>No fit</v>
      </c>
      <c r="O1573" s="174" t="s">
        <v>6494</v>
      </c>
      <c r="P1573" s="174" t="s">
        <v>6051</v>
      </c>
    </row>
    <row r="1574" spans="1:16" ht="64.05" customHeight="1" x14ac:dyDescent="0.3">
      <c r="A1574" s="154" t="s">
        <v>8335</v>
      </c>
      <c r="B1574" s="154" t="s">
        <v>8332</v>
      </c>
      <c r="C1574" s="154" t="s">
        <v>106</v>
      </c>
      <c r="D1574" s="154">
        <v>2021</v>
      </c>
      <c r="E1574" s="154" t="s">
        <v>187</v>
      </c>
      <c r="F1574" s="173" t="s">
        <v>6088</v>
      </c>
      <c r="G1574" s="166">
        <f>(360*AVERAGE(MLCF!C32,MLCF!D32))</f>
        <v>851730.12</v>
      </c>
      <c r="H1574" s="166">
        <f>MLCF!D84</f>
        <v>35538.300999999999</v>
      </c>
      <c r="I1574" s="164">
        <f t="shared" si="72"/>
        <v>23.966540212487931</v>
      </c>
      <c r="J1574" s="164">
        <v>23.966540212487931</v>
      </c>
      <c r="K1574" s="168">
        <f t="shared" si="73"/>
        <v>0</v>
      </c>
      <c r="L1574" s="164">
        <v>24.3</v>
      </c>
      <c r="M1574" s="154">
        <v>2</v>
      </c>
      <c r="N1574" s="154" t="str">
        <f t="shared" si="74"/>
        <v>No fit</v>
      </c>
      <c r="O1574" s="173" t="s">
        <v>6494</v>
      </c>
      <c r="P1574" s="173" t="s">
        <v>6051</v>
      </c>
    </row>
    <row r="1575" spans="1:16" ht="64.05" customHeight="1" x14ac:dyDescent="0.3">
      <c r="A1575" s="151" t="s">
        <v>8336</v>
      </c>
      <c r="B1575" s="151" t="s">
        <v>8332</v>
      </c>
      <c r="C1575" s="151" t="s">
        <v>106</v>
      </c>
      <c r="D1575" s="151">
        <v>2021</v>
      </c>
      <c r="E1575" s="151" t="s">
        <v>187</v>
      </c>
      <c r="F1575" s="174" t="s">
        <v>6090</v>
      </c>
      <c r="G1575" s="167">
        <f>(365*MLCF!D32)</f>
        <v>613091.96</v>
      </c>
      <c r="H1575" s="167">
        <f>MLCF!D84</f>
        <v>35538.300999999999</v>
      </c>
      <c r="I1575" s="165">
        <f t="shared" si="72"/>
        <v>17.251583298818925</v>
      </c>
      <c r="J1575" s="165">
        <v>17.251583298818925</v>
      </c>
      <c r="K1575" s="169">
        <f t="shared" si="73"/>
        <v>0</v>
      </c>
      <c r="L1575" s="165">
        <v>24.3</v>
      </c>
      <c r="M1575" s="151">
        <v>2</v>
      </c>
      <c r="N1575" s="151" t="str">
        <f t="shared" si="74"/>
        <v>No fit</v>
      </c>
      <c r="O1575" s="174" t="s">
        <v>6498</v>
      </c>
      <c r="P1575" s="174" t="s">
        <v>6051</v>
      </c>
    </row>
    <row r="1576" spans="1:16" ht="64.05" customHeight="1" x14ac:dyDescent="0.3">
      <c r="A1576" s="154" t="s">
        <v>8337</v>
      </c>
      <c r="B1576" s="154" t="s">
        <v>8332</v>
      </c>
      <c r="C1576" s="154" t="s">
        <v>106</v>
      </c>
      <c r="D1576" s="154">
        <v>2021</v>
      </c>
      <c r="E1576" s="154" t="s">
        <v>187</v>
      </c>
      <c r="F1576" s="173" t="s">
        <v>6093</v>
      </c>
      <c r="G1576" s="166">
        <f>(366*MLCF!D32)</f>
        <v>614771.66399999999</v>
      </c>
      <c r="H1576" s="166">
        <f>MLCF!D84</f>
        <v>35538.300999999999</v>
      </c>
      <c r="I1576" s="164">
        <f t="shared" si="72"/>
        <v>17.298847910596514</v>
      </c>
      <c r="J1576" s="164">
        <v>17.298847910596514</v>
      </c>
      <c r="K1576" s="168">
        <f t="shared" si="73"/>
        <v>0</v>
      </c>
      <c r="L1576" s="164">
        <v>24.3</v>
      </c>
      <c r="M1576" s="154">
        <v>2</v>
      </c>
      <c r="N1576" s="154" t="str">
        <f t="shared" si="74"/>
        <v>No fit</v>
      </c>
      <c r="O1576" s="173" t="s">
        <v>6498</v>
      </c>
      <c r="P1576" s="173" t="s">
        <v>6051</v>
      </c>
    </row>
    <row r="1577" spans="1:16" ht="64.05" customHeight="1" x14ac:dyDescent="0.3">
      <c r="A1577" s="151" t="s">
        <v>8338</v>
      </c>
      <c r="B1577" s="151" t="s">
        <v>8332</v>
      </c>
      <c r="C1577" s="151" t="s">
        <v>106</v>
      </c>
      <c r="D1577" s="151">
        <v>2021</v>
      </c>
      <c r="E1577" s="151" t="s">
        <v>187</v>
      </c>
      <c r="F1577" s="174" t="s">
        <v>6095</v>
      </c>
      <c r="G1577" s="167">
        <f>(360*MLCF!D32)</f>
        <v>604693.43999999994</v>
      </c>
      <c r="H1577" s="167">
        <f>MLCF!D84</f>
        <v>35538.300999999999</v>
      </c>
      <c r="I1577" s="165">
        <f t="shared" si="72"/>
        <v>17.015260239930996</v>
      </c>
      <c r="J1577" s="165">
        <v>17.015260239930996</v>
      </c>
      <c r="K1577" s="169">
        <f t="shared" si="73"/>
        <v>0</v>
      </c>
      <c r="L1577" s="165">
        <v>24.3</v>
      </c>
      <c r="M1577" s="151">
        <v>2</v>
      </c>
      <c r="N1577" s="151" t="str">
        <f t="shared" si="74"/>
        <v>No fit</v>
      </c>
      <c r="O1577" s="174" t="s">
        <v>6498</v>
      </c>
      <c r="P1577" s="174" t="s">
        <v>6051</v>
      </c>
    </row>
    <row r="1578" spans="1:16" ht="64.05" customHeight="1" x14ac:dyDescent="0.3">
      <c r="A1578" s="154" t="s">
        <v>8339</v>
      </c>
      <c r="B1578" s="154" t="s">
        <v>8332</v>
      </c>
      <c r="C1578" s="154" t="s">
        <v>106</v>
      </c>
      <c r="D1578" s="154">
        <v>2021</v>
      </c>
      <c r="E1578" s="154" t="s">
        <v>187</v>
      </c>
      <c r="F1578" s="173" t="s">
        <v>6097</v>
      </c>
      <c r="G1578" s="166">
        <f>(365*MLCF!C32)</f>
        <v>1114027.45</v>
      </c>
      <c r="H1578" s="166">
        <f>MLCF!D84</f>
        <v>35538.300999999999</v>
      </c>
      <c r="I1578" s="164">
        <f t="shared" si="72"/>
        <v>31.347234354281596</v>
      </c>
      <c r="J1578" s="164">
        <v>31.347234354281596</v>
      </c>
      <c r="K1578" s="168">
        <f t="shared" si="73"/>
        <v>0</v>
      </c>
      <c r="L1578" s="164">
        <v>24.3</v>
      </c>
      <c r="M1578" s="154">
        <v>2</v>
      </c>
      <c r="N1578" s="154" t="str">
        <f t="shared" si="74"/>
        <v>No fit</v>
      </c>
      <c r="O1578" s="173" t="s">
        <v>6498</v>
      </c>
      <c r="P1578" s="173" t="s">
        <v>6051</v>
      </c>
    </row>
    <row r="1579" spans="1:16" ht="64.05" customHeight="1" x14ac:dyDescent="0.3">
      <c r="A1579" s="151" t="s">
        <v>8340</v>
      </c>
      <c r="B1579" s="151" t="s">
        <v>8332</v>
      </c>
      <c r="C1579" s="151" t="s">
        <v>106</v>
      </c>
      <c r="D1579" s="151">
        <v>2021</v>
      </c>
      <c r="E1579" s="151" t="s">
        <v>187</v>
      </c>
      <c r="F1579" s="174" t="s">
        <v>6099</v>
      </c>
      <c r="G1579" s="167">
        <f>(366*MLCF!C32)</f>
        <v>1117079.58</v>
      </c>
      <c r="H1579" s="167">
        <f>MLCF!D84</f>
        <v>35538.300999999999</v>
      </c>
      <c r="I1579" s="165">
        <f t="shared" si="72"/>
        <v>31.433117188128946</v>
      </c>
      <c r="J1579" s="165">
        <v>31.433117188128946</v>
      </c>
      <c r="K1579" s="169">
        <f t="shared" si="73"/>
        <v>0</v>
      </c>
      <c r="L1579" s="165">
        <v>24.3</v>
      </c>
      <c r="M1579" s="151">
        <v>2</v>
      </c>
      <c r="N1579" s="151" t="str">
        <f t="shared" si="74"/>
        <v>No fit</v>
      </c>
      <c r="O1579" s="174" t="s">
        <v>6498</v>
      </c>
      <c r="P1579" s="174" t="s">
        <v>6051</v>
      </c>
    </row>
    <row r="1580" spans="1:16" ht="64.05" customHeight="1" x14ac:dyDescent="0.3">
      <c r="A1580" s="154" t="s">
        <v>8341</v>
      </c>
      <c r="B1580" s="154" t="s">
        <v>8332</v>
      </c>
      <c r="C1580" s="154" t="s">
        <v>106</v>
      </c>
      <c r="D1580" s="154">
        <v>2021</v>
      </c>
      <c r="E1580" s="154" t="s">
        <v>187</v>
      </c>
      <c r="F1580" s="173" t="s">
        <v>6101</v>
      </c>
      <c r="G1580" s="166">
        <f>(360*MLCF!C32)</f>
        <v>1098766.8</v>
      </c>
      <c r="H1580" s="166">
        <f>MLCF!D84</f>
        <v>35538.300999999999</v>
      </c>
      <c r="I1580" s="164">
        <f t="shared" si="72"/>
        <v>30.917820185044864</v>
      </c>
      <c r="J1580" s="164">
        <v>30.917820185044864</v>
      </c>
      <c r="K1580" s="168">
        <f t="shared" si="73"/>
        <v>0</v>
      </c>
      <c r="L1580" s="164">
        <v>24.3</v>
      </c>
      <c r="M1580" s="154">
        <v>2</v>
      </c>
      <c r="N1580" s="154" t="str">
        <f t="shared" si="74"/>
        <v>No fit</v>
      </c>
      <c r="O1580" s="173" t="s">
        <v>6498</v>
      </c>
      <c r="P1580" s="173" t="s">
        <v>6051</v>
      </c>
    </row>
    <row r="1581" spans="1:16" ht="64.05" customHeight="1" x14ac:dyDescent="0.3">
      <c r="A1581" s="151" t="s">
        <v>8342</v>
      </c>
      <c r="B1581" s="151" t="s">
        <v>8332</v>
      </c>
      <c r="C1581" s="151" t="s">
        <v>106</v>
      </c>
      <c r="D1581" s="151">
        <v>2021</v>
      </c>
      <c r="E1581" s="151" t="s">
        <v>187</v>
      </c>
      <c r="F1581" s="174" t="s">
        <v>5762</v>
      </c>
      <c r="G1581" s="167">
        <f>365</f>
        <v>365</v>
      </c>
      <c r="H1581" s="167">
        <f>ROUND((MLCF!D84/AVERAGE(MLCF!C32,MLCF!D32)),2)</f>
        <v>15.02</v>
      </c>
      <c r="I1581" s="165">
        <f t="shared" si="72"/>
        <v>24.300932090545938</v>
      </c>
      <c r="J1581" s="165">
        <v>24.300932090545938</v>
      </c>
      <c r="K1581" s="169">
        <f t="shared" si="73"/>
        <v>0</v>
      </c>
      <c r="L1581" s="165">
        <v>24.3</v>
      </c>
      <c r="M1581" s="151">
        <v>2</v>
      </c>
      <c r="N1581" s="151" t="str">
        <f t="shared" si="74"/>
        <v>Numeric fit</v>
      </c>
      <c r="O1581" s="174" t="s">
        <v>6505</v>
      </c>
      <c r="P1581" s="174" t="s">
        <v>6051</v>
      </c>
    </row>
    <row r="1582" spans="1:16" ht="64.05" customHeight="1" x14ac:dyDescent="0.3">
      <c r="A1582" s="154" t="s">
        <v>8343</v>
      </c>
      <c r="B1582" s="154" t="s">
        <v>8344</v>
      </c>
      <c r="C1582" s="154" t="s">
        <v>106</v>
      </c>
      <c r="D1582" s="154">
        <v>2022</v>
      </c>
      <c r="E1582" s="154" t="s">
        <v>187</v>
      </c>
      <c r="F1582" s="173" t="s">
        <v>5893</v>
      </c>
      <c r="G1582" s="166">
        <f>365*AVERAGE(MLCF!D32,MLCF!E32)</f>
        <v>683629.67</v>
      </c>
      <c r="H1582" s="166">
        <f>MLCF!E84</f>
        <v>48519.622000000003</v>
      </c>
      <c r="I1582" s="164">
        <f t="shared" si="72"/>
        <v>14.089756717395696</v>
      </c>
      <c r="J1582" s="164">
        <v>14.089756717395696</v>
      </c>
      <c r="K1582" s="168">
        <f t="shared" si="73"/>
        <v>0</v>
      </c>
      <c r="L1582" s="164">
        <v>14.09</v>
      </c>
      <c r="M1582" s="154">
        <v>2</v>
      </c>
      <c r="N1582" s="154" t="str">
        <f t="shared" si="74"/>
        <v>Numeric fit</v>
      </c>
      <c r="O1582" s="173" t="s">
        <v>6050</v>
      </c>
      <c r="P1582" s="173" t="s">
        <v>6051</v>
      </c>
    </row>
    <row r="1583" spans="1:16" ht="64.05" customHeight="1" x14ac:dyDescent="0.3">
      <c r="A1583" s="151" t="s">
        <v>8345</v>
      </c>
      <c r="B1583" s="151" t="s">
        <v>8344</v>
      </c>
      <c r="C1583" s="151" t="s">
        <v>106</v>
      </c>
      <c r="D1583" s="151">
        <v>2022</v>
      </c>
      <c r="E1583" s="151" t="s">
        <v>187</v>
      </c>
      <c r="F1583" s="174" t="s">
        <v>6084</v>
      </c>
      <c r="G1583" s="167">
        <f>(365*AVERAGE(MLCF!D32,MLCF!E32))</f>
        <v>683629.67</v>
      </c>
      <c r="H1583" s="167">
        <f>MLCF!E84</f>
        <v>48519.622000000003</v>
      </c>
      <c r="I1583" s="165">
        <f t="shared" si="72"/>
        <v>14.089756717395696</v>
      </c>
      <c r="J1583" s="165">
        <v>14.089756717395696</v>
      </c>
      <c r="K1583" s="169">
        <f t="shared" si="73"/>
        <v>0</v>
      </c>
      <c r="L1583" s="165">
        <v>14.09</v>
      </c>
      <c r="M1583" s="151">
        <v>2</v>
      </c>
      <c r="N1583" s="151" t="str">
        <f t="shared" si="74"/>
        <v>Numeric fit</v>
      </c>
      <c r="O1583" s="174" t="s">
        <v>6494</v>
      </c>
      <c r="P1583" s="174" t="s">
        <v>6051</v>
      </c>
    </row>
    <row r="1584" spans="1:16" ht="64.05" customHeight="1" x14ac:dyDescent="0.3">
      <c r="A1584" s="154" t="s">
        <v>8346</v>
      </c>
      <c r="B1584" s="154" t="s">
        <v>8344</v>
      </c>
      <c r="C1584" s="154" t="s">
        <v>106</v>
      </c>
      <c r="D1584" s="154">
        <v>2022</v>
      </c>
      <c r="E1584" s="154" t="s">
        <v>187</v>
      </c>
      <c r="F1584" s="173" t="s">
        <v>5814</v>
      </c>
      <c r="G1584" s="166">
        <f>(366*AVERAGE(MLCF!D32,MLCF!E32))</f>
        <v>685502.62800000003</v>
      </c>
      <c r="H1584" s="166">
        <f>MLCF!E84</f>
        <v>48519.622000000003</v>
      </c>
      <c r="I1584" s="164">
        <f t="shared" si="72"/>
        <v>14.12835879059404</v>
      </c>
      <c r="J1584" s="164">
        <v>14.12835879059404</v>
      </c>
      <c r="K1584" s="168">
        <f t="shared" si="73"/>
        <v>0</v>
      </c>
      <c r="L1584" s="164">
        <v>14.09</v>
      </c>
      <c r="M1584" s="154">
        <v>2</v>
      </c>
      <c r="N1584" s="154" t="str">
        <f t="shared" si="74"/>
        <v>No fit</v>
      </c>
      <c r="O1584" s="173" t="s">
        <v>6494</v>
      </c>
      <c r="P1584" s="173" t="s">
        <v>6051</v>
      </c>
    </row>
    <row r="1585" spans="1:16" ht="64.05" customHeight="1" x14ac:dyDescent="0.3">
      <c r="A1585" s="151" t="s">
        <v>8347</v>
      </c>
      <c r="B1585" s="151" t="s">
        <v>8344</v>
      </c>
      <c r="C1585" s="151" t="s">
        <v>106</v>
      </c>
      <c r="D1585" s="151">
        <v>2022</v>
      </c>
      <c r="E1585" s="151" t="s">
        <v>187</v>
      </c>
      <c r="F1585" s="174" t="s">
        <v>6088</v>
      </c>
      <c r="G1585" s="167">
        <f>(360*AVERAGE(MLCF!D32,MLCF!E32))</f>
        <v>674264.88</v>
      </c>
      <c r="H1585" s="167">
        <f>MLCF!E84</f>
        <v>48519.622000000003</v>
      </c>
      <c r="I1585" s="165">
        <f t="shared" si="72"/>
        <v>13.896746351403973</v>
      </c>
      <c r="J1585" s="165">
        <v>13.896746351403973</v>
      </c>
      <c r="K1585" s="169">
        <f t="shared" si="73"/>
        <v>0</v>
      </c>
      <c r="L1585" s="165">
        <v>14.09</v>
      </c>
      <c r="M1585" s="151">
        <v>2</v>
      </c>
      <c r="N1585" s="151" t="str">
        <f t="shared" si="74"/>
        <v>No fit</v>
      </c>
      <c r="O1585" s="174" t="s">
        <v>6494</v>
      </c>
      <c r="P1585" s="174" t="s">
        <v>6051</v>
      </c>
    </row>
    <row r="1586" spans="1:16" ht="64.05" customHeight="1" x14ac:dyDescent="0.3">
      <c r="A1586" s="154" t="s">
        <v>8348</v>
      </c>
      <c r="B1586" s="154" t="s">
        <v>8344</v>
      </c>
      <c r="C1586" s="154" t="s">
        <v>106</v>
      </c>
      <c r="D1586" s="154">
        <v>2022</v>
      </c>
      <c r="E1586" s="154" t="s">
        <v>187</v>
      </c>
      <c r="F1586" s="173" t="s">
        <v>6090</v>
      </c>
      <c r="G1586" s="166">
        <f>(365*MLCF!E32)</f>
        <v>754167.38</v>
      </c>
      <c r="H1586" s="166">
        <f>MLCF!E84</f>
        <v>48519.622000000003</v>
      </c>
      <c r="I1586" s="164">
        <f t="shared" si="72"/>
        <v>15.543554317055479</v>
      </c>
      <c r="J1586" s="164">
        <v>15.543554317055479</v>
      </c>
      <c r="K1586" s="168">
        <f t="shared" si="73"/>
        <v>0</v>
      </c>
      <c r="L1586" s="164">
        <v>14.09</v>
      </c>
      <c r="M1586" s="154">
        <v>2</v>
      </c>
      <c r="N1586" s="154" t="str">
        <f t="shared" si="74"/>
        <v>No fit</v>
      </c>
      <c r="O1586" s="173" t="s">
        <v>6498</v>
      </c>
      <c r="P1586" s="173" t="s">
        <v>6051</v>
      </c>
    </row>
    <row r="1587" spans="1:16" ht="64.05" customHeight="1" x14ac:dyDescent="0.3">
      <c r="A1587" s="151" t="s">
        <v>8349</v>
      </c>
      <c r="B1587" s="151" t="s">
        <v>8344</v>
      </c>
      <c r="C1587" s="151" t="s">
        <v>106</v>
      </c>
      <c r="D1587" s="151">
        <v>2022</v>
      </c>
      <c r="E1587" s="151" t="s">
        <v>187</v>
      </c>
      <c r="F1587" s="174" t="s">
        <v>6093</v>
      </c>
      <c r="G1587" s="167">
        <f>(366*MLCF!E32)</f>
        <v>756233.59199999995</v>
      </c>
      <c r="H1587" s="167">
        <f>MLCF!E84</f>
        <v>48519.622000000003</v>
      </c>
      <c r="I1587" s="165">
        <f t="shared" si="72"/>
        <v>15.586139397376177</v>
      </c>
      <c r="J1587" s="165">
        <v>15.586139397376177</v>
      </c>
      <c r="K1587" s="169">
        <f t="shared" si="73"/>
        <v>0</v>
      </c>
      <c r="L1587" s="165">
        <v>14.09</v>
      </c>
      <c r="M1587" s="151">
        <v>2</v>
      </c>
      <c r="N1587" s="151" t="str">
        <f t="shared" si="74"/>
        <v>No fit</v>
      </c>
      <c r="O1587" s="174" t="s">
        <v>6498</v>
      </c>
      <c r="P1587" s="174" t="s">
        <v>6051</v>
      </c>
    </row>
    <row r="1588" spans="1:16" ht="64.05" customHeight="1" x14ac:dyDescent="0.3">
      <c r="A1588" s="154" t="s">
        <v>8350</v>
      </c>
      <c r="B1588" s="154" t="s">
        <v>8344</v>
      </c>
      <c r="C1588" s="154" t="s">
        <v>106</v>
      </c>
      <c r="D1588" s="154">
        <v>2022</v>
      </c>
      <c r="E1588" s="154" t="s">
        <v>187</v>
      </c>
      <c r="F1588" s="173" t="s">
        <v>6095</v>
      </c>
      <c r="G1588" s="166">
        <f>(360*MLCF!E32)</f>
        <v>743836.32</v>
      </c>
      <c r="H1588" s="166">
        <f>MLCF!E84</f>
        <v>48519.622000000003</v>
      </c>
      <c r="I1588" s="164">
        <f t="shared" si="72"/>
        <v>15.330628915451978</v>
      </c>
      <c r="J1588" s="164">
        <v>15.330628915451978</v>
      </c>
      <c r="K1588" s="168">
        <f t="shared" si="73"/>
        <v>0</v>
      </c>
      <c r="L1588" s="164">
        <v>14.09</v>
      </c>
      <c r="M1588" s="154">
        <v>2</v>
      </c>
      <c r="N1588" s="154" t="str">
        <f t="shared" si="74"/>
        <v>No fit</v>
      </c>
      <c r="O1588" s="173" t="s">
        <v>6498</v>
      </c>
      <c r="P1588" s="173" t="s">
        <v>6051</v>
      </c>
    </row>
    <row r="1589" spans="1:16" ht="64.05" customHeight="1" x14ac:dyDescent="0.3">
      <c r="A1589" s="151" t="s">
        <v>8351</v>
      </c>
      <c r="B1589" s="151" t="s">
        <v>8344</v>
      </c>
      <c r="C1589" s="151" t="s">
        <v>106</v>
      </c>
      <c r="D1589" s="151">
        <v>2022</v>
      </c>
      <c r="E1589" s="151" t="s">
        <v>187</v>
      </c>
      <c r="F1589" s="174" t="s">
        <v>6097</v>
      </c>
      <c r="G1589" s="167">
        <f>(365*MLCF!D32)</f>
        <v>613091.96</v>
      </c>
      <c r="H1589" s="167">
        <f>MLCF!E84</f>
        <v>48519.622000000003</v>
      </c>
      <c r="I1589" s="165">
        <f t="shared" si="72"/>
        <v>12.635959117735911</v>
      </c>
      <c r="J1589" s="165">
        <v>12.635959117735911</v>
      </c>
      <c r="K1589" s="169">
        <f t="shared" si="73"/>
        <v>0</v>
      </c>
      <c r="L1589" s="165">
        <v>14.09</v>
      </c>
      <c r="M1589" s="151">
        <v>2</v>
      </c>
      <c r="N1589" s="151" t="str">
        <f t="shared" si="74"/>
        <v>No fit</v>
      </c>
      <c r="O1589" s="174" t="s">
        <v>6498</v>
      </c>
      <c r="P1589" s="174" t="s">
        <v>6051</v>
      </c>
    </row>
    <row r="1590" spans="1:16" ht="64.05" customHeight="1" x14ac:dyDescent="0.3">
      <c r="A1590" s="154" t="s">
        <v>8352</v>
      </c>
      <c r="B1590" s="154" t="s">
        <v>8344</v>
      </c>
      <c r="C1590" s="154" t="s">
        <v>106</v>
      </c>
      <c r="D1590" s="154">
        <v>2022</v>
      </c>
      <c r="E1590" s="154" t="s">
        <v>187</v>
      </c>
      <c r="F1590" s="173" t="s">
        <v>6099</v>
      </c>
      <c r="G1590" s="166">
        <f>(366*MLCF!D32)</f>
        <v>614771.66399999999</v>
      </c>
      <c r="H1590" s="166">
        <f>MLCF!E84</f>
        <v>48519.622000000003</v>
      </c>
      <c r="I1590" s="164">
        <f t="shared" si="72"/>
        <v>12.670578183811902</v>
      </c>
      <c r="J1590" s="164">
        <v>12.670578183811902</v>
      </c>
      <c r="K1590" s="168">
        <f t="shared" si="73"/>
        <v>0</v>
      </c>
      <c r="L1590" s="164">
        <v>14.09</v>
      </c>
      <c r="M1590" s="154">
        <v>2</v>
      </c>
      <c r="N1590" s="154" t="str">
        <f t="shared" si="74"/>
        <v>No fit</v>
      </c>
      <c r="O1590" s="173" t="s">
        <v>6498</v>
      </c>
      <c r="P1590" s="173" t="s">
        <v>6051</v>
      </c>
    </row>
    <row r="1591" spans="1:16" ht="64.05" customHeight="1" x14ac:dyDescent="0.3">
      <c r="A1591" s="151" t="s">
        <v>8353</v>
      </c>
      <c r="B1591" s="151" t="s">
        <v>8344</v>
      </c>
      <c r="C1591" s="151" t="s">
        <v>106</v>
      </c>
      <c r="D1591" s="151">
        <v>2022</v>
      </c>
      <c r="E1591" s="151" t="s">
        <v>187</v>
      </c>
      <c r="F1591" s="174" t="s">
        <v>6101</v>
      </c>
      <c r="G1591" s="167">
        <f>(360*MLCF!D32)</f>
        <v>604693.43999999994</v>
      </c>
      <c r="H1591" s="167">
        <f>MLCF!E84</f>
        <v>48519.622000000003</v>
      </c>
      <c r="I1591" s="165">
        <f t="shared" si="72"/>
        <v>12.462863787355968</v>
      </c>
      <c r="J1591" s="165">
        <v>12.462863787355968</v>
      </c>
      <c r="K1591" s="169">
        <f t="shared" si="73"/>
        <v>0</v>
      </c>
      <c r="L1591" s="165">
        <v>14.09</v>
      </c>
      <c r="M1591" s="151">
        <v>2</v>
      </c>
      <c r="N1591" s="151" t="str">
        <f t="shared" si="74"/>
        <v>No fit</v>
      </c>
      <c r="O1591" s="174" t="s">
        <v>6498</v>
      </c>
      <c r="P1591" s="174" t="s">
        <v>6051</v>
      </c>
    </row>
    <row r="1592" spans="1:16" ht="64.05" customHeight="1" x14ac:dyDescent="0.3">
      <c r="A1592" s="154" t="s">
        <v>8354</v>
      </c>
      <c r="B1592" s="154" t="s">
        <v>8344</v>
      </c>
      <c r="C1592" s="154" t="s">
        <v>106</v>
      </c>
      <c r="D1592" s="154">
        <v>2022</v>
      </c>
      <c r="E1592" s="154" t="s">
        <v>187</v>
      </c>
      <c r="F1592" s="173" t="s">
        <v>5762</v>
      </c>
      <c r="G1592" s="166">
        <f>365</f>
        <v>365</v>
      </c>
      <c r="H1592" s="166">
        <f>ROUND((MLCF!E84/AVERAGE(MLCF!D32,MLCF!E32)),2)</f>
        <v>25.91</v>
      </c>
      <c r="I1592" s="164">
        <f t="shared" si="72"/>
        <v>14.087225009648785</v>
      </c>
      <c r="J1592" s="164">
        <v>14.087225009648785</v>
      </c>
      <c r="K1592" s="168">
        <f t="shared" si="73"/>
        <v>0</v>
      </c>
      <c r="L1592" s="164">
        <v>14.09</v>
      </c>
      <c r="M1592" s="154">
        <v>2</v>
      </c>
      <c r="N1592" s="154" t="str">
        <f t="shared" si="74"/>
        <v>Numeric fit</v>
      </c>
      <c r="O1592" s="173" t="s">
        <v>6505</v>
      </c>
      <c r="P1592" s="173" t="s">
        <v>6051</v>
      </c>
    </row>
    <row r="1593" spans="1:16" ht="64.05" customHeight="1" x14ac:dyDescent="0.3">
      <c r="A1593" s="151" t="s">
        <v>8355</v>
      </c>
      <c r="B1593" s="151" t="s">
        <v>8356</v>
      </c>
      <c r="C1593" s="151" t="s">
        <v>106</v>
      </c>
      <c r="D1593" s="151">
        <v>2023</v>
      </c>
      <c r="E1593" s="151" t="s">
        <v>187</v>
      </c>
      <c r="F1593" s="174" t="s">
        <v>5893</v>
      </c>
      <c r="G1593" s="167">
        <f>365*AVERAGE(MLCF!E32,MLCF!F32)</f>
        <v>851763.45250000001</v>
      </c>
      <c r="H1593" s="167">
        <f>MLCF!F84</f>
        <v>62075.258999999998</v>
      </c>
      <c r="I1593" s="165">
        <f t="shared" si="72"/>
        <v>13.72146433573479</v>
      </c>
      <c r="J1593" s="165">
        <v>13.72146433573479</v>
      </c>
      <c r="K1593" s="169">
        <f t="shared" si="73"/>
        <v>0</v>
      </c>
      <c r="L1593" s="165">
        <v>13.72</v>
      </c>
      <c r="M1593" s="151">
        <v>2</v>
      </c>
      <c r="N1593" s="151" t="str">
        <f t="shared" si="74"/>
        <v>Numeric fit</v>
      </c>
      <c r="O1593" s="174" t="s">
        <v>6050</v>
      </c>
      <c r="P1593" s="174" t="s">
        <v>6051</v>
      </c>
    </row>
    <row r="1594" spans="1:16" ht="64.05" customHeight="1" x14ac:dyDescent="0.3">
      <c r="A1594" s="154" t="s">
        <v>8357</v>
      </c>
      <c r="B1594" s="154" t="s">
        <v>8356</v>
      </c>
      <c r="C1594" s="154" t="s">
        <v>106</v>
      </c>
      <c r="D1594" s="154">
        <v>2023</v>
      </c>
      <c r="E1594" s="154" t="s">
        <v>187</v>
      </c>
      <c r="F1594" s="173" t="s">
        <v>6084</v>
      </c>
      <c r="G1594" s="166">
        <f>(365*AVERAGE(MLCF!E32,MLCF!F32))</f>
        <v>851763.45250000001</v>
      </c>
      <c r="H1594" s="166">
        <f>MLCF!F84</f>
        <v>62075.258999999998</v>
      </c>
      <c r="I1594" s="164">
        <f t="shared" si="72"/>
        <v>13.72146433573479</v>
      </c>
      <c r="J1594" s="164">
        <v>13.72146433573479</v>
      </c>
      <c r="K1594" s="168">
        <f t="shared" si="73"/>
        <v>0</v>
      </c>
      <c r="L1594" s="164">
        <v>13.72</v>
      </c>
      <c r="M1594" s="154">
        <v>2</v>
      </c>
      <c r="N1594" s="154" t="str">
        <f t="shared" si="74"/>
        <v>Numeric fit</v>
      </c>
      <c r="O1594" s="173" t="s">
        <v>6494</v>
      </c>
      <c r="P1594" s="173" t="s">
        <v>6051</v>
      </c>
    </row>
    <row r="1595" spans="1:16" ht="64.05" customHeight="1" x14ac:dyDescent="0.3">
      <c r="A1595" s="151" t="s">
        <v>8358</v>
      </c>
      <c r="B1595" s="151" t="s">
        <v>8356</v>
      </c>
      <c r="C1595" s="151" t="s">
        <v>106</v>
      </c>
      <c r="D1595" s="151">
        <v>2023</v>
      </c>
      <c r="E1595" s="151" t="s">
        <v>187</v>
      </c>
      <c r="F1595" s="174" t="s">
        <v>5814</v>
      </c>
      <c r="G1595" s="167">
        <f>(366*AVERAGE(MLCF!E32,MLCF!F32))</f>
        <v>854097.05099999998</v>
      </c>
      <c r="H1595" s="167">
        <f>MLCF!F84</f>
        <v>62075.258999999998</v>
      </c>
      <c r="I1595" s="165">
        <f t="shared" si="72"/>
        <v>13.759057388709405</v>
      </c>
      <c r="J1595" s="165">
        <v>13.759057388709405</v>
      </c>
      <c r="K1595" s="169">
        <f t="shared" si="73"/>
        <v>0</v>
      </c>
      <c r="L1595" s="165">
        <v>13.72</v>
      </c>
      <c r="M1595" s="151">
        <v>2</v>
      </c>
      <c r="N1595" s="151" t="str">
        <f t="shared" si="74"/>
        <v>No fit</v>
      </c>
      <c r="O1595" s="174" t="s">
        <v>6494</v>
      </c>
      <c r="P1595" s="174" t="s">
        <v>6051</v>
      </c>
    </row>
    <row r="1596" spans="1:16" ht="64.05" customHeight="1" x14ac:dyDescent="0.3">
      <c r="A1596" s="154" t="s">
        <v>8359</v>
      </c>
      <c r="B1596" s="154" t="s">
        <v>8356</v>
      </c>
      <c r="C1596" s="154" t="s">
        <v>106</v>
      </c>
      <c r="D1596" s="154">
        <v>2023</v>
      </c>
      <c r="E1596" s="154" t="s">
        <v>187</v>
      </c>
      <c r="F1596" s="173" t="s">
        <v>6088</v>
      </c>
      <c r="G1596" s="166">
        <f>(360*AVERAGE(MLCF!E32,MLCF!F32))</f>
        <v>840095.46</v>
      </c>
      <c r="H1596" s="166">
        <f>MLCF!F84</f>
        <v>62075.258999999998</v>
      </c>
      <c r="I1596" s="164">
        <f t="shared" si="72"/>
        <v>13.53349907086171</v>
      </c>
      <c r="J1596" s="164">
        <v>13.53349907086171</v>
      </c>
      <c r="K1596" s="168">
        <f t="shared" si="73"/>
        <v>0</v>
      </c>
      <c r="L1596" s="164">
        <v>13.72</v>
      </c>
      <c r="M1596" s="154">
        <v>2</v>
      </c>
      <c r="N1596" s="154" t="str">
        <f t="shared" si="74"/>
        <v>No fit</v>
      </c>
      <c r="O1596" s="173" t="s">
        <v>6494</v>
      </c>
      <c r="P1596" s="173" t="s">
        <v>6051</v>
      </c>
    </row>
    <row r="1597" spans="1:16" ht="64.05" customHeight="1" x14ac:dyDescent="0.3">
      <c r="A1597" s="151" t="s">
        <v>8360</v>
      </c>
      <c r="B1597" s="151" t="s">
        <v>8356</v>
      </c>
      <c r="C1597" s="151" t="s">
        <v>106</v>
      </c>
      <c r="D1597" s="151">
        <v>2023</v>
      </c>
      <c r="E1597" s="151" t="s">
        <v>187</v>
      </c>
      <c r="F1597" s="174" t="s">
        <v>6090</v>
      </c>
      <c r="G1597" s="167">
        <f>(365*MLCF!F32)</f>
        <v>949359.52500000002</v>
      </c>
      <c r="H1597" s="167">
        <f>MLCF!F84</f>
        <v>62075.258999999998</v>
      </c>
      <c r="I1597" s="165">
        <f t="shared" si="72"/>
        <v>15.293686088365737</v>
      </c>
      <c r="J1597" s="165">
        <v>15.293686088365737</v>
      </c>
      <c r="K1597" s="169">
        <f t="shared" si="73"/>
        <v>0</v>
      </c>
      <c r="L1597" s="165">
        <v>13.72</v>
      </c>
      <c r="M1597" s="151">
        <v>2</v>
      </c>
      <c r="N1597" s="151" t="str">
        <f t="shared" si="74"/>
        <v>No fit</v>
      </c>
      <c r="O1597" s="174" t="s">
        <v>6498</v>
      </c>
      <c r="P1597" s="174" t="s">
        <v>6051</v>
      </c>
    </row>
    <row r="1598" spans="1:16" ht="64.05" customHeight="1" x14ac:dyDescent="0.3">
      <c r="A1598" s="154" t="s">
        <v>8361</v>
      </c>
      <c r="B1598" s="154" t="s">
        <v>8356</v>
      </c>
      <c r="C1598" s="154" t="s">
        <v>106</v>
      </c>
      <c r="D1598" s="154">
        <v>2023</v>
      </c>
      <c r="E1598" s="154" t="s">
        <v>187</v>
      </c>
      <c r="F1598" s="173" t="s">
        <v>6093</v>
      </c>
      <c r="G1598" s="166">
        <f>(366*MLCF!F32)</f>
        <v>951960.51</v>
      </c>
      <c r="H1598" s="166">
        <f>MLCF!F84</f>
        <v>62075.258999999998</v>
      </c>
      <c r="I1598" s="164">
        <f t="shared" si="72"/>
        <v>15.335586598196876</v>
      </c>
      <c r="J1598" s="164">
        <v>15.335586598196876</v>
      </c>
      <c r="K1598" s="168">
        <f t="shared" si="73"/>
        <v>0</v>
      </c>
      <c r="L1598" s="164">
        <v>13.72</v>
      </c>
      <c r="M1598" s="154">
        <v>2</v>
      </c>
      <c r="N1598" s="154" t="str">
        <f t="shared" si="74"/>
        <v>No fit</v>
      </c>
      <c r="O1598" s="173" t="s">
        <v>6498</v>
      </c>
      <c r="P1598" s="173" t="s">
        <v>6051</v>
      </c>
    </row>
    <row r="1599" spans="1:16" ht="64.05" customHeight="1" x14ac:dyDescent="0.3">
      <c r="A1599" s="151" t="s">
        <v>8362</v>
      </c>
      <c r="B1599" s="151" t="s">
        <v>8356</v>
      </c>
      <c r="C1599" s="151" t="s">
        <v>106</v>
      </c>
      <c r="D1599" s="151">
        <v>2023</v>
      </c>
      <c r="E1599" s="151" t="s">
        <v>187</v>
      </c>
      <c r="F1599" s="174" t="s">
        <v>6095</v>
      </c>
      <c r="G1599" s="167">
        <f>(360*MLCF!F32)</f>
        <v>936354.60000000009</v>
      </c>
      <c r="H1599" s="167">
        <f>MLCF!F84</f>
        <v>62075.258999999998</v>
      </c>
      <c r="I1599" s="165">
        <f t="shared" si="72"/>
        <v>15.084183539210043</v>
      </c>
      <c r="J1599" s="165">
        <v>15.084183539210043</v>
      </c>
      <c r="K1599" s="169">
        <f t="shared" si="73"/>
        <v>0</v>
      </c>
      <c r="L1599" s="165">
        <v>13.72</v>
      </c>
      <c r="M1599" s="151">
        <v>2</v>
      </c>
      <c r="N1599" s="151" t="str">
        <f t="shared" si="74"/>
        <v>No fit</v>
      </c>
      <c r="O1599" s="174" t="s">
        <v>6498</v>
      </c>
      <c r="P1599" s="174" t="s">
        <v>6051</v>
      </c>
    </row>
    <row r="1600" spans="1:16" ht="64.05" customHeight="1" x14ac:dyDescent="0.3">
      <c r="A1600" s="154" t="s">
        <v>8363</v>
      </c>
      <c r="B1600" s="154" t="s">
        <v>8356</v>
      </c>
      <c r="C1600" s="154" t="s">
        <v>106</v>
      </c>
      <c r="D1600" s="154">
        <v>2023</v>
      </c>
      <c r="E1600" s="154" t="s">
        <v>187</v>
      </c>
      <c r="F1600" s="173" t="s">
        <v>6097</v>
      </c>
      <c r="G1600" s="166">
        <f>(365*MLCF!E32)</f>
        <v>754167.38</v>
      </c>
      <c r="H1600" s="166">
        <f>MLCF!F84</f>
        <v>62075.258999999998</v>
      </c>
      <c r="I1600" s="164">
        <f t="shared" si="72"/>
        <v>12.149242583103842</v>
      </c>
      <c r="J1600" s="164">
        <v>12.149242583103842</v>
      </c>
      <c r="K1600" s="168">
        <f t="shared" si="73"/>
        <v>0</v>
      </c>
      <c r="L1600" s="164">
        <v>13.72</v>
      </c>
      <c r="M1600" s="154">
        <v>2</v>
      </c>
      <c r="N1600" s="154" t="str">
        <f t="shared" si="74"/>
        <v>No fit</v>
      </c>
      <c r="O1600" s="173" t="s">
        <v>6498</v>
      </c>
      <c r="P1600" s="173" t="s">
        <v>6051</v>
      </c>
    </row>
    <row r="1601" spans="1:16" ht="64.05" customHeight="1" x14ac:dyDescent="0.3">
      <c r="A1601" s="151" t="s">
        <v>8364</v>
      </c>
      <c r="B1601" s="151" t="s">
        <v>8356</v>
      </c>
      <c r="C1601" s="151" t="s">
        <v>106</v>
      </c>
      <c r="D1601" s="151">
        <v>2023</v>
      </c>
      <c r="E1601" s="151" t="s">
        <v>187</v>
      </c>
      <c r="F1601" s="174" t="s">
        <v>6099</v>
      </c>
      <c r="G1601" s="167">
        <f>(366*MLCF!E32)</f>
        <v>756233.59199999995</v>
      </c>
      <c r="H1601" s="167">
        <f>MLCF!F84</f>
        <v>62075.258999999998</v>
      </c>
      <c r="I1601" s="165">
        <f t="shared" si="72"/>
        <v>12.182528179221935</v>
      </c>
      <c r="J1601" s="165">
        <v>12.182528179221935</v>
      </c>
      <c r="K1601" s="169">
        <f t="shared" si="73"/>
        <v>0</v>
      </c>
      <c r="L1601" s="165">
        <v>13.72</v>
      </c>
      <c r="M1601" s="151">
        <v>2</v>
      </c>
      <c r="N1601" s="151" t="str">
        <f t="shared" si="74"/>
        <v>No fit</v>
      </c>
      <c r="O1601" s="174" t="s">
        <v>6498</v>
      </c>
      <c r="P1601" s="174" t="s">
        <v>6051</v>
      </c>
    </row>
    <row r="1602" spans="1:16" ht="64.05" customHeight="1" x14ac:dyDescent="0.3">
      <c r="A1602" s="154" t="s">
        <v>8365</v>
      </c>
      <c r="B1602" s="154" t="s">
        <v>8356</v>
      </c>
      <c r="C1602" s="154" t="s">
        <v>106</v>
      </c>
      <c r="D1602" s="154">
        <v>2023</v>
      </c>
      <c r="E1602" s="154" t="s">
        <v>187</v>
      </c>
      <c r="F1602" s="173" t="s">
        <v>6101</v>
      </c>
      <c r="G1602" s="166">
        <f>(360*MLCF!E32)</f>
        <v>743836.32</v>
      </c>
      <c r="H1602" s="166">
        <f>MLCF!F84</f>
        <v>62075.258999999998</v>
      </c>
      <c r="I1602" s="164">
        <f t="shared" si="72"/>
        <v>11.982814602513377</v>
      </c>
      <c r="J1602" s="164">
        <v>11.982814602513377</v>
      </c>
      <c r="K1602" s="168">
        <f t="shared" si="73"/>
        <v>0</v>
      </c>
      <c r="L1602" s="164">
        <v>13.72</v>
      </c>
      <c r="M1602" s="154">
        <v>2</v>
      </c>
      <c r="N1602" s="154" t="str">
        <f t="shared" si="74"/>
        <v>No fit</v>
      </c>
      <c r="O1602" s="173" t="s">
        <v>6498</v>
      </c>
      <c r="P1602" s="173" t="s">
        <v>6051</v>
      </c>
    </row>
    <row r="1603" spans="1:16" ht="64.05" customHeight="1" x14ac:dyDescent="0.3">
      <c r="A1603" s="151" t="s">
        <v>8366</v>
      </c>
      <c r="B1603" s="151" t="s">
        <v>8356</v>
      </c>
      <c r="C1603" s="151" t="s">
        <v>106</v>
      </c>
      <c r="D1603" s="151">
        <v>2023</v>
      </c>
      <c r="E1603" s="151" t="s">
        <v>187</v>
      </c>
      <c r="F1603" s="174" t="s">
        <v>5762</v>
      </c>
      <c r="G1603" s="167">
        <f>365</f>
        <v>365</v>
      </c>
      <c r="H1603" s="167">
        <f>ROUND((MLCF!F84/AVERAGE(MLCF!E32,MLCF!F32)),2)</f>
        <v>26.6</v>
      </c>
      <c r="I1603" s="165">
        <f t="shared" si="72"/>
        <v>13.721804511278195</v>
      </c>
      <c r="J1603" s="165">
        <v>13.721804511278195</v>
      </c>
      <c r="K1603" s="169">
        <f t="shared" si="73"/>
        <v>0</v>
      </c>
      <c r="L1603" s="165">
        <v>13.72</v>
      </c>
      <c r="M1603" s="151">
        <v>2</v>
      </c>
      <c r="N1603" s="151" t="str">
        <f t="shared" si="74"/>
        <v>Numeric fit</v>
      </c>
      <c r="O1603" s="174" t="s">
        <v>6505</v>
      </c>
      <c r="P1603" s="174" t="s">
        <v>6051</v>
      </c>
    </row>
    <row r="1604" spans="1:16" ht="64.05" customHeight="1" x14ac:dyDescent="0.3">
      <c r="A1604" s="154" t="s">
        <v>8367</v>
      </c>
      <c r="B1604" s="154" t="s">
        <v>8368</v>
      </c>
      <c r="C1604" s="154" t="s">
        <v>106</v>
      </c>
      <c r="D1604" s="154">
        <v>2025</v>
      </c>
      <c r="E1604" s="154" t="s">
        <v>187</v>
      </c>
      <c r="F1604" s="173" t="s">
        <v>5893</v>
      </c>
      <c r="G1604" s="166">
        <f>365*AVERAGE(MLCF!G32,MLCF!H32)</f>
        <v>1605804.1775</v>
      </c>
      <c r="H1604" s="166">
        <f>MLCF!H84</f>
        <v>68942.445999999996</v>
      </c>
      <c r="I1604" s="164">
        <f t="shared" si="72"/>
        <v>23.291952500495849</v>
      </c>
      <c r="J1604" s="164">
        <v>23.291952500495849</v>
      </c>
      <c r="K1604" s="168">
        <f t="shared" si="73"/>
        <v>0</v>
      </c>
      <c r="L1604" s="164">
        <v>23.29</v>
      </c>
      <c r="M1604" s="154">
        <v>2</v>
      </c>
      <c r="N1604" s="154" t="str">
        <f t="shared" si="74"/>
        <v>Numeric fit</v>
      </c>
      <c r="O1604" s="173" t="s">
        <v>6050</v>
      </c>
      <c r="P1604" s="173" t="s">
        <v>6051</v>
      </c>
    </row>
    <row r="1605" spans="1:16" ht="64.05" customHeight="1" x14ac:dyDescent="0.3">
      <c r="A1605" s="151" t="s">
        <v>8369</v>
      </c>
      <c r="B1605" s="151" t="s">
        <v>8368</v>
      </c>
      <c r="C1605" s="151" t="s">
        <v>106</v>
      </c>
      <c r="D1605" s="151">
        <v>2025</v>
      </c>
      <c r="E1605" s="151" t="s">
        <v>187</v>
      </c>
      <c r="F1605" s="174" t="s">
        <v>6084</v>
      </c>
      <c r="G1605" s="167">
        <f>(365*AVERAGE(MLCF!G32,MLCF!H32))</f>
        <v>1605804.1775</v>
      </c>
      <c r="H1605" s="167">
        <f>MLCF!H84</f>
        <v>68942.445999999996</v>
      </c>
      <c r="I1605" s="165">
        <f t="shared" si="72"/>
        <v>23.291952500495849</v>
      </c>
      <c r="J1605" s="165">
        <v>23.291952500495849</v>
      </c>
      <c r="K1605" s="169">
        <f t="shared" si="73"/>
        <v>0</v>
      </c>
      <c r="L1605" s="165">
        <v>23.29</v>
      </c>
      <c r="M1605" s="151">
        <v>2</v>
      </c>
      <c r="N1605" s="151" t="str">
        <f t="shared" si="74"/>
        <v>Numeric fit</v>
      </c>
      <c r="O1605" s="174" t="s">
        <v>6494</v>
      </c>
      <c r="P1605" s="174" t="s">
        <v>6051</v>
      </c>
    </row>
    <row r="1606" spans="1:16" ht="64.05" customHeight="1" x14ac:dyDescent="0.3">
      <c r="A1606" s="154" t="s">
        <v>8370</v>
      </c>
      <c r="B1606" s="154" t="s">
        <v>8368</v>
      </c>
      <c r="C1606" s="154" t="s">
        <v>106</v>
      </c>
      <c r="D1606" s="154">
        <v>2025</v>
      </c>
      <c r="E1606" s="154" t="s">
        <v>187</v>
      </c>
      <c r="F1606" s="173" t="s">
        <v>5814</v>
      </c>
      <c r="G1606" s="166">
        <f>(366*AVERAGE(MLCF!G32,MLCF!H32))</f>
        <v>1610203.6409999998</v>
      </c>
      <c r="H1606" s="166">
        <f>MLCF!H84</f>
        <v>68942.445999999996</v>
      </c>
      <c r="I1606" s="164">
        <f t="shared" ref="I1606:I1669" si="75">G1606/H1606</f>
        <v>23.355766068990356</v>
      </c>
      <c r="J1606" s="164">
        <v>23.355766068990356</v>
      </c>
      <c r="K1606" s="168">
        <f t="shared" ref="K1606:K1669" si="76">I1606-J1606</f>
        <v>0</v>
      </c>
      <c r="L1606" s="164">
        <v>23.29</v>
      </c>
      <c r="M1606" s="154">
        <v>2</v>
      </c>
      <c r="N1606" s="154" t="str">
        <f t="shared" ref="N1606:N1669" si="77">IF(ROUND(I1606,M1606)=ROUND(L1606,M1606),"Numeric fit","No fit")</f>
        <v>No fit</v>
      </c>
      <c r="O1606" s="173" t="s">
        <v>6494</v>
      </c>
      <c r="P1606" s="173" t="s">
        <v>6051</v>
      </c>
    </row>
    <row r="1607" spans="1:16" ht="64.05" customHeight="1" x14ac:dyDescent="0.3">
      <c r="A1607" s="151" t="s">
        <v>8371</v>
      </c>
      <c r="B1607" s="151" t="s">
        <v>8368</v>
      </c>
      <c r="C1607" s="151" t="s">
        <v>106</v>
      </c>
      <c r="D1607" s="151">
        <v>2025</v>
      </c>
      <c r="E1607" s="151" t="s">
        <v>187</v>
      </c>
      <c r="F1607" s="174" t="s">
        <v>6088</v>
      </c>
      <c r="G1607" s="167">
        <f>(360*AVERAGE(MLCF!G32,MLCF!H32))</f>
        <v>1583806.8599999999</v>
      </c>
      <c r="H1607" s="167">
        <f>MLCF!H84</f>
        <v>68942.445999999996</v>
      </c>
      <c r="I1607" s="165">
        <f t="shared" si="75"/>
        <v>22.9728846580233</v>
      </c>
      <c r="J1607" s="165">
        <v>22.9728846580233</v>
      </c>
      <c r="K1607" s="169">
        <f t="shared" si="76"/>
        <v>0</v>
      </c>
      <c r="L1607" s="165">
        <v>23.29</v>
      </c>
      <c r="M1607" s="151">
        <v>2</v>
      </c>
      <c r="N1607" s="151" t="str">
        <f t="shared" si="77"/>
        <v>No fit</v>
      </c>
      <c r="O1607" s="174" t="s">
        <v>6494</v>
      </c>
      <c r="P1607" s="174" t="s">
        <v>6051</v>
      </c>
    </row>
    <row r="1608" spans="1:16" ht="64.05" customHeight="1" x14ac:dyDescent="0.3">
      <c r="A1608" s="154" t="s">
        <v>8372</v>
      </c>
      <c r="B1608" s="154" t="s">
        <v>8368</v>
      </c>
      <c r="C1608" s="154" t="s">
        <v>106</v>
      </c>
      <c r="D1608" s="154">
        <v>2025</v>
      </c>
      <c r="E1608" s="154" t="s">
        <v>187</v>
      </c>
      <c r="F1608" s="173" t="s">
        <v>6090</v>
      </c>
      <c r="G1608" s="166">
        <f>(365*MLCF!H32)</f>
        <v>1682716.43</v>
      </c>
      <c r="H1608" s="166">
        <f>MLCF!H84</f>
        <v>68942.445999999996</v>
      </c>
      <c r="I1608" s="164">
        <f t="shared" si="75"/>
        <v>24.407553367050539</v>
      </c>
      <c r="J1608" s="164">
        <v>24.407553367050539</v>
      </c>
      <c r="K1608" s="168">
        <f t="shared" si="76"/>
        <v>0</v>
      </c>
      <c r="L1608" s="164">
        <v>23.29</v>
      </c>
      <c r="M1608" s="154">
        <v>2</v>
      </c>
      <c r="N1608" s="154" t="str">
        <f t="shared" si="77"/>
        <v>No fit</v>
      </c>
      <c r="O1608" s="173" t="s">
        <v>6498</v>
      </c>
      <c r="P1608" s="173" t="s">
        <v>6051</v>
      </c>
    </row>
    <row r="1609" spans="1:16" ht="64.05" customHeight="1" x14ac:dyDescent="0.3">
      <c r="A1609" s="151" t="s">
        <v>8373</v>
      </c>
      <c r="B1609" s="151" t="s">
        <v>8368</v>
      </c>
      <c r="C1609" s="151" t="s">
        <v>106</v>
      </c>
      <c r="D1609" s="151">
        <v>2025</v>
      </c>
      <c r="E1609" s="151" t="s">
        <v>187</v>
      </c>
      <c r="F1609" s="174" t="s">
        <v>6093</v>
      </c>
      <c r="G1609" s="167">
        <f>(366*MLCF!H32)</f>
        <v>1687326.612</v>
      </c>
      <c r="H1609" s="167">
        <f>MLCF!H84</f>
        <v>68942.445999999996</v>
      </c>
      <c r="I1609" s="165">
        <f t="shared" si="75"/>
        <v>24.474423376275336</v>
      </c>
      <c r="J1609" s="165">
        <v>24.474423376275336</v>
      </c>
      <c r="K1609" s="169">
        <f t="shared" si="76"/>
        <v>0</v>
      </c>
      <c r="L1609" s="165">
        <v>23.29</v>
      </c>
      <c r="M1609" s="151">
        <v>2</v>
      </c>
      <c r="N1609" s="151" t="str">
        <f t="shared" si="77"/>
        <v>No fit</v>
      </c>
      <c r="O1609" s="174" t="s">
        <v>6498</v>
      </c>
      <c r="P1609" s="174" t="s">
        <v>6051</v>
      </c>
    </row>
    <row r="1610" spans="1:16" ht="64.05" customHeight="1" x14ac:dyDescent="0.3">
      <c r="A1610" s="154" t="s">
        <v>8374</v>
      </c>
      <c r="B1610" s="154" t="s">
        <v>8368</v>
      </c>
      <c r="C1610" s="154" t="s">
        <v>106</v>
      </c>
      <c r="D1610" s="154">
        <v>2025</v>
      </c>
      <c r="E1610" s="154" t="s">
        <v>187</v>
      </c>
      <c r="F1610" s="173" t="s">
        <v>6095</v>
      </c>
      <c r="G1610" s="166">
        <f>(360*MLCF!H32)</f>
        <v>1659665.52</v>
      </c>
      <c r="H1610" s="166">
        <f>MLCF!H84</f>
        <v>68942.445999999996</v>
      </c>
      <c r="I1610" s="164">
        <f t="shared" si="75"/>
        <v>24.073203320926559</v>
      </c>
      <c r="J1610" s="164">
        <v>24.073203320926559</v>
      </c>
      <c r="K1610" s="168">
        <f t="shared" si="76"/>
        <v>0</v>
      </c>
      <c r="L1610" s="164">
        <v>23.29</v>
      </c>
      <c r="M1610" s="154">
        <v>2</v>
      </c>
      <c r="N1610" s="154" t="str">
        <f t="shared" si="77"/>
        <v>No fit</v>
      </c>
      <c r="O1610" s="173" t="s">
        <v>6498</v>
      </c>
      <c r="P1610" s="173" t="s">
        <v>6051</v>
      </c>
    </row>
    <row r="1611" spans="1:16" ht="64.05" customHeight="1" x14ac:dyDescent="0.3">
      <c r="A1611" s="151" t="s">
        <v>8375</v>
      </c>
      <c r="B1611" s="151" t="s">
        <v>8368</v>
      </c>
      <c r="C1611" s="151" t="s">
        <v>106</v>
      </c>
      <c r="D1611" s="151">
        <v>2025</v>
      </c>
      <c r="E1611" s="151" t="s">
        <v>187</v>
      </c>
      <c r="F1611" s="174" t="s">
        <v>6097</v>
      </c>
      <c r="G1611" s="167">
        <f>(365*MLCF!G32)</f>
        <v>1528891.925</v>
      </c>
      <c r="H1611" s="167">
        <f>MLCF!H84</f>
        <v>68942.445999999996</v>
      </c>
      <c r="I1611" s="165">
        <f t="shared" si="75"/>
        <v>22.176351633941159</v>
      </c>
      <c r="J1611" s="165">
        <v>22.176351633941159</v>
      </c>
      <c r="K1611" s="169">
        <f t="shared" si="76"/>
        <v>0</v>
      </c>
      <c r="L1611" s="165">
        <v>23.29</v>
      </c>
      <c r="M1611" s="151">
        <v>2</v>
      </c>
      <c r="N1611" s="151" t="str">
        <f t="shared" si="77"/>
        <v>No fit</v>
      </c>
      <c r="O1611" s="174" t="s">
        <v>6498</v>
      </c>
      <c r="P1611" s="174" t="s">
        <v>6051</v>
      </c>
    </row>
    <row r="1612" spans="1:16" ht="64.05" customHeight="1" x14ac:dyDescent="0.3">
      <c r="A1612" s="154" t="s">
        <v>8376</v>
      </c>
      <c r="B1612" s="154" t="s">
        <v>8368</v>
      </c>
      <c r="C1612" s="154" t="s">
        <v>106</v>
      </c>
      <c r="D1612" s="154">
        <v>2025</v>
      </c>
      <c r="E1612" s="154" t="s">
        <v>187</v>
      </c>
      <c r="F1612" s="173" t="s">
        <v>6099</v>
      </c>
      <c r="G1612" s="166">
        <f>(366*MLCF!G32)</f>
        <v>1533080.67</v>
      </c>
      <c r="H1612" s="166">
        <f>MLCF!H84</f>
        <v>68942.445999999996</v>
      </c>
      <c r="I1612" s="164">
        <f t="shared" si="75"/>
        <v>22.237108761705379</v>
      </c>
      <c r="J1612" s="164">
        <v>22.237108761705379</v>
      </c>
      <c r="K1612" s="168">
        <f t="shared" si="76"/>
        <v>0</v>
      </c>
      <c r="L1612" s="164">
        <v>23.29</v>
      </c>
      <c r="M1612" s="154">
        <v>2</v>
      </c>
      <c r="N1612" s="154" t="str">
        <f t="shared" si="77"/>
        <v>No fit</v>
      </c>
      <c r="O1612" s="173" t="s">
        <v>6498</v>
      </c>
      <c r="P1612" s="173" t="s">
        <v>6051</v>
      </c>
    </row>
    <row r="1613" spans="1:16" ht="64.05" customHeight="1" x14ac:dyDescent="0.3">
      <c r="A1613" s="151" t="s">
        <v>8377</v>
      </c>
      <c r="B1613" s="151" t="s">
        <v>8368</v>
      </c>
      <c r="C1613" s="151" t="s">
        <v>106</v>
      </c>
      <c r="D1613" s="151">
        <v>2025</v>
      </c>
      <c r="E1613" s="151" t="s">
        <v>187</v>
      </c>
      <c r="F1613" s="174" t="s">
        <v>6101</v>
      </c>
      <c r="G1613" s="167">
        <f>(360*MLCF!G32)</f>
        <v>1507948.2</v>
      </c>
      <c r="H1613" s="167">
        <f>MLCF!H84</f>
        <v>68942.445999999996</v>
      </c>
      <c r="I1613" s="165">
        <f t="shared" si="75"/>
        <v>21.872565995120045</v>
      </c>
      <c r="J1613" s="165">
        <v>21.872565995120045</v>
      </c>
      <c r="K1613" s="169">
        <f t="shared" si="76"/>
        <v>0</v>
      </c>
      <c r="L1613" s="165">
        <v>23.29</v>
      </c>
      <c r="M1613" s="151">
        <v>2</v>
      </c>
      <c r="N1613" s="151" t="str">
        <f t="shared" si="77"/>
        <v>No fit</v>
      </c>
      <c r="O1613" s="174" t="s">
        <v>6498</v>
      </c>
      <c r="P1613" s="174" t="s">
        <v>6051</v>
      </c>
    </row>
    <row r="1614" spans="1:16" ht="64.05" customHeight="1" x14ac:dyDescent="0.3">
      <c r="A1614" s="154" t="s">
        <v>8378</v>
      </c>
      <c r="B1614" s="154" t="s">
        <v>8368</v>
      </c>
      <c r="C1614" s="154" t="s">
        <v>106</v>
      </c>
      <c r="D1614" s="154">
        <v>2025</v>
      </c>
      <c r="E1614" s="154" t="s">
        <v>187</v>
      </c>
      <c r="F1614" s="173" t="s">
        <v>5762</v>
      </c>
      <c r="G1614" s="166">
        <f>365</f>
        <v>365</v>
      </c>
      <c r="H1614" s="166">
        <f>ROUND((MLCF!H84/AVERAGE(MLCF!G32,MLCF!H32)),2)</f>
        <v>15.67</v>
      </c>
      <c r="I1614" s="164">
        <f t="shared" si="75"/>
        <v>23.292916400765794</v>
      </c>
      <c r="J1614" s="164">
        <v>23.292916400765794</v>
      </c>
      <c r="K1614" s="168">
        <f t="shared" si="76"/>
        <v>0</v>
      </c>
      <c r="L1614" s="164">
        <v>23.29</v>
      </c>
      <c r="M1614" s="154">
        <v>2</v>
      </c>
      <c r="N1614" s="154" t="str">
        <f t="shared" si="77"/>
        <v>Numeric fit</v>
      </c>
      <c r="O1614" s="173" t="s">
        <v>6505</v>
      </c>
      <c r="P1614" s="173" t="s">
        <v>6051</v>
      </c>
    </row>
    <row r="1615" spans="1:16" ht="64.05" customHeight="1" x14ac:dyDescent="0.3">
      <c r="A1615" s="151" t="s">
        <v>8379</v>
      </c>
      <c r="B1615" s="151" t="s">
        <v>8380</v>
      </c>
      <c r="C1615" s="151" t="s">
        <v>106</v>
      </c>
      <c r="D1615" s="151">
        <v>2023</v>
      </c>
      <c r="E1615" s="151" t="s">
        <v>190</v>
      </c>
      <c r="F1615" s="174" t="s">
        <v>5893</v>
      </c>
      <c r="G1615" s="167">
        <f>365*AVERAGE(MLCF!E51,MLCF!F51)</f>
        <v>1968176.3599999996</v>
      </c>
      <c r="H1615" s="167">
        <f>-MLCF!F85</f>
        <v>43901.906000000003</v>
      </c>
      <c r="I1615" s="165">
        <f t="shared" si="75"/>
        <v>44.831228056476625</v>
      </c>
      <c r="J1615" s="165">
        <v>44.831228056476625</v>
      </c>
      <c r="K1615" s="169">
        <f t="shared" si="76"/>
        <v>0</v>
      </c>
      <c r="L1615" s="165">
        <v>36.5</v>
      </c>
      <c r="M1615" s="151">
        <v>2</v>
      </c>
      <c r="N1615" s="151" t="str">
        <f t="shared" si="77"/>
        <v>No fit</v>
      </c>
      <c r="O1615" s="174" t="s">
        <v>6050</v>
      </c>
      <c r="P1615" s="174" t="s">
        <v>6051</v>
      </c>
    </row>
    <row r="1616" spans="1:16" ht="64.05" customHeight="1" x14ac:dyDescent="0.3">
      <c r="A1616" s="154" t="s">
        <v>8381</v>
      </c>
      <c r="B1616" s="154" t="s">
        <v>8380</v>
      </c>
      <c r="C1616" s="154" t="s">
        <v>106</v>
      </c>
      <c r="D1616" s="154">
        <v>2023</v>
      </c>
      <c r="E1616" s="154" t="s">
        <v>190</v>
      </c>
      <c r="F1616" s="173" t="s">
        <v>6508</v>
      </c>
      <c r="G1616" s="166">
        <f>(365*AVERAGE((MLCF!E51-MLCF!E253),(MLCF!F51-MLCF!F253)))</f>
        <v>1602362.41</v>
      </c>
      <c r="H1616" s="166">
        <f>(MLCF!F85*-1)</f>
        <v>43901.906000000003</v>
      </c>
      <c r="I1616" s="164">
        <f t="shared" si="75"/>
        <v>36.498698029192624</v>
      </c>
      <c r="J1616" s="164">
        <v>36.498698029192624</v>
      </c>
      <c r="K1616" s="168">
        <f t="shared" si="76"/>
        <v>0</v>
      </c>
      <c r="L1616" s="164">
        <v>36.5</v>
      </c>
      <c r="M1616" s="154">
        <v>2</v>
      </c>
      <c r="N1616" s="154" t="str">
        <f t="shared" si="77"/>
        <v>Numeric fit</v>
      </c>
      <c r="O1616" s="173" t="s">
        <v>6509</v>
      </c>
      <c r="P1616" s="173" t="s">
        <v>6051</v>
      </c>
    </row>
    <row r="1617" spans="1:16" ht="64.05" customHeight="1" x14ac:dyDescent="0.3">
      <c r="A1617" s="151" t="s">
        <v>8382</v>
      </c>
      <c r="B1617" s="151" t="s">
        <v>8380</v>
      </c>
      <c r="C1617" s="151" t="s">
        <v>106</v>
      </c>
      <c r="D1617" s="151">
        <v>2023</v>
      </c>
      <c r="E1617" s="151" t="s">
        <v>190</v>
      </c>
      <c r="F1617" s="174" t="s">
        <v>5818</v>
      </c>
      <c r="G1617" s="167">
        <f>(365*AVERAGE((MLCF!E51-MLCF!E253),(MLCF!F51-MLCF!F253)))</f>
        <v>1602362.41</v>
      </c>
      <c r="H1617" s="167">
        <f>(MLCF!F85*-1)</f>
        <v>43901.906000000003</v>
      </c>
      <c r="I1617" s="165">
        <f t="shared" si="75"/>
        <v>36.498698029192624</v>
      </c>
      <c r="J1617" s="165">
        <v>36.498698029192624</v>
      </c>
      <c r="K1617" s="169">
        <f t="shared" si="76"/>
        <v>0</v>
      </c>
      <c r="L1617" s="165">
        <v>36.5</v>
      </c>
      <c r="M1617" s="151">
        <v>2</v>
      </c>
      <c r="N1617" s="151" t="str">
        <f t="shared" si="77"/>
        <v>Numeric fit</v>
      </c>
      <c r="O1617" s="174" t="s">
        <v>6509</v>
      </c>
      <c r="P1617" s="174" t="s">
        <v>6051</v>
      </c>
    </row>
    <row r="1618" spans="1:16" ht="64.05" customHeight="1" x14ac:dyDescent="0.3">
      <c r="A1618" s="154" t="s">
        <v>8383</v>
      </c>
      <c r="B1618" s="154" t="s">
        <v>8380</v>
      </c>
      <c r="C1618" s="154" t="s">
        <v>106</v>
      </c>
      <c r="D1618" s="154">
        <v>2023</v>
      </c>
      <c r="E1618" s="154" t="s">
        <v>190</v>
      </c>
      <c r="F1618" s="173" t="s">
        <v>6513</v>
      </c>
      <c r="G1618" s="166">
        <f>(366*AVERAGE((MLCF!E51-MLCF!E253),(MLCF!F51-MLCF!F253)))</f>
        <v>1606752.4439999999</v>
      </c>
      <c r="H1618" s="166">
        <f>(MLCF!F85*-1)</f>
        <v>43901.906000000003</v>
      </c>
      <c r="I1618" s="164">
        <f t="shared" si="75"/>
        <v>36.598694462149318</v>
      </c>
      <c r="J1618" s="164">
        <v>36.598694462149318</v>
      </c>
      <c r="K1618" s="168">
        <f t="shared" si="76"/>
        <v>0</v>
      </c>
      <c r="L1618" s="164">
        <v>36.5</v>
      </c>
      <c r="M1618" s="154">
        <v>2</v>
      </c>
      <c r="N1618" s="154" t="str">
        <f t="shared" si="77"/>
        <v>No fit</v>
      </c>
      <c r="O1618" s="173" t="s">
        <v>6509</v>
      </c>
      <c r="P1618" s="173" t="s">
        <v>6051</v>
      </c>
    </row>
    <row r="1619" spans="1:16" ht="64.05" customHeight="1" x14ac:dyDescent="0.3">
      <c r="A1619" s="151" t="s">
        <v>8384</v>
      </c>
      <c r="B1619" s="151" t="s">
        <v>8385</v>
      </c>
      <c r="C1619" s="151" t="s">
        <v>106</v>
      </c>
      <c r="D1619" s="151">
        <v>2024</v>
      </c>
      <c r="E1619" s="151" t="s">
        <v>190</v>
      </c>
      <c r="F1619" s="174" t="s">
        <v>5893</v>
      </c>
      <c r="G1619" s="167">
        <f>365*AVERAGE(MLCF!F51,MLCF!G51)</f>
        <v>2203290.7450000001</v>
      </c>
      <c r="H1619" s="167">
        <f>-MLCF!G85</f>
        <v>45488.063999999998</v>
      </c>
      <c r="I1619" s="165">
        <f t="shared" si="75"/>
        <v>48.436678795562727</v>
      </c>
      <c r="J1619" s="165">
        <v>48.436678795562713</v>
      </c>
      <c r="K1619" s="169">
        <f t="shared" si="76"/>
        <v>0</v>
      </c>
      <c r="L1619" s="165">
        <v>37.630000000000003</v>
      </c>
      <c r="M1619" s="151">
        <v>2</v>
      </c>
      <c r="N1619" s="151" t="str">
        <f t="shared" si="77"/>
        <v>No fit</v>
      </c>
      <c r="O1619" s="174" t="s">
        <v>6050</v>
      </c>
      <c r="P1619" s="174" t="s">
        <v>6051</v>
      </c>
    </row>
    <row r="1620" spans="1:16" ht="64.05" customHeight="1" x14ac:dyDescent="0.3">
      <c r="A1620" s="154" t="s">
        <v>8386</v>
      </c>
      <c r="B1620" s="154" t="s">
        <v>8385</v>
      </c>
      <c r="C1620" s="154" t="s">
        <v>106</v>
      </c>
      <c r="D1620" s="154">
        <v>2024</v>
      </c>
      <c r="E1620" s="154" t="s">
        <v>190</v>
      </c>
      <c r="F1620" s="173" t="s">
        <v>6508</v>
      </c>
      <c r="G1620" s="166">
        <f>(365*AVERAGE((MLCF!F51-MLCF!F253),(MLCF!G51-MLCF!G253)))</f>
        <v>1711765.32</v>
      </c>
      <c r="H1620" s="166">
        <f>(MLCF!G85*-1)</f>
        <v>45488.063999999998</v>
      </c>
      <c r="I1620" s="164">
        <f t="shared" si="75"/>
        <v>37.631087574973513</v>
      </c>
      <c r="J1620" s="164">
        <v>37.631087574973513</v>
      </c>
      <c r="K1620" s="168">
        <f t="shared" si="76"/>
        <v>0</v>
      </c>
      <c r="L1620" s="164">
        <v>37.630000000000003</v>
      </c>
      <c r="M1620" s="154">
        <v>2</v>
      </c>
      <c r="N1620" s="154" t="str">
        <f t="shared" si="77"/>
        <v>Numeric fit</v>
      </c>
      <c r="O1620" s="173" t="s">
        <v>6509</v>
      </c>
      <c r="P1620" s="173" t="s">
        <v>6051</v>
      </c>
    </row>
    <row r="1621" spans="1:16" ht="64.05" customHeight="1" x14ac:dyDescent="0.3">
      <c r="A1621" s="151" t="s">
        <v>8387</v>
      </c>
      <c r="B1621" s="151" t="s">
        <v>8385</v>
      </c>
      <c r="C1621" s="151" t="s">
        <v>106</v>
      </c>
      <c r="D1621" s="151">
        <v>2024</v>
      </c>
      <c r="E1621" s="151" t="s">
        <v>190</v>
      </c>
      <c r="F1621" s="174" t="s">
        <v>5818</v>
      </c>
      <c r="G1621" s="167">
        <f>(365*AVERAGE((MLCF!F51-MLCF!F253),(MLCF!G51-MLCF!G253)))</f>
        <v>1711765.32</v>
      </c>
      <c r="H1621" s="167">
        <f>(MLCF!G85*-1)</f>
        <v>45488.063999999998</v>
      </c>
      <c r="I1621" s="165">
        <f t="shared" si="75"/>
        <v>37.631087574973513</v>
      </c>
      <c r="J1621" s="165">
        <v>37.631087574973513</v>
      </c>
      <c r="K1621" s="169">
        <f t="shared" si="76"/>
        <v>0</v>
      </c>
      <c r="L1621" s="165">
        <v>37.630000000000003</v>
      </c>
      <c r="M1621" s="151">
        <v>2</v>
      </c>
      <c r="N1621" s="151" t="str">
        <f t="shared" si="77"/>
        <v>Numeric fit</v>
      </c>
      <c r="O1621" s="174" t="s">
        <v>6509</v>
      </c>
      <c r="P1621" s="174" t="s">
        <v>6051</v>
      </c>
    </row>
    <row r="1622" spans="1:16" ht="64.05" customHeight="1" x14ac:dyDescent="0.3">
      <c r="A1622" s="154" t="s">
        <v>8388</v>
      </c>
      <c r="B1622" s="154" t="s">
        <v>8385</v>
      </c>
      <c r="C1622" s="154" t="s">
        <v>106</v>
      </c>
      <c r="D1622" s="154">
        <v>2024</v>
      </c>
      <c r="E1622" s="154" t="s">
        <v>190</v>
      </c>
      <c r="F1622" s="173" t="s">
        <v>6513</v>
      </c>
      <c r="G1622" s="166">
        <f>(366*AVERAGE((MLCF!F51-MLCF!F253),(MLCF!G51-MLCF!G253)))</f>
        <v>1716455.088</v>
      </c>
      <c r="H1622" s="166">
        <f>(MLCF!G85*-1)</f>
        <v>45488.063999999998</v>
      </c>
      <c r="I1622" s="164">
        <f t="shared" si="75"/>
        <v>37.734186445041935</v>
      </c>
      <c r="J1622" s="164">
        <v>37.734186445041935</v>
      </c>
      <c r="K1622" s="168">
        <f t="shared" si="76"/>
        <v>0</v>
      </c>
      <c r="L1622" s="164">
        <v>37.630000000000003</v>
      </c>
      <c r="M1622" s="154">
        <v>2</v>
      </c>
      <c r="N1622" s="154" t="str">
        <f t="shared" si="77"/>
        <v>No fit</v>
      </c>
      <c r="O1622" s="173" t="s">
        <v>6509</v>
      </c>
      <c r="P1622" s="173" t="s">
        <v>6051</v>
      </c>
    </row>
    <row r="1623" spans="1:16" ht="64.05" customHeight="1" x14ac:dyDescent="0.3">
      <c r="A1623" s="151" t="s">
        <v>8389</v>
      </c>
      <c r="B1623" s="151" t="s">
        <v>8390</v>
      </c>
      <c r="C1623" s="151" t="s">
        <v>106</v>
      </c>
      <c r="D1623" s="151">
        <v>2025</v>
      </c>
      <c r="E1623" s="151" t="s">
        <v>190</v>
      </c>
      <c r="F1623" s="174" t="s">
        <v>5893</v>
      </c>
      <c r="G1623" s="167">
        <f>365*AVERAGE(MLCF!G51,MLCF!H51)</f>
        <v>2321288.3099999996</v>
      </c>
      <c r="H1623" s="167">
        <f>-MLCF!H85</f>
        <v>45195.63</v>
      </c>
      <c r="I1623" s="165">
        <f t="shared" si="75"/>
        <v>51.360901706647297</v>
      </c>
      <c r="J1623" s="165">
        <v>51.360901706647297</v>
      </c>
      <c r="K1623" s="169">
        <f t="shared" si="76"/>
        <v>0</v>
      </c>
      <c r="L1623" s="165">
        <v>42.18</v>
      </c>
      <c r="M1623" s="151">
        <v>2</v>
      </c>
      <c r="N1623" s="151" t="str">
        <f t="shared" si="77"/>
        <v>No fit</v>
      </c>
      <c r="O1623" s="174" t="s">
        <v>6050</v>
      </c>
      <c r="P1623" s="174" t="s">
        <v>6051</v>
      </c>
    </row>
    <row r="1624" spans="1:16" ht="64.05" customHeight="1" x14ac:dyDescent="0.3">
      <c r="A1624" s="154" t="s">
        <v>8391</v>
      </c>
      <c r="B1624" s="154" t="s">
        <v>8390</v>
      </c>
      <c r="C1624" s="154" t="s">
        <v>106</v>
      </c>
      <c r="D1624" s="154">
        <v>2025</v>
      </c>
      <c r="E1624" s="154" t="s">
        <v>190</v>
      </c>
      <c r="F1624" s="173" t="s">
        <v>6508</v>
      </c>
      <c r="G1624" s="166">
        <f>(365*AVERAGE((MLCF!G51-MLCF!G253),(MLCF!H51-MLCF!H253)))</f>
        <v>1906209.2150000001</v>
      </c>
      <c r="H1624" s="166">
        <f>(MLCF!H85*-1)</f>
        <v>45195.63</v>
      </c>
      <c r="I1624" s="164">
        <f t="shared" si="75"/>
        <v>42.17684796074311</v>
      </c>
      <c r="J1624" s="164">
        <v>42.17684796074311</v>
      </c>
      <c r="K1624" s="168">
        <f t="shared" si="76"/>
        <v>0</v>
      </c>
      <c r="L1624" s="164">
        <v>42.18</v>
      </c>
      <c r="M1624" s="154">
        <v>2</v>
      </c>
      <c r="N1624" s="154" t="str">
        <f t="shared" si="77"/>
        <v>Numeric fit</v>
      </c>
      <c r="O1624" s="173" t="s">
        <v>6509</v>
      </c>
      <c r="P1624" s="173" t="s">
        <v>6051</v>
      </c>
    </row>
    <row r="1625" spans="1:16" ht="64.05" customHeight="1" x14ac:dyDescent="0.3">
      <c r="A1625" s="151" t="s">
        <v>8392</v>
      </c>
      <c r="B1625" s="151" t="s">
        <v>8390</v>
      </c>
      <c r="C1625" s="151" t="s">
        <v>106</v>
      </c>
      <c r="D1625" s="151">
        <v>2025</v>
      </c>
      <c r="E1625" s="151" t="s">
        <v>190</v>
      </c>
      <c r="F1625" s="174" t="s">
        <v>5818</v>
      </c>
      <c r="G1625" s="167">
        <f>(365*AVERAGE((MLCF!G51-MLCF!G253),(MLCF!H51-MLCF!H253)))</f>
        <v>1906209.2150000001</v>
      </c>
      <c r="H1625" s="167">
        <f>(MLCF!H85*-1)</f>
        <v>45195.63</v>
      </c>
      <c r="I1625" s="165">
        <f t="shared" si="75"/>
        <v>42.17684796074311</v>
      </c>
      <c r="J1625" s="165">
        <v>42.17684796074311</v>
      </c>
      <c r="K1625" s="169">
        <f t="shared" si="76"/>
        <v>0</v>
      </c>
      <c r="L1625" s="165">
        <v>42.18</v>
      </c>
      <c r="M1625" s="151">
        <v>2</v>
      </c>
      <c r="N1625" s="151" t="str">
        <f t="shared" si="77"/>
        <v>Numeric fit</v>
      </c>
      <c r="O1625" s="174" t="s">
        <v>6509</v>
      </c>
      <c r="P1625" s="174" t="s">
        <v>6051</v>
      </c>
    </row>
    <row r="1626" spans="1:16" ht="64.05" customHeight="1" x14ac:dyDescent="0.3">
      <c r="A1626" s="154" t="s">
        <v>8393</v>
      </c>
      <c r="B1626" s="154" t="s">
        <v>8390</v>
      </c>
      <c r="C1626" s="154" t="s">
        <v>106</v>
      </c>
      <c r="D1626" s="154">
        <v>2025</v>
      </c>
      <c r="E1626" s="154" t="s">
        <v>190</v>
      </c>
      <c r="F1626" s="173" t="s">
        <v>6513</v>
      </c>
      <c r="G1626" s="166">
        <f>(366*AVERAGE((MLCF!G51-MLCF!G253),(MLCF!H51-MLCF!H253)))</f>
        <v>1911431.706</v>
      </c>
      <c r="H1626" s="166">
        <f>(MLCF!H85*-1)</f>
        <v>45195.63</v>
      </c>
      <c r="I1626" s="164">
        <f t="shared" si="75"/>
        <v>42.292400968854736</v>
      </c>
      <c r="J1626" s="164">
        <v>42.292400968854736</v>
      </c>
      <c r="K1626" s="168">
        <f t="shared" si="76"/>
        <v>0</v>
      </c>
      <c r="L1626" s="164">
        <v>42.18</v>
      </c>
      <c r="M1626" s="154">
        <v>2</v>
      </c>
      <c r="N1626" s="154" t="str">
        <f t="shared" si="77"/>
        <v>No fit</v>
      </c>
      <c r="O1626" s="173" t="s">
        <v>6509</v>
      </c>
      <c r="P1626" s="173" t="s">
        <v>6051</v>
      </c>
    </row>
    <row r="1627" spans="1:16" ht="64.05" customHeight="1" x14ac:dyDescent="0.3">
      <c r="A1627" s="151" t="s">
        <v>8394</v>
      </c>
      <c r="B1627" s="151" t="s">
        <v>8395</v>
      </c>
      <c r="C1627" s="151" t="s">
        <v>106</v>
      </c>
      <c r="D1627" s="151">
        <v>2023</v>
      </c>
      <c r="E1627" s="151" t="s">
        <v>133</v>
      </c>
      <c r="F1627" s="174" t="s">
        <v>5893</v>
      </c>
      <c r="G1627" s="167">
        <f>-MLCF!F85</f>
        <v>43901.906000000003</v>
      </c>
      <c r="H1627" s="167">
        <f>AVERAGE(MLCF!E51,MLCF!F51)</f>
        <v>5392.2639999999992</v>
      </c>
      <c r="I1627" s="165">
        <f t="shared" si="75"/>
        <v>8.1416462547085988</v>
      </c>
      <c r="J1627" s="165">
        <v>8.1416462547085988</v>
      </c>
      <c r="K1627" s="169">
        <f t="shared" si="76"/>
        <v>0</v>
      </c>
      <c r="L1627" s="165">
        <v>10</v>
      </c>
      <c r="M1627" s="151">
        <v>2</v>
      </c>
      <c r="N1627" s="151" t="str">
        <f t="shared" si="77"/>
        <v>No fit</v>
      </c>
      <c r="O1627" s="174" t="s">
        <v>6050</v>
      </c>
      <c r="P1627" s="174" t="s">
        <v>6051</v>
      </c>
    </row>
    <row r="1628" spans="1:16" ht="64.05" customHeight="1" x14ac:dyDescent="0.3">
      <c r="A1628" s="154" t="s">
        <v>8396</v>
      </c>
      <c r="B1628" s="154" t="s">
        <v>8395</v>
      </c>
      <c r="C1628" s="154" t="s">
        <v>106</v>
      </c>
      <c r="D1628" s="154">
        <v>2023</v>
      </c>
      <c r="E1628" s="154" t="s">
        <v>133</v>
      </c>
      <c r="F1628" s="173" t="s">
        <v>6822</v>
      </c>
      <c r="G1628" s="166">
        <f>(MLCF!F85*-1)</f>
        <v>43901.906000000003</v>
      </c>
      <c r="H1628" s="166">
        <f>AVERAGE((MLCF!E51-MLCF!E253),(MLCF!F51-MLCF!F253))</f>
        <v>4390.0339999999997</v>
      </c>
      <c r="I1628" s="164">
        <f t="shared" si="75"/>
        <v>10.000356717055039</v>
      </c>
      <c r="J1628" s="164">
        <v>10.000356717055039</v>
      </c>
      <c r="K1628" s="168">
        <f t="shared" si="76"/>
        <v>0</v>
      </c>
      <c r="L1628" s="164">
        <v>10</v>
      </c>
      <c r="M1628" s="154">
        <v>2</v>
      </c>
      <c r="N1628" s="154" t="str">
        <f t="shared" si="77"/>
        <v>Numeric fit</v>
      </c>
      <c r="O1628" s="173" t="s">
        <v>6823</v>
      </c>
      <c r="P1628" s="173" t="s">
        <v>6051</v>
      </c>
    </row>
    <row r="1629" spans="1:16" ht="64.05" customHeight="1" x14ac:dyDescent="0.3">
      <c r="A1629" s="151" t="s">
        <v>8397</v>
      </c>
      <c r="B1629" s="151" t="s">
        <v>8395</v>
      </c>
      <c r="C1629" s="151" t="s">
        <v>106</v>
      </c>
      <c r="D1629" s="151">
        <v>2023</v>
      </c>
      <c r="E1629" s="151" t="s">
        <v>133</v>
      </c>
      <c r="F1629" s="174" t="s">
        <v>5934</v>
      </c>
      <c r="G1629" s="167">
        <f>(MLCF!F85*-1)</f>
        <v>43901.906000000003</v>
      </c>
      <c r="H1629" s="167">
        <f>AVERAGE((MLCF!E51-MLCF!E253),(MLCF!F51-MLCF!F253))</f>
        <v>4390.0339999999997</v>
      </c>
      <c r="I1629" s="165">
        <f t="shared" si="75"/>
        <v>10.000356717055039</v>
      </c>
      <c r="J1629" s="165">
        <v>10.000356717055039</v>
      </c>
      <c r="K1629" s="169">
        <f t="shared" si="76"/>
        <v>0</v>
      </c>
      <c r="L1629" s="165">
        <v>10</v>
      </c>
      <c r="M1629" s="151">
        <v>2</v>
      </c>
      <c r="N1629" s="151" t="str">
        <f t="shared" si="77"/>
        <v>Numeric fit</v>
      </c>
      <c r="O1629" s="174" t="s">
        <v>6823</v>
      </c>
      <c r="P1629" s="174" t="s">
        <v>6051</v>
      </c>
    </row>
    <row r="1630" spans="1:16" ht="64.05" customHeight="1" x14ac:dyDescent="0.3">
      <c r="A1630" s="154" t="s">
        <v>8398</v>
      </c>
      <c r="B1630" s="154" t="s">
        <v>8399</v>
      </c>
      <c r="C1630" s="154" t="s">
        <v>106</v>
      </c>
      <c r="D1630" s="154">
        <v>2024</v>
      </c>
      <c r="E1630" s="154" t="s">
        <v>133</v>
      </c>
      <c r="F1630" s="173" t="s">
        <v>5893</v>
      </c>
      <c r="G1630" s="166">
        <f>-MLCF!G85</f>
        <v>45488.063999999998</v>
      </c>
      <c r="H1630" s="166">
        <f>AVERAGE(MLCF!F51,MLCF!G51)</f>
        <v>6036.4130000000005</v>
      </c>
      <c r="I1630" s="164">
        <f t="shared" si="75"/>
        <v>7.535611628959118</v>
      </c>
      <c r="J1630" s="164">
        <v>7.5356116289591188</v>
      </c>
      <c r="K1630" s="168">
        <f t="shared" si="76"/>
        <v>0</v>
      </c>
      <c r="L1630" s="164">
        <v>9.6999999999999993</v>
      </c>
      <c r="M1630" s="154">
        <v>2</v>
      </c>
      <c r="N1630" s="154" t="str">
        <f t="shared" si="77"/>
        <v>No fit</v>
      </c>
      <c r="O1630" s="173" t="s">
        <v>6050</v>
      </c>
      <c r="P1630" s="173" t="s">
        <v>6051</v>
      </c>
    </row>
    <row r="1631" spans="1:16" ht="64.05" customHeight="1" x14ac:dyDescent="0.3">
      <c r="A1631" s="151" t="s">
        <v>8400</v>
      </c>
      <c r="B1631" s="151" t="s">
        <v>8399</v>
      </c>
      <c r="C1631" s="151" t="s">
        <v>106</v>
      </c>
      <c r="D1631" s="151">
        <v>2024</v>
      </c>
      <c r="E1631" s="151" t="s">
        <v>133</v>
      </c>
      <c r="F1631" s="174" t="s">
        <v>6822</v>
      </c>
      <c r="G1631" s="167">
        <f>(MLCF!G85*-1)</f>
        <v>45488.063999999998</v>
      </c>
      <c r="H1631" s="167">
        <f>AVERAGE((MLCF!F51-MLCF!F253),(MLCF!G51-MLCF!G253))</f>
        <v>4689.768</v>
      </c>
      <c r="I1631" s="165">
        <f t="shared" si="75"/>
        <v>9.6994273490714242</v>
      </c>
      <c r="J1631" s="165">
        <v>9.6994273490714242</v>
      </c>
      <c r="K1631" s="169">
        <f t="shared" si="76"/>
        <v>0</v>
      </c>
      <c r="L1631" s="165">
        <v>9.6999999999999993</v>
      </c>
      <c r="M1631" s="151">
        <v>2</v>
      </c>
      <c r="N1631" s="151" t="str">
        <f t="shared" si="77"/>
        <v>Numeric fit</v>
      </c>
      <c r="O1631" s="174" t="s">
        <v>6823</v>
      </c>
      <c r="P1631" s="174" t="s">
        <v>6051</v>
      </c>
    </row>
    <row r="1632" spans="1:16" ht="64.05" customHeight="1" x14ac:dyDescent="0.3">
      <c r="A1632" s="154" t="s">
        <v>8401</v>
      </c>
      <c r="B1632" s="154" t="s">
        <v>8399</v>
      </c>
      <c r="C1632" s="154" t="s">
        <v>106</v>
      </c>
      <c r="D1632" s="154">
        <v>2024</v>
      </c>
      <c r="E1632" s="154" t="s">
        <v>133</v>
      </c>
      <c r="F1632" s="173" t="s">
        <v>5934</v>
      </c>
      <c r="G1632" s="166">
        <f>(MLCF!G85*-1)</f>
        <v>45488.063999999998</v>
      </c>
      <c r="H1632" s="166">
        <f>AVERAGE((MLCF!F51-MLCF!F253),(MLCF!G51-MLCF!G253))</f>
        <v>4689.768</v>
      </c>
      <c r="I1632" s="164">
        <f t="shared" si="75"/>
        <v>9.6994273490714242</v>
      </c>
      <c r="J1632" s="164">
        <v>9.6994273490714242</v>
      </c>
      <c r="K1632" s="168">
        <f t="shared" si="76"/>
        <v>0</v>
      </c>
      <c r="L1632" s="164">
        <v>9.6999999999999993</v>
      </c>
      <c r="M1632" s="154">
        <v>2</v>
      </c>
      <c r="N1632" s="154" t="str">
        <f t="shared" si="77"/>
        <v>Numeric fit</v>
      </c>
      <c r="O1632" s="173" t="s">
        <v>6823</v>
      </c>
      <c r="P1632" s="173" t="s">
        <v>6051</v>
      </c>
    </row>
    <row r="1633" spans="1:16" ht="64.05" customHeight="1" x14ac:dyDescent="0.3">
      <c r="A1633" s="151" t="s">
        <v>8402</v>
      </c>
      <c r="B1633" s="151" t="s">
        <v>8403</v>
      </c>
      <c r="C1633" s="151" t="s">
        <v>106</v>
      </c>
      <c r="D1633" s="151">
        <v>2025</v>
      </c>
      <c r="E1633" s="151" t="s">
        <v>133</v>
      </c>
      <c r="F1633" s="174" t="s">
        <v>5893</v>
      </c>
      <c r="G1633" s="167">
        <f>-MLCF!H85</f>
        <v>45195.63</v>
      </c>
      <c r="H1633" s="167">
        <f>AVERAGE(MLCF!G51,MLCF!H51)</f>
        <v>6359.6939999999995</v>
      </c>
      <c r="I1633" s="165">
        <f t="shared" si="75"/>
        <v>7.1065730520996766</v>
      </c>
      <c r="J1633" s="165">
        <v>7.1065730520996766</v>
      </c>
      <c r="K1633" s="169">
        <f t="shared" si="76"/>
        <v>0</v>
      </c>
      <c r="L1633" s="165">
        <v>8.65</v>
      </c>
      <c r="M1633" s="151">
        <v>2</v>
      </c>
      <c r="N1633" s="151" t="str">
        <f t="shared" si="77"/>
        <v>No fit</v>
      </c>
      <c r="O1633" s="174" t="s">
        <v>6050</v>
      </c>
      <c r="P1633" s="174" t="s">
        <v>6051</v>
      </c>
    </row>
    <row r="1634" spans="1:16" ht="64.05" customHeight="1" x14ac:dyDescent="0.3">
      <c r="A1634" s="154" t="s">
        <v>8404</v>
      </c>
      <c r="B1634" s="154" t="s">
        <v>8403</v>
      </c>
      <c r="C1634" s="154" t="s">
        <v>106</v>
      </c>
      <c r="D1634" s="154">
        <v>2025</v>
      </c>
      <c r="E1634" s="154" t="s">
        <v>133</v>
      </c>
      <c r="F1634" s="173" t="s">
        <v>6822</v>
      </c>
      <c r="G1634" s="166">
        <f>(MLCF!H85*-1)</f>
        <v>45195.63</v>
      </c>
      <c r="H1634" s="166">
        <f>AVERAGE((MLCF!G51-MLCF!G253),(MLCF!H51-MLCF!H253))</f>
        <v>5222.491</v>
      </c>
      <c r="I1634" s="164">
        <f t="shared" si="75"/>
        <v>8.6540369337161138</v>
      </c>
      <c r="J1634" s="164">
        <v>8.6540369337161138</v>
      </c>
      <c r="K1634" s="168">
        <f t="shared" si="76"/>
        <v>0</v>
      </c>
      <c r="L1634" s="164">
        <v>8.65</v>
      </c>
      <c r="M1634" s="154">
        <v>2</v>
      </c>
      <c r="N1634" s="154" t="str">
        <f t="shared" si="77"/>
        <v>Numeric fit</v>
      </c>
      <c r="O1634" s="173" t="s">
        <v>6823</v>
      </c>
      <c r="P1634" s="173" t="s">
        <v>6051</v>
      </c>
    </row>
    <row r="1635" spans="1:16" ht="64.05" customHeight="1" x14ac:dyDescent="0.3">
      <c r="A1635" s="151" t="s">
        <v>8405</v>
      </c>
      <c r="B1635" s="151" t="s">
        <v>8403</v>
      </c>
      <c r="C1635" s="151" t="s">
        <v>106</v>
      </c>
      <c r="D1635" s="151">
        <v>2025</v>
      </c>
      <c r="E1635" s="151" t="s">
        <v>133</v>
      </c>
      <c r="F1635" s="174" t="s">
        <v>5934</v>
      </c>
      <c r="G1635" s="167">
        <f>(MLCF!H85*-1)</f>
        <v>45195.63</v>
      </c>
      <c r="H1635" s="167">
        <f>AVERAGE((MLCF!G51-MLCF!G253),(MLCF!H51-MLCF!H253))</f>
        <v>5222.491</v>
      </c>
      <c r="I1635" s="165">
        <f t="shared" si="75"/>
        <v>8.6540369337161138</v>
      </c>
      <c r="J1635" s="165">
        <v>8.6540369337161138</v>
      </c>
      <c r="K1635" s="169">
        <f t="shared" si="76"/>
        <v>0</v>
      </c>
      <c r="L1635" s="165">
        <v>8.65</v>
      </c>
      <c r="M1635" s="151">
        <v>2</v>
      </c>
      <c r="N1635" s="151" t="str">
        <f t="shared" si="77"/>
        <v>Numeric fit</v>
      </c>
      <c r="O1635" s="174" t="s">
        <v>6823</v>
      </c>
      <c r="P1635" s="174" t="s">
        <v>6051</v>
      </c>
    </row>
    <row r="1636" spans="1:16" ht="64.05" customHeight="1" x14ac:dyDescent="0.3">
      <c r="A1636" s="154" t="s">
        <v>8406</v>
      </c>
      <c r="B1636" s="154" t="s">
        <v>8407</v>
      </c>
      <c r="C1636" s="154" t="s">
        <v>106</v>
      </c>
      <c r="D1636" s="154">
        <v>2023</v>
      </c>
      <c r="E1636" s="154" t="s">
        <v>150</v>
      </c>
      <c r="F1636" s="173" t="s">
        <v>5893</v>
      </c>
      <c r="G1636" s="166">
        <f>365*AVERAGE(MLCF!E65,MLCF!F65)/(-MLCF!F85)+365*AVERAGE(MLCF!E32,MLCF!F32)/MLCF!F84-365*AVERAGE(MLCF!E51,MLCF!F51)/(-MLCF!F85)</f>
        <v>90.896731737564664</v>
      </c>
      <c r="H1636" s="166">
        <f>1</f>
        <v>1</v>
      </c>
      <c r="I1636" s="164">
        <f t="shared" si="75"/>
        <v>90.896731737564664</v>
      </c>
      <c r="J1636" s="164">
        <v>90.896731737564664</v>
      </c>
      <c r="K1636" s="168">
        <f t="shared" si="76"/>
        <v>0</v>
      </c>
      <c r="L1636" s="164">
        <v>4.54</v>
      </c>
      <c r="M1636" s="154">
        <v>2</v>
      </c>
      <c r="N1636" s="154" t="str">
        <f t="shared" si="77"/>
        <v>No fit</v>
      </c>
      <c r="O1636" s="173" t="s">
        <v>6050</v>
      </c>
      <c r="P1636" s="173" t="s">
        <v>6051</v>
      </c>
    </row>
    <row r="1637" spans="1:16" ht="64.05" customHeight="1" x14ac:dyDescent="0.3">
      <c r="A1637" s="151" t="s">
        <v>8408</v>
      </c>
      <c r="B1637" s="151" t="s">
        <v>8407</v>
      </c>
      <c r="C1637" s="151" t="s">
        <v>106</v>
      </c>
      <c r="D1637" s="151">
        <v>2023</v>
      </c>
      <c r="E1637" s="151" t="s">
        <v>150</v>
      </c>
      <c r="F1637" s="174" t="s">
        <v>5941</v>
      </c>
      <c r="G1637" s="167">
        <f>((((365*AVERAGE(MLCF!E31,MLCF!F31))/(MLCF!F85*-1))+((365*AVERAGE(MLCF!E32,MLCF!F32))/MLCF!F84))-((365*AVERAGE((MLCF!E51-MLCF!E253),(MLCF!F51-MLCF!F253)))/(MLCF!F85*-1)))</f>
        <v>4.5351623788220365</v>
      </c>
      <c r="H1637" s="167">
        <f>1</f>
        <v>1</v>
      </c>
      <c r="I1637" s="165">
        <f t="shared" si="75"/>
        <v>4.5351623788220365</v>
      </c>
      <c r="J1637" s="165">
        <v>4.5351623788220365</v>
      </c>
      <c r="K1637" s="169">
        <f t="shared" si="76"/>
        <v>0</v>
      </c>
      <c r="L1637" s="165">
        <v>4.54</v>
      </c>
      <c r="M1637" s="151">
        <v>2</v>
      </c>
      <c r="N1637" s="151" t="str">
        <f t="shared" si="77"/>
        <v>Numeric fit</v>
      </c>
      <c r="O1637" s="174" t="s">
        <v>6842</v>
      </c>
      <c r="P1637" s="174" t="s">
        <v>6051</v>
      </c>
    </row>
    <row r="1638" spans="1:16" ht="64.05" customHeight="1" x14ac:dyDescent="0.3">
      <c r="A1638" s="154" t="s">
        <v>8409</v>
      </c>
      <c r="B1638" s="154" t="s">
        <v>8407</v>
      </c>
      <c r="C1638" s="154" t="s">
        <v>106</v>
      </c>
      <c r="D1638" s="154">
        <v>2023</v>
      </c>
      <c r="E1638" s="154" t="s">
        <v>150</v>
      </c>
      <c r="F1638" s="173" t="s">
        <v>6833</v>
      </c>
      <c r="G1638" s="166">
        <f>((((365*AVERAGE(MLCF!E31,MLCF!F31))/(MLCF!F85*-1))+((365*AVERAGE(MLCF!E32,MLCF!F32))/MLCF!F84))-((365*AVERAGE((MLCF!E51-MLCF!E253),(MLCF!F51-MLCF!F253)))/(MLCF!F85*-1)))</f>
        <v>4.5351623788220365</v>
      </c>
      <c r="H1638" s="166">
        <f>1</f>
        <v>1</v>
      </c>
      <c r="I1638" s="164">
        <f t="shared" si="75"/>
        <v>4.5351623788220365</v>
      </c>
      <c r="J1638" s="164">
        <v>4.5351623788220365</v>
      </c>
      <c r="K1638" s="168">
        <f t="shared" si="76"/>
        <v>0</v>
      </c>
      <c r="L1638" s="164">
        <v>4.54</v>
      </c>
      <c r="M1638" s="154">
        <v>2</v>
      </c>
      <c r="N1638" s="154" t="str">
        <f t="shared" si="77"/>
        <v>Numeric fit</v>
      </c>
      <c r="O1638" s="173" t="s">
        <v>6842</v>
      </c>
      <c r="P1638" s="173" t="s">
        <v>6051</v>
      </c>
    </row>
    <row r="1639" spans="1:16" ht="64.05" customHeight="1" x14ac:dyDescent="0.3">
      <c r="A1639" s="151" t="s">
        <v>8410</v>
      </c>
      <c r="B1639" s="151" t="s">
        <v>8407</v>
      </c>
      <c r="C1639" s="151" t="s">
        <v>106</v>
      </c>
      <c r="D1639" s="151">
        <v>2023</v>
      </c>
      <c r="E1639" s="151" t="s">
        <v>150</v>
      </c>
      <c r="F1639" s="174" t="s">
        <v>6835</v>
      </c>
      <c r="G1639" s="167">
        <f>((ROUND(((365*AVERAGE(MLCF!E31,MLCF!F31))/(MLCF!F85*-1)),2)+ROUND(((365*AVERAGE(MLCF!E32,MLCF!F32))/MLCF!F84),2))-ROUND(((365*AVERAGE((MLCF!E51-MLCF!E253),(MLCF!F51-MLCF!F253)))/(MLCF!F85*-1)),2))</f>
        <v>4.5300000000000011</v>
      </c>
      <c r="H1639" s="167">
        <f>1</f>
        <v>1</v>
      </c>
      <c r="I1639" s="165">
        <f t="shared" si="75"/>
        <v>4.5300000000000011</v>
      </c>
      <c r="J1639" s="165">
        <v>4.5300000000000011</v>
      </c>
      <c r="K1639" s="169">
        <f t="shared" si="76"/>
        <v>0</v>
      </c>
      <c r="L1639" s="165">
        <v>4.54</v>
      </c>
      <c r="M1639" s="151">
        <v>2</v>
      </c>
      <c r="N1639" s="151" t="str">
        <f t="shared" si="77"/>
        <v>No fit</v>
      </c>
      <c r="O1639" s="174" t="s">
        <v>6842</v>
      </c>
      <c r="P1639" s="174" t="s">
        <v>6051</v>
      </c>
    </row>
    <row r="1640" spans="1:16" ht="64.05" customHeight="1" x14ac:dyDescent="0.3">
      <c r="A1640" s="154" t="s">
        <v>8411</v>
      </c>
      <c r="B1640" s="154" t="s">
        <v>8412</v>
      </c>
      <c r="C1640" s="154" t="s">
        <v>106</v>
      </c>
      <c r="D1640" s="154">
        <v>2025</v>
      </c>
      <c r="E1640" s="154" t="s">
        <v>150</v>
      </c>
      <c r="F1640" s="173" t="s">
        <v>5893</v>
      </c>
      <c r="G1640" s="166">
        <f>365*AVERAGE(MLCF!G65,MLCF!H65)/(-MLCF!H85)+365*AVERAGE(MLCF!G32,MLCF!H32)/MLCF!H84-365*AVERAGE(MLCF!G51,MLCF!H51)/(-MLCF!H85)</f>
        <v>102.9163012483726</v>
      </c>
      <c r="H1640" s="166">
        <f>1</f>
        <v>1</v>
      </c>
      <c r="I1640" s="164">
        <f t="shared" si="75"/>
        <v>102.9163012483726</v>
      </c>
      <c r="J1640" s="164">
        <v>102.9163012483726</v>
      </c>
      <c r="K1640" s="168">
        <f t="shared" si="76"/>
        <v>0</v>
      </c>
      <c r="L1640" s="164">
        <v>12.21</v>
      </c>
      <c r="M1640" s="154">
        <v>2</v>
      </c>
      <c r="N1640" s="154" t="str">
        <f t="shared" si="77"/>
        <v>No fit</v>
      </c>
      <c r="O1640" s="173" t="s">
        <v>6050</v>
      </c>
      <c r="P1640" s="173" t="s">
        <v>6051</v>
      </c>
    </row>
    <row r="1641" spans="1:16" ht="64.05" customHeight="1" x14ac:dyDescent="0.3">
      <c r="A1641" s="151" t="s">
        <v>8413</v>
      </c>
      <c r="B1641" s="151" t="s">
        <v>8412</v>
      </c>
      <c r="C1641" s="151" t="s">
        <v>106</v>
      </c>
      <c r="D1641" s="151">
        <v>2025</v>
      </c>
      <c r="E1641" s="151" t="s">
        <v>150</v>
      </c>
      <c r="F1641" s="174" t="s">
        <v>5941</v>
      </c>
      <c r="G1641" s="167">
        <f>((((365*AVERAGE(MLCF!G31,MLCF!H31))/(MLCF!H85*-1))+((365*AVERAGE(MLCF!G32,MLCF!H32))/MLCF!H84))-((365*AVERAGE((MLCF!G51-MLCF!G253),(MLCF!H51-MLCF!H253)))/(MLCF!H85*-1)))</f>
        <v>12.205862982549085</v>
      </c>
      <c r="H1641" s="167">
        <f>1</f>
        <v>1</v>
      </c>
      <c r="I1641" s="165">
        <f t="shared" si="75"/>
        <v>12.205862982549085</v>
      </c>
      <c r="J1641" s="165">
        <v>12.205862982549085</v>
      </c>
      <c r="K1641" s="169">
        <f t="shared" si="76"/>
        <v>0</v>
      </c>
      <c r="L1641" s="165">
        <v>12.21</v>
      </c>
      <c r="M1641" s="151">
        <v>2</v>
      </c>
      <c r="N1641" s="151" t="str">
        <f t="shared" si="77"/>
        <v>Numeric fit</v>
      </c>
      <c r="O1641" s="174" t="s">
        <v>6842</v>
      </c>
      <c r="P1641" s="174" t="s">
        <v>6051</v>
      </c>
    </row>
    <row r="1642" spans="1:16" ht="64.05" customHeight="1" x14ac:dyDescent="0.3">
      <c r="A1642" s="154" t="s">
        <v>8414</v>
      </c>
      <c r="B1642" s="154" t="s">
        <v>8412</v>
      </c>
      <c r="C1642" s="154" t="s">
        <v>106</v>
      </c>
      <c r="D1642" s="154">
        <v>2025</v>
      </c>
      <c r="E1642" s="154" t="s">
        <v>150</v>
      </c>
      <c r="F1642" s="173" t="s">
        <v>6833</v>
      </c>
      <c r="G1642" s="166">
        <f>((((365*AVERAGE(MLCF!G31,MLCF!H31))/(MLCF!H85*-1))+((365*AVERAGE(MLCF!G32,MLCF!H32))/MLCF!H84))-((365*AVERAGE((MLCF!G51-MLCF!G253),(MLCF!H51-MLCF!H253)))/(MLCF!H85*-1)))</f>
        <v>12.205862982549085</v>
      </c>
      <c r="H1642" s="166">
        <f>1</f>
        <v>1</v>
      </c>
      <c r="I1642" s="164">
        <f t="shared" si="75"/>
        <v>12.205862982549085</v>
      </c>
      <c r="J1642" s="164">
        <v>12.205862982549085</v>
      </c>
      <c r="K1642" s="168">
        <f t="shared" si="76"/>
        <v>0</v>
      </c>
      <c r="L1642" s="164">
        <v>12.21</v>
      </c>
      <c r="M1642" s="154">
        <v>2</v>
      </c>
      <c r="N1642" s="154" t="str">
        <f t="shared" si="77"/>
        <v>Numeric fit</v>
      </c>
      <c r="O1642" s="173" t="s">
        <v>6842</v>
      </c>
      <c r="P1642" s="173" t="s">
        <v>6051</v>
      </c>
    </row>
    <row r="1643" spans="1:16" ht="64.05" customHeight="1" x14ac:dyDescent="0.3">
      <c r="A1643" s="151" t="s">
        <v>8415</v>
      </c>
      <c r="B1643" s="151" t="s">
        <v>8412</v>
      </c>
      <c r="C1643" s="151" t="s">
        <v>106</v>
      </c>
      <c r="D1643" s="151">
        <v>2025</v>
      </c>
      <c r="E1643" s="151" t="s">
        <v>150</v>
      </c>
      <c r="F1643" s="174" t="s">
        <v>6835</v>
      </c>
      <c r="G1643" s="167">
        <f>((ROUND(((365*AVERAGE(MLCF!G31,MLCF!H31))/(MLCF!H85*-1)),2)+ROUND(((365*AVERAGE(MLCF!G32,MLCF!H32))/MLCF!H84),2))-ROUND(((365*AVERAGE((MLCF!G51-MLCF!G253),(MLCF!H51-MLCF!H253)))/(MLCF!H85*-1)),2))</f>
        <v>12.199999999999996</v>
      </c>
      <c r="H1643" s="167">
        <f>1</f>
        <v>1</v>
      </c>
      <c r="I1643" s="165">
        <f t="shared" si="75"/>
        <v>12.199999999999996</v>
      </c>
      <c r="J1643" s="165">
        <v>12.199999999999996</v>
      </c>
      <c r="K1643" s="169">
        <f t="shared" si="76"/>
        <v>0</v>
      </c>
      <c r="L1643" s="165">
        <v>12.21</v>
      </c>
      <c r="M1643" s="151">
        <v>2</v>
      </c>
      <c r="N1643" s="151" t="str">
        <f t="shared" si="77"/>
        <v>No fit</v>
      </c>
      <c r="O1643" s="174" t="s">
        <v>6842</v>
      </c>
      <c r="P1643" s="174" t="s">
        <v>6051</v>
      </c>
    </row>
    <row r="1644" spans="1:16" ht="64.05" customHeight="1" x14ac:dyDescent="0.3">
      <c r="A1644" s="154" t="s">
        <v>8416</v>
      </c>
      <c r="B1644" s="154" t="s">
        <v>8417</v>
      </c>
      <c r="C1644" s="154" t="s">
        <v>106</v>
      </c>
      <c r="D1644" s="154">
        <v>2023</v>
      </c>
      <c r="E1644" s="154" t="s">
        <v>154</v>
      </c>
      <c r="F1644" s="173" t="s">
        <v>5893</v>
      </c>
      <c r="G1644" s="166">
        <f>MLCF!F86</f>
        <v>18173.352999999996</v>
      </c>
      <c r="H1644" s="166">
        <f>MLCF!F84</f>
        <v>62075.258999999998</v>
      </c>
      <c r="I1644" s="164">
        <f t="shared" si="75"/>
        <v>0.29276322471727417</v>
      </c>
      <c r="J1644" s="164">
        <v>0.29276322471727417</v>
      </c>
      <c r="K1644" s="168">
        <f t="shared" si="76"/>
        <v>0</v>
      </c>
      <c r="L1644" s="164">
        <v>0.2928</v>
      </c>
      <c r="M1644" s="154">
        <v>4</v>
      </c>
      <c r="N1644" s="154" t="str">
        <f t="shared" si="77"/>
        <v>Numeric fit</v>
      </c>
      <c r="O1644" s="173" t="s">
        <v>6050</v>
      </c>
      <c r="P1644" s="173" t="s">
        <v>6051</v>
      </c>
    </row>
    <row r="1645" spans="1:16" ht="64.05" customHeight="1" x14ac:dyDescent="0.3">
      <c r="A1645" s="151" t="s">
        <v>8418</v>
      </c>
      <c r="B1645" s="151" t="s">
        <v>8417</v>
      </c>
      <c r="C1645" s="151" t="s">
        <v>106</v>
      </c>
      <c r="D1645" s="151">
        <v>2023</v>
      </c>
      <c r="E1645" s="151" t="s">
        <v>154</v>
      </c>
      <c r="F1645" s="174" t="s">
        <v>5953</v>
      </c>
      <c r="G1645" s="167">
        <f>(MLCF!F84-(MLCF!F85*-1))</f>
        <v>18173.352999999996</v>
      </c>
      <c r="H1645" s="167">
        <f>MLCF!F84</f>
        <v>62075.258999999998</v>
      </c>
      <c r="I1645" s="165">
        <f t="shared" si="75"/>
        <v>0.29276322471727417</v>
      </c>
      <c r="J1645" s="165">
        <v>0.29276322471727417</v>
      </c>
      <c r="K1645" s="169">
        <f t="shared" si="76"/>
        <v>0</v>
      </c>
      <c r="L1645" s="165">
        <v>0.2928</v>
      </c>
      <c r="M1645" s="151">
        <v>4</v>
      </c>
      <c r="N1645" s="151" t="str">
        <f t="shared" si="77"/>
        <v>Numeric fit</v>
      </c>
      <c r="O1645" s="174" t="s">
        <v>8419</v>
      </c>
      <c r="P1645" s="174" t="s">
        <v>6051</v>
      </c>
    </row>
    <row r="1646" spans="1:16" ht="64.05" customHeight="1" x14ac:dyDescent="0.3">
      <c r="A1646" s="154" t="s">
        <v>8420</v>
      </c>
      <c r="B1646" s="154" t="s">
        <v>8421</v>
      </c>
      <c r="C1646" s="154" t="s">
        <v>106</v>
      </c>
      <c r="D1646" s="154">
        <v>2024</v>
      </c>
      <c r="E1646" s="154" t="s">
        <v>154</v>
      </c>
      <c r="F1646" s="173" t="s">
        <v>5893</v>
      </c>
      <c r="G1646" s="166">
        <f>MLCF!G86</f>
        <v>20964.284</v>
      </c>
      <c r="H1646" s="166">
        <f>MLCF!G84</f>
        <v>66452.347999999998</v>
      </c>
      <c r="I1646" s="164">
        <f t="shared" si="75"/>
        <v>0.31547845382378364</v>
      </c>
      <c r="J1646" s="164">
        <v>0.31547845382378364</v>
      </c>
      <c r="K1646" s="168">
        <f t="shared" si="76"/>
        <v>0</v>
      </c>
      <c r="L1646" s="164">
        <v>0.3155</v>
      </c>
      <c r="M1646" s="154">
        <v>4</v>
      </c>
      <c r="N1646" s="154" t="str">
        <f t="shared" si="77"/>
        <v>Numeric fit</v>
      </c>
      <c r="O1646" s="173" t="s">
        <v>6050</v>
      </c>
      <c r="P1646" s="173" t="s">
        <v>6051</v>
      </c>
    </row>
    <row r="1647" spans="1:16" ht="64.05" customHeight="1" x14ac:dyDescent="0.3">
      <c r="A1647" s="151" t="s">
        <v>8422</v>
      </c>
      <c r="B1647" s="151" t="s">
        <v>8421</v>
      </c>
      <c r="C1647" s="151" t="s">
        <v>106</v>
      </c>
      <c r="D1647" s="151">
        <v>2024</v>
      </c>
      <c r="E1647" s="151" t="s">
        <v>154</v>
      </c>
      <c r="F1647" s="174" t="s">
        <v>5953</v>
      </c>
      <c r="G1647" s="167">
        <f>(MLCF!G84-(MLCF!G85*-1))</f>
        <v>20964.284</v>
      </c>
      <c r="H1647" s="167">
        <f>MLCF!G84</f>
        <v>66452.347999999998</v>
      </c>
      <c r="I1647" s="165">
        <f t="shared" si="75"/>
        <v>0.31547845382378364</v>
      </c>
      <c r="J1647" s="165">
        <v>0.31547845382378364</v>
      </c>
      <c r="K1647" s="169">
        <f t="shared" si="76"/>
        <v>0</v>
      </c>
      <c r="L1647" s="165">
        <v>0.3155</v>
      </c>
      <c r="M1647" s="151">
        <v>4</v>
      </c>
      <c r="N1647" s="151" t="str">
        <f t="shared" si="77"/>
        <v>Numeric fit</v>
      </c>
      <c r="O1647" s="174" t="s">
        <v>8419</v>
      </c>
      <c r="P1647" s="174" t="s">
        <v>6051</v>
      </c>
    </row>
    <row r="1648" spans="1:16" ht="64.05" customHeight="1" x14ac:dyDescent="0.3">
      <c r="A1648" s="154" t="s">
        <v>8423</v>
      </c>
      <c r="B1648" s="154" t="s">
        <v>8424</v>
      </c>
      <c r="C1648" s="154" t="s">
        <v>106</v>
      </c>
      <c r="D1648" s="154">
        <v>2025</v>
      </c>
      <c r="E1648" s="154" t="s">
        <v>154</v>
      </c>
      <c r="F1648" s="173" t="s">
        <v>5893</v>
      </c>
      <c r="G1648" s="166">
        <f>MLCF!H86</f>
        <v>23746.815999999999</v>
      </c>
      <c r="H1648" s="166">
        <f>MLCF!H84</f>
        <v>68942.445999999996</v>
      </c>
      <c r="I1648" s="164">
        <f t="shared" si="75"/>
        <v>0.34444405990469212</v>
      </c>
      <c r="J1648" s="164">
        <v>0.34444405990469212</v>
      </c>
      <c r="K1648" s="168">
        <f t="shared" si="76"/>
        <v>0</v>
      </c>
      <c r="L1648" s="164">
        <v>0.34439999999999998</v>
      </c>
      <c r="M1648" s="154">
        <v>4</v>
      </c>
      <c r="N1648" s="154" t="str">
        <f t="shared" si="77"/>
        <v>Numeric fit</v>
      </c>
      <c r="O1648" s="173" t="s">
        <v>6050</v>
      </c>
      <c r="P1648" s="173" t="s">
        <v>6051</v>
      </c>
    </row>
    <row r="1649" spans="1:16" ht="64.05" customHeight="1" x14ac:dyDescent="0.3">
      <c r="A1649" s="151" t="s">
        <v>8425</v>
      </c>
      <c r="B1649" s="151" t="s">
        <v>8424</v>
      </c>
      <c r="C1649" s="151" t="s">
        <v>106</v>
      </c>
      <c r="D1649" s="151">
        <v>2025</v>
      </c>
      <c r="E1649" s="151" t="s">
        <v>154</v>
      </c>
      <c r="F1649" s="174" t="s">
        <v>5953</v>
      </c>
      <c r="G1649" s="167">
        <f>(MLCF!H84-(MLCF!H85*-1))</f>
        <v>23746.815999999999</v>
      </c>
      <c r="H1649" s="167">
        <f>MLCF!H84</f>
        <v>68942.445999999996</v>
      </c>
      <c r="I1649" s="165">
        <f t="shared" si="75"/>
        <v>0.34444405990469212</v>
      </c>
      <c r="J1649" s="165">
        <v>0.34444405990469212</v>
      </c>
      <c r="K1649" s="169">
        <f t="shared" si="76"/>
        <v>0</v>
      </c>
      <c r="L1649" s="165">
        <v>0.34439999999999998</v>
      </c>
      <c r="M1649" s="151">
        <v>4</v>
      </c>
      <c r="N1649" s="151" t="str">
        <f t="shared" si="77"/>
        <v>Numeric fit</v>
      </c>
      <c r="O1649" s="174" t="s">
        <v>8419</v>
      </c>
      <c r="P1649" s="174" t="s">
        <v>6051</v>
      </c>
    </row>
    <row r="1650" spans="1:16" ht="64.05" customHeight="1" x14ac:dyDescent="0.3">
      <c r="A1650" s="154" t="s">
        <v>8426</v>
      </c>
      <c r="B1650" s="154" t="s">
        <v>8427</v>
      </c>
      <c r="C1650" s="154" t="s">
        <v>106</v>
      </c>
      <c r="D1650" s="154">
        <v>2021</v>
      </c>
      <c r="E1650" s="154" t="s">
        <v>139</v>
      </c>
      <c r="F1650" s="173" t="s">
        <v>5893</v>
      </c>
      <c r="G1650" s="166">
        <f>MLCF!D41</f>
        <v>37542.540999999997</v>
      </c>
      <c r="H1650" s="166">
        <f>MLCF!D128</f>
        <v>1098.3462</v>
      </c>
      <c r="I1650" s="164">
        <f t="shared" si="75"/>
        <v>34.180972265393187</v>
      </c>
      <c r="J1650" s="164">
        <v>34.180972265393187</v>
      </c>
      <c r="K1650" s="168">
        <f t="shared" si="76"/>
        <v>0</v>
      </c>
      <c r="L1650" s="164">
        <v>34.18</v>
      </c>
      <c r="M1650" s="154">
        <v>2</v>
      </c>
      <c r="N1650" s="154" t="str">
        <f t="shared" si="77"/>
        <v>Numeric fit</v>
      </c>
      <c r="O1650" s="173" t="s">
        <v>6050</v>
      </c>
      <c r="P1650" s="173" t="s">
        <v>6051</v>
      </c>
    </row>
    <row r="1651" spans="1:16" ht="64.05" customHeight="1" x14ac:dyDescent="0.3">
      <c r="A1651" s="151" t="s">
        <v>8428</v>
      </c>
      <c r="B1651" s="151" t="s">
        <v>8427</v>
      </c>
      <c r="C1651" s="151" t="s">
        <v>106</v>
      </c>
      <c r="D1651" s="151">
        <v>2021</v>
      </c>
      <c r="E1651" s="151" t="s">
        <v>139</v>
      </c>
      <c r="F1651" s="174" t="s">
        <v>5962</v>
      </c>
      <c r="G1651" s="167">
        <f>MLCF!D41</f>
        <v>37542.540999999997</v>
      </c>
      <c r="H1651" s="167">
        <f>MLCF!D129</f>
        <v>1098.346</v>
      </c>
      <c r="I1651" s="165">
        <f t="shared" si="75"/>
        <v>34.180978489474171</v>
      </c>
      <c r="J1651" s="165">
        <v>34.180978489474171</v>
      </c>
      <c r="K1651" s="169">
        <f t="shared" si="76"/>
        <v>0</v>
      </c>
      <c r="L1651" s="165">
        <v>34.18</v>
      </c>
      <c r="M1651" s="151">
        <v>2</v>
      </c>
      <c r="N1651" s="151" t="str">
        <f t="shared" si="77"/>
        <v>Numeric fit</v>
      </c>
      <c r="O1651" s="174" t="s">
        <v>6852</v>
      </c>
      <c r="P1651" s="174" t="s">
        <v>6051</v>
      </c>
    </row>
    <row r="1652" spans="1:16" ht="64.05" customHeight="1" x14ac:dyDescent="0.3">
      <c r="A1652" s="154" t="s">
        <v>8429</v>
      </c>
      <c r="B1652" s="154" t="s">
        <v>8427</v>
      </c>
      <c r="C1652" s="154" t="s">
        <v>106</v>
      </c>
      <c r="D1652" s="154">
        <v>2021</v>
      </c>
      <c r="E1652" s="154" t="s">
        <v>139</v>
      </c>
      <c r="F1652" s="173" t="s">
        <v>6854</v>
      </c>
      <c r="G1652" s="166">
        <f>MLCF!D41</f>
        <v>37542.540999999997</v>
      </c>
      <c r="H1652" s="166">
        <f>(MLCF!D39/MLCF!D127)</f>
        <v>1098.3462</v>
      </c>
      <c r="I1652" s="164">
        <f t="shared" si="75"/>
        <v>34.180972265393187</v>
      </c>
      <c r="J1652" s="164">
        <v>34.180972265393187</v>
      </c>
      <c r="K1652" s="168">
        <f t="shared" si="76"/>
        <v>0</v>
      </c>
      <c r="L1652" s="164">
        <v>34.18</v>
      </c>
      <c r="M1652" s="154">
        <v>2</v>
      </c>
      <c r="N1652" s="154" t="str">
        <f t="shared" si="77"/>
        <v>Numeric fit</v>
      </c>
      <c r="O1652" s="173" t="s">
        <v>6855</v>
      </c>
      <c r="P1652" s="173" t="s">
        <v>6051</v>
      </c>
    </row>
    <row r="1653" spans="1:16" ht="64.05" customHeight="1" x14ac:dyDescent="0.3">
      <c r="A1653" s="151" t="s">
        <v>8430</v>
      </c>
      <c r="B1653" s="151" t="s">
        <v>8431</v>
      </c>
      <c r="C1653" s="151" t="s">
        <v>106</v>
      </c>
      <c r="D1653" s="151">
        <v>2022</v>
      </c>
      <c r="E1653" s="151" t="s">
        <v>139</v>
      </c>
      <c r="F1653" s="174" t="s">
        <v>5893</v>
      </c>
      <c r="G1653" s="167">
        <f>MLCF!E41</f>
        <v>40559.014999999999</v>
      </c>
      <c r="H1653" s="167">
        <f>MLCF!E128</f>
        <v>1079.8011999999999</v>
      </c>
      <c r="I1653" s="165">
        <f t="shared" si="75"/>
        <v>37.561557627459578</v>
      </c>
      <c r="J1653" s="165">
        <v>37.561557627459578</v>
      </c>
      <c r="K1653" s="169">
        <f t="shared" si="76"/>
        <v>0</v>
      </c>
      <c r="L1653" s="165">
        <v>36.93</v>
      </c>
      <c r="M1653" s="151">
        <v>2</v>
      </c>
      <c r="N1653" s="151" t="str">
        <f t="shared" si="77"/>
        <v>No fit</v>
      </c>
      <c r="O1653" s="174" t="s">
        <v>6050</v>
      </c>
      <c r="P1653" s="174" t="s">
        <v>6051</v>
      </c>
    </row>
    <row r="1654" spans="1:16" ht="64.05" customHeight="1" x14ac:dyDescent="0.3">
      <c r="A1654" s="154" t="s">
        <v>8432</v>
      </c>
      <c r="B1654" s="154" t="s">
        <v>8431</v>
      </c>
      <c r="C1654" s="154" t="s">
        <v>106</v>
      </c>
      <c r="D1654" s="154">
        <v>2022</v>
      </c>
      <c r="E1654" s="154" t="s">
        <v>139</v>
      </c>
      <c r="F1654" s="173" t="s">
        <v>5962</v>
      </c>
      <c r="G1654" s="166">
        <f>MLCF!E41</f>
        <v>40559.014999999999</v>
      </c>
      <c r="H1654" s="166">
        <f>MLCF!E129</f>
        <v>1097.5239999999999</v>
      </c>
      <c r="I1654" s="164">
        <f t="shared" si="75"/>
        <v>36.955014195589349</v>
      </c>
      <c r="J1654" s="164">
        <v>36.955014195589349</v>
      </c>
      <c r="K1654" s="168">
        <f t="shared" si="76"/>
        <v>0</v>
      </c>
      <c r="L1654" s="164">
        <v>36.93</v>
      </c>
      <c r="M1654" s="154">
        <v>2</v>
      </c>
      <c r="N1654" s="154" t="str">
        <f t="shared" si="77"/>
        <v>No fit</v>
      </c>
      <c r="O1654" s="173" t="s">
        <v>6852</v>
      </c>
      <c r="P1654" s="173" t="s">
        <v>6051</v>
      </c>
    </row>
    <row r="1655" spans="1:16" ht="64.05" customHeight="1" x14ac:dyDescent="0.3">
      <c r="A1655" s="151" t="s">
        <v>8433</v>
      </c>
      <c r="B1655" s="151" t="s">
        <v>8431</v>
      </c>
      <c r="C1655" s="151" t="s">
        <v>106</v>
      </c>
      <c r="D1655" s="151">
        <v>2022</v>
      </c>
      <c r="E1655" s="151" t="s">
        <v>139</v>
      </c>
      <c r="F1655" s="174" t="s">
        <v>6854</v>
      </c>
      <c r="G1655" s="167">
        <f>MLCF!E41</f>
        <v>40559.014999999999</v>
      </c>
      <c r="H1655" s="167">
        <f>(MLCF!E39/MLCF!E127)</f>
        <v>1098.3462</v>
      </c>
      <c r="I1655" s="165">
        <f t="shared" si="75"/>
        <v>36.927350411008845</v>
      </c>
      <c r="J1655" s="165">
        <v>36.927350411008845</v>
      </c>
      <c r="K1655" s="169">
        <f t="shared" si="76"/>
        <v>0</v>
      </c>
      <c r="L1655" s="165">
        <v>36.93</v>
      </c>
      <c r="M1655" s="151">
        <v>2</v>
      </c>
      <c r="N1655" s="151" t="str">
        <f t="shared" si="77"/>
        <v>Numeric fit</v>
      </c>
      <c r="O1655" s="174" t="s">
        <v>6855</v>
      </c>
      <c r="P1655" s="174" t="s">
        <v>6051</v>
      </c>
    </row>
    <row r="1656" spans="1:16" ht="64.05" customHeight="1" x14ac:dyDescent="0.3">
      <c r="A1656" s="154" t="s">
        <v>8434</v>
      </c>
      <c r="B1656" s="154" t="s">
        <v>8435</v>
      </c>
      <c r="C1656" s="154" t="s">
        <v>106</v>
      </c>
      <c r="D1656" s="154">
        <v>2023</v>
      </c>
      <c r="E1656" s="154" t="s">
        <v>139</v>
      </c>
      <c r="F1656" s="173" t="s">
        <v>5893</v>
      </c>
      <c r="G1656" s="166">
        <f>MLCF!F41</f>
        <v>44913.114000000001</v>
      </c>
      <c r="H1656" s="166">
        <f>MLCF!F128</f>
        <v>1073.3462</v>
      </c>
      <c r="I1656" s="164">
        <f t="shared" si="75"/>
        <v>41.844014540695262</v>
      </c>
      <c r="J1656" s="164">
        <v>41.844014540695262</v>
      </c>
      <c r="K1656" s="168">
        <f t="shared" si="76"/>
        <v>0</v>
      </c>
      <c r="L1656" s="164">
        <v>41.84</v>
      </c>
      <c r="M1656" s="154">
        <v>2</v>
      </c>
      <c r="N1656" s="154" t="str">
        <f t="shared" si="77"/>
        <v>Numeric fit</v>
      </c>
      <c r="O1656" s="173" t="s">
        <v>6050</v>
      </c>
      <c r="P1656" s="173" t="s">
        <v>6051</v>
      </c>
    </row>
    <row r="1657" spans="1:16" ht="64.05" customHeight="1" x14ac:dyDescent="0.3">
      <c r="A1657" s="151" t="s">
        <v>8436</v>
      </c>
      <c r="B1657" s="151" t="s">
        <v>8435</v>
      </c>
      <c r="C1657" s="151" t="s">
        <v>106</v>
      </c>
      <c r="D1657" s="151">
        <v>2023</v>
      </c>
      <c r="E1657" s="151" t="s">
        <v>139</v>
      </c>
      <c r="F1657" s="174" t="s">
        <v>5962</v>
      </c>
      <c r="G1657" s="167">
        <f>MLCF!F41</f>
        <v>44913.114000000001</v>
      </c>
      <c r="H1657" s="167">
        <f>MLCF!F129</f>
        <v>1073.405</v>
      </c>
      <c r="I1657" s="165">
        <f t="shared" si="75"/>
        <v>41.841722369469124</v>
      </c>
      <c r="J1657" s="165">
        <v>41.841722369469124</v>
      </c>
      <c r="K1657" s="169">
        <f t="shared" si="76"/>
        <v>0</v>
      </c>
      <c r="L1657" s="165">
        <v>41.84</v>
      </c>
      <c r="M1657" s="151">
        <v>2</v>
      </c>
      <c r="N1657" s="151" t="str">
        <f t="shared" si="77"/>
        <v>Numeric fit</v>
      </c>
      <c r="O1657" s="174" t="s">
        <v>6852</v>
      </c>
      <c r="P1657" s="174" t="s">
        <v>6051</v>
      </c>
    </row>
    <row r="1658" spans="1:16" ht="64.05" customHeight="1" x14ac:dyDescent="0.3">
      <c r="A1658" s="154" t="s">
        <v>8437</v>
      </c>
      <c r="B1658" s="154" t="s">
        <v>8435</v>
      </c>
      <c r="C1658" s="154" t="s">
        <v>106</v>
      </c>
      <c r="D1658" s="154">
        <v>2023</v>
      </c>
      <c r="E1658" s="154" t="s">
        <v>139</v>
      </c>
      <c r="F1658" s="173" t="s">
        <v>6854</v>
      </c>
      <c r="G1658" s="166">
        <f>MLCF!F41</f>
        <v>44913.114000000001</v>
      </c>
      <c r="H1658" s="166">
        <f>(MLCF!F39/MLCF!F127)</f>
        <v>1073.3462</v>
      </c>
      <c r="I1658" s="164">
        <f t="shared" si="75"/>
        <v>41.844014540695262</v>
      </c>
      <c r="J1658" s="164">
        <v>41.844014540695262</v>
      </c>
      <c r="K1658" s="168">
        <f t="shared" si="76"/>
        <v>0</v>
      </c>
      <c r="L1658" s="164">
        <v>41.84</v>
      </c>
      <c r="M1658" s="154">
        <v>2</v>
      </c>
      <c r="N1658" s="154" t="str">
        <f t="shared" si="77"/>
        <v>Numeric fit</v>
      </c>
      <c r="O1658" s="173" t="s">
        <v>6855</v>
      </c>
      <c r="P1658" s="173" t="s">
        <v>6051</v>
      </c>
    </row>
    <row r="1659" spans="1:16" ht="64.05" customHeight="1" x14ac:dyDescent="0.3">
      <c r="A1659" s="151" t="s">
        <v>8438</v>
      </c>
      <c r="B1659" s="151" t="s">
        <v>8439</v>
      </c>
      <c r="C1659" s="151" t="s">
        <v>106</v>
      </c>
      <c r="D1659" s="151">
        <v>2025</v>
      </c>
      <c r="E1659" s="151" t="s">
        <v>139</v>
      </c>
      <c r="F1659" s="174" t="s">
        <v>5893</v>
      </c>
      <c r="G1659" s="167">
        <f>MLCF!H41</f>
        <v>71461.592000000004</v>
      </c>
      <c r="H1659" s="167">
        <f>MLCF!H128</f>
        <v>1047.5626</v>
      </c>
      <c r="I1659" s="165">
        <f t="shared" si="75"/>
        <v>68.217013474898792</v>
      </c>
      <c r="J1659" s="165">
        <v>68.217013474898792</v>
      </c>
      <c r="K1659" s="169">
        <f t="shared" si="76"/>
        <v>0</v>
      </c>
      <c r="L1659" s="165">
        <v>68.22</v>
      </c>
      <c r="M1659" s="151">
        <v>2</v>
      </c>
      <c r="N1659" s="151" t="str">
        <f t="shared" si="77"/>
        <v>Numeric fit</v>
      </c>
      <c r="O1659" s="174" t="s">
        <v>6050</v>
      </c>
      <c r="P1659" s="174" t="s">
        <v>6051</v>
      </c>
    </row>
    <row r="1660" spans="1:16" ht="64.05" customHeight="1" x14ac:dyDescent="0.3">
      <c r="A1660" s="154" t="s">
        <v>8440</v>
      </c>
      <c r="B1660" s="154" t="s">
        <v>8439</v>
      </c>
      <c r="C1660" s="154" t="s">
        <v>106</v>
      </c>
      <c r="D1660" s="154">
        <v>2025</v>
      </c>
      <c r="E1660" s="154" t="s">
        <v>139</v>
      </c>
      <c r="F1660" s="173" t="s">
        <v>5962</v>
      </c>
      <c r="G1660" s="166">
        <f>MLCF!H41</f>
        <v>71461.592000000004</v>
      </c>
      <c r="H1660" s="166">
        <f>MLCF!H129</f>
        <v>1047.5630000000001</v>
      </c>
      <c r="I1660" s="164">
        <f t="shared" si="75"/>
        <v>68.216987427009158</v>
      </c>
      <c r="J1660" s="164">
        <v>68.216987427009158</v>
      </c>
      <c r="K1660" s="168">
        <f t="shared" si="76"/>
        <v>0</v>
      </c>
      <c r="L1660" s="164">
        <v>68.22</v>
      </c>
      <c r="M1660" s="154">
        <v>2</v>
      </c>
      <c r="N1660" s="154" t="str">
        <f t="shared" si="77"/>
        <v>Numeric fit</v>
      </c>
      <c r="O1660" s="173" t="s">
        <v>6852</v>
      </c>
      <c r="P1660" s="173" t="s">
        <v>6051</v>
      </c>
    </row>
    <row r="1661" spans="1:16" ht="64.05" customHeight="1" x14ac:dyDescent="0.3">
      <c r="A1661" s="151" t="s">
        <v>8441</v>
      </c>
      <c r="B1661" s="151" t="s">
        <v>8439</v>
      </c>
      <c r="C1661" s="151" t="s">
        <v>106</v>
      </c>
      <c r="D1661" s="151">
        <v>2025</v>
      </c>
      <c r="E1661" s="151" t="s">
        <v>139</v>
      </c>
      <c r="F1661" s="174" t="s">
        <v>6854</v>
      </c>
      <c r="G1661" s="167">
        <f>MLCF!H41</f>
        <v>71461.592000000004</v>
      </c>
      <c r="H1661" s="167">
        <f>(MLCF!H39/MLCF!H127)</f>
        <v>1047.5626</v>
      </c>
      <c r="I1661" s="165">
        <f t="shared" si="75"/>
        <v>68.217013474898792</v>
      </c>
      <c r="J1661" s="165">
        <v>68.217013474898792</v>
      </c>
      <c r="K1661" s="169">
        <f t="shared" si="76"/>
        <v>0</v>
      </c>
      <c r="L1661" s="165">
        <v>68.22</v>
      </c>
      <c r="M1661" s="151">
        <v>2</v>
      </c>
      <c r="N1661" s="151" t="str">
        <f t="shared" si="77"/>
        <v>Numeric fit</v>
      </c>
      <c r="O1661" s="174" t="s">
        <v>6855</v>
      </c>
      <c r="P1661" s="174" t="s">
        <v>6051</v>
      </c>
    </row>
    <row r="1662" spans="1:16" ht="64.05" customHeight="1" x14ac:dyDescent="0.3">
      <c r="A1662" s="154" t="s">
        <v>8442</v>
      </c>
      <c r="B1662" s="154" t="s">
        <v>8443</v>
      </c>
      <c r="C1662" s="154" t="s">
        <v>68</v>
      </c>
      <c r="D1662" s="154">
        <v>2021</v>
      </c>
      <c r="E1662" s="154" t="s">
        <v>143</v>
      </c>
      <c r="F1662" s="173" t="s">
        <v>5893</v>
      </c>
      <c r="G1662" s="166">
        <f>LUCK!D99</f>
        <v>14070.189000000004</v>
      </c>
      <c r="H1662" s="166">
        <f>LUCK!D129</f>
        <v>323.375</v>
      </c>
      <c r="I1662" s="164">
        <f t="shared" si="75"/>
        <v>43.510441437959038</v>
      </c>
      <c r="J1662" s="164">
        <v>43.510441437959038</v>
      </c>
      <c r="K1662" s="168">
        <f t="shared" si="76"/>
        <v>0</v>
      </c>
      <c r="L1662" s="164">
        <v>8.6999999999999993</v>
      </c>
      <c r="M1662" s="154">
        <v>2</v>
      </c>
      <c r="N1662" s="154" t="str">
        <f t="shared" si="77"/>
        <v>No fit</v>
      </c>
      <c r="O1662" s="173" t="s">
        <v>6050</v>
      </c>
      <c r="P1662" s="173" t="s">
        <v>6051</v>
      </c>
    </row>
    <row r="1663" spans="1:16" ht="64.05" customHeight="1" x14ac:dyDescent="0.3">
      <c r="A1663" s="151" t="s">
        <v>8444</v>
      </c>
      <c r="B1663" s="151" t="s">
        <v>8443</v>
      </c>
      <c r="C1663" s="151" t="s">
        <v>68</v>
      </c>
      <c r="D1663" s="151">
        <v>2021</v>
      </c>
      <c r="E1663" s="151" t="s">
        <v>143</v>
      </c>
      <c r="F1663" s="174" t="s">
        <v>6106</v>
      </c>
      <c r="G1663" s="167">
        <f>LUCK!D99</f>
        <v>14070.189000000004</v>
      </c>
      <c r="H1663" s="167">
        <f>(LUCK!D129*5)</f>
        <v>1616.875</v>
      </c>
      <c r="I1663" s="165">
        <f t="shared" si="75"/>
        <v>8.702088287591808</v>
      </c>
      <c r="J1663" s="165">
        <v>8.702088287591808</v>
      </c>
      <c r="K1663" s="169">
        <f t="shared" si="76"/>
        <v>0</v>
      </c>
      <c r="L1663" s="165">
        <v>8.6999999999999993</v>
      </c>
      <c r="M1663" s="151">
        <v>2</v>
      </c>
      <c r="N1663" s="151" t="str">
        <f t="shared" si="77"/>
        <v>Numeric fit</v>
      </c>
      <c r="O1663" s="174" t="s">
        <v>6107</v>
      </c>
      <c r="P1663" s="174" t="s">
        <v>6051</v>
      </c>
    </row>
    <row r="1664" spans="1:16" ht="64.05" customHeight="1" x14ac:dyDescent="0.3">
      <c r="A1664" s="154" t="s">
        <v>8445</v>
      </c>
      <c r="B1664" s="154" t="s">
        <v>8443</v>
      </c>
      <c r="C1664" s="154" t="s">
        <v>68</v>
      </c>
      <c r="D1664" s="154">
        <v>2021</v>
      </c>
      <c r="E1664" s="154" t="s">
        <v>143</v>
      </c>
      <c r="F1664" s="173" t="s">
        <v>6109</v>
      </c>
      <c r="G1664" s="166">
        <f>LUCK!D99</f>
        <v>14070.189000000004</v>
      </c>
      <c r="H1664" s="166">
        <f>(LUCK!D128*5)</f>
        <v>1616.875</v>
      </c>
      <c r="I1664" s="164">
        <f t="shared" si="75"/>
        <v>8.702088287591808</v>
      </c>
      <c r="J1664" s="164">
        <v>8.702088287591808</v>
      </c>
      <c r="K1664" s="168">
        <f t="shared" si="76"/>
        <v>0</v>
      </c>
      <c r="L1664" s="164">
        <v>8.6999999999999993</v>
      </c>
      <c r="M1664" s="154">
        <v>2</v>
      </c>
      <c r="N1664" s="154" t="str">
        <f t="shared" si="77"/>
        <v>Numeric fit</v>
      </c>
      <c r="O1664" s="173" t="s">
        <v>6110</v>
      </c>
      <c r="P1664" s="173" t="s">
        <v>6051</v>
      </c>
    </row>
    <row r="1665" spans="1:16" ht="64.05" customHeight="1" x14ac:dyDescent="0.3">
      <c r="A1665" s="151" t="s">
        <v>8446</v>
      </c>
      <c r="B1665" s="151" t="s">
        <v>8443</v>
      </c>
      <c r="C1665" s="151" t="s">
        <v>68</v>
      </c>
      <c r="D1665" s="151">
        <v>2021</v>
      </c>
      <c r="E1665" s="151" t="s">
        <v>143</v>
      </c>
      <c r="F1665" s="174" t="s">
        <v>5771</v>
      </c>
      <c r="G1665" s="167">
        <f>LUCK!D99</f>
        <v>14070.189000000004</v>
      </c>
      <c r="H1665" s="167">
        <f>((LUCK!C39/LUCK!D127)*5)</f>
        <v>1616.875</v>
      </c>
      <c r="I1665" s="165">
        <f t="shared" si="75"/>
        <v>8.702088287591808</v>
      </c>
      <c r="J1665" s="165">
        <v>8.702088287591808</v>
      </c>
      <c r="K1665" s="169">
        <f t="shared" si="76"/>
        <v>0</v>
      </c>
      <c r="L1665" s="165">
        <v>8.6999999999999993</v>
      </c>
      <c r="M1665" s="151">
        <v>2</v>
      </c>
      <c r="N1665" s="151" t="str">
        <f t="shared" si="77"/>
        <v>Numeric fit</v>
      </c>
      <c r="O1665" s="174" t="s">
        <v>6112</v>
      </c>
      <c r="P1665" s="174" t="s">
        <v>6051</v>
      </c>
    </row>
    <row r="1666" spans="1:16" ht="64.05" customHeight="1" x14ac:dyDescent="0.3">
      <c r="A1666" s="154" t="s">
        <v>8447</v>
      </c>
      <c r="B1666" s="154" t="s">
        <v>8448</v>
      </c>
      <c r="C1666" s="154" t="s">
        <v>68</v>
      </c>
      <c r="D1666" s="154">
        <v>2022</v>
      </c>
      <c r="E1666" s="154" t="s">
        <v>143</v>
      </c>
      <c r="F1666" s="173" t="s">
        <v>5893</v>
      </c>
      <c r="G1666" s="166">
        <f>LUCK!E99</f>
        <v>15298.617999999993</v>
      </c>
      <c r="H1666" s="166">
        <f>LUCK!E129</f>
        <v>323.375</v>
      </c>
      <c r="I1666" s="164">
        <f t="shared" si="75"/>
        <v>47.309216853498242</v>
      </c>
      <c r="J1666" s="164">
        <v>47.309216853498242</v>
      </c>
      <c r="K1666" s="168">
        <f t="shared" si="76"/>
        <v>0</v>
      </c>
      <c r="L1666" s="164">
        <v>9.4600000000000009</v>
      </c>
      <c r="M1666" s="154">
        <v>2</v>
      </c>
      <c r="N1666" s="154" t="str">
        <f t="shared" si="77"/>
        <v>No fit</v>
      </c>
      <c r="O1666" s="173" t="s">
        <v>6050</v>
      </c>
      <c r="P1666" s="173" t="s">
        <v>6051</v>
      </c>
    </row>
    <row r="1667" spans="1:16" ht="64.05" customHeight="1" x14ac:dyDescent="0.3">
      <c r="A1667" s="151" t="s">
        <v>8449</v>
      </c>
      <c r="B1667" s="151" t="s">
        <v>8448</v>
      </c>
      <c r="C1667" s="151" t="s">
        <v>68</v>
      </c>
      <c r="D1667" s="151">
        <v>2022</v>
      </c>
      <c r="E1667" s="151" t="s">
        <v>143</v>
      </c>
      <c r="F1667" s="174" t="s">
        <v>6106</v>
      </c>
      <c r="G1667" s="167">
        <f>LUCK!E99</f>
        <v>15298.617999999993</v>
      </c>
      <c r="H1667" s="167">
        <f>(LUCK!E129*5)</f>
        <v>1616.875</v>
      </c>
      <c r="I1667" s="165">
        <f t="shared" si="75"/>
        <v>9.461843370699647</v>
      </c>
      <c r="J1667" s="165">
        <v>9.461843370699647</v>
      </c>
      <c r="K1667" s="169">
        <f t="shared" si="76"/>
        <v>0</v>
      </c>
      <c r="L1667" s="165">
        <v>9.4600000000000009</v>
      </c>
      <c r="M1667" s="151">
        <v>2</v>
      </c>
      <c r="N1667" s="151" t="str">
        <f t="shared" si="77"/>
        <v>Numeric fit</v>
      </c>
      <c r="O1667" s="174" t="s">
        <v>6107</v>
      </c>
      <c r="P1667" s="174" t="s">
        <v>6051</v>
      </c>
    </row>
    <row r="1668" spans="1:16" ht="64.05" customHeight="1" x14ac:dyDescent="0.3">
      <c r="A1668" s="154" t="s">
        <v>8450</v>
      </c>
      <c r="B1668" s="154" t="s">
        <v>8448</v>
      </c>
      <c r="C1668" s="154" t="s">
        <v>68</v>
      </c>
      <c r="D1668" s="154">
        <v>2022</v>
      </c>
      <c r="E1668" s="154" t="s">
        <v>143</v>
      </c>
      <c r="F1668" s="173" t="s">
        <v>6109</v>
      </c>
      <c r="G1668" s="166">
        <f>LUCK!E99</f>
        <v>15298.617999999993</v>
      </c>
      <c r="H1668" s="166">
        <f>(LUCK!E128*5)</f>
        <v>1616.875</v>
      </c>
      <c r="I1668" s="164">
        <f t="shared" si="75"/>
        <v>9.461843370699647</v>
      </c>
      <c r="J1668" s="164">
        <v>9.461843370699647</v>
      </c>
      <c r="K1668" s="168">
        <f t="shared" si="76"/>
        <v>0</v>
      </c>
      <c r="L1668" s="164">
        <v>9.4600000000000009</v>
      </c>
      <c r="M1668" s="154">
        <v>2</v>
      </c>
      <c r="N1668" s="154" t="str">
        <f t="shared" si="77"/>
        <v>Numeric fit</v>
      </c>
      <c r="O1668" s="173" t="s">
        <v>6110</v>
      </c>
      <c r="P1668" s="173" t="s">
        <v>6051</v>
      </c>
    </row>
    <row r="1669" spans="1:16" ht="64.05" customHeight="1" x14ac:dyDescent="0.3">
      <c r="A1669" s="151" t="s">
        <v>8451</v>
      </c>
      <c r="B1669" s="151" t="s">
        <v>8448</v>
      </c>
      <c r="C1669" s="151" t="s">
        <v>68</v>
      </c>
      <c r="D1669" s="151">
        <v>2022</v>
      </c>
      <c r="E1669" s="151" t="s">
        <v>143</v>
      </c>
      <c r="F1669" s="174" t="s">
        <v>5771</v>
      </c>
      <c r="G1669" s="167">
        <f>LUCK!E99</f>
        <v>15298.617999999993</v>
      </c>
      <c r="H1669" s="167">
        <f>((LUCK!D39/LUCK!D127)*5)</f>
        <v>1616.875</v>
      </c>
      <c r="I1669" s="165">
        <f t="shared" si="75"/>
        <v>9.461843370699647</v>
      </c>
      <c r="J1669" s="165">
        <v>9.461843370699647</v>
      </c>
      <c r="K1669" s="169">
        <f t="shared" si="76"/>
        <v>0</v>
      </c>
      <c r="L1669" s="165">
        <v>9.4600000000000009</v>
      </c>
      <c r="M1669" s="151">
        <v>2</v>
      </c>
      <c r="N1669" s="151" t="str">
        <f t="shared" si="77"/>
        <v>Numeric fit</v>
      </c>
      <c r="O1669" s="174" t="s">
        <v>6112</v>
      </c>
      <c r="P1669" s="174" t="s">
        <v>6051</v>
      </c>
    </row>
    <row r="1670" spans="1:16" ht="64.05" customHeight="1" x14ac:dyDescent="0.3">
      <c r="A1670" s="154" t="s">
        <v>8452</v>
      </c>
      <c r="B1670" s="154" t="s">
        <v>8453</v>
      </c>
      <c r="C1670" s="154" t="s">
        <v>68</v>
      </c>
      <c r="D1670" s="154">
        <v>2024</v>
      </c>
      <c r="E1670" s="154" t="s">
        <v>143</v>
      </c>
      <c r="F1670" s="173" t="s">
        <v>5893</v>
      </c>
      <c r="G1670" s="166">
        <f>LUCK!G99</f>
        <v>28106.539000000004</v>
      </c>
      <c r="H1670" s="166">
        <f>LUCK!G129</f>
        <v>297.29599999999999</v>
      </c>
      <c r="I1670" s="164">
        <f t="shared" ref="I1670:I1686" si="78">G1670/H1670</f>
        <v>94.540589177116431</v>
      </c>
      <c r="J1670" s="164">
        <v>94.540589177116402</v>
      </c>
      <c r="K1670" s="168">
        <f t="shared" ref="K1670:K1686" si="79">I1670-J1670</f>
        <v>0</v>
      </c>
      <c r="L1670" s="164">
        <v>18.91</v>
      </c>
      <c r="M1670" s="154">
        <v>2</v>
      </c>
      <c r="N1670" s="154" t="str">
        <f t="shared" ref="N1670:N1686" si="80">IF(ROUND(I1670,M1670)=ROUND(L1670,M1670),"Numeric fit","No fit")</f>
        <v>No fit</v>
      </c>
      <c r="O1670" s="173" t="s">
        <v>6050</v>
      </c>
      <c r="P1670" s="173" t="s">
        <v>6051</v>
      </c>
    </row>
    <row r="1671" spans="1:16" ht="64.05" customHeight="1" x14ac:dyDescent="0.3">
      <c r="A1671" s="151" t="s">
        <v>8454</v>
      </c>
      <c r="B1671" s="151" t="s">
        <v>8453</v>
      </c>
      <c r="C1671" s="151" t="s">
        <v>68</v>
      </c>
      <c r="D1671" s="151">
        <v>2024</v>
      </c>
      <c r="E1671" s="151" t="s">
        <v>143</v>
      </c>
      <c r="F1671" s="174" t="s">
        <v>6106</v>
      </c>
      <c r="G1671" s="167">
        <f>LUCK!G99</f>
        <v>28106.539000000004</v>
      </c>
      <c r="H1671" s="167">
        <f>(LUCK!G129*5)</f>
        <v>1486.48</v>
      </c>
      <c r="I1671" s="165">
        <f t="shared" si="78"/>
        <v>18.908117835423283</v>
      </c>
      <c r="J1671" s="165">
        <v>18.90811783542328</v>
      </c>
      <c r="K1671" s="169">
        <f t="shared" si="79"/>
        <v>0</v>
      </c>
      <c r="L1671" s="165">
        <v>18.91</v>
      </c>
      <c r="M1671" s="151">
        <v>2</v>
      </c>
      <c r="N1671" s="151" t="str">
        <f t="shared" si="80"/>
        <v>Numeric fit</v>
      </c>
      <c r="O1671" s="174" t="s">
        <v>6107</v>
      </c>
      <c r="P1671" s="174" t="s">
        <v>6051</v>
      </c>
    </row>
    <row r="1672" spans="1:16" ht="64.05" customHeight="1" x14ac:dyDescent="0.3">
      <c r="A1672" s="154" t="s">
        <v>8455</v>
      </c>
      <c r="B1672" s="154" t="s">
        <v>8453</v>
      </c>
      <c r="C1672" s="154" t="s">
        <v>68</v>
      </c>
      <c r="D1672" s="154">
        <v>2024</v>
      </c>
      <c r="E1672" s="154" t="s">
        <v>143</v>
      </c>
      <c r="F1672" s="173" t="s">
        <v>6109</v>
      </c>
      <c r="G1672" s="166">
        <f>LUCK!G99</f>
        <v>28106.539000000004</v>
      </c>
      <c r="H1672" s="166">
        <f>(LUCK!G128*5)</f>
        <v>1465</v>
      </c>
      <c r="I1672" s="164">
        <f t="shared" si="78"/>
        <v>19.185350853242323</v>
      </c>
      <c r="J1672" s="164">
        <v>19.185350853242319</v>
      </c>
      <c r="K1672" s="168">
        <f t="shared" si="79"/>
        <v>0</v>
      </c>
      <c r="L1672" s="164">
        <v>18.91</v>
      </c>
      <c r="M1672" s="154">
        <v>2</v>
      </c>
      <c r="N1672" s="154" t="str">
        <f t="shared" si="80"/>
        <v>No fit</v>
      </c>
      <c r="O1672" s="173" t="s">
        <v>6110</v>
      </c>
      <c r="P1672" s="173" t="s">
        <v>6051</v>
      </c>
    </row>
    <row r="1673" spans="1:16" ht="64.05" customHeight="1" x14ac:dyDescent="0.3">
      <c r="A1673" s="151" t="s">
        <v>8456</v>
      </c>
      <c r="B1673" s="151" t="s">
        <v>8453</v>
      </c>
      <c r="C1673" s="151" t="s">
        <v>68</v>
      </c>
      <c r="D1673" s="151">
        <v>2024</v>
      </c>
      <c r="E1673" s="151" t="s">
        <v>143</v>
      </c>
      <c r="F1673" s="174" t="s">
        <v>5771</v>
      </c>
      <c r="G1673" s="167">
        <f>LUCK!G99</f>
        <v>28106.539000000004</v>
      </c>
      <c r="H1673" s="167">
        <f>((LUCK!F39/LUCK!F127)*5)</f>
        <v>1559.193</v>
      </c>
      <c r="I1673" s="165">
        <f t="shared" si="78"/>
        <v>18.026337342458568</v>
      </c>
      <c r="J1673" s="165">
        <v>18.026337342458564</v>
      </c>
      <c r="K1673" s="169">
        <f t="shared" si="79"/>
        <v>0</v>
      </c>
      <c r="L1673" s="165">
        <v>18.91</v>
      </c>
      <c r="M1673" s="151">
        <v>2</v>
      </c>
      <c r="N1673" s="151" t="str">
        <f t="shared" si="80"/>
        <v>No fit</v>
      </c>
      <c r="O1673" s="174" t="s">
        <v>6112</v>
      </c>
      <c r="P1673" s="174" t="s">
        <v>6051</v>
      </c>
    </row>
    <row r="1674" spans="1:16" ht="64.05" customHeight="1" x14ac:dyDescent="0.3">
      <c r="A1674" s="154" t="s">
        <v>8457</v>
      </c>
      <c r="B1674" s="154" t="s">
        <v>8458</v>
      </c>
      <c r="C1674" s="154" t="s">
        <v>68</v>
      </c>
      <c r="D1674" s="154">
        <v>2025</v>
      </c>
      <c r="E1674" s="154" t="s">
        <v>143</v>
      </c>
      <c r="F1674" s="173" t="s">
        <v>5893</v>
      </c>
      <c r="G1674" s="166">
        <f>LUCK!H99</f>
        <v>33092.162000000004</v>
      </c>
      <c r="H1674" s="166">
        <f>LUCK!H129</f>
        <v>1465</v>
      </c>
      <c r="I1674" s="164">
        <f t="shared" si="78"/>
        <v>22.588506484641641</v>
      </c>
      <c r="J1674" s="164">
        <v>22.588506484641645</v>
      </c>
      <c r="K1674" s="168">
        <f t="shared" si="79"/>
        <v>0</v>
      </c>
      <c r="L1674" s="164">
        <v>22.59</v>
      </c>
      <c r="M1674" s="154">
        <v>2</v>
      </c>
      <c r="N1674" s="154" t="str">
        <f t="shared" si="80"/>
        <v>Numeric fit</v>
      </c>
      <c r="O1674" s="173" t="s">
        <v>6050</v>
      </c>
      <c r="P1674" s="173" t="s">
        <v>6051</v>
      </c>
    </row>
    <row r="1675" spans="1:16" ht="64.05" customHeight="1" x14ac:dyDescent="0.3">
      <c r="A1675" s="151" t="s">
        <v>8459</v>
      </c>
      <c r="B1675" s="151" t="s">
        <v>8458</v>
      </c>
      <c r="C1675" s="151" t="s">
        <v>68</v>
      </c>
      <c r="D1675" s="151">
        <v>2025</v>
      </c>
      <c r="E1675" s="151" t="s">
        <v>143</v>
      </c>
      <c r="F1675" s="174" t="s">
        <v>6106</v>
      </c>
      <c r="G1675" s="167">
        <f>LUCK!H99</f>
        <v>33092.162000000004</v>
      </c>
      <c r="H1675" s="167">
        <f>(LUCK!H129*1)</f>
        <v>1465</v>
      </c>
      <c r="I1675" s="165">
        <f t="shared" si="78"/>
        <v>22.588506484641641</v>
      </c>
      <c r="J1675" s="165">
        <v>22.588506484641645</v>
      </c>
      <c r="K1675" s="169">
        <f t="shared" si="79"/>
        <v>0</v>
      </c>
      <c r="L1675" s="165">
        <v>22.59</v>
      </c>
      <c r="M1675" s="151">
        <v>2</v>
      </c>
      <c r="N1675" s="151" t="str">
        <f t="shared" si="80"/>
        <v>Numeric fit</v>
      </c>
      <c r="O1675" s="174" t="s">
        <v>6107</v>
      </c>
      <c r="P1675" s="174" t="s">
        <v>6051</v>
      </c>
    </row>
    <row r="1676" spans="1:16" ht="64.05" customHeight="1" x14ac:dyDescent="0.3">
      <c r="A1676" s="154" t="s">
        <v>8460</v>
      </c>
      <c r="B1676" s="154" t="s">
        <v>8458</v>
      </c>
      <c r="C1676" s="154" t="s">
        <v>68</v>
      </c>
      <c r="D1676" s="154">
        <v>2025</v>
      </c>
      <c r="E1676" s="154" t="s">
        <v>143</v>
      </c>
      <c r="F1676" s="173" t="s">
        <v>6109</v>
      </c>
      <c r="G1676" s="166">
        <f>LUCK!H99</f>
        <v>33092.162000000004</v>
      </c>
      <c r="H1676" s="166">
        <f>(LUCK!H128*1)</f>
        <v>1465</v>
      </c>
      <c r="I1676" s="164">
        <f t="shared" si="78"/>
        <v>22.588506484641641</v>
      </c>
      <c r="J1676" s="164">
        <v>22.588506484641645</v>
      </c>
      <c r="K1676" s="168">
        <f t="shared" si="79"/>
        <v>0</v>
      </c>
      <c r="L1676" s="164">
        <v>22.59</v>
      </c>
      <c r="M1676" s="154">
        <v>2</v>
      </c>
      <c r="N1676" s="154" t="str">
        <f t="shared" si="80"/>
        <v>Numeric fit</v>
      </c>
      <c r="O1676" s="173" t="s">
        <v>6110</v>
      </c>
      <c r="P1676" s="173" t="s">
        <v>6051</v>
      </c>
    </row>
    <row r="1677" spans="1:16" ht="64.05" customHeight="1" x14ac:dyDescent="0.3">
      <c r="A1677" s="151" t="s">
        <v>8461</v>
      </c>
      <c r="B1677" s="151" t="s">
        <v>8458</v>
      </c>
      <c r="C1677" s="151" t="s">
        <v>68</v>
      </c>
      <c r="D1677" s="151">
        <v>2025</v>
      </c>
      <c r="E1677" s="151" t="s">
        <v>143</v>
      </c>
      <c r="F1677" s="174" t="s">
        <v>5771</v>
      </c>
      <c r="G1677" s="167">
        <f>LUCK!H99</f>
        <v>33092.162000000004</v>
      </c>
      <c r="H1677" s="167">
        <f>((LUCK!G39/LUCK!G127)*1)</f>
        <v>293</v>
      </c>
      <c r="I1677" s="165">
        <f t="shared" si="78"/>
        <v>112.94253242320821</v>
      </c>
      <c r="J1677" s="165">
        <v>112.94253242320823</v>
      </c>
      <c r="K1677" s="169">
        <f t="shared" si="79"/>
        <v>0</v>
      </c>
      <c r="L1677" s="165">
        <v>22.59</v>
      </c>
      <c r="M1677" s="151">
        <v>2</v>
      </c>
      <c r="N1677" s="151" t="str">
        <f t="shared" si="80"/>
        <v>No fit</v>
      </c>
      <c r="O1677" s="174" t="s">
        <v>6112</v>
      </c>
      <c r="P1677" s="174" t="s">
        <v>6051</v>
      </c>
    </row>
    <row r="1678" spans="1:16" ht="64.05" customHeight="1" x14ac:dyDescent="0.3">
      <c r="A1678" s="154" t="s">
        <v>8462</v>
      </c>
      <c r="B1678" s="154" t="s">
        <v>8463</v>
      </c>
      <c r="C1678" s="154" t="s">
        <v>68</v>
      </c>
      <c r="D1678" s="154">
        <v>2021</v>
      </c>
      <c r="E1678" s="154" t="s">
        <v>124</v>
      </c>
      <c r="F1678" s="173" t="s">
        <v>5893</v>
      </c>
      <c r="G1678" s="166">
        <f>LUCK!D131</f>
        <v>0</v>
      </c>
      <c r="H1678" s="166">
        <f>LUCK!D99/LUCK!D129</f>
        <v>43.510441437959038</v>
      </c>
      <c r="I1678" s="164">
        <f t="shared" si="78"/>
        <v>0</v>
      </c>
      <c r="J1678" s="164">
        <v>0</v>
      </c>
      <c r="K1678" s="168">
        <f t="shared" si="79"/>
        <v>0</v>
      </c>
      <c r="L1678" s="164">
        <v>0</v>
      </c>
      <c r="M1678" s="154">
        <v>4</v>
      </c>
      <c r="N1678" s="154" t="str">
        <f t="shared" si="80"/>
        <v>Numeric fit</v>
      </c>
      <c r="O1678" s="173" t="s">
        <v>6050</v>
      </c>
      <c r="P1678" s="173" t="s">
        <v>6051</v>
      </c>
    </row>
    <row r="1679" spans="1:16" ht="64.05" customHeight="1" x14ac:dyDescent="0.3">
      <c r="A1679" s="151" t="s">
        <v>8464</v>
      </c>
      <c r="B1679" s="151" t="s">
        <v>8463</v>
      </c>
      <c r="C1679" s="151" t="s">
        <v>68</v>
      </c>
      <c r="D1679" s="151">
        <v>2021</v>
      </c>
      <c r="E1679" s="151" t="s">
        <v>124</v>
      </c>
      <c r="F1679" s="174" t="s">
        <v>6763</v>
      </c>
      <c r="G1679" s="167">
        <f>LUCK!D131</f>
        <v>0</v>
      </c>
      <c r="H1679" s="167">
        <f>(LUCK!D99/LUCK!D129)</f>
        <v>43.510441437959038</v>
      </c>
      <c r="I1679" s="165">
        <f t="shared" si="78"/>
        <v>0</v>
      </c>
      <c r="J1679" s="165">
        <v>0</v>
      </c>
      <c r="K1679" s="169">
        <f t="shared" si="79"/>
        <v>0</v>
      </c>
      <c r="L1679" s="165">
        <v>0</v>
      </c>
      <c r="M1679" s="151">
        <v>4</v>
      </c>
      <c r="N1679" s="151" t="str">
        <f t="shared" si="80"/>
        <v>Numeric fit</v>
      </c>
      <c r="O1679" s="174" t="s">
        <v>6764</v>
      </c>
      <c r="P1679" s="174" t="s">
        <v>6051</v>
      </c>
    </row>
    <row r="1680" spans="1:16" ht="64.05" customHeight="1" x14ac:dyDescent="0.3">
      <c r="A1680" s="154" t="s">
        <v>8465</v>
      </c>
      <c r="B1680" s="154" t="s">
        <v>8463</v>
      </c>
      <c r="C1680" s="154" t="s">
        <v>68</v>
      </c>
      <c r="D1680" s="154">
        <v>2021</v>
      </c>
      <c r="E1680" s="154" t="s">
        <v>124</v>
      </c>
      <c r="F1680" s="173" t="s">
        <v>6766</v>
      </c>
      <c r="G1680" s="166">
        <f>LUCK!D131</f>
        <v>0</v>
      </c>
      <c r="H1680" s="166">
        <f>ROUND((LUCK!D99/LUCK!D129),2)</f>
        <v>43.51</v>
      </c>
      <c r="I1680" s="164">
        <f t="shared" si="78"/>
        <v>0</v>
      </c>
      <c r="J1680" s="164">
        <v>0</v>
      </c>
      <c r="K1680" s="168">
        <f t="shared" si="79"/>
        <v>0</v>
      </c>
      <c r="L1680" s="164">
        <v>0</v>
      </c>
      <c r="M1680" s="154">
        <v>4</v>
      </c>
      <c r="N1680" s="154" t="str">
        <f t="shared" si="80"/>
        <v>Numeric fit</v>
      </c>
      <c r="O1680" s="173" t="s">
        <v>6764</v>
      </c>
      <c r="P1680" s="173" t="s">
        <v>6051</v>
      </c>
    </row>
    <row r="1681" spans="1:16" ht="64.05" customHeight="1" x14ac:dyDescent="0.3">
      <c r="A1681" s="151" t="s">
        <v>8466</v>
      </c>
      <c r="B1681" s="151" t="s">
        <v>8467</v>
      </c>
      <c r="C1681" s="151" t="s">
        <v>68</v>
      </c>
      <c r="D1681" s="151">
        <v>2022</v>
      </c>
      <c r="E1681" s="151" t="s">
        <v>124</v>
      </c>
      <c r="F1681" s="174" t="s">
        <v>5893</v>
      </c>
      <c r="G1681" s="167">
        <f>LUCK!E131</f>
        <v>0</v>
      </c>
      <c r="H1681" s="167">
        <f>LUCK!E99/LUCK!E129</f>
        <v>47.309216853498242</v>
      </c>
      <c r="I1681" s="165">
        <f t="shared" si="78"/>
        <v>0</v>
      </c>
      <c r="J1681" s="165">
        <v>0</v>
      </c>
      <c r="K1681" s="169">
        <f t="shared" si="79"/>
        <v>0</v>
      </c>
      <c r="L1681" s="165">
        <v>0</v>
      </c>
      <c r="M1681" s="151">
        <v>4</v>
      </c>
      <c r="N1681" s="151" t="str">
        <f t="shared" si="80"/>
        <v>Numeric fit</v>
      </c>
      <c r="O1681" s="174" t="s">
        <v>6050</v>
      </c>
      <c r="P1681" s="174" t="s">
        <v>6051</v>
      </c>
    </row>
    <row r="1682" spans="1:16" ht="64.05" customHeight="1" x14ac:dyDescent="0.3">
      <c r="A1682" s="154" t="s">
        <v>8468</v>
      </c>
      <c r="B1682" s="154" t="s">
        <v>8467</v>
      </c>
      <c r="C1682" s="154" t="s">
        <v>68</v>
      </c>
      <c r="D1682" s="154">
        <v>2022</v>
      </c>
      <c r="E1682" s="154" t="s">
        <v>124</v>
      </c>
      <c r="F1682" s="173" t="s">
        <v>6763</v>
      </c>
      <c r="G1682" s="166">
        <f>LUCK!E131</f>
        <v>0</v>
      </c>
      <c r="H1682" s="166">
        <f>(LUCK!E99/LUCK!E129)</f>
        <v>47.309216853498242</v>
      </c>
      <c r="I1682" s="164">
        <f t="shared" si="78"/>
        <v>0</v>
      </c>
      <c r="J1682" s="164">
        <v>0</v>
      </c>
      <c r="K1682" s="168">
        <f t="shared" si="79"/>
        <v>0</v>
      </c>
      <c r="L1682" s="164">
        <v>0</v>
      </c>
      <c r="M1682" s="154">
        <v>4</v>
      </c>
      <c r="N1682" s="154" t="str">
        <f t="shared" si="80"/>
        <v>Numeric fit</v>
      </c>
      <c r="O1682" s="173" t="s">
        <v>6764</v>
      </c>
      <c r="P1682" s="173" t="s">
        <v>6051</v>
      </c>
    </row>
    <row r="1683" spans="1:16" ht="64.05" customHeight="1" x14ac:dyDescent="0.3">
      <c r="A1683" s="151" t="s">
        <v>8469</v>
      </c>
      <c r="B1683" s="151" t="s">
        <v>8467</v>
      </c>
      <c r="C1683" s="151" t="s">
        <v>68</v>
      </c>
      <c r="D1683" s="151">
        <v>2022</v>
      </c>
      <c r="E1683" s="151" t="s">
        <v>124</v>
      </c>
      <c r="F1683" s="174" t="s">
        <v>6766</v>
      </c>
      <c r="G1683" s="167">
        <f>LUCK!E131</f>
        <v>0</v>
      </c>
      <c r="H1683" s="167">
        <f>ROUND((LUCK!E99/LUCK!E129),2)</f>
        <v>47.31</v>
      </c>
      <c r="I1683" s="165">
        <f t="shared" si="78"/>
        <v>0</v>
      </c>
      <c r="J1683" s="165">
        <v>0</v>
      </c>
      <c r="K1683" s="169">
        <f t="shared" si="79"/>
        <v>0</v>
      </c>
      <c r="L1683" s="165">
        <v>0</v>
      </c>
      <c r="M1683" s="151">
        <v>4</v>
      </c>
      <c r="N1683" s="151" t="str">
        <f t="shared" si="80"/>
        <v>Numeric fit</v>
      </c>
      <c r="O1683" s="174" t="s">
        <v>6764</v>
      </c>
      <c r="P1683" s="174" t="s">
        <v>6051</v>
      </c>
    </row>
    <row r="1684" spans="1:16" ht="64.05" customHeight="1" x14ac:dyDescent="0.3">
      <c r="A1684" s="154" t="s">
        <v>8470</v>
      </c>
      <c r="B1684" s="154" t="s">
        <v>8471</v>
      </c>
      <c r="C1684" s="154" t="s">
        <v>68</v>
      </c>
      <c r="D1684" s="154">
        <v>2025</v>
      </c>
      <c r="E1684" s="154" t="s">
        <v>124</v>
      </c>
      <c r="F1684" s="173" t="s">
        <v>5893</v>
      </c>
      <c r="G1684" s="166">
        <f>LUCK!H131</f>
        <v>4</v>
      </c>
      <c r="H1684" s="166">
        <f>LUCK!H99/LUCK!H129</f>
        <v>22.588506484641641</v>
      </c>
      <c r="I1684" s="164">
        <f t="shared" si="78"/>
        <v>0.17708120732637533</v>
      </c>
      <c r="J1684" s="164">
        <v>0.17708120732637531</v>
      </c>
      <c r="K1684" s="168">
        <f t="shared" si="79"/>
        <v>0</v>
      </c>
      <c r="L1684" s="164">
        <v>0.17710000000000001</v>
      </c>
      <c r="M1684" s="154">
        <v>4</v>
      </c>
      <c r="N1684" s="154" t="str">
        <f t="shared" si="80"/>
        <v>Numeric fit</v>
      </c>
      <c r="O1684" s="173" t="s">
        <v>6050</v>
      </c>
      <c r="P1684" s="173" t="s">
        <v>6051</v>
      </c>
    </row>
    <row r="1685" spans="1:16" ht="64.05" customHeight="1" x14ac:dyDescent="0.3">
      <c r="A1685" s="151" t="s">
        <v>8472</v>
      </c>
      <c r="B1685" s="151" t="s">
        <v>8471</v>
      </c>
      <c r="C1685" s="151" t="s">
        <v>68</v>
      </c>
      <c r="D1685" s="151">
        <v>2025</v>
      </c>
      <c r="E1685" s="151" t="s">
        <v>124</v>
      </c>
      <c r="F1685" s="174" t="s">
        <v>6763</v>
      </c>
      <c r="G1685" s="167">
        <f>LUCK!H131</f>
        <v>4</v>
      </c>
      <c r="H1685" s="167">
        <f>(LUCK!H99/LUCK!H129)</f>
        <v>22.588506484641641</v>
      </c>
      <c r="I1685" s="165">
        <f t="shared" si="78"/>
        <v>0.17708120732637533</v>
      </c>
      <c r="J1685" s="165">
        <v>0.17708120732637531</v>
      </c>
      <c r="K1685" s="169">
        <f t="shared" si="79"/>
        <v>0</v>
      </c>
      <c r="L1685" s="165">
        <v>0.17710000000000001</v>
      </c>
      <c r="M1685" s="151">
        <v>4</v>
      </c>
      <c r="N1685" s="151" t="str">
        <f t="shared" si="80"/>
        <v>Numeric fit</v>
      </c>
      <c r="O1685" s="174" t="s">
        <v>6764</v>
      </c>
      <c r="P1685" s="174" t="s">
        <v>6051</v>
      </c>
    </row>
    <row r="1686" spans="1:16" ht="64.05" customHeight="1" x14ac:dyDescent="0.3">
      <c r="A1686" s="154" t="s">
        <v>8473</v>
      </c>
      <c r="B1686" s="154" t="s">
        <v>8471</v>
      </c>
      <c r="C1686" s="154" t="s">
        <v>68</v>
      </c>
      <c r="D1686" s="154">
        <v>2025</v>
      </c>
      <c r="E1686" s="154" t="s">
        <v>124</v>
      </c>
      <c r="F1686" s="173" t="s">
        <v>6766</v>
      </c>
      <c r="G1686" s="166">
        <f>LUCK!H131</f>
        <v>4</v>
      </c>
      <c r="H1686" s="166">
        <f>ROUND((LUCK!H99/LUCK!H129),2)</f>
        <v>22.59</v>
      </c>
      <c r="I1686" s="164">
        <f t="shared" si="78"/>
        <v>0.17706949977866313</v>
      </c>
      <c r="J1686" s="164">
        <v>0.17706949977866313</v>
      </c>
      <c r="K1686" s="168">
        <f t="shared" si="79"/>
        <v>0</v>
      </c>
      <c r="L1686" s="164">
        <v>0.17710000000000001</v>
      </c>
      <c r="M1686" s="154">
        <v>4</v>
      </c>
      <c r="N1686" s="154" t="str">
        <f t="shared" si="80"/>
        <v>Numeric fit</v>
      </c>
      <c r="O1686" s="173" t="s">
        <v>6764</v>
      </c>
      <c r="P1686" s="173" t="s">
        <v>6051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32"/>
  <sheetViews>
    <sheetView showGridLines="0" workbookViewId="0">
      <pane xSplit="3" ySplit="5" topLeftCell="D6" activePane="bottomRight" state="frozen"/>
      <selection pane="topRight"/>
      <selection pane="bottomLeft"/>
      <selection pane="bottomRight" activeCell="D6" sqref="D6"/>
    </sheetView>
  </sheetViews>
  <sheetFormatPr defaultRowHeight="14.4" x14ac:dyDescent="0.3"/>
  <cols>
    <col min="1" max="1" width="38" customWidth="1"/>
    <col min="2" max="2" width="12" customWidth="1"/>
    <col min="3" max="3" width="10" customWidth="1"/>
    <col min="4" max="4" width="58" customWidth="1"/>
    <col min="5" max="5" width="21" customWidth="1"/>
    <col min="6" max="6" width="15" customWidth="1"/>
    <col min="7" max="7" width="24" customWidth="1"/>
    <col min="8" max="8" width="44" customWidth="1"/>
    <col min="9" max="9" width="11" customWidth="1"/>
    <col min="10" max="10" width="48" customWidth="1"/>
    <col min="11" max="11" width="110" customWidth="1"/>
    <col min="12" max="12" width="90" customWidth="1"/>
  </cols>
  <sheetData>
    <row r="1" spans="1:12" ht="22.05" customHeight="1" x14ac:dyDescent="0.3">
      <c r="A1" s="151"/>
      <c r="B1" s="151"/>
      <c r="C1" s="151"/>
      <c r="D1" s="151"/>
      <c r="E1" s="151"/>
      <c r="F1" s="151"/>
      <c r="G1" s="151"/>
      <c r="H1" s="151"/>
      <c r="I1" s="151"/>
      <c r="J1" s="151"/>
      <c r="K1" s="151"/>
      <c r="L1" s="151"/>
    </row>
    <row r="2" spans="1:12" ht="22.05" customHeight="1" x14ac:dyDescent="0.3">
      <c r="A2" s="152" t="s">
        <v>8474</v>
      </c>
      <c r="B2" s="151"/>
      <c r="C2" s="151"/>
      <c r="D2" s="151"/>
      <c r="E2" s="151"/>
      <c r="F2" s="151"/>
      <c r="G2" s="151"/>
      <c r="H2" s="151"/>
      <c r="I2" s="151"/>
      <c r="J2" s="151"/>
      <c r="K2" s="151"/>
      <c r="L2" s="151"/>
    </row>
    <row r="3" spans="1:12" ht="22.05" customHeight="1" x14ac:dyDescent="0.3">
      <c r="A3" s="151"/>
      <c r="B3" s="151"/>
      <c r="C3" s="151"/>
      <c r="D3" s="151"/>
      <c r="E3" s="151"/>
      <c r="F3" s="151"/>
      <c r="G3" s="151"/>
      <c r="H3" s="151"/>
      <c r="I3" s="151"/>
      <c r="J3" s="151"/>
      <c r="K3" s="151"/>
      <c r="L3" s="151"/>
    </row>
    <row r="4" spans="1:12" ht="22.05" customHeight="1" x14ac:dyDescent="0.3">
      <c r="A4" s="151"/>
      <c r="B4" s="151"/>
      <c r="C4" s="151"/>
      <c r="D4" s="151"/>
      <c r="E4" s="151"/>
      <c r="F4" s="151"/>
      <c r="G4" s="151"/>
      <c r="H4" s="151"/>
      <c r="I4" s="151"/>
      <c r="J4" s="151"/>
      <c r="K4" s="151"/>
      <c r="L4" s="151"/>
    </row>
    <row r="5" spans="1:12" ht="40.049999999999997" customHeight="1" x14ac:dyDescent="0.3">
      <c r="A5" s="153" t="s">
        <v>3551</v>
      </c>
      <c r="B5" s="153" t="s">
        <v>1</v>
      </c>
      <c r="C5" s="153" t="s">
        <v>3</v>
      </c>
      <c r="D5" s="153" t="s">
        <v>8475</v>
      </c>
      <c r="E5" s="153" t="s">
        <v>8476</v>
      </c>
      <c r="F5" s="153" t="s">
        <v>8477</v>
      </c>
      <c r="G5" s="153" t="s">
        <v>8478</v>
      </c>
      <c r="H5" s="153" t="s">
        <v>8479</v>
      </c>
      <c r="I5" s="153" t="s">
        <v>1092</v>
      </c>
      <c r="J5" s="153" t="s">
        <v>3561</v>
      </c>
      <c r="K5" s="153" t="s">
        <v>3563</v>
      </c>
      <c r="L5" s="153" t="s">
        <v>8480</v>
      </c>
    </row>
    <row r="6" spans="1:12" ht="72" customHeight="1" x14ac:dyDescent="0.3">
      <c r="A6" s="154" t="s">
        <v>8481</v>
      </c>
      <c r="B6" s="154" t="s">
        <v>68</v>
      </c>
      <c r="C6" s="154">
        <v>2021</v>
      </c>
      <c r="D6" s="173" t="s">
        <v>8482</v>
      </c>
      <c r="E6" s="157">
        <v>14016397</v>
      </c>
      <c r="F6" s="157">
        <v>1000</v>
      </c>
      <c r="G6" s="155">
        <f t="shared" ref="G6:G37" si="0">E6/F6</f>
        <v>14016.397000000001</v>
      </c>
      <c r="H6" s="173" t="s">
        <v>8483</v>
      </c>
      <c r="I6" s="173">
        <v>228</v>
      </c>
      <c r="J6" s="173" t="s">
        <v>8484</v>
      </c>
      <c r="K6" s="173" t="s">
        <v>8485</v>
      </c>
      <c r="L6" s="173" t="s">
        <v>3383</v>
      </c>
    </row>
    <row r="7" spans="1:12" ht="72" customHeight="1" x14ac:dyDescent="0.3">
      <c r="A7" s="151" t="s">
        <v>8486</v>
      </c>
      <c r="B7" s="151" t="s">
        <v>68</v>
      </c>
      <c r="C7" s="151">
        <v>2022</v>
      </c>
      <c r="D7" s="174" t="s">
        <v>8482</v>
      </c>
      <c r="E7" s="66">
        <v>15340066</v>
      </c>
      <c r="F7" s="66">
        <v>1000</v>
      </c>
      <c r="G7" s="156">
        <f t="shared" si="0"/>
        <v>15340.066000000001</v>
      </c>
      <c r="H7" s="174" t="s">
        <v>8483</v>
      </c>
      <c r="I7" s="174">
        <v>228</v>
      </c>
      <c r="J7" s="174" t="s">
        <v>8484</v>
      </c>
      <c r="K7" s="174" t="s">
        <v>8485</v>
      </c>
      <c r="L7" s="174" t="s">
        <v>3383</v>
      </c>
    </row>
    <row r="8" spans="1:12" ht="72" customHeight="1" x14ac:dyDescent="0.3">
      <c r="A8" s="154" t="s">
        <v>8487</v>
      </c>
      <c r="B8" s="154" t="s">
        <v>68</v>
      </c>
      <c r="C8" s="154">
        <v>2023</v>
      </c>
      <c r="D8" s="173" t="s">
        <v>8482</v>
      </c>
      <c r="E8" s="157">
        <v>13983656</v>
      </c>
      <c r="F8" s="157">
        <v>1000</v>
      </c>
      <c r="G8" s="155">
        <f t="shared" si="0"/>
        <v>13983.656000000001</v>
      </c>
      <c r="H8" s="173" t="s">
        <v>8488</v>
      </c>
      <c r="I8" s="173">
        <v>236</v>
      </c>
      <c r="J8" s="173" t="s">
        <v>8484</v>
      </c>
      <c r="K8" s="173" t="s">
        <v>8489</v>
      </c>
      <c r="L8" s="173" t="s">
        <v>3383</v>
      </c>
    </row>
    <row r="9" spans="1:12" ht="72" customHeight="1" x14ac:dyDescent="0.3">
      <c r="A9" s="151" t="s">
        <v>8490</v>
      </c>
      <c r="B9" s="151" t="s">
        <v>68</v>
      </c>
      <c r="C9" s="151">
        <v>2024</v>
      </c>
      <c r="D9" s="174" t="s">
        <v>8482</v>
      </c>
      <c r="E9" s="66">
        <v>27971737</v>
      </c>
      <c r="F9" s="66">
        <v>1000</v>
      </c>
      <c r="G9" s="156">
        <f t="shared" si="0"/>
        <v>27971.737000000001</v>
      </c>
      <c r="H9" s="174" t="s">
        <v>8491</v>
      </c>
      <c r="I9" s="174">
        <v>244</v>
      </c>
      <c r="J9" s="174" t="s">
        <v>8484</v>
      </c>
      <c r="K9" s="174" t="s">
        <v>8492</v>
      </c>
      <c r="L9" s="174" t="s">
        <v>3385</v>
      </c>
    </row>
    <row r="10" spans="1:12" ht="72" customHeight="1" x14ac:dyDescent="0.3">
      <c r="A10" s="154" t="s">
        <v>8493</v>
      </c>
      <c r="B10" s="154" t="s">
        <v>68</v>
      </c>
      <c r="C10" s="154">
        <v>2025</v>
      </c>
      <c r="D10" s="173" t="s">
        <v>8482</v>
      </c>
      <c r="E10" s="157">
        <v>32544123</v>
      </c>
      <c r="F10" s="157">
        <v>1000</v>
      </c>
      <c r="G10" s="155">
        <f t="shared" si="0"/>
        <v>32544.123</v>
      </c>
      <c r="H10" s="173" t="s">
        <v>8491</v>
      </c>
      <c r="I10" s="173">
        <v>244</v>
      </c>
      <c r="J10" s="173" t="s">
        <v>8484</v>
      </c>
      <c r="K10" s="173" t="s">
        <v>8494</v>
      </c>
      <c r="L10" s="173" t="s">
        <v>3385</v>
      </c>
    </row>
    <row r="11" spans="1:12" ht="72" customHeight="1" x14ac:dyDescent="0.3">
      <c r="A11" s="151" t="s">
        <v>8495</v>
      </c>
      <c r="B11" s="151" t="s">
        <v>106</v>
      </c>
      <c r="C11" s="151">
        <v>2021</v>
      </c>
      <c r="D11" s="174" t="s">
        <v>8496</v>
      </c>
      <c r="E11" s="66">
        <v>543688</v>
      </c>
      <c r="F11" s="66">
        <v>1000</v>
      </c>
      <c r="G11" s="156">
        <f t="shared" si="0"/>
        <v>543.68799999999999</v>
      </c>
      <c r="H11" s="174" t="s">
        <v>8497</v>
      </c>
      <c r="I11" s="174">
        <v>239</v>
      </c>
      <c r="J11" s="174" t="s">
        <v>8484</v>
      </c>
      <c r="K11" s="174" t="s">
        <v>8498</v>
      </c>
      <c r="L11" s="174" t="s">
        <v>3393</v>
      </c>
    </row>
    <row r="12" spans="1:12" ht="72" customHeight="1" x14ac:dyDescent="0.3">
      <c r="A12" s="154" t="s">
        <v>8499</v>
      </c>
      <c r="B12" s="154" t="s">
        <v>106</v>
      </c>
      <c r="C12" s="154">
        <v>2022</v>
      </c>
      <c r="D12" s="173" t="s">
        <v>8496</v>
      </c>
      <c r="E12" s="157">
        <v>699664</v>
      </c>
      <c r="F12" s="157">
        <v>1000</v>
      </c>
      <c r="G12" s="155">
        <f t="shared" si="0"/>
        <v>699.66399999999999</v>
      </c>
      <c r="H12" s="173" t="s">
        <v>8497</v>
      </c>
      <c r="I12" s="173">
        <v>239</v>
      </c>
      <c r="J12" s="173" t="s">
        <v>8484</v>
      </c>
      <c r="K12" s="173" t="s">
        <v>8498</v>
      </c>
      <c r="L12" s="173" t="s">
        <v>3393</v>
      </c>
    </row>
    <row r="13" spans="1:12" ht="72" customHeight="1" x14ac:dyDescent="0.3">
      <c r="A13" s="151" t="s">
        <v>8500</v>
      </c>
      <c r="B13" s="151" t="s">
        <v>106</v>
      </c>
      <c r="C13" s="151">
        <v>2023</v>
      </c>
      <c r="D13" s="174" t="s">
        <v>8501</v>
      </c>
      <c r="E13" s="66">
        <v>45651503</v>
      </c>
      <c r="F13" s="66">
        <v>1000</v>
      </c>
      <c r="G13" s="156">
        <f t="shared" si="0"/>
        <v>45651.502999999997</v>
      </c>
      <c r="H13" s="174" t="s">
        <v>8502</v>
      </c>
      <c r="I13" s="174">
        <v>99</v>
      </c>
      <c r="J13" s="174" t="s">
        <v>8484</v>
      </c>
      <c r="K13" s="174" t="s">
        <v>8503</v>
      </c>
      <c r="L13" s="174" t="s">
        <v>3391</v>
      </c>
    </row>
    <row r="14" spans="1:12" ht="72" customHeight="1" x14ac:dyDescent="0.3">
      <c r="A14" s="154" t="s">
        <v>8504</v>
      </c>
      <c r="B14" s="154" t="s">
        <v>106</v>
      </c>
      <c r="C14" s="154">
        <v>2023</v>
      </c>
      <c r="D14" s="173" t="s">
        <v>8505</v>
      </c>
      <c r="E14" s="157">
        <v>2001499</v>
      </c>
      <c r="F14" s="157">
        <v>1000</v>
      </c>
      <c r="G14" s="155">
        <f t="shared" si="0"/>
        <v>2001.499</v>
      </c>
      <c r="H14" s="173" t="s">
        <v>8502</v>
      </c>
      <c r="I14" s="173">
        <v>99</v>
      </c>
      <c r="J14" s="173" t="s">
        <v>8484</v>
      </c>
      <c r="K14" s="173" t="s">
        <v>8506</v>
      </c>
      <c r="L14" s="173" t="s">
        <v>3391</v>
      </c>
    </row>
    <row r="15" spans="1:12" ht="72" customHeight="1" x14ac:dyDescent="0.3">
      <c r="A15" s="151" t="s">
        <v>8507</v>
      </c>
      <c r="B15" s="151" t="s">
        <v>106</v>
      </c>
      <c r="C15" s="151">
        <v>2023</v>
      </c>
      <c r="D15" s="174" t="s">
        <v>8508</v>
      </c>
      <c r="E15" s="66">
        <v>1749597</v>
      </c>
      <c r="F15" s="66">
        <v>1000</v>
      </c>
      <c r="G15" s="156">
        <f t="shared" si="0"/>
        <v>1749.597</v>
      </c>
      <c r="H15" s="174" t="s">
        <v>8502</v>
      </c>
      <c r="I15" s="174">
        <v>127</v>
      </c>
      <c r="J15" s="174" t="s">
        <v>8484</v>
      </c>
      <c r="K15" s="174" t="s">
        <v>8509</v>
      </c>
      <c r="L15" s="174" t="s">
        <v>3391</v>
      </c>
    </row>
    <row r="16" spans="1:12" ht="72" customHeight="1" x14ac:dyDescent="0.3">
      <c r="A16" s="154" t="s">
        <v>8510</v>
      </c>
      <c r="B16" s="154" t="s">
        <v>106</v>
      </c>
      <c r="C16" s="154">
        <v>2024</v>
      </c>
      <c r="D16" s="173" t="s">
        <v>8511</v>
      </c>
      <c r="E16" s="157">
        <v>4015224</v>
      </c>
      <c r="F16" s="157">
        <v>1000</v>
      </c>
      <c r="G16" s="155">
        <f t="shared" si="0"/>
        <v>4015.2240000000002</v>
      </c>
      <c r="H16" s="173" t="s">
        <v>8512</v>
      </c>
      <c r="I16" s="173">
        <v>179</v>
      </c>
      <c r="J16" s="173" t="s">
        <v>8484</v>
      </c>
      <c r="K16" s="173" t="s">
        <v>8513</v>
      </c>
      <c r="L16" s="173" t="s">
        <v>3394</v>
      </c>
    </row>
    <row r="17" spans="1:12" ht="72" customHeight="1" x14ac:dyDescent="0.3">
      <c r="A17" s="151" t="s">
        <v>8514</v>
      </c>
      <c r="B17" s="151" t="s">
        <v>114</v>
      </c>
      <c r="C17" s="151">
        <v>2021</v>
      </c>
      <c r="D17" s="174" t="s">
        <v>8515</v>
      </c>
      <c r="E17" s="66">
        <v>1379815</v>
      </c>
      <c r="F17" s="66">
        <v>1000</v>
      </c>
      <c r="G17" s="156">
        <f t="shared" si="0"/>
        <v>1379.8150000000001</v>
      </c>
      <c r="H17" s="174" t="s">
        <v>8516</v>
      </c>
      <c r="I17" s="174">
        <v>230</v>
      </c>
      <c r="J17" s="174" t="s">
        <v>8484</v>
      </c>
      <c r="K17" s="174" t="s">
        <v>8517</v>
      </c>
      <c r="L17" s="174" t="s">
        <v>3395</v>
      </c>
    </row>
    <row r="18" spans="1:12" ht="72" customHeight="1" x14ac:dyDescent="0.3">
      <c r="A18" s="154" t="s">
        <v>8518</v>
      </c>
      <c r="B18" s="154" t="s">
        <v>114</v>
      </c>
      <c r="C18" s="154">
        <v>2022</v>
      </c>
      <c r="D18" s="173" t="s">
        <v>8515</v>
      </c>
      <c r="E18" s="157">
        <v>2353539</v>
      </c>
      <c r="F18" s="157">
        <v>1000</v>
      </c>
      <c r="G18" s="155">
        <f t="shared" si="0"/>
        <v>2353.5390000000002</v>
      </c>
      <c r="H18" s="173" t="s">
        <v>8519</v>
      </c>
      <c r="I18" s="173">
        <v>251</v>
      </c>
      <c r="J18" s="173" t="s">
        <v>8484</v>
      </c>
      <c r="K18" s="173" t="s">
        <v>8520</v>
      </c>
      <c r="L18" s="173" t="s">
        <v>3395</v>
      </c>
    </row>
    <row r="19" spans="1:12" ht="72" customHeight="1" x14ac:dyDescent="0.3">
      <c r="A19" s="151" t="s">
        <v>8521</v>
      </c>
      <c r="B19" s="151" t="s">
        <v>114</v>
      </c>
      <c r="C19" s="151">
        <v>2023</v>
      </c>
      <c r="D19" s="174" t="s">
        <v>8515</v>
      </c>
      <c r="E19" s="66">
        <v>2353539</v>
      </c>
      <c r="F19" s="66">
        <v>1000</v>
      </c>
      <c r="G19" s="156">
        <f t="shared" si="0"/>
        <v>2353.5390000000002</v>
      </c>
      <c r="H19" s="174" t="s">
        <v>8519</v>
      </c>
      <c r="I19" s="174">
        <v>251</v>
      </c>
      <c r="J19" s="174" t="s">
        <v>8484</v>
      </c>
      <c r="K19" s="174" t="s">
        <v>8520</v>
      </c>
      <c r="L19" s="174" t="s">
        <v>3395</v>
      </c>
    </row>
    <row r="20" spans="1:12" ht="72" customHeight="1" x14ac:dyDescent="0.3">
      <c r="A20" s="154" t="s">
        <v>8522</v>
      </c>
      <c r="B20" s="154" t="s">
        <v>114</v>
      </c>
      <c r="C20" s="154">
        <v>2024</v>
      </c>
      <c r="D20" s="173" t="s">
        <v>8515</v>
      </c>
      <c r="E20" s="157">
        <v>2452847</v>
      </c>
      <c r="F20" s="157">
        <v>1000</v>
      </c>
      <c r="G20" s="155">
        <f t="shared" si="0"/>
        <v>2452.8470000000002</v>
      </c>
      <c r="H20" s="173" t="s">
        <v>8523</v>
      </c>
      <c r="I20" s="173">
        <v>285</v>
      </c>
      <c r="J20" s="173" t="s">
        <v>8484</v>
      </c>
      <c r="K20" s="173" t="s">
        <v>8524</v>
      </c>
      <c r="L20" s="173" t="s">
        <v>3398</v>
      </c>
    </row>
    <row r="21" spans="1:12" ht="72" customHeight="1" x14ac:dyDescent="0.3">
      <c r="A21" s="151" t="s">
        <v>8525</v>
      </c>
      <c r="B21" s="151" t="s">
        <v>114</v>
      </c>
      <c r="C21" s="151">
        <v>2025</v>
      </c>
      <c r="D21" s="174" t="s">
        <v>8515</v>
      </c>
      <c r="E21" s="66">
        <v>2452847</v>
      </c>
      <c r="F21" s="66">
        <v>1000</v>
      </c>
      <c r="G21" s="156">
        <f t="shared" si="0"/>
        <v>2452.8470000000002</v>
      </c>
      <c r="H21" s="174" t="s">
        <v>8523</v>
      </c>
      <c r="I21" s="174">
        <v>285</v>
      </c>
      <c r="J21" s="174" t="s">
        <v>8484</v>
      </c>
      <c r="K21" s="174" t="s">
        <v>8524</v>
      </c>
      <c r="L21" s="174" t="s">
        <v>3398</v>
      </c>
    </row>
    <row r="22" spans="1:12" ht="72" customHeight="1" x14ac:dyDescent="0.3">
      <c r="A22" s="154" t="s">
        <v>8526</v>
      </c>
      <c r="B22" s="154" t="s">
        <v>68</v>
      </c>
      <c r="C22" s="154">
        <v>2020</v>
      </c>
      <c r="D22" s="173" t="s">
        <v>8527</v>
      </c>
      <c r="E22" s="157">
        <v>5167561</v>
      </c>
      <c r="F22" s="157">
        <v>1000</v>
      </c>
      <c r="G22" s="155">
        <f t="shared" si="0"/>
        <v>5167.5609999999997</v>
      </c>
      <c r="H22" s="173" t="s">
        <v>8528</v>
      </c>
      <c r="I22" s="173">
        <v>216</v>
      </c>
      <c r="J22" s="173" t="s">
        <v>8484</v>
      </c>
      <c r="K22" s="173" t="s">
        <v>8529</v>
      </c>
      <c r="L22" s="173" t="s">
        <v>3383</v>
      </c>
    </row>
    <row r="23" spans="1:12" ht="72" customHeight="1" x14ac:dyDescent="0.3">
      <c r="A23" s="151" t="s">
        <v>8530</v>
      </c>
      <c r="B23" s="151" t="s">
        <v>68</v>
      </c>
      <c r="C23" s="151">
        <v>2020</v>
      </c>
      <c r="D23" s="174" t="s">
        <v>8531</v>
      </c>
      <c r="E23" s="66">
        <v>5167161</v>
      </c>
      <c r="F23" s="66">
        <v>1000</v>
      </c>
      <c r="G23" s="156">
        <f t="shared" si="0"/>
        <v>5167.1610000000001</v>
      </c>
      <c r="H23" s="174" t="s">
        <v>8528</v>
      </c>
      <c r="I23" s="174">
        <v>191</v>
      </c>
      <c r="J23" s="174" t="s">
        <v>8484</v>
      </c>
      <c r="K23" s="174" t="s">
        <v>8532</v>
      </c>
      <c r="L23" s="174" t="s">
        <v>3383</v>
      </c>
    </row>
    <row r="24" spans="1:12" ht="72" customHeight="1" x14ac:dyDescent="0.3">
      <c r="A24" s="154" t="s">
        <v>8533</v>
      </c>
      <c r="B24" s="154" t="s">
        <v>106</v>
      </c>
      <c r="C24" s="154">
        <v>2021</v>
      </c>
      <c r="D24" s="173" t="s">
        <v>8534</v>
      </c>
      <c r="E24" s="157">
        <v>27591731</v>
      </c>
      <c r="F24" s="157">
        <v>1000</v>
      </c>
      <c r="G24" s="155">
        <f t="shared" si="0"/>
        <v>27591.731</v>
      </c>
      <c r="H24" s="173" t="s">
        <v>8512</v>
      </c>
      <c r="I24" s="173">
        <v>169</v>
      </c>
      <c r="J24" s="173" t="s">
        <v>8535</v>
      </c>
      <c r="K24" s="173" t="s">
        <v>8536</v>
      </c>
      <c r="L24" s="173" t="s">
        <v>3394</v>
      </c>
    </row>
    <row r="25" spans="1:12" ht="72" customHeight="1" x14ac:dyDescent="0.3">
      <c r="A25" s="151" t="s">
        <v>8537</v>
      </c>
      <c r="B25" s="151" t="s">
        <v>106</v>
      </c>
      <c r="C25" s="151">
        <v>2021</v>
      </c>
      <c r="D25" s="174" t="s">
        <v>8538</v>
      </c>
      <c r="E25" s="66">
        <v>1557540</v>
      </c>
      <c r="F25" s="66">
        <v>1000</v>
      </c>
      <c r="G25" s="156">
        <f t="shared" si="0"/>
        <v>1557.54</v>
      </c>
      <c r="H25" s="174" t="s">
        <v>8512</v>
      </c>
      <c r="I25" s="174">
        <v>169</v>
      </c>
      <c r="J25" s="174" t="s">
        <v>8535</v>
      </c>
      <c r="K25" s="174" t="s">
        <v>8539</v>
      </c>
      <c r="L25" s="174" t="s">
        <v>3394</v>
      </c>
    </row>
    <row r="26" spans="1:12" ht="72" customHeight="1" x14ac:dyDescent="0.3">
      <c r="A26" s="154" t="s">
        <v>8540</v>
      </c>
      <c r="B26" s="154" t="s">
        <v>106</v>
      </c>
      <c r="C26" s="154">
        <v>2022</v>
      </c>
      <c r="D26" s="173" t="s">
        <v>8534</v>
      </c>
      <c r="E26" s="157">
        <v>35544492</v>
      </c>
      <c r="F26" s="157">
        <v>1000</v>
      </c>
      <c r="G26" s="155">
        <f t="shared" si="0"/>
        <v>35544.491999999998</v>
      </c>
      <c r="H26" s="173" t="s">
        <v>8512</v>
      </c>
      <c r="I26" s="173">
        <v>169</v>
      </c>
      <c r="J26" s="173" t="s">
        <v>8535</v>
      </c>
      <c r="K26" s="173" t="s">
        <v>8536</v>
      </c>
      <c r="L26" s="173" t="s">
        <v>3394</v>
      </c>
    </row>
    <row r="27" spans="1:12" ht="72" customHeight="1" x14ac:dyDescent="0.3">
      <c r="A27" s="151" t="s">
        <v>8541</v>
      </c>
      <c r="B27" s="151" t="s">
        <v>106</v>
      </c>
      <c r="C27" s="151">
        <v>2022</v>
      </c>
      <c r="D27" s="174" t="s">
        <v>8538</v>
      </c>
      <c r="E27" s="66">
        <v>2183540</v>
      </c>
      <c r="F27" s="66">
        <v>1000</v>
      </c>
      <c r="G27" s="156">
        <f t="shared" si="0"/>
        <v>2183.54</v>
      </c>
      <c r="H27" s="174" t="s">
        <v>8512</v>
      </c>
      <c r="I27" s="174">
        <v>169</v>
      </c>
      <c r="J27" s="174" t="s">
        <v>8535</v>
      </c>
      <c r="K27" s="174" t="s">
        <v>8539</v>
      </c>
      <c r="L27" s="174" t="s">
        <v>3394</v>
      </c>
    </row>
    <row r="28" spans="1:12" ht="72" customHeight="1" x14ac:dyDescent="0.3">
      <c r="A28" s="154" t="s">
        <v>8542</v>
      </c>
      <c r="B28" s="154" t="s">
        <v>18</v>
      </c>
      <c r="C28" s="154">
        <v>2024</v>
      </c>
      <c r="D28" s="173" t="s">
        <v>8543</v>
      </c>
      <c r="E28" s="157">
        <v>982114704</v>
      </c>
      <c r="F28" s="157">
        <v>1000000</v>
      </c>
      <c r="G28" s="155">
        <f t="shared" si="0"/>
        <v>982.11470399999996</v>
      </c>
      <c r="H28" s="173" t="s">
        <v>8544</v>
      </c>
      <c r="I28" s="173">
        <v>109</v>
      </c>
      <c r="J28" s="173" t="s">
        <v>8484</v>
      </c>
      <c r="K28" s="173" t="s">
        <v>8545</v>
      </c>
      <c r="L28" s="173" t="s">
        <v>3382</v>
      </c>
    </row>
    <row r="29" spans="1:12" ht="72" customHeight="1" x14ac:dyDescent="0.3">
      <c r="A29" s="151" t="s">
        <v>8546</v>
      </c>
      <c r="B29" s="151" t="s">
        <v>18</v>
      </c>
      <c r="C29" s="151">
        <v>2024</v>
      </c>
      <c r="D29" s="174" t="s">
        <v>8547</v>
      </c>
      <c r="E29" s="66">
        <v>982183197</v>
      </c>
      <c r="F29" s="66">
        <v>1000000</v>
      </c>
      <c r="G29" s="156">
        <f t="shared" si="0"/>
        <v>982.18319699999995</v>
      </c>
      <c r="H29" s="174" t="s">
        <v>8544</v>
      </c>
      <c r="I29" s="174">
        <v>109</v>
      </c>
      <c r="J29" s="174" t="s">
        <v>8484</v>
      </c>
      <c r="K29" s="174" t="s">
        <v>8548</v>
      </c>
      <c r="L29" s="174" t="s">
        <v>3382</v>
      </c>
    </row>
    <row r="30" spans="1:12" ht="72" customHeight="1" x14ac:dyDescent="0.3">
      <c r="A30" s="154" t="s">
        <v>8549</v>
      </c>
      <c r="B30" s="154" t="s">
        <v>18</v>
      </c>
      <c r="C30" s="154">
        <v>2024</v>
      </c>
      <c r="D30" s="173" t="s">
        <v>8550</v>
      </c>
      <c r="E30" s="157">
        <v>196436639</v>
      </c>
      <c r="F30" s="157">
        <v>1000000</v>
      </c>
      <c r="G30" s="155">
        <f t="shared" si="0"/>
        <v>196.43663900000001</v>
      </c>
      <c r="H30" s="173" t="s">
        <v>8544</v>
      </c>
      <c r="I30" s="173">
        <v>109</v>
      </c>
      <c r="J30" s="173" t="s">
        <v>8484</v>
      </c>
      <c r="K30" s="173" t="s">
        <v>8551</v>
      </c>
      <c r="L30" s="173" t="s">
        <v>3382</v>
      </c>
    </row>
    <row r="31" spans="1:12" ht="72" customHeight="1" x14ac:dyDescent="0.3">
      <c r="A31" s="151" t="s">
        <v>8552</v>
      </c>
      <c r="B31" s="151" t="s">
        <v>114</v>
      </c>
      <c r="C31" s="151">
        <v>2021</v>
      </c>
      <c r="D31" s="174" t="s">
        <v>8553</v>
      </c>
      <c r="E31" s="66">
        <v>79344</v>
      </c>
      <c r="F31" s="66">
        <v>1000</v>
      </c>
      <c r="G31" s="156">
        <f t="shared" si="0"/>
        <v>79.343999999999994</v>
      </c>
      <c r="H31" s="174" t="s">
        <v>8516</v>
      </c>
      <c r="I31" s="174">
        <v>229</v>
      </c>
      <c r="J31" s="174" t="s">
        <v>8484</v>
      </c>
      <c r="K31" s="174" t="s">
        <v>8554</v>
      </c>
      <c r="L31" s="174" t="s">
        <v>3395</v>
      </c>
    </row>
    <row r="32" spans="1:12" ht="72" customHeight="1" x14ac:dyDescent="0.3">
      <c r="A32" s="154" t="s">
        <v>8555</v>
      </c>
      <c r="B32" s="154" t="s">
        <v>114</v>
      </c>
      <c r="C32" s="154">
        <v>2022</v>
      </c>
      <c r="D32" s="173" t="s">
        <v>8553</v>
      </c>
      <c r="E32" s="157">
        <v>966473</v>
      </c>
      <c r="F32" s="157">
        <v>1000</v>
      </c>
      <c r="G32" s="155">
        <f t="shared" si="0"/>
        <v>966.47299999999996</v>
      </c>
      <c r="H32" s="173" t="s">
        <v>8516</v>
      </c>
      <c r="I32" s="173">
        <v>229</v>
      </c>
      <c r="J32" s="173" t="s">
        <v>8484</v>
      </c>
      <c r="K32" s="173" t="s">
        <v>8554</v>
      </c>
      <c r="L32" s="173" t="s">
        <v>3395</v>
      </c>
    </row>
    <row r="33" spans="1:12" ht="72" customHeight="1" x14ac:dyDescent="0.3">
      <c r="A33" s="151" t="s">
        <v>8556</v>
      </c>
      <c r="B33" s="151" t="s">
        <v>114</v>
      </c>
      <c r="C33" s="151">
        <v>2023</v>
      </c>
      <c r="D33" s="174" t="s">
        <v>8553</v>
      </c>
      <c r="E33" s="66">
        <v>2591899</v>
      </c>
      <c r="F33" s="66">
        <v>1000</v>
      </c>
      <c r="G33" s="156">
        <f t="shared" si="0"/>
        <v>2591.8989999999999</v>
      </c>
      <c r="H33" s="174" t="s">
        <v>8557</v>
      </c>
      <c r="I33" s="174">
        <v>228</v>
      </c>
      <c r="J33" s="174" t="s">
        <v>8484</v>
      </c>
      <c r="K33" s="174" t="s">
        <v>8558</v>
      </c>
      <c r="L33" s="174" t="s">
        <v>3395</v>
      </c>
    </row>
    <row r="34" spans="1:12" ht="72" customHeight="1" x14ac:dyDescent="0.3">
      <c r="A34" s="154" t="s">
        <v>8559</v>
      </c>
      <c r="B34" s="154" t="s">
        <v>114</v>
      </c>
      <c r="C34" s="154">
        <v>2024</v>
      </c>
      <c r="D34" s="173" t="s">
        <v>8553</v>
      </c>
      <c r="E34" s="157">
        <v>5468892</v>
      </c>
      <c r="F34" s="157">
        <v>1000</v>
      </c>
      <c r="G34" s="155">
        <f t="shared" si="0"/>
        <v>5468.8919999999998</v>
      </c>
      <c r="H34" s="173" t="s">
        <v>8523</v>
      </c>
      <c r="I34" s="173">
        <v>283</v>
      </c>
      <c r="J34" s="173" t="s">
        <v>8484</v>
      </c>
      <c r="K34" s="173" t="s">
        <v>8560</v>
      </c>
      <c r="L34" s="173" t="s">
        <v>3398</v>
      </c>
    </row>
    <row r="35" spans="1:12" ht="72" customHeight="1" x14ac:dyDescent="0.3">
      <c r="A35" s="151" t="s">
        <v>8561</v>
      </c>
      <c r="B35" s="151" t="s">
        <v>114</v>
      </c>
      <c r="C35" s="151">
        <v>2025</v>
      </c>
      <c r="D35" s="174" t="s">
        <v>8553</v>
      </c>
      <c r="E35" s="66">
        <v>5646343</v>
      </c>
      <c r="F35" s="66">
        <v>1000</v>
      </c>
      <c r="G35" s="156">
        <f t="shared" si="0"/>
        <v>5646.3429999999998</v>
      </c>
      <c r="H35" s="174" t="s">
        <v>8523</v>
      </c>
      <c r="I35" s="174">
        <v>283</v>
      </c>
      <c r="J35" s="174" t="s">
        <v>8484</v>
      </c>
      <c r="K35" s="174" t="s">
        <v>8560</v>
      </c>
      <c r="L35" s="174" t="s">
        <v>3398</v>
      </c>
    </row>
    <row r="36" spans="1:12" ht="72" customHeight="1" x14ac:dyDescent="0.3">
      <c r="A36" s="154" t="s">
        <v>8562</v>
      </c>
      <c r="B36" s="154" t="s">
        <v>86</v>
      </c>
      <c r="C36" s="154">
        <v>2020</v>
      </c>
      <c r="D36" s="173" t="s">
        <v>8563</v>
      </c>
      <c r="E36" s="157">
        <v>4078887</v>
      </c>
      <c r="F36" s="157">
        <v>1000</v>
      </c>
      <c r="G36" s="155">
        <f t="shared" si="0"/>
        <v>4078.8870000000002</v>
      </c>
      <c r="H36" s="173" t="s">
        <v>8564</v>
      </c>
      <c r="I36" s="173">
        <v>135</v>
      </c>
      <c r="J36" s="173" t="s">
        <v>8484</v>
      </c>
      <c r="K36" s="173" t="s">
        <v>8565</v>
      </c>
      <c r="L36" s="173" t="s">
        <v>3386</v>
      </c>
    </row>
    <row r="37" spans="1:12" ht="72" customHeight="1" x14ac:dyDescent="0.3">
      <c r="A37" s="151" t="s">
        <v>8566</v>
      </c>
      <c r="B37" s="151" t="s">
        <v>86</v>
      </c>
      <c r="C37" s="151">
        <v>2020</v>
      </c>
      <c r="D37" s="174" t="s">
        <v>8567</v>
      </c>
      <c r="E37" s="66">
        <v>1546864</v>
      </c>
      <c r="F37" s="66">
        <v>1000</v>
      </c>
      <c r="G37" s="156">
        <f t="shared" si="0"/>
        <v>1546.864</v>
      </c>
      <c r="H37" s="174" t="s">
        <v>8564</v>
      </c>
      <c r="I37" s="174">
        <v>135</v>
      </c>
      <c r="J37" s="174" t="s">
        <v>8484</v>
      </c>
      <c r="K37" s="174" t="s">
        <v>8568</v>
      </c>
      <c r="L37" s="174" t="s">
        <v>3386</v>
      </c>
    </row>
    <row r="38" spans="1:12" ht="72" customHeight="1" x14ac:dyDescent="0.3">
      <c r="A38" s="154" t="s">
        <v>8569</v>
      </c>
      <c r="B38" s="154" t="s">
        <v>86</v>
      </c>
      <c r="C38" s="154">
        <v>2020</v>
      </c>
      <c r="D38" s="173" t="s">
        <v>8570</v>
      </c>
      <c r="E38" s="157">
        <v>110942</v>
      </c>
      <c r="F38" s="157">
        <v>1000</v>
      </c>
      <c r="G38" s="155">
        <f t="shared" ref="G38:G69" si="1">E38/F38</f>
        <v>110.94199999999999</v>
      </c>
      <c r="H38" s="173" t="s">
        <v>8564</v>
      </c>
      <c r="I38" s="173">
        <v>135</v>
      </c>
      <c r="J38" s="173" t="s">
        <v>8484</v>
      </c>
      <c r="K38" s="173" t="s">
        <v>8571</v>
      </c>
      <c r="L38" s="173" t="s">
        <v>3386</v>
      </c>
    </row>
    <row r="39" spans="1:12" ht="72" customHeight="1" x14ac:dyDescent="0.3">
      <c r="A39" s="151" t="s">
        <v>8572</v>
      </c>
      <c r="B39" s="151" t="s">
        <v>86</v>
      </c>
      <c r="C39" s="151">
        <v>2020</v>
      </c>
      <c r="D39" s="174" t="s">
        <v>8573</v>
      </c>
      <c r="E39" s="66">
        <v>97640</v>
      </c>
      <c r="F39" s="66">
        <v>1000</v>
      </c>
      <c r="G39" s="156">
        <f t="shared" si="1"/>
        <v>97.64</v>
      </c>
      <c r="H39" s="174" t="s">
        <v>8564</v>
      </c>
      <c r="I39" s="174">
        <v>135</v>
      </c>
      <c r="J39" s="174" t="s">
        <v>8484</v>
      </c>
      <c r="K39" s="174" t="s">
        <v>8574</v>
      </c>
      <c r="L39" s="174" t="s">
        <v>3386</v>
      </c>
    </row>
    <row r="40" spans="1:12" ht="72" customHeight="1" x14ac:dyDescent="0.3">
      <c r="A40" s="154" t="s">
        <v>8575</v>
      </c>
      <c r="B40" s="154" t="s">
        <v>86</v>
      </c>
      <c r="C40" s="154">
        <v>2020</v>
      </c>
      <c r="D40" s="173" t="s">
        <v>8576</v>
      </c>
      <c r="E40" s="157">
        <v>7346221</v>
      </c>
      <c r="F40" s="157">
        <v>1000</v>
      </c>
      <c r="G40" s="155">
        <f t="shared" si="1"/>
        <v>7346.2209999999995</v>
      </c>
      <c r="H40" s="173" t="s">
        <v>8564</v>
      </c>
      <c r="I40" s="173">
        <v>168</v>
      </c>
      <c r="J40" s="173" t="s">
        <v>8484</v>
      </c>
      <c r="K40" s="173" t="s">
        <v>8577</v>
      </c>
      <c r="L40" s="173" t="s">
        <v>3386</v>
      </c>
    </row>
    <row r="41" spans="1:12" ht="72" customHeight="1" x14ac:dyDescent="0.3">
      <c r="A41" s="151" t="s">
        <v>8578</v>
      </c>
      <c r="B41" s="151" t="s">
        <v>86</v>
      </c>
      <c r="C41" s="151">
        <v>2021</v>
      </c>
      <c r="D41" s="174" t="s">
        <v>8563</v>
      </c>
      <c r="E41" s="66">
        <v>4451035</v>
      </c>
      <c r="F41" s="66">
        <v>1000</v>
      </c>
      <c r="G41" s="156">
        <f t="shared" si="1"/>
        <v>4451.0349999999999</v>
      </c>
      <c r="H41" s="174" t="s">
        <v>8579</v>
      </c>
      <c r="I41" s="174">
        <v>155</v>
      </c>
      <c r="J41" s="174" t="s">
        <v>8484</v>
      </c>
      <c r="K41" s="174" t="s">
        <v>8580</v>
      </c>
      <c r="L41" s="174" t="s">
        <v>3387</v>
      </c>
    </row>
    <row r="42" spans="1:12" ht="72" customHeight="1" x14ac:dyDescent="0.3">
      <c r="A42" s="154" t="s">
        <v>8581</v>
      </c>
      <c r="B42" s="154" t="s">
        <v>86</v>
      </c>
      <c r="C42" s="154">
        <v>2021</v>
      </c>
      <c r="D42" s="173" t="s">
        <v>8567</v>
      </c>
      <c r="E42" s="157">
        <v>1469797</v>
      </c>
      <c r="F42" s="157">
        <v>1000</v>
      </c>
      <c r="G42" s="155">
        <f t="shared" si="1"/>
        <v>1469.797</v>
      </c>
      <c r="H42" s="173" t="s">
        <v>8579</v>
      </c>
      <c r="I42" s="173">
        <v>155</v>
      </c>
      <c r="J42" s="173" t="s">
        <v>8484</v>
      </c>
      <c r="K42" s="173" t="s">
        <v>8582</v>
      </c>
      <c r="L42" s="173" t="s">
        <v>3387</v>
      </c>
    </row>
    <row r="43" spans="1:12" ht="72" customHeight="1" x14ac:dyDescent="0.3">
      <c r="A43" s="151" t="s">
        <v>8583</v>
      </c>
      <c r="B43" s="151" t="s">
        <v>86</v>
      </c>
      <c r="C43" s="151">
        <v>2021</v>
      </c>
      <c r="D43" s="174" t="s">
        <v>8570</v>
      </c>
      <c r="E43" s="66">
        <v>84529</v>
      </c>
      <c r="F43" s="66">
        <v>1000</v>
      </c>
      <c r="G43" s="156">
        <f t="shared" si="1"/>
        <v>84.528999999999996</v>
      </c>
      <c r="H43" s="174" t="s">
        <v>8579</v>
      </c>
      <c r="I43" s="174">
        <v>155</v>
      </c>
      <c r="J43" s="174" t="s">
        <v>8484</v>
      </c>
      <c r="K43" s="174" t="s">
        <v>8584</v>
      </c>
      <c r="L43" s="174" t="s">
        <v>3387</v>
      </c>
    </row>
    <row r="44" spans="1:12" ht="72" customHeight="1" x14ac:dyDescent="0.3">
      <c r="A44" s="154" t="s">
        <v>8585</v>
      </c>
      <c r="B44" s="154" t="s">
        <v>86</v>
      </c>
      <c r="C44" s="154">
        <v>2021</v>
      </c>
      <c r="D44" s="173" t="s">
        <v>8573</v>
      </c>
      <c r="E44" s="157">
        <v>69779</v>
      </c>
      <c r="F44" s="157">
        <v>1000</v>
      </c>
      <c r="G44" s="155">
        <f t="shared" si="1"/>
        <v>69.778999999999996</v>
      </c>
      <c r="H44" s="173" t="s">
        <v>8579</v>
      </c>
      <c r="I44" s="173">
        <v>155</v>
      </c>
      <c r="J44" s="173" t="s">
        <v>8484</v>
      </c>
      <c r="K44" s="173" t="s">
        <v>8586</v>
      </c>
      <c r="L44" s="173" t="s">
        <v>3387</v>
      </c>
    </row>
    <row r="45" spans="1:12" ht="72" customHeight="1" x14ac:dyDescent="0.3">
      <c r="A45" s="151" t="s">
        <v>8587</v>
      </c>
      <c r="B45" s="151" t="s">
        <v>86</v>
      </c>
      <c r="C45" s="151">
        <v>2021</v>
      </c>
      <c r="D45" s="174" t="s">
        <v>8576</v>
      </c>
      <c r="E45" s="66">
        <v>10897772</v>
      </c>
      <c r="F45" s="66">
        <v>1000</v>
      </c>
      <c r="G45" s="156">
        <f t="shared" si="1"/>
        <v>10897.772000000001</v>
      </c>
      <c r="H45" s="174" t="s">
        <v>8579</v>
      </c>
      <c r="I45" s="174">
        <v>190</v>
      </c>
      <c r="J45" s="174" t="s">
        <v>8484</v>
      </c>
      <c r="K45" s="174" t="s">
        <v>8588</v>
      </c>
      <c r="L45" s="174" t="s">
        <v>3387</v>
      </c>
    </row>
    <row r="46" spans="1:12" ht="72" customHeight="1" x14ac:dyDescent="0.3">
      <c r="A46" s="154" t="s">
        <v>8589</v>
      </c>
      <c r="B46" s="154" t="s">
        <v>86</v>
      </c>
      <c r="C46" s="154">
        <v>2022</v>
      </c>
      <c r="D46" s="173" t="s">
        <v>8563</v>
      </c>
      <c r="E46" s="157">
        <v>5740256</v>
      </c>
      <c r="F46" s="157">
        <v>1000</v>
      </c>
      <c r="G46" s="155">
        <f t="shared" si="1"/>
        <v>5740.2560000000003</v>
      </c>
      <c r="H46" s="173" t="s">
        <v>8579</v>
      </c>
      <c r="I46" s="173">
        <v>155</v>
      </c>
      <c r="J46" s="173" t="s">
        <v>8484</v>
      </c>
      <c r="K46" s="173" t="s">
        <v>8580</v>
      </c>
      <c r="L46" s="173" t="s">
        <v>3387</v>
      </c>
    </row>
    <row r="47" spans="1:12" ht="72" customHeight="1" x14ac:dyDescent="0.3">
      <c r="A47" s="151" t="s">
        <v>8590</v>
      </c>
      <c r="B47" s="151" t="s">
        <v>86</v>
      </c>
      <c r="C47" s="151">
        <v>2022</v>
      </c>
      <c r="D47" s="174" t="s">
        <v>8567</v>
      </c>
      <c r="E47" s="66">
        <v>1468611</v>
      </c>
      <c r="F47" s="66">
        <v>1000</v>
      </c>
      <c r="G47" s="156">
        <f t="shared" si="1"/>
        <v>1468.6110000000001</v>
      </c>
      <c r="H47" s="174" t="s">
        <v>8579</v>
      </c>
      <c r="I47" s="174">
        <v>155</v>
      </c>
      <c r="J47" s="174" t="s">
        <v>8484</v>
      </c>
      <c r="K47" s="174" t="s">
        <v>8582</v>
      </c>
      <c r="L47" s="174" t="s">
        <v>3387</v>
      </c>
    </row>
    <row r="48" spans="1:12" ht="72" customHeight="1" x14ac:dyDescent="0.3">
      <c r="A48" s="154" t="s">
        <v>8591</v>
      </c>
      <c r="B48" s="154" t="s">
        <v>86</v>
      </c>
      <c r="C48" s="154">
        <v>2022</v>
      </c>
      <c r="D48" s="173" t="s">
        <v>8570</v>
      </c>
      <c r="E48" s="157">
        <v>36429</v>
      </c>
      <c r="F48" s="157">
        <v>1000</v>
      </c>
      <c r="G48" s="155">
        <f t="shared" si="1"/>
        <v>36.429000000000002</v>
      </c>
      <c r="H48" s="173" t="s">
        <v>8579</v>
      </c>
      <c r="I48" s="173">
        <v>155</v>
      </c>
      <c r="J48" s="173" t="s">
        <v>8484</v>
      </c>
      <c r="K48" s="173" t="s">
        <v>8584</v>
      </c>
      <c r="L48" s="173" t="s">
        <v>3387</v>
      </c>
    </row>
    <row r="49" spans="1:12" ht="72" customHeight="1" x14ac:dyDescent="0.3">
      <c r="A49" s="151" t="s">
        <v>8592</v>
      </c>
      <c r="B49" s="151" t="s">
        <v>86</v>
      </c>
      <c r="C49" s="151">
        <v>2022</v>
      </c>
      <c r="D49" s="174" t="s">
        <v>8573</v>
      </c>
      <c r="E49" s="66">
        <v>82840</v>
      </c>
      <c r="F49" s="66">
        <v>1000</v>
      </c>
      <c r="G49" s="156">
        <f t="shared" si="1"/>
        <v>82.84</v>
      </c>
      <c r="H49" s="174" t="s">
        <v>8579</v>
      </c>
      <c r="I49" s="174">
        <v>155</v>
      </c>
      <c r="J49" s="174" t="s">
        <v>8484</v>
      </c>
      <c r="K49" s="174" t="s">
        <v>8586</v>
      </c>
      <c r="L49" s="174" t="s">
        <v>3387</v>
      </c>
    </row>
    <row r="50" spans="1:12" ht="72" customHeight="1" x14ac:dyDescent="0.3">
      <c r="A50" s="154" t="s">
        <v>8593</v>
      </c>
      <c r="B50" s="154" t="s">
        <v>86</v>
      </c>
      <c r="C50" s="154">
        <v>2022</v>
      </c>
      <c r="D50" s="173" t="s">
        <v>8576</v>
      </c>
      <c r="E50" s="157">
        <v>8661494</v>
      </c>
      <c r="F50" s="157">
        <v>1000</v>
      </c>
      <c r="G50" s="155">
        <f t="shared" si="1"/>
        <v>8661.4940000000006</v>
      </c>
      <c r="H50" s="173" t="s">
        <v>8579</v>
      </c>
      <c r="I50" s="173">
        <v>190</v>
      </c>
      <c r="J50" s="173" t="s">
        <v>8484</v>
      </c>
      <c r="K50" s="173" t="s">
        <v>8588</v>
      </c>
      <c r="L50" s="173" t="s">
        <v>3387</v>
      </c>
    </row>
    <row r="51" spans="1:12" ht="72" customHeight="1" x14ac:dyDescent="0.3">
      <c r="A51" s="151" t="s">
        <v>8594</v>
      </c>
      <c r="B51" s="151" t="s">
        <v>86</v>
      </c>
      <c r="C51" s="151">
        <v>2023</v>
      </c>
      <c r="D51" s="174" t="s">
        <v>8563</v>
      </c>
      <c r="E51" s="66">
        <v>4192363</v>
      </c>
      <c r="F51" s="66">
        <v>1000</v>
      </c>
      <c r="G51" s="156">
        <f t="shared" si="1"/>
        <v>4192.3630000000003</v>
      </c>
      <c r="H51" s="174" t="s">
        <v>8595</v>
      </c>
      <c r="I51" s="174">
        <v>182</v>
      </c>
      <c r="J51" s="174" t="s">
        <v>8484</v>
      </c>
      <c r="K51" s="174" t="s">
        <v>8596</v>
      </c>
      <c r="L51" s="174" t="s">
        <v>3389</v>
      </c>
    </row>
    <row r="52" spans="1:12" ht="72" customHeight="1" x14ac:dyDescent="0.3">
      <c r="A52" s="154" t="s">
        <v>8597</v>
      </c>
      <c r="B52" s="154" t="s">
        <v>86</v>
      </c>
      <c r="C52" s="154">
        <v>2023</v>
      </c>
      <c r="D52" s="173" t="s">
        <v>8567</v>
      </c>
      <c r="E52" s="157">
        <v>2393152</v>
      </c>
      <c r="F52" s="157">
        <v>1000</v>
      </c>
      <c r="G52" s="155">
        <f t="shared" si="1"/>
        <v>2393.152</v>
      </c>
      <c r="H52" s="173" t="s">
        <v>8595</v>
      </c>
      <c r="I52" s="173">
        <v>182</v>
      </c>
      <c r="J52" s="173" t="s">
        <v>8484</v>
      </c>
      <c r="K52" s="173" t="s">
        <v>8598</v>
      </c>
      <c r="L52" s="173" t="s">
        <v>3389</v>
      </c>
    </row>
    <row r="53" spans="1:12" ht="72" customHeight="1" x14ac:dyDescent="0.3">
      <c r="A53" s="151" t="s">
        <v>8599</v>
      </c>
      <c r="B53" s="151" t="s">
        <v>86</v>
      </c>
      <c r="C53" s="151">
        <v>2023</v>
      </c>
      <c r="D53" s="174" t="s">
        <v>8570</v>
      </c>
      <c r="E53" s="66">
        <v>31941</v>
      </c>
      <c r="F53" s="66">
        <v>1000</v>
      </c>
      <c r="G53" s="156">
        <f t="shared" si="1"/>
        <v>31.940999999999999</v>
      </c>
      <c r="H53" s="174" t="s">
        <v>8595</v>
      </c>
      <c r="I53" s="174">
        <v>182</v>
      </c>
      <c r="J53" s="174" t="s">
        <v>8484</v>
      </c>
      <c r="K53" s="174" t="s">
        <v>8600</v>
      </c>
      <c r="L53" s="174" t="s">
        <v>3389</v>
      </c>
    </row>
    <row r="54" spans="1:12" ht="72" customHeight="1" x14ac:dyDescent="0.3">
      <c r="A54" s="154" t="s">
        <v>8601</v>
      </c>
      <c r="B54" s="154" t="s">
        <v>86</v>
      </c>
      <c r="C54" s="154">
        <v>2023</v>
      </c>
      <c r="D54" s="173" t="s">
        <v>8573</v>
      </c>
      <c r="E54" s="157">
        <v>166256</v>
      </c>
      <c r="F54" s="157">
        <v>1000</v>
      </c>
      <c r="G54" s="155">
        <f t="shared" si="1"/>
        <v>166.256</v>
      </c>
      <c r="H54" s="173" t="s">
        <v>8595</v>
      </c>
      <c r="I54" s="173">
        <v>182</v>
      </c>
      <c r="J54" s="173" t="s">
        <v>8484</v>
      </c>
      <c r="K54" s="173" t="s">
        <v>8602</v>
      </c>
      <c r="L54" s="173" t="s">
        <v>3389</v>
      </c>
    </row>
    <row r="55" spans="1:12" ht="72" customHeight="1" x14ac:dyDescent="0.3">
      <c r="A55" s="151" t="s">
        <v>8603</v>
      </c>
      <c r="B55" s="151" t="s">
        <v>86</v>
      </c>
      <c r="C55" s="151">
        <v>2023</v>
      </c>
      <c r="D55" s="174" t="s">
        <v>8576</v>
      </c>
      <c r="E55" s="66">
        <v>9808485</v>
      </c>
      <c r="F55" s="66">
        <v>1000</v>
      </c>
      <c r="G55" s="156">
        <f t="shared" si="1"/>
        <v>9808.4850000000006</v>
      </c>
      <c r="H55" s="174" t="s">
        <v>8595</v>
      </c>
      <c r="I55" s="174">
        <v>219</v>
      </c>
      <c r="J55" s="174" t="s">
        <v>8484</v>
      </c>
      <c r="K55" s="174" t="s">
        <v>8604</v>
      </c>
      <c r="L55" s="174" t="s">
        <v>3389</v>
      </c>
    </row>
    <row r="56" spans="1:12" ht="72" customHeight="1" x14ac:dyDescent="0.3">
      <c r="A56" s="154" t="s">
        <v>8605</v>
      </c>
      <c r="B56" s="154" t="s">
        <v>86</v>
      </c>
      <c r="C56" s="154">
        <v>2024</v>
      </c>
      <c r="D56" s="173" t="s">
        <v>8563</v>
      </c>
      <c r="E56" s="157">
        <v>3659335</v>
      </c>
      <c r="F56" s="157">
        <v>1000</v>
      </c>
      <c r="G56" s="155">
        <f t="shared" si="1"/>
        <v>3659.335</v>
      </c>
      <c r="H56" s="173" t="s">
        <v>8606</v>
      </c>
      <c r="I56" s="173">
        <v>183</v>
      </c>
      <c r="J56" s="173" t="s">
        <v>8484</v>
      </c>
      <c r="K56" s="173" t="s">
        <v>8607</v>
      </c>
      <c r="L56" s="173" t="s">
        <v>3390</v>
      </c>
    </row>
    <row r="57" spans="1:12" ht="72" customHeight="1" x14ac:dyDescent="0.3">
      <c r="A57" s="151" t="s">
        <v>8608</v>
      </c>
      <c r="B57" s="151" t="s">
        <v>86</v>
      </c>
      <c r="C57" s="151">
        <v>2024</v>
      </c>
      <c r="D57" s="174" t="s">
        <v>8567</v>
      </c>
      <c r="E57" s="66">
        <v>1722828</v>
      </c>
      <c r="F57" s="66">
        <v>1000</v>
      </c>
      <c r="G57" s="156">
        <f t="shared" si="1"/>
        <v>1722.828</v>
      </c>
      <c r="H57" s="174" t="s">
        <v>8606</v>
      </c>
      <c r="I57" s="174">
        <v>183</v>
      </c>
      <c r="J57" s="174" t="s">
        <v>8484</v>
      </c>
      <c r="K57" s="174" t="s">
        <v>8609</v>
      </c>
      <c r="L57" s="174" t="s">
        <v>3390</v>
      </c>
    </row>
    <row r="58" spans="1:12" ht="72" customHeight="1" x14ac:dyDescent="0.3">
      <c r="A58" s="154" t="s">
        <v>8610</v>
      </c>
      <c r="B58" s="154" t="s">
        <v>86</v>
      </c>
      <c r="C58" s="154">
        <v>2024</v>
      </c>
      <c r="D58" s="173" t="s">
        <v>8570</v>
      </c>
      <c r="E58" s="157">
        <v>37460</v>
      </c>
      <c r="F58" s="157">
        <v>1000</v>
      </c>
      <c r="G58" s="155">
        <f t="shared" si="1"/>
        <v>37.46</v>
      </c>
      <c r="H58" s="173" t="s">
        <v>8606</v>
      </c>
      <c r="I58" s="173">
        <v>183</v>
      </c>
      <c r="J58" s="173" t="s">
        <v>8484</v>
      </c>
      <c r="K58" s="173" t="s">
        <v>8611</v>
      </c>
      <c r="L58" s="173" t="s">
        <v>3390</v>
      </c>
    </row>
    <row r="59" spans="1:12" ht="72" customHeight="1" x14ac:dyDescent="0.3">
      <c r="A59" s="151" t="s">
        <v>8612</v>
      </c>
      <c r="B59" s="151" t="s">
        <v>86</v>
      </c>
      <c r="C59" s="151">
        <v>2024</v>
      </c>
      <c r="D59" s="174" t="s">
        <v>8573</v>
      </c>
      <c r="E59" s="66">
        <v>220506</v>
      </c>
      <c r="F59" s="66">
        <v>1000</v>
      </c>
      <c r="G59" s="156">
        <f t="shared" si="1"/>
        <v>220.506</v>
      </c>
      <c r="H59" s="174" t="s">
        <v>8606</v>
      </c>
      <c r="I59" s="174">
        <v>183</v>
      </c>
      <c r="J59" s="174" t="s">
        <v>8484</v>
      </c>
      <c r="K59" s="174" t="s">
        <v>8613</v>
      </c>
      <c r="L59" s="174" t="s">
        <v>3390</v>
      </c>
    </row>
    <row r="60" spans="1:12" ht="72" customHeight="1" x14ac:dyDescent="0.3">
      <c r="A60" s="154" t="s">
        <v>8614</v>
      </c>
      <c r="B60" s="154" t="s">
        <v>86</v>
      </c>
      <c r="C60" s="154">
        <v>2024</v>
      </c>
      <c r="D60" s="173" t="s">
        <v>8576</v>
      </c>
      <c r="E60" s="157">
        <v>9077431</v>
      </c>
      <c r="F60" s="157">
        <v>1000</v>
      </c>
      <c r="G60" s="155">
        <f t="shared" si="1"/>
        <v>9077.4310000000005</v>
      </c>
      <c r="H60" s="173" t="s">
        <v>8606</v>
      </c>
      <c r="I60" s="173">
        <v>224</v>
      </c>
      <c r="J60" s="173" t="s">
        <v>8484</v>
      </c>
      <c r="K60" s="173" t="s">
        <v>8615</v>
      </c>
      <c r="L60" s="173" t="s">
        <v>3390</v>
      </c>
    </row>
    <row r="61" spans="1:12" ht="72" customHeight="1" x14ac:dyDescent="0.3">
      <c r="A61" s="151" t="s">
        <v>8616</v>
      </c>
      <c r="B61" s="151" t="s">
        <v>86</v>
      </c>
      <c r="C61" s="151">
        <v>2025</v>
      </c>
      <c r="D61" s="174" t="s">
        <v>8563</v>
      </c>
      <c r="E61" s="66">
        <v>3377704</v>
      </c>
      <c r="F61" s="66">
        <v>1000</v>
      </c>
      <c r="G61" s="156">
        <f t="shared" si="1"/>
        <v>3377.7040000000002</v>
      </c>
      <c r="H61" s="174" t="s">
        <v>8606</v>
      </c>
      <c r="I61" s="174">
        <v>183</v>
      </c>
      <c r="J61" s="174" t="s">
        <v>8484</v>
      </c>
      <c r="K61" s="174" t="s">
        <v>8607</v>
      </c>
      <c r="L61" s="174" t="s">
        <v>3390</v>
      </c>
    </row>
    <row r="62" spans="1:12" ht="72" customHeight="1" x14ac:dyDescent="0.3">
      <c r="A62" s="154" t="s">
        <v>8617</v>
      </c>
      <c r="B62" s="154" t="s">
        <v>86</v>
      </c>
      <c r="C62" s="154">
        <v>2025</v>
      </c>
      <c r="D62" s="173" t="s">
        <v>8567</v>
      </c>
      <c r="E62" s="157">
        <v>3186488</v>
      </c>
      <c r="F62" s="157">
        <v>1000</v>
      </c>
      <c r="G62" s="155">
        <f t="shared" si="1"/>
        <v>3186.4879999999998</v>
      </c>
      <c r="H62" s="173" t="s">
        <v>8606</v>
      </c>
      <c r="I62" s="173">
        <v>183</v>
      </c>
      <c r="J62" s="173" t="s">
        <v>8484</v>
      </c>
      <c r="K62" s="173" t="s">
        <v>8609</v>
      </c>
      <c r="L62" s="173" t="s">
        <v>3390</v>
      </c>
    </row>
    <row r="63" spans="1:12" ht="72" customHeight="1" x14ac:dyDescent="0.3">
      <c r="A63" s="151" t="s">
        <v>8618</v>
      </c>
      <c r="B63" s="151" t="s">
        <v>86</v>
      </c>
      <c r="C63" s="151">
        <v>2025</v>
      </c>
      <c r="D63" s="174" t="s">
        <v>8570</v>
      </c>
      <c r="E63" s="66">
        <v>34364</v>
      </c>
      <c r="F63" s="66">
        <v>1000</v>
      </c>
      <c r="G63" s="156">
        <f t="shared" si="1"/>
        <v>34.363999999999997</v>
      </c>
      <c r="H63" s="174" t="s">
        <v>8606</v>
      </c>
      <c r="I63" s="174">
        <v>183</v>
      </c>
      <c r="J63" s="174" t="s">
        <v>8484</v>
      </c>
      <c r="K63" s="174" t="s">
        <v>8611</v>
      </c>
      <c r="L63" s="174" t="s">
        <v>3390</v>
      </c>
    </row>
    <row r="64" spans="1:12" ht="72" customHeight="1" x14ac:dyDescent="0.3">
      <c r="A64" s="154" t="s">
        <v>8619</v>
      </c>
      <c r="B64" s="154" t="s">
        <v>86</v>
      </c>
      <c r="C64" s="154">
        <v>2025</v>
      </c>
      <c r="D64" s="173" t="s">
        <v>8573</v>
      </c>
      <c r="E64" s="157">
        <v>308695</v>
      </c>
      <c r="F64" s="157">
        <v>1000</v>
      </c>
      <c r="G64" s="155">
        <f t="shared" si="1"/>
        <v>308.69499999999999</v>
      </c>
      <c r="H64" s="173" t="s">
        <v>8606</v>
      </c>
      <c r="I64" s="173">
        <v>183</v>
      </c>
      <c r="J64" s="173" t="s">
        <v>8484</v>
      </c>
      <c r="K64" s="173" t="s">
        <v>8613</v>
      </c>
      <c r="L64" s="173" t="s">
        <v>3390</v>
      </c>
    </row>
    <row r="65" spans="1:12" ht="72" customHeight="1" x14ac:dyDescent="0.3">
      <c r="A65" s="151" t="s">
        <v>8620</v>
      </c>
      <c r="B65" s="151" t="s">
        <v>86</v>
      </c>
      <c r="C65" s="151">
        <v>2025</v>
      </c>
      <c r="D65" s="174" t="s">
        <v>8576</v>
      </c>
      <c r="E65" s="66">
        <v>7915940</v>
      </c>
      <c r="F65" s="66">
        <v>1000</v>
      </c>
      <c r="G65" s="156">
        <f t="shared" si="1"/>
        <v>7915.94</v>
      </c>
      <c r="H65" s="174" t="s">
        <v>8606</v>
      </c>
      <c r="I65" s="174">
        <v>224</v>
      </c>
      <c r="J65" s="174" t="s">
        <v>8484</v>
      </c>
      <c r="K65" s="174" t="s">
        <v>8615</v>
      </c>
      <c r="L65" s="174" t="s">
        <v>3390</v>
      </c>
    </row>
    <row r="66" spans="1:12" ht="72" customHeight="1" x14ac:dyDescent="0.3">
      <c r="A66" s="154" t="s">
        <v>8621</v>
      </c>
      <c r="B66" s="154" t="s">
        <v>86</v>
      </c>
      <c r="C66" s="154">
        <v>2020</v>
      </c>
      <c r="D66" s="173" t="s">
        <v>8622</v>
      </c>
      <c r="E66" s="157">
        <v>11434927</v>
      </c>
      <c r="F66" s="157">
        <v>1000</v>
      </c>
      <c r="G66" s="155">
        <f t="shared" si="1"/>
        <v>11434.927</v>
      </c>
      <c r="H66" s="173" t="s">
        <v>8564</v>
      </c>
      <c r="I66" s="173">
        <v>175</v>
      </c>
      <c r="J66" s="173" t="s">
        <v>8484</v>
      </c>
      <c r="K66" s="173" t="s">
        <v>8623</v>
      </c>
      <c r="L66" s="173" t="s">
        <v>3386</v>
      </c>
    </row>
    <row r="67" spans="1:12" ht="72" customHeight="1" x14ac:dyDescent="0.3">
      <c r="A67" s="151" t="s">
        <v>8624</v>
      </c>
      <c r="B67" s="151" t="s">
        <v>86</v>
      </c>
      <c r="C67" s="151">
        <v>2021</v>
      </c>
      <c r="D67" s="174" t="s">
        <v>8622</v>
      </c>
      <c r="E67" s="66">
        <v>14747002</v>
      </c>
      <c r="F67" s="66">
        <v>1000</v>
      </c>
      <c r="G67" s="156">
        <f t="shared" si="1"/>
        <v>14747.002</v>
      </c>
      <c r="H67" s="174" t="s">
        <v>8579</v>
      </c>
      <c r="I67" s="174">
        <v>197</v>
      </c>
      <c r="J67" s="174" t="s">
        <v>8484</v>
      </c>
      <c r="K67" s="174" t="s">
        <v>8625</v>
      </c>
      <c r="L67" s="174" t="s">
        <v>3387</v>
      </c>
    </row>
    <row r="68" spans="1:12" ht="72" customHeight="1" x14ac:dyDescent="0.3">
      <c r="A68" s="154" t="s">
        <v>8626</v>
      </c>
      <c r="B68" s="154" t="s">
        <v>86</v>
      </c>
      <c r="C68" s="154">
        <v>2022</v>
      </c>
      <c r="D68" s="173" t="s">
        <v>8622</v>
      </c>
      <c r="E68" s="157">
        <v>12519880</v>
      </c>
      <c r="F68" s="157">
        <v>1000</v>
      </c>
      <c r="G68" s="155">
        <f t="shared" si="1"/>
        <v>12519.88</v>
      </c>
      <c r="H68" s="173" t="s">
        <v>8579</v>
      </c>
      <c r="I68" s="173">
        <v>197</v>
      </c>
      <c r="J68" s="173" t="s">
        <v>8484</v>
      </c>
      <c r="K68" s="173" t="s">
        <v>8625</v>
      </c>
      <c r="L68" s="173" t="s">
        <v>3387</v>
      </c>
    </row>
    <row r="69" spans="1:12" ht="72" customHeight="1" x14ac:dyDescent="0.3">
      <c r="A69" s="151" t="s">
        <v>8627</v>
      </c>
      <c r="B69" s="151" t="s">
        <v>86</v>
      </c>
      <c r="C69" s="151">
        <v>2023</v>
      </c>
      <c r="D69" s="174" t="s">
        <v>8622</v>
      </c>
      <c r="E69" s="66">
        <v>14457666</v>
      </c>
      <c r="F69" s="66">
        <v>1000</v>
      </c>
      <c r="G69" s="156">
        <f t="shared" si="1"/>
        <v>14457.665999999999</v>
      </c>
      <c r="H69" s="174" t="s">
        <v>8595</v>
      </c>
      <c r="I69" s="174">
        <v>225</v>
      </c>
      <c r="J69" s="174" t="s">
        <v>8484</v>
      </c>
      <c r="K69" s="174" t="s">
        <v>8628</v>
      </c>
      <c r="L69" s="174" t="s">
        <v>3389</v>
      </c>
    </row>
    <row r="70" spans="1:12" ht="72" customHeight="1" x14ac:dyDescent="0.3">
      <c r="A70" s="154" t="s">
        <v>8629</v>
      </c>
      <c r="B70" s="154" t="s">
        <v>86</v>
      </c>
      <c r="C70" s="154">
        <v>2024</v>
      </c>
      <c r="D70" s="173" t="s">
        <v>8622</v>
      </c>
      <c r="E70" s="157">
        <v>13319937</v>
      </c>
      <c r="F70" s="157">
        <v>1000</v>
      </c>
      <c r="G70" s="155">
        <f t="shared" ref="G70:G101" si="2">E70/F70</f>
        <v>13319.937</v>
      </c>
      <c r="H70" s="173" t="s">
        <v>8606</v>
      </c>
      <c r="I70" s="173">
        <v>233</v>
      </c>
      <c r="J70" s="173" t="s">
        <v>8484</v>
      </c>
      <c r="K70" s="173" t="s">
        <v>8630</v>
      </c>
      <c r="L70" s="173" t="s">
        <v>3390</v>
      </c>
    </row>
    <row r="71" spans="1:12" ht="72" customHeight="1" x14ac:dyDescent="0.3">
      <c r="A71" s="151" t="s">
        <v>8631</v>
      </c>
      <c r="B71" s="151" t="s">
        <v>86</v>
      </c>
      <c r="C71" s="151">
        <v>2025</v>
      </c>
      <c r="D71" s="174" t="s">
        <v>8622</v>
      </c>
      <c r="E71" s="66">
        <v>14438779</v>
      </c>
      <c r="F71" s="66">
        <v>1000</v>
      </c>
      <c r="G71" s="156">
        <f t="shared" si="2"/>
        <v>14438.779</v>
      </c>
      <c r="H71" s="174" t="s">
        <v>8606</v>
      </c>
      <c r="I71" s="174">
        <v>233</v>
      </c>
      <c r="J71" s="174" t="s">
        <v>8484</v>
      </c>
      <c r="K71" s="174" t="s">
        <v>8630</v>
      </c>
      <c r="L71" s="174" t="s">
        <v>3390</v>
      </c>
    </row>
    <row r="72" spans="1:12" ht="72" customHeight="1" x14ac:dyDescent="0.3">
      <c r="A72" s="154" t="s">
        <v>8632</v>
      </c>
      <c r="B72" s="154" t="s">
        <v>86</v>
      </c>
      <c r="C72" s="154">
        <v>2021</v>
      </c>
      <c r="D72" s="173" t="s">
        <v>8633</v>
      </c>
      <c r="E72" s="157">
        <v>40067473</v>
      </c>
      <c r="F72" s="157">
        <v>1000</v>
      </c>
      <c r="G72" s="155">
        <f t="shared" si="2"/>
        <v>40067.472999999998</v>
      </c>
      <c r="H72" s="173" t="s">
        <v>8579</v>
      </c>
      <c r="I72" s="173">
        <v>199</v>
      </c>
      <c r="J72" s="173" t="s">
        <v>8484</v>
      </c>
      <c r="K72" s="173" t="s">
        <v>8634</v>
      </c>
      <c r="L72" s="173" t="s">
        <v>3387</v>
      </c>
    </row>
    <row r="73" spans="1:12" ht="72" customHeight="1" x14ac:dyDescent="0.3">
      <c r="A73" s="151" t="s">
        <v>8635</v>
      </c>
      <c r="B73" s="151" t="s">
        <v>86</v>
      </c>
      <c r="C73" s="151">
        <v>2022</v>
      </c>
      <c r="D73" s="174" t="s">
        <v>8633</v>
      </c>
      <c r="E73" s="66">
        <v>50934245</v>
      </c>
      <c r="F73" s="66">
        <v>1000</v>
      </c>
      <c r="G73" s="156">
        <f t="shared" si="2"/>
        <v>50934.245000000003</v>
      </c>
      <c r="H73" s="174" t="s">
        <v>8579</v>
      </c>
      <c r="I73" s="174">
        <v>199</v>
      </c>
      <c r="J73" s="174" t="s">
        <v>8484</v>
      </c>
      <c r="K73" s="174" t="s">
        <v>8634</v>
      </c>
      <c r="L73" s="174" t="s">
        <v>3387</v>
      </c>
    </row>
    <row r="74" spans="1:12" ht="72" customHeight="1" x14ac:dyDescent="0.3">
      <c r="A74" s="154" t="s">
        <v>8636</v>
      </c>
      <c r="B74" s="154" t="s">
        <v>86</v>
      </c>
      <c r="C74" s="154">
        <v>2023</v>
      </c>
      <c r="D74" s="173" t="s">
        <v>8633</v>
      </c>
      <c r="E74" s="157">
        <v>59820917</v>
      </c>
      <c r="F74" s="157">
        <v>1000</v>
      </c>
      <c r="G74" s="155">
        <f t="shared" si="2"/>
        <v>59820.917000000001</v>
      </c>
      <c r="H74" s="173" t="s">
        <v>8595</v>
      </c>
      <c r="I74" s="173">
        <v>227</v>
      </c>
      <c r="J74" s="173" t="s">
        <v>8484</v>
      </c>
      <c r="K74" s="173" t="s">
        <v>8637</v>
      </c>
      <c r="L74" s="173" t="s">
        <v>3389</v>
      </c>
    </row>
    <row r="75" spans="1:12" ht="72" customHeight="1" x14ac:dyDescent="0.3">
      <c r="A75" s="151" t="s">
        <v>8638</v>
      </c>
      <c r="B75" s="151" t="s">
        <v>86</v>
      </c>
      <c r="C75" s="151">
        <v>2024</v>
      </c>
      <c r="D75" s="174" t="s">
        <v>8633</v>
      </c>
      <c r="E75" s="66">
        <v>60276300</v>
      </c>
      <c r="F75" s="66">
        <v>1000</v>
      </c>
      <c r="G75" s="156">
        <f t="shared" si="2"/>
        <v>60276.3</v>
      </c>
      <c r="H75" s="174" t="s">
        <v>8606</v>
      </c>
      <c r="I75" s="174">
        <v>235</v>
      </c>
      <c r="J75" s="174" t="s">
        <v>8484</v>
      </c>
      <c r="K75" s="174" t="s">
        <v>8639</v>
      </c>
      <c r="L75" s="174" t="s">
        <v>3390</v>
      </c>
    </row>
    <row r="76" spans="1:12" ht="72" customHeight="1" x14ac:dyDescent="0.3">
      <c r="A76" s="154" t="s">
        <v>8640</v>
      </c>
      <c r="B76" s="154" t="s">
        <v>86</v>
      </c>
      <c r="C76" s="154">
        <v>2025</v>
      </c>
      <c r="D76" s="173" t="s">
        <v>8633</v>
      </c>
      <c r="E76" s="157">
        <v>58834577</v>
      </c>
      <c r="F76" s="157">
        <v>1000</v>
      </c>
      <c r="G76" s="155">
        <f t="shared" si="2"/>
        <v>58834.576999999997</v>
      </c>
      <c r="H76" s="173" t="s">
        <v>8606</v>
      </c>
      <c r="I76" s="173">
        <v>235</v>
      </c>
      <c r="J76" s="173" t="s">
        <v>8484</v>
      </c>
      <c r="K76" s="173" t="s">
        <v>8639</v>
      </c>
      <c r="L76" s="173" t="s">
        <v>3390</v>
      </c>
    </row>
    <row r="77" spans="1:12" ht="72" customHeight="1" x14ac:dyDescent="0.3">
      <c r="A77" s="151" t="s">
        <v>8641</v>
      </c>
      <c r="B77" s="151" t="s">
        <v>86</v>
      </c>
      <c r="C77" s="151">
        <v>2021</v>
      </c>
      <c r="D77" s="174" t="s">
        <v>8642</v>
      </c>
      <c r="E77" s="66">
        <v>37211212</v>
      </c>
      <c r="F77" s="66">
        <v>1000</v>
      </c>
      <c r="G77" s="156">
        <f t="shared" si="2"/>
        <v>37211.212</v>
      </c>
      <c r="H77" s="174" t="s">
        <v>8579</v>
      </c>
      <c r="I77" s="174">
        <v>173</v>
      </c>
      <c r="J77" s="174" t="s">
        <v>8484</v>
      </c>
      <c r="K77" s="174" t="s">
        <v>8643</v>
      </c>
      <c r="L77" s="174" t="s">
        <v>3387</v>
      </c>
    </row>
    <row r="78" spans="1:12" ht="72" customHeight="1" x14ac:dyDescent="0.3">
      <c r="A78" s="154" t="s">
        <v>8644</v>
      </c>
      <c r="B78" s="154" t="s">
        <v>86</v>
      </c>
      <c r="C78" s="154">
        <v>2022</v>
      </c>
      <c r="D78" s="173" t="s">
        <v>8642</v>
      </c>
      <c r="E78" s="157">
        <v>47819952</v>
      </c>
      <c r="F78" s="157">
        <v>1000</v>
      </c>
      <c r="G78" s="155">
        <f t="shared" si="2"/>
        <v>47819.951999999997</v>
      </c>
      <c r="H78" s="173" t="s">
        <v>8579</v>
      </c>
      <c r="I78" s="173">
        <v>173</v>
      </c>
      <c r="J78" s="173" t="s">
        <v>8484</v>
      </c>
      <c r="K78" s="173" t="s">
        <v>8643</v>
      </c>
      <c r="L78" s="173" t="s">
        <v>3387</v>
      </c>
    </row>
    <row r="79" spans="1:12" ht="72" customHeight="1" x14ac:dyDescent="0.3">
      <c r="A79" s="151" t="s">
        <v>8645</v>
      </c>
      <c r="B79" s="151" t="s">
        <v>86</v>
      </c>
      <c r="C79" s="151">
        <v>2023</v>
      </c>
      <c r="D79" s="174" t="s">
        <v>8642</v>
      </c>
      <c r="E79" s="66">
        <v>56332883</v>
      </c>
      <c r="F79" s="66">
        <v>1000</v>
      </c>
      <c r="G79" s="156">
        <f t="shared" si="2"/>
        <v>56332.883000000002</v>
      </c>
      <c r="H79" s="174" t="s">
        <v>8595</v>
      </c>
      <c r="I79" s="174">
        <v>200</v>
      </c>
      <c r="J79" s="174" t="s">
        <v>8484</v>
      </c>
      <c r="K79" s="174" t="s">
        <v>8646</v>
      </c>
      <c r="L79" s="174" t="s">
        <v>3389</v>
      </c>
    </row>
    <row r="80" spans="1:12" ht="72" customHeight="1" x14ac:dyDescent="0.3">
      <c r="A80" s="154" t="s">
        <v>8647</v>
      </c>
      <c r="B80" s="154" t="s">
        <v>86</v>
      </c>
      <c r="C80" s="154">
        <v>2024</v>
      </c>
      <c r="D80" s="173" t="s">
        <v>8642</v>
      </c>
      <c r="E80" s="157">
        <v>55522916</v>
      </c>
      <c r="F80" s="157">
        <v>1000</v>
      </c>
      <c r="G80" s="155">
        <f t="shared" si="2"/>
        <v>55522.915999999997</v>
      </c>
      <c r="H80" s="173" t="s">
        <v>8606</v>
      </c>
      <c r="I80" s="173">
        <v>205</v>
      </c>
      <c r="J80" s="173" t="s">
        <v>8484</v>
      </c>
      <c r="K80" s="173" t="s">
        <v>8648</v>
      </c>
      <c r="L80" s="173" t="s">
        <v>3390</v>
      </c>
    </row>
    <row r="81" spans="1:12" ht="72" customHeight="1" x14ac:dyDescent="0.3">
      <c r="A81" s="151" t="s">
        <v>8649</v>
      </c>
      <c r="B81" s="151" t="s">
        <v>86</v>
      </c>
      <c r="C81" s="151">
        <v>2025</v>
      </c>
      <c r="D81" s="174" t="s">
        <v>8642</v>
      </c>
      <c r="E81" s="66">
        <v>53675855</v>
      </c>
      <c r="F81" s="66">
        <v>1000</v>
      </c>
      <c r="G81" s="156">
        <f t="shared" si="2"/>
        <v>53675.855000000003</v>
      </c>
      <c r="H81" s="174" t="s">
        <v>8606</v>
      </c>
      <c r="I81" s="174">
        <v>205</v>
      </c>
      <c r="J81" s="174" t="s">
        <v>8484</v>
      </c>
      <c r="K81" s="174" t="s">
        <v>8648</v>
      </c>
      <c r="L81" s="174" t="s">
        <v>3390</v>
      </c>
    </row>
    <row r="82" spans="1:12" ht="72" customHeight="1" x14ac:dyDescent="0.3">
      <c r="A82" s="154" t="s">
        <v>8650</v>
      </c>
      <c r="B82" s="154" t="s">
        <v>114</v>
      </c>
      <c r="C82" s="154">
        <v>2020</v>
      </c>
      <c r="D82" s="173" t="s">
        <v>8651</v>
      </c>
      <c r="E82" s="157">
        <v>38883</v>
      </c>
      <c r="F82" s="157">
        <v>1000</v>
      </c>
      <c r="G82" s="155">
        <f t="shared" si="2"/>
        <v>38.883000000000003</v>
      </c>
      <c r="H82" s="173" t="s">
        <v>8652</v>
      </c>
      <c r="I82" s="173">
        <v>189</v>
      </c>
      <c r="J82" s="173" t="s">
        <v>8484</v>
      </c>
      <c r="K82" s="173" t="s">
        <v>8653</v>
      </c>
      <c r="L82" s="173" t="s">
        <v>3395</v>
      </c>
    </row>
    <row r="83" spans="1:12" ht="72" customHeight="1" x14ac:dyDescent="0.3">
      <c r="A83" s="151" t="s">
        <v>8654</v>
      </c>
      <c r="B83" s="151" t="s">
        <v>114</v>
      </c>
      <c r="C83" s="151">
        <v>2021</v>
      </c>
      <c r="D83" s="174" t="s">
        <v>8651</v>
      </c>
      <c r="E83" s="66">
        <v>32691</v>
      </c>
      <c r="F83" s="66">
        <v>1000</v>
      </c>
      <c r="G83" s="156">
        <f t="shared" si="2"/>
        <v>32.691000000000003</v>
      </c>
      <c r="H83" s="174" t="s">
        <v>8516</v>
      </c>
      <c r="I83" s="174">
        <v>215</v>
      </c>
      <c r="J83" s="174" t="s">
        <v>8484</v>
      </c>
      <c r="K83" s="174" t="s">
        <v>8655</v>
      </c>
      <c r="L83" s="174" t="s">
        <v>3395</v>
      </c>
    </row>
    <row r="84" spans="1:12" ht="72" customHeight="1" x14ac:dyDescent="0.3">
      <c r="A84" s="154" t="s">
        <v>8656</v>
      </c>
      <c r="B84" s="154" t="s">
        <v>114</v>
      </c>
      <c r="C84" s="154">
        <v>2022</v>
      </c>
      <c r="D84" s="173" t="s">
        <v>8651</v>
      </c>
      <c r="E84" s="157">
        <v>2549004</v>
      </c>
      <c r="F84" s="157">
        <v>1000</v>
      </c>
      <c r="G84" s="155">
        <f t="shared" si="2"/>
        <v>2549.0039999999999</v>
      </c>
      <c r="H84" s="173" t="s">
        <v>8519</v>
      </c>
      <c r="I84" s="173">
        <v>234</v>
      </c>
      <c r="J84" s="173" t="s">
        <v>8484</v>
      </c>
      <c r="K84" s="173" t="s">
        <v>8657</v>
      </c>
      <c r="L84" s="173" t="s">
        <v>3395</v>
      </c>
    </row>
    <row r="85" spans="1:12" ht="72" customHeight="1" x14ac:dyDescent="0.3">
      <c r="A85" s="151" t="s">
        <v>8658</v>
      </c>
      <c r="B85" s="151" t="s">
        <v>114</v>
      </c>
      <c r="C85" s="151">
        <v>2023</v>
      </c>
      <c r="D85" s="174" t="s">
        <v>8651</v>
      </c>
      <c r="E85" s="66">
        <v>3045172</v>
      </c>
      <c r="F85" s="66">
        <v>1000</v>
      </c>
      <c r="G85" s="156">
        <f t="shared" si="2"/>
        <v>3045.172</v>
      </c>
      <c r="H85" s="174" t="s">
        <v>8519</v>
      </c>
      <c r="I85" s="174">
        <v>234</v>
      </c>
      <c r="J85" s="174" t="s">
        <v>8484</v>
      </c>
      <c r="K85" s="174" t="s">
        <v>8657</v>
      </c>
      <c r="L85" s="174" t="s">
        <v>3395</v>
      </c>
    </row>
    <row r="86" spans="1:12" ht="72" customHeight="1" x14ac:dyDescent="0.3">
      <c r="A86" s="154" t="s">
        <v>8659</v>
      </c>
      <c r="B86" s="154" t="s">
        <v>114</v>
      </c>
      <c r="C86" s="154">
        <v>2024</v>
      </c>
      <c r="D86" s="173" t="s">
        <v>8651</v>
      </c>
      <c r="E86" s="157">
        <v>1392312</v>
      </c>
      <c r="F86" s="157">
        <v>1000</v>
      </c>
      <c r="G86" s="155">
        <f t="shared" si="2"/>
        <v>1392.3119999999999</v>
      </c>
      <c r="H86" s="173" t="s">
        <v>8523</v>
      </c>
      <c r="I86" s="173">
        <v>268</v>
      </c>
      <c r="J86" s="173" t="s">
        <v>8484</v>
      </c>
      <c r="K86" s="173" t="s">
        <v>8660</v>
      </c>
      <c r="L86" s="173" t="s">
        <v>3398</v>
      </c>
    </row>
    <row r="87" spans="1:12" ht="72" customHeight="1" x14ac:dyDescent="0.3">
      <c r="A87" s="151" t="s">
        <v>8661</v>
      </c>
      <c r="B87" s="151" t="s">
        <v>114</v>
      </c>
      <c r="C87" s="151">
        <v>2025</v>
      </c>
      <c r="D87" s="174" t="s">
        <v>8651</v>
      </c>
      <c r="E87" s="66">
        <v>479895</v>
      </c>
      <c r="F87" s="66">
        <v>1000</v>
      </c>
      <c r="G87" s="156">
        <f t="shared" si="2"/>
        <v>479.89499999999998</v>
      </c>
      <c r="H87" s="174" t="s">
        <v>8523</v>
      </c>
      <c r="I87" s="174">
        <v>268</v>
      </c>
      <c r="J87" s="174" t="s">
        <v>8484</v>
      </c>
      <c r="K87" s="174" t="s">
        <v>8660</v>
      </c>
      <c r="L87" s="174" t="s">
        <v>3398</v>
      </c>
    </row>
    <row r="88" spans="1:12" ht="72" customHeight="1" x14ac:dyDescent="0.3">
      <c r="A88" s="154" t="s">
        <v>8662</v>
      </c>
      <c r="B88" s="154" t="s">
        <v>114</v>
      </c>
      <c r="C88" s="154">
        <v>2020</v>
      </c>
      <c r="D88" s="173" t="s">
        <v>8663</v>
      </c>
      <c r="E88" s="157">
        <v>1122217</v>
      </c>
      <c r="F88" s="157">
        <v>1000</v>
      </c>
      <c r="G88" s="155">
        <f t="shared" si="2"/>
        <v>1122.2170000000001</v>
      </c>
      <c r="H88" s="173" t="s">
        <v>8652</v>
      </c>
      <c r="I88" s="173">
        <v>164</v>
      </c>
      <c r="J88" s="173" t="s">
        <v>8484</v>
      </c>
      <c r="K88" s="173" t="s">
        <v>8664</v>
      </c>
      <c r="L88" s="173" t="s">
        <v>3395</v>
      </c>
    </row>
    <row r="89" spans="1:12" ht="72" customHeight="1" x14ac:dyDescent="0.3">
      <c r="A89" s="151" t="s">
        <v>8665</v>
      </c>
      <c r="B89" s="151" t="s">
        <v>114</v>
      </c>
      <c r="C89" s="151">
        <v>2021</v>
      </c>
      <c r="D89" s="174" t="s">
        <v>8663</v>
      </c>
      <c r="E89" s="66">
        <v>1554895</v>
      </c>
      <c r="F89" s="66">
        <v>1000</v>
      </c>
      <c r="G89" s="156">
        <f t="shared" si="2"/>
        <v>1554.895</v>
      </c>
      <c r="H89" s="174" t="s">
        <v>8516</v>
      </c>
      <c r="I89" s="174">
        <v>186</v>
      </c>
      <c r="J89" s="174" t="s">
        <v>8484</v>
      </c>
      <c r="K89" s="174" t="s">
        <v>8666</v>
      </c>
      <c r="L89" s="174" t="s">
        <v>3395</v>
      </c>
    </row>
    <row r="90" spans="1:12" ht="72" customHeight="1" x14ac:dyDescent="0.3">
      <c r="A90" s="154" t="s">
        <v>8667</v>
      </c>
      <c r="B90" s="154" t="s">
        <v>114</v>
      </c>
      <c r="C90" s="154">
        <v>2022</v>
      </c>
      <c r="D90" s="173" t="s">
        <v>8663</v>
      </c>
      <c r="E90" s="157">
        <v>4321163</v>
      </c>
      <c r="F90" s="157">
        <v>1000</v>
      </c>
      <c r="G90" s="155">
        <f t="shared" si="2"/>
        <v>4321.1629999999996</v>
      </c>
      <c r="H90" s="173" t="s">
        <v>8519</v>
      </c>
      <c r="I90" s="173">
        <v>208</v>
      </c>
      <c r="J90" s="173" t="s">
        <v>8484</v>
      </c>
      <c r="K90" s="173" t="s">
        <v>8668</v>
      </c>
      <c r="L90" s="173" t="s">
        <v>3395</v>
      </c>
    </row>
    <row r="91" spans="1:12" ht="72" customHeight="1" x14ac:dyDescent="0.3">
      <c r="A91" s="151" t="s">
        <v>8669</v>
      </c>
      <c r="B91" s="151" t="s">
        <v>114</v>
      </c>
      <c r="C91" s="151">
        <v>2023</v>
      </c>
      <c r="D91" s="174" t="s">
        <v>8663</v>
      </c>
      <c r="E91" s="66">
        <v>4022396</v>
      </c>
      <c r="F91" s="66">
        <v>1000</v>
      </c>
      <c r="G91" s="156">
        <f t="shared" si="2"/>
        <v>4022.3960000000002</v>
      </c>
      <c r="H91" s="174" t="s">
        <v>8519</v>
      </c>
      <c r="I91" s="174">
        <v>208</v>
      </c>
      <c r="J91" s="174" t="s">
        <v>8484</v>
      </c>
      <c r="K91" s="174" t="s">
        <v>8668</v>
      </c>
      <c r="L91" s="174" t="s">
        <v>3395</v>
      </c>
    </row>
    <row r="92" spans="1:12" ht="72" customHeight="1" x14ac:dyDescent="0.3">
      <c r="A92" s="154" t="s">
        <v>8670</v>
      </c>
      <c r="B92" s="154" t="s">
        <v>114</v>
      </c>
      <c r="C92" s="154">
        <v>2024</v>
      </c>
      <c r="D92" s="173" t="s">
        <v>8663</v>
      </c>
      <c r="E92" s="157">
        <v>5154131</v>
      </c>
      <c r="F92" s="157">
        <v>1000</v>
      </c>
      <c r="G92" s="155">
        <f t="shared" si="2"/>
        <v>5154.1310000000003</v>
      </c>
      <c r="H92" s="173" t="s">
        <v>8523</v>
      </c>
      <c r="I92" s="173">
        <v>244</v>
      </c>
      <c r="J92" s="173" t="s">
        <v>8484</v>
      </c>
      <c r="K92" s="173" t="s">
        <v>8671</v>
      </c>
      <c r="L92" s="173" t="s">
        <v>3398</v>
      </c>
    </row>
    <row r="93" spans="1:12" ht="72" customHeight="1" x14ac:dyDescent="0.3">
      <c r="A93" s="151" t="s">
        <v>8672</v>
      </c>
      <c r="B93" s="151" t="s">
        <v>114</v>
      </c>
      <c r="C93" s="151">
        <v>2025</v>
      </c>
      <c r="D93" s="174" t="s">
        <v>8663</v>
      </c>
      <c r="E93" s="66">
        <v>9076142</v>
      </c>
      <c r="F93" s="66">
        <v>1000</v>
      </c>
      <c r="G93" s="156">
        <f t="shared" si="2"/>
        <v>9076.1419999999998</v>
      </c>
      <c r="H93" s="174" t="s">
        <v>8523</v>
      </c>
      <c r="I93" s="174">
        <v>244</v>
      </c>
      <c r="J93" s="174" t="s">
        <v>8484</v>
      </c>
      <c r="K93" s="174" t="s">
        <v>8671</v>
      </c>
      <c r="L93" s="174" t="s">
        <v>3398</v>
      </c>
    </row>
    <row r="94" spans="1:12" ht="72" customHeight="1" x14ac:dyDescent="0.3">
      <c r="A94" s="154" t="s">
        <v>8673</v>
      </c>
      <c r="B94" s="154" t="s">
        <v>114</v>
      </c>
      <c r="C94" s="154">
        <v>2022</v>
      </c>
      <c r="D94" s="173" t="s">
        <v>8674</v>
      </c>
      <c r="E94" s="157">
        <v>3281</v>
      </c>
      <c r="F94" s="157">
        <v>1000</v>
      </c>
      <c r="G94" s="155">
        <f t="shared" si="2"/>
        <v>3.2810000000000001</v>
      </c>
      <c r="H94" s="173" t="s">
        <v>8519</v>
      </c>
      <c r="I94" s="173">
        <v>244</v>
      </c>
      <c r="J94" s="173" t="s">
        <v>8484</v>
      </c>
      <c r="K94" s="173" t="s">
        <v>8675</v>
      </c>
      <c r="L94" s="173" t="s">
        <v>3395</v>
      </c>
    </row>
    <row r="95" spans="1:12" ht="72" customHeight="1" x14ac:dyDescent="0.3">
      <c r="A95" s="151" t="s">
        <v>8676</v>
      </c>
      <c r="B95" s="151" t="s">
        <v>114</v>
      </c>
      <c r="C95" s="151">
        <v>2023</v>
      </c>
      <c r="D95" s="174" t="s">
        <v>8674</v>
      </c>
      <c r="E95" s="66">
        <v>3281</v>
      </c>
      <c r="F95" s="66">
        <v>1000</v>
      </c>
      <c r="G95" s="156">
        <f t="shared" si="2"/>
        <v>3.2810000000000001</v>
      </c>
      <c r="H95" s="174" t="s">
        <v>8519</v>
      </c>
      <c r="I95" s="174">
        <v>244</v>
      </c>
      <c r="J95" s="174" t="s">
        <v>8484</v>
      </c>
      <c r="K95" s="174" t="s">
        <v>8675</v>
      </c>
      <c r="L95" s="174" t="s">
        <v>3395</v>
      </c>
    </row>
    <row r="96" spans="1:12" ht="72" customHeight="1" x14ac:dyDescent="0.3">
      <c r="A96" s="154" t="s">
        <v>8677</v>
      </c>
      <c r="B96" s="154" t="s">
        <v>114</v>
      </c>
      <c r="C96" s="154">
        <v>2024</v>
      </c>
      <c r="D96" s="173" t="s">
        <v>8674</v>
      </c>
      <c r="E96" s="157">
        <v>3281</v>
      </c>
      <c r="F96" s="157">
        <v>1000</v>
      </c>
      <c r="G96" s="155">
        <f t="shared" si="2"/>
        <v>3.2810000000000001</v>
      </c>
      <c r="H96" s="173" t="s">
        <v>8523</v>
      </c>
      <c r="I96" s="173">
        <v>278</v>
      </c>
      <c r="J96" s="173" t="s">
        <v>8484</v>
      </c>
      <c r="K96" s="173" t="s">
        <v>8678</v>
      </c>
      <c r="L96" s="173" t="s">
        <v>3398</v>
      </c>
    </row>
    <row r="97" spans="1:12" ht="72" customHeight="1" x14ac:dyDescent="0.3">
      <c r="A97" s="151" t="s">
        <v>8679</v>
      </c>
      <c r="B97" s="151" t="s">
        <v>114</v>
      </c>
      <c r="C97" s="151">
        <v>2025</v>
      </c>
      <c r="D97" s="174" t="s">
        <v>8674</v>
      </c>
      <c r="E97" s="66">
        <v>3281</v>
      </c>
      <c r="F97" s="66">
        <v>1000</v>
      </c>
      <c r="G97" s="156">
        <f t="shared" si="2"/>
        <v>3.2810000000000001</v>
      </c>
      <c r="H97" s="174" t="s">
        <v>8523</v>
      </c>
      <c r="I97" s="174">
        <v>278</v>
      </c>
      <c r="J97" s="174" t="s">
        <v>8484</v>
      </c>
      <c r="K97" s="174" t="s">
        <v>8678</v>
      </c>
      <c r="L97" s="174" t="s">
        <v>3398</v>
      </c>
    </row>
    <row r="98" spans="1:12" ht="72" customHeight="1" x14ac:dyDescent="0.3">
      <c r="A98" s="154" t="s">
        <v>8680</v>
      </c>
      <c r="B98" s="154" t="s">
        <v>114</v>
      </c>
      <c r="C98" s="154">
        <v>2021</v>
      </c>
      <c r="D98" s="173" t="s">
        <v>8681</v>
      </c>
      <c r="E98" s="157">
        <v>38463975</v>
      </c>
      <c r="F98" s="157">
        <v>1000</v>
      </c>
      <c r="G98" s="155">
        <f t="shared" si="2"/>
        <v>38463.974999999999</v>
      </c>
      <c r="H98" s="173" t="s">
        <v>8519</v>
      </c>
      <c r="I98" s="173">
        <v>239</v>
      </c>
      <c r="J98" s="173" t="s">
        <v>8484</v>
      </c>
      <c r="K98" s="173" t="s">
        <v>8682</v>
      </c>
      <c r="L98" s="173" t="s">
        <v>3395</v>
      </c>
    </row>
    <row r="99" spans="1:12" ht="72" customHeight="1" x14ac:dyDescent="0.3">
      <c r="A99" s="151" t="s">
        <v>8683</v>
      </c>
      <c r="B99" s="151" t="s">
        <v>114</v>
      </c>
      <c r="C99" s="151">
        <v>2021</v>
      </c>
      <c r="D99" s="174" t="s">
        <v>8684</v>
      </c>
      <c r="E99" s="66">
        <v>17041760</v>
      </c>
      <c r="F99" s="66">
        <v>1000</v>
      </c>
      <c r="G99" s="156">
        <f t="shared" si="2"/>
        <v>17041.759999999998</v>
      </c>
      <c r="H99" s="174" t="s">
        <v>8519</v>
      </c>
      <c r="I99" s="174">
        <v>239</v>
      </c>
      <c r="J99" s="174" t="s">
        <v>8484</v>
      </c>
      <c r="K99" s="174" t="s">
        <v>8685</v>
      </c>
      <c r="L99" s="174" t="s">
        <v>3395</v>
      </c>
    </row>
    <row r="100" spans="1:12" ht="72" customHeight="1" x14ac:dyDescent="0.3">
      <c r="A100" s="154" t="s">
        <v>8686</v>
      </c>
      <c r="B100" s="154" t="s">
        <v>114</v>
      </c>
      <c r="C100" s="154">
        <v>2022</v>
      </c>
      <c r="D100" s="173" t="s">
        <v>8681</v>
      </c>
      <c r="E100" s="157">
        <v>93857971</v>
      </c>
      <c r="F100" s="157">
        <v>1000</v>
      </c>
      <c r="G100" s="155">
        <f t="shared" si="2"/>
        <v>93857.971000000005</v>
      </c>
      <c r="H100" s="173" t="s">
        <v>8519</v>
      </c>
      <c r="I100" s="173">
        <v>239</v>
      </c>
      <c r="J100" s="173" t="s">
        <v>8484</v>
      </c>
      <c r="K100" s="173" t="s">
        <v>8687</v>
      </c>
      <c r="L100" s="173" t="s">
        <v>3395</v>
      </c>
    </row>
    <row r="101" spans="1:12" ht="72" customHeight="1" x14ac:dyDescent="0.3">
      <c r="A101" s="151" t="s">
        <v>8688</v>
      </c>
      <c r="B101" s="151" t="s">
        <v>114</v>
      </c>
      <c r="C101" s="151">
        <v>2022</v>
      </c>
      <c r="D101" s="174" t="s">
        <v>8684</v>
      </c>
      <c r="E101" s="66">
        <v>19731656</v>
      </c>
      <c r="F101" s="66">
        <v>1000</v>
      </c>
      <c r="G101" s="156">
        <f t="shared" si="2"/>
        <v>19731.655999999999</v>
      </c>
      <c r="H101" s="174" t="s">
        <v>8519</v>
      </c>
      <c r="I101" s="174">
        <v>239</v>
      </c>
      <c r="J101" s="174" t="s">
        <v>8484</v>
      </c>
      <c r="K101" s="174" t="s">
        <v>8689</v>
      </c>
      <c r="L101" s="174" t="s">
        <v>3395</v>
      </c>
    </row>
    <row r="102" spans="1:12" ht="72" customHeight="1" x14ac:dyDescent="0.3">
      <c r="A102" s="154" t="s">
        <v>8690</v>
      </c>
      <c r="B102" s="154" t="s">
        <v>114</v>
      </c>
      <c r="C102" s="154">
        <v>2023</v>
      </c>
      <c r="D102" s="173" t="s">
        <v>8681</v>
      </c>
      <c r="E102" s="157">
        <v>127453357</v>
      </c>
      <c r="F102" s="157">
        <v>1000</v>
      </c>
      <c r="G102" s="155">
        <f t="shared" ref="G102:G132" si="3">E102/F102</f>
        <v>127453.357</v>
      </c>
      <c r="H102" s="173" t="s">
        <v>8523</v>
      </c>
      <c r="I102" s="173">
        <v>273</v>
      </c>
      <c r="J102" s="173" t="s">
        <v>8484</v>
      </c>
      <c r="K102" s="173" t="s">
        <v>8691</v>
      </c>
      <c r="L102" s="173" t="s">
        <v>3398</v>
      </c>
    </row>
    <row r="103" spans="1:12" ht="72" customHeight="1" x14ac:dyDescent="0.3">
      <c r="A103" s="151" t="s">
        <v>8692</v>
      </c>
      <c r="B103" s="151" t="s">
        <v>114</v>
      </c>
      <c r="C103" s="151">
        <v>2023</v>
      </c>
      <c r="D103" s="174" t="s">
        <v>8684</v>
      </c>
      <c r="E103" s="66">
        <v>23028176</v>
      </c>
      <c r="F103" s="66">
        <v>1000</v>
      </c>
      <c r="G103" s="156">
        <f t="shared" si="3"/>
        <v>23028.175999999999</v>
      </c>
      <c r="H103" s="174" t="s">
        <v>8523</v>
      </c>
      <c r="I103" s="174">
        <v>273</v>
      </c>
      <c r="J103" s="174" t="s">
        <v>8484</v>
      </c>
      <c r="K103" s="174" t="s">
        <v>8693</v>
      </c>
      <c r="L103" s="174" t="s">
        <v>3398</v>
      </c>
    </row>
    <row r="104" spans="1:12" ht="72" customHeight="1" x14ac:dyDescent="0.3">
      <c r="A104" s="154" t="s">
        <v>8694</v>
      </c>
      <c r="B104" s="154" t="s">
        <v>114</v>
      </c>
      <c r="C104" s="154">
        <v>2024</v>
      </c>
      <c r="D104" s="173" t="s">
        <v>8681</v>
      </c>
      <c r="E104" s="157">
        <v>137590825</v>
      </c>
      <c r="F104" s="157">
        <v>1000</v>
      </c>
      <c r="G104" s="155">
        <f t="shared" si="3"/>
        <v>137590.82500000001</v>
      </c>
      <c r="H104" s="173" t="s">
        <v>8523</v>
      </c>
      <c r="I104" s="173">
        <v>273</v>
      </c>
      <c r="J104" s="173" t="s">
        <v>8484</v>
      </c>
      <c r="K104" s="173" t="s">
        <v>8695</v>
      </c>
      <c r="L104" s="173" t="s">
        <v>3398</v>
      </c>
    </row>
    <row r="105" spans="1:12" ht="72" customHeight="1" x14ac:dyDescent="0.3">
      <c r="A105" s="151" t="s">
        <v>8696</v>
      </c>
      <c r="B105" s="151" t="s">
        <v>114</v>
      </c>
      <c r="C105" s="151">
        <v>2024</v>
      </c>
      <c r="D105" s="174" t="s">
        <v>8684</v>
      </c>
      <c r="E105" s="66">
        <v>26745162</v>
      </c>
      <c r="F105" s="66">
        <v>1000</v>
      </c>
      <c r="G105" s="156">
        <f t="shared" si="3"/>
        <v>26745.162</v>
      </c>
      <c r="H105" s="174" t="s">
        <v>8523</v>
      </c>
      <c r="I105" s="174">
        <v>273</v>
      </c>
      <c r="J105" s="174" t="s">
        <v>8484</v>
      </c>
      <c r="K105" s="174" t="s">
        <v>8697</v>
      </c>
      <c r="L105" s="174" t="s">
        <v>3398</v>
      </c>
    </row>
    <row r="106" spans="1:12" ht="72" customHeight="1" x14ac:dyDescent="0.3">
      <c r="A106" s="154" t="s">
        <v>8698</v>
      </c>
      <c r="B106" s="154" t="s">
        <v>114</v>
      </c>
      <c r="C106" s="154">
        <v>2025</v>
      </c>
      <c r="D106" s="173" t="s">
        <v>8681</v>
      </c>
      <c r="E106" s="157">
        <v>140843771</v>
      </c>
      <c r="F106" s="157">
        <v>1000</v>
      </c>
      <c r="G106" s="155">
        <f t="shared" si="3"/>
        <v>140843.77100000001</v>
      </c>
      <c r="H106" s="173" t="s">
        <v>8523</v>
      </c>
      <c r="I106" s="173">
        <v>274</v>
      </c>
      <c r="J106" s="173" t="s">
        <v>8484</v>
      </c>
      <c r="K106" s="173" t="s">
        <v>8699</v>
      </c>
      <c r="L106" s="173" t="s">
        <v>3398</v>
      </c>
    </row>
    <row r="107" spans="1:12" ht="72" customHeight="1" x14ac:dyDescent="0.3">
      <c r="A107" s="151" t="s">
        <v>8700</v>
      </c>
      <c r="B107" s="151" t="s">
        <v>114</v>
      </c>
      <c r="C107" s="151">
        <v>2025</v>
      </c>
      <c r="D107" s="174" t="s">
        <v>8684</v>
      </c>
      <c r="E107" s="66">
        <v>31264682</v>
      </c>
      <c r="F107" s="66">
        <v>1000</v>
      </c>
      <c r="G107" s="156">
        <f t="shared" si="3"/>
        <v>31264.682000000001</v>
      </c>
      <c r="H107" s="174" t="s">
        <v>8523</v>
      </c>
      <c r="I107" s="174">
        <v>274</v>
      </c>
      <c r="J107" s="174" t="s">
        <v>8484</v>
      </c>
      <c r="K107" s="174" t="s">
        <v>8701</v>
      </c>
      <c r="L107" s="174" t="s">
        <v>3398</v>
      </c>
    </row>
    <row r="108" spans="1:12" ht="72" customHeight="1" x14ac:dyDescent="0.3">
      <c r="A108" s="154" t="s">
        <v>8702</v>
      </c>
      <c r="B108" s="154" t="s">
        <v>114</v>
      </c>
      <c r="C108" s="154">
        <v>2021</v>
      </c>
      <c r="D108" s="173" t="s">
        <v>8703</v>
      </c>
      <c r="E108" s="157">
        <v>6742899</v>
      </c>
      <c r="F108" s="157">
        <v>1000</v>
      </c>
      <c r="G108" s="155">
        <f t="shared" si="3"/>
        <v>6742.8990000000003</v>
      </c>
      <c r="H108" s="173" t="s">
        <v>8652</v>
      </c>
      <c r="I108" s="173">
        <v>133</v>
      </c>
      <c r="J108" s="173" t="s">
        <v>8704</v>
      </c>
      <c r="K108" s="173" t="s">
        <v>8705</v>
      </c>
      <c r="L108" s="173" t="s">
        <v>3395</v>
      </c>
    </row>
    <row r="109" spans="1:12" ht="72" customHeight="1" x14ac:dyDescent="0.3">
      <c r="A109" s="151" t="s">
        <v>8706</v>
      </c>
      <c r="B109" s="151" t="s">
        <v>114</v>
      </c>
      <c r="C109" s="151">
        <v>2021</v>
      </c>
      <c r="D109" s="174" t="s">
        <v>8707</v>
      </c>
      <c r="E109" s="66">
        <v>5158970</v>
      </c>
      <c r="F109" s="66">
        <v>1000</v>
      </c>
      <c r="G109" s="156">
        <f t="shared" si="3"/>
        <v>5158.97</v>
      </c>
      <c r="H109" s="174" t="s">
        <v>8652</v>
      </c>
      <c r="I109" s="174">
        <v>133</v>
      </c>
      <c r="J109" s="174" t="s">
        <v>8704</v>
      </c>
      <c r="K109" s="174" t="s">
        <v>8708</v>
      </c>
      <c r="L109" s="174" t="s">
        <v>3395</v>
      </c>
    </row>
    <row r="110" spans="1:12" ht="72" customHeight="1" x14ac:dyDescent="0.3">
      <c r="A110" s="154" t="s">
        <v>8709</v>
      </c>
      <c r="B110" s="154" t="s">
        <v>114</v>
      </c>
      <c r="C110" s="154">
        <v>2022</v>
      </c>
      <c r="D110" s="173" t="s">
        <v>8703</v>
      </c>
      <c r="E110" s="157">
        <v>31319379</v>
      </c>
      <c r="F110" s="157">
        <v>1000</v>
      </c>
      <c r="G110" s="155">
        <f t="shared" si="3"/>
        <v>31319.379000000001</v>
      </c>
      <c r="H110" s="173" t="s">
        <v>8516</v>
      </c>
      <c r="I110" s="173">
        <v>155</v>
      </c>
      <c r="J110" s="173" t="s">
        <v>8704</v>
      </c>
      <c r="K110" s="173" t="s">
        <v>8710</v>
      </c>
      <c r="L110" s="173" t="s">
        <v>3395</v>
      </c>
    </row>
    <row r="111" spans="1:12" ht="72" customHeight="1" x14ac:dyDescent="0.3">
      <c r="A111" s="151" t="s">
        <v>8711</v>
      </c>
      <c r="B111" s="151" t="s">
        <v>114</v>
      </c>
      <c r="C111" s="151">
        <v>2022</v>
      </c>
      <c r="D111" s="174" t="s">
        <v>8707</v>
      </c>
      <c r="E111" s="66">
        <v>23336448</v>
      </c>
      <c r="F111" s="66">
        <v>1000</v>
      </c>
      <c r="G111" s="156">
        <f t="shared" si="3"/>
        <v>23336.448</v>
      </c>
      <c r="H111" s="174" t="s">
        <v>8516</v>
      </c>
      <c r="I111" s="174">
        <v>155</v>
      </c>
      <c r="J111" s="174" t="s">
        <v>8704</v>
      </c>
      <c r="K111" s="174" t="s">
        <v>8712</v>
      </c>
      <c r="L111" s="174" t="s">
        <v>3395</v>
      </c>
    </row>
    <row r="112" spans="1:12" ht="72" customHeight="1" x14ac:dyDescent="0.3">
      <c r="A112" s="154" t="s">
        <v>8713</v>
      </c>
      <c r="B112" s="154" t="s">
        <v>114</v>
      </c>
      <c r="C112" s="154">
        <v>2023</v>
      </c>
      <c r="D112" s="173" t="s">
        <v>8703</v>
      </c>
      <c r="E112" s="157">
        <v>17703136</v>
      </c>
      <c r="F112" s="157">
        <v>1000</v>
      </c>
      <c r="G112" s="155">
        <f t="shared" si="3"/>
        <v>17703.135999999999</v>
      </c>
      <c r="H112" s="173" t="s">
        <v>8519</v>
      </c>
      <c r="I112" s="173">
        <v>173</v>
      </c>
      <c r="J112" s="173" t="s">
        <v>8704</v>
      </c>
      <c r="K112" s="173" t="s">
        <v>8714</v>
      </c>
      <c r="L112" s="173" t="s">
        <v>3395</v>
      </c>
    </row>
    <row r="113" spans="1:12" ht="72" customHeight="1" x14ac:dyDescent="0.3">
      <c r="A113" s="151" t="s">
        <v>8715</v>
      </c>
      <c r="B113" s="151" t="s">
        <v>114</v>
      </c>
      <c r="C113" s="151">
        <v>2023</v>
      </c>
      <c r="D113" s="174" t="s">
        <v>8707</v>
      </c>
      <c r="E113" s="66">
        <v>11344179</v>
      </c>
      <c r="F113" s="66">
        <v>1000</v>
      </c>
      <c r="G113" s="156">
        <f t="shared" si="3"/>
        <v>11344.179</v>
      </c>
      <c r="H113" s="174" t="s">
        <v>8519</v>
      </c>
      <c r="I113" s="174">
        <v>173</v>
      </c>
      <c r="J113" s="174" t="s">
        <v>8704</v>
      </c>
      <c r="K113" s="174" t="s">
        <v>8716</v>
      </c>
      <c r="L113" s="174" t="s">
        <v>3395</v>
      </c>
    </row>
    <row r="114" spans="1:12" ht="72" customHeight="1" x14ac:dyDescent="0.3">
      <c r="A114" s="154" t="s">
        <v>8717</v>
      </c>
      <c r="B114" s="154" t="s">
        <v>114</v>
      </c>
      <c r="C114" s="154">
        <v>2024</v>
      </c>
      <c r="D114" s="173" t="s">
        <v>8703</v>
      </c>
      <c r="E114" s="157">
        <v>20626105</v>
      </c>
      <c r="F114" s="157">
        <v>1000</v>
      </c>
      <c r="G114" s="155">
        <f t="shared" si="3"/>
        <v>20626.105</v>
      </c>
      <c r="H114" s="173" t="s">
        <v>8557</v>
      </c>
      <c r="I114" s="173">
        <v>154</v>
      </c>
      <c r="J114" s="173" t="s">
        <v>8704</v>
      </c>
      <c r="K114" s="173" t="s">
        <v>8718</v>
      </c>
      <c r="L114" s="173" t="s">
        <v>3395</v>
      </c>
    </row>
    <row r="115" spans="1:12" ht="72" customHeight="1" x14ac:dyDescent="0.3">
      <c r="A115" s="151" t="s">
        <v>8719</v>
      </c>
      <c r="B115" s="151" t="s">
        <v>114</v>
      </c>
      <c r="C115" s="151">
        <v>2024</v>
      </c>
      <c r="D115" s="174" t="s">
        <v>8707</v>
      </c>
      <c r="E115" s="66">
        <v>13155636</v>
      </c>
      <c r="F115" s="66">
        <v>1000</v>
      </c>
      <c r="G115" s="156">
        <f t="shared" si="3"/>
        <v>13155.636</v>
      </c>
      <c r="H115" s="174" t="s">
        <v>8557</v>
      </c>
      <c r="I115" s="174">
        <v>154</v>
      </c>
      <c r="J115" s="174" t="s">
        <v>8704</v>
      </c>
      <c r="K115" s="174" t="s">
        <v>8720</v>
      </c>
      <c r="L115" s="174" t="s">
        <v>3395</v>
      </c>
    </row>
    <row r="116" spans="1:12" ht="72" customHeight="1" x14ac:dyDescent="0.3">
      <c r="A116" s="154" t="s">
        <v>8721</v>
      </c>
      <c r="B116" s="154" t="s">
        <v>114</v>
      </c>
      <c r="C116" s="154">
        <v>2025</v>
      </c>
      <c r="D116" s="173" t="s">
        <v>8703</v>
      </c>
      <c r="E116" s="157">
        <v>21802144</v>
      </c>
      <c r="F116" s="157">
        <v>1000</v>
      </c>
      <c r="G116" s="155">
        <f t="shared" si="3"/>
        <v>21802.144</v>
      </c>
      <c r="H116" s="173" t="s">
        <v>8523</v>
      </c>
      <c r="I116" s="173">
        <v>210</v>
      </c>
      <c r="J116" s="173" t="s">
        <v>8704</v>
      </c>
      <c r="K116" s="173" t="s">
        <v>8722</v>
      </c>
      <c r="L116" s="173" t="s">
        <v>3398</v>
      </c>
    </row>
    <row r="117" spans="1:12" ht="72" customHeight="1" x14ac:dyDescent="0.3">
      <c r="A117" s="151" t="s">
        <v>8723</v>
      </c>
      <c r="B117" s="151" t="s">
        <v>114</v>
      </c>
      <c r="C117" s="151">
        <v>2025</v>
      </c>
      <c r="D117" s="174" t="s">
        <v>8707</v>
      </c>
      <c r="E117" s="66">
        <v>13284985</v>
      </c>
      <c r="F117" s="66">
        <v>1000</v>
      </c>
      <c r="G117" s="156">
        <f t="shared" si="3"/>
        <v>13284.985000000001</v>
      </c>
      <c r="H117" s="174" t="s">
        <v>8523</v>
      </c>
      <c r="I117" s="174">
        <v>210</v>
      </c>
      <c r="J117" s="174" t="s">
        <v>8704</v>
      </c>
      <c r="K117" s="174" t="s">
        <v>8724</v>
      </c>
      <c r="L117" s="174" t="s">
        <v>3398</v>
      </c>
    </row>
    <row r="118" spans="1:12" ht="72" customHeight="1" x14ac:dyDescent="0.3">
      <c r="A118" s="154" t="s">
        <v>8725</v>
      </c>
      <c r="B118" s="154" t="s">
        <v>86</v>
      </c>
      <c r="C118" s="154">
        <v>2021</v>
      </c>
      <c r="D118" s="173" t="s">
        <v>8726</v>
      </c>
      <c r="E118" s="157">
        <v>10758129</v>
      </c>
      <c r="F118" s="157">
        <v>1000</v>
      </c>
      <c r="G118" s="155">
        <f t="shared" si="3"/>
        <v>10758.129000000001</v>
      </c>
      <c r="H118" s="173" t="s">
        <v>8727</v>
      </c>
      <c r="I118" s="173">
        <v>13</v>
      </c>
      <c r="J118" s="173" t="s">
        <v>8728</v>
      </c>
      <c r="K118" s="173" t="s">
        <v>8729</v>
      </c>
      <c r="L118" s="173" t="s">
        <v>8730</v>
      </c>
    </row>
    <row r="119" spans="1:12" ht="72" customHeight="1" x14ac:dyDescent="0.3">
      <c r="A119" s="151" t="s">
        <v>8731</v>
      </c>
      <c r="B119" s="151" t="s">
        <v>86</v>
      </c>
      <c r="C119" s="151">
        <v>2021</v>
      </c>
      <c r="D119" s="174" t="s">
        <v>8732</v>
      </c>
      <c r="E119" s="66">
        <v>10079265</v>
      </c>
      <c r="F119" s="66">
        <v>1000</v>
      </c>
      <c r="G119" s="156">
        <f t="shared" si="3"/>
        <v>10079.264999999999</v>
      </c>
      <c r="H119" s="174" t="s">
        <v>8733</v>
      </c>
      <c r="I119" s="174">
        <v>13</v>
      </c>
      <c r="J119" s="174" t="s">
        <v>8728</v>
      </c>
      <c r="K119" s="174" t="s">
        <v>8734</v>
      </c>
      <c r="L119" s="174" t="s">
        <v>8735</v>
      </c>
    </row>
    <row r="120" spans="1:12" ht="72" customHeight="1" x14ac:dyDescent="0.3">
      <c r="A120" s="154" t="s">
        <v>8736</v>
      </c>
      <c r="B120" s="154" t="s">
        <v>86</v>
      </c>
      <c r="C120" s="154">
        <v>2021</v>
      </c>
      <c r="D120" s="173" t="s">
        <v>8737</v>
      </c>
      <c r="E120" s="157">
        <v>11435140</v>
      </c>
      <c r="F120" s="157">
        <v>1000</v>
      </c>
      <c r="G120" s="155">
        <f t="shared" si="3"/>
        <v>11435.14</v>
      </c>
      <c r="H120" s="173" t="s">
        <v>8738</v>
      </c>
      <c r="I120" s="173">
        <v>13</v>
      </c>
      <c r="J120" s="173" t="s">
        <v>8728</v>
      </c>
      <c r="K120" s="173" t="s">
        <v>8739</v>
      </c>
      <c r="L120" s="173" t="s">
        <v>8740</v>
      </c>
    </row>
    <row r="121" spans="1:12" ht="72" customHeight="1" x14ac:dyDescent="0.3">
      <c r="A121" s="151" t="s">
        <v>8741</v>
      </c>
      <c r="B121" s="151" t="s">
        <v>86</v>
      </c>
      <c r="C121" s="151">
        <v>2022</v>
      </c>
      <c r="D121" s="174" t="s">
        <v>8726</v>
      </c>
      <c r="E121" s="66">
        <v>10415282</v>
      </c>
      <c r="F121" s="66">
        <v>1000</v>
      </c>
      <c r="G121" s="156">
        <f t="shared" si="3"/>
        <v>10415.281999999999</v>
      </c>
      <c r="H121" s="174" t="s">
        <v>8742</v>
      </c>
      <c r="I121" s="174">
        <v>13</v>
      </c>
      <c r="J121" s="174" t="s">
        <v>8728</v>
      </c>
      <c r="K121" s="174" t="s">
        <v>8743</v>
      </c>
      <c r="L121" s="174" t="s">
        <v>8744</v>
      </c>
    </row>
    <row r="122" spans="1:12" ht="72" customHeight="1" x14ac:dyDescent="0.3">
      <c r="A122" s="154" t="s">
        <v>8745</v>
      </c>
      <c r="B122" s="154" t="s">
        <v>86</v>
      </c>
      <c r="C122" s="154">
        <v>2022</v>
      </c>
      <c r="D122" s="173" t="s">
        <v>8732</v>
      </c>
      <c r="E122" s="157">
        <v>14937395</v>
      </c>
      <c r="F122" s="157">
        <v>1000</v>
      </c>
      <c r="G122" s="155">
        <f t="shared" si="3"/>
        <v>14937.395</v>
      </c>
      <c r="H122" s="173" t="s">
        <v>8746</v>
      </c>
      <c r="I122" s="173">
        <v>13</v>
      </c>
      <c r="J122" s="173" t="s">
        <v>8728</v>
      </c>
      <c r="K122" s="173" t="s">
        <v>8747</v>
      </c>
      <c r="L122" s="173" t="s">
        <v>8748</v>
      </c>
    </row>
    <row r="123" spans="1:12" ht="72" customHeight="1" x14ac:dyDescent="0.3">
      <c r="A123" s="151" t="s">
        <v>8749</v>
      </c>
      <c r="B123" s="151" t="s">
        <v>86</v>
      </c>
      <c r="C123" s="151">
        <v>2022</v>
      </c>
      <c r="D123" s="174" t="s">
        <v>8737</v>
      </c>
      <c r="E123" s="66">
        <v>13586880</v>
      </c>
      <c r="F123" s="66">
        <v>1000</v>
      </c>
      <c r="G123" s="156">
        <f t="shared" si="3"/>
        <v>13586.88</v>
      </c>
      <c r="H123" s="174" t="s">
        <v>8750</v>
      </c>
      <c r="I123" s="174">
        <v>13</v>
      </c>
      <c r="J123" s="174" t="s">
        <v>8728</v>
      </c>
      <c r="K123" s="174" t="s">
        <v>8751</v>
      </c>
      <c r="L123" s="174" t="s">
        <v>8752</v>
      </c>
    </row>
    <row r="124" spans="1:12" ht="72" customHeight="1" x14ac:dyDescent="0.3">
      <c r="A124" s="154" t="s">
        <v>8753</v>
      </c>
      <c r="B124" s="154" t="s">
        <v>86</v>
      </c>
      <c r="C124" s="154">
        <v>2023</v>
      </c>
      <c r="D124" s="173" t="s">
        <v>8726</v>
      </c>
      <c r="E124" s="157">
        <v>14844910</v>
      </c>
      <c r="F124" s="157">
        <v>1000</v>
      </c>
      <c r="G124" s="155">
        <f t="shared" si="3"/>
        <v>14844.91</v>
      </c>
      <c r="H124" s="173" t="s">
        <v>8754</v>
      </c>
      <c r="I124" s="173">
        <v>13</v>
      </c>
      <c r="J124" s="173" t="s">
        <v>8728</v>
      </c>
      <c r="K124" s="173" t="s">
        <v>8755</v>
      </c>
      <c r="L124" s="173" t="s">
        <v>8756</v>
      </c>
    </row>
    <row r="125" spans="1:12" ht="72" customHeight="1" x14ac:dyDescent="0.3">
      <c r="A125" s="151" t="s">
        <v>8757</v>
      </c>
      <c r="B125" s="151" t="s">
        <v>86</v>
      </c>
      <c r="C125" s="151">
        <v>2023</v>
      </c>
      <c r="D125" s="174" t="s">
        <v>8732</v>
      </c>
      <c r="E125" s="66">
        <v>11877889</v>
      </c>
      <c r="F125" s="66">
        <v>1000</v>
      </c>
      <c r="G125" s="156">
        <f t="shared" si="3"/>
        <v>11877.888999999999</v>
      </c>
      <c r="H125" s="174" t="s">
        <v>8758</v>
      </c>
      <c r="I125" s="174">
        <v>13</v>
      </c>
      <c r="J125" s="174" t="s">
        <v>8728</v>
      </c>
      <c r="K125" s="174" t="s">
        <v>8759</v>
      </c>
      <c r="L125" s="174" t="s">
        <v>8760</v>
      </c>
    </row>
    <row r="126" spans="1:12" ht="72" customHeight="1" x14ac:dyDescent="0.3">
      <c r="A126" s="154" t="s">
        <v>8761</v>
      </c>
      <c r="B126" s="154" t="s">
        <v>86</v>
      </c>
      <c r="C126" s="154">
        <v>2023</v>
      </c>
      <c r="D126" s="173" t="s">
        <v>8737</v>
      </c>
      <c r="E126" s="157">
        <v>12736865</v>
      </c>
      <c r="F126" s="157">
        <v>1000</v>
      </c>
      <c r="G126" s="155">
        <f t="shared" si="3"/>
        <v>12736.865</v>
      </c>
      <c r="H126" s="173" t="s">
        <v>8762</v>
      </c>
      <c r="I126" s="173">
        <v>13</v>
      </c>
      <c r="J126" s="173" t="s">
        <v>8728</v>
      </c>
      <c r="K126" s="173" t="s">
        <v>8763</v>
      </c>
      <c r="L126" s="173" t="s">
        <v>8764</v>
      </c>
    </row>
    <row r="127" spans="1:12" ht="72" customHeight="1" x14ac:dyDescent="0.3">
      <c r="A127" s="151" t="s">
        <v>8765</v>
      </c>
      <c r="B127" s="151" t="s">
        <v>86</v>
      </c>
      <c r="C127" s="151">
        <v>2024</v>
      </c>
      <c r="D127" s="174" t="s">
        <v>8726</v>
      </c>
      <c r="E127" s="66">
        <v>14706762</v>
      </c>
      <c r="F127" s="66">
        <v>1000</v>
      </c>
      <c r="G127" s="156">
        <f t="shared" si="3"/>
        <v>14706.762000000001</v>
      </c>
      <c r="H127" s="174" t="s">
        <v>8766</v>
      </c>
      <c r="I127" s="174">
        <v>13</v>
      </c>
      <c r="J127" s="174" t="s">
        <v>8728</v>
      </c>
      <c r="K127" s="174" t="s">
        <v>8767</v>
      </c>
      <c r="L127" s="174" t="s">
        <v>8768</v>
      </c>
    </row>
    <row r="128" spans="1:12" ht="72" customHeight="1" x14ac:dyDescent="0.3">
      <c r="A128" s="154" t="s">
        <v>8769</v>
      </c>
      <c r="B128" s="154" t="s">
        <v>86</v>
      </c>
      <c r="C128" s="154">
        <v>2024</v>
      </c>
      <c r="D128" s="173" t="s">
        <v>8732</v>
      </c>
      <c r="E128" s="157">
        <v>14979853</v>
      </c>
      <c r="F128" s="157">
        <v>1000</v>
      </c>
      <c r="G128" s="155">
        <f t="shared" si="3"/>
        <v>14979.852999999999</v>
      </c>
      <c r="H128" s="173" t="s">
        <v>8770</v>
      </c>
      <c r="I128" s="173">
        <v>13</v>
      </c>
      <c r="J128" s="173" t="s">
        <v>8728</v>
      </c>
      <c r="K128" s="173" t="s">
        <v>8771</v>
      </c>
      <c r="L128" s="173" t="s">
        <v>8772</v>
      </c>
    </row>
    <row r="129" spans="1:12" ht="72" customHeight="1" x14ac:dyDescent="0.3">
      <c r="A129" s="151" t="s">
        <v>8773</v>
      </c>
      <c r="B129" s="151" t="s">
        <v>86</v>
      </c>
      <c r="C129" s="151">
        <v>2024</v>
      </c>
      <c r="D129" s="174" t="s">
        <v>8737</v>
      </c>
      <c r="E129" s="66">
        <v>12902548</v>
      </c>
      <c r="F129" s="66">
        <v>1000</v>
      </c>
      <c r="G129" s="156">
        <f t="shared" si="3"/>
        <v>12902.548000000001</v>
      </c>
      <c r="H129" s="174" t="s">
        <v>8774</v>
      </c>
      <c r="I129" s="174">
        <v>13</v>
      </c>
      <c r="J129" s="174" t="s">
        <v>8728</v>
      </c>
      <c r="K129" s="174" t="s">
        <v>8775</v>
      </c>
      <c r="L129" s="174" t="s">
        <v>8776</v>
      </c>
    </row>
    <row r="130" spans="1:12" ht="72" customHeight="1" x14ac:dyDescent="0.3">
      <c r="A130" s="154" t="s">
        <v>8777</v>
      </c>
      <c r="B130" s="154" t="s">
        <v>86</v>
      </c>
      <c r="C130" s="154">
        <v>2025</v>
      </c>
      <c r="D130" s="173" t="s">
        <v>8726</v>
      </c>
      <c r="E130" s="157">
        <v>13907688</v>
      </c>
      <c r="F130" s="157">
        <v>1000</v>
      </c>
      <c r="G130" s="155">
        <f t="shared" si="3"/>
        <v>13907.688</v>
      </c>
      <c r="H130" s="173" t="s">
        <v>8778</v>
      </c>
      <c r="I130" s="173">
        <v>13</v>
      </c>
      <c r="J130" s="173" t="s">
        <v>8728</v>
      </c>
      <c r="K130" s="173" t="s">
        <v>8779</v>
      </c>
      <c r="L130" s="173" t="s">
        <v>8780</v>
      </c>
    </row>
    <row r="131" spans="1:12" ht="72" customHeight="1" x14ac:dyDescent="0.3">
      <c r="A131" s="151" t="s">
        <v>8781</v>
      </c>
      <c r="B131" s="151" t="s">
        <v>86</v>
      </c>
      <c r="C131" s="151">
        <v>2025</v>
      </c>
      <c r="D131" s="174" t="s">
        <v>8732</v>
      </c>
      <c r="E131" s="66">
        <v>14818014</v>
      </c>
      <c r="F131" s="66">
        <v>1000</v>
      </c>
      <c r="G131" s="156">
        <f t="shared" si="3"/>
        <v>14818.013999999999</v>
      </c>
      <c r="H131" s="174" t="s">
        <v>8782</v>
      </c>
      <c r="I131" s="174">
        <v>13</v>
      </c>
      <c r="J131" s="174" t="s">
        <v>8728</v>
      </c>
      <c r="K131" s="174" t="s">
        <v>8783</v>
      </c>
      <c r="L131" s="174" t="s">
        <v>8784</v>
      </c>
    </row>
    <row r="132" spans="1:12" ht="72" customHeight="1" x14ac:dyDescent="0.3">
      <c r="A132" s="154" t="s">
        <v>8785</v>
      </c>
      <c r="B132" s="154" t="s">
        <v>86</v>
      </c>
      <c r="C132" s="154">
        <v>2025</v>
      </c>
      <c r="D132" s="173" t="s">
        <v>8737</v>
      </c>
      <c r="E132" s="157">
        <v>14070224</v>
      </c>
      <c r="F132" s="157">
        <v>1000</v>
      </c>
      <c r="G132" s="155">
        <f t="shared" si="3"/>
        <v>14070.224</v>
      </c>
      <c r="H132" s="173" t="s">
        <v>8786</v>
      </c>
      <c r="I132" s="173">
        <v>13</v>
      </c>
      <c r="J132" s="173" t="s">
        <v>8728</v>
      </c>
      <c r="K132" s="173" t="s">
        <v>8787</v>
      </c>
      <c r="L132" s="173" t="s">
        <v>8788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1250"/>
  <sheetViews>
    <sheetView showGridLines="0" workbookViewId="0">
      <pane xSplit="3" ySplit="15" topLeftCell="D16" activePane="bottomRight" state="frozen"/>
      <selection pane="topRight"/>
      <selection pane="bottomLeft"/>
      <selection pane="bottomRight" activeCell="D16" sqref="D16"/>
    </sheetView>
  </sheetViews>
  <sheetFormatPr defaultRowHeight="14.4" x14ac:dyDescent="0.3"/>
  <cols>
    <col min="1" max="1" width="10" customWidth="1"/>
    <col min="2" max="2" width="14" customWidth="1"/>
    <col min="3" max="5" width="20" customWidth="1"/>
    <col min="6" max="6" width="23" customWidth="1"/>
    <col min="7" max="7" width="25" customWidth="1"/>
    <col min="8" max="8" width="24" customWidth="1"/>
    <col min="9" max="11" width="20" customWidth="1"/>
    <col min="12" max="12" width="22" customWidth="1"/>
    <col min="13" max="16" width="20" customWidth="1"/>
    <col min="17" max="17" width="15" customWidth="1"/>
    <col min="18" max="18" width="18" customWidth="1"/>
    <col min="19" max="21" width="20" customWidth="1"/>
  </cols>
  <sheetData>
    <row r="1" spans="1:21" ht="22.05" customHeight="1" x14ac:dyDescent="0.3">
      <c r="A1" s="151"/>
      <c r="B1" s="151"/>
      <c r="C1" s="151"/>
      <c r="D1" s="151"/>
      <c r="E1" s="151"/>
      <c r="F1" s="151"/>
      <c r="G1" s="151"/>
      <c r="H1" s="151"/>
      <c r="I1" s="151"/>
      <c r="J1" s="151"/>
      <c r="K1" s="151"/>
      <c r="L1" s="151"/>
      <c r="M1" s="151"/>
      <c r="N1" s="151"/>
      <c r="O1" s="151"/>
      <c r="P1" s="151"/>
    </row>
    <row r="2" spans="1:21" ht="22.05" customHeight="1" x14ac:dyDescent="0.3">
      <c r="A2" s="152" t="s">
        <v>8789</v>
      </c>
      <c r="B2" s="151"/>
      <c r="C2" s="151"/>
      <c r="D2" s="151"/>
      <c r="E2" s="151"/>
      <c r="F2" s="151"/>
      <c r="G2" s="151"/>
      <c r="H2" s="151"/>
      <c r="I2" s="151"/>
      <c r="J2" s="151"/>
      <c r="K2" s="151"/>
      <c r="L2" s="151"/>
      <c r="M2" s="151"/>
      <c r="N2" s="151"/>
      <c r="O2" s="151"/>
      <c r="P2" s="151"/>
    </row>
    <row r="3" spans="1:21" ht="22.05" customHeight="1" x14ac:dyDescent="0.3">
      <c r="A3" s="151"/>
      <c r="B3" s="151"/>
      <c r="C3" s="151"/>
      <c r="D3" s="151"/>
      <c r="E3" s="151"/>
      <c r="F3" s="151"/>
      <c r="G3" s="151"/>
      <c r="H3" s="151"/>
      <c r="I3" s="151"/>
      <c r="J3" s="151"/>
      <c r="K3" s="151"/>
      <c r="L3" s="151"/>
      <c r="M3" s="151"/>
      <c r="N3" s="151"/>
      <c r="O3" s="151"/>
      <c r="P3" s="151"/>
    </row>
    <row r="4" spans="1:21" ht="40.049999999999997" customHeight="1" x14ac:dyDescent="0.3">
      <c r="A4" s="153" t="s">
        <v>3</v>
      </c>
      <c r="B4" s="153" t="s">
        <v>8790</v>
      </c>
      <c r="C4" s="153" t="s">
        <v>8791</v>
      </c>
      <c r="D4" s="153" t="s">
        <v>8792</v>
      </c>
      <c r="E4" s="153" t="s">
        <v>8793</v>
      </c>
      <c r="F4" s="153" t="s">
        <v>8794</v>
      </c>
      <c r="G4" s="153" t="s">
        <v>8795</v>
      </c>
      <c r="H4" s="153" t="s">
        <v>8796</v>
      </c>
      <c r="I4" s="153" t="s">
        <v>8797</v>
      </c>
      <c r="J4" s="153" t="s">
        <v>8798</v>
      </c>
      <c r="K4" s="153" t="s">
        <v>8799</v>
      </c>
      <c r="L4" s="153" t="s">
        <v>8800</v>
      </c>
      <c r="M4" s="153" t="s">
        <v>8801</v>
      </c>
      <c r="N4" s="153" t="s">
        <v>8802</v>
      </c>
      <c r="O4" s="153" t="s">
        <v>8803</v>
      </c>
      <c r="P4" s="153" t="s">
        <v>8804</v>
      </c>
    </row>
    <row r="5" spans="1:21" ht="22.05" customHeight="1" x14ac:dyDescent="0.3">
      <c r="A5" s="154">
        <v>2021</v>
      </c>
      <c r="B5" s="154">
        <f>COUNT(F16:F264)</f>
        <v>249</v>
      </c>
      <c r="C5" s="161">
        <f>F264</f>
        <v>23</v>
      </c>
      <c r="D5" s="161">
        <f>AVERAGE(F16:F264)</f>
        <v>22.061164658634539</v>
      </c>
      <c r="E5" s="161">
        <f>MEDIAN(F16:F264)</f>
        <v>21.66</v>
      </c>
      <c r="F5" s="161">
        <f>SUM(H16:H264)/SUM(G16:G264)</f>
        <v>22.200340154194269</v>
      </c>
      <c r="G5" s="161">
        <f>AVERAGE(S16:S27)</f>
        <v>22.418333333333333</v>
      </c>
      <c r="H5" s="161">
        <f>AVERAGE(T16:T27)</f>
        <v>22.114575634161156</v>
      </c>
      <c r="I5" s="161">
        <f>AVERAGE(C16:C264)</f>
        <v>22.074337349397602</v>
      </c>
      <c r="J5" s="161">
        <f>AVERAGE(D16:D264)</f>
        <v>22.428554216867468</v>
      </c>
      <c r="K5" s="161">
        <f>AVERAGE(E16:E264)</f>
        <v>21.736345381526121</v>
      </c>
      <c r="L5" s="161">
        <f>(MAX(D16:D264)+MIN(E16:E264))/2</f>
        <v>22.234999999999999</v>
      </c>
      <c r="M5" s="161">
        <f>AVERAGE(F16:F79)</f>
        <v>20.495781250000004</v>
      </c>
      <c r="N5" s="161">
        <f>AVERAGE(F80:F143)</f>
        <v>20.871718750000007</v>
      </c>
      <c r="O5" s="161">
        <f>AVERAGE(F144:F205)</f>
        <v>23.376129032258071</v>
      </c>
      <c r="P5" s="161">
        <f>AVERAGE(F206:F264)</f>
        <v>23.667627118644067</v>
      </c>
    </row>
    <row r="6" spans="1:21" ht="22.05" customHeight="1" x14ac:dyDescent="0.3">
      <c r="A6" s="151">
        <v>2022</v>
      </c>
      <c r="B6" s="151">
        <f>COUNT(F265:F513)</f>
        <v>249</v>
      </c>
      <c r="C6" s="162">
        <f>F513</f>
        <v>14.17</v>
      </c>
      <c r="D6" s="162">
        <f>AVERAGE(F265:F513)</f>
        <v>18.143132530120486</v>
      </c>
      <c r="E6" s="162">
        <f>MEDIAN(F265:F513)</f>
        <v>17.850000000000001</v>
      </c>
      <c r="F6" s="162">
        <f>SUM(H265:H513)/SUM(G265:G513)</f>
        <v>18.052709980571265</v>
      </c>
      <c r="G6" s="162">
        <f>AVERAGE(S28:S39)</f>
        <v>18.064166666666669</v>
      </c>
      <c r="H6" s="162">
        <f>AVERAGE(T28:T39)</f>
        <v>18.167809658506169</v>
      </c>
      <c r="I6" s="162">
        <f>AVERAGE(C265:C513)</f>
        <v>18.198554216867471</v>
      </c>
      <c r="J6" s="162">
        <f>AVERAGE(D265:D513)</f>
        <v>18.465060240963844</v>
      </c>
      <c r="K6" s="162">
        <f>AVERAGE(E265:E513)</f>
        <v>17.894257028112449</v>
      </c>
      <c r="L6" s="162">
        <f>(MAX(D265:D513)+MIN(E265:E513))/2</f>
        <v>18.504999999999999</v>
      </c>
      <c r="M6" s="162">
        <f>AVERAGE(F265:F325)</f>
        <v>20.858196721311472</v>
      </c>
      <c r="N6" s="162">
        <f>AVERAGE(F326:F390)</f>
        <v>18.17292307692307</v>
      </c>
      <c r="O6" s="162">
        <f>AVERAGE(F391:F453)</f>
        <v>17.746984126984124</v>
      </c>
      <c r="P6" s="162">
        <f>AVERAGE(F454:F513)</f>
        <v>15.766500000000001</v>
      </c>
    </row>
    <row r="7" spans="1:21" ht="22.05" customHeight="1" x14ac:dyDescent="0.3">
      <c r="A7" s="154">
        <v>2023</v>
      </c>
      <c r="B7" s="154">
        <f>COUNT(F514:F759)</f>
        <v>246</v>
      </c>
      <c r="C7" s="161">
        <f>F759</f>
        <v>11.76</v>
      </c>
      <c r="D7" s="161">
        <f>AVERAGE(F514:F759)</f>
        <v>12.950934959349608</v>
      </c>
      <c r="E7" s="161">
        <f>MEDIAN(F514:F759)</f>
        <v>12.274999999999999</v>
      </c>
      <c r="F7" s="161">
        <f>SUM(H514:H759)/SUM(G514:G759)</f>
        <v>13.122319281050176</v>
      </c>
      <c r="G7" s="161">
        <f>AVERAGE(S40:S51)</f>
        <v>12.759166666666665</v>
      </c>
      <c r="H7" s="161">
        <f>AVERAGE(T40:T51)</f>
        <v>12.929886411103517</v>
      </c>
      <c r="I7" s="161">
        <f>AVERAGE(C514:C759)</f>
        <v>12.978943089430896</v>
      </c>
      <c r="J7" s="161">
        <f>AVERAGE(D514:D759)</f>
        <v>13.172804878048792</v>
      </c>
      <c r="K7" s="161">
        <f>AVERAGE(E514:E759)</f>
        <v>12.764308943089434</v>
      </c>
      <c r="L7" s="161">
        <f>(MAX(D514:D759)+MIN(E514:E759))/2</f>
        <v>13.170000000000002</v>
      </c>
      <c r="M7" s="161">
        <f>AVERAGE(F514:F574)</f>
        <v>14.481639344262295</v>
      </c>
      <c r="N7" s="161">
        <f>AVERAGE(F575:F638)</f>
        <v>13.735156249999999</v>
      </c>
      <c r="O7" s="161">
        <f>AVERAGE(F639:F702)</f>
        <v>11.569843749999999</v>
      </c>
      <c r="P7" s="161">
        <f>AVERAGE(F703:F759)</f>
        <v>11.982982456140352</v>
      </c>
    </row>
    <row r="8" spans="1:21" ht="22.05" customHeight="1" x14ac:dyDescent="0.3">
      <c r="A8" s="151">
        <v>2024</v>
      </c>
      <c r="B8" s="151">
        <f>COUNT(F760:F1003)</f>
        <v>244</v>
      </c>
      <c r="C8" s="162">
        <f>F1003</f>
        <v>22.91</v>
      </c>
      <c r="D8" s="162">
        <f>AVERAGE(F760:F1003)</f>
        <v>16.699221311475416</v>
      </c>
      <c r="E8" s="162">
        <f>MEDIAN(F760:F1003)</f>
        <v>17.615000000000002</v>
      </c>
      <c r="F8" s="162">
        <f>SUM(H760:H1003)/SUM(G760:G1003)</f>
        <v>18.944419632090071</v>
      </c>
      <c r="G8" s="162">
        <f>AVERAGE(S52:S63)</f>
        <v>17.0625</v>
      </c>
      <c r="H8" s="162">
        <f>AVERAGE(T52:T63)</f>
        <v>16.825523552108592</v>
      </c>
      <c r="I8" s="162">
        <f>AVERAGE(C760:C1003)</f>
        <v>16.737909836065572</v>
      </c>
      <c r="J8" s="162">
        <f>AVERAGE(D760:D1003)</f>
        <v>17.053770491803277</v>
      </c>
      <c r="K8" s="162">
        <f>AVERAGE(E760:E1003)</f>
        <v>16.404713114754095</v>
      </c>
      <c r="L8" s="162">
        <f>(MAX(D760:D1003)+MIN(E760:E1003))/2</f>
        <v>17.545000000000002</v>
      </c>
      <c r="M8" s="162">
        <f>AVERAGE(F760:F821)</f>
        <v>11.761129032258065</v>
      </c>
      <c r="N8" s="162">
        <f>AVERAGE(F822:F884)</f>
        <v>15.850793650793653</v>
      </c>
      <c r="O8" s="162">
        <f>AVERAGE(F885:F947)</f>
        <v>18.164444444444445</v>
      </c>
      <c r="P8" s="162">
        <f>AVERAGE(F948:F1003)</f>
        <v>21.4725</v>
      </c>
    </row>
    <row r="9" spans="1:21" ht="22.05" customHeight="1" x14ac:dyDescent="0.3">
      <c r="A9" s="154">
        <v>2025</v>
      </c>
      <c r="B9" s="154">
        <f>COUNT(F1004:F1250)</f>
        <v>247</v>
      </c>
      <c r="C9" s="161">
        <f>F1250</f>
        <v>44.67</v>
      </c>
      <c r="D9" s="161">
        <f>AVERAGE(F1004:F1250)</f>
        <v>35.080121457489859</v>
      </c>
      <c r="E9" s="161">
        <f>MEDIAN(F1004:F1250)</f>
        <v>36.340000000000003</v>
      </c>
      <c r="F9" s="161">
        <f>SUM(H1004:H1250)/SUM(G1004:G1250)</f>
        <v>37.265353672247848</v>
      </c>
      <c r="G9" s="161">
        <f>AVERAGE(S64:S75)</f>
        <v>35.895000000000003</v>
      </c>
      <c r="H9" s="161">
        <f>AVERAGE(T64:T75)</f>
        <v>35.343317006283819</v>
      </c>
      <c r="I9" s="161">
        <f>AVERAGE(C1004:C1250)</f>
        <v>35.120688259109286</v>
      </c>
      <c r="J9" s="161">
        <f>AVERAGE(D1004:D1250)</f>
        <v>35.864574898785413</v>
      </c>
      <c r="K9" s="161">
        <f>AVERAGE(E1004:E1250)</f>
        <v>34.381052631578974</v>
      </c>
      <c r="L9" s="161">
        <f>(MAX(D1004:D1250)+MIN(E1004:E1250))/2</f>
        <v>34.774999999999999</v>
      </c>
      <c r="M9" s="161">
        <f>AVERAGE(F1004:F1065)</f>
        <v>22.462903225806446</v>
      </c>
      <c r="N9" s="161">
        <f>AVERAGE(F1066:F1130)</f>
        <v>33.24984615384615</v>
      </c>
      <c r="O9" s="161">
        <f>AVERAGE(F1131:F1191)</f>
        <v>39.766393442622949</v>
      </c>
      <c r="P9" s="161">
        <f>AVERAGE(F1192:F1250)</f>
        <v>45.510169491525431</v>
      </c>
    </row>
    <row r="10" spans="1:21" ht="22.05" customHeight="1" x14ac:dyDescent="0.3">
      <c r="A10" s="151"/>
      <c r="B10" s="151"/>
      <c r="C10" s="151"/>
      <c r="D10" s="151"/>
      <c r="E10" s="151"/>
      <c r="F10" s="151"/>
      <c r="G10" s="151"/>
      <c r="H10" s="151"/>
      <c r="I10" s="151"/>
      <c r="J10" s="151"/>
      <c r="K10" s="151"/>
      <c r="L10" s="151"/>
      <c r="M10" s="151"/>
      <c r="N10" s="151"/>
      <c r="O10" s="151"/>
      <c r="P10" s="151"/>
    </row>
    <row r="11" spans="1:21" x14ac:dyDescent="0.3">
      <c r="A11" t="s">
        <v>8805</v>
      </c>
    </row>
    <row r="12" spans="1:21" x14ac:dyDescent="0.3">
      <c r="A12" t="s">
        <v>8806</v>
      </c>
    </row>
    <row r="15" spans="1:21" x14ac:dyDescent="0.3">
      <c r="A15" s="158" t="s">
        <v>3</v>
      </c>
      <c r="B15" s="158" t="s">
        <v>3342</v>
      </c>
      <c r="C15" s="158" t="s">
        <v>8807</v>
      </c>
      <c r="D15" s="158" t="s">
        <v>8808</v>
      </c>
      <c r="E15" s="158" t="s">
        <v>8809</v>
      </c>
      <c r="F15" s="158" t="s">
        <v>8810</v>
      </c>
      <c r="G15" s="158" t="s">
        <v>5424</v>
      </c>
      <c r="H15" s="158" t="s">
        <v>8811</v>
      </c>
      <c r="I15" s="158" t="s">
        <v>8812</v>
      </c>
      <c r="J15" s="158" t="s">
        <v>8813</v>
      </c>
      <c r="K15" s="158" t="s">
        <v>8814</v>
      </c>
      <c r="L15" s="158" t="s">
        <v>8815</v>
      </c>
      <c r="M15" s="158" t="s">
        <v>8480</v>
      </c>
      <c r="N15" s="158" t="s">
        <v>8816</v>
      </c>
      <c r="P15" s="158" t="s">
        <v>3</v>
      </c>
      <c r="Q15" s="158" t="s">
        <v>5426</v>
      </c>
      <c r="R15" s="158" t="s">
        <v>8817</v>
      </c>
      <c r="S15" s="158" t="s">
        <v>8818</v>
      </c>
      <c r="T15" s="158" t="s">
        <v>8792</v>
      </c>
      <c r="U15" s="158" t="s">
        <v>8790</v>
      </c>
    </row>
    <row r="16" spans="1:21" x14ac:dyDescent="0.3">
      <c r="A16">
        <v>2021</v>
      </c>
      <c r="B16" s="159">
        <v>44013</v>
      </c>
      <c r="C16" s="130">
        <v>16.95</v>
      </c>
      <c r="D16" s="130">
        <v>17.5</v>
      </c>
      <c r="E16" s="130">
        <v>16.86</v>
      </c>
      <c r="F16" s="130">
        <v>17.45</v>
      </c>
      <c r="G16" s="160">
        <v>5084000</v>
      </c>
      <c r="H16" s="160">
        <f t="shared" ref="H16:H79" si="0">F16*G16</f>
        <v>88715800</v>
      </c>
      <c r="I16" t="s">
        <v>8819</v>
      </c>
      <c r="J16">
        <v>2020</v>
      </c>
      <c r="K16">
        <v>7</v>
      </c>
      <c r="L16" t="s">
        <v>8820</v>
      </c>
      <c r="M16" t="s">
        <v>1552</v>
      </c>
      <c r="N16" t="s">
        <v>8821</v>
      </c>
      <c r="P16">
        <v>2021</v>
      </c>
      <c r="Q16" t="s">
        <v>8819</v>
      </c>
      <c r="R16" s="159">
        <v>44042</v>
      </c>
      <c r="S16" s="163">
        <f>F37</f>
        <v>20.98</v>
      </c>
      <c r="T16" s="163">
        <f>AVERAGE(F16:F37)</f>
        <v>18.940454545454546</v>
      </c>
      <c r="U16">
        <f>COUNT(F16:F37)</f>
        <v>22</v>
      </c>
    </row>
    <row r="17" spans="1:21" x14ac:dyDescent="0.3">
      <c r="A17">
        <v>2021</v>
      </c>
      <c r="B17" s="159">
        <v>44014</v>
      </c>
      <c r="C17" s="130">
        <v>17.41</v>
      </c>
      <c r="D17" s="130">
        <v>17.649999999999999</v>
      </c>
      <c r="E17" s="130">
        <v>17.2</v>
      </c>
      <c r="F17" s="130">
        <v>17.28</v>
      </c>
      <c r="G17" s="160">
        <v>2878000</v>
      </c>
      <c r="H17" s="160">
        <f t="shared" si="0"/>
        <v>49731840</v>
      </c>
      <c r="I17" t="s">
        <v>8819</v>
      </c>
      <c r="J17">
        <v>2020</v>
      </c>
      <c r="K17">
        <v>7</v>
      </c>
      <c r="L17" t="s">
        <v>8820</v>
      </c>
      <c r="M17" t="s">
        <v>1552</v>
      </c>
      <c r="N17" t="s">
        <v>8821</v>
      </c>
      <c r="P17">
        <v>2021</v>
      </c>
      <c r="Q17" t="s">
        <v>8822</v>
      </c>
      <c r="R17" s="159">
        <v>44074</v>
      </c>
      <c r="S17" s="163">
        <f>F57</f>
        <v>21.7</v>
      </c>
      <c r="T17" s="163">
        <f>AVERAGE(F38:F57)</f>
        <v>21.079499999999996</v>
      </c>
      <c r="U17">
        <f>COUNT(F38:F57)</f>
        <v>20</v>
      </c>
    </row>
    <row r="18" spans="1:21" x14ac:dyDescent="0.3">
      <c r="A18">
        <v>2021</v>
      </c>
      <c r="B18" s="159">
        <v>44015</v>
      </c>
      <c r="C18" s="130">
        <v>17.260000000000002</v>
      </c>
      <c r="D18" s="130">
        <v>17.399999999999999</v>
      </c>
      <c r="E18" s="130">
        <v>17.05</v>
      </c>
      <c r="F18" s="130">
        <v>17.079999999999998</v>
      </c>
      <c r="G18" s="160">
        <v>550500</v>
      </c>
      <c r="H18" s="160">
        <f t="shared" si="0"/>
        <v>9402539.9999999981</v>
      </c>
      <c r="I18" t="s">
        <v>8819</v>
      </c>
      <c r="J18">
        <v>2020</v>
      </c>
      <c r="K18">
        <v>7</v>
      </c>
      <c r="L18" t="s">
        <v>8820</v>
      </c>
      <c r="M18" t="s">
        <v>1552</v>
      </c>
      <c r="N18" t="s">
        <v>8821</v>
      </c>
      <c r="P18">
        <v>2021</v>
      </c>
      <c r="Q18" t="s">
        <v>8823</v>
      </c>
      <c r="R18" s="159">
        <v>44104</v>
      </c>
      <c r="S18" s="163">
        <f>F79</f>
        <v>19.88</v>
      </c>
      <c r="T18" s="163">
        <f>AVERAGE(F58:F79)</f>
        <v>21.520454545454541</v>
      </c>
      <c r="U18">
        <f>COUNT(F58:F79)</f>
        <v>22</v>
      </c>
    </row>
    <row r="19" spans="1:21" x14ac:dyDescent="0.3">
      <c r="A19">
        <v>2021</v>
      </c>
      <c r="B19" s="159">
        <v>44018</v>
      </c>
      <c r="C19" s="130">
        <v>17.100000000000001</v>
      </c>
      <c r="D19" s="130">
        <v>17.37</v>
      </c>
      <c r="E19" s="130">
        <v>17.100000000000001</v>
      </c>
      <c r="F19" s="130">
        <v>17.260000000000002</v>
      </c>
      <c r="G19" s="160">
        <v>961500</v>
      </c>
      <c r="H19" s="160">
        <f t="shared" si="0"/>
        <v>16595490.000000002</v>
      </c>
      <c r="I19" t="s">
        <v>8819</v>
      </c>
      <c r="J19">
        <v>2020</v>
      </c>
      <c r="K19">
        <v>7</v>
      </c>
      <c r="L19" t="s">
        <v>8820</v>
      </c>
      <c r="M19" t="s">
        <v>1552</v>
      </c>
      <c r="N19" t="s">
        <v>8821</v>
      </c>
      <c r="P19">
        <v>2021</v>
      </c>
      <c r="Q19" t="s">
        <v>8824</v>
      </c>
      <c r="R19" s="159">
        <v>44133</v>
      </c>
      <c r="S19" s="163">
        <f>F100</f>
        <v>21.16</v>
      </c>
      <c r="T19" s="163">
        <f>AVERAGE(F80:F100)</f>
        <v>20.222857142857144</v>
      </c>
      <c r="U19">
        <f>COUNT(F80:F100)</f>
        <v>21</v>
      </c>
    </row>
    <row r="20" spans="1:21" x14ac:dyDescent="0.3">
      <c r="A20">
        <v>2021</v>
      </c>
      <c r="B20" s="159">
        <v>44019</v>
      </c>
      <c r="C20" s="130">
        <v>17.38</v>
      </c>
      <c r="D20" s="130">
        <v>17.75</v>
      </c>
      <c r="E20" s="130">
        <v>17.38</v>
      </c>
      <c r="F20" s="130">
        <v>17.649999999999999</v>
      </c>
      <c r="G20" s="160">
        <v>3658000</v>
      </c>
      <c r="H20" s="160">
        <f t="shared" si="0"/>
        <v>64563699.999999993</v>
      </c>
      <c r="I20" t="s">
        <v>8819</v>
      </c>
      <c r="J20">
        <v>2020</v>
      </c>
      <c r="K20">
        <v>7</v>
      </c>
      <c r="L20" t="s">
        <v>8820</v>
      </c>
      <c r="M20" t="s">
        <v>1552</v>
      </c>
      <c r="N20" t="s">
        <v>8821</v>
      </c>
      <c r="P20">
        <v>2021</v>
      </c>
      <c r="Q20" t="s">
        <v>8825</v>
      </c>
      <c r="R20" s="159">
        <v>44165</v>
      </c>
      <c r="S20" s="163">
        <f>F121</f>
        <v>20.87</v>
      </c>
      <c r="T20" s="163">
        <f>AVERAGE(F101:F121)</f>
        <v>21.045238095238098</v>
      </c>
      <c r="U20">
        <f>COUNT(F101:F121)</f>
        <v>21</v>
      </c>
    </row>
    <row r="21" spans="1:21" x14ac:dyDescent="0.3">
      <c r="A21">
        <v>2021</v>
      </c>
      <c r="B21" s="159">
        <v>44020</v>
      </c>
      <c r="C21" s="130">
        <v>17.649999999999999</v>
      </c>
      <c r="D21" s="130">
        <v>17.899999999999999</v>
      </c>
      <c r="E21" s="130">
        <v>17.649999999999999</v>
      </c>
      <c r="F21" s="130">
        <v>17.78</v>
      </c>
      <c r="G21" s="160">
        <v>2669500</v>
      </c>
      <c r="H21" s="160">
        <f t="shared" si="0"/>
        <v>47463710</v>
      </c>
      <c r="I21" t="s">
        <v>8819</v>
      </c>
      <c r="J21">
        <v>2020</v>
      </c>
      <c r="K21">
        <v>7</v>
      </c>
      <c r="L21" t="s">
        <v>8820</v>
      </c>
      <c r="M21" t="s">
        <v>1552</v>
      </c>
      <c r="N21" t="s">
        <v>8821</v>
      </c>
      <c r="P21">
        <v>2021</v>
      </c>
      <c r="Q21" t="s">
        <v>8826</v>
      </c>
      <c r="R21" s="159">
        <v>44196</v>
      </c>
      <c r="S21" s="163">
        <f>F143</f>
        <v>21.67</v>
      </c>
      <c r="T21" s="163">
        <f>AVERAGE(F122:F143)</f>
        <v>21.325454545454548</v>
      </c>
      <c r="U21">
        <f>COUNT(F122:F143)</f>
        <v>22</v>
      </c>
    </row>
    <row r="22" spans="1:21" x14ac:dyDescent="0.3">
      <c r="A22">
        <v>2021</v>
      </c>
      <c r="B22" s="159">
        <v>44021</v>
      </c>
      <c r="C22" s="130">
        <v>17.809999999999999</v>
      </c>
      <c r="D22" s="130">
        <v>17.89</v>
      </c>
      <c r="E22" s="130">
        <v>17.5</v>
      </c>
      <c r="F22" s="130">
        <v>17.7</v>
      </c>
      <c r="G22" s="160">
        <v>1563500</v>
      </c>
      <c r="H22" s="160">
        <f t="shared" si="0"/>
        <v>27673950</v>
      </c>
      <c r="I22" t="s">
        <v>8819</v>
      </c>
      <c r="J22">
        <v>2020</v>
      </c>
      <c r="K22">
        <v>7</v>
      </c>
      <c r="L22" t="s">
        <v>8820</v>
      </c>
      <c r="M22" t="s">
        <v>1552</v>
      </c>
      <c r="N22" t="s">
        <v>8821</v>
      </c>
      <c r="P22">
        <v>2021</v>
      </c>
      <c r="Q22" t="s">
        <v>8827</v>
      </c>
      <c r="R22" s="159">
        <v>44225</v>
      </c>
      <c r="S22" s="163">
        <f>F164</f>
        <v>24.78</v>
      </c>
      <c r="T22" s="163">
        <f>AVERAGE(F144:F164)</f>
        <v>21.775714285714283</v>
      </c>
      <c r="U22">
        <f>COUNT(F144:F164)</f>
        <v>21</v>
      </c>
    </row>
    <row r="23" spans="1:21" x14ac:dyDescent="0.3">
      <c r="A23">
        <v>2021</v>
      </c>
      <c r="B23" s="159">
        <v>44022</v>
      </c>
      <c r="C23" s="130">
        <v>17.61</v>
      </c>
      <c r="D23" s="130">
        <v>18.05</v>
      </c>
      <c r="E23" s="130">
        <v>17.52</v>
      </c>
      <c r="F23" s="130">
        <v>17.989999999999998</v>
      </c>
      <c r="G23" s="160">
        <v>2015000</v>
      </c>
      <c r="H23" s="160">
        <f t="shared" si="0"/>
        <v>36249850</v>
      </c>
      <c r="I23" t="s">
        <v>8819</v>
      </c>
      <c r="J23">
        <v>2020</v>
      </c>
      <c r="K23">
        <v>7</v>
      </c>
      <c r="L23" t="s">
        <v>8820</v>
      </c>
      <c r="M23" t="s">
        <v>1552</v>
      </c>
      <c r="N23" t="s">
        <v>8821</v>
      </c>
      <c r="P23">
        <v>2021</v>
      </c>
      <c r="Q23" t="s">
        <v>8828</v>
      </c>
      <c r="R23" s="159">
        <v>44253</v>
      </c>
      <c r="S23" s="163">
        <f>F183</f>
        <v>24.79</v>
      </c>
      <c r="T23" s="163">
        <f>AVERAGE(F165:F183)</f>
        <v>25.301052631578948</v>
      </c>
      <c r="U23">
        <f>COUNT(F165:F183)</f>
        <v>19</v>
      </c>
    </row>
    <row r="24" spans="1:21" x14ac:dyDescent="0.3">
      <c r="A24">
        <v>2021</v>
      </c>
      <c r="B24" s="159">
        <v>44025</v>
      </c>
      <c r="C24" s="130">
        <v>18.25</v>
      </c>
      <c r="D24" s="130">
        <v>19.05</v>
      </c>
      <c r="E24" s="130">
        <v>18.25</v>
      </c>
      <c r="F24" s="130">
        <v>18.850000000000001</v>
      </c>
      <c r="G24" s="160">
        <v>14234500</v>
      </c>
      <c r="H24" s="160">
        <f t="shared" si="0"/>
        <v>268320325.00000003</v>
      </c>
      <c r="I24" t="s">
        <v>8819</v>
      </c>
      <c r="J24">
        <v>2020</v>
      </c>
      <c r="K24">
        <v>7</v>
      </c>
      <c r="L24" t="s">
        <v>8820</v>
      </c>
      <c r="M24" t="s">
        <v>1552</v>
      </c>
      <c r="N24" t="s">
        <v>8821</v>
      </c>
      <c r="P24">
        <v>2021</v>
      </c>
      <c r="Q24" t="s">
        <v>8829</v>
      </c>
      <c r="R24" s="159">
        <v>44286</v>
      </c>
      <c r="S24" s="163">
        <f>F205</f>
        <v>22.82</v>
      </c>
      <c r="T24" s="163">
        <f>AVERAGE(F184:F205)</f>
        <v>23.241363636363641</v>
      </c>
      <c r="U24">
        <f>COUNT(F184:F205)</f>
        <v>22</v>
      </c>
    </row>
    <row r="25" spans="1:21" x14ac:dyDescent="0.3">
      <c r="A25">
        <v>2021</v>
      </c>
      <c r="B25" s="159">
        <v>44026</v>
      </c>
      <c r="C25" s="130">
        <v>18.93</v>
      </c>
      <c r="D25" s="130">
        <v>18.95</v>
      </c>
      <c r="E25" s="130">
        <v>18.5</v>
      </c>
      <c r="F25" s="130">
        <v>18.559999999999999</v>
      </c>
      <c r="G25" s="160">
        <v>2886000</v>
      </c>
      <c r="H25" s="160">
        <f t="shared" si="0"/>
        <v>53564160</v>
      </c>
      <c r="I25" t="s">
        <v>8819</v>
      </c>
      <c r="J25">
        <v>2020</v>
      </c>
      <c r="K25">
        <v>7</v>
      </c>
      <c r="L25" t="s">
        <v>8820</v>
      </c>
      <c r="M25" t="s">
        <v>1552</v>
      </c>
      <c r="N25" t="s">
        <v>8821</v>
      </c>
      <c r="P25">
        <v>2021</v>
      </c>
      <c r="Q25" t="s">
        <v>8830</v>
      </c>
      <c r="R25" s="159">
        <v>44316</v>
      </c>
      <c r="S25" s="163">
        <f>F227</f>
        <v>22.85</v>
      </c>
      <c r="T25" s="163">
        <f>AVERAGE(F206:F227)</f>
        <v>23.693181818181817</v>
      </c>
      <c r="U25">
        <f>COUNT(F206:F227)</f>
        <v>22</v>
      </c>
    </row>
    <row r="26" spans="1:21" x14ac:dyDescent="0.3">
      <c r="A26">
        <v>2021</v>
      </c>
      <c r="B26" s="159">
        <v>44027</v>
      </c>
      <c r="C26" s="130">
        <v>18.5</v>
      </c>
      <c r="D26" s="130">
        <v>18.7</v>
      </c>
      <c r="E26" s="130">
        <v>18.149999999999999</v>
      </c>
      <c r="F26" s="130">
        <v>18.39</v>
      </c>
      <c r="G26" s="160">
        <v>2717500</v>
      </c>
      <c r="H26" s="160">
        <f t="shared" si="0"/>
        <v>49974825</v>
      </c>
      <c r="I26" t="s">
        <v>8819</v>
      </c>
      <c r="J26">
        <v>2020</v>
      </c>
      <c r="K26">
        <v>7</v>
      </c>
      <c r="L26" t="s">
        <v>8820</v>
      </c>
      <c r="M26" t="s">
        <v>1552</v>
      </c>
      <c r="N26" t="s">
        <v>8821</v>
      </c>
      <c r="P26">
        <v>2021</v>
      </c>
      <c r="Q26" t="s">
        <v>8831</v>
      </c>
      <c r="R26" s="159">
        <v>44347</v>
      </c>
      <c r="S26" s="163">
        <f>F242</f>
        <v>24.52</v>
      </c>
      <c r="T26" s="163">
        <f>AVERAGE(F228:F242)</f>
        <v>23.415999999999997</v>
      </c>
      <c r="U26">
        <f>COUNT(F228:F242)</f>
        <v>15</v>
      </c>
    </row>
    <row r="27" spans="1:21" x14ac:dyDescent="0.3">
      <c r="A27">
        <v>2021</v>
      </c>
      <c r="B27" s="159">
        <v>44028</v>
      </c>
      <c r="C27" s="130">
        <v>18.32</v>
      </c>
      <c r="D27" s="130">
        <v>19.05</v>
      </c>
      <c r="E27" s="130">
        <v>18.2</v>
      </c>
      <c r="F27" s="130">
        <v>18.95</v>
      </c>
      <c r="G27" s="160">
        <v>19116000</v>
      </c>
      <c r="H27" s="160">
        <f t="shared" si="0"/>
        <v>362248200</v>
      </c>
      <c r="I27" t="s">
        <v>8819</v>
      </c>
      <c r="J27">
        <v>2020</v>
      </c>
      <c r="K27">
        <v>7</v>
      </c>
      <c r="L27" t="s">
        <v>8820</v>
      </c>
      <c r="M27" t="s">
        <v>1552</v>
      </c>
      <c r="N27" t="s">
        <v>8821</v>
      </c>
      <c r="P27">
        <v>2021</v>
      </c>
      <c r="Q27" t="s">
        <v>8832</v>
      </c>
      <c r="R27" s="159">
        <v>44377</v>
      </c>
      <c r="S27" s="163">
        <f>F264</f>
        <v>23</v>
      </c>
      <c r="T27" s="163">
        <f>AVERAGE(F243:F264)</f>
        <v>23.813636363636359</v>
      </c>
      <c r="U27">
        <f>COUNT(F243:F264)</f>
        <v>22</v>
      </c>
    </row>
    <row r="28" spans="1:21" x14ac:dyDescent="0.3">
      <c r="A28">
        <v>2021</v>
      </c>
      <c r="B28" s="159">
        <v>44029</v>
      </c>
      <c r="C28" s="130">
        <v>19</v>
      </c>
      <c r="D28" s="130">
        <v>19.149999999999999</v>
      </c>
      <c r="E28" s="130">
        <v>18.739999999999998</v>
      </c>
      <c r="F28" s="130">
        <v>19.079999999999998</v>
      </c>
      <c r="G28" s="160">
        <v>4861000</v>
      </c>
      <c r="H28" s="160">
        <f t="shared" si="0"/>
        <v>92747879.999999985</v>
      </c>
      <c r="I28" t="s">
        <v>8819</v>
      </c>
      <c r="J28">
        <v>2020</v>
      </c>
      <c r="K28">
        <v>7</v>
      </c>
      <c r="L28" t="s">
        <v>8820</v>
      </c>
      <c r="M28" t="s">
        <v>1552</v>
      </c>
      <c r="N28" t="s">
        <v>8821</v>
      </c>
      <c r="P28">
        <v>2022</v>
      </c>
      <c r="Q28" t="s">
        <v>8833</v>
      </c>
      <c r="R28" s="159">
        <v>44407</v>
      </c>
      <c r="S28" s="163">
        <f>F283</f>
        <v>21.83</v>
      </c>
      <c r="T28" s="163">
        <f>AVERAGE(F265:F283)</f>
        <v>22.717368421052626</v>
      </c>
      <c r="U28">
        <f>COUNT(F265:F283)</f>
        <v>19</v>
      </c>
    </row>
    <row r="29" spans="1:21" x14ac:dyDescent="0.3">
      <c r="A29">
        <v>2021</v>
      </c>
      <c r="B29" s="159">
        <v>44032</v>
      </c>
      <c r="C29" s="130">
        <v>19.05</v>
      </c>
      <c r="D29" s="130">
        <v>20.51</v>
      </c>
      <c r="E29" s="130">
        <v>19.05</v>
      </c>
      <c r="F29" s="130">
        <v>20.51</v>
      </c>
      <c r="G29" s="160">
        <v>20004000</v>
      </c>
      <c r="H29" s="160">
        <f t="shared" si="0"/>
        <v>410282040.00000006</v>
      </c>
      <c r="I29" t="s">
        <v>8819</v>
      </c>
      <c r="J29">
        <v>2020</v>
      </c>
      <c r="K29">
        <v>7</v>
      </c>
      <c r="L29" t="s">
        <v>8820</v>
      </c>
      <c r="M29" t="s">
        <v>1552</v>
      </c>
      <c r="N29" t="s">
        <v>8821</v>
      </c>
      <c r="P29">
        <v>2022</v>
      </c>
      <c r="Q29" t="s">
        <v>8834</v>
      </c>
      <c r="R29" s="159">
        <v>44439</v>
      </c>
      <c r="S29" s="163">
        <f>F303</f>
        <v>20.84</v>
      </c>
      <c r="T29" s="163">
        <f>AVERAGE(F284:F303)</f>
        <v>21.676499999999997</v>
      </c>
      <c r="U29">
        <f>COUNT(F284:F303)</f>
        <v>20</v>
      </c>
    </row>
    <row r="30" spans="1:21" x14ac:dyDescent="0.3">
      <c r="A30">
        <v>2021</v>
      </c>
      <c r="B30" s="159">
        <v>44033</v>
      </c>
      <c r="C30" s="130">
        <v>21</v>
      </c>
      <c r="D30" s="130">
        <v>21.75</v>
      </c>
      <c r="E30" s="130">
        <v>20.65</v>
      </c>
      <c r="F30" s="130">
        <v>20.75</v>
      </c>
      <c r="G30" s="160">
        <v>17493500</v>
      </c>
      <c r="H30" s="160">
        <f t="shared" si="0"/>
        <v>362990125</v>
      </c>
      <c r="I30" t="s">
        <v>8819</v>
      </c>
      <c r="J30">
        <v>2020</v>
      </c>
      <c r="K30">
        <v>7</v>
      </c>
      <c r="L30" t="s">
        <v>8820</v>
      </c>
      <c r="M30" t="s">
        <v>1552</v>
      </c>
      <c r="N30" t="s">
        <v>8821</v>
      </c>
      <c r="P30">
        <v>2022</v>
      </c>
      <c r="Q30" t="s">
        <v>8835</v>
      </c>
      <c r="R30" s="159">
        <v>44469</v>
      </c>
      <c r="S30" s="163">
        <f>F325</f>
        <v>17.95</v>
      </c>
      <c r="T30" s="163">
        <f>AVERAGE(F304:F325)</f>
        <v>18.508636363636359</v>
      </c>
      <c r="U30">
        <f>COUNT(F304:F325)</f>
        <v>22</v>
      </c>
    </row>
    <row r="31" spans="1:21" x14ac:dyDescent="0.3">
      <c r="A31">
        <v>2021</v>
      </c>
      <c r="B31" s="159">
        <v>44034</v>
      </c>
      <c r="C31" s="130">
        <v>20.65</v>
      </c>
      <c r="D31" s="130">
        <v>21.19</v>
      </c>
      <c r="E31" s="130">
        <v>20.100000000000001</v>
      </c>
      <c r="F31" s="130">
        <v>20.6</v>
      </c>
      <c r="G31" s="160">
        <v>17795500</v>
      </c>
      <c r="H31" s="160">
        <f t="shared" si="0"/>
        <v>366587300</v>
      </c>
      <c r="I31" t="s">
        <v>8819</v>
      </c>
      <c r="J31">
        <v>2020</v>
      </c>
      <c r="K31">
        <v>7</v>
      </c>
      <c r="L31" t="s">
        <v>8820</v>
      </c>
      <c r="M31" t="s">
        <v>1552</v>
      </c>
      <c r="N31" t="s">
        <v>8821</v>
      </c>
      <c r="P31">
        <v>2022</v>
      </c>
      <c r="Q31" t="s">
        <v>8836</v>
      </c>
      <c r="R31" s="159">
        <v>44498</v>
      </c>
      <c r="S31" s="163">
        <f>F345</f>
        <v>20.04</v>
      </c>
      <c r="T31" s="163">
        <f>AVERAGE(F326:F345)</f>
        <v>17.515999999999998</v>
      </c>
      <c r="U31">
        <f>COUNT(F326:F345)</f>
        <v>20</v>
      </c>
    </row>
    <row r="32" spans="1:21" x14ac:dyDescent="0.3">
      <c r="A32">
        <v>2021</v>
      </c>
      <c r="B32" s="159">
        <v>44035</v>
      </c>
      <c r="C32" s="130">
        <v>20.88</v>
      </c>
      <c r="D32" s="130">
        <v>20.88</v>
      </c>
      <c r="E32" s="130">
        <v>19.899999999999999</v>
      </c>
      <c r="F32" s="130">
        <v>20.02</v>
      </c>
      <c r="G32" s="160">
        <v>5230000</v>
      </c>
      <c r="H32" s="160">
        <f t="shared" si="0"/>
        <v>104704600</v>
      </c>
      <c r="I32" t="s">
        <v>8819</v>
      </c>
      <c r="J32">
        <v>2020</v>
      </c>
      <c r="K32">
        <v>7</v>
      </c>
      <c r="L32" t="s">
        <v>8820</v>
      </c>
      <c r="M32" t="s">
        <v>1552</v>
      </c>
      <c r="N32" t="s">
        <v>8821</v>
      </c>
      <c r="P32">
        <v>2022</v>
      </c>
      <c r="Q32" t="s">
        <v>8837</v>
      </c>
      <c r="R32" s="159">
        <v>44530</v>
      </c>
      <c r="S32" s="163">
        <f>F367</f>
        <v>18.46</v>
      </c>
      <c r="T32" s="163">
        <f>AVERAGE(F346:F367)</f>
        <v>19.086363636363636</v>
      </c>
      <c r="U32">
        <f>COUNT(F346:F367)</f>
        <v>22</v>
      </c>
    </row>
    <row r="33" spans="1:21" x14ac:dyDescent="0.3">
      <c r="A33">
        <v>2021</v>
      </c>
      <c r="B33" s="159">
        <v>44036</v>
      </c>
      <c r="C33" s="130">
        <v>20</v>
      </c>
      <c r="D33" s="130">
        <v>20.2</v>
      </c>
      <c r="E33" s="130">
        <v>19.5</v>
      </c>
      <c r="F33" s="130">
        <v>19.71</v>
      </c>
      <c r="G33" s="160">
        <v>6349000</v>
      </c>
      <c r="H33" s="160">
        <f t="shared" si="0"/>
        <v>125138790</v>
      </c>
      <c r="I33" t="s">
        <v>8819</v>
      </c>
      <c r="J33">
        <v>2020</v>
      </c>
      <c r="K33">
        <v>7</v>
      </c>
      <c r="L33" t="s">
        <v>8820</v>
      </c>
      <c r="M33" t="s">
        <v>1552</v>
      </c>
      <c r="N33" t="s">
        <v>8821</v>
      </c>
      <c r="P33">
        <v>2022</v>
      </c>
      <c r="Q33" t="s">
        <v>8838</v>
      </c>
      <c r="R33" s="159">
        <v>44561</v>
      </c>
      <c r="S33" s="163">
        <f>F390</f>
        <v>18.37</v>
      </c>
      <c r="T33" s="163">
        <f>AVERAGE(F368:F390)</f>
        <v>17.870434782608701</v>
      </c>
      <c r="U33">
        <f>COUNT(F368:F390)</f>
        <v>23</v>
      </c>
    </row>
    <row r="34" spans="1:21" x14ac:dyDescent="0.3">
      <c r="A34">
        <v>2021</v>
      </c>
      <c r="B34" s="159">
        <v>44039</v>
      </c>
      <c r="C34" s="130">
        <v>19.71</v>
      </c>
      <c r="D34" s="130">
        <v>20.07</v>
      </c>
      <c r="E34" s="130">
        <v>19.63</v>
      </c>
      <c r="F34" s="130">
        <v>19.79</v>
      </c>
      <c r="G34" s="160">
        <v>4203000</v>
      </c>
      <c r="H34" s="160">
        <f t="shared" si="0"/>
        <v>83177370</v>
      </c>
      <c r="I34" t="s">
        <v>8819</v>
      </c>
      <c r="J34">
        <v>2020</v>
      </c>
      <c r="K34">
        <v>7</v>
      </c>
      <c r="L34" t="s">
        <v>8820</v>
      </c>
      <c r="M34" t="s">
        <v>1552</v>
      </c>
      <c r="N34" t="s">
        <v>8821</v>
      </c>
      <c r="P34">
        <v>2022</v>
      </c>
      <c r="Q34" t="s">
        <v>8839</v>
      </c>
      <c r="R34" s="159">
        <v>44592</v>
      </c>
      <c r="S34" s="163">
        <f>F411</f>
        <v>17.41</v>
      </c>
      <c r="T34" s="163">
        <f>AVERAGE(F391:F411)</f>
        <v>17.999523809523808</v>
      </c>
      <c r="U34">
        <f>COUNT(F391:F411)</f>
        <v>21</v>
      </c>
    </row>
    <row r="35" spans="1:21" x14ac:dyDescent="0.3">
      <c r="A35">
        <v>2021</v>
      </c>
      <c r="B35" s="159">
        <v>44040</v>
      </c>
      <c r="C35" s="130">
        <v>19.850000000000001</v>
      </c>
      <c r="D35" s="130">
        <v>20.2</v>
      </c>
      <c r="E35" s="130">
        <v>19.7</v>
      </c>
      <c r="F35" s="130">
        <v>19.87</v>
      </c>
      <c r="G35" s="160">
        <v>4346500</v>
      </c>
      <c r="H35" s="160">
        <f t="shared" si="0"/>
        <v>86364955</v>
      </c>
      <c r="I35" t="s">
        <v>8819</v>
      </c>
      <c r="J35">
        <v>2020</v>
      </c>
      <c r="K35">
        <v>7</v>
      </c>
      <c r="L35" t="s">
        <v>8820</v>
      </c>
      <c r="M35" t="s">
        <v>1552</v>
      </c>
      <c r="N35" t="s">
        <v>8821</v>
      </c>
      <c r="P35">
        <v>2022</v>
      </c>
      <c r="Q35" t="s">
        <v>8840</v>
      </c>
      <c r="R35" s="159">
        <v>44620</v>
      </c>
      <c r="S35" s="163">
        <f>F431</f>
        <v>17.68</v>
      </c>
      <c r="T35" s="163">
        <f>AVERAGE(F412:F431)</f>
        <v>17.740500000000001</v>
      </c>
      <c r="U35">
        <f>COUNT(F412:F431)</f>
        <v>20</v>
      </c>
    </row>
    <row r="36" spans="1:21" x14ac:dyDescent="0.3">
      <c r="A36">
        <v>2021</v>
      </c>
      <c r="B36" s="159">
        <v>44041</v>
      </c>
      <c r="C36" s="130">
        <v>20.09</v>
      </c>
      <c r="D36" s="130">
        <v>20.89</v>
      </c>
      <c r="E36" s="130">
        <v>19.899999999999999</v>
      </c>
      <c r="F36" s="130">
        <v>20.440000000000001</v>
      </c>
      <c r="G36" s="160">
        <v>12352000</v>
      </c>
      <c r="H36" s="160">
        <f t="shared" si="0"/>
        <v>252474880.00000003</v>
      </c>
      <c r="I36" t="s">
        <v>8819</v>
      </c>
      <c r="J36">
        <v>2020</v>
      </c>
      <c r="K36">
        <v>7</v>
      </c>
      <c r="L36" t="s">
        <v>8820</v>
      </c>
      <c r="M36" t="s">
        <v>1552</v>
      </c>
      <c r="N36" t="s">
        <v>8821</v>
      </c>
      <c r="P36">
        <v>2022</v>
      </c>
      <c r="Q36" t="s">
        <v>8841</v>
      </c>
      <c r="R36" s="159">
        <v>44651</v>
      </c>
      <c r="S36" s="163">
        <f>F453</f>
        <v>18.12</v>
      </c>
      <c r="T36" s="163">
        <f>AVERAGE(F432:F453)</f>
        <v>17.511818181818182</v>
      </c>
      <c r="U36">
        <f>COUNT(F432:F453)</f>
        <v>22</v>
      </c>
    </row>
    <row r="37" spans="1:21" x14ac:dyDescent="0.3">
      <c r="A37">
        <v>2021</v>
      </c>
      <c r="B37" s="159">
        <v>44042</v>
      </c>
      <c r="C37" s="130">
        <v>20.5</v>
      </c>
      <c r="D37" s="130">
        <v>21.06</v>
      </c>
      <c r="E37" s="130">
        <v>20.03</v>
      </c>
      <c r="F37" s="130">
        <v>20.98</v>
      </c>
      <c r="G37" s="160">
        <v>13073500</v>
      </c>
      <c r="H37" s="160">
        <f t="shared" si="0"/>
        <v>274282030</v>
      </c>
      <c r="I37" t="s">
        <v>8819</v>
      </c>
      <c r="J37">
        <v>2020</v>
      </c>
      <c r="K37">
        <v>7</v>
      </c>
      <c r="L37" t="s">
        <v>8820</v>
      </c>
      <c r="M37" t="s">
        <v>1552</v>
      </c>
      <c r="N37" t="s">
        <v>8821</v>
      </c>
      <c r="P37">
        <v>2022</v>
      </c>
      <c r="Q37" t="s">
        <v>8842</v>
      </c>
      <c r="R37" s="159">
        <v>44679</v>
      </c>
      <c r="S37" s="163">
        <f>F473</f>
        <v>16.77</v>
      </c>
      <c r="T37" s="163">
        <f>AVERAGE(F454:F473)</f>
        <v>17.4895</v>
      </c>
      <c r="U37">
        <f>COUNT(F454:F473)</f>
        <v>20</v>
      </c>
    </row>
    <row r="38" spans="1:21" x14ac:dyDescent="0.3">
      <c r="A38">
        <v>2021</v>
      </c>
      <c r="B38" s="159">
        <v>44046</v>
      </c>
      <c r="C38" s="130">
        <v>21.48</v>
      </c>
      <c r="D38" s="130">
        <v>21.69</v>
      </c>
      <c r="E38" s="130">
        <v>20.9</v>
      </c>
      <c r="F38" s="130">
        <v>21.45</v>
      </c>
      <c r="G38" s="160">
        <v>21243500</v>
      </c>
      <c r="H38" s="160">
        <f t="shared" si="0"/>
        <v>455673075</v>
      </c>
      <c r="I38" t="s">
        <v>8822</v>
      </c>
      <c r="J38">
        <v>2020</v>
      </c>
      <c r="K38">
        <v>8</v>
      </c>
      <c r="L38" t="s">
        <v>8843</v>
      </c>
      <c r="M38" t="s">
        <v>1552</v>
      </c>
      <c r="N38" t="s">
        <v>8844</v>
      </c>
      <c r="P38">
        <v>2022</v>
      </c>
      <c r="Q38" t="s">
        <v>8845</v>
      </c>
      <c r="R38" s="159">
        <v>44712</v>
      </c>
      <c r="S38" s="163">
        <f>F491</f>
        <v>15.13</v>
      </c>
      <c r="T38" s="163">
        <f>AVERAGE(F474:F491)</f>
        <v>15.383888888888887</v>
      </c>
      <c r="U38">
        <f>COUNT(F474:F491)</f>
        <v>18</v>
      </c>
    </row>
    <row r="39" spans="1:21" x14ac:dyDescent="0.3">
      <c r="A39">
        <v>2021</v>
      </c>
      <c r="B39" s="159">
        <v>44047</v>
      </c>
      <c r="C39" s="130">
        <v>21.49</v>
      </c>
      <c r="D39" s="130">
        <v>21.58</v>
      </c>
      <c r="E39" s="130">
        <v>20.95</v>
      </c>
      <c r="F39" s="130">
        <v>21</v>
      </c>
      <c r="G39" s="160">
        <v>7996500</v>
      </c>
      <c r="H39" s="160">
        <f t="shared" si="0"/>
        <v>167926500</v>
      </c>
      <c r="I39" t="s">
        <v>8822</v>
      </c>
      <c r="J39">
        <v>2020</v>
      </c>
      <c r="K39">
        <v>8</v>
      </c>
      <c r="L39" t="s">
        <v>8843</v>
      </c>
      <c r="M39" t="s">
        <v>1552</v>
      </c>
      <c r="N39" t="s">
        <v>8844</v>
      </c>
      <c r="P39">
        <v>2022</v>
      </c>
      <c r="Q39" t="s">
        <v>8846</v>
      </c>
      <c r="R39" s="159">
        <v>44742</v>
      </c>
      <c r="S39" s="163">
        <f>F513</f>
        <v>14.17</v>
      </c>
      <c r="T39" s="163">
        <f>AVERAGE(F492:F513)</f>
        <v>14.513181818181819</v>
      </c>
      <c r="U39">
        <f>COUNT(F492:F513)</f>
        <v>22</v>
      </c>
    </row>
    <row r="40" spans="1:21" x14ac:dyDescent="0.3">
      <c r="A40">
        <v>2021</v>
      </c>
      <c r="B40" s="159">
        <v>44048</v>
      </c>
      <c r="C40" s="130">
        <v>21.1</v>
      </c>
      <c r="D40" s="130">
        <v>21.84</v>
      </c>
      <c r="E40" s="130">
        <v>20.8</v>
      </c>
      <c r="F40" s="130">
        <v>21.68</v>
      </c>
      <c r="G40" s="160">
        <v>15916000</v>
      </c>
      <c r="H40" s="160">
        <f t="shared" si="0"/>
        <v>345058880</v>
      </c>
      <c r="I40" t="s">
        <v>8822</v>
      </c>
      <c r="J40">
        <v>2020</v>
      </c>
      <c r="K40">
        <v>8</v>
      </c>
      <c r="L40" t="s">
        <v>8843</v>
      </c>
      <c r="M40" t="s">
        <v>1552</v>
      </c>
      <c r="N40" t="s">
        <v>8844</v>
      </c>
      <c r="P40">
        <v>2023</v>
      </c>
      <c r="Q40" t="s">
        <v>8847</v>
      </c>
      <c r="R40" s="159">
        <v>44771</v>
      </c>
      <c r="S40" s="163">
        <f>F531</f>
        <v>12.93</v>
      </c>
      <c r="T40" s="163">
        <f>AVERAGE(F514:F531)</f>
        <v>13.363333333333335</v>
      </c>
      <c r="U40">
        <f>COUNT(F514:F531)</f>
        <v>18</v>
      </c>
    </row>
    <row r="41" spans="1:21" x14ac:dyDescent="0.3">
      <c r="A41">
        <v>2021</v>
      </c>
      <c r="B41" s="159">
        <v>44049</v>
      </c>
      <c r="C41" s="130">
        <v>22</v>
      </c>
      <c r="D41" s="130">
        <v>22.17</v>
      </c>
      <c r="E41" s="130">
        <v>21.3</v>
      </c>
      <c r="F41" s="130">
        <v>21.47</v>
      </c>
      <c r="G41" s="160">
        <v>14949500</v>
      </c>
      <c r="H41" s="160">
        <f t="shared" si="0"/>
        <v>320965765</v>
      </c>
      <c r="I41" t="s">
        <v>8822</v>
      </c>
      <c r="J41">
        <v>2020</v>
      </c>
      <c r="K41">
        <v>8</v>
      </c>
      <c r="L41" t="s">
        <v>8843</v>
      </c>
      <c r="M41" t="s">
        <v>1552</v>
      </c>
      <c r="N41" t="s">
        <v>8844</v>
      </c>
      <c r="P41">
        <v>2023</v>
      </c>
      <c r="Q41" t="s">
        <v>8848</v>
      </c>
      <c r="R41" s="159">
        <v>44804</v>
      </c>
      <c r="S41" s="163">
        <f>F552</f>
        <v>15.02</v>
      </c>
      <c r="T41" s="163">
        <f>AVERAGE(F532:F552)</f>
        <v>14.628571428571425</v>
      </c>
      <c r="U41">
        <f>COUNT(F532:F552)</f>
        <v>21</v>
      </c>
    </row>
    <row r="42" spans="1:21" x14ac:dyDescent="0.3">
      <c r="A42">
        <v>2021</v>
      </c>
      <c r="B42" s="159">
        <v>44050</v>
      </c>
      <c r="C42" s="130">
        <v>21.45</v>
      </c>
      <c r="D42" s="130">
        <v>21.65</v>
      </c>
      <c r="E42" s="130">
        <v>21.25</v>
      </c>
      <c r="F42" s="130">
        <v>21.34</v>
      </c>
      <c r="G42" s="160">
        <v>9584000</v>
      </c>
      <c r="H42" s="160">
        <f t="shared" si="0"/>
        <v>204522560</v>
      </c>
      <c r="I42" t="s">
        <v>8822</v>
      </c>
      <c r="J42">
        <v>2020</v>
      </c>
      <c r="K42">
        <v>8</v>
      </c>
      <c r="L42" t="s">
        <v>8843</v>
      </c>
      <c r="M42" t="s">
        <v>1552</v>
      </c>
      <c r="N42" t="s">
        <v>8844</v>
      </c>
      <c r="P42">
        <v>2023</v>
      </c>
      <c r="Q42" t="s">
        <v>8849</v>
      </c>
      <c r="R42" s="159">
        <v>44834</v>
      </c>
      <c r="S42" s="163">
        <f>F574</f>
        <v>14.99</v>
      </c>
      <c r="T42" s="163">
        <f>AVERAGE(F553:F574)</f>
        <v>15.256363636363638</v>
      </c>
      <c r="U42">
        <f>COUNT(F553:F574)</f>
        <v>22</v>
      </c>
    </row>
    <row r="43" spans="1:21" x14ac:dyDescent="0.3">
      <c r="A43">
        <v>2021</v>
      </c>
      <c r="B43" s="159">
        <v>44053</v>
      </c>
      <c r="C43" s="130">
        <v>21.36</v>
      </c>
      <c r="D43" s="130">
        <v>21.6</v>
      </c>
      <c r="E43" s="130">
        <v>21.01</v>
      </c>
      <c r="F43" s="130">
        <v>21.13</v>
      </c>
      <c r="G43" s="160">
        <v>2913000</v>
      </c>
      <c r="H43" s="160">
        <f t="shared" si="0"/>
        <v>61551690</v>
      </c>
      <c r="I43" t="s">
        <v>8822</v>
      </c>
      <c r="J43">
        <v>2020</v>
      </c>
      <c r="K43">
        <v>8</v>
      </c>
      <c r="L43" t="s">
        <v>8843</v>
      </c>
      <c r="M43" t="s">
        <v>1552</v>
      </c>
      <c r="N43" t="s">
        <v>8844</v>
      </c>
      <c r="P43">
        <v>2023</v>
      </c>
      <c r="Q43" t="s">
        <v>8850</v>
      </c>
      <c r="R43" s="159">
        <v>44865</v>
      </c>
      <c r="S43" s="163">
        <f>F595</f>
        <v>14.12</v>
      </c>
      <c r="T43" s="163">
        <f>AVERAGE(F575:F595)</f>
        <v>14.839523809523811</v>
      </c>
      <c r="U43">
        <f>COUNT(F575:F595)</f>
        <v>21</v>
      </c>
    </row>
    <row r="44" spans="1:21" x14ac:dyDescent="0.3">
      <c r="A44">
        <v>2021</v>
      </c>
      <c r="B44" s="159">
        <v>44054</v>
      </c>
      <c r="C44" s="130">
        <v>21.2</v>
      </c>
      <c r="D44" s="130">
        <v>21.49</v>
      </c>
      <c r="E44" s="130">
        <v>21.11</v>
      </c>
      <c r="F44" s="130">
        <v>21.23</v>
      </c>
      <c r="G44" s="160">
        <v>5935500</v>
      </c>
      <c r="H44" s="160">
        <f t="shared" si="0"/>
        <v>126010665</v>
      </c>
      <c r="I44" t="s">
        <v>8822</v>
      </c>
      <c r="J44">
        <v>2020</v>
      </c>
      <c r="K44">
        <v>8</v>
      </c>
      <c r="L44" t="s">
        <v>8843</v>
      </c>
      <c r="M44" t="s">
        <v>1552</v>
      </c>
      <c r="N44" t="s">
        <v>8844</v>
      </c>
      <c r="P44">
        <v>2023</v>
      </c>
      <c r="Q44" t="s">
        <v>8851</v>
      </c>
      <c r="R44" s="159">
        <v>44895</v>
      </c>
      <c r="S44" s="163">
        <f>F616</f>
        <v>13.45</v>
      </c>
      <c r="T44" s="163">
        <f>AVERAGE(F596:F616)</f>
        <v>14.330952380952381</v>
      </c>
      <c r="U44">
        <f>COUNT(F596:F616)</f>
        <v>21</v>
      </c>
    </row>
    <row r="45" spans="1:21" x14ac:dyDescent="0.3">
      <c r="A45">
        <v>2021</v>
      </c>
      <c r="B45" s="159">
        <v>44055</v>
      </c>
      <c r="C45" s="130">
        <v>21.39</v>
      </c>
      <c r="D45" s="130">
        <v>21.56</v>
      </c>
      <c r="E45" s="130">
        <v>20.49</v>
      </c>
      <c r="F45" s="130">
        <v>20.67</v>
      </c>
      <c r="G45" s="160">
        <v>7984500</v>
      </c>
      <c r="H45" s="160">
        <f t="shared" si="0"/>
        <v>165039615</v>
      </c>
      <c r="I45" t="s">
        <v>8822</v>
      </c>
      <c r="J45">
        <v>2020</v>
      </c>
      <c r="K45">
        <v>8</v>
      </c>
      <c r="L45" t="s">
        <v>8843</v>
      </c>
      <c r="M45" t="s">
        <v>1552</v>
      </c>
      <c r="N45" t="s">
        <v>8844</v>
      </c>
      <c r="P45">
        <v>2023</v>
      </c>
      <c r="Q45" t="s">
        <v>8852</v>
      </c>
      <c r="R45" s="159">
        <v>44925</v>
      </c>
      <c r="S45" s="163">
        <f>F638</f>
        <v>12.02</v>
      </c>
      <c r="T45" s="163">
        <f>AVERAGE(F617:F638)</f>
        <v>12.112272727272726</v>
      </c>
      <c r="U45">
        <f>COUNT(F617:F638)</f>
        <v>22</v>
      </c>
    </row>
    <row r="46" spans="1:21" x14ac:dyDescent="0.3">
      <c r="A46">
        <v>2021</v>
      </c>
      <c r="B46" s="159">
        <v>44056</v>
      </c>
      <c r="C46" s="130">
        <v>20.8</v>
      </c>
      <c r="D46" s="130">
        <v>20.8</v>
      </c>
      <c r="E46" s="130">
        <v>20.12</v>
      </c>
      <c r="F46" s="130">
        <v>20.49</v>
      </c>
      <c r="G46" s="160">
        <v>2380500</v>
      </c>
      <c r="H46" s="160">
        <f t="shared" si="0"/>
        <v>48776445</v>
      </c>
      <c r="I46" t="s">
        <v>8822</v>
      </c>
      <c r="J46">
        <v>2020</v>
      </c>
      <c r="K46">
        <v>8</v>
      </c>
      <c r="L46" t="s">
        <v>8843</v>
      </c>
      <c r="M46" t="s">
        <v>1552</v>
      </c>
      <c r="N46" t="s">
        <v>8844</v>
      </c>
      <c r="P46">
        <v>2023</v>
      </c>
      <c r="Q46" t="s">
        <v>8853</v>
      </c>
      <c r="R46" s="159">
        <v>44957</v>
      </c>
      <c r="S46" s="163">
        <f>F660</f>
        <v>11.39</v>
      </c>
      <c r="T46" s="163">
        <f>AVERAGE(F639:F660)</f>
        <v>11.18181818181818</v>
      </c>
      <c r="U46">
        <f>COUNT(F639:F660)</f>
        <v>22</v>
      </c>
    </row>
    <row r="47" spans="1:21" x14ac:dyDescent="0.3">
      <c r="A47">
        <v>2021</v>
      </c>
      <c r="B47" s="159">
        <v>44060</v>
      </c>
      <c r="C47" s="130">
        <v>20.56</v>
      </c>
      <c r="D47" s="130">
        <v>20.74</v>
      </c>
      <c r="E47" s="130">
        <v>20.3</v>
      </c>
      <c r="F47" s="130">
        <v>20.45</v>
      </c>
      <c r="G47" s="160">
        <v>2043500</v>
      </c>
      <c r="H47" s="160">
        <f t="shared" si="0"/>
        <v>41789575</v>
      </c>
      <c r="I47" t="s">
        <v>8822</v>
      </c>
      <c r="J47">
        <v>2020</v>
      </c>
      <c r="K47">
        <v>8</v>
      </c>
      <c r="L47" t="s">
        <v>8843</v>
      </c>
      <c r="M47" t="s">
        <v>1552</v>
      </c>
      <c r="N47" t="s">
        <v>8844</v>
      </c>
      <c r="P47">
        <v>2023</v>
      </c>
      <c r="Q47" t="s">
        <v>8854</v>
      </c>
      <c r="R47" s="159">
        <v>44985</v>
      </c>
      <c r="S47" s="163">
        <f>F680</f>
        <v>11.64</v>
      </c>
      <c r="T47" s="163">
        <f>AVERAGE(F661:F680)</f>
        <v>11.627499999999998</v>
      </c>
      <c r="U47">
        <f>COUNT(F661:F680)</f>
        <v>20</v>
      </c>
    </row>
    <row r="48" spans="1:21" x14ac:dyDescent="0.3">
      <c r="A48">
        <v>2021</v>
      </c>
      <c r="B48" s="159">
        <v>44061</v>
      </c>
      <c r="C48" s="130">
        <v>20.49</v>
      </c>
      <c r="D48" s="130">
        <v>21.18</v>
      </c>
      <c r="E48" s="130">
        <v>20.399999999999999</v>
      </c>
      <c r="F48" s="130">
        <v>20.98</v>
      </c>
      <c r="G48" s="160">
        <v>5228500</v>
      </c>
      <c r="H48" s="160">
        <f t="shared" si="0"/>
        <v>109693930</v>
      </c>
      <c r="I48" t="s">
        <v>8822</v>
      </c>
      <c r="J48">
        <v>2020</v>
      </c>
      <c r="K48">
        <v>8</v>
      </c>
      <c r="L48" t="s">
        <v>8843</v>
      </c>
      <c r="M48" t="s">
        <v>1552</v>
      </c>
      <c r="N48" t="s">
        <v>8844</v>
      </c>
      <c r="P48">
        <v>2023</v>
      </c>
      <c r="Q48" t="s">
        <v>8855</v>
      </c>
      <c r="R48" s="159">
        <v>45016</v>
      </c>
      <c r="S48" s="163">
        <f>F702</f>
        <v>11.96</v>
      </c>
      <c r="T48" s="163">
        <f>AVERAGE(F681:F702)</f>
        <v>11.905454545454544</v>
      </c>
      <c r="U48">
        <f>COUNT(F681:F702)</f>
        <v>22</v>
      </c>
    </row>
    <row r="49" spans="1:21" x14ac:dyDescent="0.3">
      <c r="A49">
        <v>2021</v>
      </c>
      <c r="B49" s="159">
        <v>44062</v>
      </c>
      <c r="C49" s="130">
        <v>21.05</v>
      </c>
      <c r="D49" s="130">
        <v>21.29</v>
      </c>
      <c r="E49" s="130">
        <v>20.8</v>
      </c>
      <c r="F49" s="130">
        <v>20.86</v>
      </c>
      <c r="G49" s="160">
        <v>3912000</v>
      </c>
      <c r="H49" s="160">
        <f t="shared" si="0"/>
        <v>81604320</v>
      </c>
      <c r="I49" t="s">
        <v>8822</v>
      </c>
      <c r="J49">
        <v>2020</v>
      </c>
      <c r="K49">
        <v>8</v>
      </c>
      <c r="L49" t="s">
        <v>8843</v>
      </c>
      <c r="M49" t="s">
        <v>1552</v>
      </c>
      <c r="N49" t="s">
        <v>8844</v>
      </c>
      <c r="P49">
        <v>2023</v>
      </c>
      <c r="Q49" t="s">
        <v>8856</v>
      </c>
      <c r="R49" s="159">
        <v>45044</v>
      </c>
      <c r="S49" s="163">
        <f>F718</f>
        <v>12.05</v>
      </c>
      <c r="T49" s="163">
        <f>AVERAGE(F703:F718)</f>
        <v>11.8</v>
      </c>
      <c r="U49">
        <f>COUNT(F703:F718)</f>
        <v>16</v>
      </c>
    </row>
    <row r="50" spans="1:21" x14ac:dyDescent="0.3">
      <c r="A50">
        <v>2021</v>
      </c>
      <c r="B50" s="159">
        <v>44063</v>
      </c>
      <c r="C50" s="130">
        <v>20.93</v>
      </c>
      <c r="D50" s="130">
        <v>20.94</v>
      </c>
      <c r="E50" s="130">
        <v>20.350000000000001</v>
      </c>
      <c r="F50" s="130">
        <v>20.47</v>
      </c>
      <c r="G50" s="160">
        <v>1626000</v>
      </c>
      <c r="H50" s="160">
        <f t="shared" si="0"/>
        <v>33284220</v>
      </c>
      <c r="I50" t="s">
        <v>8822</v>
      </c>
      <c r="J50">
        <v>2020</v>
      </c>
      <c r="K50">
        <v>8</v>
      </c>
      <c r="L50" t="s">
        <v>8843</v>
      </c>
      <c r="M50" t="s">
        <v>1552</v>
      </c>
      <c r="N50" t="s">
        <v>8844</v>
      </c>
      <c r="P50">
        <v>2023</v>
      </c>
      <c r="Q50" t="s">
        <v>8857</v>
      </c>
      <c r="R50" s="159">
        <v>45077</v>
      </c>
      <c r="S50" s="163">
        <f>F740</f>
        <v>11.78</v>
      </c>
      <c r="T50" s="163">
        <f>AVERAGE(F719:F740)</f>
        <v>12.028636363636361</v>
      </c>
      <c r="U50">
        <f>COUNT(F719:F740)</f>
        <v>22</v>
      </c>
    </row>
    <row r="51" spans="1:21" x14ac:dyDescent="0.3">
      <c r="A51">
        <v>2021</v>
      </c>
      <c r="B51" s="159">
        <v>44064</v>
      </c>
      <c r="C51" s="130">
        <v>20.309999999999999</v>
      </c>
      <c r="D51" s="130">
        <v>20.74</v>
      </c>
      <c r="E51" s="130">
        <v>19.02</v>
      </c>
      <c r="F51" s="130">
        <v>19.989999999999998</v>
      </c>
      <c r="G51" s="160">
        <v>7232000</v>
      </c>
      <c r="H51" s="160">
        <f t="shared" si="0"/>
        <v>144567680</v>
      </c>
      <c r="I51" t="s">
        <v>8822</v>
      </c>
      <c r="J51">
        <v>2020</v>
      </c>
      <c r="K51">
        <v>8</v>
      </c>
      <c r="L51" t="s">
        <v>8843</v>
      </c>
      <c r="M51" t="s">
        <v>1552</v>
      </c>
      <c r="N51" t="s">
        <v>8844</v>
      </c>
      <c r="P51">
        <v>2023</v>
      </c>
      <c r="Q51" t="s">
        <v>8858</v>
      </c>
      <c r="R51" s="159">
        <v>45104</v>
      </c>
      <c r="S51" s="163">
        <f>F759</f>
        <v>11.76</v>
      </c>
      <c r="T51" s="163">
        <f>AVERAGE(F741:F759)</f>
        <v>12.08421052631579</v>
      </c>
      <c r="U51">
        <f>COUNT(F741:F759)</f>
        <v>19</v>
      </c>
    </row>
    <row r="52" spans="1:21" x14ac:dyDescent="0.3">
      <c r="A52">
        <v>2021</v>
      </c>
      <c r="B52" s="159">
        <v>44067</v>
      </c>
      <c r="C52" s="130">
        <v>20.010000000000002</v>
      </c>
      <c r="D52" s="130">
        <v>20.9</v>
      </c>
      <c r="E52" s="130">
        <v>19.86</v>
      </c>
      <c r="F52" s="130">
        <v>20.76</v>
      </c>
      <c r="G52" s="160">
        <v>5390500</v>
      </c>
      <c r="H52" s="160">
        <f t="shared" si="0"/>
        <v>111906780.00000001</v>
      </c>
      <c r="I52" t="s">
        <v>8822</v>
      </c>
      <c r="J52">
        <v>2020</v>
      </c>
      <c r="K52">
        <v>8</v>
      </c>
      <c r="L52" t="s">
        <v>8843</v>
      </c>
      <c r="M52" t="s">
        <v>1552</v>
      </c>
      <c r="N52" t="s">
        <v>8844</v>
      </c>
      <c r="P52">
        <v>2024</v>
      </c>
      <c r="Q52" t="s">
        <v>8859</v>
      </c>
      <c r="R52" s="159">
        <v>45138</v>
      </c>
      <c r="S52" s="163">
        <f>F779</f>
        <v>12.5</v>
      </c>
      <c r="T52" s="163">
        <f>AVERAGE(F760:F779)</f>
        <v>12.420499999999999</v>
      </c>
      <c r="U52">
        <f>COUNT(F760:F779)</f>
        <v>20</v>
      </c>
    </row>
    <row r="53" spans="1:21" x14ac:dyDescent="0.3">
      <c r="A53">
        <v>2021</v>
      </c>
      <c r="B53" s="159">
        <v>44068</v>
      </c>
      <c r="C53" s="130">
        <v>20.75</v>
      </c>
      <c r="D53" s="130">
        <v>21.85</v>
      </c>
      <c r="E53" s="130">
        <v>20.6</v>
      </c>
      <c r="F53" s="130">
        <v>21.26</v>
      </c>
      <c r="G53" s="160">
        <v>10633000</v>
      </c>
      <c r="H53" s="160">
        <f t="shared" si="0"/>
        <v>226057580.00000003</v>
      </c>
      <c r="I53" t="s">
        <v>8822</v>
      </c>
      <c r="J53">
        <v>2020</v>
      </c>
      <c r="K53">
        <v>8</v>
      </c>
      <c r="L53" t="s">
        <v>8843</v>
      </c>
      <c r="M53" t="s">
        <v>1552</v>
      </c>
      <c r="N53" t="s">
        <v>8844</v>
      </c>
      <c r="P53">
        <v>2024</v>
      </c>
      <c r="Q53" t="s">
        <v>8860</v>
      </c>
      <c r="R53" s="159">
        <v>45169</v>
      </c>
      <c r="S53" s="163">
        <f>F801</f>
        <v>10.61</v>
      </c>
      <c r="T53" s="163">
        <f>AVERAGE(F780:F801)</f>
        <v>11.977727272727275</v>
      </c>
      <c r="U53">
        <f>COUNT(F780:F801)</f>
        <v>22</v>
      </c>
    </row>
    <row r="54" spans="1:21" x14ac:dyDescent="0.3">
      <c r="A54">
        <v>2021</v>
      </c>
      <c r="B54" s="159">
        <v>44069</v>
      </c>
      <c r="C54" s="130">
        <v>21.4</v>
      </c>
      <c r="D54" s="130">
        <v>21.6</v>
      </c>
      <c r="E54" s="130">
        <v>20.99</v>
      </c>
      <c r="F54" s="130">
        <v>21.47</v>
      </c>
      <c r="G54" s="160">
        <v>10166000</v>
      </c>
      <c r="H54" s="160">
        <f t="shared" si="0"/>
        <v>218264020</v>
      </c>
      <c r="I54" t="s">
        <v>8822</v>
      </c>
      <c r="J54">
        <v>2020</v>
      </c>
      <c r="K54">
        <v>8</v>
      </c>
      <c r="L54" t="s">
        <v>8843</v>
      </c>
      <c r="M54" t="s">
        <v>1552</v>
      </c>
      <c r="N54" t="s">
        <v>8844</v>
      </c>
      <c r="P54">
        <v>2024</v>
      </c>
      <c r="Q54" t="s">
        <v>8861</v>
      </c>
      <c r="R54" s="159">
        <v>45197</v>
      </c>
      <c r="S54" s="163">
        <f>F821</f>
        <v>11.31</v>
      </c>
      <c r="T54" s="163">
        <f>AVERAGE(F802:F821)</f>
        <v>10.8635</v>
      </c>
      <c r="U54">
        <f>COUNT(F802:F821)</f>
        <v>20</v>
      </c>
    </row>
    <row r="55" spans="1:21" x14ac:dyDescent="0.3">
      <c r="A55">
        <v>2021</v>
      </c>
      <c r="B55" s="159">
        <v>44070</v>
      </c>
      <c r="C55" s="130">
        <v>21.6</v>
      </c>
      <c r="D55" s="130">
        <v>22.1</v>
      </c>
      <c r="E55" s="130">
        <v>21.55</v>
      </c>
      <c r="F55" s="130">
        <v>21.68</v>
      </c>
      <c r="G55" s="160">
        <v>13760000</v>
      </c>
      <c r="H55" s="160">
        <f t="shared" si="0"/>
        <v>298316800</v>
      </c>
      <c r="I55" t="s">
        <v>8822</v>
      </c>
      <c r="J55">
        <v>2020</v>
      </c>
      <c r="K55">
        <v>8</v>
      </c>
      <c r="L55" t="s">
        <v>8843</v>
      </c>
      <c r="M55" t="s">
        <v>1552</v>
      </c>
      <c r="N55" t="s">
        <v>8844</v>
      </c>
      <c r="P55">
        <v>2024</v>
      </c>
      <c r="Q55" t="s">
        <v>8862</v>
      </c>
      <c r="R55" s="159">
        <v>45230</v>
      </c>
      <c r="S55" s="163">
        <f>F843</f>
        <v>13.92</v>
      </c>
      <c r="T55" s="163">
        <f>AVERAGE(F822:F843)</f>
        <v>12.535000000000004</v>
      </c>
      <c r="U55">
        <f>COUNT(F822:F843)</f>
        <v>22</v>
      </c>
    </row>
    <row r="56" spans="1:21" x14ac:dyDescent="0.3">
      <c r="A56">
        <v>2021</v>
      </c>
      <c r="B56" s="159">
        <v>44071</v>
      </c>
      <c r="C56" s="130">
        <v>21.6</v>
      </c>
      <c r="D56" s="130">
        <v>21.74</v>
      </c>
      <c r="E56" s="130">
        <v>21.36</v>
      </c>
      <c r="F56" s="130">
        <v>21.51</v>
      </c>
      <c r="G56" s="160">
        <v>1589500</v>
      </c>
      <c r="H56" s="160">
        <f t="shared" si="0"/>
        <v>34190145</v>
      </c>
      <c r="I56" t="s">
        <v>8822</v>
      </c>
      <c r="J56">
        <v>2020</v>
      </c>
      <c r="K56">
        <v>8</v>
      </c>
      <c r="L56" t="s">
        <v>8843</v>
      </c>
      <c r="M56" t="s">
        <v>1552</v>
      </c>
      <c r="N56" t="s">
        <v>8844</v>
      </c>
      <c r="P56">
        <v>2024</v>
      </c>
      <c r="Q56" t="s">
        <v>8863</v>
      </c>
      <c r="R56" s="159">
        <v>45260</v>
      </c>
      <c r="S56" s="163">
        <f>F864</f>
        <v>17.54</v>
      </c>
      <c r="T56" s="163">
        <f>AVERAGE(F844:F864)</f>
        <v>16.040476190476195</v>
      </c>
      <c r="U56">
        <f>COUNT(F844:F864)</f>
        <v>21</v>
      </c>
    </row>
    <row r="57" spans="1:21" x14ac:dyDescent="0.3">
      <c r="A57">
        <v>2021</v>
      </c>
      <c r="B57" s="159">
        <v>44074</v>
      </c>
      <c r="C57" s="130">
        <v>21.51</v>
      </c>
      <c r="D57" s="130">
        <v>22.15</v>
      </c>
      <c r="E57" s="130">
        <v>21.51</v>
      </c>
      <c r="F57" s="130">
        <v>21.7</v>
      </c>
      <c r="G57" s="160">
        <v>14270000</v>
      </c>
      <c r="H57" s="160">
        <f t="shared" si="0"/>
        <v>309659000</v>
      </c>
      <c r="I57" t="s">
        <v>8822</v>
      </c>
      <c r="J57">
        <v>2020</v>
      </c>
      <c r="K57">
        <v>8</v>
      </c>
      <c r="L57" t="s">
        <v>8843</v>
      </c>
      <c r="M57" t="s">
        <v>1552</v>
      </c>
      <c r="N57" t="s">
        <v>8844</v>
      </c>
      <c r="P57">
        <v>2024</v>
      </c>
      <c r="Q57" t="s">
        <v>8864</v>
      </c>
      <c r="R57" s="159">
        <v>45289</v>
      </c>
      <c r="S57" s="163">
        <f>F884</f>
        <v>18.920000000000002</v>
      </c>
      <c r="T57" s="163">
        <f>AVERAGE(F865:F884)</f>
        <v>19.298999999999999</v>
      </c>
      <c r="U57">
        <f>COUNT(F865:F884)</f>
        <v>20</v>
      </c>
    </row>
    <row r="58" spans="1:21" x14ac:dyDescent="0.3">
      <c r="A58">
        <v>2021</v>
      </c>
      <c r="B58" s="159">
        <v>44075</v>
      </c>
      <c r="C58" s="130">
        <v>21.7</v>
      </c>
      <c r="D58" s="130">
        <v>21.99</v>
      </c>
      <c r="E58" s="130">
        <v>21.6</v>
      </c>
      <c r="F58" s="130">
        <v>21.88</v>
      </c>
      <c r="G58" s="160">
        <v>5622500</v>
      </c>
      <c r="H58" s="160">
        <f t="shared" si="0"/>
        <v>123020300</v>
      </c>
      <c r="I58" t="s">
        <v>8823</v>
      </c>
      <c r="J58">
        <v>2020</v>
      </c>
      <c r="K58">
        <v>9</v>
      </c>
      <c r="L58" t="s">
        <v>8865</v>
      </c>
      <c r="M58" t="s">
        <v>1552</v>
      </c>
      <c r="N58" t="s">
        <v>8866</v>
      </c>
      <c r="P58">
        <v>2024</v>
      </c>
      <c r="Q58" t="s">
        <v>8867</v>
      </c>
      <c r="R58" s="159">
        <v>45322</v>
      </c>
      <c r="S58" s="163">
        <f>F907</f>
        <v>17.87</v>
      </c>
      <c r="T58" s="163">
        <f>AVERAGE(F885:F907)</f>
        <v>19.106521739130436</v>
      </c>
      <c r="U58">
        <f>COUNT(F885:F907)</f>
        <v>23</v>
      </c>
    </row>
    <row r="59" spans="1:21" x14ac:dyDescent="0.3">
      <c r="A59">
        <v>2021</v>
      </c>
      <c r="B59" s="159">
        <v>44076</v>
      </c>
      <c r="C59" s="130">
        <v>22</v>
      </c>
      <c r="D59" s="130">
        <v>22.7</v>
      </c>
      <c r="E59" s="130">
        <v>22</v>
      </c>
      <c r="F59" s="130">
        <v>22.22</v>
      </c>
      <c r="G59" s="160">
        <v>21934000</v>
      </c>
      <c r="H59" s="160">
        <f t="shared" si="0"/>
        <v>487373480</v>
      </c>
      <c r="I59" t="s">
        <v>8823</v>
      </c>
      <c r="J59">
        <v>2020</v>
      </c>
      <c r="K59">
        <v>9</v>
      </c>
      <c r="L59" t="s">
        <v>8865</v>
      </c>
      <c r="M59" t="s">
        <v>1552</v>
      </c>
      <c r="N59" t="s">
        <v>8866</v>
      </c>
      <c r="P59">
        <v>2024</v>
      </c>
      <c r="Q59" t="s">
        <v>8868</v>
      </c>
      <c r="R59" s="159">
        <v>45351</v>
      </c>
      <c r="S59" s="163">
        <f>F926</f>
        <v>18.48</v>
      </c>
      <c r="T59" s="163">
        <f>AVERAGE(F908:F926)</f>
        <v>17.8</v>
      </c>
      <c r="U59">
        <f>COUNT(F908:F926)</f>
        <v>19</v>
      </c>
    </row>
    <row r="60" spans="1:21" x14ac:dyDescent="0.3">
      <c r="A60">
        <v>2021</v>
      </c>
      <c r="B60" s="159">
        <v>44077</v>
      </c>
      <c r="C60" s="130">
        <v>22.3</v>
      </c>
      <c r="D60" s="130">
        <v>22.7</v>
      </c>
      <c r="E60" s="130">
        <v>22.11</v>
      </c>
      <c r="F60" s="130">
        <v>22.56</v>
      </c>
      <c r="G60" s="160">
        <v>15697000</v>
      </c>
      <c r="H60" s="160">
        <f t="shared" si="0"/>
        <v>354124320</v>
      </c>
      <c r="I60" t="s">
        <v>8823</v>
      </c>
      <c r="J60">
        <v>2020</v>
      </c>
      <c r="K60">
        <v>9</v>
      </c>
      <c r="L60" t="s">
        <v>8865</v>
      </c>
      <c r="M60" t="s">
        <v>1552</v>
      </c>
      <c r="N60" t="s">
        <v>8866</v>
      </c>
      <c r="P60">
        <v>2024</v>
      </c>
      <c r="Q60" t="s">
        <v>8869</v>
      </c>
      <c r="R60" s="159">
        <v>45380</v>
      </c>
      <c r="S60" s="163">
        <f>F947</f>
        <v>17.64</v>
      </c>
      <c r="T60" s="163">
        <f>AVERAGE(F927:F947)</f>
        <v>17.462380952380951</v>
      </c>
      <c r="U60">
        <f>COUNT(F927:F947)</f>
        <v>21</v>
      </c>
    </row>
    <row r="61" spans="1:21" x14ac:dyDescent="0.3">
      <c r="A61">
        <v>2021</v>
      </c>
      <c r="B61" s="159">
        <v>44078</v>
      </c>
      <c r="C61" s="130">
        <v>22.3</v>
      </c>
      <c r="D61" s="130">
        <v>22.8</v>
      </c>
      <c r="E61" s="130">
        <v>22.2</v>
      </c>
      <c r="F61" s="130">
        <v>22.49</v>
      </c>
      <c r="G61" s="160">
        <v>16567500</v>
      </c>
      <c r="H61" s="160">
        <f t="shared" si="0"/>
        <v>372603075</v>
      </c>
      <c r="I61" t="s">
        <v>8823</v>
      </c>
      <c r="J61">
        <v>2020</v>
      </c>
      <c r="K61">
        <v>9</v>
      </c>
      <c r="L61" t="s">
        <v>8865</v>
      </c>
      <c r="M61" t="s">
        <v>1552</v>
      </c>
      <c r="N61" t="s">
        <v>8866</v>
      </c>
      <c r="P61">
        <v>2024</v>
      </c>
      <c r="Q61" t="s">
        <v>8870</v>
      </c>
      <c r="R61" s="159">
        <v>45412</v>
      </c>
      <c r="S61" s="163">
        <f>F965</f>
        <v>19.600000000000001</v>
      </c>
      <c r="T61" s="163">
        <f>AVERAGE(F948:F965)</f>
        <v>19.426666666666669</v>
      </c>
      <c r="U61">
        <f>COUNT(F948:F965)</f>
        <v>18</v>
      </c>
    </row>
    <row r="62" spans="1:21" x14ac:dyDescent="0.3">
      <c r="A62">
        <v>2021</v>
      </c>
      <c r="B62" s="159">
        <v>44081</v>
      </c>
      <c r="C62" s="130">
        <v>22.75</v>
      </c>
      <c r="D62" s="130">
        <v>22.8</v>
      </c>
      <c r="E62" s="130">
        <v>22.3</v>
      </c>
      <c r="F62" s="130">
        <v>22.46</v>
      </c>
      <c r="G62" s="160">
        <v>14259000</v>
      </c>
      <c r="H62" s="160">
        <f t="shared" si="0"/>
        <v>320257140</v>
      </c>
      <c r="I62" t="s">
        <v>8823</v>
      </c>
      <c r="J62">
        <v>2020</v>
      </c>
      <c r="K62">
        <v>9</v>
      </c>
      <c r="L62" t="s">
        <v>8865</v>
      </c>
      <c r="M62" t="s">
        <v>1552</v>
      </c>
      <c r="N62" t="s">
        <v>8866</v>
      </c>
      <c r="P62">
        <v>2024</v>
      </c>
      <c r="Q62" t="s">
        <v>8871</v>
      </c>
      <c r="R62" s="159">
        <v>45443</v>
      </c>
      <c r="S62" s="163">
        <f>F986</f>
        <v>23.45</v>
      </c>
      <c r="T62" s="163">
        <f>AVERAGE(F966:F986)</f>
        <v>22.053333333333335</v>
      </c>
      <c r="U62">
        <f>COUNT(F966:F986)</f>
        <v>21</v>
      </c>
    </row>
    <row r="63" spans="1:21" x14ac:dyDescent="0.3">
      <c r="A63">
        <v>2021</v>
      </c>
      <c r="B63" s="159">
        <v>44082</v>
      </c>
      <c r="C63" s="130">
        <v>22.45</v>
      </c>
      <c r="D63" s="130">
        <v>22.6</v>
      </c>
      <c r="E63" s="130">
        <v>21.6</v>
      </c>
      <c r="F63" s="130">
        <v>21.76</v>
      </c>
      <c r="G63" s="160">
        <v>7160000</v>
      </c>
      <c r="H63" s="160">
        <f t="shared" si="0"/>
        <v>155801600</v>
      </c>
      <c r="I63" t="s">
        <v>8823</v>
      </c>
      <c r="J63">
        <v>2020</v>
      </c>
      <c r="K63">
        <v>9</v>
      </c>
      <c r="L63" t="s">
        <v>8865</v>
      </c>
      <c r="M63" t="s">
        <v>1552</v>
      </c>
      <c r="N63" t="s">
        <v>8866</v>
      </c>
      <c r="P63">
        <v>2024</v>
      </c>
      <c r="Q63" t="s">
        <v>8872</v>
      </c>
      <c r="R63" s="159">
        <v>45471</v>
      </c>
      <c r="S63" s="163">
        <f>F1003</f>
        <v>22.91</v>
      </c>
      <c r="T63" s="163">
        <f>AVERAGE(F987:F1003)</f>
        <v>22.921176470588236</v>
      </c>
      <c r="U63">
        <f>COUNT(F987:F1003)</f>
        <v>17</v>
      </c>
    </row>
    <row r="64" spans="1:21" x14ac:dyDescent="0.3">
      <c r="A64">
        <v>2021</v>
      </c>
      <c r="B64" s="159">
        <v>44083</v>
      </c>
      <c r="C64" s="130">
        <v>21.6</v>
      </c>
      <c r="D64" s="130">
        <v>21.9</v>
      </c>
      <c r="E64" s="130">
        <v>21.45</v>
      </c>
      <c r="F64" s="130">
        <v>21.55</v>
      </c>
      <c r="G64" s="160">
        <v>4049000</v>
      </c>
      <c r="H64" s="160">
        <f t="shared" si="0"/>
        <v>87255950</v>
      </c>
      <c r="I64" t="s">
        <v>8823</v>
      </c>
      <c r="J64">
        <v>2020</v>
      </c>
      <c r="K64">
        <v>9</v>
      </c>
      <c r="L64" t="s">
        <v>8865</v>
      </c>
      <c r="M64" t="s">
        <v>1552</v>
      </c>
      <c r="N64" t="s">
        <v>8866</v>
      </c>
      <c r="P64">
        <v>2025</v>
      </c>
      <c r="Q64" t="s">
        <v>8873</v>
      </c>
      <c r="R64" s="159">
        <v>45504</v>
      </c>
      <c r="S64" s="163">
        <f>F1024</f>
        <v>20.77</v>
      </c>
      <c r="T64" s="163">
        <f>AVERAGE(F1004:F1024)</f>
        <v>22.445238095238093</v>
      </c>
      <c r="U64">
        <f>COUNT(F1004:F1024)</f>
        <v>21</v>
      </c>
    </row>
    <row r="65" spans="1:21" x14ac:dyDescent="0.3">
      <c r="A65">
        <v>2021</v>
      </c>
      <c r="B65" s="159">
        <v>44084</v>
      </c>
      <c r="C65" s="130">
        <v>21.55</v>
      </c>
      <c r="D65" s="130">
        <v>22.31</v>
      </c>
      <c r="E65" s="130">
        <v>21.55</v>
      </c>
      <c r="F65" s="130">
        <v>22.11</v>
      </c>
      <c r="G65" s="160">
        <v>16404000</v>
      </c>
      <c r="H65" s="160">
        <f t="shared" si="0"/>
        <v>362692440</v>
      </c>
      <c r="I65" t="s">
        <v>8823</v>
      </c>
      <c r="J65">
        <v>2020</v>
      </c>
      <c r="K65">
        <v>9</v>
      </c>
      <c r="L65" t="s">
        <v>8865</v>
      </c>
      <c r="M65" t="s">
        <v>1552</v>
      </c>
      <c r="N65" t="s">
        <v>8866</v>
      </c>
      <c r="P65">
        <v>2025</v>
      </c>
      <c r="Q65" t="s">
        <v>8874</v>
      </c>
      <c r="R65" s="159">
        <v>45534</v>
      </c>
      <c r="S65" s="163">
        <f>F1045</f>
        <v>21.88</v>
      </c>
      <c r="T65" s="163">
        <f>AVERAGE(F1025:F1045)</f>
        <v>21.062857142857144</v>
      </c>
      <c r="U65">
        <f>COUNT(F1025:F1045)</f>
        <v>21</v>
      </c>
    </row>
    <row r="66" spans="1:21" x14ac:dyDescent="0.3">
      <c r="A66">
        <v>2021</v>
      </c>
      <c r="B66" s="159">
        <v>44085</v>
      </c>
      <c r="C66" s="130">
        <v>22.3</v>
      </c>
      <c r="D66" s="130">
        <v>22.39</v>
      </c>
      <c r="E66" s="130">
        <v>21.8</v>
      </c>
      <c r="F66" s="130">
        <v>22.03</v>
      </c>
      <c r="G66" s="160">
        <v>8017500</v>
      </c>
      <c r="H66" s="160">
        <f t="shared" si="0"/>
        <v>176625525</v>
      </c>
      <c r="I66" t="s">
        <v>8823</v>
      </c>
      <c r="J66">
        <v>2020</v>
      </c>
      <c r="K66">
        <v>9</v>
      </c>
      <c r="L66" t="s">
        <v>8865</v>
      </c>
      <c r="M66" t="s">
        <v>1552</v>
      </c>
      <c r="N66" t="s">
        <v>8866</v>
      </c>
      <c r="P66">
        <v>2025</v>
      </c>
      <c r="Q66" t="s">
        <v>8875</v>
      </c>
      <c r="R66" s="159">
        <v>45565</v>
      </c>
      <c r="S66" s="163">
        <f>F1065</f>
        <v>25.28</v>
      </c>
      <c r="T66" s="163">
        <f>AVERAGE(F1046:F1065)</f>
        <v>23.951500000000003</v>
      </c>
      <c r="U66">
        <f>COUNT(F1046:F1065)</f>
        <v>20</v>
      </c>
    </row>
    <row r="67" spans="1:21" x14ac:dyDescent="0.3">
      <c r="A67">
        <v>2021</v>
      </c>
      <c r="B67" s="159">
        <v>44088</v>
      </c>
      <c r="C67" s="130">
        <v>22.25</v>
      </c>
      <c r="D67" s="130">
        <v>22.33</v>
      </c>
      <c r="E67" s="130">
        <v>21.65</v>
      </c>
      <c r="F67" s="130">
        <v>22.17</v>
      </c>
      <c r="G67" s="160">
        <v>7084000</v>
      </c>
      <c r="H67" s="160">
        <f t="shared" si="0"/>
        <v>157052280</v>
      </c>
      <c r="I67" t="s">
        <v>8823</v>
      </c>
      <c r="J67">
        <v>2020</v>
      </c>
      <c r="K67">
        <v>9</v>
      </c>
      <c r="L67" t="s">
        <v>8865</v>
      </c>
      <c r="M67" t="s">
        <v>1552</v>
      </c>
      <c r="N67" t="s">
        <v>8866</v>
      </c>
      <c r="P67">
        <v>2025</v>
      </c>
      <c r="Q67" t="s">
        <v>8876</v>
      </c>
      <c r="R67" s="159">
        <v>45596</v>
      </c>
      <c r="S67" s="163">
        <f>F1088</f>
        <v>32.56</v>
      </c>
      <c r="T67" s="163">
        <f>AVERAGE(F1066:F1088)</f>
        <v>29.493478260869562</v>
      </c>
      <c r="U67">
        <f>COUNT(F1066:F1088)</f>
        <v>23</v>
      </c>
    </row>
    <row r="68" spans="1:21" x14ac:dyDescent="0.3">
      <c r="A68">
        <v>2021</v>
      </c>
      <c r="B68" s="159">
        <v>44089</v>
      </c>
      <c r="C68" s="130">
        <v>22.11</v>
      </c>
      <c r="D68" s="130">
        <v>22.4</v>
      </c>
      <c r="E68" s="130">
        <v>21.7</v>
      </c>
      <c r="F68" s="130">
        <v>21.84</v>
      </c>
      <c r="G68" s="160">
        <v>14202000</v>
      </c>
      <c r="H68" s="160">
        <f t="shared" si="0"/>
        <v>310171680</v>
      </c>
      <c r="I68" t="s">
        <v>8823</v>
      </c>
      <c r="J68">
        <v>2020</v>
      </c>
      <c r="K68">
        <v>9</v>
      </c>
      <c r="L68" t="s">
        <v>8865</v>
      </c>
      <c r="M68" t="s">
        <v>1552</v>
      </c>
      <c r="N68" t="s">
        <v>8866</v>
      </c>
      <c r="P68">
        <v>2025</v>
      </c>
      <c r="Q68" t="s">
        <v>8877</v>
      </c>
      <c r="R68" s="159">
        <v>45625</v>
      </c>
      <c r="S68" s="163">
        <f>F1109</f>
        <v>35.15</v>
      </c>
      <c r="T68" s="163">
        <f>AVERAGE(F1089:F1109)</f>
        <v>33.300476190476189</v>
      </c>
      <c r="U68">
        <f>COUNT(F1089:F1109)</f>
        <v>21</v>
      </c>
    </row>
    <row r="69" spans="1:21" x14ac:dyDescent="0.3">
      <c r="A69">
        <v>2021</v>
      </c>
      <c r="B69" s="159">
        <v>44090</v>
      </c>
      <c r="C69" s="130">
        <v>21.9</v>
      </c>
      <c r="D69" s="130">
        <v>22.1</v>
      </c>
      <c r="E69" s="130">
        <v>21.69</v>
      </c>
      <c r="F69" s="130">
        <v>21.75</v>
      </c>
      <c r="G69" s="160">
        <v>3238500</v>
      </c>
      <c r="H69" s="160">
        <f t="shared" si="0"/>
        <v>70437375</v>
      </c>
      <c r="I69" t="s">
        <v>8823</v>
      </c>
      <c r="J69">
        <v>2020</v>
      </c>
      <c r="K69">
        <v>9</v>
      </c>
      <c r="L69" t="s">
        <v>8865</v>
      </c>
      <c r="M69" t="s">
        <v>1552</v>
      </c>
      <c r="N69" t="s">
        <v>8866</v>
      </c>
      <c r="P69">
        <v>2025</v>
      </c>
      <c r="Q69" t="s">
        <v>8878</v>
      </c>
      <c r="R69" s="159">
        <v>45657</v>
      </c>
      <c r="S69" s="163">
        <f>F1130</f>
        <v>36.58</v>
      </c>
      <c r="T69" s="163">
        <f>AVERAGE(F1110:F1130)</f>
        <v>37.31333333333334</v>
      </c>
      <c r="U69">
        <f>COUNT(F1110:F1130)</f>
        <v>21</v>
      </c>
    </row>
    <row r="70" spans="1:21" x14ac:dyDescent="0.3">
      <c r="A70">
        <v>2021</v>
      </c>
      <c r="B70" s="159">
        <v>44091</v>
      </c>
      <c r="C70" s="130">
        <v>21.99</v>
      </c>
      <c r="D70" s="130">
        <v>21.99</v>
      </c>
      <c r="E70" s="130">
        <v>21.67</v>
      </c>
      <c r="F70" s="130">
        <v>21.71</v>
      </c>
      <c r="G70" s="160">
        <v>2347500</v>
      </c>
      <c r="H70" s="160">
        <f t="shared" si="0"/>
        <v>50964225</v>
      </c>
      <c r="I70" t="s">
        <v>8823</v>
      </c>
      <c r="J70">
        <v>2020</v>
      </c>
      <c r="K70">
        <v>9</v>
      </c>
      <c r="L70" t="s">
        <v>8865</v>
      </c>
      <c r="M70" t="s">
        <v>1552</v>
      </c>
      <c r="N70" t="s">
        <v>8866</v>
      </c>
      <c r="P70">
        <v>2025</v>
      </c>
      <c r="Q70" t="s">
        <v>8879</v>
      </c>
      <c r="R70" s="159">
        <v>45688</v>
      </c>
      <c r="S70" s="163">
        <f>F1153</f>
        <v>38.1</v>
      </c>
      <c r="T70" s="163">
        <f>AVERAGE(F1131:F1153)</f>
        <v>36.260000000000005</v>
      </c>
      <c r="U70">
        <f>COUNT(F1131:F1153)</f>
        <v>23</v>
      </c>
    </row>
    <row r="71" spans="1:21" x14ac:dyDescent="0.3">
      <c r="A71">
        <v>2021</v>
      </c>
      <c r="B71" s="159">
        <v>44092</v>
      </c>
      <c r="C71" s="130">
        <v>21.75</v>
      </c>
      <c r="D71" s="130">
        <v>21.8</v>
      </c>
      <c r="E71" s="130">
        <v>21.5</v>
      </c>
      <c r="F71" s="130">
        <v>21.54</v>
      </c>
      <c r="G71" s="160">
        <v>3117500</v>
      </c>
      <c r="H71" s="160">
        <f t="shared" si="0"/>
        <v>67150950</v>
      </c>
      <c r="I71" t="s">
        <v>8823</v>
      </c>
      <c r="J71">
        <v>2020</v>
      </c>
      <c r="K71">
        <v>9</v>
      </c>
      <c r="L71" t="s">
        <v>8865</v>
      </c>
      <c r="M71" t="s">
        <v>1552</v>
      </c>
      <c r="N71" t="s">
        <v>8866</v>
      </c>
      <c r="P71">
        <v>2025</v>
      </c>
      <c r="Q71" t="s">
        <v>8880</v>
      </c>
      <c r="R71" s="159">
        <v>45716</v>
      </c>
      <c r="S71" s="163">
        <f>F1172</f>
        <v>40.42</v>
      </c>
      <c r="T71" s="163">
        <f>AVERAGE(F1154:F1172)</f>
        <v>39.244736842105269</v>
      </c>
      <c r="U71">
        <f>COUNT(F1154:F1172)</f>
        <v>19</v>
      </c>
    </row>
    <row r="72" spans="1:21" x14ac:dyDescent="0.3">
      <c r="A72">
        <v>2021</v>
      </c>
      <c r="B72" s="159">
        <v>44095</v>
      </c>
      <c r="C72" s="130">
        <v>21.54</v>
      </c>
      <c r="D72" s="130">
        <v>21.59</v>
      </c>
      <c r="E72" s="130">
        <v>21.3</v>
      </c>
      <c r="F72" s="130">
        <v>21.34</v>
      </c>
      <c r="G72" s="160">
        <v>2791000</v>
      </c>
      <c r="H72" s="160">
        <f t="shared" si="0"/>
        <v>59559940</v>
      </c>
      <c r="I72" t="s">
        <v>8823</v>
      </c>
      <c r="J72">
        <v>2020</v>
      </c>
      <c r="K72">
        <v>9</v>
      </c>
      <c r="L72" t="s">
        <v>8865</v>
      </c>
      <c r="M72" t="s">
        <v>1552</v>
      </c>
      <c r="N72" t="s">
        <v>8866</v>
      </c>
      <c r="P72">
        <v>2025</v>
      </c>
      <c r="Q72" t="s">
        <v>8881</v>
      </c>
      <c r="R72" s="159">
        <v>45743</v>
      </c>
      <c r="S72" s="163">
        <f>F1191</f>
        <v>46.41</v>
      </c>
      <c r="T72" s="163">
        <f>AVERAGE(F1173:F1191)</f>
        <v>44.53263157894736</v>
      </c>
      <c r="U72">
        <f>COUNT(F1173:F1191)</f>
        <v>19</v>
      </c>
    </row>
    <row r="73" spans="1:21" x14ac:dyDescent="0.3">
      <c r="A73">
        <v>2021</v>
      </c>
      <c r="B73" s="159">
        <v>44096</v>
      </c>
      <c r="C73" s="130">
        <v>21.15</v>
      </c>
      <c r="D73" s="130">
        <v>21.4</v>
      </c>
      <c r="E73" s="130">
        <v>20.5</v>
      </c>
      <c r="F73" s="130">
        <v>20.93</v>
      </c>
      <c r="G73" s="160">
        <v>3829500</v>
      </c>
      <c r="H73" s="160">
        <f t="shared" si="0"/>
        <v>80151435</v>
      </c>
      <c r="I73" t="s">
        <v>8823</v>
      </c>
      <c r="J73">
        <v>2020</v>
      </c>
      <c r="K73">
        <v>9</v>
      </c>
      <c r="L73" t="s">
        <v>8865</v>
      </c>
      <c r="M73" t="s">
        <v>1552</v>
      </c>
      <c r="N73" t="s">
        <v>8866</v>
      </c>
      <c r="P73">
        <v>2025</v>
      </c>
      <c r="Q73" t="s">
        <v>8882</v>
      </c>
      <c r="R73" s="159">
        <v>45777</v>
      </c>
      <c r="S73" s="163">
        <f>F1211</f>
        <v>42.81</v>
      </c>
      <c r="T73" s="163">
        <f>AVERAGE(F1192:F1211)</f>
        <v>45.726999999999997</v>
      </c>
      <c r="U73">
        <f>COUNT(F1192:F1211)</f>
        <v>20</v>
      </c>
    </row>
    <row r="74" spans="1:21" x14ac:dyDescent="0.3">
      <c r="A74">
        <v>2021</v>
      </c>
      <c r="B74" s="159">
        <v>44097</v>
      </c>
      <c r="C74" s="130">
        <v>21</v>
      </c>
      <c r="D74" s="130">
        <v>21.2</v>
      </c>
      <c r="E74" s="130">
        <v>20.85</v>
      </c>
      <c r="F74" s="130">
        <v>21</v>
      </c>
      <c r="G74" s="160">
        <v>6399000</v>
      </c>
      <c r="H74" s="160">
        <f t="shared" si="0"/>
        <v>134379000</v>
      </c>
      <c r="I74" t="s">
        <v>8823</v>
      </c>
      <c r="J74">
        <v>2020</v>
      </c>
      <c r="K74">
        <v>9</v>
      </c>
      <c r="L74" t="s">
        <v>8865</v>
      </c>
      <c r="M74" t="s">
        <v>1552</v>
      </c>
      <c r="N74" t="s">
        <v>8866</v>
      </c>
      <c r="P74">
        <v>2025</v>
      </c>
      <c r="Q74" t="s">
        <v>8883</v>
      </c>
      <c r="R74" s="159">
        <v>45807</v>
      </c>
      <c r="S74" s="163">
        <f>F1231</f>
        <v>46.11</v>
      </c>
      <c r="T74" s="163">
        <f>AVERAGE(F1212:F1231)</f>
        <v>45.577500000000001</v>
      </c>
      <c r="U74">
        <f>COUNT(F1212:F1231)</f>
        <v>20</v>
      </c>
    </row>
    <row r="75" spans="1:21" x14ac:dyDescent="0.3">
      <c r="A75">
        <v>2021</v>
      </c>
      <c r="B75" s="159">
        <v>44098</v>
      </c>
      <c r="C75" s="130">
        <v>21</v>
      </c>
      <c r="D75" s="130">
        <v>21.4</v>
      </c>
      <c r="E75" s="130">
        <v>21</v>
      </c>
      <c r="F75" s="130">
        <v>21.14</v>
      </c>
      <c r="G75" s="160">
        <v>9678500</v>
      </c>
      <c r="H75" s="160">
        <f t="shared" si="0"/>
        <v>204603490</v>
      </c>
      <c r="I75" t="s">
        <v>8823</v>
      </c>
      <c r="J75">
        <v>2020</v>
      </c>
      <c r="K75">
        <v>9</v>
      </c>
      <c r="L75" t="s">
        <v>8865</v>
      </c>
      <c r="M75" t="s">
        <v>1552</v>
      </c>
      <c r="N75" t="s">
        <v>8866</v>
      </c>
      <c r="P75">
        <v>2025</v>
      </c>
      <c r="Q75" t="s">
        <v>8884</v>
      </c>
      <c r="R75" s="159">
        <v>45838</v>
      </c>
      <c r="S75" s="163">
        <f>F1250</f>
        <v>44.67</v>
      </c>
      <c r="T75" s="163">
        <f>AVERAGE(F1232:F1250)</f>
        <v>45.211052631578944</v>
      </c>
      <c r="U75">
        <f>COUNT(F1232:F1250)</f>
        <v>19</v>
      </c>
    </row>
    <row r="76" spans="1:21" x14ac:dyDescent="0.3">
      <c r="A76">
        <v>2021</v>
      </c>
      <c r="B76" s="159">
        <v>44099</v>
      </c>
      <c r="C76" s="130">
        <v>21.25</v>
      </c>
      <c r="D76" s="130">
        <v>21.25</v>
      </c>
      <c r="E76" s="130">
        <v>20.8</v>
      </c>
      <c r="F76" s="130">
        <v>20.81</v>
      </c>
      <c r="G76" s="160">
        <v>4039500</v>
      </c>
      <c r="H76" s="160">
        <f t="shared" si="0"/>
        <v>84061995</v>
      </c>
      <c r="I76" t="s">
        <v>8823</v>
      </c>
      <c r="J76">
        <v>2020</v>
      </c>
      <c r="K76">
        <v>9</v>
      </c>
      <c r="L76" t="s">
        <v>8865</v>
      </c>
      <c r="M76" t="s">
        <v>1552</v>
      </c>
      <c r="N76" t="s">
        <v>8866</v>
      </c>
    </row>
    <row r="77" spans="1:21" x14ac:dyDescent="0.3">
      <c r="A77">
        <v>2021</v>
      </c>
      <c r="B77" s="159">
        <v>44102</v>
      </c>
      <c r="C77" s="130">
        <v>20.85</v>
      </c>
      <c r="D77" s="130">
        <v>21</v>
      </c>
      <c r="E77" s="130">
        <v>19.899999999999999</v>
      </c>
      <c r="F77" s="130">
        <v>20.100000000000001</v>
      </c>
      <c r="G77" s="160">
        <v>4609000</v>
      </c>
      <c r="H77" s="160">
        <f t="shared" si="0"/>
        <v>92640900</v>
      </c>
      <c r="I77" t="s">
        <v>8823</v>
      </c>
      <c r="J77">
        <v>2020</v>
      </c>
      <c r="K77">
        <v>9</v>
      </c>
      <c r="L77" t="s">
        <v>8865</v>
      </c>
      <c r="M77" t="s">
        <v>1552</v>
      </c>
      <c r="N77" t="s">
        <v>8866</v>
      </c>
    </row>
    <row r="78" spans="1:21" x14ac:dyDescent="0.3">
      <c r="A78">
        <v>2021</v>
      </c>
      <c r="B78" s="159">
        <v>44103</v>
      </c>
      <c r="C78" s="130">
        <v>20.05</v>
      </c>
      <c r="D78" s="130">
        <v>20.239999999999998</v>
      </c>
      <c r="E78" s="130">
        <v>19.75</v>
      </c>
      <c r="F78" s="130">
        <v>20.18</v>
      </c>
      <c r="G78" s="160">
        <v>3624000</v>
      </c>
      <c r="H78" s="160">
        <f t="shared" si="0"/>
        <v>73132320</v>
      </c>
      <c r="I78" t="s">
        <v>8823</v>
      </c>
      <c r="J78">
        <v>2020</v>
      </c>
      <c r="K78">
        <v>9</v>
      </c>
      <c r="L78" t="s">
        <v>8865</v>
      </c>
      <c r="M78" t="s">
        <v>1552</v>
      </c>
      <c r="N78" t="s">
        <v>8866</v>
      </c>
    </row>
    <row r="79" spans="1:21" x14ac:dyDescent="0.3">
      <c r="A79">
        <v>2021</v>
      </c>
      <c r="B79" s="159">
        <v>44104</v>
      </c>
      <c r="C79" s="130">
        <v>20.21</v>
      </c>
      <c r="D79" s="130">
        <v>20.420000000000002</v>
      </c>
      <c r="E79" s="130">
        <v>19.71</v>
      </c>
      <c r="F79" s="130">
        <v>19.88</v>
      </c>
      <c r="G79" s="160">
        <v>4243000</v>
      </c>
      <c r="H79" s="160">
        <f t="shared" si="0"/>
        <v>84350840</v>
      </c>
      <c r="I79" t="s">
        <v>8823</v>
      </c>
      <c r="J79">
        <v>2020</v>
      </c>
      <c r="K79">
        <v>9</v>
      </c>
      <c r="L79" t="s">
        <v>8865</v>
      </c>
      <c r="M79" t="s">
        <v>1552</v>
      </c>
      <c r="N79" t="s">
        <v>8866</v>
      </c>
    </row>
    <row r="80" spans="1:21" x14ac:dyDescent="0.3">
      <c r="A80">
        <v>2021</v>
      </c>
      <c r="B80" s="159">
        <v>44105</v>
      </c>
      <c r="C80" s="130">
        <v>19.88</v>
      </c>
      <c r="D80" s="130">
        <v>20.2</v>
      </c>
      <c r="E80" s="130">
        <v>19.399999999999999</v>
      </c>
      <c r="F80" s="130">
        <v>20.09</v>
      </c>
      <c r="G80" s="160">
        <v>8682000</v>
      </c>
      <c r="H80" s="160">
        <f t="shared" ref="H80:H143" si="1">F80*G80</f>
        <v>174421380</v>
      </c>
      <c r="I80" t="s">
        <v>8824</v>
      </c>
      <c r="J80">
        <v>2020</v>
      </c>
      <c r="K80">
        <v>10</v>
      </c>
      <c r="L80" t="s">
        <v>8885</v>
      </c>
      <c r="M80" t="s">
        <v>1552</v>
      </c>
      <c r="N80" t="s">
        <v>8886</v>
      </c>
    </row>
    <row r="81" spans="1:14" x14ac:dyDescent="0.3">
      <c r="A81">
        <v>2021</v>
      </c>
      <c r="B81" s="159">
        <v>44106</v>
      </c>
      <c r="C81" s="130">
        <v>20.18</v>
      </c>
      <c r="D81" s="130">
        <v>20.18</v>
      </c>
      <c r="E81" s="130">
        <v>18.98</v>
      </c>
      <c r="F81" s="130">
        <v>19.27</v>
      </c>
      <c r="G81" s="160">
        <v>4128000</v>
      </c>
      <c r="H81" s="160">
        <f t="shared" si="1"/>
        <v>79546560</v>
      </c>
      <c r="I81" t="s">
        <v>8824</v>
      </c>
      <c r="J81">
        <v>2020</v>
      </c>
      <c r="K81">
        <v>10</v>
      </c>
      <c r="L81" t="s">
        <v>8885</v>
      </c>
      <c r="M81" t="s">
        <v>1552</v>
      </c>
      <c r="N81" t="s">
        <v>8886</v>
      </c>
    </row>
    <row r="82" spans="1:14" x14ac:dyDescent="0.3">
      <c r="A82">
        <v>2021</v>
      </c>
      <c r="B82" s="159">
        <v>44109</v>
      </c>
      <c r="C82" s="130">
        <v>19.16</v>
      </c>
      <c r="D82" s="130">
        <v>19.16</v>
      </c>
      <c r="E82" s="130">
        <v>18.489999999999998</v>
      </c>
      <c r="F82" s="130">
        <v>18.690000000000001</v>
      </c>
      <c r="G82" s="160">
        <v>4280000</v>
      </c>
      <c r="H82" s="160">
        <f t="shared" si="1"/>
        <v>79993200</v>
      </c>
      <c r="I82" t="s">
        <v>8824</v>
      </c>
      <c r="J82">
        <v>2020</v>
      </c>
      <c r="K82">
        <v>10</v>
      </c>
      <c r="L82" t="s">
        <v>8885</v>
      </c>
      <c r="M82" t="s">
        <v>1552</v>
      </c>
      <c r="N82" t="s">
        <v>8886</v>
      </c>
    </row>
    <row r="83" spans="1:14" x14ac:dyDescent="0.3">
      <c r="A83">
        <v>2021</v>
      </c>
      <c r="B83" s="159">
        <v>44110</v>
      </c>
      <c r="C83" s="130">
        <v>18.53</v>
      </c>
      <c r="D83" s="130">
        <v>19.190000000000001</v>
      </c>
      <c r="E83" s="130">
        <v>18.309999999999999</v>
      </c>
      <c r="F83" s="130">
        <v>19.010000000000002</v>
      </c>
      <c r="G83" s="160">
        <v>1712000</v>
      </c>
      <c r="H83" s="160">
        <f t="shared" si="1"/>
        <v>32545120.000000004</v>
      </c>
      <c r="I83" t="s">
        <v>8824</v>
      </c>
      <c r="J83">
        <v>2020</v>
      </c>
      <c r="K83">
        <v>10</v>
      </c>
      <c r="L83" t="s">
        <v>8885</v>
      </c>
      <c r="M83" t="s">
        <v>1552</v>
      </c>
      <c r="N83" t="s">
        <v>8886</v>
      </c>
    </row>
    <row r="84" spans="1:14" x14ac:dyDescent="0.3">
      <c r="A84">
        <v>2021</v>
      </c>
      <c r="B84" s="159">
        <v>44111</v>
      </c>
      <c r="C84" s="130">
        <v>19.25</v>
      </c>
      <c r="D84" s="130">
        <v>19.850000000000001</v>
      </c>
      <c r="E84" s="130">
        <v>19.100000000000001</v>
      </c>
      <c r="F84" s="130">
        <v>19.72</v>
      </c>
      <c r="G84" s="160">
        <v>4580000</v>
      </c>
      <c r="H84" s="160">
        <f t="shared" si="1"/>
        <v>90317600</v>
      </c>
      <c r="I84" t="s">
        <v>8824</v>
      </c>
      <c r="J84">
        <v>2020</v>
      </c>
      <c r="K84">
        <v>10</v>
      </c>
      <c r="L84" t="s">
        <v>8885</v>
      </c>
      <c r="M84" t="s">
        <v>1552</v>
      </c>
      <c r="N84" t="s">
        <v>8886</v>
      </c>
    </row>
    <row r="85" spans="1:14" x14ac:dyDescent="0.3">
      <c r="A85">
        <v>2021</v>
      </c>
      <c r="B85" s="159">
        <v>44112</v>
      </c>
      <c r="C85" s="130">
        <v>19.850000000000001</v>
      </c>
      <c r="D85" s="130">
        <v>20.7</v>
      </c>
      <c r="E85" s="130">
        <v>19.600000000000001</v>
      </c>
      <c r="F85" s="130">
        <v>20.49</v>
      </c>
      <c r="G85" s="160">
        <v>8502500</v>
      </c>
      <c r="H85" s="160">
        <f t="shared" si="1"/>
        <v>174216225</v>
      </c>
      <c r="I85" t="s">
        <v>8824</v>
      </c>
      <c r="J85">
        <v>2020</v>
      </c>
      <c r="K85">
        <v>10</v>
      </c>
      <c r="L85" t="s">
        <v>8885</v>
      </c>
      <c r="M85" t="s">
        <v>1552</v>
      </c>
      <c r="N85" t="s">
        <v>8886</v>
      </c>
    </row>
    <row r="86" spans="1:14" x14ac:dyDescent="0.3">
      <c r="A86">
        <v>2021</v>
      </c>
      <c r="B86" s="159">
        <v>44113</v>
      </c>
      <c r="C86" s="130">
        <v>20.399999999999999</v>
      </c>
      <c r="D86" s="130">
        <v>20.87</v>
      </c>
      <c r="E86" s="130">
        <v>20.010000000000002</v>
      </c>
      <c r="F86" s="130">
        <v>20.420000000000002</v>
      </c>
      <c r="G86" s="160">
        <v>8343500</v>
      </c>
      <c r="H86" s="160">
        <f t="shared" si="1"/>
        <v>170374270</v>
      </c>
      <c r="I86" t="s">
        <v>8824</v>
      </c>
      <c r="J86">
        <v>2020</v>
      </c>
      <c r="K86">
        <v>10</v>
      </c>
      <c r="L86" t="s">
        <v>8885</v>
      </c>
      <c r="M86" t="s">
        <v>1552</v>
      </c>
      <c r="N86" t="s">
        <v>8886</v>
      </c>
    </row>
    <row r="87" spans="1:14" x14ac:dyDescent="0.3">
      <c r="A87">
        <v>2021</v>
      </c>
      <c r="B87" s="159">
        <v>44116</v>
      </c>
      <c r="C87" s="130">
        <v>20.5</v>
      </c>
      <c r="D87" s="130">
        <v>20.74</v>
      </c>
      <c r="E87" s="130">
        <v>19.8</v>
      </c>
      <c r="F87" s="130">
        <v>19.95</v>
      </c>
      <c r="G87" s="160">
        <v>7352500</v>
      </c>
      <c r="H87" s="160">
        <f t="shared" si="1"/>
        <v>146682375</v>
      </c>
      <c r="I87" t="s">
        <v>8824</v>
      </c>
      <c r="J87">
        <v>2020</v>
      </c>
      <c r="K87">
        <v>10</v>
      </c>
      <c r="L87" t="s">
        <v>8885</v>
      </c>
      <c r="M87" t="s">
        <v>1552</v>
      </c>
      <c r="N87" t="s">
        <v>8886</v>
      </c>
    </row>
    <row r="88" spans="1:14" x14ac:dyDescent="0.3">
      <c r="A88">
        <v>2021</v>
      </c>
      <c r="B88" s="159">
        <v>44117</v>
      </c>
      <c r="C88" s="130">
        <v>19.71</v>
      </c>
      <c r="D88" s="130">
        <v>20.010000000000002</v>
      </c>
      <c r="E88" s="130">
        <v>19.510000000000002</v>
      </c>
      <c r="F88" s="130">
        <v>19.690000000000001</v>
      </c>
      <c r="G88" s="160">
        <v>5810500</v>
      </c>
      <c r="H88" s="160">
        <f t="shared" si="1"/>
        <v>114408745</v>
      </c>
      <c r="I88" t="s">
        <v>8824</v>
      </c>
      <c r="J88">
        <v>2020</v>
      </c>
      <c r="K88">
        <v>10</v>
      </c>
      <c r="L88" t="s">
        <v>8885</v>
      </c>
      <c r="M88" t="s">
        <v>1552</v>
      </c>
      <c r="N88" t="s">
        <v>8886</v>
      </c>
    </row>
    <row r="89" spans="1:14" x14ac:dyDescent="0.3">
      <c r="A89">
        <v>2021</v>
      </c>
      <c r="B89" s="159">
        <v>44118</v>
      </c>
      <c r="C89" s="130">
        <v>19.7</v>
      </c>
      <c r="D89" s="130">
        <v>20.04</v>
      </c>
      <c r="E89" s="130">
        <v>19.52</v>
      </c>
      <c r="F89" s="130">
        <v>19.989999999999998</v>
      </c>
      <c r="G89" s="160">
        <v>3710000</v>
      </c>
      <c r="H89" s="160">
        <f t="shared" si="1"/>
        <v>74162900</v>
      </c>
      <c r="I89" t="s">
        <v>8824</v>
      </c>
      <c r="J89">
        <v>2020</v>
      </c>
      <c r="K89">
        <v>10</v>
      </c>
      <c r="L89" t="s">
        <v>8885</v>
      </c>
      <c r="M89" t="s">
        <v>1552</v>
      </c>
      <c r="N89" t="s">
        <v>8886</v>
      </c>
    </row>
    <row r="90" spans="1:14" x14ac:dyDescent="0.3">
      <c r="A90">
        <v>2021</v>
      </c>
      <c r="B90" s="159">
        <v>44119</v>
      </c>
      <c r="C90" s="130">
        <v>20</v>
      </c>
      <c r="D90" s="130">
        <v>20.440000000000001</v>
      </c>
      <c r="E90" s="130">
        <v>19.8</v>
      </c>
      <c r="F90" s="130">
        <v>19.920000000000002</v>
      </c>
      <c r="G90" s="160">
        <v>5672000</v>
      </c>
      <c r="H90" s="160">
        <f t="shared" si="1"/>
        <v>112986240.00000001</v>
      </c>
      <c r="I90" t="s">
        <v>8824</v>
      </c>
      <c r="J90">
        <v>2020</v>
      </c>
      <c r="K90">
        <v>10</v>
      </c>
      <c r="L90" t="s">
        <v>8885</v>
      </c>
      <c r="M90" t="s">
        <v>1552</v>
      </c>
      <c r="N90" t="s">
        <v>8886</v>
      </c>
    </row>
    <row r="91" spans="1:14" x14ac:dyDescent="0.3">
      <c r="A91">
        <v>2021</v>
      </c>
      <c r="B91" s="159">
        <v>44120</v>
      </c>
      <c r="C91" s="130">
        <v>19.86</v>
      </c>
      <c r="D91" s="130">
        <v>20.149999999999999</v>
      </c>
      <c r="E91" s="130">
        <v>19.649999999999999</v>
      </c>
      <c r="F91" s="130">
        <v>19.989999999999998</v>
      </c>
      <c r="G91" s="160">
        <v>2976500</v>
      </c>
      <c r="H91" s="160">
        <f t="shared" si="1"/>
        <v>59500234.999999993</v>
      </c>
      <c r="I91" t="s">
        <v>8824</v>
      </c>
      <c r="J91">
        <v>2020</v>
      </c>
      <c r="K91">
        <v>10</v>
      </c>
      <c r="L91" t="s">
        <v>8885</v>
      </c>
      <c r="M91" t="s">
        <v>1552</v>
      </c>
      <c r="N91" t="s">
        <v>8886</v>
      </c>
    </row>
    <row r="92" spans="1:14" x14ac:dyDescent="0.3">
      <c r="A92">
        <v>2021</v>
      </c>
      <c r="B92" s="159">
        <v>44123</v>
      </c>
      <c r="C92" s="130">
        <v>19.8</v>
      </c>
      <c r="D92" s="130">
        <v>20.14</v>
      </c>
      <c r="E92" s="130">
        <v>19.61</v>
      </c>
      <c r="F92" s="130">
        <v>19.86</v>
      </c>
      <c r="G92" s="160">
        <v>1767000</v>
      </c>
      <c r="H92" s="160">
        <f t="shared" si="1"/>
        <v>35092620</v>
      </c>
      <c r="I92" t="s">
        <v>8824</v>
      </c>
      <c r="J92">
        <v>2020</v>
      </c>
      <c r="K92">
        <v>10</v>
      </c>
      <c r="L92" t="s">
        <v>8885</v>
      </c>
      <c r="M92" t="s">
        <v>1552</v>
      </c>
      <c r="N92" t="s">
        <v>8886</v>
      </c>
    </row>
    <row r="93" spans="1:14" x14ac:dyDescent="0.3">
      <c r="A93">
        <v>2021</v>
      </c>
      <c r="B93" s="159">
        <v>44124</v>
      </c>
      <c r="C93" s="130">
        <v>19.89</v>
      </c>
      <c r="D93" s="130">
        <v>20.27</v>
      </c>
      <c r="E93" s="130">
        <v>19.829999999999998</v>
      </c>
      <c r="F93" s="130">
        <v>20.170000000000002</v>
      </c>
      <c r="G93" s="160">
        <v>3853000</v>
      </c>
      <c r="H93" s="160">
        <f t="shared" si="1"/>
        <v>77715010</v>
      </c>
      <c r="I93" t="s">
        <v>8824</v>
      </c>
      <c r="J93">
        <v>2020</v>
      </c>
      <c r="K93">
        <v>10</v>
      </c>
      <c r="L93" t="s">
        <v>8885</v>
      </c>
      <c r="M93" t="s">
        <v>1552</v>
      </c>
      <c r="N93" t="s">
        <v>8886</v>
      </c>
    </row>
    <row r="94" spans="1:14" x14ac:dyDescent="0.3">
      <c r="A94">
        <v>2021</v>
      </c>
      <c r="B94" s="159">
        <v>44125</v>
      </c>
      <c r="C94" s="130">
        <v>20.2</v>
      </c>
      <c r="D94" s="130">
        <v>20.38</v>
      </c>
      <c r="E94" s="130">
        <v>20</v>
      </c>
      <c r="F94" s="130">
        <v>20.03</v>
      </c>
      <c r="G94" s="160">
        <v>3532000</v>
      </c>
      <c r="H94" s="160">
        <f t="shared" si="1"/>
        <v>70745960</v>
      </c>
      <c r="I94" t="s">
        <v>8824</v>
      </c>
      <c r="J94">
        <v>2020</v>
      </c>
      <c r="K94">
        <v>10</v>
      </c>
      <c r="L94" t="s">
        <v>8885</v>
      </c>
      <c r="M94" t="s">
        <v>1552</v>
      </c>
      <c r="N94" t="s">
        <v>8886</v>
      </c>
    </row>
    <row r="95" spans="1:14" x14ac:dyDescent="0.3">
      <c r="A95">
        <v>2021</v>
      </c>
      <c r="B95" s="159">
        <v>44126</v>
      </c>
      <c r="C95" s="130">
        <v>20.05</v>
      </c>
      <c r="D95" s="130">
        <v>20.45</v>
      </c>
      <c r="E95" s="130">
        <v>19.920000000000002</v>
      </c>
      <c r="F95" s="130">
        <v>20.03</v>
      </c>
      <c r="G95" s="160">
        <v>4343000</v>
      </c>
      <c r="H95" s="160">
        <f t="shared" si="1"/>
        <v>86990290</v>
      </c>
      <c r="I95" t="s">
        <v>8824</v>
      </c>
      <c r="J95">
        <v>2020</v>
      </c>
      <c r="K95">
        <v>10</v>
      </c>
      <c r="L95" t="s">
        <v>8885</v>
      </c>
      <c r="M95" t="s">
        <v>1552</v>
      </c>
      <c r="N95" t="s">
        <v>8886</v>
      </c>
    </row>
    <row r="96" spans="1:14" x14ac:dyDescent="0.3">
      <c r="A96">
        <v>2021</v>
      </c>
      <c r="B96" s="159">
        <v>44127</v>
      </c>
      <c r="C96" s="130">
        <v>20.14</v>
      </c>
      <c r="D96" s="130">
        <v>21.35</v>
      </c>
      <c r="E96" s="130">
        <v>20.14</v>
      </c>
      <c r="F96" s="130">
        <v>20.79</v>
      </c>
      <c r="G96" s="160">
        <v>22044000</v>
      </c>
      <c r="H96" s="160">
        <f t="shared" si="1"/>
        <v>458294760</v>
      </c>
      <c r="I96" t="s">
        <v>8824</v>
      </c>
      <c r="J96">
        <v>2020</v>
      </c>
      <c r="K96">
        <v>10</v>
      </c>
      <c r="L96" t="s">
        <v>8885</v>
      </c>
      <c r="M96" t="s">
        <v>1552</v>
      </c>
      <c r="N96" t="s">
        <v>8886</v>
      </c>
    </row>
    <row r="97" spans="1:14" x14ac:dyDescent="0.3">
      <c r="A97">
        <v>2021</v>
      </c>
      <c r="B97" s="159">
        <v>44130</v>
      </c>
      <c r="C97" s="130">
        <v>20.8</v>
      </c>
      <c r="D97" s="130">
        <v>22.34</v>
      </c>
      <c r="E97" s="130">
        <v>20.65</v>
      </c>
      <c r="F97" s="130">
        <v>22.34</v>
      </c>
      <c r="G97" s="160">
        <v>31227000</v>
      </c>
      <c r="H97" s="160">
        <f t="shared" si="1"/>
        <v>697611180</v>
      </c>
      <c r="I97" t="s">
        <v>8824</v>
      </c>
      <c r="J97">
        <v>2020</v>
      </c>
      <c r="K97">
        <v>10</v>
      </c>
      <c r="L97" t="s">
        <v>8885</v>
      </c>
      <c r="M97" t="s">
        <v>1552</v>
      </c>
      <c r="N97" t="s">
        <v>8886</v>
      </c>
    </row>
    <row r="98" spans="1:14" x14ac:dyDescent="0.3">
      <c r="A98">
        <v>2021</v>
      </c>
      <c r="B98" s="159">
        <v>44131</v>
      </c>
      <c r="C98" s="130">
        <v>22.47</v>
      </c>
      <c r="D98" s="130">
        <v>22.85</v>
      </c>
      <c r="E98" s="130">
        <v>21.05</v>
      </c>
      <c r="F98" s="130">
        <v>21.46</v>
      </c>
      <c r="G98" s="160">
        <v>22532000</v>
      </c>
      <c r="H98" s="160">
        <f t="shared" si="1"/>
        <v>483536720</v>
      </c>
      <c r="I98" t="s">
        <v>8824</v>
      </c>
      <c r="J98">
        <v>2020</v>
      </c>
      <c r="K98">
        <v>10</v>
      </c>
      <c r="L98" t="s">
        <v>8885</v>
      </c>
      <c r="M98" t="s">
        <v>1552</v>
      </c>
      <c r="N98" t="s">
        <v>8886</v>
      </c>
    </row>
    <row r="99" spans="1:14" x14ac:dyDescent="0.3">
      <c r="A99">
        <v>2021</v>
      </c>
      <c r="B99" s="159">
        <v>44132</v>
      </c>
      <c r="C99" s="130">
        <v>21.47</v>
      </c>
      <c r="D99" s="130">
        <v>21.75</v>
      </c>
      <c r="E99" s="130">
        <v>21.1</v>
      </c>
      <c r="F99" s="130">
        <v>21.61</v>
      </c>
      <c r="G99" s="160">
        <v>8526500</v>
      </c>
      <c r="H99" s="160">
        <f t="shared" si="1"/>
        <v>184257665</v>
      </c>
      <c r="I99" t="s">
        <v>8824</v>
      </c>
      <c r="J99">
        <v>2020</v>
      </c>
      <c r="K99">
        <v>10</v>
      </c>
      <c r="L99" t="s">
        <v>8885</v>
      </c>
      <c r="M99" t="s">
        <v>1552</v>
      </c>
      <c r="N99" t="s">
        <v>8886</v>
      </c>
    </row>
    <row r="100" spans="1:14" x14ac:dyDescent="0.3">
      <c r="A100">
        <v>2021</v>
      </c>
      <c r="B100" s="159">
        <v>44133</v>
      </c>
      <c r="C100" s="130">
        <v>21.2</v>
      </c>
      <c r="D100" s="130">
        <v>21.6</v>
      </c>
      <c r="E100" s="130">
        <v>20.56</v>
      </c>
      <c r="F100" s="130">
        <v>21.16</v>
      </c>
      <c r="G100" s="160">
        <v>26403500</v>
      </c>
      <c r="H100" s="160">
        <f t="shared" si="1"/>
        <v>558698060</v>
      </c>
      <c r="I100" t="s">
        <v>8824</v>
      </c>
      <c r="J100">
        <v>2020</v>
      </c>
      <c r="K100">
        <v>10</v>
      </c>
      <c r="L100" t="s">
        <v>8885</v>
      </c>
      <c r="M100" t="s">
        <v>1552</v>
      </c>
      <c r="N100" t="s">
        <v>8886</v>
      </c>
    </row>
    <row r="101" spans="1:14" x14ac:dyDescent="0.3">
      <c r="A101">
        <v>2021</v>
      </c>
      <c r="B101" s="159">
        <v>44137</v>
      </c>
      <c r="C101" s="130">
        <v>21.16</v>
      </c>
      <c r="D101" s="130">
        <v>21.16</v>
      </c>
      <c r="E101" s="130">
        <v>20.22</v>
      </c>
      <c r="F101" s="130">
        <v>20.76</v>
      </c>
      <c r="G101" s="160">
        <v>8229000</v>
      </c>
      <c r="H101" s="160">
        <f t="shared" si="1"/>
        <v>170834040</v>
      </c>
      <c r="I101" t="s">
        <v>8825</v>
      </c>
      <c r="J101">
        <v>2020</v>
      </c>
      <c r="K101">
        <v>11</v>
      </c>
      <c r="L101" t="s">
        <v>8887</v>
      </c>
      <c r="M101" t="s">
        <v>1552</v>
      </c>
      <c r="N101" t="s">
        <v>8888</v>
      </c>
    </row>
    <row r="102" spans="1:14" x14ac:dyDescent="0.3">
      <c r="A102">
        <v>2021</v>
      </c>
      <c r="B102" s="159">
        <v>44138</v>
      </c>
      <c r="C102" s="130">
        <v>20.99</v>
      </c>
      <c r="D102" s="130">
        <v>21.5</v>
      </c>
      <c r="E102" s="130">
        <v>20.9</v>
      </c>
      <c r="F102" s="130">
        <v>21.43</v>
      </c>
      <c r="G102" s="160">
        <v>8090000</v>
      </c>
      <c r="H102" s="160">
        <f t="shared" si="1"/>
        <v>173368700</v>
      </c>
      <c r="I102" t="s">
        <v>8825</v>
      </c>
      <c r="J102">
        <v>2020</v>
      </c>
      <c r="K102">
        <v>11</v>
      </c>
      <c r="L102" t="s">
        <v>8887</v>
      </c>
      <c r="M102" t="s">
        <v>1552</v>
      </c>
      <c r="N102" t="s">
        <v>8888</v>
      </c>
    </row>
    <row r="103" spans="1:14" x14ac:dyDescent="0.3">
      <c r="A103">
        <v>2021</v>
      </c>
      <c r="B103" s="159">
        <v>44139</v>
      </c>
      <c r="C103" s="130">
        <v>21.7</v>
      </c>
      <c r="D103" s="130">
        <v>21.85</v>
      </c>
      <c r="E103" s="130">
        <v>20.91</v>
      </c>
      <c r="F103" s="130">
        <v>21.05</v>
      </c>
      <c r="G103" s="160">
        <v>4066000</v>
      </c>
      <c r="H103" s="160">
        <f t="shared" si="1"/>
        <v>85589300</v>
      </c>
      <c r="I103" t="s">
        <v>8825</v>
      </c>
      <c r="J103">
        <v>2020</v>
      </c>
      <c r="K103">
        <v>11</v>
      </c>
      <c r="L103" t="s">
        <v>8887</v>
      </c>
      <c r="M103" t="s">
        <v>1552</v>
      </c>
      <c r="N103" t="s">
        <v>8888</v>
      </c>
    </row>
    <row r="104" spans="1:14" x14ac:dyDescent="0.3">
      <c r="A104">
        <v>2021</v>
      </c>
      <c r="B104" s="159">
        <v>44140</v>
      </c>
      <c r="C104" s="130">
        <v>21.25</v>
      </c>
      <c r="D104" s="130">
        <v>21.45</v>
      </c>
      <c r="E104" s="130">
        <v>21.08</v>
      </c>
      <c r="F104" s="130">
        <v>21.28</v>
      </c>
      <c r="G104" s="160">
        <v>1698000</v>
      </c>
      <c r="H104" s="160">
        <f t="shared" si="1"/>
        <v>36133440</v>
      </c>
      <c r="I104" t="s">
        <v>8825</v>
      </c>
      <c r="J104">
        <v>2020</v>
      </c>
      <c r="K104">
        <v>11</v>
      </c>
      <c r="L104" t="s">
        <v>8887</v>
      </c>
      <c r="M104" t="s">
        <v>1552</v>
      </c>
      <c r="N104" t="s">
        <v>8888</v>
      </c>
    </row>
    <row r="105" spans="1:14" x14ac:dyDescent="0.3">
      <c r="A105">
        <v>2021</v>
      </c>
      <c r="B105" s="159">
        <v>44141</v>
      </c>
      <c r="C105" s="130">
        <v>21.38</v>
      </c>
      <c r="D105" s="130">
        <v>21.55</v>
      </c>
      <c r="E105" s="130">
        <v>21.05</v>
      </c>
      <c r="F105" s="130">
        <v>21.21</v>
      </c>
      <c r="G105" s="160">
        <v>2634500</v>
      </c>
      <c r="H105" s="160">
        <f t="shared" si="1"/>
        <v>55877745</v>
      </c>
      <c r="I105" t="s">
        <v>8825</v>
      </c>
      <c r="J105">
        <v>2020</v>
      </c>
      <c r="K105">
        <v>11</v>
      </c>
      <c r="L105" t="s">
        <v>8887</v>
      </c>
      <c r="M105" t="s">
        <v>1552</v>
      </c>
      <c r="N105" t="s">
        <v>8888</v>
      </c>
    </row>
    <row r="106" spans="1:14" x14ac:dyDescent="0.3">
      <c r="A106">
        <v>2021</v>
      </c>
      <c r="B106" s="159">
        <v>44144</v>
      </c>
      <c r="C106" s="130">
        <v>21.47</v>
      </c>
      <c r="D106" s="130">
        <v>21.48</v>
      </c>
      <c r="E106" s="130">
        <v>21.06</v>
      </c>
      <c r="F106" s="130">
        <v>21.41</v>
      </c>
      <c r="G106" s="160">
        <v>2223500</v>
      </c>
      <c r="H106" s="160">
        <f t="shared" si="1"/>
        <v>47605135</v>
      </c>
      <c r="I106" t="s">
        <v>8825</v>
      </c>
      <c r="J106">
        <v>2020</v>
      </c>
      <c r="K106">
        <v>11</v>
      </c>
      <c r="L106" t="s">
        <v>8887</v>
      </c>
      <c r="M106" t="s">
        <v>1552</v>
      </c>
      <c r="N106" t="s">
        <v>8888</v>
      </c>
    </row>
    <row r="107" spans="1:14" x14ac:dyDescent="0.3">
      <c r="A107">
        <v>2021</v>
      </c>
      <c r="B107" s="159">
        <v>44145</v>
      </c>
      <c r="C107" s="130">
        <v>21.69</v>
      </c>
      <c r="D107" s="130">
        <v>21.69</v>
      </c>
      <c r="E107" s="130">
        <v>21.2</v>
      </c>
      <c r="F107" s="130">
        <v>21.44</v>
      </c>
      <c r="G107" s="160">
        <v>2365500</v>
      </c>
      <c r="H107" s="160">
        <f t="shared" si="1"/>
        <v>50716320</v>
      </c>
      <c r="I107" t="s">
        <v>8825</v>
      </c>
      <c r="J107">
        <v>2020</v>
      </c>
      <c r="K107">
        <v>11</v>
      </c>
      <c r="L107" t="s">
        <v>8887</v>
      </c>
      <c r="M107" t="s">
        <v>1552</v>
      </c>
      <c r="N107" t="s">
        <v>8888</v>
      </c>
    </row>
    <row r="108" spans="1:14" x14ac:dyDescent="0.3">
      <c r="A108">
        <v>2021</v>
      </c>
      <c r="B108" s="159">
        <v>44146</v>
      </c>
      <c r="C108" s="130">
        <v>21.31</v>
      </c>
      <c r="D108" s="130">
        <v>21.35</v>
      </c>
      <c r="E108" s="130">
        <v>21.02</v>
      </c>
      <c r="F108" s="130">
        <v>21.13</v>
      </c>
      <c r="G108" s="160">
        <v>1105000</v>
      </c>
      <c r="H108" s="160">
        <f t="shared" si="1"/>
        <v>23348650</v>
      </c>
      <c r="I108" t="s">
        <v>8825</v>
      </c>
      <c r="J108">
        <v>2020</v>
      </c>
      <c r="K108">
        <v>11</v>
      </c>
      <c r="L108" t="s">
        <v>8887</v>
      </c>
      <c r="M108" t="s">
        <v>1552</v>
      </c>
      <c r="N108" t="s">
        <v>8888</v>
      </c>
    </row>
    <row r="109" spans="1:14" x14ac:dyDescent="0.3">
      <c r="A109">
        <v>2021</v>
      </c>
      <c r="B109" s="159">
        <v>44147</v>
      </c>
      <c r="C109" s="130">
        <v>21.02</v>
      </c>
      <c r="D109" s="130">
        <v>21.2</v>
      </c>
      <c r="E109" s="130">
        <v>20.55</v>
      </c>
      <c r="F109" s="130">
        <v>20.65</v>
      </c>
      <c r="G109" s="160">
        <v>1682000</v>
      </c>
      <c r="H109" s="160">
        <f t="shared" si="1"/>
        <v>34733300</v>
      </c>
      <c r="I109" t="s">
        <v>8825</v>
      </c>
      <c r="J109">
        <v>2020</v>
      </c>
      <c r="K109">
        <v>11</v>
      </c>
      <c r="L109" t="s">
        <v>8887</v>
      </c>
      <c r="M109" t="s">
        <v>1552</v>
      </c>
      <c r="N109" t="s">
        <v>8888</v>
      </c>
    </row>
    <row r="110" spans="1:14" x14ac:dyDescent="0.3">
      <c r="A110">
        <v>2021</v>
      </c>
      <c r="B110" s="159">
        <v>44148</v>
      </c>
      <c r="C110" s="130">
        <v>20.55</v>
      </c>
      <c r="D110" s="130">
        <v>21.2</v>
      </c>
      <c r="E110" s="130">
        <v>20.350000000000001</v>
      </c>
      <c r="F110" s="130">
        <v>20.72</v>
      </c>
      <c r="G110" s="160">
        <v>2306000</v>
      </c>
      <c r="H110" s="160">
        <f t="shared" si="1"/>
        <v>47780320</v>
      </c>
      <c r="I110" t="s">
        <v>8825</v>
      </c>
      <c r="J110">
        <v>2020</v>
      </c>
      <c r="K110">
        <v>11</v>
      </c>
      <c r="L110" t="s">
        <v>8887</v>
      </c>
      <c r="M110" t="s">
        <v>1552</v>
      </c>
      <c r="N110" t="s">
        <v>8888</v>
      </c>
    </row>
    <row r="111" spans="1:14" x14ac:dyDescent="0.3">
      <c r="A111">
        <v>2021</v>
      </c>
      <c r="B111" s="159">
        <v>44151</v>
      </c>
      <c r="C111" s="130">
        <v>20.66</v>
      </c>
      <c r="D111" s="130">
        <v>21.48</v>
      </c>
      <c r="E111" s="130">
        <v>20.66</v>
      </c>
      <c r="F111" s="130">
        <v>21.32</v>
      </c>
      <c r="G111" s="160">
        <v>3125000</v>
      </c>
      <c r="H111" s="160">
        <f t="shared" si="1"/>
        <v>66625000</v>
      </c>
      <c r="I111" t="s">
        <v>8825</v>
      </c>
      <c r="J111">
        <v>2020</v>
      </c>
      <c r="K111">
        <v>11</v>
      </c>
      <c r="L111" t="s">
        <v>8887</v>
      </c>
      <c r="M111" t="s">
        <v>1552</v>
      </c>
      <c r="N111" t="s">
        <v>8888</v>
      </c>
    </row>
    <row r="112" spans="1:14" x14ac:dyDescent="0.3">
      <c r="A112">
        <v>2021</v>
      </c>
      <c r="B112" s="159">
        <v>44152</v>
      </c>
      <c r="C112" s="130">
        <v>21.5</v>
      </c>
      <c r="D112" s="130">
        <v>21.65</v>
      </c>
      <c r="E112" s="130">
        <v>21.1</v>
      </c>
      <c r="F112" s="130">
        <v>21.36</v>
      </c>
      <c r="G112" s="160">
        <v>2455000</v>
      </c>
      <c r="H112" s="160">
        <f t="shared" si="1"/>
        <v>52438800</v>
      </c>
      <c r="I112" t="s">
        <v>8825</v>
      </c>
      <c r="J112">
        <v>2020</v>
      </c>
      <c r="K112">
        <v>11</v>
      </c>
      <c r="L112" t="s">
        <v>8887</v>
      </c>
      <c r="M112" t="s">
        <v>1552</v>
      </c>
      <c r="N112" t="s">
        <v>8888</v>
      </c>
    </row>
    <row r="113" spans="1:14" x14ac:dyDescent="0.3">
      <c r="A113">
        <v>2021</v>
      </c>
      <c r="B113" s="159">
        <v>44153</v>
      </c>
      <c r="C113" s="130">
        <v>21.13</v>
      </c>
      <c r="D113" s="130">
        <v>21.48</v>
      </c>
      <c r="E113" s="130">
        <v>21.01</v>
      </c>
      <c r="F113" s="130">
        <v>21.32</v>
      </c>
      <c r="G113" s="160">
        <v>1590000</v>
      </c>
      <c r="H113" s="160">
        <f t="shared" si="1"/>
        <v>33898800</v>
      </c>
      <c r="I113" t="s">
        <v>8825</v>
      </c>
      <c r="J113">
        <v>2020</v>
      </c>
      <c r="K113">
        <v>11</v>
      </c>
      <c r="L113" t="s">
        <v>8887</v>
      </c>
      <c r="M113" t="s">
        <v>1552</v>
      </c>
      <c r="N113" t="s">
        <v>8888</v>
      </c>
    </row>
    <row r="114" spans="1:14" x14ac:dyDescent="0.3">
      <c r="A114">
        <v>2021</v>
      </c>
      <c r="B114" s="159">
        <v>44154</v>
      </c>
      <c r="C114" s="130">
        <v>21.31</v>
      </c>
      <c r="D114" s="130">
        <v>21.42</v>
      </c>
      <c r="E114" s="130">
        <v>21.02</v>
      </c>
      <c r="F114" s="130">
        <v>21.25</v>
      </c>
      <c r="G114" s="160">
        <v>1647500</v>
      </c>
      <c r="H114" s="160">
        <f t="shared" si="1"/>
        <v>35009375</v>
      </c>
      <c r="I114" t="s">
        <v>8825</v>
      </c>
      <c r="J114">
        <v>2020</v>
      </c>
      <c r="K114">
        <v>11</v>
      </c>
      <c r="L114" t="s">
        <v>8887</v>
      </c>
      <c r="M114" t="s">
        <v>1552</v>
      </c>
      <c r="N114" t="s">
        <v>8888</v>
      </c>
    </row>
    <row r="115" spans="1:14" x14ac:dyDescent="0.3">
      <c r="A115">
        <v>2021</v>
      </c>
      <c r="B115" s="159">
        <v>44155</v>
      </c>
      <c r="C115" s="130">
        <v>21.24</v>
      </c>
      <c r="D115" s="130">
        <v>21.35</v>
      </c>
      <c r="E115" s="130">
        <v>20.89</v>
      </c>
      <c r="F115" s="130">
        <v>21.05</v>
      </c>
      <c r="G115" s="160">
        <v>1573000</v>
      </c>
      <c r="H115" s="160">
        <f t="shared" si="1"/>
        <v>33111650</v>
      </c>
      <c r="I115" t="s">
        <v>8825</v>
      </c>
      <c r="J115">
        <v>2020</v>
      </c>
      <c r="K115">
        <v>11</v>
      </c>
      <c r="L115" t="s">
        <v>8887</v>
      </c>
      <c r="M115" t="s">
        <v>1552</v>
      </c>
      <c r="N115" t="s">
        <v>8888</v>
      </c>
    </row>
    <row r="116" spans="1:14" x14ac:dyDescent="0.3">
      <c r="A116">
        <v>2021</v>
      </c>
      <c r="B116" s="159">
        <v>44158</v>
      </c>
      <c r="C116" s="130">
        <v>20.91</v>
      </c>
      <c r="D116" s="130">
        <v>20.91</v>
      </c>
      <c r="E116" s="130">
        <v>20.05</v>
      </c>
      <c r="F116" s="130">
        <v>20.56</v>
      </c>
      <c r="G116" s="160">
        <v>2041000</v>
      </c>
      <c r="H116" s="160">
        <f t="shared" si="1"/>
        <v>41962960</v>
      </c>
      <c r="I116" t="s">
        <v>8825</v>
      </c>
      <c r="J116">
        <v>2020</v>
      </c>
      <c r="K116">
        <v>11</v>
      </c>
      <c r="L116" t="s">
        <v>8887</v>
      </c>
      <c r="M116" t="s">
        <v>1552</v>
      </c>
      <c r="N116" t="s">
        <v>8888</v>
      </c>
    </row>
    <row r="117" spans="1:14" x14ac:dyDescent="0.3">
      <c r="A117">
        <v>2021</v>
      </c>
      <c r="B117" s="159">
        <v>44159</v>
      </c>
      <c r="C117" s="130">
        <v>20.52</v>
      </c>
      <c r="D117" s="130">
        <v>20.94</v>
      </c>
      <c r="E117" s="130">
        <v>20.3</v>
      </c>
      <c r="F117" s="130">
        <v>20.85</v>
      </c>
      <c r="G117" s="160">
        <v>1646000</v>
      </c>
      <c r="H117" s="160">
        <f t="shared" si="1"/>
        <v>34319100</v>
      </c>
      <c r="I117" t="s">
        <v>8825</v>
      </c>
      <c r="J117">
        <v>2020</v>
      </c>
      <c r="K117">
        <v>11</v>
      </c>
      <c r="L117" t="s">
        <v>8887</v>
      </c>
      <c r="M117" t="s">
        <v>1552</v>
      </c>
      <c r="N117" t="s">
        <v>8888</v>
      </c>
    </row>
    <row r="118" spans="1:14" x14ac:dyDescent="0.3">
      <c r="A118">
        <v>2021</v>
      </c>
      <c r="B118" s="159">
        <v>44160</v>
      </c>
      <c r="C118" s="130">
        <v>20.63</v>
      </c>
      <c r="D118" s="130">
        <v>20.89</v>
      </c>
      <c r="E118" s="130">
        <v>20.2</v>
      </c>
      <c r="F118" s="130">
        <v>20.350000000000001</v>
      </c>
      <c r="G118" s="160">
        <v>4119500</v>
      </c>
      <c r="H118" s="160">
        <f t="shared" si="1"/>
        <v>83831825</v>
      </c>
      <c r="I118" t="s">
        <v>8825</v>
      </c>
      <c r="J118">
        <v>2020</v>
      </c>
      <c r="K118">
        <v>11</v>
      </c>
      <c r="L118" t="s">
        <v>8887</v>
      </c>
      <c r="M118" t="s">
        <v>1552</v>
      </c>
      <c r="N118" t="s">
        <v>8888</v>
      </c>
    </row>
    <row r="119" spans="1:14" x14ac:dyDescent="0.3">
      <c r="A119">
        <v>2021</v>
      </c>
      <c r="B119" s="159">
        <v>44161</v>
      </c>
      <c r="C119" s="130">
        <v>20.45</v>
      </c>
      <c r="D119" s="130">
        <v>21.09</v>
      </c>
      <c r="E119" s="130">
        <v>20.41</v>
      </c>
      <c r="F119" s="130">
        <v>20.92</v>
      </c>
      <c r="G119" s="160">
        <v>8002500</v>
      </c>
      <c r="H119" s="160">
        <f t="shared" si="1"/>
        <v>167412300</v>
      </c>
      <c r="I119" t="s">
        <v>8825</v>
      </c>
      <c r="J119">
        <v>2020</v>
      </c>
      <c r="K119">
        <v>11</v>
      </c>
      <c r="L119" t="s">
        <v>8887</v>
      </c>
      <c r="M119" t="s">
        <v>1552</v>
      </c>
      <c r="N119" t="s">
        <v>8888</v>
      </c>
    </row>
    <row r="120" spans="1:14" x14ac:dyDescent="0.3">
      <c r="A120">
        <v>2021</v>
      </c>
      <c r="B120" s="159">
        <v>44162</v>
      </c>
      <c r="C120" s="130">
        <v>20.8</v>
      </c>
      <c r="D120" s="130">
        <v>21.63</v>
      </c>
      <c r="E120" s="130">
        <v>20.57</v>
      </c>
      <c r="F120" s="130">
        <v>21.02</v>
      </c>
      <c r="G120" s="160">
        <v>11043000</v>
      </c>
      <c r="H120" s="160">
        <f t="shared" si="1"/>
        <v>232123860</v>
      </c>
      <c r="I120" t="s">
        <v>8825</v>
      </c>
      <c r="J120">
        <v>2020</v>
      </c>
      <c r="K120">
        <v>11</v>
      </c>
      <c r="L120" t="s">
        <v>8887</v>
      </c>
      <c r="M120" t="s">
        <v>1552</v>
      </c>
      <c r="N120" t="s">
        <v>8888</v>
      </c>
    </row>
    <row r="121" spans="1:14" x14ac:dyDescent="0.3">
      <c r="A121">
        <v>2021</v>
      </c>
      <c r="B121" s="159">
        <v>44165</v>
      </c>
      <c r="C121" s="130">
        <v>21.1</v>
      </c>
      <c r="D121" s="130">
        <v>21.1</v>
      </c>
      <c r="E121" s="130">
        <v>20.6</v>
      </c>
      <c r="F121" s="130">
        <v>20.87</v>
      </c>
      <c r="G121" s="160">
        <v>6035000</v>
      </c>
      <c r="H121" s="160">
        <f t="shared" si="1"/>
        <v>125950450</v>
      </c>
      <c r="I121" t="s">
        <v>8825</v>
      </c>
      <c r="J121">
        <v>2020</v>
      </c>
      <c r="K121">
        <v>11</v>
      </c>
      <c r="L121" t="s">
        <v>8887</v>
      </c>
      <c r="M121" t="s">
        <v>1552</v>
      </c>
      <c r="N121" t="s">
        <v>8888</v>
      </c>
    </row>
    <row r="122" spans="1:14" x14ac:dyDescent="0.3">
      <c r="A122">
        <v>2021</v>
      </c>
      <c r="B122" s="159">
        <v>44166</v>
      </c>
      <c r="C122" s="130">
        <v>20.72</v>
      </c>
      <c r="D122" s="130">
        <v>21.6</v>
      </c>
      <c r="E122" s="130">
        <v>20.53</v>
      </c>
      <c r="F122" s="130">
        <v>21.45</v>
      </c>
      <c r="G122" s="160">
        <v>4361000</v>
      </c>
      <c r="H122" s="160">
        <f t="shared" si="1"/>
        <v>93543450</v>
      </c>
      <c r="I122" t="s">
        <v>8826</v>
      </c>
      <c r="J122">
        <v>2020</v>
      </c>
      <c r="K122">
        <v>12</v>
      </c>
      <c r="L122" t="s">
        <v>8889</v>
      </c>
      <c r="M122" t="s">
        <v>1552</v>
      </c>
      <c r="N122" t="s">
        <v>8890</v>
      </c>
    </row>
    <row r="123" spans="1:14" x14ac:dyDescent="0.3">
      <c r="A123">
        <v>2021</v>
      </c>
      <c r="B123" s="159">
        <v>44167</v>
      </c>
      <c r="C123" s="130">
        <v>21.4</v>
      </c>
      <c r="D123" s="130">
        <v>21.65</v>
      </c>
      <c r="E123" s="130">
        <v>21.25</v>
      </c>
      <c r="F123" s="130">
        <v>21.58</v>
      </c>
      <c r="G123" s="160">
        <v>6392000</v>
      </c>
      <c r="H123" s="160">
        <f t="shared" si="1"/>
        <v>137939360</v>
      </c>
      <c r="I123" t="s">
        <v>8826</v>
      </c>
      <c r="J123">
        <v>2020</v>
      </c>
      <c r="K123">
        <v>12</v>
      </c>
      <c r="L123" t="s">
        <v>8889</v>
      </c>
      <c r="M123" t="s">
        <v>1552</v>
      </c>
      <c r="N123" t="s">
        <v>8890</v>
      </c>
    </row>
    <row r="124" spans="1:14" x14ac:dyDescent="0.3">
      <c r="A124">
        <v>2021</v>
      </c>
      <c r="B124" s="159">
        <v>44168</v>
      </c>
      <c r="C124" s="130">
        <v>21.65</v>
      </c>
      <c r="D124" s="130">
        <v>21.78</v>
      </c>
      <c r="E124" s="130">
        <v>21.1</v>
      </c>
      <c r="F124" s="130">
        <v>21.36</v>
      </c>
      <c r="G124" s="160">
        <v>5283500</v>
      </c>
      <c r="H124" s="160">
        <f t="shared" si="1"/>
        <v>112855560</v>
      </c>
      <c r="I124" t="s">
        <v>8826</v>
      </c>
      <c r="J124">
        <v>2020</v>
      </c>
      <c r="K124">
        <v>12</v>
      </c>
      <c r="L124" t="s">
        <v>8889</v>
      </c>
      <c r="M124" t="s">
        <v>1552</v>
      </c>
      <c r="N124" t="s">
        <v>8890</v>
      </c>
    </row>
    <row r="125" spans="1:14" x14ac:dyDescent="0.3">
      <c r="A125">
        <v>2021</v>
      </c>
      <c r="B125" s="159">
        <v>44169</v>
      </c>
      <c r="C125" s="130">
        <v>21.2</v>
      </c>
      <c r="D125" s="130">
        <v>21.53</v>
      </c>
      <c r="E125" s="130">
        <v>21.15</v>
      </c>
      <c r="F125" s="130">
        <v>21.4</v>
      </c>
      <c r="G125" s="160">
        <v>10007000</v>
      </c>
      <c r="H125" s="160">
        <f t="shared" si="1"/>
        <v>214149800</v>
      </c>
      <c r="I125" t="s">
        <v>8826</v>
      </c>
      <c r="J125">
        <v>2020</v>
      </c>
      <c r="K125">
        <v>12</v>
      </c>
      <c r="L125" t="s">
        <v>8889</v>
      </c>
      <c r="M125" t="s">
        <v>1552</v>
      </c>
      <c r="N125" t="s">
        <v>8890</v>
      </c>
    </row>
    <row r="126" spans="1:14" x14ac:dyDescent="0.3">
      <c r="A126">
        <v>2021</v>
      </c>
      <c r="B126" s="159">
        <v>44172</v>
      </c>
      <c r="C126" s="130">
        <v>21.38</v>
      </c>
      <c r="D126" s="130">
        <v>21.5</v>
      </c>
      <c r="E126" s="130">
        <v>21.02</v>
      </c>
      <c r="F126" s="130">
        <v>21.1</v>
      </c>
      <c r="G126" s="160">
        <v>3737500</v>
      </c>
      <c r="H126" s="160">
        <f t="shared" si="1"/>
        <v>78861250</v>
      </c>
      <c r="I126" t="s">
        <v>8826</v>
      </c>
      <c r="J126">
        <v>2020</v>
      </c>
      <c r="K126">
        <v>12</v>
      </c>
      <c r="L126" t="s">
        <v>8889</v>
      </c>
      <c r="M126" t="s">
        <v>1552</v>
      </c>
      <c r="N126" t="s">
        <v>8890</v>
      </c>
    </row>
    <row r="127" spans="1:14" x14ac:dyDescent="0.3">
      <c r="A127">
        <v>2021</v>
      </c>
      <c r="B127" s="159">
        <v>44173</v>
      </c>
      <c r="C127" s="130">
        <v>21.1</v>
      </c>
      <c r="D127" s="130">
        <v>21.36</v>
      </c>
      <c r="E127" s="130">
        <v>20.86</v>
      </c>
      <c r="F127" s="130">
        <v>21.09</v>
      </c>
      <c r="G127" s="160">
        <v>5789500</v>
      </c>
      <c r="H127" s="160">
        <f t="shared" si="1"/>
        <v>122100555</v>
      </c>
      <c r="I127" t="s">
        <v>8826</v>
      </c>
      <c r="J127">
        <v>2020</v>
      </c>
      <c r="K127">
        <v>12</v>
      </c>
      <c r="L127" t="s">
        <v>8889</v>
      </c>
      <c r="M127" t="s">
        <v>1552</v>
      </c>
      <c r="N127" t="s">
        <v>8890</v>
      </c>
    </row>
    <row r="128" spans="1:14" x14ac:dyDescent="0.3">
      <c r="A128">
        <v>2021</v>
      </c>
      <c r="B128" s="159">
        <v>44174</v>
      </c>
      <c r="C128" s="130">
        <v>21.1</v>
      </c>
      <c r="D128" s="130">
        <v>21.42</v>
      </c>
      <c r="E128" s="130">
        <v>21.1</v>
      </c>
      <c r="F128" s="130">
        <v>21.35</v>
      </c>
      <c r="G128" s="160">
        <v>3159000</v>
      </c>
      <c r="H128" s="160">
        <f t="shared" si="1"/>
        <v>67444650</v>
      </c>
      <c r="I128" t="s">
        <v>8826</v>
      </c>
      <c r="J128">
        <v>2020</v>
      </c>
      <c r="K128">
        <v>12</v>
      </c>
      <c r="L128" t="s">
        <v>8889</v>
      </c>
      <c r="M128" t="s">
        <v>1552</v>
      </c>
      <c r="N128" t="s">
        <v>8890</v>
      </c>
    </row>
    <row r="129" spans="1:14" x14ac:dyDescent="0.3">
      <c r="A129">
        <v>2021</v>
      </c>
      <c r="B129" s="159">
        <v>44175</v>
      </c>
      <c r="C129" s="130">
        <v>21.35</v>
      </c>
      <c r="D129" s="130">
        <v>21.69</v>
      </c>
      <c r="E129" s="130">
        <v>21.17</v>
      </c>
      <c r="F129" s="130">
        <v>21.53</v>
      </c>
      <c r="G129" s="160">
        <v>4415500</v>
      </c>
      <c r="H129" s="160">
        <f t="shared" si="1"/>
        <v>95065715</v>
      </c>
      <c r="I129" t="s">
        <v>8826</v>
      </c>
      <c r="J129">
        <v>2020</v>
      </c>
      <c r="K129">
        <v>12</v>
      </c>
      <c r="L129" t="s">
        <v>8889</v>
      </c>
      <c r="M129" t="s">
        <v>1552</v>
      </c>
      <c r="N129" t="s">
        <v>8890</v>
      </c>
    </row>
    <row r="130" spans="1:14" x14ac:dyDescent="0.3">
      <c r="A130">
        <v>2021</v>
      </c>
      <c r="B130" s="159">
        <v>44176</v>
      </c>
      <c r="C130" s="130">
        <v>21.55</v>
      </c>
      <c r="D130" s="130">
        <v>21.72</v>
      </c>
      <c r="E130" s="130">
        <v>21.25</v>
      </c>
      <c r="F130" s="130">
        <v>21.41</v>
      </c>
      <c r="G130" s="160">
        <v>3355000</v>
      </c>
      <c r="H130" s="160">
        <f t="shared" si="1"/>
        <v>71830550</v>
      </c>
      <c r="I130" t="s">
        <v>8826</v>
      </c>
      <c r="J130">
        <v>2020</v>
      </c>
      <c r="K130">
        <v>12</v>
      </c>
      <c r="L130" t="s">
        <v>8889</v>
      </c>
      <c r="M130" t="s">
        <v>1552</v>
      </c>
      <c r="N130" t="s">
        <v>8890</v>
      </c>
    </row>
    <row r="131" spans="1:14" x14ac:dyDescent="0.3">
      <c r="A131">
        <v>2021</v>
      </c>
      <c r="B131" s="159">
        <v>44179</v>
      </c>
      <c r="C131" s="130">
        <v>21.5</v>
      </c>
      <c r="D131" s="130">
        <v>21.9</v>
      </c>
      <c r="E131" s="130">
        <v>21.46</v>
      </c>
      <c r="F131" s="130">
        <v>21.78</v>
      </c>
      <c r="G131" s="160">
        <v>6882000</v>
      </c>
      <c r="H131" s="160">
        <f t="shared" si="1"/>
        <v>149889960</v>
      </c>
      <c r="I131" t="s">
        <v>8826</v>
      </c>
      <c r="J131">
        <v>2020</v>
      </c>
      <c r="K131">
        <v>12</v>
      </c>
      <c r="L131" t="s">
        <v>8889</v>
      </c>
      <c r="M131" t="s">
        <v>1552</v>
      </c>
      <c r="N131" t="s">
        <v>8890</v>
      </c>
    </row>
    <row r="132" spans="1:14" x14ac:dyDescent="0.3">
      <c r="A132">
        <v>2021</v>
      </c>
      <c r="B132" s="159">
        <v>44180</v>
      </c>
      <c r="C132" s="130">
        <v>21.78</v>
      </c>
      <c r="D132" s="130">
        <v>22.15</v>
      </c>
      <c r="E132" s="130">
        <v>21.3</v>
      </c>
      <c r="F132" s="130">
        <v>21.47</v>
      </c>
      <c r="G132" s="160">
        <v>4625500</v>
      </c>
      <c r="H132" s="160">
        <f t="shared" si="1"/>
        <v>99309485</v>
      </c>
      <c r="I132" t="s">
        <v>8826</v>
      </c>
      <c r="J132">
        <v>2020</v>
      </c>
      <c r="K132">
        <v>12</v>
      </c>
      <c r="L132" t="s">
        <v>8889</v>
      </c>
      <c r="M132" t="s">
        <v>1552</v>
      </c>
      <c r="N132" t="s">
        <v>8890</v>
      </c>
    </row>
    <row r="133" spans="1:14" x14ac:dyDescent="0.3">
      <c r="A133">
        <v>2021</v>
      </c>
      <c r="B133" s="159">
        <v>44181</v>
      </c>
      <c r="C133" s="130">
        <v>21.22</v>
      </c>
      <c r="D133" s="130">
        <v>21.39</v>
      </c>
      <c r="E133" s="130">
        <v>21.1</v>
      </c>
      <c r="F133" s="130">
        <v>21.16</v>
      </c>
      <c r="G133" s="160">
        <v>1282500</v>
      </c>
      <c r="H133" s="160">
        <f t="shared" si="1"/>
        <v>27137700</v>
      </c>
      <c r="I133" t="s">
        <v>8826</v>
      </c>
      <c r="J133">
        <v>2020</v>
      </c>
      <c r="K133">
        <v>12</v>
      </c>
      <c r="L133" t="s">
        <v>8889</v>
      </c>
      <c r="M133" t="s">
        <v>1552</v>
      </c>
      <c r="N133" t="s">
        <v>8890</v>
      </c>
    </row>
    <row r="134" spans="1:14" x14ac:dyDescent="0.3">
      <c r="A134">
        <v>2021</v>
      </c>
      <c r="B134" s="159">
        <v>44182</v>
      </c>
      <c r="C134" s="130">
        <v>21.25</v>
      </c>
      <c r="D134" s="130">
        <v>21.44</v>
      </c>
      <c r="E134" s="130">
        <v>21.16</v>
      </c>
      <c r="F134" s="130">
        <v>21.34</v>
      </c>
      <c r="G134" s="160">
        <v>1594000</v>
      </c>
      <c r="H134" s="160">
        <f t="shared" si="1"/>
        <v>34015960</v>
      </c>
      <c r="I134" t="s">
        <v>8826</v>
      </c>
      <c r="J134">
        <v>2020</v>
      </c>
      <c r="K134">
        <v>12</v>
      </c>
      <c r="L134" t="s">
        <v>8889</v>
      </c>
      <c r="M134" t="s">
        <v>1552</v>
      </c>
      <c r="N134" t="s">
        <v>8890</v>
      </c>
    </row>
    <row r="135" spans="1:14" x14ac:dyDescent="0.3">
      <c r="A135">
        <v>2021</v>
      </c>
      <c r="B135" s="159">
        <v>44183</v>
      </c>
      <c r="C135" s="130">
        <v>21.2</v>
      </c>
      <c r="D135" s="130">
        <v>21.55</v>
      </c>
      <c r="E135" s="130">
        <v>21</v>
      </c>
      <c r="F135" s="130">
        <v>21.09</v>
      </c>
      <c r="G135" s="160">
        <v>1035500</v>
      </c>
      <c r="H135" s="160">
        <f t="shared" si="1"/>
        <v>21838695</v>
      </c>
      <c r="I135" t="s">
        <v>8826</v>
      </c>
      <c r="J135">
        <v>2020</v>
      </c>
      <c r="K135">
        <v>12</v>
      </c>
      <c r="L135" t="s">
        <v>8889</v>
      </c>
      <c r="M135" t="s">
        <v>1552</v>
      </c>
      <c r="N135" t="s">
        <v>8890</v>
      </c>
    </row>
    <row r="136" spans="1:14" x14ac:dyDescent="0.3">
      <c r="A136">
        <v>2021</v>
      </c>
      <c r="B136" s="159">
        <v>44186</v>
      </c>
      <c r="C136" s="130">
        <v>21.24</v>
      </c>
      <c r="D136" s="130">
        <v>21.24</v>
      </c>
      <c r="E136" s="130">
        <v>20.76</v>
      </c>
      <c r="F136" s="130">
        <v>20.8</v>
      </c>
      <c r="G136" s="160">
        <v>1680000</v>
      </c>
      <c r="H136" s="160">
        <f t="shared" si="1"/>
        <v>34944000</v>
      </c>
      <c r="I136" t="s">
        <v>8826</v>
      </c>
      <c r="J136">
        <v>2020</v>
      </c>
      <c r="K136">
        <v>12</v>
      </c>
      <c r="L136" t="s">
        <v>8889</v>
      </c>
      <c r="M136" t="s">
        <v>1552</v>
      </c>
      <c r="N136" t="s">
        <v>8890</v>
      </c>
    </row>
    <row r="137" spans="1:14" x14ac:dyDescent="0.3">
      <c r="A137">
        <v>2021</v>
      </c>
      <c r="B137" s="159">
        <v>44187</v>
      </c>
      <c r="C137" s="130">
        <v>20.75</v>
      </c>
      <c r="D137" s="130">
        <v>20.95</v>
      </c>
      <c r="E137" s="130">
        <v>20.56</v>
      </c>
      <c r="F137" s="130">
        <v>20.7</v>
      </c>
      <c r="G137" s="160">
        <v>3663500</v>
      </c>
      <c r="H137" s="160">
        <f t="shared" si="1"/>
        <v>75834450</v>
      </c>
      <c r="I137" t="s">
        <v>8826</v>
      </c>
      <c r="J137">
        <v>2020</v>
      </c>
      <c r="K137">
        <v>12</v>
      </c>
      <c r="L137" t="s">
        <v>8889</v>
      </c>
      <c r="M137" t="s">
        <v>1552</v>
      </c>
      <c r="N137" t="s">
        <v>8890</v>
      </c>
    </row>
    <row r="138" spans="1:14" x14ac:dyDescent="0.3">
      <c r="A138">
        <v>2021</v>
      </c>
      <c r="B138" s="159">
        <v>44188</v>
      </c>
      <c r="C138" s="130">
        <v>20.62</v>
      </c>
      <c r="D138" s="130">
        <v>21.15</v>
      </c>
      <c r="E138" s="130">
        <v>20.55</v>
      </c>
      <c r="F138" s="130">
        <v>20.99</v>
      </c>
      <c r="G138" s="160">
        <v>2987500</v>
      </c>
      <c r="H138" s="160">
        <f t="shared" si="1"/>
        <v>62707624.999999993</v>
      </c>
      <c r="I138" t="s">
        <v>8826</v>
      </c>
      <c r="J138">
        <v>2020</v>
      </c>
      <c r="K138">
        <v>12</v>
      </c>
      <c r="L138" t="s">
        <v>8889</v>
      </c>
      <c r="M138" t="s">
        <v>1552</v>
      </c>
      <c r="N138" t="s">
        <v>8890</v>
      </c>
    </row>
    <row r="139" spans="1:14" x14ac:dyDescent="0.3">
      <c r="A139">
        <v>2021</v>
      </c>
      <c r="B139" s="159">
        <v>44189</v>
      </c>
      <c r="C139" s="130">
        <v>20.99</v>
      </c>
      <c r="D139" s="130">
        <v>21.82</v>
      </c>
      <c r="E139" s="130">
        <v>20.99</v>
      </c>
      <c r="F139" s="130">
        <v>21.53</v>
      </c>
      <c r="G139" s="160">
        <v>17729500</v>
      </c>
      <c r="H139" s="160">
        <f t="shared" si="1"/>
        <v>381716135</v>
      </c>
      <c r="I139" t="s">
        <v>8826</v>
      </c>
      <c r="J139">
        <v>2020</v>
      </c>
      <c r="K139">
        <v>12</v>
      </c>
      <c r="L139" t="s">
        <v>8889</v>
      </c>
      <c r="M139" t="s">
        <v>1552</v>
      </c>
      <c r="N139" t="s">
        <v>8890</v>
      </c>
    </row>
    <row r="140" spans="1:14" x14ac:dyDescent="0.3">
      <c r="A140">
        <v>2021</v>
      </c>
      <c r="B140" s="159">
        <v>44193</v>
      </c>
      <c r="C140" s="130">
        <v>21.65</v>
      </c>
      <c r="D140" s="130">
        <v>21.92</v>
      </c>
      <c r="E140" s="130">
        <v>21.5</v>
      </c>
      <c r="F140" s="130">
        <v>21.66</v>
      </c>
      <c r="G140" s="160">
        <v>3424500</v>
      </c>
      <c r="H140" s="160">
        <f t="shared" si="1"/>
        <v>74174670</v>
      </c>
      <c r="I140" t="s">
        <v>8826</v>
      </c>
      <c r="J140">
        <v>2020</v>
      </c>
      <c r="K140">
        <v>12</v>
      </c>
      <c r="L140" t="s">
        <v>8889</v>
      </c>
      <c r="M140" t="s">
        <v>1552</v>
      </c>
      <c r="N140" t="s">
        <v>8890</v>
      </c>
    </row>
    <row r="141" spans="1:14" x14ac:dyDescent="0.3">
      <c r="A141">
        <v>2021</v>
      </c>
      <c r="B141" s="159">
        <v>44194</v>
      </c>
      <c r="C141" s="130">
        <v>21.66</v>
      </c>
      <c r="D141" s="130">
        <v>21.96</v>
      </c>
      <c r="E141" s="130">
        <v>21.41</v>
      </c>
      <c r="F141" s="130">
        <v>21.49</v>
      </c>
      <c r="G141" s="160">
        <v>4458000</v>
      </c>
      <c r="H141" s="160">
        <f t="shared" si="1"/>
        <v>95802420</v>
      </c>
      <c r="I141" t="s">
        <v>8826</v>
      </c>
      <c r="J141">
        <v>2020</v>
      </c>
      <c r="K141">
        <v>12</v>
      </c>
      <c r="L141" t="s">
        <v>8889</v>
      </c>
      <c r="M141" t="s">
        <v>1552</v>
      </c>
      <c r="N141" t="s">
        <v>8890</v>
      </c>
    </row>
    <row r="142" spans="1:14" x14ac:dyDescent="0.3">
      <c r="A142">
        <v>2021</v>
      </c>
      <c r="B142" s="159">
        <v>44195</v>
      </c>
      <c r="C142" s="130">
        <v>21.51</v>
      </c>
      <c r="D142" s="130">
        <v>21.6</v>
      </c>
      <c r="E142" s="130">
        <v>21.1</v>
      </c>
      <c r="F142" s="130">
        <v>21.21</v>
      </c>
      <c r="G142" s="160">
        <v>3327000</v>
      </c>
      <c r="H142" s="160">
        <f t="shared" si="1"/>
        <v>70565670</v>
      </c>
      <c r="I142" t="s">
        <v>8826</v>
      </c>
      <c r="J142">
        <v>2020</v>
      </c>
      <c r="K142">
        <v>12</v>
      </c>
      <c r="L142" t="s">
        <v>8889</v>
      </c>
      <c r="M142" t="s">
        <v>1552</v>
      </c>
      <c r="N142" t="s">
        <v>8890</v>
      </c>
    </row>
    <row r="143" spans="1:14" x14ac:dyDescent="0.3">
      <c r="A143">
        <v>2021</v>
      </c>
      <c r="B143" s="159">
        <v>44196</v>
      </c>
      <c r="C143" s="130">
        <v>21.15</v>
      </c>
      <c r="D143" s="130">
        <v>21.79</v>
      </c>
      <c r="E143" s="130">
        <v>21.15</v>
      </c>
      <c r="F143" s="130">
        <v>21.67</v>
      </c>
      <c r="G143" s="160">
        <v>3398500</v>
      </c>
      <c r="H143" s="160">
        <f t="shared" si="1"/>
        <v>73645495</v>
      </c>
      <c r="I143" t="s">
        <v>8826</v>
      </c>
      <c r="J143">
        <v>2020</v>
      </c>
      <c r="K143">
        <v>12</v>
      </c>
      <c r="L143" t="s">
        <v>8889</v>
      </c>
      <c r="M143" t="s">
        <v>1552</v>
      </c>
      <c r="N143" t="s">
        <v>8890</v>
      </c>
    </row>
    <row r="144" spans="1:14" x14ac:dyDescent="0.3">
      <c r="A144">
        <v>2021</v>
      </c>
      <c r="B144" s="159">
        <v>44197</v>
      </c>
      <c r="C144" s="130">
        <v>22</v>
      </c>
      <c r="D144" s="130">
        <v>22.22</v>
      </c>
      <c r="E144" s="130">
        <v>21.31</v>
      </c>
      <c r="F144" s="130">
        <v>21.52</v>
      </c>
      <c r="G144" s="160">
        <v>9500500</v>
      </c>
      <c r="H144" s="160">
        <f t="shared" ref="H144:H207" si="2">F144*G144</f>
        <v>204450760</v>
      </c>
      <c r="I144" t="s">
        <v>8827</v>
      </c>
      <c r="J144">
        <v>2021</v>
      </c>
      <c r="K144">
        <v>1</v>
      </c>
      <c r="L144" t="s">
        <v>8891</v>
      </c>
      <c r="M144" t="s">
        <v>1552</v>
      </c>
      <c r="N144" t="s">
        <v>8892</v>
      </c>
    </row>
    <row r="145" spans="1:14" x14ac:dyDescent="0.3">
      <c r="A145">
        <v>2021</v>
      </c>
      <c r="B145" s="159">
        <v>44200</v>
      </c>
      <c r="C145" s="130">
        <v>21.7</v>
      </c>
      <c r="D145" s="130">
        <v>21.76</v>
      </c>
      <c r="E145" s="130">
        <v>21.1</v>
      </c>
      <c r="F145" s="130">
        <v>21.15</v>
      </c>
      <c r="G145" s="160">
        <v>3995500</v>
      </c>
      <c r="H145" s="160">
        <f t="shared" si="2"/>
        <v>84504825</v>
      </c>
      <c r="I145" t="s">
        <v>8827</v>
      </c>
      <c r="J145">
        <v>2021</v>
      </c>
      <c r="K145">
        <v>1</v>
      </c>
      <c r="L145" t="s">
        <v>8891</v>
      </c>
      <c r="M145" t="s">
        <v>1552</v>
      </c>
      <c r="N145" t="s">
        <v>8892</v>
      </c>
    </row>
    <row r="146" spans="1:14" x14ac:dyDescent="0.3">
      <c r="A146">
        <v>2021</v>
      </c>
      <c r="B146" s="159">
        <v>44201</v>
      </c>
      <c r="C146" s="130">
        <v>21.25</v>
      </c>
      <c r="D146" s="130">
        <v>21.5</v>
      </c>
      <c r="E146" s="130">
        <v>21.25</v>
      </c>
      <c r="F146" s="130">
        <v>21.34</v>
      </c>
      <c r="G146" s="160">
        <v>594000</v>
      </c>
      <c r="H146" s="160">
        <f t="shared" si="2"/>
        <v>12675960</v>
      </c>
      <c r="I146" t="s">
        <v>8827</v>
      </c>
      <c r="J146">
        <v>2021</v>
      </c>
      <c r="K146">
        <v>1</v>
      </c>
      <c r="L146" t="s">
        <v>8891</v>
      </c>
      <c r="M146" t="s">
        <v>1552</v>
      </c>
      <c r="N146" t="s">
        <v>8892</v>
      </c>
    </row>
    <row r="147" spans="1:14" x14ac:dyDescent="0.3">
      <c r="A147">
        <v>2021</v>
      </c>
      <c r="B147" s="159">
        <v>44202</v>
      </c>
      <c r="C147" s="130">
        <v>21.26</v>
      </c>
      <c r="D147" s="130">
        <v>21.59</v>
      </c>
      <c r="E147" s="130">
        <v>21</v>
      </c>
      <c r="F147" s="130">
        <v>21.27</v>
      </c>
      <c r="G147" s="160">
        <v>9289000</v>
      </c>
      <c r="H147" s="160">
        <f t="shared" si="2"/>
        <v>197577030</v>
      </c>
      <c r="I147" t="s">
        <v>8827</v>
      </c>
      <c r="J147">
        <v>2021</v>
      </c>
      <c r="K147">
        <v>1</v>
      </c>
      <c r="L147" t="s">
        <v>8891</v>
      </c>
      <c r="M147" t="s">
        <v>1552</v>
      </c>
      <c r="N147" t="s">
        <v>8892</v>
      </c>
    </row>
    <row r="148" spans="1:14" x14ac:dyDescent="0.3">
      <c r="A148">
        <v>2021</v>
      </c>
      <c r="B148" s="159">
        <v>44203</v>
      </c>
      <c r="C148" s="130">
        <v>21.4</v>
      </c>
      <c r="D148" s="130">
        <v>21.47</v>
      </c>
      <c r="E148" s="130">
        <v>21</v>
      </c>
      <c r="F148" s="130">
        <v>21.08</v>
      </c>
      <c r="G148" s="160">
        <v>2161500</v>
      </c>
      <c r="H148" s="160">
        <f t="shared" si="2"/>
        <v>45564420</v>
      </c>
      <c r="I148" t="s">
        <v>8827</v>
      </c>
      <c r="J148">
        <v>2021</v>
      </c>
      <c r="K148">
        <v>1</v>
      </c>
      <c r="L148" t="s">
        <v>8891</v>
      </c>
      <c r="M148" t="s">
        <v>1552</v>
      </c>
      <c r="N148" t="s">
        <v>8892</v>
      </c>
    </row>
    <row r="149" spans="1:14" x14ac:dyDescent="0.3">
      <c r="A149">
        <v>2021</v>
      </c>
      <c r="B149" s="159">
        <v>44204</v>
      </c>
      <c r="C149" s="130">
        <v>21.2</v>
      </c>
      <c r="D149" s="130">
        <v>21.4</v>
      </c>
      <c r="E149" s="130">
        <v>20.97</v>
      </c>
      <c r="F149" s="130">
        <v>21.04</v>
      </c>
      <c r="G149" s="160">
        <v>3352000</v>
      </c>
      <c r="H149" s="160">
        <f t="shared" si="2"/>
        <v>70526080</v>
      </c>
      <c r="I149" t="s">
        <v>8827</v>
      </c>
      <c r="J149">
        <v>2021</v>
      </c>
      <c r="K149">
        <v>1</v>
      </c>
      <c r="L149" t="s">
        <v>8891</v>
      </c>
      <c r="M149" t="s">
        <v>1552</v>
      </c>
      <c r="N149" t="s">
        <v>8892</v>
      </c>
    </row>
    <row r="150" spans="1:14" x14ac:dyDescent="0.3">
      <c r="A150">
        <v>2021</v>
      </c>
      <c r="B150" s="159">
        <v>44207</v>
      </c>
      <c r="C150" s="130">
        <v>21.02</v>
      </c>
      <c r="D150" s="130">
        <v>21.29</v>
      </c>
      <c r="E150" s="130">
        <v>20.91</v>
      </c>
      <c r="F150" s="130">
        <v>20.99</v>
      </c>
      <c r="G150" s="160">
        <v>3419500</v>
      </c>
      <c r="H150" s="160">
        <f t="shared" si="2"/>
        <v>71775305</v>
      </c>
      <c r="I150" t="s">
        <v>8827</v>
      </c>
      <c r="J150">
        <v>2021</v>
      </c>
      <c r="K150">
        <v>1</v>
      </c>
      <c r="L150" t="s">
        <v>8891</v>
      </c>
      <c r="M150" t="s">
        <v>1552</v>
      </c>
      <c r="N150" t="s">
        <v>8892</v>
      </c>
    </row>
    <row r="151" spans="1:14" x14ac:dyDescent="0.3">
      <c r="A151">
        <v>2021</v>
      </c>
      <c r="B151" s="159">
        <v>44208</v>
      </c>
      <c r="C151" s="130">
        <v>21.19</v>
      </c>
      <c r="D151" s="130">
        <v>21.2</v>
      </c>
      <c r="E151" s="130">
        <v>21</v>
      </c>
      <c r="F151" s="130">
        <v>21.09</v>
      </c>
      <c r="G151" s="160">
        <v>1260000</v>
      </c>
      <c r="H151" s="160">
        <f t="shared" si="2"/>
        <v>26573400</v>
      </c>
      <c r="I151" t="s">
        <v>8827</v>
      </c>
      <c r="J151">
        <v>2021</v>
      </c>
      <c r="K151">
        <v>1</v>
      </c>
      <c r="L151" t="s">
        <v>8891</v>
      </c>
      <c r="M151" t="s">
        <v>1552</v>
      </c>
      <c r="N151" t="s">
        <v>8892</v>
      </c>
    </row>
    <row r="152" spans="1:14" x14ac:dyDescent="0.3">
      <c r="A152">
        <v>2021</v>
      </c>
      <c r="B152" s="159">
        <v>44209</v>
      </c>
      <c r="C152" s="130">
        <v>21.3</v>
      </c>
      <c r="D152" s="130">
        <v>21.6</v>
      </c>
      <c r="E152" s="130">
        <v>21.02</v>
      </c>
      <c r="F152" s="130">
        <v>21.45</v>
      </c>
      <c r="G152" s="160">
        <v>6110500</v>
      </c>
      <c r="H152" s="160">
        <f t="shared" si="2"/>
        <v>131070225</v>
      </c>
      <c r="I152" t="s">
        <v>8827</v>
      </c>
      <c r="J152">
        <v>2021</v>
      </c>
      <c r="K152">
        <v>1</v>
      </c>
      <c r="L152" t="s">
        <v>8891</v>
      </c>
      <c r="M152" t="s">
        <v>1552</v>
      </c>
      <c r="N152" t="s">
        <v>8892</v>
      </c>
    </row>
    <row r="153" spans="1:14" x14ac:dyDescent="0.3">
      <c r="A153">
        <v>2021</v>
      </c>
      <c r="B153" s="159">
        <v>44210</v>
      </c>
      <c r="C153" s="130">
        <v>21.54</v>
      </c>
      <c r="D153" s="130">
        <v>21.54</v>
      </c>
      <c r="E153" s="130">
        <v>21.2</v>
      </c>
      <c r="F153" s="130">
        <v>21.39</v>
      </c>
      <c r="G153" s="160">
        <v>1965000</v>
      </c>
      <c r="H153" s="160">
        <f t="shared" si="2"/>
        <v>42031350</v>
      </c>
      <c r="I153" t="s">
        <v>8827</v>
      </c>
      <c r="J153">
        <v>2021</v>
      </c>
      <c r="K153">
        <v>1</v>
      </c>
      <c r="L153" t="s">
        <v>8891</v>
      </c>
      <c r="M153" t="s">
        <v>1552</v>
      </c>
      <c r="N153" t="s">
        <v>8892</v>
      </c>
    </row>
    <row r="154" spans="1:14" x14ac:dyDescent="0.3">
      <c r="A154">
        <v>2021</v>
      </c>
      <c r="B154" s="159">
        <v>44211</v>
      </c>
      <c r="C154" s="130">
        <v>21.48</v>
      </c>
      <c r="D154" s="130">
        <v>22</v>
      </c>
      <c r="E154" s="130">
        <v>21.3</v>
      </c>
      <c r="F154" s="130">
        <v>21.72</v>
      </c>
      <c r="G154" s="160">
        <v>6147000</v>
      </c>
      <c r="H154" s="160">
        <f t="shared" si="2"/>
        <v>133512840</v>
      </c>
      <c r="I154" t="s">
        <v>8827</v>
      </c>
      <c r="J154">
        <v>2021</v>
      </c>
      <c r="K154">
        <v>1</v>
      </c>
      <c r="L154" t="s">
        <v>8891</v>
      </c>
      <c r="M154" t="s">
        <v>1552</v>
      </c>
      <c r="N154" t="s">
        <v>8892</v>
      </c>
    </row>
    <row r="155" spans="1:14" x14ac:dyDescent="0.3">
      <c r="A155">
        <v>2021</v>
      </c>
      <c r="B155" s="159">
        <v>44214</v>
      </c>
      <c r="C155" s="130">
        <v>21.89</v>
      </c>
      <c r="D155" s="130">
        <v>21.89</v>
      </c>
      <c r="E155" s="130">
        <v>21.45</v>
      </c>
      <c r="F155" s="130">
        <v>21.59</v>
      </c>
      <c r="G155" s="160">
        <v>2668500</v>
      </c>
      <c r="H155" s="160">
        <f t="shared" si="2"/>
        <v>57612915</v>
      </c>
      <c r="I155" t="s">
        <v>8827</v>
      </c>
      <c r="J155">
        <v>2021</v>
      </c>
      <c r="K155">
        <v>1</v>
      </c>
      <c r="L155" t="s">
        <v>8891</v>
      </c>
      <c r="M155" t="s">
        <v>1552</v>
      </c>
      <c r="N155" t="s">
        <v>8892</v>
      </c>
    </row>
    <row r="156" spans="1:14" x14ac:dyDescent="0.3">
      <c r="A156">
        <v>2021</v>
      </c>
      <c r="B156" s="159">
        <v>44215</v>
      </c>
      <c r="C156" s="130">
        <v>21.5</v>
      </c>
      <c r="D156" s="130">
        <v>21.55</v>
      </c>
      <c r="E156" s="130">
        <v>21.35</v>
      </c>
      <c r="F156" s="130">
        <v>21.4</v>
      </c>
      <c r="G156" s="160">
        <v>906500</v>
      </c>
      <c r="H156" s="160">
        <f t="shared" si="2"/>
        <v>19399100</v>
      </c>
      <c r="I156" t="s">
        <v>8827</v>
      </c>
      <c r="J156">
        <v>2021</v>
      </c>
      <c r="K156">
        <v>1</v>
      </c>
      <c r="L156" t="s">
        <v>8891</v>
      </c>
      <c r="M156" t="s">
        <v>1552</v>
      </c>
      <c r="N156" t="s">
        <v>8892</v>
      </c>
    </row>
    <row r="157" spans="1:14" x14ac:dyDescent="0.3">
      <c r="A157">
        <v>2021</v>
      </c>
      <c r="B157" s="159">
        <v>44216</v>
      </c>
      <c r="C157" s="130">
        <v>21.5</v>
      </c>
      <c r="D157" s="130">
        <v>21.5</v>
      </c>
      <c r="E157" s="130">
        <v>21.13</v>
      </c>
      <c r="F157" s="130">
        <v>21.26</v>
      </c>
      <c r="G157" s="160">
        <v>2962000</v>
      </c>
      <c r="H157" s="160">
        <f t="shared" si="2"/>
        <v>62972120.000000007</v>
      </c>
      <c r="I157" t="s">
        <v>8827</v>
      </c>
      <c r="J157">
        <v>2021</v>
      </c>
      <c r="K157">
        <v>1</v>
      </c>
      <c r="L157" t="s">
        <v>8891</v>
      </c>
      <c r="M157" t="s">
        <v>1552</v>
      </c>
      <c r="N157" t="s">
        <v>8892</v>
      </c>
    </row>
    <row r="158" spans="1:14" x14ac:dyDescent="0.3">
      <c r="A158">
        <v>2021</v>
      </c>
      <c r="B158" s="159">
        <v>44217</v>
      </c>
      <c r="C158" s="130">
        <v>21.21</v>
      </c>
      <c r="D158" s="130">
        <v>21.7</v>
      </c>
      <c r="E158" s="130">
        <v>21.21</v>
      </c>
      <c r="F158" s="130">
        <v>21.41</v>
      </c>
      <c r="G158" s="160">
        <v>2380000</v>
      </c>
      <c r="H158" s="160">
        <f t="shared" si="2"/>
        <v>50955800</v>
      </c>
      <c r="I158" t="s">
        <v>8827</v>
      </c>
      <c r="J158">
        <v>2021</v>
      </c>
      <c r="K158">
        <v>1</v>
      </c>
      <c r="L158" t="s">
        <v>8891</v>
      </c>
      <c r="M158" t="s">
        <v>1552</v>
      </c>
      <c r="N158" t="s">
        <v>8892</v>
      </c>
    </row>
    <row r="159" spans="1:14" x14ac:dyDescent="0.3">
      <c r="A159">
        <v>2021</v>
      </c>
      <c r="B159" s="159">
        <v>44218</v>
      </c>
      <c r="C159" s="130">
        <v>21.27</v>
      </c>
      <c r="D159" s="130">
        <v>21.5</v>
      </c>
      <c r="E159" s="130">
        <v>21.15</v>
      </c>
      <c r="F159" s="130">
        <v>21.36</v>
      </c>
      <c r="G159" s="160">
        <v>1075500</v>
      </c>
      <c r="H159" s="160">
        <f t="shared" si="2"/>
        <v>22972680</v>
      </c>
      <c r="I159" t="s">
        <v>8827</v>
      </c>
      <c r="J159">
        <v>2021</v>
      </c>
      <c r="K159">
        <v>1</v>
      </c>
      <c r="L159" t="s">
        <v>8891</v>
      </c>
      <c r="M159" t="s">
        <v>1552</v>
      </c>
      <c r="N159" t="s">
        <v>8892</v>
      </c>
    </row>
    <row r="160" spans="1:14" x14ac:dyDescent="0.3">
      <c r="A160">
        <v>2021</v>
      </c>
      <c r="B160" s="159">
        <v>44221</v>
      </c>
      <c r="C160" s="130">
        <v>21.49</v>
      </c>
      <c r="D160" s="130">
        <v>21.83</v>
      </c>
      <c r="E160" s="130">
        <v>21.3</v>
      </c>
      <c r="F160" s="130">
        <v>21.75</v>
      </c>
      <c r="G160" s="160">
        <v>2573500</v>
      </c>
      <c r="H160" s="160">
        <f t="shared" si="2"/>
        <v>55973625</v>
      </c>
      <c r="I160" t="s">
        <v>8827</v>
      </c>
      <c r="J160">
        <v>2021</v>
      </c>
      <c r="K160">
        <v>1</v>
      </c>
      <c r="L160" t="s">
        <v>8891</v>
      </c>
      <c r="M160" t="s">
        <v>1552</v>
      </c>
      <c r="N160" t="s">
        <v>8892</v>
      </c>
    </row>
    <row r="161" spans="1:14" x14ac:dyDescent="0.3">
      <c r="A161">
        <v>2021</v>
      </c>
      <c r="B161" s="159">
        <v>44222</v>
      </c>
      <c r="C161" s="130">
        <v>21.8</v>
      </c>
      <c r="D161" s="130">
        <v>22.5</v>
      </c>
      <c r="E161" s="130">
        <v>21.6</v>
      </c>
      <c r="F161" s="130">
        <v>22.29</v>
      </c>
      <c r="G161" s="160">
        <v>11561000</v>
      </c>
      <c r="H161" s="160">
        <f t="shared" si="2"/>
        <v>257694690</v>
      </c>
      <c r="I161" t="s">
        <v>8827</v>
      </c>
      <c r="J161">
        <v>2021</v>
      </c>
      <c r="K161">
        <v>1</v>
      </c>
      <c r="L161" t="s">
        <v>8891</v>
      </c>
      <c r="M161" t="s">
        <v>1552</v>
      </c>
      <c r="N161" t="s">
        <v>8892</v>
      </c>
    </row>
    <row r="162" spans="1:14" x14ac:dyDescent="0.3">
      <c r="A162">
        <v>2021</v>
      </c>
      <c r="B162" s="159">
        <v>44223</v>
      </c>
      <c r="C162" s="130">
        <v>22.25</v>
      </c>
      <c r="D162" s="130">
        <v>23.68</v>
      </c>
      <c r="E162" s="130">
        <v>22.12</v>
      </c>
      <c r="F162" s="130">
        <v>23.44</v>
      </c>
      <c r="G162" s="160">
        <v>31578500</v>
      </c>
      <c r="H162" s="160">
        <f t="shared" si="2"/>
        <v>740200040</v>
      </c>
      <c r="I162" t="s">
        <v>8827</v>
      </c>
      <c r="J162">
        <v>2021</v>
      </c>
      <c r="K162">
        <v>1</v>
      </c>
      <c r="L162" t="s">
        <v>8891</v>
      </c>
      <c r="M162" t="s">
        <v>1552</v>
      </c>
      <c r="N162" t="s">
        <v>8892</v>
      </c>
    </row>
    <row r="163" spans="1:14" x14ac:dyDescent="0.3">
      <c r="A163">
        <v>2021</v>
      </c>
      <c r="B163" s="159">
        <v>44224</v>
      </c>
      <c r="C163" s="130">
        <v>23.21</v>
      </c>
      <c r="D163" s="130">
        <v>24.63</v>
      </c>
      <c r="E163" s="130">
        <v>23.1</v>
      </c>
      <c r="F163" s="130">
        <v>23.97</v>
      </c>
      <c r="G163" s="160">
        <v>22009000</v>
      </c>
      <c r="H163" s="160">
        <f t="shared" si="2"/>
        <v>527555730</v>
      </c>
      <c r="I163" t="s">
        <v>8827</v>
      </c>
      <c r="J163">
        <v>2021</v>
      </c>
      <c r="K163">
        <v>1</v>
      </c>
      <c r="L163" t="s">
        <v>8891</v>
      </c>
      <c r="M163" t="s">
        <v>1552</v>
      </c>
      <c r="N163" t="s">
        <v>8892</v>
      </c>
    </row>
    <row r="164" spans="1:14" x14ac:dyDescent="0.3">
      <c r="A164">
        <v>2021</v>
      </c>
      <c r="B164" s="159">
        <v>44225</v>
      </c>
      <c r="C164" s="130">
        <v>23.91</v>
      </c>
      <c r="D164" s="130">
        <v>25.4</v>
      </c>
      <c r="E164" s="130">
        <v>23.91</v>
      </c>
      <c r="F164" s="130">
        <v>24.78</v>
      </c>
      <c r="G164" s="160">
        <v>11182500</v>
      </c>
      <c r="H164" s="160">
        <f t="shared" si="2"/>
        <v>277102350</v>
      </c>
      <c r="I164" t="s">
        <v>8827</v>
      </c>
      <c r="J164">
        <v>2021</v>
      </c>
      <c r="K164">
        <v>1</v>
      </c>
      <c r="L164" t="s">
        <v>8891</v>
      </c>
      <c r="M164" t="s">
        <v>1552</v>
      </c>
      <c r="N164" t="s">
        <v>8892</v>
      </c>
    </row>
    <row r="165" spans="1:14" x14ac:dyDescent="0.3">
      <c r="A165">
        <v>2021</v>
      </c>
      <c r="B165" s="159">
        <v>44228</v>
      </c>
      <c r="C165" s="130">
        <v>24.71</v>
      </c>
      <c r="D165" s="130">
        <v>25.48</v>
      </c>
      <c r="E165" s="130">
        <v>24.31</v>
      </c>
      <c r="F165" s="130">
        <v>24.56</v>
      </c>
      <c r="G165" s="160">
        <v>5092500</v>
      </c>
      <c r="H165" s="160">
        <f t="shared" si="2"/>
        <v>125071800</v>
      </c>
      <c r="I165" t="s">
        <v>8828</v>
      </c>
      <c r="J165">
        <v>2021</v>
      </c>
      <c r="K165">
        <v>2</v>
      </c>
      <c r="L165" t="s">
        <v>8893</v>
      </c>
      <c r="M165" t="s">
        <v>1552</v>
      </c>
      <c r="N165" t="s">
        <v>8894</v>
      </c>
    </row>
    <row r="166" spans="1:14" x14ac:dyDescent="0.3">
      <c r="A166">
        <v>2021</v>
      </c>
      <c r="B166" s="159">
        <v>44229</v>
      </c>
      <c r="C166" s="130">
        <v>24.7</v>
      </c>
      <c r="D166" s="130">
        <v>24.7</v>
      </c>
      <c r="E166" s="130">
        <v>24.25</v>
      </c>
      <c r="F166" s="130">
        <v>24.35</v>
      </c>
      <c r="G166" s="160">
        <v>2152500</v>
      </c>
      <c r="H166" s="160">
        <f t="shared" si="2"/>
        <v>52413375</v>
      </c>
      <c r="I166" t="s">
        <v>8828</v>
      </c>
      <c r="J166">
        <v>2021</v>
      </c>
      <c r="K166">
        <v>2</v>
      </c>
      <c r="L166" t="s">
        <v>8893</v>
      </c>
      <c r="M166" t="s">
        <v>1552</v>
      </c>
      <c r="N166" t="s">
        <v>8894</v>
      </c>
    </row>
    <row r="167" spans="1:14" x14ac:dyDescent="0.3">
      <c r="A167">
        <v>2021</v>
      </c>
      <c r="B167" s="159">
        <v>44230</v>
      </c>
      <c r="C167" s="130">
        <v>24.36</v>
      </c>
      <c r="D167" s="130">
        <v>25.5</v>
      </c>
      <c r="E167" s="130">
        <v>24.32</v>
      </c>
      <c r="F167" s="130">
        <v>25.23</v>
      </c>
      <c r="G167" s="160">
        <v>8348000</v>
      </c>
      <c r="H167" s="160">
        <f t="shared" si="2"/>
        <v>210620040</v>
      </c>
      <c r="I167" t="s">
        <v>8828</v>
      </c>
      <c r="J167">
        <v>2021</v>
      </c>
      <c r="K167">
        <v>2</v>
      </c>
      <c r="L167" t="s">
        <v>8893</v>
      </c>
      <c r="M167" t="s">
        <v>1552</v>
      </c>
      <c r="N167" t="s">
        <v>8894</v>
      </c>
    </row>
    <row r="168" spans="1:14" x14ac:dyDescent="0.3">
      <c r="A168">
        <v>2021</v>
      </c>
      <c r="B168" s="159">
        <v>44231</v>
      </c>
      <c r="C168" s="130">
        <v>25.23</v>
      </c>
      <c r="D168" s="130">
        <v>25.78</v>
      </c>
      <c r="E168" s="130">
        <v>24.75</v>
      </c>
      <c r="F168" s="130">
        <v>24.86</v>
      </c>
      <c r="G168" s="160">
        <v>5581000</v>
      </c>
      <c r="H168" s="160">
        <f t="shared" si="2"/>
        <v>138743660</v>
      </c>
      <c r="I168" t="s">
        <v>8828</v>
      </c>
      <c r="J168">
        <v>2021</v>
      </c>
      <c r="K168">
        <v>2</v>
      </c>
      <c r="L168" t="s">
        <v>8893</v>
      </c>
      <c r="M168" t="s">
        <v>1552</v>
      </c>
      <c r="N168" t="s">
        <v>8894</v>
      </c>
    </row>
    <row r="169" spans="1:14" x14ac:dyDescent="0.3">
      <c r="A169">
        <v>2021</v>
      </c>
      <c r="B169" s="159">
        <v>44235</v>
      </c>
      <c r="C169" s="130">
        <v>25</v>
      </c>
      <c r="D169" s="130">
        <v>25</v>
      </c>
      <c r="E169" s="130">
        <v>23.95</v>
      </c>
      <c r="F169" s="130">
        <v>24.16</v>
      </c>
      <c r="G169" s="160">
        <v>2658000</v>
      </c>
      <c r="H169" s="160">
        <f t="shared" si="2"/>
        <v>64217280</v>
      </c>
      <c r="I169" t="s">
        <v>8828</v>
      </c>
      <c r="J169">
        <v>2021</v>
      </c>
      <c r="K169">
        <v>2</v>
      </c>
      <c r="L169" t="s">
        <v>8893</v>
      </c>
      <c r="M169" t="s">
        <v>1552</v>
      </c>
      <c r="N169" t="s">
        <v>8894</v>
      </c>
    </row>
    <row r="170" spans="1:14" x14ac:dyDescent="0.3">
      <c r="A170">
        <v>2021</v>
      </c>
      <c r="B170" s="159">
        <v>44236</v>
      </c>
      <c r="C170" s="130">
        <v>24.21</v>
      </c>
      <c r="D170" s="130">
        <v>24.49</v>
      </c>
      <c r="E170" s="130">
        <v>23.71</v>
      </c>
      <c r="F170" s="130">
        <v>23.82</v>
      </c>
      <c r="G170" s="160">
        <v>4040000</v>
      </c>
      <c r="H170" s="160">
        <f t="shared" si="2"/>
        <v>96232800</v>
      </c>
      <c r="I170" t="s">
        <v>8828</v>
      </c>
      <c r="J170">
        <v>2021</v>
      </c>
      <c r="K170">
        <v>2</v>
      </c>
      <c r="L170" t="s">
        <v>8893</v>
      </c>
      <c r="M170" t="s">
        <v>1552</v>
      </c>
      <c r="N170" t="s">
        <v>8894</v>
      </c>
    </row>
    <row r="171" spans="1:14" x14ac:dyDescent="0.3">
      <c r="A171">
        <v>2021</v>
      </c>
      <c r="B171" s="159">
        <v>44237</v>
      </c>
      <c r="C171" s="130">
        <v>23.77</v>
      </c>
      <c r="D171" s="130">
        <v>25.6</v>
      </c>
      <c r="E171" s="130">
        <v>23.55</v>
      </c>
      <c r="F171" s="130">
        <v>25.48</v>
      </c>
      <c r="G171" s="160">
        <v>25075000</v>
      </c>
      <c r="H171" s="160">
        <f t="shared" si="2"/>
        <v>638911000</v>
      </c>
      <c r="I171" t="s">
        <v>8828</v>
      </c>
      <c r="J171">
        <v>2021</v>
      </c>
      <c r="K171">
        <v>2</v>
      </c>
      <c r="L171" t="s">
        <v>8893</v>
      </c>
      <c r="M171" t="s">
        <v>1552</v>
      </c>
      <c r="N171" t="s">
        <v>8894</v>
      </c>
    </row>
    <row r="172" spans="1:14" x14ac:dyDescent="0.3">
      <c r="A172">
        <v>2021</v>
      </c>
      <c r="B172" s="159">
        <v>44238</v>
      </c>
      <c r="C172" s="130">
        <v>25.5</v>
      </c>
      <c r="D172" s="130">
        <v>27.05</v>
      </c>
      <c r="E172" s="130">
        <v>25.21</v>
      </c>
      <c r="F172" s="130">
        <v>25.85</v>
      </c>
      <c r="G172" s="160">
        <v>37808500</v>
      </c>
      <c r="H172" s="160">
        <f t="shared" si="2"/>
        <v>977349725</v>
      </c>
      <c r="I172" t="s">
        <v>8828</v>
      </c>
      <c r="J172">
        <v>2021</v>
      </c>
      <c r="K172">
        <v>2</v>
      </c>
      <c r="L172" t="s">
        <v>8893</v>
      </c>
      <c r="M172" t="s">
        <v>1552</v>
      </c>
      <c r="N172" t="s">
        <v>8894</v>
      </c>
    </row>
    <row r="173" spans="1:14" x14ac:dyDescent="0.3">
      <c r="A173">
        <v>2021</v>
      </c>
      <c r="B173" s="159">
        <v>44239</v>
      </c>
      <c r="C173" s="130">
        <v>25.88</v>
      </c>
      <c r="D173" s="130">
        <v>26.41</v>
      </c>
      <c r="E173" s="130">
        <v>25.56</v>
      </c>
      <c r="F173" s="130">
        <v>26.13</v>
      </c>
      <c r="G173" s="160">
        <v>9138500</v>
      </c>
      <c r="H173" s="160">
        <f t="shared" si="2"/>
        <v>238789005</v>
      </c>
      <c r="I173" t="s">
        <v>8828</v>
      </c>
      <c r="J173">
        <v>2021</v>
      </c>
      <c r="K173">
        <v>2</v>
      </c>
      <c r="L173" t="s">
        <v>8893</v>
      </c>
      <c r="M173" t="s">
        <v>1552</v>
      </c>
      <c r="N173" t="s">
        <v>8894</v>
      </c>
    </row>
    <row r="174" spans="1:14" x14ac:dyDescent="0.3">
      <c r="A174">
        <v>2021</v>
      </c>
      <c r="B174" s="159">
        <v>44242</v>
      </c>
      <c r="C174" s="130">
        <v>26.25</v>
      </c>
      <c r="D174" s="130">
        <v>26.65</v>
      </c>
      <c r="E174" s="130">
        <v>25.76</v>
      </c>
      <c r="F174" s="130">
        <v>26.49</v>
      </c>
      <c r="G174" s="160">
        <v>10931000</v>
      </c>
      <c r="H174" s="160">
        <f t="shared" si="2"/>
        <v>289562190</v>
      </c>
      <c r="I174" t="s">
        <v>8828</v>
      </c>
      <c r="J174">
        <v>2021</v>
      </c>
      <c r="K174">
        <v>2</v>
      </c>
      <c r="L174" t="s">
        <v>8893</v>
      </c>
      <c r="M174" t="s">
        <v>1552</v>
      </c>
      <c r="N174" t="s">
        <v>8894</v>
      </c>
    </row>
    <row r="175" spans="1:14" x14ac:dyDescent="0.3">
      <c r="A175">
        <v>2021</v>
      </c>
      <c r="B175" s="159">
        <v>44243</v>
      </c>
      <c r="C175" s="130">
        <v>26.51</v>
      </c>
      <c r="D175" s="130">
        <v>27.4</v>
      </c>
      <c r="E175" s="130">
        <v>26.4</v>
      </c>
      <c r="F175" s="130">
        <v>27.21</v>
      </c>
      <c r="G175" s="160">
        <v>7502000</v>
      </c>
      <c r="H175" s="160">
        <f t="shared" si="2"/>
        <v>204129420</v>
      </c>
      <c r="I175" t="s">
        <v>8828</v>
      </c>
      <c r="J175">
        <v>2021</v>
      </c>
      <c r="K175">
        <v>2</v>
      </c>
      <c r="L175" t="s">
        <v>8893</v>
      </c>
      <c r="M175" t="s">
        <v>1552</v>
      </c>
      <c r="N175" t="s">
        <v>8894</v>
      </c>
    </row>
    <row r="176" spans="1:14" x14ac:dyDescent="0.3">
      <c r="A176">
        <v>2021</v>
      </c>
      <c r="B176" s="159">
        <v>44244</v>
      </c>
      <c r="C176" s="130">
        <v>27.55</v>
      </c>
      <c r="D176" s="130">
        <v>27.61</v>
      </c>
      <c r="E176" s="130">
        <v>26.3</v>
      </c>
      <c r="F176" s="130">
        <v>26.43</v>
      </c>
      <c r="G176" s="160">
        <v>9123000</v>
      </c>
      <c r="H176" s="160">
        <f t="shared" si="2"/>
        <v>241120890</v>
      </c>
      <c r="I176" t="s">
        <v>8828</v>
      </c>
      <c r="J176">
        <v>2021</v>
      </c>
      <c r="K176">
        <v>2</v>
      </c>
      <c r="L176" t="s">
        <v>8893</v>
      </c>
      <c r="M176" t="s">
        <v>1552</v>
      </c>
      <c r="N176" t="s">
        <v>8894</v>
      </c>
    </row>
    <row r="177" spans="1:14" x14ac:dyDescent="0.3">
      <c r="A177">
        <v>2021</v>
      </c>
      <c r="B177" s="159">
        <v>44245</v>
      </c>
      <c r="C177" s="130">
        <v>26.31</v>
      </c>
      <c r="D177" s="130">
        <v>26.5</v>
      </c>
      <c r="E177" s="130">
        <v>26</v>
      </c>
      <c r="F177" s="130">
        <v>26.16</v>
      </c>
      <c r="G177" s="160">
        <v>3778000</v>
      </c>
      <c r="H177" s="160">
        <f t="shared" si="2"/>
        <v>98832480</v>
      </c>
      <c r="I177" t="s">
        <v>8828</v>
      </c>
      <c r="J177">
        <v>2021</v>
      </c>
      <c r="K177">
        <v>2</v>
      </c>
      <c r="L177" t="s">
        <v>8893</v>
      </c>
      <c r="M177" t="s">
        <v>1552</v>
      </c>
      <c r="N177" t="s">
        <v>8894</v>
      </c>
    </row>
    <row r="178" spans="1:14" x14ac:dyDescent="0.3">
      <c r="A178">
        <v>2021</v>
      </c>
      <c r="B178" s="159">
        <v>44246</v>
      </c>
      <c r="C178" s="130">
        <v>26.35</v>
      </c>
      <c r="D178" s="130">
        <v>26.7</v>
      </c>
      <c r="E178" s="130">
        <v>25.22</v>
      </c>
      <c r="F178" s="130">
        <v>25.37</v>
      </c>
      <c r="G178" s="160">
        <v>8137500</v>
      </c>
      <c r="H178" s="160">
        <f t="shared" si="2"/>
        <v>206448375</v>
      </c>
      <c r="I178" t="s">
        <v>8828</v>
      </c>
      <c r="J178">
        <v>2021</v>
      </c>
      <c r="K178">
        <v>2</v>
      </c>
      <c r="L178" t="s">
        <v>8893</v>
      </c>
      <c r="M178" t="s">
        <v>1552</v>
      </c>
      <c r="N178" t="s">
        <v>8894</v>
      </c>
    </row>
    <row r="179" spans="1:14" x14ac:dyDescent="0.3">
      <c r="A179">
        <v>2021</v>
      </c>
      <c r="B179" s="159">
        <v>44249</v>
      </c>
      <c r="C179" s="130">
        <v>25.58</v>
      </c>
      <c r="D179" s="130">
        <v>25.58</v>
      </c>
      <c r="E179" s="130">
        <v>24.51</v>
      </c>
      <c r="F179" s="130">
        <v>25.1</v>
      </c>
      <c r="G179" s="160">
        <v>7744500</v>
      </c>
      <c r="H179" s="160">
        <f t="shared" si="2"/>
        <v>194386950</v>
      </c>
      <c r="I179" t="s">
        <v>8828</v>
      </c>
      <c r="J179">
        <v>2021</v>
      </c>
      <c r="K179">
        <v>2</v>
      </c>
      <c r="L179" t="s">
        <v>8893</v>
      </c>
      <c r="M179" t="s">
        <v>1552</v>
      </c>
      <c r="N179" t="s">
        <v>8894</v>
      </c>
    </row>
    <row r="180" spans="1:14" x14ac:dyDescent="0.3">
      <c r="A180">
        <v>2021</v>
      </c>
      <c r="B180" s="159">
        <v>44250</v>
      </c>
      <c r="C180" s="130">
        <v>25.2</v>
      </c>
      <c r="D180" s="130">
        <v>25.4</v>
      </c>
      <c r="E180" s="130">
        <v>24.81</v>
      </c>
      <c r="F180" s="130">
        <v>25.03</v>
      </c>
      <c r="G180" s="160">
        <v>2862000</v>
      </c>
      <c r="H180" s="160">
        <f t="shared" si="2"/>
        <v>71635860</v>
      </c>
      <c r="I180" t="s">
        <v>8828</v>
      </c>
      <c r="J180">
        <v>2021</v>
      </c>
      <c r="K180">
        <v>2</v>
      </c>
      <c r="L180" t="s">
        <v>8893</v>
      </c>
      <c r="M180" t="s">
        <v>1552</v>
      </c>
      <c r="N180" t="s">
        <v>8894</v>
      </c>
    </row>
    <row r="181" spans="1:14" x14ac:dyDescent="0.3">
      <c r="A181">
        <v>2021</v>
      </c>
      <c r="B181" s="159">
        <v>44251</v>
      </c>
      <c r="C181" s="130">
        <v>25.05</v>
      </c>
      <c r="D181" s="130">
        <v>25.1</v>
      </c>
      <c r="E181" s="130">
        <v>24.15</v>
      </c>
      <c r="F181" s="130">
        <v>24.46</v>
      </c>
      <c r="G181" s="160">
        <v>3656500</v>
      </c>
      <c r="H181" s="160">
        <f t="shared" si="2"/>
        <v>89437990</v>
      </c>
      <c r="I181" t="s">
        <v>8828</v>
      </c>
      <c r="J181">
        <v>2021</v>
      </c>
      <c r="K181">
        <v>2</v>
      </c>
      <c r="L181" t="s">
        <v>8893</v>
      </c>
      <c r="M181" t="s">
        <v>1552</v>
      </c>
      <c r="N181" t="s">
        <v>8894</v>
      </c>
    </row>
    <row r="182" spans="1:14" x14ac:dyDescent="0.3">
      <c r="A182">
        <v>2021</v>
      </c>
      <c r="B182" s="159">
        <v>44252</v>
      </c>
      <c r="C182" s="130">
        <v>24.8</v>
      </c>
      <c r="D182" s="130">
        <v>25.3</v>
      </c>
      <c r="E182" s="130">
        <v>24.5</v>
      </c>
      <c r="F182" s="130">
        <v>25.24</v>
      </c>
      <c r="G182" s="160">
        <v>2844000</v>
      </c>
      <c r="H182" s="160">
        <f t="shared" si="2"/>
        <v>71782560</v>
      </c>
      <c r="I182" t="s">
        <v>8828</v>
      </c>
      <c r="J182">
        <v>2021</v>
      </c>
      <c r="K182">
        <v>2</v>
      </c>
      <c r="L182" t="s">
        <v>8893</v>
      </c>
      <c r="M182" t="s">
        <v>1552</v>
      </c>
      <c r="N182" t="s">
        <v>8894</v>
      </c>
    </row>
    <row r="183" spans="1:14" x14ac:dyDescent="0.3">
      <c r="A183">
        <v>2021</v>
      </c>
      <c r="B183" s="159">
        <v>44253</v>
      </c>
      <c r="C183" s="130">
        <v>25.15</v>
      </c>
      <c r="D183" s="130">
        <v>25.49</v>
      </c>
      <c r="E183" s="130">
        <v>24.6</v>
      </c>
      <c r="F183" s="130">
        <v>24.79</v>
      </c>
      <c r="G183" s="160">
        <v>2547000</v>
      </c>
      <c r="H183" s="160">
        <f t="shared" si="2"/>
        <v>63140130</v>
      </c>
      <c r="I183" t="s">
        <v>8828</v>
      </c>
      <c r="J183">
        <v>2021</v>
      </c>
      <c r="K183">
        <v>2</v>
      </c>
      <c r="L183" t="s">
        <v>8893</v>
      </c>
      <c r="M183" t="s">
        <v>1552</v>
      </c>
      <c r="N183" t="s">
        <v>8894</v>
      </c>
    </row>
    <row r="184" spans="1:14" x14ac:dyDescent="0.3">
      <c r="A184">
        <v>2021</v>
      </c>
      <c r="B184" s="159">
        <v>44256</v>
      </c>
      <c r="C184" s="130">
        <v>24.85</v>
      </c>
      <c r="D184" s="130">
        <v>25.15</v>
      </c>
      <c r="E184" s="130">
        <v>24</v>
      </c>
      <c r="F184" s="130">
        <v>24.95</v>
      </c>
      <c r="G184" s="160">
        <v>7927500</v>
      </c>
      <c r="H184" s="160">
        <f t="shared" si="2"/>
        <v>197791125</v>
      </c>
      <c r="I184" t="s">
        <v>8829</v>
      </c>
      <c r="J184">
        <v>2021</v>
      </c>
      <c r="K184">
        <v>3</v>
      </c>
      <c r="L184" t="s">
        <v>8895</v>
      </c>
      <c r="M184" t="s">
        <v>1552</v>
      </c>
      <c r="N184" t="s">
        <v>8896</v>
      </c>
    </row>
    <row r="185" spans="1:14" x14ac:dyDescent="0.3">
      <c r="A185">
        <v>2021</v>
      </c>
      <c r="B185" s="159">
        <v>44257</v>
      </c>
      <c r="C185" s="130">
        <v>25.15</v>
      </c>
      <c r="D185" s="130">
        <v>25.15</v>
      </c>
      <c r="E185" s="130">
        <v>24.52</v>
      </c>
      <c r="F185" s="130">
        <v>24.67</v>
      </c>
      <c r="G185" s="160">
        <v>2004000</v>
      </c>
      <c r="H185" s="160">
        <f t="shared" si="2"/>
        <v>49438680</v>
      </c>
      <c r="I185" t="s">
        <v>8829</v>
      </c>
      <c r="J185">
        <v>2021</v>
      </c>
      <c r="K185">
        <v>3</v>
      </c>
      <c r="L185" t="s">
        <v>8895</v>
      </c>
      <c r="M185" t="s">
        <v>1552</v>
      </c>
      <c r="N185" t="s">
        <v>8896</v>
      </c>
    </row>
    <row r="186" spans="1:14" x14ac:dyDescent="0.3">
      <c r="A186">
        <v>2021</v>
      </c>
      <c r="B186" s="159">
        <v>44258</v>
      </c>
      <c r="C186" s="130">
        <v>24.75</v>
      </c>
      <c r="D186" s="130">
        <v>25.11</v>
      </c>
      <c r="E186" s="130">
        <v>24.65</v>
      </c>
      <c r="F186" s="130">
        <v>24.98</v>
      </c>
      <c r="G186" s="160">
        <v>2349000</v>
      </c>
      <c r="H186" s="160">
        <f t="shared" si="2"/>
        <v>58678020</v>
      </c>
      <c r="I186" t="s">
        <v>8829</v>
      </c>
      <c r="J186">
        <v>2021</v>
      </c>
      <c r="K186">
        <v>3</v>
      </c>
      <c r="L186" t="s">
        <v>8895</v>
      </c>
      <c r="M186" t="s">
        <v>1552</v>
      </c>
      <c r="N186" t="s">
        <v>8896</v>
      </c>
    </row>
    <row r="187" spans="1:14" x14ac:dyDescent="0.3">
      <c r="A187">
        <v>2021</v>
      </c>
      <c r="B187" s="159">
        <v>44259</v>
      </c>
      <c r="C187" s="130">
        <v>24.1</v>
      </c>
      <c r="D187" s="130">
        <v>24.69</v>
      </c>
      <c r="E187" s="130">
        <v>24.01</v>
      </c>
      <c r="F187" s="130">
        <v>24.32</v>
      </c>
      <c r="G187" s="160">
        <v>4596500</v>
      </c>
      <c r="H187" s="160">
        <f t="shared" si="2"/>
        <v>111786880</v>
      </c>
      <c r="I187" t="s">
        <v>8829</v>
      </c>
      <c r="J187">
        <v>2021</v>
      </c>
      <c r="K187">
        <v>3</v>
      </c>
      <c r="L187" t="s">
        <v>8895</v>
      </c>
      <c r="M187" t="s">
        <v>1552</v>
      </c>
      <c r="N187" t="s">
        <v>8896</v>
      </c>
    </row>
    <row r="188" spans="1:14" x14ac:dyDescent="0.3">
      <c r="A188">
        <v>2021</v>
      </c>
      <c r="B188" s="159">
        <v>44260</v>
      </c>
      <c r="C188" s="130">
        <v>24.4</v>
      </c>
      <c r="D188" s="130">
        <v>24.75</v>
      </c>
      <c r="E188" s="130">
        <v>23.81</v>
      </c>
      <c r="F188" s="130">
        <v>24.65</v>
      </c>
      <c r="G188" s="160">
        <v>1517000</v>
      </c>
      <c r="H188" s="160">
        <f t="shared" si="2"/>
        <v>37394050</v>
      </c>
      <c r="I188" t="s">
        <v>8829</v>
      </c>
      <c r="J188">
        <v>2021</v>
      </c>
      <c r="K188">
        <v>3</v>
      </c>
      <c r="L188" t="s">
        <v>8895</v>
      </c>
      <c r="M188" t="s">
        <v>1552</v>
      </c>
      <c r="N188" t="s">
        <v>8896</v>
      </c>
    </row>
    <row r="189" spans="1:14" x14ac:dyDescent="0.3">
      <c r="A189">
        <v>2021</v>
      </c>
      <c r="B189" s="159">
        <v>44263</v>
      </c>
      <c r="C189" s="130">
        <v>24.85</v>
      </c>
      <c r="D189" s="130">
        <v>25.01</v>
      </c>
      <c r="E189" s="130">
        <v>23.35</v>
      </c>
      <c r="F189" s="130">
        <v>23.73</v>
      </c>
      <c r="G189" s="160">
        <v>4092500</v>
      </c>
      <c r="H189" s="160">
        <f t="shared" si="2"/>
        <v>97115025</v>
      </c>
      <c r="I189" t="s">
        <v>8829</v>
      </c>
      <c r="J189">
        <v>2021</v>
      </c>
      <c r="K189">
        <v>3</v>
      </c>
      <c r="L189" t="s">
        <v>8895</v>
      </c>
      <c r="M189" t="s">
        <v>1552</v>
      </c>
      <c r="N189" t="s">
        <v>8896</v>
      </c>
    </row>
    <row r="190" spans="1:14" x14ac:dyDescent="0.3">
      <c r="A190">
        <v>2021</v>
      </c>
      <c r="B190" s="159">
        <v>44264</v>
      </c>
      <c r="C190" s="130">
        <v>23.52</v>
      </c>
      <c r="D190" s="130">
        <v>24</v>
      </c>
      <c r="E190" s="130">
        <v>22.16</v>
      </c>
      <c r="F190" s="130">
        <v>22.67</v>
      </c>
      <c r="G190" s="160">
        <v>2293000</v>
      </c>
      <c r="H190" s="160">
        <f t="shared" si="2"/>
        <v>51982310.000000007</v>
      </c>
      <c r="I190" t="s">
        <v>8829</v>
      </c>
      <c r="J190">
        <v>2021</v>
      </c>
      <c r="K190">
        <v>3</v>
      </c>
      <c r="L190" t="s">
        <v>8895</v>
      </c>
      <c r="M190" t="s">
        <v>1552</v>
      </c>
      <c r="N190" t="s">
        <v>8896</v>
      </c>
    </row>
    <row r="191" spans="1:14" x14ac:dyDescent="0.3">
      <c r="A191">
        <v>2021</v>
      </c>
      <c r="B191" s="159">
        <v>44265</v>
      </c>
      <c r="C191" s="130">
        <v>22.65</v>
      </c>
      <c r="D191" s="130">
        <v>23.3</v>
      </c>
      <c r="E191" s="130">
        <v>22.23</v>
      </c>
      <c r="F191" s="130">
        <v>23.1</v>
      </c>
      <c r="G191" s="160">
        <v>12952000</v>
      </c>
      <c r="H191" s="160">
        <f t="shared" si="2"/>
        <v>299191200</v>
      </c>
      <c r="I191" t="s">
        <v>8829</v>
      </c>
      <c r="J191">
        <v>2021</v>
      </c>
      <c r="K191">
        <v>3</v>
      </c>
      <c r="L191" t="s">
        <v>8895</v>
      </c>
      <c r="M191" t="s">
        <v>1552</v>
      </c>
      <c r="N191" t="s">
        <v>8896</v>
      </c>
    </row>
    <row r="192" spans="1:14" x14ac:dyDescent="0.3">
      <c r="A192">
        <v>2021</v>
      </c>
      <c r="B192" s="159">
        <v>44266</v>
      </c>
      <c r="C192" s="130">
        <v>22.99</v>
      </c>
      <c r="D192" s="130">
        <v>23.15</v>
      </c>
      <c r="E192" s="130">
        <v>21.99</v>
      </c>
      <c r="F192" s="130">
        <v>22.15</v>
      </c>
      <c r="G192" s="160">
        <v>6344500</v>
      </c>
      <c r="H192" s="160">
        <f t="shared" si="2"/>
        <v>140530675</v>
      </c>
      <c r="I192" t="s">
        <v>8829</v>
      </c>
      <c r="J192">
        <v>2021</v>
      </c>
      <c r="K192">
        <v>3</v>
      </c>
      <c r="L192" t="s">
        <v>8895</v>
      </c>
      <c r="M192" t="s">
        <v>1552</v>
      </c>
      <c r="N192" t="s">
        <v>8896</v>
      </c>
    </row>
    <row r="193" spans="1:14" x14ac:dyDescent="0.3">
      <c r="A193">
        <v>2021</v>
      </c>
      <c r="B193" s="159">
        <v>44267</v>
      </c>
      <c r="C193" s="130">
        <v>22.15</v>
      </c>
      <c r="D193" s="130">
        <v>23.18</v>
      </c>
      <c r="E193" s="130">
        <v>22.15</v>
      </c>
      <c r="F193" s="130">
        <v>22.66</v>
      </c>
      <c r="G193" s="160">
        <v>2714000</v>
      </c>
      <c r="H193" s="160">
        <f t="shared" si="2"/>
        <v>61499240</v>
      </c>
      <c r="I193" t="s">
        <v>8829</v>
      </c>
      <c r="J193">
        <v>2021</v>
      </c>
      <c r="K193">
        <v>3</v>
      </c>
      <c r="L193" t="s">
        <v>8895</v>
      </c>
      <c r="M193" t="s">
        <v>1552</v>
      </c>
      <c r="N193" t="s">
        <v>8896</v>
      </c>
    </row>
    <row r="194" spans="1:14" x14ac:dyDescent="0.3">
      <c r="A194">
        <v>2021</v>
      </c>
      <c r="B194" s="159">
        <v>44270</v>
      </c>
      <c r="C194" s="130">
        <v>23</v>
      </c>
      <c r="D194" s="130">
        <v>23.35</v>
      </c>
      <c r="E194" s="130">
        <v>22.25</v>
      </c>
      <c r="F194" s="130">
        <v>23.1</v>
      </c>
      <c r="G194" s="160">
        <v>21085000</v>
      </c>
      <c r="H194" s="160">
        <f t="shared" si="2"/>
        <v>487063500.00000006</v>
      </c>
      <c r="I194" t="s">
        <v>8829</v>
      </c>
      <c r="J194">
        <v>2021</v>
      </c>
      <c r="K194">
        <v>3</v>
      </c>
      <c r="L194" t="s">
        <v>8895</v>
      </c>
      <c r="M194" t="s">
        <v>1552</v>
      </c>
      <c r="N194" t="s">
        <v>8896</v>
      </c>
    </row>
    <row r="195" spans="1:14" x14ac:dyDescent="0.3">
      <c r="A195">
        <v>2021</v>
      </c>
      <c r="B195" s="159">
        <v>44271</v>
      </c>
      <c r="C195" s="130">
        <v>23.2</v>
      </c>
      <c r="D195" s="130">
        <v>23.25</v>
      </c>
      <c r="E195" s="130">
        <v>22.53</v>
      </c>
      <c r="F195" s="130">
        <v>22.68</v>
      </c>
      <c r="G195" s="160">
        <v>5195500</v>
      </c>
      <c r="H195" s="160">
        <f t="shared" si="2"/>
        <v>117833940</v>
      </c>
      <c r="I195" t="s">
        <v>8829</v>
      </c>
      <c r="J195">
        <v>2021</v>
      </c>
      <c r="K195">
        <v>3</v>
      </c>
      <c r="L195" t="s">
        <v>8895</v>
      </c>
      <c r="M195" t="s">
        <v>1552</v>
      </c>
      <c r="N195" t="s">
        <v>8896</v>
      </c>
    </row>
    <row r="196" spans="1:14" x14ac:dyDescent="0.3">
      <c r="A196">
        <v>2021</v>
      </c>
      <c r="B196" s="159">
        <v>44272</v>
      </c>
      <c r="C196" s="130">
        <v>22.95</v>
      </c>
      <c r="D196" s="130">
        <v>23.7</v>
      </c>
      <c r="E196" s="130">
        <v>22.79</v>
      </c>
      <c r="F196" s="130">
        <v>23.05</v>
      </c>
      <c r="G196" s="160">
        <v>16632500</v>
      </c>
      <c r="H196" s="160">
        <f t="shared" si="2"/>
        <v>383379125</v>
      </c>
      <c r="I196" t="s">
        <v>8829</v>
      </c>
      <c r="J196">
        <v>2021</v>
      </c>
      <c r="K196">
        <v>3</v>
      </c>
      <c r="L196" t="s">
        <v>8895</v>
      </c>
      <c r="M196" t="s">
        <v>1552</v>
      </c>
      <c r="N196" t="s">
        <v>8896</v>
      </c>
    </row>
    <row r="197" spans="1:14" x14ac:dyDescent="0.3">
      <c r="A197">
        <v>2021</v>
      </c>
      <c r="B197" s="159">
        <v>44273</v>
      </c>
      <c r="C197" s="130">
        <v>23.3</v>
      </c>
      <c r="D197" s="130">
        <v>23.35</v>
      </c>
      <c r="E197" s="130">
        <v>22.76</v>
      </c>
      <c r="F197" s="130">
        <v>22.98</v>
      </c>
      <c r="G197" s="160">
        <v>7398000</v>
      </c>
      <c r="H197" s="160">
        <f t="shared" si="2"/>
        <v>170006040</v>
      </c>
      <c r="I197" t="s">
        <v>8829</v>
      </c>
      <c r="J197">
        <v>2021</v>
      </c>
      <c r="K197">
        <v>3</v>
      </c>
      <c r="L197" t="s">
        <v>8895</v>
      </c>
      <c r="M197" t="s">
        <v>1552</v>
      </c>
      <c r="N197" t="s">
        <v>8896</v>
      </c>
    </row>
    <row r="198" spans="1:14" x14ac:dyDescent="0.3">
      <c r="A198">
        <v>2021</v>
      </c>
      <c r="B198" s="159">
        <v>44274</v>
      </c>
      <c r="C198" s="130">
        <v>22.98</v>
      </c>
      <c r="D198" s="130">
        <v>23.25</v>
      </c>
      <c r="E198" s="130">
        <v>22.6</v>
      </c>
      <c r="F198" s="130">
        <v>23.05</v>
      </c>
      <c r="G198" s="160">
        <v>1941000</v>
      </c>
      <c r="H198" s="160">
        <f t="shared" si="2"/>
        <v>44740050</v>
      </c>
      <c r="I198" t="s">
        <v>8829</v>
      </c>
      <c r="J198">
        <v>2021</v>
      </c>
      <c r="K198">
        <v>3</v>
      </c>
      <c r="L198" t="s">
        <v>8895</v>
      </c>
      <c r="M198" t="s">
        <v>1552</v>
      </c>
      <c r="N198" t="s">
        <v>8896</v>
      </c>
    </row>
    <row r="199" spans="1:14" x14ac:dyDescent="0.3">
      <c r="A199">
        <v>2021</v>
      </c>
      <c r="B199" s="159">
        <v>44277</v>
      </c>
      <c r="C199" s="130">
        <v>23.1</v>
      </c>
      <c r="D199" s="130">
        <v>23.24</v>
      </c>
      <c r="E199" s="130">
        <v>22.7</v>
      </c>
      <c r="F199" s="130">
        <v>23.16</v>
      </c>
      <c r="G199" s="160">
        <v>1998500</v>
      </c>
      <c r="H199" s="160">
        <f t="shared" si="2"/>
        <v>46285260</v>
      </c>
      <c r="I199" t="s">
        <v>8829</v>
      </c>
      <c r="J199">
        <v>2021</v>
      </c>
      <c r="K199">
        <v>3</v>
      </c>
      <c r="L199" t="s">
        <v>8895</v>
      </c>
      <c r="M199" t="s">
        <v>1552</v>
      </c>
      <c r="N199" t="s">
        <v>8896</v>
      </c>
    </row>
    <row r="200" spans="1:14" x14ac:dyDescent="0.3">
      <c r="A200">
        <v>2021</v>
      </c>
      <c r="B200" s="159">
        <v>44279</v>
      </c>
      <c r="C200" s="130">
        <v>23.02</v>
      </c>
      <c r="D200" s="130">
        <v>23.31</v>
      </c>
      <c r="E200" s="130">
        <v>22.91</v>
      </c>
      <c r="F200" s="130">
        <v>23</v>
      </c>
      <c r="G200" s="160">
        <v>1841000</v>
      </c>
      <c r="H200" s="160">
        <f t="shared" si="2"/>
        <v>42343000</v>
      </c>
      <c r="I200" t="s">
        <v>8829</v>
      </c>
      <c r="J200">
        <v>2021</v>
      </c>
      <c r="K200">
        <v>3</v>
      </c>
      <c r="L200" t="s">
        <v>8895</v>
      </c>
      <c r="M200" t="s">
        <v>1552</v>
      </c>
      <c r="N200" t="s">
        <v>8896</v>
      </c>
    </row>
    <row r="201" spans="1:14" x14ac:dyDescent="0.3">
      <c r="A201">
        <v>2021</v>
      </c>
      <c r="B201" s="159">
        <v>44280</v>
      </c>
      <c r="C201" s="130">
        <v>23.1</v>
      </c>
      <c r="D201" s="130">
        <v>23.27</v>
      </c>
      <c r="E201" s="130">
        <v>22.9</v>
      </c>
      <c r="F201" s="130">
        <v>22.94</v>
      </c>
      <c r="G201" s="160">
        <v>2496000</v>
      </c>
      <c r="H201" s="160">
        <f t="shared" si="2"/>
        <v>57258240</v>
      </c>
      <c r="I201" t="s">
        <v>8829</v>
      </c>
      <c r="J201">
        <v>2021</v>
      </c>
      <c r="K201">
        <v>3</v>
      </c>
      <c r="L201" t="s">
        <v>8895</v>
      </c>
      <c r="M201" t="s">
        <v>1552</v>
      </c>
      <c r="N201" t="s">
        <v>8896</v>
      </c>
    </row>
    <row r="202" spans="1:14" x14ac:dyDescent="0.3">
      <c r="A202">
        <v>2021</v>
      </c>
      <c r="B202" s="159">
        <v>44281</v>
      </c>
      <c r="C202" s="130">
        <v>22.9</v>
      </c>
      <c r="D202" s="130">
        <v>22.98</v>
      </c>
      <c r="E202" s="130">
        <v>22.51</v>
      </c>
      <c r="F202" s="130">
        <v>22.54</v>
      </c>
      <c r="G202" s="160">
        <v>2471500</v>
      </c>
      <c r="H202" s="160">
        <f t="shared" si="2"/>
        <v>55707610</v>
      </c>
      <c r="I202" t="s">
        <v>8829</v>
      </c>
      <c r="J202">
        <v>2021</v>
      </c>
      <c r="K202">
        <v>3</v>
      </c>
      <c r="L202" t="s">
        <v>8895</v>
      </c>
      <c r="M202" t="s">
        <v>1552</v>
      </c>
      <c r="N202" t="s">
        <v>8896</v>
      </c>
    </row>
    <row r="203" spans="1:14" x14ac:dyDescent="0.3">
      <c r="A203">
        <v>2021</v>
      </c>
      <c r="B203" s="159">
        <v>44284</v>
      </c>
      <c r="C203" s="130">
        <v>22.81</v>
      </c>
      <c r="D203" s="130">
        <v>22.81</v>
      </c>
      <c r="E203" s="130">
        <v>21.75</v>
      </c>
      <c r="F203" s="130">
        <v>21.95</v>
      </c>
      <c r="G203" s="160">
        <v>3392500</v>
      </c>
      <c r="H203" s="160">
        <f t="shared" si="2"/>
        <v>74465375</v>
      </c>
      <c r="I203" t="s">
        <v>8829</v>
      </c>
      <c r="J203">
        <v>2021</v>
      </c>
      <c r="K203">
        <v>3</v>
      </c>
      <c r="L203" t="s">
        <v>8895</v>
      </c>
      <c r="M203" t="s">
        <v>1552</v>
      </c>
      <c r="N203" t="s">
        <v>8896</v>
      </c>
    </row>
    <row r="204" spans="1:14" x14ac:dyDescent="0.3">
      <c r="A204">
        <v>2021</v>
      </c>
      <c r="B204" s="159">
        <v>44285</v>
      </c>
      <c r="C204" s="130">
        <v>21.82</v>
      </c>
      <c r="D204" s="130">
        <v>22.4</v>
      </c>
      <c r="E204" s="130">
        <v>21.76</v>
      </c>
      <c r="F204" s="130">
        <v>22.16</v>
      </c>
      <c r="G204" s="160">
        <v>414500</v>
      </c>
      <c r="H204" s="160">
        <f t="shared" si="2"/>
        <v>9185320</v>
      </c>
      <c r="I204" t="s">
        <v>8829</v>
      </c>
      <c r="J204">
        <v>2021</v>
      </c>
      <c r="K204">
        <v>3</v>
      </c>
      <c r="L204" t="s">
        <v>8895</v>
      </c>
      <c r="M204" t="s">
        <v>1552</v>
      </c>
      <c r="N204" t="s">
        <v>8896</v>
      </c>
    </row>
    <row r="205" spans="1:14" x14ac:dyDescent="0.3">
      <c r="A205">
        <v>2021</v>
      </c>
      <c r="B205" s="159">
        <v>44286</v>
      </c>
      <c r="C205" s="130">
        <v>22.45</v>
      </c>
      <c r="D205" s="130">
        <v>23.1</v>
      </c>
      <c r="E205" s="130">
        <v>22.35</v>
      </c>
      <c r="F205" s="130">
        <v>22.82</v>
      </c>
      <c r="G205" s="160">
        <v>4748000</v>
      </c>
      <c r="H205" s="160">
        <f t="shared" si="2"/>
        <v>108349360</v>
      </c>
      <c r="I205" t="s">
        <v>8829</v>
      </c>
      <c r="J205">
        <v>2021</v>
      </c>
      <c r="K205">
        <v>3</v>
      </c>
      <c r="L205" t="s">
        <v>8895</v>
      </c>
      <c r="M205" t="s">
        <v>1552</v>
      </c>
      <c r="N205" t="s">
        <v>8896</v>
      </c>
    </row>
    <row r="206" spans="1:14" x14ac:dyDescent="0.3">
      <c r="A206">
        <v>2021</v>
      </c>
      <c r="B206" s="159">
        <v>44287</v>
      </c>
      <c r="C206" s="130">
        <v>22.84</v>
      </c>
      <c r="D206" s="130">
        <v>23.2</v>
      </c>
      <c r="E206" s="130">
        <v>22.84</v>
      </c>
      <c r="F206" s="130">
        <v>23</v>
      </c>
      <c r="G206" s="160">
        <v>13415500</v>
      </c>
      <c r="H206" s="160">
        <f t="shared" si="2"/>
        <v>308556500</v>
      </c>
      <c r="I206" t="s">
        <v>8830</v>
      </c>
      <c r="J206">
        <v>2021</v>
      </c>
      <c r="K206">
        <v>4</v>
      </c>
      <c r="L206" t="s">
        <v>8897</v>
      </c>
      <c r="M206" t="s">
        <v>1552</v>
      </c>
      <c r="N206" t="s">
        <v>8898</v>
      </c>
    </row>
    <row r="207" spans="1:14" x14ac:dyDescent="0.3">
      <c r="A207">
        <v>2021</v>
      </c>
      <c r="B207" s="159">
        <v>44288</v>
      </c>
      <c r="C207" s="130">
        <v>23</v>
      </c>
      <c r="D207" s="130">
        <v>24.02</v>
      </c>
      <c r="E207" s="130">
        <v>22.6</v>
      </c>
      <c r="F207" s="130">
        <v>23.78</v>
      </c>
      <c r="G207" s="160">
        <v>9913500</v>
      </c>
      <c r="H207" s="160">
        <f t="shared" si="2"/>
        <v>235743030</v>
      </c>
      <c r="I207" t="s">
        <v>8830</v>
      </c>
      <c r="J207">
        <v>2021</v>
      </c>
      <c r="K207">
        <v>4</v>
      </c>
      <c r="L207" t="s">
        <v>8897</v>
      </c>
      <c r="M207" t="s">
        <v>1552</v>
      </c>
      <c r="N207" t="s">
        <v>8898</v>
      </c>
    </row>
    <row r="208" spans="1:14" x14ac:dyDescent="0.3">
      <c r="A208">
        <v>2021</v>
      </c>
      <c r="B208" s="159">
        <v>44291</v>
      </c>
      <c r="C208" s="130">
        <v>23.99</v>
      </c>
      <c r="D208" s="130">
        <v>24</v>
      </c>
      <c r="E208" s="130">
        <v>23.25</v>
      </c>
      <c r="F208" s="130">
        <v>23.35</v>
      </c>
      <c r="G208" s="160">
        <v>4003000</v>
      </c>
      <c r="H208" s="160">
        <f t="shared" ref="H208:H271" si="3">F208*G208</f>
        <v>93470050</v>
      </c>
      <c r="I208" t="s">
        <v>8830</v>
      </c>
      <c r="J208">
        <v>2021</v>
      </c>
      <c r="K208">
        <v>4</v>
      </c>
      <c r="L208" t="s">
        <v>8897</v>
      </c>
      <c r="M208" t="s">
        <v>1552</v>
      </c>
      <c r="N208" t="s">
        <v>8898</v>
      </c>
    </row>
    <row r="209" spans="1:14" x14ac:dyDescent="0.3">
      <c r="A209">
        <v>2021</v>
      </c>
      <c r="B209" s="159">
        <v>44292</v>
      </c>
      <c r="C209" s="130">
        <v>23.3</v>
      </c>
      <c r="D209" s="130">
        <v>24</v>
      </c>
      <c r="E209" s="130">
        <v>23.3</v>
      </c>
      <c r="F209" s="130">
        <v>23.89</v>
      </c>
      <c r="G209" s="160">
        <v>3198000</v>
      </c>
      <c r="H209" s="160">
        <f t="shared" si="3"/>
        <v>76400220</v>
      </c>
      <c r="I209" t="s">
        <v>8830</v>
      </c>
      <c r="J209">
        <v>2021</v>
      </c>
      <c r="K209">
        <v>4</v>
      </c>
      <c r="L209" t="s">
        <v>8897</v>
      </c>
      <c r="M209" t="s">
        <v>1552</v>
      </c>
      <c r="N209" t="s">
        <v>8898</v>
      </c>
    </row>
    <row r="210" spans="1:14" x14ac:dyDescent="0.3">
      <c r="A210">
        <v>2021</v>
      </c>
      <c r="B210" s="159">
        <v>44293</v>
      </c>
      <c r="C210" s="130">
        <v>23.85</v>
      </c>
      <c r="D210" s="130">
        <v>24.42</v>
      </c>
      <c r="E210" s="130">
        <v>23.55</v>
      </c>
      <c r="F210" s="130">
        <v>23.83</v>
      </c>
      <c r="G210" s="160">
        <v>8135000</v>
      </c>
      <c r="H210" s="160">
        <f t="shared" si="3"/>
        <v>193857050</v>
      </c>
      <c r="I210" t="s">
        <v>8830</v>
      </c>
      <c r="J210">
        <v>2021</v>
      </c>
      <c r="K210">
        <v>4</v>
      </c>
      <c r="L210" t="s">
        <v>8897</v>
      </c>
      <c r="M210" t="s">
        <v>1552</v>
      </c>
      <c r="N210" t="s">
        <v>8898</v>
      </c>
    </row>
    <row r="211" spans="1:14" x14ac:dyDescent="0.3">
      <c r="A211">
        <v>2021</v>
      </c>
      <c r="B211" s="159">
        <v>44294</v>
      </c>
      <c r="C211" s="130">
        <v>24.1</v>
      </c>
      <c r="D211" s="130">
        <v>24.44</v>
      </c>
      <c r="E211" s="130">
        <v>23.9</v>
      </c>
      <c r="F211" s="130">
        <v>24.38</v>
      </c>
      <c r="G211" s="160">
        <v>7061000</v>
      </c>
      <c r="H211" s="160">
        <f t="shared" si="3"/>
        <v>172147180</v>
      </c>
      <c r="I211" t="s">
        <v>8830</v>
      </c>
      <c r="J211">
        <v>2021</v>
      </c>
      <c r="K211">
        <v>4</v>
      </c>
      <c r="L211" t="s">
        <v>8897</v>
      </c>
      <c r="M211" t="s">
        <v>1552</v>
      </c>
      <c r="N211" t="s">
        <v>8898</v>
      </c>
    </row>
    <row r="212" spans="1:14" x14ac:dyDescent="0.3">
      <c r="A212">
        <v>2021</v>
      </c>
      <c r="B212" s="159">
        <v>44295</v>
      </c>
      <c r="C212" s="130">
        <v>24.4</v>
      </c>
      <c r="D212" s="130">
        <v>25</v>
      </c>
      <c r="E212" s="130">
        <v>24.4</v>
      </c>
      <c r="F212" s="130">
        <v>24.54</v>
      </c>
      <c r="G212" s="160">
        <v>5994500</v>
      </c>
      <c r="H212" s="160">
        <f t="shared" si="3"/>
        <v>147105030</v>
      </c>
      <c r="I212" t="s">
        <v>8830</v>
      </c>
      <c r="J212">
        <v>2021</v>
      </c>
      <c r="K212">
        <v>4</v>
      </c>
      <c r="L212" t="s">
        <v>8897</v>
      </c>
      <c r="M212" t="s">
        <v>1552</v>
      </c>
      <c r="N212" t="s">
        <v>8898</v>
      </c>
    </row>
    <row r="213" spans="1:14" x14ac:dyDescent="0.3">
      <c r="A213">
        <v>2021</v>
      </c>
      <c r="B213" s="159">
        <v>44298</v>
      </c>
      <c r="C213" s="130">
        <v>24.55</v>
      </c>
      <c r="D213" s="130">
        <v>24.71</v>
      </c>
      <c r="E213" s="130">
        <v>24.1</v>
      </c>
      <c r="F213" s="130">
        <v>24.35</v>
      </c>
      <c r="G213" s="160">
        <v>1530500</v>
      </c>
      <c r="H213" s="160">
        <f t="shared" si="3"/>
        <v>37267675</v>
      </c>
      <c r="I213" t="s">
        <v>8830</v>
      </c>
      <c r="J213">
        <v>2021</v>
      </c>
      <c r="K213">
        <v>4</v>
      </c>
      <c r="L213" t="s">
        <v>8897</v>
      </c>
      <c r="M213" t="s">
        <v>1552</v>
      </c>
      <c r="N213" t="s">
        <v>8898</v>
      </c>
    </row>
    <row r="214" spans="1:14" x14ac:dyDescent="0.3">
      <c r="A214">
        <v>2021</v>
      </c>
      <c r="B214" s="159">
        <v>44299</v>
      </c>
      <c r="C214" s="130">
        <v>24.34</v>
      </c>
      <c r="D214" s="130">
        <v>24.4</v>
      </c>
      <c r="E214" s="130">
        <v>24.02</v>
      </c>
      <c r="F214" s="130">
        <v>24.23</v>
      </c>
      <c r="G214" s="160">
        <v>1092500</v>
      </c>
      <c r="H214" s="160">
        <f t="shared" si="3"/>
        <v>26471275</v>
      </c>
      <c r="I214" t="s">
        <v>8830</v>
      </c>
      <c r="J214">
        <v>2021</v>
      </c>
      <c r="K214">
        <v>4</v>
      </c>
      <c r="L214" t="s">
        <v>8897</v>
      </c>
      <c r="M214" t="s">
        <v>1552</v>
      </c>
      <c r="N214" t="s">
        <v>8898</v>
      </c>
    </row>
    <row r="215" spans="1:14" x14ac:dyDescent="0.3">
      <c r="A215">
        <v>2021</v>
      </c>
      <c r="B215" s="159">
        <v>44300</v>
      </c>
      <c r="C215" s="130">
        <v>24.25</v>
      </c>
      <c r="D215" s="130">
        <v>24.65</v>
      </c>
      <c r="E215" s="130">
        <v>24.2</v>
      </c>
      <c r="F215" s="130">
        <v>24.48</v>
      </c>
      <c r="G215" s="160">
        <v>1397500</v>
      </c>
      <c r="H215" s="160">
        <f t="shared" si="3"/>
        <v>34210800</v>
      </c>
      <c r="I215" t="s">
        <v>8830</v>
      </c>
      <c r="J215">
        <v>2021</v>
      </c>
      <c r="K215">
        <v>4</v>
      </c>
      <c r="L215" t="s">
        <v>8897</v>
      </c>
      <c r="M215" t="s">
        <v>1552</v>
      </c>
      <c r="N215" t="s">
        <v>8898</v>
      </c>
    </row>
    <row r="216" spans="1:14" x14ac:dyDescent="0.3">
      <c r="A216">
        <v>2021</v>
      </c>
      <c r="B216" s="159">
        <v>44301</v>
      </c>
      <c r="C216" s="130">
        <v>24.69</v>
      </c>
      <c r="D216" s="130">
        <v>24.69</v>
      </c>
      <c r="E216" s="130">
        <v>24.05</v>
      </c>
      <c r="F216" s="130">
        <v>24.09</v>
      </c>
      <c r="G216" s="160">
        <v>664000</v>
      </c>
      <c r="H216" s="160">
        <f t="shared" si="3"/>
        <v>15995760</v>
      </c>
      <c r="I216" t="s">
        <v>8830</v>
      </c>
      <c r="J216">
        <v>2021</v>
      </c>
      <c r="K216">
        <v>4</v>
      </c>
      <c r="L216" t="s">
        <v>8897</v>
      </c>
      <c r="M216" t="s">
        <v>1552</v>
      </c>
      <c r="N216" t="s">
        <v>8898</v>
      </c>
    </row>
    <row r="217" spans="1:14" x14ac:dyDescent="0.3">
      <c r="A217">
        <v>2021</v>
      </c>
      <c r="B217" s="159">
        <v>44302</v>
      </c>
      <c r="C217" s="130">
        <v>24.15</v>
      </c>
      <c r="D217" s="130">
        <v>24.25</v>
      </c>
      <c r="E217" s="130">
        <v>23.72</v>
      </c>
      <c r="F217" s="130">
        <v>23.81</v>
      </c>
      <c r="G217" s="160">
        <v>1698500</v>
      </c>
      <c r="H217" s="160">
        <f t="shared" si="3"/>
        <v>40441285</v>
      </c>
      <c r="I217" t="s">
        <v>8830</v>
      </c>
      <c r="J217">
        <v>2021</v>
      </c>
      <c r="K217">
        <v>4</v>
      </c>
      <c r="L217" t="s">
        <v>8897</v>
      </c>
      <c r="M217" t="s">
        <v>1552</v>
      </c>
      <c r="N217" t="s">
        <v>8898</v>
      </c>
    </row>
    <row r="218" spans="1:14" x14ac:dyDescent="0.3">
      <c r="A218">
        <v>2021</v>
      </c>
      <c r="B218" s="159">
        <v>44305</v>
      </c>
      <c r="C218" s="130">
        <v>23.51</v>
      </c>
      <c r="D218" s="130">
        <v>24.2</v>
      </c>
      <c r="E218" s="130">
        <v>23.4</v>
      </c>
      <c r="F218" s="130">
        <v>23.81</v>
      </c>
      <c r="G218" s="160">
        <v>1660000</v>
      </c>
      <c r="H218" s="160">
        <f t="shared" si="3"/>
        <v>39524600</v>
      </c>
      <c r="I218" t="s">
        <v>8830</v>
      </c>
      <c r="J218">
        <v>2021</v>
      </c>
      <c r="K218">
        <v>4</v>
      </c>
      <c r="L218" t="s">
        <v>8897</v>
      </c>
      <c r="M218" t="s">
        <v>1552</v>
      </c>
      <c r="N218" t="s">
        <v>8898</v>
      </c>
    </row>
    <row r="219" spans="1:14" x14ac:dyDescent="0.3">
      <c r="A219">
        <v>2021</v>
      </c>
      <c r="B219" s="159">
        <v>44306</v>
      </c>
      <c r="C219" s="130">
        <v>24.05</v>
      </c>
      <c r="D219" s="130">
        <v>24.35</v>
      </c>
      <c r="E219" s="130">
        <v>23.91</v>
      </c>
      <c r="F219" s="130">
        <v>24.29</v>
      </c>
      <c r="G219" s="160">
        <v>3159000</v>
      </c>
      <c r="H219" s="160">
        <f t="shared" si="3"/>
        <v>76732110</v>
      </c>
      <c r="I219" t="s">
        <v>8830</v>
      </c>
      <c r="J219">
        <v>2021</v>
      </c>
      <c r="K219">
        <v>4</v>
      </c>
      <c r="L219" t="s">
        <v>8897</v>
      </c>
      <c r="M219" t="s">
        <v>1552</v>
      </c>
      <c r="N219" t="s">
        <v>8898</v>
      </c>
    </row>
    <row r="220" spans="1:14" x14ac:dyDescent="0.3">
      <c r="A220">
        <v>2021</v>
      </c>
      <c r="B220" s="159">
        <v>44307</v>
      </c>
      <c r="C220" s="130">
        <v>24.39</v>
      </c>
      <c r="D220" s="130">
        <v>24.39</v>
      </c>
      <c r="E220" s="130">
        <v>23.8</v>
      </c>
      <c r="F220" s="130">
        <v>23.85</v>
      </c>
      <c r="G220" s="160">
        <v>911500</v>
      </c>
      <c r="H220" s="160">
        <f t="shared" si="3"/>
        <v>21739275</v>
      </c>
      <c r="I220" t="s">
        <v>8830</v>
      </c>
      <c r="J220">
        <v>2021</v>
      </c>
      <c r="K220">
        <v>4</v>
      </c>
      <c r="L220" t="s">
        <v>8897</v>
      </c>
      <c r="M220" t="s">
        <v>1552</v>
      </c>
      <c r="N220" t="s">
        <v>8898</v>
      </c>
    </row>
    <row r="221" spans="1:14" x14ac:dyDescent="0.3">
      <c r="A221">
        <v>2021</v>
      </c>
      <c r="B221" s="159">
        <v>44308</v>
      </c>
      <c r="C221" s="130">
        <v>23.75</v>
      </c>
      <c r="D221" s="130">
        <v>24.13</v>
      </c>
      <c r="E221" s="130">
        <v>23.45</v>
      </c>
      <c r="F221" s="130">
        <v>23.52</v>
      </c>
      <c r="G221" s="160">
        <v>833000</v>
      </c>
      <c r="H221" s="160">
        <f t="shared" si="3"/>
        <v>19592160</v>
      </c>
      <c r="I221" t="s">
        <v>8830</v>
      </c>
      <c r="J221">
        <v>2021</v>
      </c>
      <c r="K221">
        <v>4</v>
      </c>
      <c r="L221" t="s">
        <v>8897</v>
      </c>
      <c r="M221" t="s">
        <v>1552</v>
      </c>
      <c r="N221" t="s">
        <v>8898</v>
      </c>
    </row>
    <row r="222" spans="1:14" x14ac:dyDescent="0.3">
      <c r="A222">
        <v>2021</v>
      </c>
      <c r="B222" s="159">
        <v>44309</v>
      </c>
      <c r="C222" s="130">
        <v>23.5</v>
      </c>
      <c r="D222" s="130">
        <v>23.68</v>
      </c>
      <c r="E222" s="130">
        <v>23.06</v>
      </c>
      <c r="F222" s="130">
        <v>23.33</v>
      </c>
      <c r="G222" s="160">
        <v>1789500</v>
      </c>
      <c r="H222" s="160">
        <f t="shared" si="3"/>
        <v>41749035</v>
      </c>
      <c r="I222" t="s">
        <v>8830</v>
      </c>
      <c r="J222">
        <v>2021</v>
      </c>
      <c r="K222">
        <v>4</v>
      </c>
      <c r="L222" t="s">
        <v>8897</v>
      </c>
      <c r="M222" t="s">
        <v>1552</v>
      </c>
      <c r="N222" t="s">
        <v>8898</v>
      </c>
    </row>
    <row r="223" spans="1:14" x14ac:dyDescent="0.3">
      <c r="A223">
        <v>2021</v>
      </c>
      <c r="B223" s="159">
        <v>44312</v>
      </c>
      <c r="C223" s="130">
        <v>23.12</v>
      </c>
      <c r="D223" s="130">
        <v>23.75</v>
      </c>
      <c r="E223" s="130">
        <v>23</v>
      </c>
      <c r="F223" s="130">
        <v>23.25</v>
      </c>
      <c r="G223" s="160">
        <v>3182500</v>
      </c>
      <c r="H223" s="160">
        <f t="shared" si="3"/>
        <v>73993125</v>
      </c>
      <c r="I223" t="s">
        <v>8830</v>
      </c>
      <c r="J223">
        <v>2021</v>
      </c>
      <c r="K223">
        <v>4</v>
      </c>
      <c r="L223" t="s">
        <v>8897</v>
      </c>
      <c r="M223" t="s">
        <v>1552</v>
      </c>
      <c r="N223" t="s">
        <v>8898</v>
      </c>
    </row>
    <row r="224" spans="1:14" x14ac:dyDescent="0.3">
      <c r="A224">
        <v>2021</v>
      </c>
      <c r="B224" s="159">
        <v>44313</v>
      </c>
      <c r="C224" s="130">
        <v>23.39</v>
      </c>
      <c r="D224" s="130">
        <v>23.5</v>
      </c>
      <c r="E224" s="130">
        <v>22.85</v>
      </c>
      <c r="F224" s="130">
        <v>23.05</v>
      </c>
      <c r="G224" s="160">
        <v>2134000</v>
      </c>
      <c r="H224" s="160">
        <f t="shared" si="3"/>
        <v>49188700</v>
      </c>
      <c r="I224" t="s">
        <v>8830</v>
      </c>
      <c r="J224">
        <v>2021</v>
      </c>
      <c r="K224">
        <v>4</v>
      </c>
      <c r="L224" t="s">
        <v>8897</v>
      </c>
      <c r="M224" t="s">
        <v>1552</v>
      </c>
      <c r="N224" t="s">
        <v>8898</v>
      </c>
    </row>
    <row r="225" spans="1:14" x14ac:dyDescent="0.3">
      <c r="A225">
        <v>2021</v>
      </c>
      <c r="B225" s="159">
        <v>44314</v>
      </c>
      <c r="C225" s="130">
        <v>23.15</v>
      </c>
      <c r="D225" s="130">
        <v>23.15</v>
      </c>
      <c r="E225" s="130">
        <v>22.75</v>
      </c>
      <c r="F225" s="130">
        <v>22.96</v>
      </c>
      <c r="G225" s="160">
        <v>2453500</v>
      </c>
      <c r="H225" s="160">
        <f t="shared" si="3"/>
        <v>56332360</v>
      </c>
      <c r="I225" t="s">
        <v>8830</v>
      </c>
      <c r="J225">
        <v>2021</v>
      </c>
      <c r="K225">
        <v>4</v>
      </c>
      <c r="L225" t="s">
        <v>8897</v>
      </c>
      <c r="M225" t="s">
        <v>1552</v>
      </c>
      <c r="N225" t="s">
        <v>8898</v>
      </c>
    </row>
    <row r="226" spans="1:14" x14ac:dyDescent="0.3">
      <c r="A226">
        <v>2021</v>
      </c>
      <c r="B226" s="159">
        <v>44315</v>
      </c>
      <c r="C226" s="130">
        <v>22.96</v>
      </c>
      <c r="D226" s="130">
        <v>23.18</v>
      </c>
      <c r="E226" s="130">
        <v>22.5</v>
      </c>
      <c r="F226" s="130">
        <v>22.61</v>
      </c>
      <c r="G226" s="160">
        <v>2518500</v>
      </c>
      <c r="H226" s="160">
        <f t="shared" si="3"/>
        <v>56943285</v>
      </c>
      <c r="I226" t="s">
        <v>8830</v>
      </c>
      <c r="J226">
        <v>2021</v>
      </c>
      <c r="K226">
        <v>4</v>
      </c>
      <c r="L226" t="s">
        <v>8897</v>
      </c>
      <c r="M226" t="s">
        <v>1552</v>
      </c>
      <c r="N226" t="s">
        <v>8898</v>
      </c>
    </row>
    <row r="227" spans="1:14" x14ac:dyDescent="0.3">
      <c r="A227">
        <v>2021</v>
      </c>
      <c r="B227" s="159">
        <v>44316</v>
      </c>
      <c r="C227" s="130">
        <v>22.66</v>
      </c>
      <c r="D227" s="130">
        <v>23.03</v>
      </c>
      <c r="E227" s="130">
        <v>22.5</v>
      </c>
      <c r="F227" s="130">
        <v>22.85</v>
      </c>
      <c r="G227" s="160">
        <v>2247000</v>
      </c>
      <c r="H227" s="160">
        <f t="shared" si="3"/>
        <v>51343950</v>
      </c>
      <c r="I227" t="s">
        <v>8830</v>
      </c>
      <c r="J227">
        <v>2021</v>
      </c>
      <c r="K227">
        <v>4</v>
      </c>
      <c r="L227" t="s">
        <v>8897</v>
      </c>
      <c r="M227" t="s">
        <v>1552</v>
      </c>
      <c r="N227" t="s">
        <v>8898</v>
      </c>
    </row>
    <row r="228" spans="1:14" x14ac:dyDescent="0.3">
      <c r="A228">
        <v>2021</v>
      </c>
      <c r="B228" s="159">
        <v>44319</v>
      </c>
      <c r="C228" s="130">
        <v>22.7</v>
      </c>
      <c r="D228" s="130">
        <v>23.55</v>
      </c>
      <c r="E228" s="130">
        <v>22.3</v>
      </c>
      <c r="F228" s="130">
        <v>22.61</v>
      </c>
      <c r="G228" s="160">
        <v>6081000</v>
      </c>
      <c r="H228" s="160">
        <f t="shared" si="3"/>
        <v>137491410</v>
      </c>
      <c r="I228" t="s">
        <v>8831</v>
      </c>
      <c r="J228">
        <v>2021</v>
      </c>
      <c r="K228">
        <v>5</v>
      </c>
      <c r="L228" t="s">
        <v>8899</v>
      </c>
      <c r="M228" t="s">
        <v>1552</v>
      </c>
      <c r="N228" t="s">
        <v>8900</v>
      </c>
    </row>
    <row r="229" spans="1:14" x14ac:dyDescent="0.3">
      <c r="A229">
        <v>2021</v>
      </c>
      <c r="B229" s="159">
        <v>44320</v>
      </c>
      <c r="C229" s="130">
        <v>22.7</v>
      </c>
      <c r="D229" s="130">
        <v>22.89</v>
      </c>
      <c r="E229" s="130">
        <v>22.41</v>
      </c>
      <c r="F229" s="130">
        <v>22.67</v>
      </c>
      <c r="G229" s="160">
        <v>461500</v>
      </c>
      <c r="H229" s="160">
        <f t="shared" si="3"/>
        <v>10462205</v>
      </c>
      <c r="I229" t="s">
        <v>8831</v>
      </c>
      <c r="J229">
        <v>2021</v>
      </c>
      <c r="K229">
        <v>5</v>
      </c>
      <c r="L229" t="s">
        <v>8899</v>
      </c>
      <c r="M229" t="s">
        <v>1552</v>
      </c>
      <c r="N229" t="s">
        <v>8900</v>
      </c>
    </row>
    <row r="230" spans="1:14" x14ac:dyDescent="0.3">
      <c r="A230">
        <v>2021</v>
      </c>
      <c r="B230" s="159">
        <v>44321</v>
      </c>
      <c r="C230" s="130">
        <v>23</v>
      </c>
      <c r="D230" s="130">
        <v>23.2</v>
      </c>
      <c r="E230" s="130">
        <v>22.7</v>
      </c>
      <c r="F230" s="130">
        <v>22.79</v>
      </c>
      <c r="G230" s="160">
        <v>720500</v>
      </c>
      <c r="H230" s="160">
        <f t="shared" si="3"/>
        <v>16420195</v>
      </c>
      <c r="I230" t="s">
        <v>8831</v>
      </c>
      <c r="J230">
        <v>2021</v>
      </c>
      <c r="K230">
        <v>5</v>
      </c>
      <c r="L230" t="s">
        <v>8899</v>
      </c>
      <c r="M230" t="s">
        <v>1552</v>
      </c>
      <c r="N230" t="s">
        <v>8900</v>
      </c>
    </row>
    <row r="231" spans="1:14" x14ac:dyDescent="0.3">
      <c r="A231">
        <v>2021</v>
      </c>
      <c r="B231" s="159">
        <v>44322</v>
      </c>
      <c r="C231" s="130">
        <v>22.75</v>
      </c>
      <c r="D231" s="130">
        <v>22.9</v>
      </c>
      <c r="E231" s="130">
        <v>22.6</v>
      </c>
      <c r="F231" s="130">
        <v>22.75</v>
      </c>
      <c r="G231" s="160">
        <v>1118000</v>
      </c>
      <c r="H231" s="160">
        <f t="shared" si="3"/>
        <v>25434500</v>
      </c>
      <c r="I231" t="s">
        <v>8831</v>
      </c>
      <c r="J231">
        <v>2021</v>
      </c>
      <c r="K231">
        <v>5</v>
      </c>
      <c r="L231" t="s">
        <v>8899</v>
      </c>
      <c r="M231" t="s">
        <v>1552</v>
      </c>
      <c r="N231" t="s">
        <v>8900</v>
      </c>
    </row>
    <row r="232" spans="1:14" x14ac:dyDescent="0.3">
      <c r="A232">
        <v>2021</v>
      </c>
      <c r="B232" s="159">
        <v>44333</v>
      </c>
      <c r="C232" s="130">
        <v>23.05</v>
      </c>
      <c r="D232" s="130">
        <v>23.48</v>
      </c>
      <c r="E232" s="130">
        <v>23</v>
      </c>
      <c r="F232" s="130">
        <v>23.34</v>
      </c>
      <c r="G232" s="160">
        <v>2181000</v>
      </c>
      <c r="H232" s="160">
        <f t="shared" si="3"/>
        <v>50904540</v>
      </c>
      <c r="I232" t="s">
        <v>8831</v>
      </c>
      <c r="J232">
        <v>2021</v>
      </c>
      <c r="K232">
        <v>5</v>
      </c>
      <c r="L232" t="s">
        <v>8899</v>
      </c>
      <c r="M232" t="s">
        <v>1552</v>
      </c>
      <c r="N232" t="s">
        <v>8900</v>
      </c>
    </row>
    <row r="233" spans="1:14" x14ac:dyDescent="0.3">
      <c r="A233">
        <v>2021</v>
      </c>
      <c r="B233" s="159">
        <v>44334</v>
      </c>
      <c r="C233" s="130">
        <v>23.35</v>
      </c>
      <c r="D233" s="130">
        <v>23.55</v>
      </c>
      <c r="E233" s="130">
        <v>23.01</v>
      </c>
      <c r="F233" s="130">
        <v>23.46</v>
      </c>
      <c r="G233" s="160">
        <v>4346000</v>
      </c>
      <c r="H233" s="160">
        <f t="shared" si="3"/>
        <v>101957160</v>
      </c>
      <c r="I233" t="s">
        <v>8831</v>
      </c>
      <c r="J233">
        <v>2021</v>
      </c>
      <c r="K233">
        <v>5</v>
      </c>
      <c r="L233" t="s">
        <v>8899</v>
      </c>
      <c r="M233" t="s">
        <v>1552</v>
      </c>
      <c r="N233" t="s">
        <v>8900</v>
      </c>
    </row>
    <row r="234" spans="1:14" x14ac:dyDescent="0.3">
      <c r="A234">
        <v>2021</v>
      </c>
      <c r="B234" s="159">
        <v>44335</v>
      </c>
      <c r="C234" s="130">
        <v>23.2</v>
      </c>
      <c r="D234" s="130">
        <v>23.36</v>
      </c>
      <c r="E234" s="130">
        <v>22.6</v>
      </c>
      <c r="F234" s="130">
        <v>23.08</v>
      </c>
      <c r="G234" s="160">
        <v>4187000</v>
      </c>
      <c r="H234" s="160">
        <f t="shared" si="3"/>
        <v>96635960</v>
      </c>
      <c r="I234" t="s">
        <v>8831</v>
      </c>
      <c r="J234">
        <v>2021</v>
      </c>
      <c r="K234">
        <v>5</v>
      </c>
      <c r="L234" t="s">
        <v>8899</v>
      </c>
      <c r="M234" t="s">
        <v>1552</v>
      </c>
      <c r="N234" t="s">
        <v>8900</v>
      </c>
    </row>
    <row r="235" spans="1:14" x14ac:dyDescent="0.3">
      <c r="A235">
        <v>2021</v>
      </c>
      <c r="B235" s="159">
        <v>44336</v>
      </c>
      <c r="C235" s="130">
        <v>23.19</v>
      </c>
      <c r="D235" s="130">
        <v>23.49</v>
      </c>
      <c r="E235" s="130">
        <v>23.19</v>
      </c>
      <c r="F235" s="130">
        <v>23.33</v>
      </c>
      <c r="G235" s="160">
        <v>1272500</v>
      </c>
      <c r="H235" s="160">
        <f t="shared" si="3"/>
        <v>29687424.999999996</v>
      </c>
      <c r="I235" t="s">
        <v>8831</v>
      </c>
      <c r="J235">
        <v>2021</v>
      </c>
      <c r="K235">
        <v>5</v>
      </c>
      <c r="L235" t="s">
        <v>8899</v>
      </c>
      <c r="M235" t="s">
        <v>1552</v>
      </c>
      <c r="N235" t="s">
        <v>8900</v>
      </c>
    </row>
    <row r="236" spans="1:14" x14ac:dyDescent="0.3">
      <c r="A236">
        <v>2021</v>
      </c>
      <c r="B236" s="159">
        <v>44337</v>
      </c>
      <c r="C236" s="130">
        <v>23.3</v>
      </c>
      <c r="D236" s="130">
        <v>24.2</v>
      </c>
      <c r="E236" s="130">
        <v>23.1</v>
      </c>
      <c r="F236" s="130">
        <v>23.7</v>
      </c>
      <c r="G236" s="160">
        <v>3247500</v>
      </c>
      <c r="H236" s="160">
        <f t="shared" si="3"/>
        <v>76965750</v>
      </c>
      <c r="I236" t="s">
        <v>8831</v>
      </c>
      <c r="J236">
        <v>2021</v>
      </c>
      <c r="K236">
        <v>5</v>
      </c>
      <c r="L236" t="s">
        <v>8899</v>
      </c>
      <c r="M236" t="s">
        <v>1552</v>
      </c>
      <c r="N236" t="s">
        <v>8900</v>
      </c>
    </row>
    <row r="237" spans="1:14" x14ac:dyDescent="0.3">
      <c r="A237">
        <v>2021</v>
      </c>
      <c r="B237" s="159">
        <v>44340</v>
      </c>
      <c r="C237" s="130">
        <v>24</v>
      </c>
      <c r="D237" s="130">
        <v>24.38</v>
      </c>
      <c r="E237" s="130">
        <v>23.5</v>
      </c>
      <c r="F237" s="130">
        <v>24.01</v>
      </c>
      <c r="G237" s="160">
        <v>6201000</v>
      </c>
      <c r="H237" s="160">
        <f t="shared" si="3"/>
        <v>148886010</v>
      </c>
      <c r="I237" t="s">
        <v>8831</v>
      </c>
      <c r="J237">
        <v>2021</v>
      </c>
      <c r="K237">
        <v>5</v>
      </c>
      <c r="L237" t="s">
        <v>8899</v>
      </c>
      <c r="M237" t="s">
        <v>1552</v>
      </c>
      <c r="N237" t="s">
        <v>8900</v>
      </c>
    </row>
    <row r="238" spans="1:14" x14ac:dyDescent="0.3">
      <c r="A238">
        <v>2021</v>
      </c>
      <c r="B238" s="159">
        <v>44341</v>
      </c>
      <c r="C238" s="130">
        <v>24.25</v>
      </c>
      <c r="D238" s="130">
        <v>24.6</v>
      </c>
      <c r="E238" s="130">
        <v>24.06</v>
      </c>
      <c r="F238" s="130">
        <v>24.3</v>
      </c>
      <c r="G238" s="160">
        <v>4182000</v>
      </c>
      <c r="H238" s="160">
        <f t="shared" si="3"/>
        <v>101622600</v>
      </c>
      <c r="I238" t="s">
        <v>8831</v>
      </c>
      <c r="J238">
        <v>2021</v>
      </c>
      <c r="K238">
        <v>5</v>
      </c>
      <c r="L238" t="s">
        <v>8899</v>
      </c>
      <c r="M238" t="s">
        <v>1552</v>
      </c>
      <c r="N238" t="s">
        <v>8900</v>
      </c>
    </row>
    <row r="239" spans="1:14" x14ac:dyDescent="0.3">
      <c r="A239">
        <v>2021</v>
      </c>
      <c r="B239" s="159">
        <v>44342</v>
      </c>
      <c r="C239" s="130">
        <v>24.31</v>
      </c>
      <c r="D239" s="130">
        <v>24.58</v>
      </c>
      <c r="E239" s="130">
        <v>23.7</v>
      </c>
      <c r="F239" s="130">
        <v>23.79</v>
      </c>
      <c r="G239" s="160">
        <v>3979500</v>
      </c>
      <c r="H239" s="160">
        <f t="shared" si="3"/>
        <v>94672305</v>
      </c>
      <c r="I239" t="s">
        <v>8831</v>
      </c>
      <c r="J239">
        <v>2021</v>
      </c>
      <c r="K239">
        <v>5</v>
      </c>
      <c r="L239" t="s">
        <v>8899</v>
      </c>
      <c r="M239" t="s">
        <v>1552</v>
      </c>
      <c r="N239" t="s">
        <v>8900</v>
      </c>
    </row>
    <row r="240" spans="1:14" x14ac:dyDescent="0.3">
      <c r="A240">
        <v>2021</v>
      </c>
      <c r="B240" s="159">
        <v>44343</v>
      </c>
      <c r="C240" s="130">
        <v>23.9</v>
      </c>
      <c r="D240" s="130">
        <v>24.05</v>
      </c>
      <c r="E240" s="130">
        <v>23.35</v>
      </c>
      <c r="F240" s="130">
        <v>23.49</v>
      </c>
      <c r="G240" s="160">
        <v>4768500</v>
      </c>
      <c r="H240" s="160">
        <f t="shared" si="3"/>
        <v>112012065</v>
      </c>
      <c r="I240" t="s">
        <v>8831</v>
      </c>
      <c r="J240">
        <v>2021</v>
      </c>
      <c r="K240">
        <v>5</v>
      </c>
      <c r="L240" t="s">
        <v>8899</v>
      </c>
      <c r="M240" t="s">
        <v>1552</v>
      </c>
      <c r="N240" t="s">
        <v>8900</v>
      </c>
    </row>
    <row r="241" spans="1:14" x14ac:dyDescent="0.3">
      <c r="A241">
        <v>2021</v>
      </c>
      <c r="B241" s="159">
        <v>44344</v>
      </c>
      <c r="C241" s="130">
        <v>23.5</v>
      </c>
      <c r="D241" s="130">
        <v>23.65</v>
      </c>
      <c r="E241" s="130">
        <v>23.3</v>
      </c>
      <c r="F241" s="130">
        <v>23.4</v>
      </c>
      <c r="G241" s="160">
        <v>1803500</v>
      </c>
      <c r="H241" s="160">
        <f t="shared" si="3"/>
        <v>42201900</v>
      </c>
      <c r="I241" t="s">
        <v>8831</v>
      </c>
      <c r="J241">
        <v>2021</v>
      </c>
      <c r="K241">
        <v>5</v>
      </c>
      <c r="L241" t="s">
        <v>8899</v>
      </c>
      <c r="M241" t="s">
        <v>1552</v>
      </c>
      <c r="N241" t="s">
        <v>8900</v>
      </c>
    </row>
    <row r="242" spans="1:14" x14ac:dyDescent="0.3">
      <c r="A242">
        <v>2021</v>
      </c>
      <c r="B242" s="159">
        <v>44347</v>
      </c>
      <c r="C242" s="130">
        <v>23.6</v>
      </c>
      <c r="D242" s="130">
        <v>24.85</v>
      </c>
      <c r="E242" s="130">
        <v>23.6</v>
      </c>
      <c r="F242" s="130">
        <v>24.52</v>
      </c>
      <c r="G242" s="160">
        <v>13878500</v>
      </c>
      <c r="H242" s="160">
        <f t="shared" si="3"/>
        <v>340300820</v>
      </c>
      <c r="I242" t="s">
        <v>8831</v>
      </c>
      <c r="J242">
        <v>2021</v>
      </c>
      <c r="K242">
        <v>5</v>
      </c>
      <c r="L242" t="s">
        <v>8899</v>
      </c>
      <c r="M242" t="s">
        <v>1552</v>
      </c>
      <c r="N242" t="s">
        <v>8900</v>
      </c>
    </row>
    <row r="243" spans="1:14" x14ac:dyDescent="0.3">
      <c r="A243">
        <v>2021</v>
      </c>
      <c r="B243" s="159">
        <v>44348</v>
      </c>
      <c r="C243" s="130">
        <v>24.59</v>
      </c>
      <c r="D243" s="130">
        <v>24.79</v>
      </c>
      <c r="E243" s="130">
        <v>23.95</v>
      </c>
      <c r="F243" s="130">
        <v>24.06</v>
      </c>
      <c r="G243" s="160">
        <v>8524000</v>
      </c>
      <c r="H243" s="160">
        <f t="shared" si="3"/>
        <v>205087440</v>
      </c>
      <c r="I243" t="s">
        <v>8832</v>
      </c>
      <c r="J243">
        <v>2021</v>
      </c>
      <c r="K243">
        <v>6</v>
      </c>
      <c r="L243" t="s">
        <v>8901</v>
      </c>
      <c r="M243" t="s">
        <v>1552</v>
      </c>
      <c r="N243" t="s">
        <v>8902</v>
      </c>
    </row>
    <row r="244" spans="1:14" x14ac:dyDescent="0.3">
      <c r="A244">
        <v>2021</v>
      </c>
      <c r="B244" s="159">
        <v>44349</v>
      </c>
      <c r="C244" s="130">
        <v>24.1</v>
      </c>
      <c r="D244" s="130">
        <v>24.4</v>
      </c>
      <c r="E244" s="130">
        <v>23.82</v>
      </c>
      <c r="F244" s="130">
        <v>23.96</v>
      </c>
      <c r="G244" s="160">
        <v>3284500</v>
      </c>
      <c r="H244" s="160">
        <f t="shared" si="3"/>
        <v>78696620</v>
      </c>
      <c r="I244" t="s">
        <v>8832</v>
      </c>
      <c r="J244">
        <v>2021</v>
      </c>
      <c r="K244">
        <v>6</v>
      </c>
      <c r="L244" t="s">
        <v>8901</v>
      </c>
      <c r="M244" t="s">
        <v>1552</v>
      </c>
      <c r="N244" t="s">
        <v>8902</v>
      </c>
    </row>
    <row r="245" spans="1:14" x14ac:dyDescent="0.3">
      <c r="A245">
        <v>2021</v>
      </c>
      <c r="B245" s="159">
        <v>44350</v>
      </c>
      <c r="C245" s="130">
        <v>23.96</v>
      </c>
      <c r="D245" s="130">
        <v>24.33</v>
      </c>
      <c r="E245" s="130">
        <v>23.89</v>
      </c>
      <c r="F245" s="130">
        <v>24.09</v>
      </c>
      <c r="G245" s="160">
        <v>6169000</v>
      </c>
      <c r="H245" s="160">
        <f t="shared" si="3"/>
        <v>148611210</v>
      </c>
      <c r="I245" t="s">
        <v>8832</v>
      </c>
      <c r="J245">
        <v>2021</v>
      </c>
      <c r="K245">
        <v>6</v>
      </c>
      <c r="L245" t="s">
        <v>8901</v>
      </c>
      <c r="M245" t="s">
        <v>1552</v>
      </c>
      <c r="N245" t="s">
        <v>8902</v>
      </c>
    </row>
    <row r="246" spans="1:14" x14ac:dyDescent="0.3">
      <c r="A246">
        <v>2021</v>
      </c>
      <c r="B246" s="159">
        <v>44351</v>
      </c>
      <c r="C246" s="130">
        <v>24.15</v>
      </c>
      <c r="D246" s="130">
        <v>24.29</v>
      </c>
      <c r="E246" s="130">
        <v>23.85</v>
      </c>
      <c r="F246" s="130">
        <v>24.05</v>
      </c>
      <c r="G246" s="160">
        <v>2106500</v>
      </c>
      <c r="H246" s="160">
        <f t="shared" si="3"/>
        <v>50661325</v>
      </c>
      <c r="I246" t="s">
        <v>8832</v>
      </c>
      <c r="J246">
        <v>2021</v>
      </c>
      <c r="K246">
        <v>6</v>
      </c>
      <c r="L246" t="s">
        <v>8901</v>
      </c>
      <c r="M246" t="s">
        <v>1552</v>
      </c>
      <c r="N246" t="s">
        <v>8902</v>
      </c>
    </row>
    <row r="247" spans="1:14" x14ac:dyDescent="0.3">
      <c r="A247">
        <v>2021</v>
      </c>
      <c r="B247" s="159">
        <v>44354</v>
      </c>
      <c r="C247" s="130">
        <v>24.18</v>
      </c>
      <c r="D247" s="130">
        <v>24.44</v>
      </c>
      <c r="E247" s="130">
        <v>23.95</v>
      </c>
      <c r="F247" s="130">
        <v>24.11</v>
      </c>
      <c r="G247" s="160">
        <v>5623000</v>
      </c>
      <c r="H247" s="160">
        <f t="shared" si="3"/>
        <v>135570530</v>
      </c>
      <c r="I247" t="s">
        <v>8832</v>
      </c>
      <c r="J247">
        <v>2021</v>
      </c>
      <c r="K247">
        <v>6</v>
      </c>
      <c r="L247" t="s">
        <v>8901</v>
      </c>
      <c r="M247" t="s">
        <v>1552</v>
      </c>
      <c r="N247" t="s">
        <v>8902</v>
      </c>
    </row>
    <row r="248" spans="1:14" x14ac:dyDescent="0.3">
      <c r="A248">
        <v>2021</v>
      </c>
      <c r="B248" s="159">
        <v>44355</v>
      </c>
      <c r="C248" s="130">
        <v>24.1</v>
      </c>
      <c r="D248" s="130">
        <v>24.35</v>
      </c>
      <c r="E248" s="130">
        <v>23.81</v>
      </c>
      <c r="F248" s="130">
        <v>23.93</v>
      </c>
      <c r="G248" s="160">
        <v>3361500</v>
      </c>
      <c r="H248" s="160">
        <f t="shared" si="3"/>
        <v>80440695</v>
      </c>
      <c r="I248" t="s">
        <v>8832</v>
      </c>
      <c r="J248">
        <v>2021</v>
      </c>
      <c r="K248">
        <v>6</v>
      </c>
      <c r="L248" t="s">
        <v>8901</v>
      </c>
      <c r="M248" t="s">
        <v>1552</v>
      </c>
      <c r="N248" t="s">
        <v>8902</v>
      </c>
    </row>
    <row r="249" spans="1:14" x14ac:dyDescent="0.3">
      <c r="A249">
        <v>2021</v>
      </c>
      <c r="B249" s="159">
        <v>44356</v>
      </c>
      <c r="C249" s="130">
        <v>24.05</v>
      </c>
      <c r="D249" s="130">
        <v>24.14</v>
      </c>
      <c r="E249" s="130">
        <v>23.7</v>
      </c>
      <c r="F249" s="130">
        <v>23.75</v>
      </c>
      <c r="G249" s="160">
        <v>2449500</v>
      </c>
      <c r="H249" s="160">
        <f t="shared" si="3"/>
        <v>58175625</v>
      </c>
      <c r="I249" t="s">
        <v>8832</v>
      </c>
      <c r="J249">
        <v>2021</v>
      </c>
      <c r="K249">
        <v>6</v>
      </c>
      <c r="L249" t="s">
        <v>8901</v>
      </c>
      <c r="M249" t="s">
        <v>1552</v>
      </c>
      <c r="N249" t="s">
        <v>8902</v>
      </c>
    </row>
    <row r="250" spans="1:14" x14ac:dyDescent="0.3">
      <c r="A250">
        <v>2021</v>
      </c>
      <c r="B250" s="159">
        <v>44357</v>
      </c>
      <c r="C250" s="130">
        <v>23.7</v>
      </c>
      <c r="D250" s="130">
        <v>24.19</v>
      </c>
      <c r="E250" s="130">
        <v>23.7</v>
      </c>
      <c r="F250" s="130">
        <v>24.08</v>
      </c>
      <c r="G250" s="160">
        <v>3877000</v>
      </c>
      <c r="H250" s="160">
        <f t="shared" si="3"/>
        <v>93358160</v>
      </c>
      <c r="I250" t="s">
        <v>8832</v>
      </c>
      <c r="J250">
        <v>2021</v>
      </c>
      <c r="K250">
        <v>6</v>
      </c>
      <c r="L250" t="s">
        <v>8901</v>
      </c>
      <c r="M250" t="s">
        <v>1552</v>
      </c>
      <c r="N250" t="s">
        <v>8902</v>
      </c>
    </row>
    <row r="251" spans="1:14" x14ac:dyDescent="0.3">
      <c r="A251">
        <v>2021</v>
      </c>
      <c r="B251" s="159">
        <v>44358</v>
      </c>
      <c r="C251" s="130">
        <v>24</v>
      </c>
      <c r="D251" s="130">
        <v>24.33</v>
      </c>
      <c r="E251" s="130">
        <v>23.95</v>
      </c>
      <c r="F251" s="130">
        <v>24.03</v>
      </c>
      <c r="G251" s="160">
        <v>3101000</v>
      </c>
      <c r="H251" s="160">
        <f t="shared" si="3"/>
        <v>74517030</v>
      </c>
      <c r="I251" t="s">
        <v>8832</v>
      </c>
      <c r="J251">
        <v>2021</v>
      </c>
      <c r="K251">
        <v>6</v>
      </c>
      <c r="L251" t="s">
        <v>8901</v>
      </c>
      <c r="M251" t="s">
        <v>1552</v>
      </c>
      <c r="N251" t="s">
        <v>8902</v>
      </c>
    </row>
    <row r="252" spans="1:14" x14ac:dyDescent="0.3">
      <c r="A252">
        <v>2021</v>
      </c>
      <c r="B252" s="159">
        <v>44361</v>
      </c>
      <c r="C252" s="130">
        <v>24.31</v>
      </c>
      <c r="D252" s="130">
        <v>24.5</v>
      </c>
      <c r="E252" s="130">
        <v>23.78</v>
      </c>
      <c r="F252" s="130">
        <v>24.39</v>
      </c>
      <c r="G252" s="160">
        <v>5727500</v>
      </c>
      <c r="H252" s="160">
        <f t="shared" si="3"/>
        <v>139693725</v>
      </c>
      <c r="I252" t="s">
        <v>8832</v>
      </c>
      <c r="J252">
        <v>2021</v>
      </c>
      <c r="K252">
        <v>6</v>
      </c>
      <c r="L252" t="s">
        <v>8901</v>
      </c>
      <c r="M252" t="s">
        <v>1552</v>
      </c>
      <c r="N252" t="s">
        <v>8902</v>
      </c>
    </row>
    <row r="253" spans="1:14" x14ac:dyDescent="0.3">
      <c r="A253">
        <v>2021</v>
      </c>
      <c r="B253" s="159">
        <v>44362</v>
      </c>
      <c r="C253" s="130">
        <v>24.31</v>
      </c>
      <c r="D253" s="130">
        <v>25.1</v>
      </c>
      <c r="E253" s="130">
        <v>24.2</v>
      </c>
      <c r="F253" s="130">
        <v>24.4</v>
      </c>
      <c r="G253" s="160">
        <v>10766500</v>
      </c>
      <c r="H253" s="160">
        <f t="shared" si="3"/>
        <v>262702599.99999997</v>
      </c>
      <c r="I253" t="s">
        <v>8832</v>
      </c>
      <c r="J253">
        <v>2021</v>
      </c>
      <c r="K253">
        <v>6</v>
      </c>
      <c r="L253" t="s">
        <v>8901</v>
      </c>
      <c r="M253" t="s">
        <v>1552</v>
      </c>
      <c r="N253" t="s">
        <v>8902</v>
      </c>
    </row>
    <row r="254" spans="1:14" x14ac:dyDescent="0.3">
      <c r="A254">
        <v>2021</v>
      </c>
      <c r="B254" s="159">
        <v>44363</v>
      </c>
      <c r="C254" s="130">
        <v>24.45</v>
      </c>
      <c r="D254" s="130">
        <v>24.6</v>
      </c>
      <c r="E254" s="130">
        <v>24.04</v>
      </c>
      <c r="F254" s="130">
        <v>24.07</v>
      </c>
      <c r="G254" s="160">
        <v>1108000</v>
      </c>
      <c r="H254" s="160">
        <f t="shared" si="3"/>
        <v>26669560</v>
      </c>
      <c r="I254" t="s">
        <v>8832</v>
      </c>
      <c r="J254">
        <v>2021</v>
      </c>
      <c r="K254">
        <v>6</v>
      </c>
      <c r="L254" t="s">
        <v>8901</v>
      </c>
      <c r="M254" t="s">
        <v>1552</v>
      </c>
      <c r="N254" t="s">
        <v>8902</v>
      </c>
    </row>
    <row r="255" spans="1:14" x14ac:dyDescent="0.3">
      <c r="A255">
        <v>2021</v>
      </c>
      <c r="B255" s="159">
        <v>44364</v>
      </c>
      <c r="C255" s="130">
        <v>24.1</v>
      </c>
      <c r="D255" s="130">
        <v>24.25</v>
      </c>
      <c r="E255" s="130">
        <v>23.9</v>
      </c>
      <c r="F255" s="130">
        <v>24.05</v>
      </c>
      <c r="G255" s="160">
        <v>1952000</v>
      </c>
      <c r="H255" s="160">
        <f t="shared" si="3"/>
        <v>46945600</v>
      </c>
      <c r="I255" t="s">
        <v>8832</v>
      </c>
      <c r="J255">
        <v>2021</v>
      </c>
      <c r="K255">
        <v>6</v>
      </c>
      <c r="L255" t="s">
        <v>8901</v>
      </c>
      <c r="M255" t="s">
        <v>1552</v>
      </c>
      <c r="N255" t="s">
        <v>8902</v>
      </c>
    </row>
    <row r="256" spans="1:14" x14ac:dyDescent="0.3">
      <c r="A256">
        <v>2021</v>
      </c>
      <c r="B256" s="159">
        <v>44365</v>
      </c>
      <c r="C256" s="130">
        <v>24.01</v>
      </c>
      <c r="D256" s="130">
        <v>24.25</v>
      </c>
      <c r="E256" s="130">
        <v>23.85</v>
      </c>
      <c r="F256" s="130">
        <v>24.15</v>
      </c>
      <c r="G256" s="160">
        <v>1484500</v>
      </c>
      <c r="H256" s="160">
        <f t="shared" si="3"/>
        <v>35850675</v>
      </c>
      <c r="I256" t="s">
        <v>8832</v>
      </c>
      <c r="J256">
        <v>2021</v>
      </c>
      <c r="K256">
        <v>6</v>
      </c>
      <c r="L256" t="s">
        <v>8901</v>
      </c>
      <c r="M256" t="s">
        <v>1552</v>
      </c>
      <c r="N256" t="s">
        <v>8902</v>
      </c>
    </row>
    <row r="257" spans="1:14" x14ac:dyDescent="0.3">
      <c r="A257">
        <v>2021</v>
      </c>
      <c r="B257" s="159">
        <v>44368</v>
      </c>
      <c r="C257" s="130">
        <v>24.01</v>
      </c>
      <c r="D257" s="130">
        <v>24.3</v>
      </c>
      <c r="E257" s="130">
        <v>23.8</v>
      </c>
      <c r="F257" s="130">
        <v>23.85</v>
      </c>
      <c r="G257" s="160">
        <v>1277000</v>
      </c>
      <c r="H257" s="160">
        <f t="shared" si="3"/>
        <v>30456450</v>
      </c>
      <c r="I257" t="s">
        <v>8832</v>
      </c>
      <c r="J257">
        <v>2021</v>
      </c>
      <c r="K257">
        <v>6</v>
      </c>
      <c r="L257" t="s">
        <v>8901</v>
      </c>
      <c r="M257" t="s">
        <v>1552</v>
      </c>
      <c r="N257" t="s">
        <v>8902</v>
      </c>
    </row>
    <row r="258" spans="1:14" x14ac:dyDescent="0.3">
      <c r="A258">
        <v>2021</v>
      </c>
      <c r="B258" s="159">
        <v>44369</v>
      </c>
      <c r="C258" s="130">
        <v>24.09</v>
      </c>
      <c r="D258" s="130">
        <v>24.15</v>
      </c>
      <c r="E258" s="130">
        <v>23.77</v>
      </c>
      <c r="F258" s="130">
        <v>23.83</v>
      </c>
      <c r="G258" s="160">
        <v>1905000</v>
      </c>
      <c r="H258" s="160">
        <f t="shared" si="3"/>
        <v>45396150</v>
      </c>
      <c r="I258" t="s">
        <v>8832</v>
      </c>
      <c r="J258">
        <v>2021</v>
      </c>
      <c r="K258">
        <v>6</v>
      </c>
      <c r="L258" t="s">
        <v>8901</v>
      </c>
      <c r="M258" t="s">
        <v>1552</v>
      </c>
      <c r="N258" t="s">
        <v>8902</v>
      </c>
    </row>
    <row r="259" spans="1:14" x14ac:dyDescent="0.3">
      <c r="A259">
        <v>2021</v>
      </c>
      <c r="B259" s="159">
        <v>44370</v>
      </c>
      <c r="C259" s="130">
        <v>23.72</v>
      </c>
      <c r="D259" s="130">
        <v>23.93</v>
      </c>
      <c r="E259" s="130">
        <v>23.5</v>
      </c>
      <c r="F259" s="130">
        <v>23.57</v>
      </c>
      <c r="G259" s="160">
        <v>1789500</v>
      </c>
      <c r="H259" s="160">
        <f t="shared" si="3"/>
        <v>42178515</v>
      </c>
      <c r="I259" t="s">
        <v>8832</v>
      </c>
      <c r="J259">
        <v>2021</v>
      </c>
      <c r="K259">
        <v>6</v>
      </c>
      <c r="L259" t="s">
        <v>8901</v>
      </c>
      <c r="M259" t="s">
        <v>1552</v>
      </c>
      <c r="N259" t="s">
        <v>8902</v>
      </c>
    </row>
    <row r="260" spans="1:14" x14ac:dyDescent="0.3">
      <c r="A260">
        <v>2021</v>
      </c>
      <c r="B260" s="159">
        <v>44371</v>
      </c>
      <c r="C260" s="130">
        <v>23.69</v>
      </c>
      <c r="D260" s="130">
        <v>23.8</v>
      </c>
      <c r="E260" s="130">
        <v>23.5</v>
      </c>
      <c r="F260" s="130">
        <v>23.57</v>
      </c>
      <c r="G260" s="160">
        <v>1595000</v>
      </c>
      <c r="H260" s="160">
        <f t="shared" si="3"/>
        <v>37594150</v>
      </c>
      <c r="I260" t="s">
        <v>8832</v>
      </c>
      <c r="J260">
        <v>2021</v>
      </c>
      <c r="K260">
        <v>6</v>
      </c>
      <c r="L260" t="s">
        <v>8901</v>
      </c>
      <c r="M260" t="s">
        <v>1552</v>
      </c>
      <c r="N260" t="s">
        <v>8902</v>
      </c>
    </row>
    <row r="261" spans="1:14" x14ac:dyDescent="0.3">
      <c r="A261">
        <v>2021</v>
      </c>
      <c r="B261" s="159">
        <v>44372</v>
      </c>
      <c r="C261" s="130">
        <v>23.53</v>
      </c>
      <c r="D261" s="130">
        <v>23.8</v>
      </c>
      <c r="E261" s="130">
        <v>23.02</v>
      </c>
      <c r="F261" s="130">
        <v>23.21</v>
      </c>
      <c r="G261" s="160">
        <v>2956000</v>
      </c>
      <c r="H261" s="160">
        <f t="shared" si="3"/>
        <v>68608760</v>
      </c>
      <c r="I261" t="s">
        <v>8832</v>
      </c>
      <c r="J261">
        <v>2021</v>
      </c>
      <c r="K261">
        <v>6</v>
      </c>
      <c r="L261" t="s">
        <v>8901</v>
      </c>
      <c r="M261" t="s">
        <v>1552</v>
      </c>
      <c r="N261" t="s">
        <v>8902</v>
      </c>
    </row>
    <row r="262" spans="1:14" x14ac:dyDescent="0.3">
      <c r="A262">
        <v>2021</v>
      </c>
      <c r="B262" s="159">
        <v>44375</v>
      </c>
      <c r="C262" s="130">
        <v>23.29</v>
      </c>
      <c r="D262" s="130">
        <v>23.29</v>
      </c>
      <c r="E262" s="130">
        <v>22.81</v>
      </c>
      <c r="F262" s="130">
        <v>22.94</v>
      </c>
      <c r="G262" s="160">
        <v>2987000</v>
      </c>
      <c r="H262" s="160">
        <f t="shared" si="3"/>
        <v>68521780</v>
      </c>
      <c r="I262" t="s">
        <v>8832</v>
      </c>
      <c r="J262">
        <v>2021</v>
      </c>
      <c r="K262">
        <v>6</v>
      </c>
      <c r="L262" t="s">
        <v>8901</v>
      </c>
      <c r="M262" t="s">
        <v>1552</v>
      </c>
      <c r="N262" t="s">
        <v>8902</v>
      </c>
    </row>
    <row r="263" spans="1:14" x14ac:dyDescent="0.3">
      <c r="A263">
        <v>2021</v>
      </c>
      <c r="B263" s="159">
        <v>44376</v>
      </c>
      <c r="C263" s="130">
        <v>22.85</v>
      </c>
      <c r="D263" s="130">
        <v>23.2</v>
      </c>
      <c r="E263" s="130">
        <v>22.76</v>
      </c>
      <c r="F263" s="130">
        <v>22.81</v>
      </c>
      <c r="G263" s="160">
        <v>1248500</v>
      </c>
      <c r="H263" s="160">
        <f t="shared" si="3"/>
        <v>28478285</v>
      </c>
      <c r="I263" t="s">
        <v>8832</v>
      </c>
      <c r="J263">
        <v>2021</v>
      </c>
      <c r="K263">
        <v>6</v>
      </c>
      <c r="L263" t="s">
        <v>8901</v>
      </c>
      <c r="M263" t="s">
        <v>1552</v>
      </c>
      <c r="N263" t="s">
        <v>8902</v>
      </c>
    </row>
    <row r="264" spans="1:14" x14ac:dyDescent="0.3">
      <c r="A264">
        <v>2021</v>
      </c>
      <c r="B264" s="159">
        <v>44377</v>
      </c>
      <c r="C264" s="130">
        <v>22.9</v>
      </c>
      <c r="D264" s="130">
        <v>23.2</v>
      </c>
      <c r="E264" s="130">
        <v>22.8</v>
      </c>
      <c r="F264" s="130">
        <v>23</v>
      </c>
      <c r="G264" s="160">
        <v>1157000</v>
      </c>
      <c r="H264" s="160">
        <f t="shared" si="3"/>
        <v>26611000</v>
      </c>
      <c r="I264" t="s">
        <v>8832</v>
      </c>
      <c r="J264">
        <v>2021</v>
      </c>
      <c r="K264">
        <v>6</v>
      </c>
      <c r="L264" t="s">
        <v>8901</v>
      </c>
      <c r="M264" t="s">
        <v>1552</v>
      </c>
      <c r="N264" t="s">
        <v>8902</v>
      </c>
    </row>
    <row r="265" spans="1:14" x14ac:dyDescent="0.3">
      <c r="A265">
        <v>2022</v>
      </c>
      <c r="B265" s="159">
        <v>44378</v>
      </c>
      <c r="C265" s="130">
        <v>23.19</v>
      </c>
      <c r="D265" s="130">
        <v>23.65</v>
      </c>
      <c r="E265" s="130">
        <v>23.11</v>
      </c>
      <c r="F265" s="130">
        <v>23.24</v>
      </c>
      <c r="G265" s="160">
        <v>1826000</v>
      </c>
      <c r="H265" s="160">
        <f t="shared" si="3"/>
        <v>42436240</v>
      </c>
      <c r="I265" t="s">
        <v>8833</v>
      </c>
      <c r="J265">
        <v>2021</v>
      </c>
      <c r="K265">
        <v>7</v>
      </c>
      <c r="L265" t="s">
        <v>8903</v>
      </c>
      <c r="M265" t="s">
        <v>1552</v>
      </c>
      <c r="N265" t="s">
        <v>8904</v>
      </c>
    </row>
    <row r="266" spans="1:14" x14ac:dyDescent="0.3">
      <c r="A266">
        <v>2022</v>
      </c>
      <c r="B266" s="159">
        <v>44379</v>
      </c>
      <c r="C266" s="130">
        <v>23.35</v>
      </c>
      <c r="D266" s="130">
        <v>23.45</v>
      </c>
      <c r="E266" s="130">
        <v>22.91</v>
      </c>
      <c r="F266" s="130">
        <v>22.99</v>
      </c>
      <c r="G266" s="160">
        <v>975500</v>
      </c>
      <c r="H266" s="160">
        <f t="shared" si="3"/>
        <v>22426745</v>
      </c>
      <c r="I266" t="s">
        <v>8833</v>
      </c>
      <c r="J266">
        <v>2021</v>
      </c>
      <c r="K266">
        <v>7</v>
      </c>
      <c r="L266" t="s">
        <v>8903</v>
      </c>
      <c r="M266" t="s">
        <v>1552</v>
      </c>
      <c r="N266" t="s">
        <v>8904</v>
      </c>
    </row>
    <row r="267" spans="1:14" x14ac:dyDescent="0.3">
      <c r="A267">
        <v>2022</v>
      </c>
      <c r="B267" s="159">
        <v>44382</v>
      </c>
      <c r="C267" s="130">
        <v>23.01</v>
      </c>
      <c r="D267" s="130">
        <v>23.08</v>
      </c>
      <c r="E267" s="130">
        <v>22.51</v>
      </c>
      <c r="F267" s="130">
        <v>22.59</v>
      </c>
      <c r="G267" s="160">
        <v>2126500</v>
      </c>
      <c r="H267" s="160">
        <f t="shared" si="3"/>
        <v>48037635</v>
      </c>
      <c r="I267" t="s">
        <v>8833</v>
      </c>
      <c r="J267">
        <v>2021</v>
      </c>
      <c r="K267">
        <v>7</v>
      </c>
      <c r="L267" t="s">
        <v>8903</v>
      </c>
      <c r="M267" t="s">
        <v>1552</v>
      </c>
      <c r="N267" t="s">
        <v>8904</v>
      </c>
    </row>
    <row r="268" spans="1:14" x14ac:dyDescent="0.3">
      <c r="A268">
        <v>2022</v>
      </c>
      <c r="B268" s="159">
        <v>44383</v>
      </c>
      <c r="C268" s="130">
        <v>22.51</v>
      </c>
      <c r="D268" s="130">
        <v>22.98</v>
      </c>
      <c r="E268" s="130">
        <v>22.51</v>
      </c>
      <c r="F268" s="130">
        <v>22.69</v>
      </c>
      <c r="G268" s="160">
        <v>1216500</v>
      </c>
      <c r="H268" s="160">
        <f t="shared" si="3"/>
        <v>27602385</v>
      </c>
      <c r="I268" t="s">
        <v>8833</v>
      </c>
      <c r="J268">
        <v>2021</v>
      </c>
      <c r="K268">
        <v>7</v>
      </c>
      <c r="L268" t="s">
        <v>8903</v>
      </c>
      <c r="M268" t="s">
        <v>1552</v>
      </c>
      <c r="N268" t="s">
        <v>8904</v>
      </c>
    </row>
    <row r="269" spans="1:14" x14ac:dyDescent="0.3">
      <c r="A269">
        <v>2022</v>
      </c>
      <c r="B269" s="159">
        <v>44384</v>
      </c>
      <c r="C269" s="130">
        <v>22.75</v>
      </c>
      <c r="D269" s="130">
        <v>22.97</v>
      </c>
      <c r="E269" s="130">
        <v>22.7</v>
      </c>
      <c r="F269" s="130">
        <v>22.86</v>
      </c>
      <c r="G269" s="160">
        <v>2078000</v>
      </c>
      <c r="H269" s="160">
        <f t="shared" si="3"/>
        <v>47503080</v>
      </c>
      <c r="I269" t="s">
        <v>8833</v>
      </c>
      <c r="J269">
        <v>2021</v>
      </c>
      <c r="K269">
        <v>7</v>
      </c>
      <c r="L269" t="s">
        <v>8903</v>
      </c>
      <c r="M269" t="s">
        <v>1552</v>
      </c>
      <c r="N269" t="s">
        <v>8904</v>
      </c>
    </row>
    <row r="270" spans="1:14" x14ac:dyDescent="0.3">
      <c r="A270">
        <v>2022</v>
      </c>
      <c r="B270" s="159">
        <v>44385</v>
      </c>
      <c r="C270" s="130">
        <v>22.96</v>
      </c>
      <c r="D270" s="130">
        <v>23.31</v>
      </c>
      <c r="E270" s="130">
        <v>22.75</v>
      </c>
      <c r="F270" s="130">
        <v>23.26</v>
      </c>
      <c r="G270" s="160">
        <v>2153000</v>
      </c>
      <c r="H270" s="160">
        <f t="shared" si="3"/>
        <v>50078780</v>
      </c>
      <c r="I270" t="s">
        <v>8833</v>
      </c>
      <c r="J270">
        <v>2021</v>
      </c>
      <c r="K270">
        <v>7</v>
      </c>
      <c r="L270" t="s">
        <v>8903</v>
      </c>
      <c r="M270" t="s">
        <v>1552</v>
      </c>
      <c r="N270" t="s">
        <v>8904</v>
      </c>
    </row>
    <row r="271" spans="1:14" x14ac:dyDescent="0.3">
      <c r="A271">
        <v>2022</v>
      </c>
      <c r="B271" s="159">
        <v>44386</v>
      </c>
      <c r="C271" s="130">
        <v>23.25</v>
      </c>
      <c r="D271" s="130">
        <v>23.25</v>
      </c>
      <c r="E271" s="130">
        <v>23</v>
      </c>
      <c r="F271" s="130">
        <v>23.13</v>
      </c>
      <c r="G271" s="160">
        <v>1911500</v>
      </c>
      <c r="H271" s="160">
        <f t="shared" si="3"/>
        <v>44212995</v>
      </c>
      <c r="I271" t="s">
        <v>8833</v>
      </c>
      <c r="J271">
        <v>2021</v>
      </c>
      <c r="K271">
        <v>7</v>
      </c>
      <c r="L271" t="s">
        <v>8903</v>
      </c>
      <c r="M271" t="s">
        <v>1552</v>
      </c>
      <c r="N271" t="s">
        <v>8904</v>
      </c>
    </row>
    <row r="272" spans="1:14" x14ac:dyDescent="0.3">
      <c r="A272">
        <v>2022</v>
      </c>
      <c r="B272" s="159">
        <v>44389</v>
      </c>
      <c r="C272" s="130">
        <v>23.2</v>
      </c>
      <c r="D272" s="130">
        <v>23.29</v>
      </c>
      <c r="E272" s="130">
        <v>22.8</v>
      </c>
      <c r="F272" s="130">
        <v>23</v>
      </c>
      <c r="G272" s="160">
        <v>1366500</v>
      </c>
      <c r="H272" s="160">
        <f t="shared" ref="H272:H335" si="4">F272*G272</f>
        <v>31429500</v>
      </c>
      <c r="I272" t="s">
        <v>8833</v>
      </c>
      <c r="J272">
        <v>2021</v>
      </c>
      <c r="K272">
        <v>7</v>
      </c>
      <c r="L272" t="s">
        <v>8903</v>
      </c>
      <c r="M272" t="s">
        <v>1552</v>
      </c>
      <c r="N272" t="s">
        <v>8904</v>
      </c>
    </row>
    <row r="273" spans="1:14" x14ac:dyDescent="0.3">
      <c r="A273">
        <v>2022</v>
      </c>
      <c r="B273" s="159">
        <v>44390</v>
      </c>
      <c r="C273" s="130">
        <v>23.01</v>
      </c>
      <c r="D273" s="130">
        <v>23.18</v>
      </c>
      <c r="E273" s="130">
        <v>22.9</v>
      </c>
      <c r="F273" s="130">
        <v>23.01</v>
      </c>
      <c r="G273" s="160">
        <v>2292000</v>
      </c>
      <c r="H273" s="160">
        <f t="shared" si="4"/>
        <v>52738920</v>
      </c>
      <c r="I273" t="s">
        <v>8833</v>
      </c>
      <c r="J273">
        <v>2021</v>
      </c>
      <c r="K273">
        <v>7</v>
      </c>
      <c r="L273" t="s">
        <v>8903</v>
      </c>
      <c r="M273" t="s">
        <v>1552</v>
      </c>
      <c r="N273" t="s">
        <v>8904</v>
      </c>
    </row>
    <row r="274" spans="1:14" x14ac:dyDescent="0.3">
      <c r="A274">
        <v>2022</v>
      </c>
      <c r="B274" s="159">
        <v>44391</v>
      </c>
      <c r="C274" s="130">
        <v>23.19</v>
      </c>
      <c r="D274" s="130">
        <v>23.23</v>
      </c>
      <c r="E274" s="130">
        <v>22.94</v>
      </c>
      <c r="F274" s="130">
        <v>23.07</v>
      </c>
      <c r="G274" s="160">
        <v>1205000</v>
      </c>
      <c r="H274" s="160">
        <f t="shared" si="4"/>
        <v>27799350</v>
      </c>
      <c r="I274" t="s">
        <v>8833</v>
      </c>
      <c r="J274">
        <v>2021</v>
      </c>
      <c r="K274">
        <v>7</v>
      </c>
      <c r="L274" t="s">
        <v>8903</v>
      </c>
      <c r="M274" t="s">
        <v>1552</v>
      </c>
      <c r="N274" t="s">
        <v>8904</v>
      </c>
    </row>
    <row r="275" spans="1:14" x14ac:dyDescent="0.3">
      <c r="A275">
        <v>2022</v>
      </c>
      <c r="B275" s="159">
        <v>44392</v>
      </c>
      <c r="C275" s="130">
        <v>22.98</v>
      </c>
      <c r="D275" s="130">
        <v>23.01</v>
      </c>
      <c r="E275" s="130">
        <v>22.75</v>
      </c>
      <c r="F275" s="130">
        <v>22.79</v>
      </c>
      <c r="G275" s="160">
        <v>1351000</v>
      </c>
      <c r="H275" s="160">
        <f t="shared" si="4"/>
        <v>30789290</v>
      </c>
      <c r="I275" t="s">
        <v>8833</v>
      </c>
      <c r="J275">
        <v>2021</v>
      </c>
      <c r="K275">
        <v>7</v>
      </c>
      <c r="L275" t="s">
        <v>8903</v>
      </c>
      <c r="M275" t="s">
        <v>1552</v>
      </c>
      <c r="N275" t="s">
        <v>8904</v>
      </c>
    </row>
    <row r="276" spans="1:14" x14ac:dyDescent="0.3">
      <c r="A276">
        <v>2022</v>
      </c>
      <c r="B276" s="159">
        <v>44393</v>
      </c>
      <c r="C276" s="130">
        <v>22.79</v>
      </c>
      <c r="D276" s="130">
        <v>23.09</v>
      </c>
      <c r="E276" s="130">
        <v>22.75</v>
      </c>
      <c r="F276" s="130">
        <v>22.87</v>
      </c>
      <c r="G276" s="160">
        <v>1162000</v>
      </c>
      <c r="H276" s="160">
        <f t="shared" si="4"/>
        <v>26574940</v>
      </c>
      <c r="I276" t="s">
        <v>8833</v>
      </c>
      <c r="J276">
        <v>2021</v>
      </c>
      <c r="K276">
        <v>7</v>
      </c>
      <c r="L276" t="s">
        <v>8903</v>
      </c>
      <c r="M276" t="s">
        <v>1552</v>
      </c>
      <c r="N276" t="s">
        <v>8904</v>
      </c>
    </row>
    <row r="277" spans="1:14" x14ac:dyDescent="0.3">
      <c r="A277">
        <v>2022</v>
      </c>
      <c r="B277" s="159">
        <v>44396</v>
      </c>
      <c r="C277" s="130">
        <v>22.87</v>
      </c>
      <c r="D277" s="130">
        <v>22.94</v>
      </c>
      <c r="E277" s="130">
        <v>22.72</v>
      </c>
      <c r="F277" s="130">
        <v>22.88</v>
      </c>
      <c r="G277" s="160">
        <v>451500</v>
      </c>
      <c r="H277" s="160">
        <f t="shared" si="4"/>
        <v>10330320</v>
      </c>
      <c r="I277" t="s">
        <v>8833</v>
      </c>
      <c r="J277">
        <v>2021</v>
      </c>
      <c r="K277">
        <v>7</v>
      </c>
      <c r="L277" t="s">
        <v>8903</v>
      </c>
      <c r="M277" t="s">
        <v>1552</v>
      </c>
      <c r="N277" t="s">
        <v>8904</v>
      </c>
    </row>
    <row r="278" spans="1:14" x14ac:dyDescent="0.3">
      <c r="A278">
        <v>2022</v>
      </c>
      <c r="B278" s="159">
        <v>44400</v>
      </c>
      <c r="C278" s="130">
        <v>22.78</v>
      </c>
      <c r="D278" s="130">
        <v>22.93</v>
      </c>
      <c r="E278" s="130">
        <v>22.72</v>
      </c>
      <c r="F278" s="130">
        <v>22.77</v>
      </c>
      <c r="G278" s="160">
        <v>860000</v>
      </c>
      <c r="H278" s="160">
        <f t="shared" si="4"/>
        <v>19582200</v>
      </c>
      <c r="I278" t="s">
        <v>8833</v>
      </c>
      <c r="J278">
        <v>2021</v>
      </c>
      <c r="K278">
        <v>7</v>
      </c>
      <c r="L278" t="s">
        <v>8903</v>
      </c>
      <c r="M278" t="s">
        <v>1552</v>
      </c>
      <c r="N278" t="s">
        <v>8904</v>
      </c>
    </row>
    <row r="279" spans="1:14" x14ac:dyDescent="0.3">
      <c r="A279">
        <v>2022</v>
      </c>
      <c r="B279" s="159">
        <v>44403</v>
      </c>
      <c r="C279" s="130">
        <v>22.77</v>
      </c>
      <c r="D279" s="130">
        <v>22.95</v>
      </c>
      <c r="E279" s="130">
        <v>22.51</v>
      </c>
      <c r="F279" s="130">
        <v>22.59</v>
      </c>
      <c r="G279" s="160">
        <v>2933000</v>
      </c>
      <c r="H279" s="160">
        <f t="shared" si="4"/>
        <v>66256470</v>
      </c>
      <c r="I279" t="s">
        <v>8833</v>
      </c>
      <c r="J279">
        <v>2021</v>
      </c>
      <c r="K279">
        <v>7</v>
      </c>
      <c r="L279" t="s">
        <v>8903</v>
      </c>
      <c r="M279" t="s">
        <v>1552</v>
      </c>
      <c r="N279" t="s">
        <v>8904</v>
      </c>
    </row>
    <row r="280" spans="1:14" x14ac:dyDescent="0.3">
      <c r="A280">
        <v>2022</v>
      </c>
      <c r="B280" s="159">
        <v>44404</v>
      </c>
      <c r="C280" s="130">
        <v>22.55</v>
      </c>
      <c r="D280" s="130">
        <v>22.69</v>
      </c>
      <c r="E280" s="130">
        <v>22.15</v>
      </c>
      <c r="F280" s="130">
        <v>22.25</v>
      </c>
      <c r="G280" s="160">
        <v>1609000</v>
      </c>
      <c r="H280" s="160">
        <f t="shared" si="4"/>
        <v>35800250</v>
      </c>
      <c r="I280" t="s">
        <v>8833</v>
      </c>
      <c r="J280">
        <v>2021</v>
      </c>
      <c r="K280">
        <v>7</v>
      </c>
      <c r="L280" t="s">
        <v>8903</v>
      </c>
      <c r="M280" t="s">
        <v>1552</v>
      </c>
      <c r="N280" t="s">
        <v>8904</v>
      </c>
    </row>
    <row r="281" spans="1:14" x14ac:dyDescent="0.3">
      <c r="A281">
        <v>2022</v>
      </c>
      <c r="B281" s="159">
        <v>44405</v>
      </c>
      <c r="C281" s="130">
        <v>22.26</v>
      </c>
      <c r="D281" s="130">
        <v>22.5</v>
      </c>
      <c r="E281" s="130">
        <v>21.85</v>
      </c>
      <c r="F281" s="130">
        <v>21.89</v>
      </c>
      <c r="G281" s="160">
        <v>1252500</v>
      </c>
      <c r="H281" s="160">
        <f t="shared" si="4"/>
        <v>27417225</v>
      </c>
      <c r="I281" t="s">
        <v>8833</v>
      </c>
      <c r="J281">
        <v>2021</v>
      </c>
      <c r="K281">
        <v>7</v>
      </c>
      <c r="L281" t="s">
        <v>8903</v>
      </c>
      <c r="M281" t="s">
        <v>1552</v>
      </c>
      <c r="N281" t="s">
        <v>8904</v>
      </c>
    </row>
    <row r="282" spans="1:14" x14ac:dyDescent="0.3">
      <c r="A282">
        <v>2022</v>
      </c>
      <c r="B282" s="159">
        <v>44406</v>
      </c>
      <c r="C282" s="130">
        <v>21.89</v>
      </c>
      <c r="D282" s="130">
        <v>22.2</v>
      </c>
      <c r="E282" s="130">
        <v>21.71</v>
      </c>
      <c r="F282" s="130">
        <v>21.92</v>
      </c>
      <c r="G282" s="160">
        <v>992000</v>
      </c>
      <c r="H282" s="160">
        <f t="shared" si="4"/>
        <v>21744640</v>
      </c>
      <c r="I282" t="s">
        <v>8833</v>
      </c>
      <c r="J282">
        <v>2021</v>
      </c>
      <c r="K282">
        <v>7</v>
      </c>
      <c r="L282" t="s">
        <v>8903</v>
      </c>
      <c r="M282" t="s">
        <v>1552</v>
      </c>
      <c r="N282" t="s">
        <v>8904</v>
      </c>
    </row>
    <row r="283" spans="1:14" x14ac:dyDescent="0.3">
      <c r="A283">
        <v>2022</v>
      </c>
      <c r="B283" s="159">
        <v>44407</v>
      </c>
      <c r="C283" s="130">
        <v>21.91</v>
      </c>
      <c r="D283" s="130">
        <v>22.15</v>
      </c>
      <c r="E283" s="130">
        <v>21.7</v>
      </c>
      <c r="F283" s="130">
        <v>21.83</v>
      </c>
      <c r="G283" s="160">
        <v>631500</v>
      </c>
      <c r="H283" s="160">
        <f t="shared" si="4"/>
        <v>13785644.999999998</v>
      </c>
      <c r="I283" t="s">
        <v>8833</v>
      </c>
      <c r="J283">
        <v>2021</v>
      </c>
      <c r="K283">
        <v>7</v>
      </c>
      <c r="L283" t="s">
        <v>8903</v>
      </c>
      <c r="M283" t="s">
        <v>1552</v>
      </c>
      <c r="N283" t="s">
        <v>8904</v>
      </c>
    </row>
    <row r="284" spans="1:14" x14ac:dyDescent="0.3">
      <c r="A284">
        <v>2022</v>
      </c>
      <c r="B284" s="159">
        <v>44410</v>
      </c>
      <c r="C284" s="130">
        <v>21.87</v>
      </c>
      <c r="D284" s="130">
        <v>22.14</v>
      </c>
      <c r="E284" s="130">
        <v>21.75</v>
      </c>
      <c r="F284" s="130">
        <v>21.98</v>
      </c>
      <c r="G284" s="160">
        <v>1065500</v>
      </c>
      <c r="H284" s="160">
        <f t="shared" si="4"/>
        <v>23419690</v>
      </c>
      <c r="I284" t="s">
        <v>8834</v>
      </c>
      <c r="J284">
        <v>2021</v>
      </c>
      <c r="K284">
        <v>8</v>
      </c>
      <c r="L284" t="s">
        <v>8905</v>
      </c>
      <c r="M284" t="s">
        <v>1552</v>
      </c>
      <c r="N284" t="s">
        <v>8906</v>
      </c>
    </row>
    <row r="285" spans="1:14" x14ac:dyDescent="0.3">
      <c r="A285">
        <v>2022</v>
      </c>
      <c r="B285" s="159">
        <v>44411</v>
      </c>
      <c r="C285" s="130">
        <v>21.96</v>
      </c>
      <c r="D285" s="130">
        <v>22.3</v>
      </c>
      <c r="E285" s="130">
        <v>21.95</v>
      </c>
      <c r="F285" s="130">
        <v>22.12</v>
      </c>
      <c r="G285" s="160">
        <v>1088500</v>
      </c>
      <c r="H285" s="160">
        <f t="shared" si="4"/>
        <v>24077620</v>
      </c>
      <c r="I285" t="s">
        <v>8834</v>
      </c>
      <c r="J285">
        <v>2021</v>
      </c>
      <c r="K285">
        <v>8</v>
      </c>
      <c r="L285" t="s">
        <v>8905</v>
      </c>
      <c r="M285" t="s">
        <v>1552</v>
      </c>
      <c r="N285" t="s">
        <v>8906</v>
      </c>
    </row>
    <row r="286" spans="1:14" x14ac:dyDescent="0.3">
      <c r="A286">
        <v>2022</v>
      </c>
      <c r="B286" s="159">
        <v>44412</v>
      </c>
      <c r="C286" s="130">
        <v>22.15</v>
      </c>
      <c r="D286" s="130">
        <v>22.52</v>
      </c>
      <c r="E286" s="130">
        <v>22.02</v>
      </c>
      <c r="F286" s="130">
        <v>22.29</v>
      </c>
      <c r="G286" s="160">
        <v>1295500</v>
      </c>
      <c r="H286" s="160">
        <f t="shared" si="4"/>
        <v>28876695</v>
      </c>
      <c r="I286" t="s">
        <v>8834</v>
      </c>
      <c r="J286">
        <v>2021</v>
      </c>
      <c r="K286">
        <v>8</v>
      </c>
      <c r="L286" t="s">
        <v>8905</v>
      </c>
      <c r="M286" t="s">
        <v>1552</v>
      </c>
      <c r="N286" t="s">
        <v>8906</v>
      </c>
    </row>
    <row r="287" spans="1:14" x14ac:dyDescent="0.3">
      <c r="A287">
        <v>2022</v>
      </c>
      <c r="B287" s="159">
        <v>44413</v>
      </c>
      <c r="C287" s="130">
        <v>22.4</v>
      </c>
      <c r="D287" s="130">
        <v>22.46</v>
      </c>
      <c r="E287" s="130">
        <v>21.88</v>
      </c>
      <c r="F287" s="130">
        <v>21.95</v>
      </c>
      <c r="G287" s="160">
        <v>853500</v>
      </c>
      <c r="H287" s="160">
        <f t="shared" si="4"/>
        <v>18734325</v>
      </c>
      <c r="I287" t="s">
        <v>8834</v>
      </c>
      <c r="J287">
        <v>2021</v>
      </c>
      <c r="K287">
        <v>8</v>
      </c>
      <c r="L287" t="s">
        <v>8905</v>
      </c>
      <c r="M287" t="s">
        <v>1552</v>
      </c>
      <c r="N287" t="s">
        <v>8906</v>
      </c>
    </row>
    <row r="288" spans="1:14" x14ac:dyDescent="0.3">
      <c r="A288">
        <v>2022</v>
      </c>
      <c r="B288" s="159">
        <v>44414</v>
      </c>
      <c r="C288" s="130">
        <v>21.93</v>
      </c>
      <c r="D288" s="130">
        <v>22.3</v>
      </c>
      <c r="E288" s="130">
        <v>21.81</v>
      </c>
      <c r="F288" s="130">
        <v>22.18</v>
      </c>
      <c r="G288" s="160">
        <v>1108000</v>
      </c>
      <c r="H288" s="160">
        <f t="shared" si="4"/>
        <v>24575440</v>
      </c>
      <c r="I288" t="s">
        <v>8834</v>
      </c>
      <c r="J288">
        <v>2021</v>
      </c>
      <c r="K288">
        <v>8</v>
      </c>
      <c r="L288" t="s">
        <v>8905</v>
      </c>
      <c r="M288" t="s">
        <v>1552</v>
      </c>
      <c r="N288" t="s">
        <v>8906</v>
      </c>
    </row>
    <row r="289" spans="1:14" x14ac:dyDescent="0.3">
      <c r="A289">
        <v>2022</v>
      </c>
      <c r="B289" s="159">
        <v>44417</v>
      </c>
      <c r="C289" s="130">
        <v>22</v>
      </c>
      <c r="D289" s="130">
        <v>22.17</v>
      </c>
      <c r="E289" s="130">
        <v>21.6</v>
      </c>
      <c r="F289" s="130">
        <v>21.67</v>
      </c>
      <c r="G289" s="160">
        <v>1421000</v>
      </c>
      <c r="H289" s="160">
        <f t="shared" si="4"/>
        <v>30793070.000000004</v>
      </c>
      <c r="I289" t="s">
        <v>8834</v>
      </c>
      <c r="J289">
        <v>2021</v>
      </c>
      <c r="K289">
        <v>8</v>
      </c>
      <c r="L289" t="s">
        <v>8905</v>
      </c>
      <c r="M289" t="s">
        <v>1552</v>
      </c>
      <c r="N289" t="s">
        <v>8906</v>
      </c>
    </row>
    <row r="290" spans="1:14" x14ac:dyDescent="0.3">
      <c r="A290">
        <v>2022</v>
      </c>
      <c r="B290" s="159">
        <v>44418</v>
      </c>
      <c r="C290" s="130">
        <v>21.58</v>
      </c>
      <c r="D290" s="130">
        <v>21.89</v>
      </c>
      <c r="E290" s="130">
        <v>21.5</v>
      </c>
      <c r="F290" s="130">
        <v>21.57</v>
      </c>
      <c r="G290" s="160">
        <v>389000</v>
      </c>
      <c r="H290" s="160">
        <f t="shared" si="4"/>
        <v>8390730</v>
      </c>
      <c r="I290" t="s">
        <v>8834</v>
      </c>
      <c r="J290">
        <v>2021</v>
      </c>
      <c r="K290">
        <v>8</v>
      </c>
      <c r="L290" t="s">
        <v>8905</v>
      </c>
      <c r="M290" t="s">
        <v>1552</v>
      </c>
      <c r="N290" t="s">
        <v>8906</v>
      </c>
    </row>
    <row r="291" spans="1:14" x14ac:dyDescent="0.3">
      <c r="A291">
        <v>2022</v>
      </c>
      <c r="B291" s="159">
        <v>44419</v>
      </c>
      <c r="C291" s="130">
        <v>21.83</v>
      </c>
      <c r="D291" s="130">
        <v>22.1</v>
      </c>
      <c r="E291" s="130">
        <v>21.55</v>
      </c>
      <c r="F291" s="130">
        <v>21.79</v>
      </c>
      <c r="G291" s="160">
        <v>940500</v>
      </c>
      <c r="H291" s="160">
        <f t="shared" si="4"/>
        <v>20493495</v>
      </c>
      <c r="I291" t="s">
        <v>8834</v>
      </c>
      <c r="J291">
        <v>2021</v>
      </c>
      <c r="K291">
        <v>8</v>
      </c>
      <c r="L291" t="s">
        <v>8905</v>
      </c>
      <c r="M291" t="s">
        <v>1552</v>
      </c>
      <c r="N291" t="s">
        <v>8906</v>
      </c>
    </row>
    <row r="292" spans="1:14" x14ac:dyDescent="0.3">
      <c r="A292">
        <v>2022</v>
      </c>
      <c r="B292" s="159">
        <v>44420</v>
      </c>
      <c r="C292" s="130">
        <v>21.7</v>
      </c>
      <c r="D292" s="130">
        <v>21.98</v>
      </c>
      <c r="E292" s="130">
        <v>21.62</v>
      </c>
      <c r="F292" s="130">
        <v>21.75</v>
      </c>
      <c r="G292" s="160">
        <v>299500</v>
      </c>
      <c r="H292" s="160">
        <f t="shared" si="4"/>
        <v>6514125</v>
      </c>
      <c r="I292" t="s">
        <v>8834</v>
      </c>
      <c r="J292">
        <v>2021</v>
      </c>
      <c r="K292">
        <v>8</v>
      </c>
      <c r="L292" t="s">
        <v>8905</v>
      </c>
      <c r="M292" t="s">
        <v>1552</v>
      </c>
      <c r="N292" t="s">
        <v>8906</v>
      </c>
    </row>
    <row r="293" spans="1:14" x14ac:dyDescent="0.3">
      <c r="A293">
        <v>2022</v>
      </c>
      <c r="B293" s="159">
        <v>44421</v>
      </c>
      <c r="C293" s="130">
        <v>21.69</v>
      </c>
      <c r="D293" s="130">
        <v>21.75</v>
      </c>
      <c r="E293" s="130">
        <v>21.5</v>
      </c>
      <c r="F293" s="130">
        <v>21.62</v>
      </c>
      <c r="G293" s="160">
        <v>259500</v>
      </c>
      <c r="H293" s="160">
        <f t="shared" si="4"/>
        <v>5610390</v>
      </c>
      <c r="I293" t="s">
        <v>8834</v>
      </c>
      <c r="J293">
        <v>2021</v>
      </c>
      <c r="K293">
        <v>8</v>
      </c>
      <c r="L293" t="s">
        <v>8905</v>
      </c>
      <c r="M293" t="s">
        <v>1552</v>
      </c>
      <c r="N293" t="s">
        <v>8906</v>
      </c>
    </row>
    <row r="294" spans="1:14" x14ac:dyDescent="0.3">
      <c r="A294">
        <v>2022</v>
      </c>
      <c r="B294" s="159">
        <v>44424</v>
      </c>
      <c r="C294" s="130">
        <v>21.47</v>
      </c>
      <c r="D294" s="130">
        <v>21.54</v>
      </c>
      <c r="E294" s="130">
        <v>21.15</v>
      </c>
      <c r="F294" s="130">
        <v>21.35</v>
      </c>
      <c r="G294" s="160">
        <v>497500</v>
      </c>
      <c r="H294" s="160">
        <f t="shared" si="4"/>
        <v>10621625</v>
      </c>
      <c r="I294" t="s">
        <v>8834</v>
      </c>
      <c r="J294">
        <v>2021</v>
      </c>
      <c r="K294">
        <v>8</v>
      </c>
      <c r="L294" t="s">
        <v>8905</v>
      </c>
      <c r="M294" t="s">
        <v>1552</v>
      </c>
      <c r="N294" t="s">
        <v>8906</v>
      </c>
    </row>
    <row r="295" spans="1:14" x14ac:dyDescent="0.3">
      <c r="A295">
        <v>2022</v>
      </c>
      <c r="B295" s="159">
        <v>44425</v>
      </c>
      <c r="C295" s="130">
        <v>21.11</v>
      </c>
      <c r="D295" s="130">
        <v>21.65</v>
      </c>
      <c r="E295" s="130">
        <v>21.11</v>
      </c>
      <c r="F295" s="130">
        <v>21.56</v>
      </c>
      <c r="G295" s="160">
        <v>541000</v>
      </c>
      <c r="H295" s="160">
        <f t="shared" si="4"/>
        <v>11663960</v>
      </c>
      <c r="I295" t="s">
        <v>8834</v>
      </c>
      <c r="J295">
        <v>2021</v>
      </c>
      <c r="K295">
        <v>8</v>
      </c>
      <c r="L295" t="s">
        <v>8905</v>
      </c>
      <c r="M295" t="s">
        <v>1552</v>
      </c>
      <c r="N295" t="s">
        <v>8906</v>
      </c>
    </row>
    <row r="296" spans="1:14" x14ac:dyDescent="0.3">
      <c r="A296">
        <v>2022</v>
      </c>
      <c r="B296" s="159">
        <v>44428</v>
      </c>
      <c r="C296" s="130">
        <v>21.56</v>
      </c>
      <c r="D296" s="130">
        <v>22.47</v>
      </c>
      <c r="E296" s="130">
        <v>21.55</v>
      </c>
      <c r="F296" s="130">
        <v>22.27</v>
      </c>
      <c r="G296" s="160">
        <v>6305000</v>
      </c>
      <c r="H296" s="160">
        <f t="shared" si="4"/>
        <v>140412350</v>
      </c>
      <c r="I296" t="s">
        <v>8834</v>
      </c>
      <c r="J296">
        <v>2021</v>
      </c>
      <c r="K296">
        <v>8</v>
      </c>
      <c r="L296" t="s">
        <v>8905</v>
      </c>
      <c r="M296" t="s">
        <v>1552</v>
      </c>
      <c r="N296" t="s">
        <v>8906</v>
      </c>
    </row>
    <row r="297" spans="1:14" x14ac:dyDescent="0.3">
      <c r="A297">
        <v>2022</v>
      </c>
      <c r="B297" s="159">
        <v>44431</v>
      </c>
      <c r="C297" s="130">
        <v>22.29</v>
      </c>
      <c r="D297" s="130">
        <v>22.56</v>
      </c>
      <c r="E297" s="130">
        <v>21.9</v>
      </c>
      <c r="F297" s="130">
        <v>22.04</v>
      </c>
      <c r="G297" s="160">
        <v>2635500</v>
      </c>
      <c r="H297" s="160">
        <f t="shared" si="4"/>
        <v>58086420</v>
      </c>
      <c r="I297" t="s">
        <v>8834</v>
      </c>
      <c r="J297">
        <v>2021</v>
      </c>
      <c r="K297">
        <v>8</v>
      </c>
      <c r="L297" t="s">
        <v>8905</v>
      </c>
      <c r="M297" t="s">
        <v>1552</v>
      </c>
      <c r="N297" t="s">
        <v>8906</v>
      </c>
    </row>
    <row r="298" spans="1:14" x14ac:dyDescent="0.3">
      <c r="A298">
        <v>2022</v>
      </c>
      <c r="B298" s="159">
        <v>44432</v>
      </c>
      <c r="C298" s="130">
        <v>22.09</v>
      </c>
      <c r="D298" s="130">
        <v>22.19</v>
      </c>
      <c r="E298" s="130">
        <v>21.85</v>
      </c>
      <c r="F298" s="130">
        <v>21.93</v>
      </c>
      <c r="G298" s="160">
        <v>741000</v>
      </c>
      <c r="H298" s="160">
        <f t="shared" si="4"/>
        <v>16250130</v>
      </c>
      <c r="I298" t="s">
        <v>8834</v>
      </c>
      <c r="J298">
        <v>2021</v>
      </c>
      <c r="K298">
        <v>8</v>
      </c>
      <c r="L298" t="s">
        <v>8905</v>
      </c>
      <c r="M298" t="s">
        <v>1552</v>
      </c>
      <c r="N298" t="s">
        <v>8906</v>
      </c>
    </row>
    <row r="299" spans="1:14" x14ac:dyDescent="0.3">
      <c r="A299">
        <v>2022</v>
      </c>
      <c r="B299" s="159">
        <v>44433</v>
      </c>
      <c r="C299" s="130">
        <v>21.93</v>
      </c>
      <c r="D299" s="130">
        <v>21.99</v>
      </c>
      <c r="E299" s="130">
        <v>21.65</v>
      </c>
      <c r="F299" s="130">
        <v>21.72</v>
      </c>
      <c r="G299" s="160">
        <v>477000</v>
      </c>
      <c r="H299" s="160">
        <f t="shared" si="4"/>
        <v>10360440</v>
      </c>
      <c r="I299" t="s">
        <v>8834</v>
      </c>
      <c r="J299">
        <v>2021</v>
      </c>
      <c r="K299">
        <v>8</v>
      </c>
      <c r="L299" t="s">
        <v>8905</v>
      </c>
      <c r="M299" t="s">
        <v>1552</v>
      </c>
      <c r="N299" t="s">
        <v>8906</v>
      </c>
    </row>
    <row r="300" spans="1:14" x14ac:dyDescent="0.3">
      <c r="A300">
        <v>2022</v>
      </c>
      <c r="B300" s="159">
        <v>44434</v>
      </c>
      <c r="C300" s="130">
        <v>21.72</v>
      </c>
      <c r="D300" s="130">
        <v>21.85</v>
      </c>
      <c r="E300" s="130">
        <v>20.96</v>
      </c>
      <c r="F300" s="130">
        <v>21.19</v>
      </c>
      <c r="G300" s="160">
        <v>3597500</v>
      </c>
      <c r="H300" s="160">
        <f t="shared" si="4"/>
        <v>76231025</v>
      </c>
      <c r="I300" t="s">
        <v>8834</v>
      </c>
      <c r="J300">
        <v>2021</v>
      </c>
      <c r="K300">
        <v>8</v>
      </c>
      <c r="L300" t="s">
        <v>8905</v>
      </c>
      <c r="M300" t="s">
        <v>1552</v>
      </c>
      <c r="N300" t="s">
        <v>8906</v>
      </c>
    </row>
    <row r="301" spans="1:14" x14ac:dyDescent="0.3">
      <c r="A301">
        <v>2022</v>
      </c>
      <c r="B301" s="159">
        <v>44435</v>
      </c>
      <c r="C301" s="130">
        <v>21.19</v>
      </c>
      <c r="D301" s="130">
        <v>21.2</v>
      </c>
      <c r="E301" s="130">
        <v>20.65</v>
      </c>
      <c r="F301" s="130">
        <v>20.76</v>
      </c>
      <c r="G301" s="160">
        <v>1665500</v>
      </c>
      <c r="H301" s="160">
        <f t="shared" si="4"/>
        <v>34575780</v>
      </c>
      <c r="I301" t="s">
        <v>8834</v>
      </c>
      <c r="J301">
        <v>2021</v>
      </c>
      <c r="K301">
        <v>8</v>
      </c>
      <c r="L301" t="s">
        <v>8905</v>
      </c>
      <c r="M301" t="s">
        <v>1552</v>
      </c>
      <c r="N301" t="s">
        <v>8906</v>
      </c>
    </row>
    <row r="302" spans="1:14" x14ac:dyDescent="0.3">
      <c r="A302">
        <v>2022</v>
      </c>
      <c r="B302" s="159">
        <v>44438</v>
      </c>
      <c r="C302" s="130">
        <v>21</v>
      </c>
      <c r="D302" s="130">
        <v>21</v>
      </c>
      <c r="E302" s="130">
        <v>20.73</v>
      </c>
      <c r="F302" s="130">
        <v>20.95</v>
      </c>
      <c r="G302" s="160">
        <v>386500</v>
      </c>
      <c r="H302" s="160">
        <f t="shared" si="4"/>
        <v>8097175</v>
      </c>
      <c r="I302" t="s">
        <v>8834</v>
      </c>
      <c r="J302">
        <v>2021</v>
      </c>
      <c r="K302">
        <v>8</v>
      </c>
      <c r="L302" t="s">
        <v>8905</v>
      </c>
      <c r="M302" t="s">
        <v>1552</v>
      </c>
      <c r="N302" t="s">
        <v>8906</v>
      </c>
    </row>
    <row r="303" spans="1:14" x14ac:dyDescent="0.3">
      <c r="A303">
        <v>2022</v>
      </c>
      <c r="B303" s="159">
        <v>44439</v>
      </c>
      <c r="C303" s="130">
        <v>21</v>
      </c>
      <c r="D303" s="130">
        <v>21.2</v>
      </c>
      <c r="E303" s="130">
        <v>20.75</v>
      </c>
      <c r="F303" s="130">
        <v>20.84</v>
      </c>
      <c r="G303" s="160">
        <v>1049500</v>
      </c>
      <c r="H303" s="160">
        <f t="shared" si="4"/>
        <v>21871580</v>
      </c>
      <c r="I303" t="s">
        <v>8834</v>
      </c>
      <c r="J303">
        <v>2021</v>
      </c>
      <c r="K303">
        <v>8</v>
      </c>
      <c r="L303" t="s">
        <v>8905</v>
      </c>
      <c r="M303" t="s">
        <v>1552</v>
      </c>
      <c r="N303" t="s">
        <v>8906</v>
      </c>
    </row>
    <row r="304" spans="1:14" x14ac:dyDescent="0.3">
      <c r="A304">
        <v>2022</v>
      </c>
      <c r="B304" s="159">
        <v>44440</v>
      </c>
      <c r="C304" s="130">
        <v>20.78</v>
      </c>
      <c r="D304" s="130">
        <v>20.98</v>
      </c>
      <c r="E304" s="130">
        <v>20.420000000000002</v>
      </c>
      <c r="F304" s="130">
        <v>20.5</v>
      </c>
      <c r="G304" s="160">
        <v>1457000</v>
      </c>
      <c r="H304" s="160">
        <f t="shared" si="4"/>
        <v>29868500</v>
      </c>
      <c r="I304" t="s">
        <v>8835</v>
      </c>
      <c r="J304">
        <v>2021</v>
      </c>
      <c r="K304">
        <v>9</v>
      </c>
      <c r="L304" t="s">
        <v>8907</v>
      </c>
      <c r="M304" t="s">
        <v>1552</v>
      </c>
      <c r="N304" t="s">
        <v>8908</v>
      </c>
    </row>
    <row r="305" spans="1:14" x14ac:dyDescent="0.3">
      <c r="A305">
        <v>2022</v>
      </c>
      <c r="B305" s="159">
        <v>44441</v>
      </c>
      <c r="C305" s="130">
        <v>20.61</v>
      </c>
      <c r="D305" s="130">
        <v>20.75</v>
      </c>
      <c r="E305" s="130">
        <v>20.16</v>
      </c>
      <c r="F305" s="130">
        <v>20.22</v>
      </c>
      <c r="G305" s="160">
        <v>2342500</v>
      </c>
      <c r="H305" s="160">
        <f t="shared" si="4"/>
        <v>47365350</v>
      </c>
      <c r="I305" t="s">
        <v>8835</v>
      </c>
      <c r="J305">
        <v>2021</v>
      </c>
      <c r="K305">
        <v>9</v>
      </c>
      <c r="L305" t="s">
        <v>8907</v>
      </c>
      <c r="M305" t="s">
        <v>1552</v>
      </c>
      <c r="N305" t="s">
        <v>8908</v>
      </c>
    </row>
    <row r="306" spans="1:14" x14ac:dyDescent="0.3">
      <c r="A306">
        <v>2022</v>
      </c>
      <c r="B306" s="159">
        <v>44442</v>
      </c>
      <c r="C306" s="130">
        <v>20.29</v>
      </c>
      <c r="D306" s="130">
        <v>20.36</v>
      </c>
      <c r="E306" s="130">
        <v>20.010000000000002</v>
      </c>
      <c r="F306" s="130">
        <v>20.04</v>
      </c>
      <c r="G306" s="160">
        <v>1045500</v>
      </c>
      <c r="H306" s="160">
        <f t="shared" si="4"/>
        <v>20951820</v>
      </c>
      <c r="I306" t="s">
        <v>8835</v>
      </c>
      <c r="J306">
        <v>2021</v>
      </c>
      <c r="K306">
        <v>9</v>
      </c>
      <c r="L306" t="s">
        <v>8907</v>
      </c>
      <c r="M306" t="s">
        <v>1552</v>
      </c>
      <c r="N306" t="s">
        <v>8908</v>
      </c>
    </row>
    <row r="307" spans="1:14" x14ac:dyDescent="0.3">
      <c r="A307">
        <v>2022</v>
      </c>
      <c r="B307" s="159">
        <v>44445</v>
      </c>
      <c r="C307" s="130">
        <v>20.28</v>
      </c>
      <c r="D307" s="130">
        <v>20.34</v>
      </c>
      <c r="E307" s="130">
        <v>19.36</v>
      </c>
      <c r="F307" s="130">
        <v>19.48</v>
      </c>
      <c r="G307" s="160">
        <v>2704000</v>
      </c>
      <c r="H307" s="160">
        <f t="shared" si="4"/>
        <v>52673920</v>
      </c>
      <c r="I307" t="s">
        <v>8835</v>
      </c>
      <c r="J307">
        <v>2021</v>
      </c>
      <c r="K307">
        <v>9</v>
      </c>
      <c r="L307" t="s">
        <v>8907</v>
      </c>
      <c r="M307" t="s">
        <v>1552</v>
      </c>
      <c r="N307" t="s">
        <v>8908</v>
      </c>
    </row>
    <row r="308" spans="1:14" x14ac:dyDescent="0.3">
      <c r="A308">
        <v>2022</v>
      </c>
      <c r="B308" s="159">
        <v>44446</v>
      </c>
      <c r="C308" s="130">
        <v>19.5</v>
      </c>
      <c r="D308" s="130">
        <v>19.5</v>
      </c>
      <c r="E308" s="130">
        <v>19.14</v>
      </c>
      <c r="F308" s="130">
        <v>19.22</v>
      </c>
      <c r="G308" s="160">
        <v>1751500</v>
      </c>
      <c r="H308" s="160">
        <f t="shared" si="4"/>
        <v>33663830</v>
      </c>
      <c r="I308" t="s">
        <v>8835</v>
      </c>
      <c r="J308">
        <v>2021</v>
      </c>
      <c r="K308">
        <v>9</v>
      </c>
      <c r="L308" t="s">
        <v>8907</v>
      </c>
      <c r="M308" t="s">
        <v>1552</v>
      </c>
      <c r="N308" t="s">
        <v>8908</v>
      </c>
    </row>
    <row r="309" spans="1:14" x14ac:dyDescent="0.3">
      <c r="A309">
        <v>2022</v>
      </c>
      <c r="B309" s="159">
        <v>44447</v>
      </c>
      <c r="C309" s="130">
        <v>19.440000000000001</v>
      </c>
      <c r="D309" s="130">
        <v>19.47</v>
      </c>
      <c r="E309" s="130">
        <v>18.920000000000002</v>
      </c>
      <c r="F309" s="130">
        <v>18.97</v>
      </c>
      <c r="G309" s="160">
        <v>1502500</v>
      </c>
      <c r="H309" s="160">
        <f t="shared" si="4"/>
        <v>28502425</v>
      </c>
      <c r="I309" t="s">
        <v>8835</v>
      </c>
      <c r="J309">
        <v>2021</v>
      </c>
      <c r="K309">
        <v>9</v>
      </c>
      <c r="L309" t="s">
        <v>8907</v>
      </c>
      <c r="M309" t="s">
        <v>1552</v>
      </c>
      <c r="N309" t="s">
        <v>8908</v>
      </c>
    </row>
    <row r="310" spans="1:14" x14ac:dyDescent="0.3">
      <c r="A310">
        <v>2022</v>
      </c>
      <c r="B310" s="159">
        <v>44448</v>
      </c>
      <c r="C310" s="130">
        <v>19</v>
      </c>
      <c r="D310" s="130">
        <v>19.21</v>
      </c>
      <c r="E310" s="130">
        <v>18.760000000000002</v>
      </c>
      <c r="F310" s="130">
        <v>18.97</v>
      </c>
      <c r="G310" s="160">
        <v>1226500</v>
      </c>
      <c r="H310" s="160">
        <f t="shared" si="4"/>
        <v>23266705</v>
      </c>
      <c r="I310" t="s">
        <v>8835</v>
      </c>
      <c r="J310">
        <v>2021</v>
      </c>
      <c r="K310">
        <v>9</v>
      </c>
      <c r="L310" t="s">
        <v>8907</v>
      </c>
      <c r="M310" t="s">
        <v>1552</v>
      </c>
      <c r="N310" t="s">
        <v>8908</v>
      </c>
    </row>
    <row r="311" spans="1:14" x14ac:dyDescent="0.3">
      <c r="A311">
        <v>2022</v>
      </c>
      <c r="B311" s="159">
        <v>44449</v>
      </c>
      <c r="C311" s="130">
        <v>19.11</v>
      </c>
      <c r="D311" s="130">
        <v>19.5</v>
      </c>
      <c r="E311" s="130">
        <v>18.899999999999999</v>
      </c>
      <c r="F311" s="130">
        <v>19.04</v>
      </c>
      <c r="G311" s="160">
        <v>3180500</v>
      </c>
      <c r="H311" s="160">
        <f t="shared" si="4"/>
        <v>60556720</v>
      </c>
      <c r="I311" t="s">
        <v>8835</v>
      </c>
      <c r="J311">
        <v>2021</v>
      </c>
      <c r="K311">
        <v>9</v>
      </c>
      <c r="L311" t="s">
        <v>8907</v>
      </c>
      <c r="M311" t="s">
        <v>1552</v>
      </c>
      <c r="N311" t="s">
        <v>8908</v>
      </c>
    </row>
    <row r="312" spans="1:14" x14ac:dyDescent="0.3">
      <c r="A312">
        <v>2022</v>
      </c>
      <c r="B312" s="159">
        <v>44452</v>
      </c>
      <c r="C312" s="130">
        <v>19.3</v>
      </c>
      <c r="D312" s="130">
        <v>19.329999999999998</v>
      </c>
      <c r="E312" s="130">
        <v>18.899999999999999</v>
      </c>
      <c r="F312" s="130">
        <v>19</v>
      </c>
      <c r="G312" s="160">
        <v>796500</v>
      </c>
      <c r="H312" s="160">
        <f t="shared" si="4"/>
        <v>15133500</v>
      </c>
      <c r="I312" t="s">
        <v>8835</v>
      </c>
      <c r="J312">
        <v>2021</v>
      </c>
      <c r="K312">
        <v>9</v>
      </c>
      <c r="L312" t="s">
        <v>8907</v>
      </c>
      <c r="M312" t="s">
        <v>1552</v>
      </c>
      <c r="N312" t="s">
        <v>8908</v>
      </c>
    </row>
    <row r="313" spans="1:14" x14ac:dyDescent="0.3">
      <c r="A313">
        <v>2022</v>
      </c>
      <c r="B313" s="159">
        <v>44453</v>
      </c>
      <c r="C313" s="130">
        <v>19.190000000000001</v>
      </c>
      <c r="D313" s="130">
        <v>19.190000000000001</v>
      </c>
      <c r="E313" s="130">
        <v>18.43</v>
      </c>
      <c r="F313" s="130">
        <v>18.559999999999999</v>
      </c>
      <c r="G313" s="160">
        <v>2821500</v>
      </c>
      <c r="H313" s="160">
        <f t="shared" si="4"/>
        <v>52367040</v>
      </c>
      <c r="I313" t="s">
        <v>8835</v>
      </c>
      <c r="J313">
        <v>2021</v>
      </c>
      <c r="K313">
        <v>9</v>
      </c>
      <c r="L313" t="s">
        <v>8907</v>
      </c>
      <c r="M313" t="s">
        <v>1552</v>
      </c>
      <c r="N313" t="s">
        <v>8908</v>
      </c>
    </row>
    <row r="314" spans="1:14" x14ac:dyDescent="0.3">
      <c r="A314">
        <v>2022</v>
      </c>
      <c r="B314" s="159">
        <v>44454</v>
      </c>
      <c r="C314" s="130">
        <v>18.61</v>
      </c>
      <c r="D314" s="130">
        <v>18.649999999999999</v>
      </c>
      <c r="E314" s="130">
        <v>18.34</v>
      </c>
      <c r="F314" s="130">
        <v>18.53</v>
      </c>
      <c r="G314" s="160">
        <v>609000</v>
      </c>
      <c r="H314" s="160">
        <f t="shared" si="4"/>
        <v>11284770</v>
      </c>
      <c r="I314" t="s">
        <v>8835</v>
      </c>
      <c r="J314">
        <v>2021</v>
      </c>
      <c r="K314">
        <v>9</v>
      </c>
      <c r="L314" t="s">
        <v>8907</v>
      </c>
      <c r="M314" t="s">
        <v>1552</v>
      </c>
      <c r="N314" t="s">
        <v>8908</v>
      </c>
    </row>
    <row r="315" spans="1:14" x14ac:dyDescent="0.3">
      <c r="A315">
        <v>2022</v>
      </c>
      <c r="B315" s="159">
        <v>44455</v>
      </c>
      <c r="C315" s="130">
        <v>18.559999999999999</v>
      </c>
      <c r="D315" s="130">
        <v>18.850000000000001</v>
      </c>
      <c r="E315" s="130">
        <v>18.399999999999999</v>
      </c>
      <c r="F315" s="130">
        <v>18.41</v>
      </c>
      <c r="G315" s="160">
        <v>657500</v>
      </c>
      <c r="H315" s="160">
        <f t="shared" si="4"/>
        <v>12104575</v>
      </c>
      <c r="I315" t="s">
        <v>8835</v>
      </c>
      <c r="J315">
        <v>2021</v>
      </c>
      <c r="K315">
        <v>9</v>
      </c>
      <c r="L315" t="s">
        <v>8907</v>
      </c>
      <c r="M315" t="s">
        <v>1552</v>
      </c>
      <c r="N315" t="s">
        <v>8908</v>
      </c>
    </row>
    <row r="316" spans="1:14" x14ac:dyDescent="0.3">
      <c r="A316">
        <v>2022</v>
      </c>
      <c r="B316" s="159">
        <v>44456</v>
      </c>
      <c r="C316" s="130">
        <v>18.73</v>
      </c>
      <c r="D316" s="130">
        <v>18.850000000000001</v>
      </c>
      <c r="E316" s="130">
        <v>17.87</v>
      </c>
      <c r="F316" s="130">
        <v>18.04</v>
      </c>
      <c r="G316" s="160">
        <v>7478000</v>
      </c>
      <c r="H316" s="160">
        <f t="shared" si="4"/>
        <v>134903120</v>
      </c>
      <c r="I316" t="s">
        <v>8835</v>
      </c>
      <c r="J316">
        <v>2021</v>
      </c>
      <c r="K316">
        <v>9</v>
      </c>
      <c r="L316" t="s">
        <v>8907</v>
      </c>
      <c r="M316" t="s">
        <v>1552</v>
      </c>
      <c r="N316" t="s">
        <v>8908</v>
      </c>
    </row>
    <row r="317" spans="1:14" x14ac:dyDescent="0.3">
      <c r="A317">
        <v>2022</v>
      </c>
      <c r="B317" s="159">
        <v>44459</v>
      </c>
      <c r="C317" s="130">
        <v>18.04</v>
      </c>
      <c r="D317" s="130">
        <v>18.04</v>
      </c>
      <c r="E317" s="130">
        <v>17.53</v>
      </c>
      <c r="F317" s="130">
        <v>17.850000000000001</v>
      </c>
      <c r="G317" s="160">
        <v>1073000</v>
      </c>
      <c r="H317" s="160">
        <f t="shared" si="4"/>
        <v>19153050</v>
      </c>
      <c r="I317" t="s">
        <v>8835</v>
      </c>
      <c r="J317">
        <v>2021</v>
      </c>
      <c r="K317">
        <v>9</v>
      </c>
      <c r="L317" t="s">
        <v>8907</v>
      </c>
      <c r="M317" t="s">
        <v>1552</v>
      </c>
      <c r="N317" t="s">
        <v>8908</v>
      </c>
    </row>
    <row r="318" spans="1:14" x14ac:dyDescent="0.3">
      <c r="A318">
        <v>2022</v>
      </c>
      <c r="B318" s="159">
        <v>44460</v>
      </c>
      <c r="C318" s="130">
        <v>17.7</v>
      </c>
      <c r="D318" s="130">
        <v>17.899999999999999</v>
      </c>
      <c r="E318" s="130">
        <v>17.3</v>
      </c>
      <c r="F318" s="130">
        <v>17.39</v>
      </c>
      <c r="G318" s="160">
        <v>5113500</v>
      </c>
      <c r="H318" s="160">
        <f t="shared" si="4"/>
        <v>88923765</v>
      </c>
      <c r="I318" t="s">
        <v>8835</v>
      </c>
      <c r="J318">
        <v>2021</v>
      </c>
      <c r="K318">
        <v>9</v>
      </c>
      <c r="L318" t="s">
        <v>8907</v>
      </c>
      <c r="M318" t="s">
        <v>1552</v>
      </c>
      <c r="N318" t="s">
        <v>8908</v>
      </c>
    </row>
    <row r="319" spans="1:14" x14ac:dyDescent="0.3">
      <c r="A319">
        <v>2022</v>
      </c>
      <c r="B319" s="159">
        <v>44461</v>
      </c>
      <c r="C319" s="130">
        <v>17.399999999999999</v>
      </c>
      <c r="D319" s="130">
        <v>17.989999999999998</v>
      </c>
      <c r="E319" s="130">
        <v>17.25</v>
      </c>
      <c r="F319" s="130">
        <v>17.899999999999999</v>
      </c>
      <c r="G319" s="160">
        <v>6069000</v>
      </c>
      <c r="H319" s="160">
        <f t="shared" si="4"/>
        <v>108635099.99999999</v>
      </c>
      <c r="I319" t="s">
        <v>8835</v>
      </c>
      <c r="J319">
        <v>2021</v>
      </c>
      <c r="K319">
        <v>9</v>
      </c>
      <c r="L319" t="s">
        <v>8907</v>
      </c>
      <c r="M319" t="s">
        <v>1552</v>
      </c>
      <c r="N319" t="s">
        <v>8908</v>
      </c>
    </row>
    <row r="320" spans="1:14" x14ac:dyDescent="0.3">
      <c r="A320">
        <v>2022</v>
      </c>
      <c r="B320" s="159">
        <v>44462</v>
      </c>
      <c r="C320" s="130">
        <v>18.13</v>
      </c>
      <c r="D320" s="130">
        <v>18.13</v>
      </c>
      <c r="E320" s="130">
        <v>17.579999999999998</v>
      </c>
      <c r="F320" s="130">
        <v>17.84</v>
      </c>
      <c r="G320" s="160">
        <v>2833000</v>
      </c>
      <c r="H320" s="160">
        <f t="shared" si="4"/>
        <v>50540720</v>
      </c>
      <c r="I320" t="s">
        <v>8835</v>
      </c>
      <c r="J320">
        <v>2021</v>
      </c>
      <c r="K320">
        <v>9</v>
      </c>
      <c r="L320" t="s">
        <v>8907</v>
      </c>
      <c r="M320" t="s">
        <v>1552</v>
      </c>
      <c r="N320" t="s">
        <v>8908</v>
      </c>
    </row>
    <row r="321" spans="1:14" x14ac:dyDescent="0.3">
      <c r="A321">
        <v>2022</v>
      </c>
      <c r="B321" s="159">
        <v>44463</v>
      </c>
      <c r="C321" s="130">
        <v>17.88</v>
      </c>
      <c r="D321" s="130">
        <v>17.88</v>
      </c>
      <c r="E321" s="130">
        <v>17.399999999999999</v>
      </c>
      <c r="F321" s="130">
        <v>17.46</v>
      </c>
      <c r="G321" s="160">
        <v>1495500</v>
      </c>
      <c r="H321" s="160">
        <f t="shared" si="4"/>
        <v>26111430</v>
      </c>
      <c r="I321" t="s">
        <v>8835</v>
      </c>
      <c r="J321">
        <v>2021</v>
      </c>
      <c r="K321">
        <v>9</v>
      </c>
      <c r="L321" t="s">
        <v>8907</v>
      </c>
      <c r="M321" t="s">
        <v>1552</v>
      </c>
      <c r="N321" t="s">
        <v>8908</v>
      </c>
    </row>
    <row r="322" spans="1:14" x14ac:dyDescent="0.3">
      <c r="A322">
        <v>2022</v>
      </c>
      <c r="B322" s="159">
        <v>44466</v>
      </c>
      <c r="C322" s="130">
        <v>17.5</v>
      </c>
      <c r="D322" s="130">
        <v>17.72</v>
      </c>
      <c r="E322" s="130">
        <v>17.010000000000002</v>
      </c>
      <c r="F322" s="130">
        <v>17.5</v>
      </c>
      <c r="G322" s="160">
        <v>707000</v>
      </c>
      <c r="H322" s="160">
        <f t="shared" si="4"/>
        <v>12372500</v>
      </c>
      <c r="I322" t="s">
        <v>8835</v>
      </c>
      <c r="J322">
        <v>2021</v>
      </c>
      <c r="K322">
        <v>9</v>
      </c>
      <c r="L322" t="s">
        <v>8907</v>
      </c>
      <c r="M322" t="s">
        <v>1552</v>
      </c>
      <c r="N322" t="s">
        <v>8908</v>
      </c>
    </row>
    <row r="323" spans="1:14" x14ac:dyDescent="0.3">
      <c r="A323">
        <v>2022</v>
      </c>
      <c r="B323" s="159">
        <v>44467</v>
      </c>
      <c r="C323" s="130">
        <v>17.47</v>
      </c>
      <c r="D323" s="130">
        <v>17.71</v>
      </c>
      <c r="E323" s="130">
        <v>16.96</v>
      </c>
      <c r="F323" s="130">
        <v>17.32</v>
      </c>
      <c r="G323" s="160">
        <v>975500</v>
      </c>
      <c r="H323" s="160">
        <f t="shared" si="4"/>
        <v>16895660</v>
      </c>
      <c r="I323" t="s">
        <v>8835</v>
      </c>
      <c r="J323">
        <v>2021</v>
      </c>
      <c r="K323">
        <v>9</v>
      </c>
      <c r="L323" t="s">
        <v>8907</v>
      </c>
      <c r="M323" t="s">
        <v>1552</v>
      </c>
      <c r="N323" t="s">
        <v>8908</v>
      </c>
    </row>
    <row r="324" spans="1:14" x14ac:dyDescent="0.3">
      <c r="A324">
        <v>2022</v>
      </c>
      <c r="B324" s="159">
        <v>44468</v>
      </c>
      <c r="C324" s="130">
        <v>17.309999999999999</v>
      </c>
      <c r="D324" s="130">
        <v>17.489999999999998</v>
      </c>
      <c r="E324" s="130">
        <v>16.7</v>
      </c>
      <c r="F324" s="130">
        <v>17</v>
      </c>
      <c r="G324" s="160">
        <v>1967000</v>
      </c>
      <c r="H324" s="160">
        <f t="shared" si="4"/>
        <v>33439000</v>
      </c>
      <c r="I324" t="s">
        <v>8835</v>
      </c>
      <c r="J324">
        <v>2021</v>
      </c>
      <c r="K324">
        <v>9</v>
      </c>
      <c r="L324" t="s">
        <v>8907</v>
      </c>
      <c r="M324" t="s">
        <v>1552</v>
      </c>
      <c r="N324" t="s">
        <v>8908</v>
      </c>
    </row>
    <row r="325" spans="1:14" x14ac:dyDescent="0.3">
      <c r="A325">
        <v>2022</v>
      </c>
      <c r="B325" s="159">
        <v>44469</v>
      </c>
      <c r="C325" s="130">
        <v>17</v>
      </c>
      <c r="D325" s="130">
        <v>18.170000000000002</v>
      </c>
      <c r="E325" s="130">
        <v>16.75</v>
      </c>
      <c r="F325" s="130">
        <v>17.95</v>
      </c>
      <c r="G325" s="160">
        <v>2469500</v>
      </c>
      <c r="H325" s="160">
        <f t="shared" si="4"/>
        <v>44327525</v>
      </c>
      <c r="I325" t="s">
        <v>8835</v>
      </c>
      <c r="J325">
        <v>2021</v>
      </c>
      <c r="K325">
        <v>9</v>
      </c>
      <c r="L325" t="s">
        <v>8907</v>
      </c>
      <c r="M325" t="s">
        <v>1552</v>
      </c>
      <c r="N325" t="s">
        <v>8908</v>
      </c>
    </row>
    <row r="326" spans="1:14" x14ac:dyDescent="0.3">
      <c r="A326">
        <v>2022</v>
      </c>
      <c r="B326" s="159">
        <v>44470</v>
      </c>
      <c r="C326" s="130">
        <v>17.850000000000001</v>
      </c>
      <c r="D326" s="130">
        <v>17.88</v>
      </c>
      <c r="E326" s="130">
        <v>17.46</v>
      </c>
      <c r="F326" s="130">
        <v>17.600000000000001</v>
      </c>
      <c r="G326" s="160">
        <v>829000</v>
      </c>
      <c r="H326" s="160">
        <f t="shared" si="4"/>
        <v>14590400.000000002</v>
      </c>
      <c r="I326" t="s">
        <v>8836</v>
      </c>
      <c r="J326">
        <v>2021</v>
      </c>
      <c r="K326">
        <v>10</v>
      </c>
      <c r="L326" t="s">
        <v>8909</v>
      </c>
      <c r="M326" t="s">
        <v>1552</v>
      </c>
      <c r="N326" t="s">
        <v>8910</v>
      </c>
    </row>
    <row r="327" spans="1:14" x14ac:dyDescent="0.3">
      <c r="A327">
        <v>2022</v>
      </c>
      <c r="B327" s="159">
        <v>44473</v>
      </c>
      <c r="C327" s="130">
        <v>17.5</v>
      </c>
      <c r="D327" s="130">
        <v>17.649999999999999</v>
      </c>
      <c r="E327" s="130">
        <v>17.22</v>
      </c>
      <c r="F327" s="130">
        <v>17.61</v>
      </c>
      <c r="G327" s="160">
        <v>592500</v>
      </c>
      <c r="H327" s="160">
        <f t="shared" si="4"/>
        <v>10433925</v>
      </c>
      <c r="I327" t="s">
        <v>8836</v>
      </c>
      <c r="J327">
        <v>2021</v>
      </c>
      <c r="K327">
        <v>10</v>
      </c>
      <c r="L327" t="s">
        <v>8909</v>
      </c>
      <c r="M327" t="s">
        <v>1552</v>
      </c>
      <c r="N327" t="s">
        <v>8910</v>
      </c>
    </row>
    <row r="328" spans="1:14" x14ac:dyDescent="0.3">
      <c r="A328">
        <v>2022</v>
      </c>
      <c r="B328" s="159">
        <v>44474</v>
      </c>
      <c r="C328" s="130">
        <v>17.46</v>
      </c>
      <c r="D328" s="130">
        <v>17.579999999999998</v>
      </c>
      <c r="E328" s="130">
        <v>16.52</v>
      </c>
      <c r="F328" s="130">
        <v>16.71</v>
      </c>
      <c r="G328" s="160">
        <v>3315000</v>
      </c>
      <c r="H328" s="160">
        <f t="shared" si="4"/>
        <v>55393650</v>
      </c>
      <c r="I328" t="s">
        <v>8836</v>
      </c>
      <c r="J328">
        <v>2021</v>
      </c>
      <c r="K328">
        <v>10</v>
      </c>
      <c r="L328" t="s">
        <v>8909</v>
      </c>
      <c r="M328" t="s">
        <v>1552</v>
      </c>
      <c r="N328" t="s">
        <v>8910</v>
      </c>
    </row>
    <row r="329" spans="1:14" x14ac:dyDescent="0.3">
      <c r="A329">
        <v>2022</v>
      </c>
      <c r="B329" s="159">
        <v>44475</v>
      </c>
      <c r="C329" s="130">
        <v>16.71</v>
      </c>
      <c r="D329" s="130">
        <v>16.8</v>
      </c>
      <c r="E329" s="130">
        <v>16.16</v>
      </c>
      <c r="F329" s="130">
        <v>16.37</v>
      </c>
      <c r="G329" s="160">
        <v>1565000</v>
      </c>
      <c r="H329" s="160">
        <f t="shared" si="4"/>
        <v>25619050</v>
      </c>
      <c r="I329" t="s">
        <v>8836</v>
      </c>
      <c r="J329">
        <v>2021</v>
      </c>
      <c r="K329">
        <v>10</v>
      </c>
      <c r="L329" t="s">
        <v>8909</v>
      </c>
      <c r="M329" t="s">
        <v>1552</v>
      </c>
      <c r="N329" t="s">
        <v>8910</v>
      </c>
    </row>
    <row r="330" spans="1:14" x14ac:dyDescent="0.3">
      <c r="A330">
        <v>2022</v>
      </c>
      <c r="B330" s="159">
        <v>44476</v>
      </c>
      <c r="C330" s="130">
        <v>16.899999999999999</v>
      </c>
      <c r="D330" s="130">
        <v>17.55</v>
      </c>
      <c r="E330" s="130">
        <v>16.899999999999999</v>
      </c>
      <c r="F330" s="130">
        <v>17.309999999999999</v>
      </c>
      <c r="G330" s="160">
        <v>2556500</v>
      </c>
      <c r="H330" s="160">
        <f t="shared" si="4"/>
        <v>44253015</v>
      </c>
      <c r="I330" t="s">
        <v>8836</v>
      </c>
      <c r="J330">
        <v>2021</v>
      </c>
      <c r="K330">
        <v>10</v>
      </c>
      <c r="L330" t="s">
        <v>8909</v>
      </c>
      <c r="M330" t="s">
        <v>1552</v>
      </c>
      <c r="N330" t="s">
        <v>8910</v>
      </c>
    </row>
    <row r="331" spans="1:14" x14ac:dyDescent="0.3">
      <c r="A331">
        <v>2022</v>
      </c>
      <c r="B331" s="159">
        <v>44477</v>
      </c>
      <c r="C331" s="130">
        <v>17.34</v>
      </c>
      <c r="D331" s="130">
        <v>17.350000000000001</v>
      </c>
      <c r="E331" s="130">
        <v>16.75</v>
      </c>
      <c r="F331" s="130">
        <v>16.829999999999998</v>
      </c>
      <c r="G331" s="160">
        <v>776500</v>
      </c>
      <c r="H331" s="160">
        <f t="shared" si="4"/>
        <v>13068494.999999998</v>
      </c>
      <c r="I331" t="s">
        <v>8836</v>
      </c>
      <c r="J331">
        <v>2021</v>
      </c>
      <c r="K331">
        <v>10</v>
      </c>
      <c r="L331" t="s">
        <v>8909</v>
      </c>
      <c r="M331" t="s">
        <v>1552</v>
      </c>
      <c r="N331" t="s">
        <v>8910</v>
      </c>
    </row>
    <row r="332" spans="1:14" x14ac:dyDescent="0.3">
      <c r="A332">
        <v>2022</v>
      </c>
      <c r="B332" s="159">
        <v>44480</v>
      </c>
      <c r="C332" s="130">
        <v>16.760000000000002</v>
      </c>
      <c r="D332" s="130">
        <v>16.760000000000002</v>
      </c>
      <c r="E332" s="130">
        <v>16.100000000000001</v>
      </c>
      <c r="F332" s="130">
        <v>16.3</v>
      </c>
      <c r="G332" s="160">
        <v>866000</v>
      </c>
      <c r="H332" s="160">
        <f t="shared" si="4"/>
        <v>14115800</v>
      </c>
      <c r="I332" t="s">
        <v>8836</v>
      </c>
      <c r="J332">
        <v>2021</v>
      </c>
      <c r="K332">
        <v>10</v>
      </c>
      <c r="L332" t="s">
        <v>8909</v>
      </c>
      <c r="M332" t="s">
        <v>1552</v>
      </c>
      <c r="N332" t="s">
        <v>8910</v>
      </c>
    </row>
    <row r="333" spans="1:14" x14ac:dyDescent="0.3">
      <c r="A333">
        <v>2022</v>
      </c>
      <c r="B333" s="159">
        <v>44481</v>
      </c>
      <c r="C333" s="130">
        <v>16.149999999999999</v>
      </c>
      <c r="D333" s="130">
        <v>17.190000000000001</v>
      </c>
      <c r="E333" s="130">
        <v>15.99</v>
      </c>
      <c r="F333" s="130">
        <v>16.760000000000002</v>
      </c>
      <c r="G333" s="160">
        <v>1929500</v>
      </c>
      <c r="H333" s="160">
        <f t="shared" si="4"/>
        <v>32338420.000000004</v>
      </c>
      <c r="I333" t="s">
        <v>8836</v>
      </c>
      <c r="J333">
        <v>2021</v>
      </c>
      <c r="K333">
        <v>10</v>
      </c>
      <c r="L333" t="s">
        <v>8909</v>
      </c>
      <c r="M333" t="s">
        <v>1552</v>
      </c>
      <c r="N333" t="s">
        <v>8910</v>
      </c>
    </row>
    <row r="334" spans="1:14" x14ac:dyDescent="0.3">
      <c r="A334">
        <v>2022</v>
      </c>
      <c r="B334" s="159">
        <v>44482</v>
      </c>
      <c r="C334" s="130">
        <v>16.78</v>
      </c>
      <c r="D334" s="130">
        <v>16.850000000000001</v>
      </c>
      <c r="E334" s="130">
        <v>16.100000000000001</v>
      </c>
      <c r="F334" s="130">
        <v>16.18</v>
      </c>
      <c r="G334" s="160">
        <v>917500</v>
      </c>
      <c r="H334" s="160">
        <f t="shared" si="4"/>
        <v>14845150</v>
      </c>
      <c r="I334" t="s">
        <v>8836</v>
      </c>
      <c r="J334">
        <v>2021</v>
      </c>
      <c r="K334">
        <v>10</v>
      </c>
      <c r="L334" t="s">
        <v>8909</v>
      </c>
      <c r="M334" t="s">
        <v>1552</v>
      </c>
      <c r="N334" t="s">
        <v>8910</v>
      </c>
    </row>
    <row r="335" spans="1:14" x14ac:dyDescent="0.3">
      <c r="A335">
        <v>2022</v>
      </c>
      <c r="B335" s="159">
        <v>44483</v>
      </c>
      <c r="C335" s="130">
        <v>16.05</v>
      </c>
      <c r="D335" s="130">
        <v>17.39</v>
      </c>
      <c r="E335" s="130">
        <v>16</v>
      </c>
      <c r="F335" s="130">
        <v>17.39</v>
      </c>
      <c r="G335" s="160">
        <v>3256000</v>
      </c>
      <c r="H335" s="160">
        <f t="shared" si="4"/>
        <v>56621840</v>
      </c>
      <c r="I335" t="s">
        <v>8836</v>
      </c>
      <c r="J335">
        <v>2021</v>
      </c>
      <c r="K335">
        <v>10</v>
      </c>
      <c r="L335" t="s">
        <v>8909</v>
      </c>
      <c r="M335" t="s">
        <v>1552</v>
      </c>
      <c r="N335" t="s">
        <v>8910</v>
      </c>
    </row>
    <row r="336" spans="1:14" x14ac:dyDescent="0.3">
      <c r="A336">
        <v>2022</v>
      </c>
      <c r="B336" s="159">
        <v>44484</v>
      </c>
      <c r="C336" s="130">
        <v>17.7</v>
      </c>
      <c r="D336" s="130">
        <v>17.93</v>
      </c>
      <c r="E336" s="130">
        <v>17.27</v>
      </c>
      <c r="F336" s="130">
        <v>17.510000000000002</v>
      </c>
      <c r="G336" s="160">
        <v>1287500</v>
      </c>
      <c r="H336" s="160">
        <f t="shared" ref="H336:H399" si="5">F336*G336</f>
        <v>22544125.000000004</v>
      </c>
      <c r="I336" t="s">
        <v>8836</v>
      </c>
      <c r="J336">
        <v>2021</v>
      </c>
      <c r="K336">
        <v>10</v>
      </c>
      <c r="L336" t="s">
        <v>8909</v>
      </c>
      <c r="M336" t="s">
        <v>1552</v>
      </c>
      <c r="N336" t="s">
        <v>8910</v>
      </c>
    </row>
    <row r="337" spans="1:14" x14ac:dyDescent="0.3">
      <c r="A337">
        <v>2022</v>
      </c>
      <c r="B337" s="159">
        <v>44487</v>
      </c>
      <c r="C337" s="130">
        <v>17.45</v>
      </c>
      <c r="D337" s="130">
        <v>17.510000000000002</v>
      </c>
      <c r="E337" s="130">
        <v>16.8</v>
      </c>
      <c r="F337" s="130">
        <v>16.95</v>
      </c>
      <c r="G337" s="160">
        <v>405500</v>
      </c>
      <c r="H337" s="160">
        <f t="shared" si="5"/>
        <v>6873225</v>
      </c>
      <c r="I337" t="s">
        <v>8836</v>
      </c>
      <c r="J337">
        <v>2021</v>
      </c>
      <c r="K337">
        <v>10</v>
      </c>
      <c r="L337" t="s">
        <v>8909</v>
      </c>
      <c r="M337" t="s">
        <v>1552</v>
      </c>
      <c r="N337" t="s">
        <v>8910</v>
      </c>
    </row>
    <row r="338" spans="1:14" x14ac:dyDescent="0.3">
      <c r="A338">
        <v>2022</v>
      </c>
      <c r="B338" s="159">
        <v>44489</v>
      </c>
      <c r="C338" s="130">
        <v>17.2</v>
      </c>
      <c r="D338" s="130">
        <v>17.940000000000001</v>
      </c>
      <c r="E338" s="130">
        <v>17.2</v>
      </c>
      <c r="F338" s="130">
        <v>17.7</v>
      </c>
      <c r="G338" s="160">
        <v>1971500</v>
      </c>
      <c r="H338" s="160">
        <f t="shared" si="5"/>
        <v>34895550</v>
      </c>
      <c r="I338" t="s">
        <v>8836</v>
      </c>
      <c r="J338">
        <v>2021</v>
      </c>
      <c r="K338">
        <v>10</v>
      </c>
      <c r="L338" t="s">
        <v>8909</v>
      </c>
      <c r="M338" t="s">
        <v>1552</v>
      </c>
      <c r="N338" t="s">
        <v>8910</v>
      </c>
    </row>
    <row r="339" spans="1:14" x14ac:dyDescent="0.3">
      <c r="A339">
        <v>2022</v>
      </c>
      <c r="B339" s="159">
        <v>44490</v>
      </c>
      <c r="C339" s="130">
        <v>17.940000000000001</v>
      </c>
      <c r="D339" s="130">
        <v>18.39</v>
      </c>
      <c r="E339" s="130">
        <v>17.7</v>
      </c>
      <c r="F339" s="130">
        <v>18.03</v>
      </c>
      <c r="G339" s="160">
        <v>1911000</v>
      </c>
      <c r="H339" s="160">
        <f t="shared" si="5"/>
        <v>34455330</v>
      </c>
      <c r="I339" t="s">
        <v>8836</v>
      </c>
      <c r="J339">
        <v>2021</v>
      </c>
      <c r="K339">
        <v>10</v>
      </c>
      <c r="L339" t="s">
        <v>8909</v>
      </c>
      <c r="M339" t="s">
        <v>1552</v>
      </c>
      <c r="N339" t="s">
        <v>8910</v>
      </c>
    </row>
    <row r="340" spans="1:14" x14ac:dyDescent="0.3">
      <c r="A340">
        <v>2022</v>
      </c>
      <c r="B340" s="159">
        <v>44491</v>
      </c>
      <c r="C340" s="130">
        <v>18.28</v>
      </c>
      <c r="D340" s="130">
        <v>19.100000000000001</v>
      </c>
      <c r="E340" s="130">
        <v>18.28</v>
      </c>
      <c r="F340" s="130">
        <v>18.440000000000001</v>
      </c>
      <c r="G340" s="160">
        <v>4321500</v>
      </c>
      <c r="H340" s="160">
        <f t="shared" si="5"/>
        <v>79688460</v>
      </c>
      <c r="I340" t="s">
        <v>8836</v>
      </c>
      <c r="J340">
        <v>2021</v>
      </c>
      <c r="K340">
        <v>10</v>
      </c>
      <c r="L340" t="s">
        <v>8909</v>
      </c>
      <c r="M340" t="s">
        <v>1552</v>
      </c>
      <c r="N340" t="s">
        <v>8910</v>
      </c>
    </row>
    <row r="341" spans="1:14" x14ac:dyDescent="0.3">
      <c r="A341">
        <v>2022</v>
      </c>
      <c r="B341" s="159">
        <v>44494</v>
      </c>
      <c r="C341" s="130">
        <v>19.100000000000001</v>
      </c>
      <c r="D341" s="130">
        <v>19.100000000000001</v>
      </c>
      <c r="E341" s="130">
        <v>17.760000000000002</v>
      </c>
      <c r="F341" s="130">
        <v>17.95</v>
      </c>
      <c r="G341" s="160">
        <v>576500</v>
      </c>
      <c r="H341" s="160">
        <f t="shared" si="5"/>
        <v>10348175</v>
      </c>
      <c r="I341" t="s">
        <v>8836</v>
      </c>
      <c r="J341">
        <v>2021</v>
      </c>
      <c r="K341">
        <v>10</v>
      </c>
      <c r="L341" t="s">
        <v>8909</v>
      </c>
      <c r="M341" t="s">
        <v>1552</v>
      </c>
      <c r="N341" t="s">
        <v>8910</v>
      </c>
    </row>
    <row r="342" spans="1:14" x14ac:dyDescent="0.3">
      <c r="A342">
        <v>2022</v>
      </c>
      <c r="B342" s="159">
        <v>44495</v>
      </c>
      <c r="C342" s="130">
        <v>18</v>
      </c>
      <c r="D342" s="130">
        <v>18.25</v>
      </c>
      <c r="E342" s="130">
        <v>17.41</v>
      </c>
      <c r="F342" s="130">
        <v>17.52</v>
      </c>
      <c r="G342" s="160">
        <v>1671500</v>
      </c>
      <c r="H342" s="160">
        <f t="shared" si="5"/>
        <v>29284680</v>
      </c>
      <c r="I342" t="s">
        <v>8836</v>
      </c>
      <c r="J342">
        <v>2021</v>
      </c>
      <c r="K342">
        <v>10</v>
      </c>
      <c r="L342" t="s">
        <v>8909</v>
      </c>
      <c r="M342" t="s">
        <v>1552</v>
      </c>
      <c r="N342" t="s">
        <v>8910</v>
      </c>
    </row>
    <row r="343" spans="1:14" x14ac:dyDescent="0.3">
      <c r="A343">
        <v>2022</v>
      </c>
      <c r="B343" s="159">
        <v>44496</v>
      </c>
      <c r="C343" s="130">
        <v>17.98</v>
      </c>
      <c r="D343" s="130">
        <v>18.600000000000001</v>
      </c>
      <c r="E343" s="130">
        <v>17.649999999999999</v>
      </c>
      <c r="F343" s="130">
        <v>17.899999999999999</v>
      </c>
      <c r="G343" s="160">
        <v>1970500</v>
      </c>
      <c r="H343" s="160">
        <f t="shared" si="5"/>
        <v>35271950</v>
      </c>
      <c r="I343" t="s">
        <v>8836</v>
      </c>
      <c r="J343">
        <v>2021</v>
      </c>
      <c r="K343">
        <v>10</v>
      </c>
      <c r="L343" t="s">
        <v>8909</v>
      </c>
      <c r="M343" t="s">
        <v>1552</v>
      </c>
      <c r="N343" t="s">
        <v>8910</v>
      </c>
    </row>
    <row r="344" spans="1:14" x14ac:dyDescent="0.3">
      <c r="A344">
        <v>2022</v>
      </c>
      <c r="B344" s="159">
        <v>44497</v>
      </c>
      <c r="C344" s="130">
        <v>18.43</v>
      </c>
      <c r="D344" s="130">
        <v>19.239999999999998</v>
      </c>
      <c r="E344" s="130">
        <v>18.3</v>
      </c>
      <c r="F344" s="130">
        <v>19.22</v>
      </c>
      <c r="G344" s="160">
        <v>7615500</v>
      </c>
      <c r="H344" s="160">
        <f t="shared" si="5"/>
        <v>146369910</v>
      </c>
      <c r="I344" t="s">
        <v>8836</v>
      </c>
      <c r="J344">
        <v>2021</v>
      </c>
      <c r="K344">
        <v>10</v>
      </c>
      <c r="L344" t="s">
        <v>8909</v>
      </c>
      <c r="M344" t="s">
        <v>1552</v>
      </c>
      <c r="N344" t="s">
        <v>8910</v>
      </c>
    </row>
    <row r="345" spans="1:14" x14ac:dyDescent="0.3">
      <c r="A345">
        <v>2022</v>
      </c>
      <c r="B345" s="159">
        <v>44498</v>
      </c>
      <c r="C345" s="130">
        <v>19.5</v>
      </c>
      <c r="D345" s="130">
        <v>20.2</v>
      </c>
      <c r="E345" s="130">
        <v>19.059999999999999</v>
      </c>
      <c r="F345" s="130">
        <v>20.04</v>
      </c>
      <c r="G345" s="160">
        <v>7627500</v>
      </c>
      <c r="H345" s="160">
        <f t="shared" si="5"/>
        <v>152855100</v>
      </c>
      <c r="I345" t="s">
        <v>8836</v>
      </c>
      <c r="J345">
        <v>2021</v>
      </c>
      <c r="K345">
        <v>10</v>
      </c>
      <c r="L345" t="s">
        <v>8909</v>
      </c>
      <c r="M345" t="s">
        <v>1552</v>
      </c>
      <c r="N345" t="s">
        <v>8910</v>
      </c>
    </row>
    <row r="346" spans="1:14" x14ac:dyDescent="0.3">
      <c r="A346">
        <v>2022</v>
      </c>
      <c r="B346" s="159">
        <v>44501</v>
      </c>
      <c r="C346" s="130">
        <v>20.65</v>
      </c>
      <c r="D346" s="130">
        <v>21.54</v>
      </c>
      <c r="E346" s="130">
        <v>20.65</v>
      </c>
      <c r="F346" s="130">
        <v>21.49</v>
      </c>
      <c r="G346" s="160">
        <v>13626500</v>
      </c>
      <c r="H346" s="160">
        <f t="shared" si="5"/>
        <v>292833485</v>
      </c>
      <c r="I346" t="s">
        <v>8837</v>
      </c>
      <c r="J346">
        <v>2021</v>
      </c>
      <c r="K346">
        <v>11</v>
      </c>
      <c r="L346" t="s">
        <v>8911</v>
      </c>
      <c r="M346" t="s">
        <v>1552</v>
      </c>
      <c r="N346" t="s">
        <v>8912</v>
      </c>
    </row>
    <row r="347" spans="1:14" x14ac:dyDescent="0.3">
      <c r="A347">
        <v>2022</v>
      </c>
      <c r="B347" s="159">
        <v>44502</v>
      </c>
      <c r="C347" s="130">
        <v>21.9</v>
      </c>
      <c r="D347" s="130">
        <v>22.09</v>
      </c>
      <c r="E347" s="130">
        <v>20.89</v>
      </c>
      <c r="F347" s="130">
        <v>21.01</v>
      </c>
      <c r="G347" s="160">
        <v>9644500</v>
      </c>
      <c r="H347" s="160">
        <f t="shared" si="5"/>
        <v>202630945.00000003</v>
      </c>
      <c r="I347" t="s">
        <v>8837</v>
      </c>
      <c r="J347">
        <v>2021</v>
      </c>
      <c r="K347">
        <v>11</v>
      </c>
      <c r="L347" t="s">
        <v>8911</v>
      </c>
      <c r="M347" t="s">
        <v>1552</v>
      </c>
      <c r="N347" t="s">
        <v>8912</v>
      </c>
    </row>
    <row r="348" spans="1:14" x14ac:dyDescent="0.3">
      <c r="A348">
        <v>2022</v>
      </c>
      <c r="B348" s="159">
        <v>44503</v>
      </c>
      <c r="C348" s="130">
        <v>21.29</v>
      </c>
      <c r="D348" s="130">
        <v>21.29</v>
      </c>
      <c r="E348" s="130">
        <v>20.74</v>
      </c>
      <c r="F348" s="130">
        <v>20.82</v>
      </c>
      <c r="G348" s="160">
        <v>3561500</v>
      </c>
      <c r="H348" s="160">
        <f t="shared" si="5"/>
        <v>74150430</v>
      </c>
      <c r="I348" t="s">
        <v>8837</v>
      </c>
      <c r="J348">
        <v>2021</v>
      </c>
      <c r="K348">
        <v>11</v>
      </c>
      <c r="L348" t="s">
        <v>8911</v>
      </c>
      <c r="M348" t="s">
        <v>1552</v>
      </c>
      <c r="N348" t="s">
        <v>8912</v>
      </c>
    </row>
    <row r="349" spans="1:14" x14ac:dyDescent="0.3">
      <c r="A349">
        <v>2022</v>
      </c>
      <c r="B349" s="159">
        <v>44504</v>
      </c>
      <c r="C349" s="130">
        <v>20.69</v>
      </c>
      <c r="D349" s="130">
        <v>20.94</v>
      </c>
      <c r="E349" s="130">
        <v>20.239999999999998</v>
      </c>
      <c r="F349" s="130">
        <v>20.59</v>
      </c>
      <c r="G349" s="160">
        <v>2924500</v>
      </c>
      <c r="H349" s="160">
        <f t="shared" si="5"/>
        <v>60215455</v>
      </c>
      <c r="I349" t="s">
        <v>8837</v>
      </c>
      <c r="J349">
        <v>2021</v>
      </c>
      <c r="K349">
        <v>11</v>
      </c>
      <c r="L349" t="s">
        <v>8911</v>
      </c>
      <c r="M349" t="s">
        <v>1552</v>
      </c>
      <c r="N349" t="s">
        <v>8912</v>
      </c>
    </row>
    <row r="350" spans="1:14" x14ac:dyDescent="0.3">
      <c r="A350">
        <v>2022</v>
      </c>
      <c r="B350" s="159">
        <v>44505</v>
      </c>
      <c r="C350" s="130">
        <v>20.58</v>
      </c>
      <c r="D350" s="130">
        <v>21.23</v>
      </c>
      <c r="E350" s="130">
        <v>20.41</v>
      </c>
      <c r="F350" s="130">
        <v>20.57</v>
      </c>
      <c r="G350" s="160">
        <v>4457000</v>
      </c>
      <c r="H350" s="160">
        <f t="shared" si="5"/>
        <v>91680490</v>
      </c>
      <c r="I350" t="s">
        <v>8837</v>
      </c>
      <c r="J350">
        <v>2021</v>
      </c>
      <c r="K350">
        <v>11</v>
      </c>
      <c r="L350" t="s">
        <v>8911</v>
      </c>
      <c r="M350" t="s">
        <v>1552</v>
      </c>
      <c r="N350" t="s">
        <v>8912</v>
      </c>
    </row>
    <row r="351" spans="1:14" x14ac:dyDescent="0.3">
      <c r="A351">
        <v>2022</v>
      </c>
      <c r="B351" s="159">
        <v>44508</v>
      </c>
      <c r="C351" s="130">
        <v>20.5</v>
      </c>
      <c r="D351" s="130">
        <v>20.7</v>
      </c>
      <c r="E351" s="130">
        <v>19.96</v>
      </c>
      <c r="F351" s="130">
        <v>20.09</v>
      </c>
      <c r="G351" s="160">
        <v>1690000</v>
      </c>
      <c r="H351" s="160">
        <f t="shared" si="5"/>
        <v>33952100</v>
      </c>
      <c r="I351" t="s">
        <v>8837</v>
      </c>
      <c r="J351">
        <v>2021</v>
      </c>
      <c r="K351">
        <v>11</v>
      </c>
      <c r="L351" t="s">
        <v>8911</v>
      </c>
      <c r="M351" t="s">
        <v>1552</v>
      </c>
      <c r="N351" t="s">
        <v>8912</v>
      </c>
    </row>
    <row r="352" spans="1:14" x14ac:dyDescent="0.3">
      <c r="A352">
        <v>2022</v>
      </c>
      <c r="B352" s="159">
        <v>44509</v>
      </c>
      <c r="C352" s="130">
        <v>20.11</v>
      </c>
      <c r="D352" s="130">
        <v>20.11</v>
      </c>
      <c r="E352" s="130">
        <v>18.75</v>
      </c>
      <c r="F352" s="130">
        <v>18.97</v>
      </c>
      <c r="G352" s="160">
        <v>4864000</v>
      </c>
      <c r="H352" s="160">
        <f t="shared" si="5"/>
        <v>92270080</v>
      </c>
      <c r="I352" t="s">
        <v>8837</v>
      </c>
      <c r="J352">
        <v>2021</v>
      </c>
      <c r="K352">
        <v>11</v>
      </c>
      <c r="L352" t="s">
        <v>8911</v>
      </c>
      <c r="M352" t="s">
        <v>1552</v>
      </c>
      <c r="N352" t="s">
        <v>8912</v>
      </c>
    </row>
    <row r="353" spans="1:14" x14ac:dyDescent="0.3">
      <c r="A353">
        <v>2022</v>
      </c>
      <c r="B353" s="159">
        <v>44510</v>
      </c>
      <c r="C353" s="130">
        <v>19.100000000000001</v>
      </c>
      <c r="D353" s="130">
        <v>19.2</v>
      </c>
      <c r="E353" s="130">
        <v>18.3</v>
      </c>
      <c r="F353" s="130">
        <v>18.809999999999999</v>
      </c>
      <c r="G353" s="160">
        <v>5465000</v>
      </c>
      <c r="H353" s="160">
        <f t="shared" si="5"/>
        <v>102796650</v>
      </c>
      <c r="I353" t="s">
        <v>8837</v>
      </c>
      <c r="J353">
        <v>2021</v>
      </c>
      <c r="K353">
        <v>11</v>
      </c>
      <c r="L353" t="s">
        <v>8911</v>
      </c>
      <c r="M353" t="s">
        <v>1552</v>
      </c>
      <c r="N353" t="s">
        <v>8912</v>
      </c>
    </row>
    <row r="354" spans="1:14" x14ac:dyDescent="0.3">
      <c r="A354">
        <v>2022</v>
      </c>
      <c r="B354" s="159">
        <v>44511</v>
      </c>
      <c r="C354" s="130">
        <v>18.850000000000001</v>
      </c>
      <c r="D354" s="130">
        <v>19.05</v>
      </c>
      <c r="E354" s="130">
        <v>18.5</v>
      </c>
      <c r="F354" s="130">
        <v>18.53</v>
      </c>
      <c r="G354" s="160">
        <v>1083000</v>
      </c>
      <c r="H354" s="160">
        <f t="shared" si="5"/>
        <v>20067990</v>
      </c>
      <c r="I354" t="s">
        <v>8837</v>
      </c>
      <c r="J354">
        <v>2021</v>
      </c>
      <c r="K354">
        <v>11</v>
      </c>
      <c r="L354" t="s">
        <v>8911</v>
      </c>
      <c r="M354" t="s">
        <v>1552</v>
      </c>
      <c r="N354" t="s">
        <v>8912</v>
      </c>
    </row>
    <row r="355" spans="1:14" x14ac:dyDescent="0.3">
      <c r="A355">
        <v>2022</v>
      </c>
      <c r="B355" s="159">
        <v>44512</v>
      </c>
      <c r="C355" s="130">
        <v>18.63</v>
      </c>
      <c r="D355" s="130">
        <v>18.63</v>
      </c>
      <c r="E355" s="130">
        <v>18.2</v>
      </c>
      <c r="F355" s="130">
        <v>18.47</v>
      </c>
      <c r="G355" s="160">
        <v>1257000</v>
      </c>
      <c r="H355" s="160">
        <f t="shared" si="5"/>
        <v>23216790</v>
      </c>
      <c r="I355" t="s">
        <v>8837</v>
      </c>
      <c r="J355">
        <v>2021</v>
      </c>
      <c r="K355">
        <v>11</v>
      </c>
      <c r="L355" t="s">
        <v>8911</v>
      </c>
      <c r="M355" t="s">
        <v>1552</v>
      </c>
      <c r="N355" t="s">
        <v>8912</v>
      </c>
    </row>
    <row r="356" spans="1:14" x14ac:dyDescent="0.3">
      <c r="A356">
        <v>2022</v>
      </c>
      <c r="B356" s="159">
        <v>44515</v>
      </c>
      <c r="C356" s="130">
        <v>18.5</v>
      </c>
      <c r="D356" s="130">
        <v>18.57</v>
      </c>
      <c r="E356" s="130">
        <v>18.11</v>
      </c>
      <c r="F356" s="130">
        <v>18.2</v>
      </c>
      <c r="G356" s="160">
        <v>1181000</v>
      </c>
      <c r="H356" s="160">
        <f t="shared" si="5"/>
        <v>21494200</v>
      </c>
      <c r="I356" t="s">
        <v>8837</v>
      </c>
      <c r="J356">
        <v>2021</v>
      </c>
      <c r="K356">
        <v>11</v>
      </c>
      <c r="L356" t="s">
        <v>8911</v>
      </c>
      <c r="M356" t="s">
        <v>1552</v>
      </c>
      <c r="N356" t="s">
        <v>8912</v>
      </c>
    </row>
    <row r="357" spans="1:14" x14ac:dyDescent="0.3">
      <c r="A357">
        <v>2022</v>
      </c>
      <c r="B357" s="159">
        <v>44516</v>
      </c>
      <c r="C357" s="130">
        <v>18.149999999999999</v>
      </c>
      <c r="D357" s="130">
        <v>19</v>
      </c>
      <c r="E357" s="130">
        <v>18.149999999999999</v>
      </c>
      <c r="F357" s="130">
        <v>18.72</v>
      </c>
      <c r="G357" s="160">
        <v>2079500</v>
      </c>
      <c r="H357" s="160">
        <f t="shared" si="5"/>
        <v>38928240</v>
      </c>
      <c r="I357" t="s">
        <v>8837</v>
      </c>
      <c r="J357">
        <v>2021</v>
      </c>
      <c r="K357">
        <v>11</v>
      </c>
      <c r="L357" t="s">
        <v>8911</v>
      </c>
      <c r="M357" t="s">
        <v>1552</v>
      </c>
      <c r="N357" t="s">
        <v>8912</v>
      </c>
    </row>
    <row r="358" spans="1:14" x14ac:dyDescent="0.3">
      <c r="A358">
        <v>2022</v>
      </c>
      <c r="B358" s="159">
        <v>44517</v>
      </c>
      <c r="C358" s="130">
        <v>18.55</v>
      </c>
      <c r="D358" s="130">
        <v>18.850000000000001</v>
      </c>
      <c r="E358" s="130">
        <v>18.3</v>
      </c>
      <c r="F358" s="130">
        <v>18.489999999999998</v>
      </c>
      <c r="G358" s="160">
        <v>968000</v>
      </c>
      <c r="H358" s="160">
        <f t="shared" si="5"/>
        <v>17898320</v>
      </c>
      <c r="I358" t="s">
        <v>8837</v>
      </c>
      <c r="J358">
        <v>2021</v>
      </c>
      <c r="K358">
        <v>11</v>
      </c>
      <c r="L358" t="s">
        <v>8911</v>
      </c>
      <c r="M358" t="s">
        <v>1552</v>
      </c>
      <c r="N358" t="s">
        <v>8912</v>
      </c>
    </row>
    <row r="359" spans="1:14" x14ac:dyDescent="0.3">
      <c r="A359">
        <v>2022</v>
      </c>
      <c r="B359" s="159">
        <v>44518</v>
      </c>
      <c r="C359" s="130">
        <v>18.510000000000002</v>
      </c>
      <c r="D359" s="130">
        <v>19.62</v>
      </c>
      <c r="E359" s="130">
        <v>18.510000000000002</v>
      </c>
      <c r="F359" s="130">
        <v>19.04</v>
      </c>
      <c r="G359" s="160">
        <v>10452500</v>
      </c>
      <c r="H359" s="160">
        <f t="shared" si="5"/>
        <v>199015600</v>
      </c>
      <c r="I359" t="s">
        <v>8837</v>
      </c>
      <c r="J359">
        <v>2021</v>
      </c>
      <c r="K359">
        <v>11</v>
      </c>
      <c r="L359" t="s">
        <v>8911</v>
      </c>
      <c r="M359" t="s">
        <v>1552</v>
      </c>
      <c r="N359" t="s">
        <v>8912</v>
      </c>
    </row>
    <row r="360" spans="1:14" x14ac:dyDescent="0.3">
      <c r="A360">
        <v>2022</v>
      </c>
      <c r="B360" s="159">
        <v>44519</v>
      </c>
      <c r="C360" s="130">
        <v>19.28</v>
      </c>
      <c r="D360" s="130">
        <v>19.600000000000001</v>
      </c>
      <c r="E360" s="130">
        <v>18.8</v>
      </c>
      <c r="F360" s="130">
        <v>19.14</v>
      </c>
      <c r="G360" s="160">
        <v>4331500</v>
      </c>
      <c r="H360" s="160">
        <f t="shared" si="5"/>
        <v>82904910</v>
      </c>
      <c r="I360" t="s">
        <v>8837</v>
      </c>
      <c r="J360">
        <v>2021</v>
      </c>
      <c r="K360">
        <v>11</v>
      </c>
      <c r="L360" t="s">
        <v>8911</v>
      </c>
      <c r="M360" t="s">
        <v>1552</v>
      </c>
      <c r="N360" t="s">
        <v>8912</v>
      </c>
    </row>
    <row r="361" spans="1:14" x14ac:dyDescent="0.3">
      <c r="A361">
        <v>2022</v>
      </c>
      <c r="B361" s="159">
        <v>44522</v>
      </c>
      <c r="C361" s="130">
        <v>19.149999999999999</v>
      </c>
      <c r="D361" s="130">
        <v>19.29</v>
      </c>
      <c r="E361" s="130">
        <v>18.579999999999998</v>
      </c>
      <c r="F361" s="130">
        <v>18.72</v>
      </c>
      <c r="G361" s="160">
        <v>1452000</v>
      </c>
      <c r="H361" s="160">
        <f t="shared" si="5"/>
        <v>27181440</v>
      </c>
      <c r="I361" t="s">
        <v>8837</v>
      </c>
      <c r="J361">
        <v>2021</v>
      </c>
      <c r="K361">
        <v>11</v>
      </c>
      <c r="L361" t="s">
        <v>8911</v>
      </c>
      <c r="M361" t="s">
        <v>1552</v>
      </c>
      <c r="N361" t="s">
        <v>8912</v>
      </c>
    </row>
    <row r="362" spans="1:14" x14ac:dyDescent="0.3">
      <c r="A362">
        <v>2022</v>
      </c>
      <c r="B362" s="159">
        <v>44523</v>
      </c>
      <c r="C362" s="130">
        <v>18.8</v>
      </c>
      <c r="D362" s="130">
        <v>18.899999999999999</v>
      </c>
      <c r="E362" s="130">
        <v>17.8</v>
      </c>
      <c r="F362" s="130">
        <v>17.98</v>
      </c>
      <c r="G362" s="160">
        <v>2379500</v>
      </c>
      <c r="H362" s="160">
        <f t="shared" si="5"/>
        <v>42783410</v>
      </c>
      <c r="I362" t="s">
        <v>8837</v>
      </c>
      <c r="J362">
        <v>2021</v>
      </c>
      <c r="K362">
        <v>11</v>
      </c>
      <c r="L362" t="s">
        <v>8911</v>
      </c>
      <c r="M362" t="s">
        <v>1552</v>
      </c>
      <c r="N362" t="s">
        <v>8912</v>
      </c>
    </row>
    <row r="363" spans="1:14" x14ac:dyDescent="0.3">
      <c r="A363">
        <v>2022</v>
      </c>
      <c r="B363" s="159">
        <v>44524</v>
      </c>
      <c r="C363" s="130">
        <v>17.850000000000001</v>
      </c>
      <c r="D363" s="130">
        <v>18.39</v>
      </c>
      <c r="E363" s="130">
        <v>17.7</v>
      </c>
      <c r="F363" s="130">
        <v>17.91</v>
      </c>
      <c r="G363" s="160">
        <v>2191500</v>
      </c>
      <c r="H363" s="160">
        <f t="shared" si="5"/>
        <v>39249765</v>
      </c>
      <c r="I363" t="s">
        <v>8837</v>
      </c>
      <c r="J363">
        <v>2021</v>
      </c>
      <c r="K363">
        <v>11</v>
      </c>
      <c r="L363" t="s">
        <v>8911</v>
      </c>
      <c r="M363" t="s">
        <v>1552</v>
      </c>
      <c r="N363" t="s">
        <v>8912</v>
      </c>
    </row>
    <row r="364" spans="1:14" x14ac:dyDescent="0.3">
      <c r="A364">
        <v>2022</v>
      </c>
      <c r="B364" s="159">
        <v>44525</v>
      </c>
      <c r="C364" s="130">
        <v>17.850000000000001</v>
      </c>
      <c r="D364" s="130">
        <v>17.850000000000001</v>
      </c>
      <c r="E364" s="130">
        <v>17.3</v>
      </c>
      <c r="F364" s="130">
        <v>17.579999999999998</v>
      </c>
      <c r="G364" s="160">
        <v>2971000</v>
      </c>
      <c r="H364" s="160">
        <f t="shared" si="5"/>
        <v>52230179.999999993</v>
      </c>
      <c r="I364" t="s">
        <v>8837</v>
      </c>
      <c r="J364">
        <v>2021</v>
      </c>
      <c r="K364">
        <v>11</v>
      </c>
      <c r="L364" t="s">
        <v>8911</v>
      </c>
      <c r="M364" t="s">
        <v>1552</v>
      </c>
      <c r="N364" t="s">
        <v>8912</v>
      </c>
    </row>
    <row r="365" spans="1:14" x14ac:dyDescent="0.3">
      <c r="A365">
        <v>2022</v>
      </c>
      <c r="B365" s="159">
        <v>44526</v>
      </c>
      <c r="C365" s="130">
        <v>17.52</v>
      </c>
      <c r="D365" s="130">
        <v>17.93</v>
      </c>
      <c r="E365" s="130">
        <v>17.3</v>
      </c>
      <c r="F365" s="130">
        <v>17.64</v>
      </c>
      <c r="G365" s="160">
        <v>2636000</v>
      </c>
      <c r="H365" s="160">
        <f t="shared" si="5"/>
        <v>46499040</v>
      </c>
      <c r="I365" t="s">
        <v>8837</v>
      </c>
      <c r="J365">
        <v>2021</v>
      </c>
      <c r="K365">
        <v>11</v>
      </c>
      <c r="L365" t="s">
        <v>8911</v>
      </c>
      <c r="M365" t="s">
        <v>1552</v>
      </c>
      <c r="N365" t="s">
        <v>8912</v>
      </c>
    </row>
    <row r="366" spans="1:14" x14ac:dyDescent="0.3">
      <c r="A366">
        <v>2022</v>
      </c>
      <c r="B366" s="159">
        <v>44529</v>
      </c>
      <c r="C366" s="130">
        <v>17.79</v>
      </c>
      <c r="D366" s="130">
        <v>18.88</v>
      </c>
      <c r="E366" s="130">
        <v>17.7</v>
      </c>
      <c r="F366" s="130">
        <v>18.670000000000002</v>
      </c>
      <c r="G366" s="160">
        <v>3103000</v>
      </c>
      <c r="H366" s="160">
        <f t="shared" si="5"/>
        <v>57933010.000000007</v>
      </c>
      <c r="I366" t="s">
        <v>8837</v>
      </c>
      <c r="J366">
        <v>2021</v>
      </c>
      <c r="K366">
        <v>11</v>
      </c>
      <c r="L366" t="s">
        <v>8911</v>
      </c>
      <c r="M366" t="s">
        <v>1552</v>
      </c>
      <c r="N366" t="s">
        <v>8912</v>
      </c>
    </row>
    <row r="367" spans="1:14" x14ac:dyDescent="0.3">
      <c r="A367">
        <v>2022</v>
      </c>
      <c r="B367" s="159">
        <v>44530</v>
      </c>
      <c r="C367" s="130">
        <v>18.93</v>
      </c>
      <c r="D367" s="130">
        <v>19.18</v>
      </c>
      <c r="E367" s="130">
        <v>18.25</v>
      </c>
      <c r="F367" s="130">
        <v>18.46</v>
      </c>
      <c r="G367" s="160">
        <v>1658000</v>
      </c>
      <c r="H367" s="160">
        <f t="shared" si="5"/>
        <v>30606680</v>
      </c>
      <c r="I367" t="s">
        <v>8837</v>
      </c>
      <c r="J367">
        <v>2021</v>
      </c>
      <c r="K367">
        <v>11</v>
      </c>
      <c r="L367" t="s">
        <v>8911</v>
      </c>
      <c r="M367" t="s">
        <v>1552</v>
      </c>
      <c r="N367" t="s">
        <v>8912</v>
      </c>
    </row>
    <row r="368" spans="1:14" x14ac:dyDescent="0.3">
      <c r="A368">
        <v>2022</v>
      </c>
      <c r="B368" s="159">
        <v>44531</v>
      </c>
      <c r="C368" s="130">
        <v>18.5</v>
      </c>
      <c r="D368" s="130">
        <v>19.309999999999999</v>
      </c>
      <c r="E368" s="130">
        <v>18.5</v>
      </c>
      <c r="F368" s="130">
        <v>18.899999999999999</v>
      </c>
      <c r="G368" s="160">
        <v>4578000</v>
      </c>
      <c r="H368" s="160">
        <f t="shared" si="5"/>
        <v>86524200</v>
      </c>
      <c r="I368" t="s">
        <v>8838</v>
      </c>
      <c r="J368">
        <v>2021</v>
      </c>
      <c r="K368">
        <v>12</v>
      </c>
      <c r="L368" t="s">
        <v>8913</v>
      </c>
      <c r="M368" t="s">
        <v>1552</v>
      </c>
      <c r="N368" t="s">
        <v>8914</v>
      </c>
    </row>
    <row r="369" spans="1:14" x14ac:dyDescent="0.3">
      <c r="A369">
        <v>2022</v>
      </c>
      <c r="B369" s="159">
        <v>44532</v>
      </c>
      <c r="C369" s="130">
        <v>18.7</v>
      </c>
      <c r="D369" s="130">
        <v>18.7</v>
      </c>
      <c r="E369" s="130">
        <v>17.489999999999998</v>
      </c>
      <c r="F369" s="130">
        <v>17.489999999999998</v>
      </c>
      <c r="G369" s="160">
        <v>4802000</v>
      </c>
      <c r="H369" s="160">
        <f t="shared" si="5"/>
        <v>83986979.999999985</v>
      </c>
      <c r="I369" t="s">
        <v>8838</v>
      </c>
      <c r="J369">
        <v>2021</v>
      </c>
      <c r="K369">
        <v>12</v>
      </c>
      <c r="L369" t="s">
        <v>8913</v>
      </c>
      <c r="M369" t="s">
        <v>1552</v>
      </c>
      <c r="N369" t="s">
        <v>8914</v>
      </c>
    </row>
    <row r="370" spans="1:14" x14ac:dyDescent="0.3">
      <c r="A370">
        <v>2022</v>
      </c>
      <c r="B370" s="159">
        <v>44533</v>
      </c>
      <c r="C370" s="130">
        <v>17.3</v>
      </c>
      <c r="D370" s="130">
        <v>17.440000000000001</v>
      </c>
      <c r="E370" s="130">
        <v>16.62</v>
      </c>
      <c r="F370" s="130">
        <v>17.11</v>
      </c>
      <c r="G370" s="160">
        <v>3732500</v>
      </c>
      <c r="H370" s="160">
        <f t="shared" si="5"/>
        <v>63863075</v>
      </c>
      <c r="I370" t="s">
        <v>8838</v>
      </c>
      <c r="J370">
        <v>2021</v>
      </c>
      <c r="K370">
        <v>12</v>
      </c>
      <c r="L370" t="s">
        <v>8913</v>
      </c>
      <c r="M370" t="s">
        <v>1552</v>
      </c>
      <c r="N370" t="s">
        <v>8914</v>
      </c>
    </row>
    <row r="371" spans="1:14" x14ac:dyDescent="0.3">
      <c r="A371">
        <v>2022</v>
      </c>
      <c r="B371" s="159">
        <v>44536</v>
      </c>
      <c r="C371" s="130">
        <v>17.68</v>
      </c>
      <c r="D371" s="130">
        <v>17.68</v>
      </c>
      <c r="E371" s="130">
        <v>17</v>
      </c>
      <c r="F371" s="130">
        <v>17.23</v>
      </c>
      <c r="G371" s="160">
        <v>443500</v>
      </c>
      <c r="H371" s="160">
        <f t="shared" si="5"/>
        <v>7641505</v>
      </c>
      <c r="I371" t="s">
        <v>8838</v>
      </c>
      <c r="J371">
        <v>2021</v>
      </c>
      <c r="K371">
        <v>12</v>
      </c>
      <c r="L371" t="s">
        <v>8913</v>
      </c>
      <c r="M371" t="s">
        <v>1552</v>
      </c>
      <c r="N371" t="s">
        <v>8914</v>
      </c>
    </row>
    <row r="372" spans="1:14" x14ac:dyDescent="0.3">
      <c r="A372">
        <v>2022</v>
      </c>
      <c r="B372" s="159">
        <v>44537</v>
      </c>
      <c r="C372" s="130">
        <v>17.27</v>
      </c>
      <c r="D372" s="130">
        <v>18</v>
      </c>
      <c r="E372" s="130">
        <v>17.27</v>
      </c>
      <c r="F372" s="130">
        <v>17.670000000000002</v>
      </c>
      <c r="G372" s="160">
        <v>1066500</v>
      </c>
      <c r="H372" s="160">
        <f t="shared" si="5"/>
        <v>18845055</v>
      </c>
      <c r="I372" t="s">
        <v>8838</v>
      </c>
      <c r="J372">
        <v>2021</v>
      </c>
      <c r="K372">
        <v>12</v>
      </c>
      <c r="L372" t="s">
        <v>8913</v>
      </c>
      <c r="M372" t="s">
        <v>1552</v>
      </c>
      <c r="N372" t="s">
        <v>8914</v>
      </c>
    </row>
    <row r="373" spans="1:14" x14ac:dyDescent="0.3">
      <c r="A373">
        <v>2022</v>
      </c>
      <c r="B373" s="159">
        <v>44538</v>
      </c>
      <c r="C373" s="130">
        <v>17.5</v>
      </c>
      <c r="D373" s="130">
        <v>17.8</v>
      </c>
      <c r="E373" s="130">
        <v>17.2</v>
      </c>
      <c r="F373" s="130">
        <v>17.48</v>
      </c>
      <c r="G373" s="160">
        <v>636500</v>
      </c>
      <c r="H373" s="160">
        <f t="shared" si="5"/>
        <v>11126020</v>
      </c>
      <c r="I373" t="s">
        <v>8838</v>
      </c>
      <c r="J373">
        <v>2021</v>
      </c>
      <c r="K373">
        <v>12</v>
      </c>
      <c r="L373" t="s">
        <v>8913</v>
      </c>
      <c r="M373" t="s">
        <v>1552</v>
      </c>
      <c r="N373" t="s">
        <v>8914</v>
      </c>
    </row>
    <row r="374" spans="1:14" x14ac:dyDescent="0.3">
      <c r="A374">
        <v>2022</v>
      </c>
      <c r="B374" s="159">
        <v>44539</v>
      </c>
      <c r="C374" s="130">
        <v>17.5</v>
      </c>
      <c r="D374" s="130">
        <v>17.5</v>
      </c>
      <c r="E374" s="130">
        <v>17</v>
      </c>
      <c r="F374" s="130">
        <v>17.11</v>
      </c>
      <c r="G374" s="160">
        <v>1089500</v>
      </c>
      <c r="H374" s="160">
        <f t="shared" si="5"/>
        <v>18641345</v>
      </c>
      <c r="I374" t="s">
        <v>8838</v>
      </c>
      <c r="J374">
        <v>2021</v>
      </c>
      <c r="K374">
        <v>12</v>
      </c>
      <c r="L374" t="s">
        <v>8913</v>
      </c>
      <c r="M374" t="s">
        <v>1552</v>
      </c>
      <c r="N374" t="s">
        <v>8914</v>
      </c>
    </row>
    <row r="375" spans="1:14" x14ac:dyDescent="0.3">
      <c r="A375">
        <v>2022</v>
      </c>
      <c r="B375" s="159">
        <v>44540</v>
      </c>
      <c r="C375" s="130">
        <v>16.809999999999999</v>
      </c>
      <c r="D375" s="130">
        <v>17.25</v>
      </c>
      <c r="E375" s="130">
        <v>16.8</v>
      </c>
      <c r="F375" s="130">
        <v>16.84</v>
      </c>
      <c r="G375" s="160">
        <v>937000</v>
      </c>
      <c r="H375" s="160">
        <f t="shared" si="5"/>
        <v>15779080</v>
      </c>
      <c r="I375" t="s">
        <v>8838</v>
      </c>
      <c r="J375">
        <v>2021</v>
      </c>
      <c r="K375">
        <v>12</v>
      </c>
      <c r="L375" t="s">
        <v>8913</v>
      </c>
      <c r="M375" t="s">
        <v>1552</v>
      </c>
      <c r="N375" t="s">
        <v>8914</v>
      </c>
    </row>
    <row r="376" spans="1:14" x14ac:dyDescent="0.3">
      <c r="A376">
        <v>2022</v>
      </c>
      <c r="B376" s="159">
        <v>44543</v>
      </c>
      <c r="C376" s="130">
        <v>16.84</v>
      </c>
      <c r="D376" s="130">
        <v>17.2</v>
      </c>
      <c r="E376" s="130">
        <v>16.8</v>
      </c>
      <c r="F376" s="130">
        <v>17.02</v>
      </c>
      <c r="G376" s="160">
        <v>1904000</v>
      </c>
      <c r="H376" s="160">
        <f t="shared" si="5"/>
        <v>32406080</v>
      </c>
      <c r="I376" t="s">
        <v>8838</v>
      </c>
      <c r="J376">
        <v>2021</v>
      </c>
      <c r="K376">
        <v>12</v>
      </c>
      <c r="L376" t="s">
        <v>8913</v>
      </c>
      <c r="M376" t="s">
        <v>1552</v>
      </c>
      <c r="N376" t="s">
        <v>8914</v>
      </c>
    </row>
    <row r="377" spans="1:14" x14ac:dyDescent="0.3">
      <c r="A377">
        <v>2022</v>
      </c>
      <c r="B377" s="159">
        <v>44544</v>
      </c>
      <c r="C377" s="130">
        <v>17.05</v>
      </c>
      <c r="D377" s="130">
        <v>17.55</v>
      </c>
      <c r="E377" s="130">
        <v>16.95</v>
      </c>
      <c r="F377" s="130">
        <v>17.47</v>
      </c>
      <c r="G377" s="160">
        <v>1312000</v>
      </c>
      <c r="H377" s="160">
        <f t="shared" si="5"/>
        <v>22920640</v>
      </c>
      <c r="I377" t="s">
        <v>8838</v>
      </c>
      <c r="J377">
        <v>2021</v>
      </c>
      <c r="K377">
        <v>12</v>
      </c>
      <c r="L377" t="s">
        <v>8913</v>
      </c>
      <c r="M377" t="s">
        <v>1552</v>
      </c>
      <c r="N377" t="s">
        <v>8914</v>
      </c>
    </row>
    <row r="378" spans="1:14" x14ac:dyDescent="0.3">
      <c r="A378">
        <v>2022</v>
      </c>
      <c r="B378" s="159">
        <v>44545</v>
      </c>
      <c r="C378" s="130">
        <v>17.88</v>
      </c>
      <c r="D378" s="130">
        <v>18.78</v>
      </c>
      <c r="E378" s="130">
        <v>17.88</v>
      </c>
      <c r="F378" s="130">
        <v>18.78</v>
      </c>
      <c r="G378" s="160">
        <v>8600000</v>
      </c>
      <c r="H378" s="160">
        <f t="shared" si="5"/>
        <v>161508000</v>
      </c>
      <c r="I378" t="s">
        <v>8838</v>
      </c>
      <c r="J378">
        <v>2021</v>
      </c>
      <c r="K378">
        <v>12</v>
      </c>
      <c r="L378" t="s">
        <v>8913</v>
      </c>
      <c r="M378" t="s">
        <v>1552</v>
      </c>
      <c r="N378" t="s">
        <v>8914</v>
      </c>
    </row>
    <row r="379" spans="1:14" x14ac:dyDescent="0.3">
      <c r="A379">
        <v>2022</v>
      </c>
      <c r="B379" s="159">
        <v>44546</v>
      </c>
      <c r="C379" s="130">
        <v>18.87</v>
      </c>
      <c r="D379" s="130">
        <v>18.87</v>
      </c>
      <c r="E379" s="130">
        <v>17.7</v>
      </c>
      <c r="F379" s="130">
        <v>17.89</v>
      </c>
      <c r="G379" s="160">
        <v>4780500</v>
      </c>
      <c r="H379" s="160">
        <f t="shared" si="5"/>
        <v>85523145</v>
      </c>
      <c r="I379" t="s">
        <v>8838</v>
      </c>
      <c r="J379">
        <v>2021</v>
      </c>
      <c r="K379">
        <v>12</v>
      </c>
      <c r="L379" t="s">
        <v>8913</v>
      </c>
      <c r="M379" t="s">
        <v>1552</v>
      </c>
      <c r="N379" t="s">
        <v>8914</v>
      </c>
    </row>
    <row r="380" spans="1:14" x14ac:dyDescent="0.3">
      <c r="A380">
        <v>2022</v>
      </c>
      <c r="B380" s="159">
        <v>44547</v>
      </c>
      <c r="C380" s="130">
        <v>17.7</v>
      </c>
      <c r="D380" s="130">
        <v>18.5</v>
      </c>
      <c r="E380" s="130">
        <v>17.7</v>
      </c>
      <c r="F380" s="130">
        <v>18.04</v>
      </c>
      <c r="G380" s="160">
        <v>3328500</v>
      </c>
      <c r="H380" s="160">
        <f t="shared" si="5"/>
        <v>60046140</v>
      </c>
      <c r="I380" t="s">
        <v>8838</v>
      </c>
      <c r="J380">
        <v>2021</v>
      </c>
      <c r="K380">
        <v>12</v>
      </c>
      <c r="L380" t="s">
        <v>8913</v>
      </c>
      <c r="M380" t="s">
        <v>1552</v>
      </c>
      <c r="N380" t="s">
        <v>8914</v>
      </c>
    </row>
    <row r="381" spans="1:14" x14ac:dyDescent="0.3">
      <c r="A381">
        <v>2022</v>
      </c>
      <c r="B381" s="159">
        <v>44550</v>
      </c>
      <c r="C381" s="130">
        <v>18</v>
      </c>
      <c r="D381" s="130">
        <v>18.84</v>
      </c>
      <c r="E381" s="130">
        <v>17.850000000000001</v>
      </c>
      <c r="F381" s="130">
        <v>18.489999999999998</v>
      </c>
      <c r="G381" s="160">
        <v>6779000</v>
      </c>
      <c r="H381" s="160">
        <f t="shared" si="5"/>
        <v>125343709.99999999</v>
      </c>
      <c r="I381" t="s">
        <v>8838</v>
      </c>
      <c r="J381">
        <v>2021</v>
      </c>
      <c r="K381">
        <v>12</v>
      </c>
      <c r="L381" t="s">
        <v>8913</v>
      </c>
      <c r="M381" t="s">
        <v>1552</v>
      </c>
      <c r="N381" t="s">
        <v>8914</v>
      </c>
    </row>
    <row r="382" spans="1:14" x14ac:dyDescent="0.3">
      <c r="A382">
        <v>2022</v>
      </c>
      <c r="B382" s="159">
        <v>44551</v>
      </c>
      <c r="C382" s="130">
        <v>18.489999999999998</v>
      </c>
      <c r="D382" s="130">
        <v>18.64</v>
      </c>
      <c r="E382" s="130">
        <v>18.149999999999999</v>
      </c>
      <c r="F382" s="130">
        <v>18.23</v>
      </c>
      <c r="G382" s="160">
        <v>1732500</v>
      </c>
      <c r="H382" s="160">
        <f t="shared" si="5"/>
        <v>31583475</v>
      </c>
      <c r="I382" t="s">
        <v>8838</v>
      </c>
      <c r="J382">
        <v>2021</v>
      </c>
      <c r="K382">
        <v>12</v>
      </c>
      <c r="L382" t="s">
        <v>8913</v>
      </c>
      <c r="M382" t="s">
        <v>1552</v>
      </c>
      <c r="N382" t="s">
        <v>8914</v>
      </c>
    </row>
    <row r="383" spans="1:14" x14ac:dyDescent="0.3">
      <c r="A383">
        <v>2022</v>
      </c>
      <c r="B383" s="159">
        <v>44552</v>
      </c>
      <c r="C383" s="130">
        <v>18.25</v>
      </c>
      <c r="D383" s="130">
        <v>18.29</v>
      </c>
      <c r="E383" s="130">
        <v>18.010000000000002</v>
      </c>
      <c r="F383" s="130">
        <v>18.04</v>
      </c>
      <c r="G383" s="160">
        <v>328000</v>
      </c>
      <c r="H383" s="160">
        <f t="shared" si="5"/>
        <v>5917120</v>
      </c>
      <c r="I383" t="s">
        <v>8838</v>
      </c>
      <c r="J383">
        <v>2021</v>
      </c>
      <c r="K383">
        <v>12</v>
      </c>
      <c r="L383" t="s">
        <v>8913</v>
      </c>
      <c r="M383" t="s">
        <v>1552</v>
      </c>
      <c r="N383" t="s">
        <v>8914</v>
      </c>
    </row>
    <row r="384" spans="1:14" x14ac:dyDescent="0.3">
      <c r="A384">
        <v>2022</v>
      </c>
      <c r="B384" s="159">
        <v>44553</v>
      </c>
      <c r="C384" s="130">
        <v>18.2</v>
      </c>
      <c r="D384" s="130">
        <v>18.38</v>
      </c>
      <c r="E384" s="130">
        <v>18.100000000000001</v>
      </c>
      <c r="F384" s="130">
        <v>18.170000000000002</v>
      </c>
      <c r="G384" s="160">
        <v>1265000</v>
      </c>
      <c r="H384" s="160">
        <f t="shared" si="5"/>
        <v>22985050.000000004</v>
      </c>
      <c r="I384" t="s">
        <v>8838</v>
      </c>
      <c r="J384">
        <v>2021</v>
      </c>
      <c r="K384">
        <v>12</v>
      </c>
      <c r="L384" t="s">
        <v>8913</v>
      </c>
      <c r="M384" t="s">
        <v>1552</v>
      </c>
      <c r="N384" t="s">
        <v>8914</v>
      </c>
    </row>
    <row r="385" spans="1:14" x14ac:dyDescent="0.3">
      <c r="A385">
        <v>2022</v>
      </c>
      <c r="B385" s="159">
        <v>44554</v>
      </c>
      <c r="C385" s="130">
        <v>18.29</v>
      </c>
      <c r="D385" s="130">
        <v>18.3</v>
      </c>
      <c r="E385" s="130">
        <v>18.03</v>
      </c>
      <c r="F385" s="130">
        <v>18.100000000000001</v>
      </c>
      <c r="G385" s="160">
        <v>1605000</v>
      </c>
      <c r="H385" s="160">
        <f t="shared" si="5"/>
        <v>29050500.000000004</v>
      </c>
      <c r="I385" t="s">
        <v>8838</v>
      </c>
      <c r="J385">
        <v>2021</v>
      </c>
      <c r="K385">
        <v>12</v>
      </c>
      <c r="L385" t="s">
        <v>8913</v>
      </c>
      <c r="M385" t="s">
        <v>1552</v>
      </c>
      <c r="N385" t="s">
        <v>8914</v>
      </c>
    </row>
    <row r="386" spans="1:14" x14ac:dyDescent="0.3">
      <c r="A386">
        <v>2022</v>
      </c>
      <c r="B386" s="159">
        <v>44557</v>
      </c>
      <c r="C386" s="130">
        <v>18</v>
      </c>
      <c r="D386" s="130">
        <v>18.2</v>
      </c>
      <c r="E386" s="130">
        <v>17.850000000000001</v>
      </c>
      <c r="F386" s="130">
        <v>18.100000000000001</v>
      </c>
      <c r="G386" s="160">
        <v>790500</v>
      </c>
      <c r="H386" s="160">
        <f t="shared" si="5"/>
        <v>14308050.000000002</v>
      </c>
      <c r="I386" t="s">
        <v>8838</v>
      </c>
      <c r="J386">
        <v>2021</v>
      </c>
      <c r="K386">
        <v>12</v>
      </c>
      <c r="L386" t="s">
        <v>8913</v>
      </c>
      <c r="M386" t="s">
        <v>1552</v>
      </c>
      <c r="N386" t="s">
        <v>8914</v>
      </c>
    </row>
    <row r="387" spans="1:14" x14ac:dyDescent="0.3">
      <c r="A387">
        <v>2022</v>
      </c>
      <c r="B387" s="159">
        <v>44558</v>
      </c>
      <c r="C387" s="130">
        <v>18.100000000000001</v>
      </c>
      <c r="D387" s="130">
        <v>18.2</v>
      </c>
      <c r="E387" s="130">
        <v>17.95</v>
      </c>
      <c r="F387" s="130">
        <v>18.079999999999998</v>
      </c>
      <c r="G387" s="160">
        <v>1111000</v>
      </c>
      <c r="H387" s="160">
        <f t="shared" si="5"/>
        <v>20086879.999999996</v>
      </c>
      <c r="I387" t="s">
        <v>8838</v>
      </c>
      <c r="J387">
        <v>2021</v>
      </c>
      <c r="K387">
        <v>12</v>
      </c>
      <c r="L387" t="s">
        <v>8913</v>
      </c>
      <c r="M387" t="s">
        <v>1552</v>
      </c>
      <c r="N387" t="s">
        <v>8914</v>
      </c>
    </row>
    <row r="388" spans="1:14" x14ac:dyDescent="0.3">
      <c r="A388">
        <v>2022</v>
      </c>
      <c r="B388" s="159">
        <v>44559</v>
      </c>
      <c r="C388" s="130">
        <v>18.05</v>
      </c>
      <c r="D388" s="130">
        <v>18.3</v>
      </c>
      <c r="E388" s="130">
        <v>18</v>
      </c>
      <c r="F388" s="130">
        <v>18.190000000000001</v>
      </c>
      <c r="G388" s="160">
        <v>1557500</v>
      </c>
      <c r="H388" s="160">
        <f t="shared" si="5"/>
        <v>28330925.000000004</v>
      </c>
      <c r="I388" t="s">
        <v>8838</v>
      </c>
      <c r="J388">
        <v>2021</v>
      </c>
      <c r="K388">
        <v>12</v>
      </c>
      <c r="L388" t="s">
        <v>8913</v>
      </c>
      <c r="M388" t="s">
        <v>1552</v>
      </c>
      <c r="N388" t="s">
        <v>8914</v>
      </c>
    </row>
    <row r="389" spans="1:14" x14ac:dyDescent="0.3">
      <c r="A389">
        <v>2022</v>
      </c>
      <c r="B389" s="159">
        <v>44560</v>
      </c>
      <c r="C389" s="130">
        <v>18.3</v>
      </c>
      <c r="D389" s="130">
        <v>18.649999999999999</v>
      </c>
      <c r="E389" s="130">
        <v>18.02</v>
      </c>
      <c r="F389" s="130">
        <v>18.22</v>
      </c>
      <c r="G389" s="160">
        <v>2592500</v>
      </c>
      <c r="H389" s="160">
        <f t="shared" si="5"/>
        <v>47235350</v>
      </c>
      <c r="I389" t="s">
        <v>8838</v>
      </c>
      <c r="J389">
        <v>2021</v>
      </c>
      <c r="K389">
        <v>12</v>
      </c>
      <c r="L389" t="s">
        <v>8913</v>
      </c>
      <c r="M389" t="s">
        <v>1552</v>
      </c>
      <c r="N389" t="s">
        <v>8914</v>
      </c>
    </row>
    <row r="390" spans="1:14" x14ac:dyDescent="0.3">
      <c r="A390">
        <v>2022</v>
      </c>
      <c r="B390" s="159">
        <v>44561</v>
      </c>
      <c r="C390" s="130">
        <v>18.34</v>
      </c>
      <c r="D390" s="130">
        <v>18.84</v>
      </c>
      <c r="E390" s="130">
        <v>18.25</v>
      </c>
      <c r="F390" s="130">
        <v>18.37</v>
      </c>
      <c r="G390" s="160">
        <v>2637000</v>
      </c>
      <c r="H390" s="160">
        <f t="shared" si="5"/>
        <v>48441690</v>
      </c>
      <c r="I390" t="s">
        <v>8838</v>
      </c>
      <c r="J390">
        <v>2021</v>
      </c>
      <c r="K390">
        <v>12</v>
      </c>
      <c r="L390" t="s">
        <v>8913</v>
      </c>
      <c r="M390" t="s">
        <v>1552</v>
      </c>
      <c r="N390" t="s">
        <v>8914</v>
      </c>
    </row>
    <row r="391" spans="1:14" x14ac:dyDescent="0.3">
      <c r="A391">
        <v>2022</v>
      </c>
      <c r="B391" s="159">
        <v>44564</v>
      </c>
      <c r="C391" s="130">
        <v>18.45</v>
      </c>
      <c r="D391" s="130">
        <v>18.75</v>
      </c>
      <c r="E391" s="130">
        <v>18.23</v>
      </c>
      <c r="F391" s="130">
        <v>18.600000000000001</v>
      </c>
      <c r="G391" s="160">
        <v>2954500</v>
      </c>
      <c r="H391" s="160">
        <f t="shared" si="5"/>
        <v>54953700.000000007</v>
      </c>
      <c r="I391" t="s">
        <v>8839</v>
      </c>
      <c r="J391">
        <v>2022</v>
      </c>
      <c r="K391">
        <v>1</v>
      </c>
      <c r="L391" t="s">
        <v>8915</v>
      </c>
      <c r="M391" t="s">
        <v>1552</v>
      </c>
      <c r="N391" t="s">
        <v>8916</v>
      </c>
    </row>
    <row r="392" spans="1:14" x14ac:dyDescent="0.3">
      <c r="A392">
        <v>2022</v>
      </c>
      <c r="B392" s="159">
        <v>44565</v>
      </c>
      <c r="C392" s="130">
        <v>18.7</v>
      </c>
      <c r="D392" s="130">
        <v>19.21</v>
      </c>
      <c r="E392" s="130">
        <v>18.53</v>
      </c>
      <c r="F392" s="130">
        <v>19.07</v>
      </c>
      <c r="G392" s="160">
        <v>3322500</v>
      </c>
      <c r="H392" s="160">
        <f t="shared" si="5"/>
        <v>63360075</v>
      </c>
      <c r="I392" t="s">
        <v>8839</v>
      </c>
      <c r="J392">
        <v>2022</v>
      </c>
      <c r="K392">
        <v>1</v>
      </c>
      <c r="L392" t="s">
        <v>8915</v>
      </c>
      <c r="M392" t="s">
        <v>1552</v>
      </c>
      <c r="N392" t="s">
        <v>8916</v>
      </c>
    </row>
    <row r="393" spans="1:14" x14ac:dyDescent="0.3">
      <c r="A393">
        <v>2022</v>
      </c>
      <c r="B393" s="159">
        <v>44566</v>
      </c>
      <c r="C393" s="130">
        <v>19</v>
      </c>
      <c r="D393" s="130">
        <v>19</v>
      </c>
      <c r="E393" s="130">
        <v>18.5</v>
      </c>
      <c r="F393" s="130">
        <v>18.61</v>
      </c>
      <c r="G393" s="160">
        <v>1165000</v>
      </c>
      <c r="H393" s="160">
        <f t="shared" si="5"/>
        <v>21680650</v>
      </c>
      <c r="I393" t="s">
        <v>8839</v>
      </c>
      <c r="J393">
        <v>2022</v>
      </c>
      <c r="K393">
        <v>1</v>
      </c>
      <c r="L393" t="s">
        <v>8915</v>
      </c>
      <c r="M393" t="s">
        <v>1552</v>
      </c>
      <c r="N393" t="s">
        <v>8916</v>
      </c>
    </row>
    <row r="394" spans="1:14" x14ac:dyDescent="0.3">
      <c r="A394">
        <v>2022</v>
      </c>
      <c r="B394" s="159">
        <v>44567</v>
      </c>
      <c r="C394" s="130">
        <v>18.690000000000001</v>
      </c>
      <c r="D394" s="130">
        <v>18.690000000000001</v>
      </c>
      <c r="E394" s="130">
        <v>18.2</v>
      </c>
      <c r="F394" s="130">
        <v>18.23</v>
      </c>
      <c r="G394" s="160">
        <v>798500</v>
      </c>
      <c r="H394" s="160">
        <f t="shared" si="5"/>
        <v>14556655</v>
      </c>
      <c r="I394" t="s">
        <v>8839</v>
      </c>
      <c r="J394">
        <v>2022</v>
      </c>
      <c r="K394">
        <v>1</v>
      </c>
      <c r="L394" t="s">
        <v>8915</v>
      </c>
      <c r="M394" t="s">
        <v>1552</v>
      </c>
      <c r="N394" t="s">
        <v>8916</v>
      </c>
    </row>
    <row r="395" spans="1:14" x14ac:dyDescent="0.3">
      <c r="A395">
        <v>2022</v>
      </c>
      <c r="B395" s="159">
        <v>44568</v>
      </c>
      <c r="C395" s="130">
        <v>18.2</v>
      </c>
      <c r="D395" s="130">
        <v>18.350000000000001</v>
      </c>
      <c r="E395" s="130">
        <v>18.100000000000001</v>
      </c>
      <c r="F395" s="130">
        <v>18.22</v>
      </c>
      <c r="G395" s="160">
        <v>894500</v>
      </c>
      <c r="H395" s="160">
        <f t="shared" si="5"/>
        <v>16297789.999999998</v>
      </c>
      <c r="I395" t="s">
        <v>8839</v>
      </c>
      <c r="J395">
        <v>2022</v>
      </c>
      <c r="K395">
        <v>1</v>
      </c>
      <c r="L395" t="s">
        <v>8915</v>
      </c>
      <c r="M395" t="s">
        <v>1552</v>
      </c>
      <c r="N395" t="s">
        <v>8916</v>
      </c>
    </row>
    <row r="396" spans="1:14" x14ac:dyDescent="0.3">
      <c r="A396">
        <v>2022</v>
      </c>
      <c r="B396" s="159">
        <v>44571</v>
      </c>
      <c r="C396" s="130">
        <v>18.2</v>
      </c>
      <c r="D396" s="130">
        <v>18.760000000000002</v>
      </c>
      <c r="E396" s="130">
        <v>18.149999999999999</v>
      </c>
      <c r="F396" s="130">
        <v>18.670000000000002</v>
      </c>
      <c r="G396" s="160">
        <v>1831000</v>
      </c>
      <c r="H396" s="160">
        <f t="shared" si="5"/>
        <v>34184770</v>
      </c>
      <c r="I396" t="s">
        <v>8839</v>
      </c>
      <c r="J396">
        <v>2022</v>
      </c>
      <c r="K396">
        <v>1</v>
      </c>
      <c r="L396" t="s">
        <v>8915</v>
      </c>
      <c r="M396" t="s">
        <v>1552</v>
      </c>
      <c r="N396" t="s">
        <v>8916</v>
      </c>
    </row>
    <row r="397" spans="1:14" x14ac:dyDescent="0.3">
      <c r="A397">
        <v>2022</v>
      </c>
      <c r="B397" s="159">
        <v>44572</v>
      </c>
      <c r="C397" s="130">
        <v>18.89</v>
      </c>
      <c r="D397" s="130">
        <v>18.89</v>
      </c>
      <c r="E397" s="130">
        <v>18.36</v>
      </c>
      <c r="F397" s="130">
        <v>18.47</v>
      </c>
      <c r="G397" s="160">
        <v>847500</v>
      </c>
      <c r="H397" s="160">
        <f t="shared" si="5"/>
        <v>15653324.999999998</v>
      </c>
      <c r="I397" t="s">
        <v>8839</v>
      </c>
      <c r="J397">
        <v>2022</v>
      </c>
      <c r="K397">
        <v>1</v>
      </c>
      <c r="L397" t="s">
        <v>8915</v>
      </c>
      <c r="M397" t="s">
        <v>1552</v>
      </c>
      <c r="N397" t="s">
        <v>8916</v>
      </c>
    </row>
    <row r="398" spans="1:14" x14ac:dyDescent="0.3">
      <c r="A398">
        <v>2022</v>
      </c>
      <c r="B398" s="159">
        <v>44573</v>
      </c>
      <c r="C398" s="130">
        <v>18.600000000000001</v>
      </c>
      <c r="D398" s="130">
        <v>18.8</v>
      </c>
      <c r="E398" s="130">
        <v>18.41</v>
      </c>
      <c r="F398" s="130">
        <v>18.45</v>
      </c>
      <c r="G398" s="160">
        <v>925000</v>
      </c>
      <c r="H398" s="160">
        <f t="shared" si="5"/>
        <v>17066250</v>
      </c>
      <c r="I398" t="s">
        <v>8839</v>
      </c>
      <c r="J398">
        <v>2022</v>
      </c>
      <c r="K398">
        <v>1</v>
      </c>
      <c r="L398" t="s">
        <v>8915</v>
      </c>
      <c r="M398" t="s">
        <v>1552</v>
      </c>
      <c r="N398" t="s">
        <v>8916</v>
      </c>
    </row>
    <row r="399" spans="1:14" x14ac:dyDescent="0.3">
      <c r="A399">
        <v>2022</v>
      </c>
      <c r="B399" s="159">
        <v>44574</v>
      </c>
      <c r="C399" s="130">
        <v>18.5</v>
      </c>
      <c r="D399" s="130">
        <v>18.5</v>
      </c>
      <c r="E399" s="130">
        <v>18.28</v>
      </c>
      <c r="F399" s="130">
        <v>18.34</v>
      </c>
      <c r="G399" s="160">
        <v>614500</v>
      </c>
      <c r="H399" s="160">
        <f t="shared" si="5"/>
        <v>11269930</v>
      </c>
      <c r="I399" t="s">
        <v>8839</v>
      </c>
      <c r="J399">
        <v>2022</v>
      </c>
      <c r="K399">
        <v>1</v>
      </c>
      <c r="L399" t="s">
        <v>8915</v>
      </c>
      <c r="M399" t="s">
        <v>1552</v>
      </c>
      <c r="N399" t="s">
        <v>8916</v>
      </c>
    </row>
    <row r="400" spans="1:14" x14ac:dyDescent="0.3">
      <c r="A400">
        <v>2022</v>
      </c>
      <c r="B400" s="159">
        <v>44575</v>
      </c>
      <c r="C400" s="130">
        <v>18.399999999999999</v>
      </c>
      <c r="D400" s="130">
        <v>18.43</v>
      </c>
      <c r="E400" s="130">
        <v>17.899999999999999</v>
      </c>
      <c r="F400" s="130">
        <v>18.11</v>
      </c>
      <c r="G400" s="160">
        <v>884500</v>
      </c>
      <c r="H400" s="160">
        <f t="shared" ref="H400:H463" si="6">F400*G400</f>
        <v>16018295</v>
      </c>
      <c r="I400" t="s">
        <v>8839</v>
      </c>
      <c r="J400">
        <v>2022</v>
      </c>
      <c r="K400">
        <v>1</v>
      </c>
      <c r="L400" t="s">
        <v>8915</v>
      </c>
      <c r="M400" t="s">
        <v>1552</v>
      </c>
      <c r="N400" t="s">
        <v>8916</v>
      </c>
    </row>
    <row r="401" spans="1:14" x14ac:dyDescent="0.3">
      <c r="A401">
        <v>2022</v>
      </c>
      <c r="B401" s="159">
        <v>44578</v>
      </c>
      <c r="C401" s="130">
        <v>18.059999999999999</v>
      </c>
      <c r="D401" s="130">
        <v>18.37</v>
      </c>
      <c r="E401" s="130">
        <v>17.95</v>
      </c>
      <c r="F401" s="130">
        <v>18.29</v>
      </c>
      <c r="G401" s="160">
        <v>223000</v>
      </c>
      <c r="H401" s="160">
        <f t="shared" si="6"/>
        <v>4078670</v>
      </c>
      <c r="I401" t="s">
        <v>8839</v>
      </c>
      <c r="J401">
        <v>2022</v>
      </c>
      <c r="K401">
        <v>1</v>
      </c>
      <c r="L401" t="s">
        <v>8915</v>
      </c>
      <c r="M401" t="s">
        <v>1552</v>
      </c>
      <c r="N401" t="s">
        <v>8916</v>
      </c>
    </row>
    <row r="402" spans="1:14" x14ac:dyDescent="0.3">
      <c r="A402">
        <v>2022</v>
      </c>
      <c r="B402" s="159">
        <v>44579</v>
      </c>
      <c r="C402" s="130">
        <v>18.079999999999998</v>
      </c>
      <c r="D402" s="130">
        <v>18.21</v>
      </c>
      <c r="E402" s="130">
        <v>17.75</v>
      </c>
      <c r="F402" s="130">
        <v>17.899999999999999</v>
      </c>
      <c r="G402" s="160">
        <v>1914500</v>
      </c>
      <c r="H402" s="160">
        <f t="shared" si="6"/>
        <v>34269550</v>
      </c>
      <c r="I402" t="s">
        <v>8839</v>
      </c>
      <c r="J402">
        <v>2022</v>
      </c>
      <c r="K402">
        <v>1</v>
      </c>
      <c r="L402" t="s">
        <v>8915</v>
      </c>
      <c r="M402" t="s">
        <v>1552</v>
      </c>
      <c r="N402" t="s">
        <v>8916</v>
      </c>
    </row>
    <row r="403" spans="1:14" x14ac:dyDescent="0.3">
      <c r="A403">
        <v>2022</v>
      </c>
      <c r="B403" s="159">
        <v>44580</v>
      </c>
      <c r="C403" s="130">
        <v>18.04</v>
      </c>
      <c r="D403" s="130">
        <v>18.04</v>
      </c>
      <c r="E403" s="130">
        <v>17.5</v>
      </c>
      <c r="F403" s="130">
        <v>17.54</v>
      </c>
      <c r="G403" s="160">
        <v>530500</v>
      </c>
      <c r="H403" s="160">
        <f t="shared" si="6"/>
        <v>9304970</v>
      </c>
      <c r="I403" t="s">
        <v>8839</v>
      </c>
      <c r="J403">
        <v>2022</v>
      </c>
      <c r="K403">
        <v>1</v>
      </c>
      <c r="L403" t="s">
        <v>8915</v>
      </c>
      <c r="M403" t="s">
        <v>1552</v>
      </c>
      <c r="N403" t="s">
        <v>8916</v>
      </c>
    </row>
    <row r="404" spans="1:14" x14ac:dyDescent="0.3">
      <c r="A404">
        <v>2022</v>
      </c>
      <c r="B404" s="159">
        <v>44581</v>
      </c>
      <c r="C404" s="130">
        <v>17.55</v>
      </c>
      <c r="D404" s="130">
        <v>17.7</v>
      </c>
      <c r="E404" s="130">
        <v>17.2</v>
      </c>
      <c r="F404" s="130">
        <v>17.54</v>
      </c>
      <c r="G404" s="160">
        <v>2577500</v>
      </c>
      <c r="H404" s="160">
        <f t="shared" si="6"/>
        <v>45209350</v>
      </c>
      <c r="I404" t="s">
        <v>8839</v>
      </c>
      <c r="J404">
        <v>2022</v>
      </c>
      <c r="K404">
        <v>1</v>
      </c>
      <c r="L404" t="s">
        <v>8915</v>
      </c>
      <c r="M404" t="s">
        <v>1552</v>
      </c>
      <c r="N404" t="s">
        <v>8916</v>
      </c>
    </row>
    <row r="405" spans="1:14" x14ac:dyDescent="0.3">
      <c r="A405">
        <v>2022</v>
      </c>
      <c r="B405" s="159">
        <v>44582</v>
      </c>
      <c r="C405" s="130">
        <v>17.600000000000001</v>
      </c>
      <c r="D405" s="130">
        <v>17.739999999999998</v>
      </c>
      <c r="E405" s="130">
        <v>17.38</v>
      </c>
      <c r="F405" s="130">
        <v>17.52</v>
      </c>
      <c r="G405" s="160">
        <v>503000</v>
      </c>
      <c r="H405" s="160">
        <f t="shared" si="6"/>
        <v>8812560</v>
      </c>
      <c r="I405" t="s">
        <v>8839</v>
      </c>
      <c r="J405">
        <v>2022</v>
      </c>
      <c r="K405">
        <v>1</v>
      </c>
      <c r="L405" t="s">
        <v>8915</v>
      </c>
      <c r="M405" t="s">
        <v>1552</v>
      </c>
      <c r="N405" t="s">
        <v>8916</v>
      </c>
    </row>
    <row r="406" spans="1:14" x14ac:dyDescent="0.3">
      <c r="A406">
        <v>2022</v>
      </c>
      <c r="B406" s="159">
        <v>44585</v>
      </c>
      <c r="C406" s="130">
        <v>17.5</v>
      </c>
      <c r="D406" s="130">
        <v>17.5</v>
      </c>
      <c r="E406" s="130">
        <v>17.2</v>
      </c>
      <c r="F406" s="130">
        <v>17.36</v>
      </c>
      <c r="G406" s="160">
        <v>475000</v>
      </c>
      <c r="H406" s="160">
        <f t="shared" si="6"/>
        <v>8246000</v>
      </c>
      <c r="I406" t="s">
        <v>8839</v>
      </c>
      <c r="J406">
        <v>2022</v>
      </c>
      <c r="K406">
        <v>1</v>
      </c>
      <c r="L406" t="s">
        <v>8915</v>
      </c>
      <c r="M406" t="s">
        <v>1552</v>
      </c>
      <c r="N406" t="s">
        <v>8916</v>
      </c>
    </row>
    <row r="407" spans="1:14" x14ac:dyDescent="0.3">
      <c r="A407">
        <v>2022</v>
      </c>
      <c r="B407" s="159">
        <v>44586</v>
      </c>
      <c r="C407" s="130">
        <v>17.399999999999999</v>
      </c>
      <c r="D407" s="130">
        <v>17.79</v>
      </c>
      <c r="E407" s="130">
        <v>17.399999999999999</v>
      </c>
      <c r="F407" s="130">
        <v>17.579999999999998</v>
      </c>
      <c r="G407" s="160">
        <v>2629000</v>
      </c>
      <c r="H407" s="160">
        <f t="shared" si="6"/>
        <v>46217819.999999993</v>
      </c>
      <c r="I407" t="s">
        <v>8839</v>
      </c>
      <c r="J407">
        <v>2022</v>
      </c>
      <c r="K407">
        <v>1</v>
      </c>
      <c r="L407" t="s">
        <v>8915</v>
      </c>
      <c r="M407" t="s">
        <v>1552</v>
      </c>
      <c r="N407" t="s">
        <v>8916</v>
      </c>
    </row>
    <row r="408" spans="1:14" x14ac:dyDescent="0.3">
      <c r="A408">
        <v>2022</v>
      </c>
      <c r="B408" s="159">
        <v>44587</v>
      </c>
      <c r="C408" s="130">
        <v>17.5</v>
      </c>
      <c r="D408" s="130">
        <v>17.5</v>
      </c>
      <c r="E408" s="130">
        <v>17.27</v>
      </c>
      <c r="F408" s="130">
        <v>17.5</v>
      </c>
      <c r="G408" s="160">
        <v>467500</v>
      </c>
      <c r="H408" s="160">
        <f t="shared" si="6"/>
        <v>8181250</v>
      </c>
      <c r="I408" t="s">
        <v>8839</v>
      </c>
      <c r="J408">
        <v>2022</v>
      </c>
      <c r="K408">
        <v>1</v>
      </c>
      <c r="L408" t="s">
        <v>8915</v>
      </c>
      <c r="M408" t="s">
        <v>1552</v>
      </c>
      <c r="N408" t="s">
        <v>8916</v>
      </c>
    </row>
    <row r="409" spans="1:14" x14ac:dyDescent="0.3">
      <c r="A409">
        <v>2022</v>
      </c>
      <c r="B409" s="159">
        <v>44588</v>
      </c>
      <c r="C409" s="130">
        <v>17.64</v>
      </c>
      <c r="D409" s="130">
        <v>17.649999999999999</v>
      </c>
      <c r="E409" s="130">
        <v>17.21</v>
      </c>
      <c r="F409" s="130">
        <v>17.260000000000002</v>
      </c>
      <c r="G409" s="160">
        <v>1264000</v>
      </c>
      <c r="H409" s="160">
        <f t="shared" si="6"/>
        <v>21816640.000000004</v>
      </c>
      <c r="I409" t="s">
        <v>8839</v>
      </c>
      <c r="J409">
        <v>2022</v>
      </c>
      <c r="K409">
        <v>1</v>
      </c>
      <c r="L409" t="s">
        <v>8915</v>
      </c>
      <c r="M409" t="s">
        <v>1552</v>
      </c>
      <c r="N409" t="s">
        <v>8916</v>
      </c>
    </row>
    <row r="410" spans="1:14" x14ac:dyDescent="0.3">
      <c r="A410">
        <v>2022</v>
      </c>
      <c r="B410" s="159">
        <v>44589</v>
      </c>
      <c r="C410" s="130">
        <v>17.309999999999999</v>
      </c>
      <c r="D410" s="130">
        <v>17.5</v>
      </c>
      <c r="E410" s="130">
        <v>17.23</v>
      </c>
      <c r="F410" s="130">
        <v>17.32</v>
      </c>
      <c r="G410" s="160">
        <v>3322500</v>
      </c>
      <c r="H410" s="160">
        <f t="shared" si="6"/>
        <v>57545700</v>
      </c>
      <c r="I410" t="s">
        <v>8839</v>
      </c>
      <c r="J410">
        <v>2022</v>
      </c>
      <c r="K410">
        <v>1</v>
      </c>
      <c r="L410" t="s">
        <v>8915</v>
      </c>
      <c r="M410" t="s">
        <v>1552</v>
      </c>
      <c r="N410" t="s">
        <v>8916</v>
      </c>
    </row>
    <row r="411" spans="1:14" x14ac:dyDescent="0.3">
      <c r="A411">
        <v>2022</v>
      </c>
      <c r="B411" s="159">
        <v>44592</v>
      </c>
      <c r="C411" s="130">
        <v>17.32</v>
      </c>
      <c r="D411" s="130">
        <v>17.5</v>
      </c>
      <c r="E411" s="130">
        <v>17.3</v>
      </c>
      <c r="F411" s="130">
        <v>17.41</v>
      </c>
      <c r="G411" s="160">
        <v>468000</v>
      </c>
      <c r="H411" s="160">
        <f t="shared" si="6"/>
        <v>8147880</v>
      </c>
      <c r="I411" t="s">
        <v>8839</v>
      </c>
      <c r="J411">
        <v>2022</v>
      </c>
      <c r="K411">
        <v>1</v>
      </c>
      <c r="L411" t="s">
        <v>8915</v>
      </c>
      <c r="M411" t="s">
        <v>1552</v>
      </c>
      <c r="N411" t="s">
        <v>8916</v>
      </c>
    </row>
    <row r="412" spans="1:14" x14ac:dyDescent="0.3">
      <c r="A412">
        <v>2022</v>
      </c>
      <c r="B412" s="159">
        <v>44593</v>
      </c>
      <c r="C412" s="130">
        <v>17.5</v>
      </c>
      <c r="D412" s="130">
        <v>18.440000000000001</v>
      </c>
      <c r="E412" s="130">
        <v>17.5</v>
      </c>
      <c r="F412" s="130">
        <v>18.39</v>
      </c>
      <c r="G412" s="160">
        <v>8131000</v>
      </c>
      <c r="H412" s="160">
        <f t="shared" si="6"/>
        <v>149529090</v>
      </c>
      <c r="I412" t="s">
        <v>8840</v>
      </c>
      <c r="J412">
        <v>2022</v>
      </c>
      <c r="K412">
        <v>2</v>
      </c>
      <c r="L412" t="s">
        <v>8917</v>
      </c>
      <c r="M412" t="s">
        <v>1552</v>
      </c>
      <c r="N412" t="s">
        <v>8918</v>
      </c>
    </row>
    <row r="413" spans="1:14" x14ac:dyDescent="0.3">
      <c r="A413">
        <v>2022</v>
      </c>
      <c r="B413" s="159">
        <v>44594</v>
      </c>
      <c r="C413" s="130">
        <v>18.39</v>
      </c>
      <c r="D413" s="130">
        <v>18.670000000000002</v>
      </c>
      <c r="E413" s="130">
        <v>18.3</v>
      </c>
      <c r="F413" s="130">
        <v>18.55</v>
      </c>
      <c r="G413" s="160">
        <v>8310000</v>
      </c>
      <c r="H413" s="160">
        <f t="shared" si="6"/>
        <v>154150500</v>
      </c>
      <c r="I413" t="s">
        <v>8840</v>
      </c>
      <c r="J413">
        <v>2022</v>
      </c>
      <c r="K413">
        <v>2</v>
      </c>
      <c r="L413" t="s">
        <v>8917</v>
      </c>
      <c r="M413" t="s">
        <v>1552</v>
      </c>
      <c r="N413" t="s">
        <v>8918</v>
      </c>
    </row>
    <row r="414" spans="1:14" x14ac:dyDescent="0.3">
      <c r="A414">
        <v>2022</v>
      </c>
      <c r="B414" s="159">
        <v>44595</v>
      </c>
      <c r="C414" s="130">
        <v>18.600000000000001</v>
      </c>
      <c r="D414" s="130">
        <v>18.78</v>
      </c>
      <c r="E414" s="130">
        <v>18.2</v>
      </c>
      <c r="F414" s="130">
        <v>18.23</v>
      </c>
      <c r="G414" s="160">
        <v>4509500</v>
      </c>
      <c r="H414" s="160">
        <f t="shared" si="6"/>
        <v>82208185</v>
      </c>
      <c r="I414" t="s">
        <v>8840</v>
      </c>
      <c r="J414">
        <v>2022</v>
      </c>
      <c r="K414">
        <v>2</v>
      </c>
      <c r="L414" t="s">
        <v>8917</v>
      </c>
      <c r="M414" t="s">
        <v>1552</v>
      </c>
      <c r="N414" t="s">
        <v>8918</v>
      </c>
    </row>
    <row r="415" spans="1:14" x14ac:dyDescent="0.3">
      <c r="A415">
        <v>2022</v>
      </c>
      <c r="B415" s="159">
        <v>44596</v>
      </c>
      <c r="C415" s="130">
        <v>18.23</v>
      </c>
      <c r="D415" s="130">
        <v>18.34</v>
      </c>
      <c r="E415" s="130">
        <v>17.91</v>
      </c>
      <c r="F415" s="130">
        <v>17.96</v>
      </c>
      <c r="G415" s="160">
        <v>1891500</v>
      </c>
      <c r="H415" s="160">
        <f t="shared" si="6"/>
        <v>33971340</v>
      </c>
      <c r="I415" t="s">
        <v>8840</v>
      </c>
      <c r="J415">
        <v>2022</v>
      </c>
      <c r="K415">
        <v>2</v>
      </c>
      <c r="L415" t="s">
        <v>8917</v>
      </c>
      <c r="M415" t="s">
        <v>1552</v>
      </c>
      <c r="N415" t="s">
        <v>8918</v>
      </c>
    </row>
    <row r="416" spans="1:14" x14ac:dyDescent="0.3">
      <c r="A416">
        <v>2022</v>
      </c>
      <c r="B416" s="159">
        <v>44599</v>
      </c>
      <c r="C416" s="130">
        <v>18</v>
      </c>
      <c r="D416" s="130">
        <v>18.100000000000001</v>
      </c>
      <c r="E416" s="130">
        <v>17.79</v>
      </c>
      <c r="F416" s="130">
        <v>17.829999999999998</v>
      </c>
      <c r="G416" s="160">
        <v>439000</v>
      </c>
      <c r="H416" s="160">
        <f t="shared" si="6"/>
        <v>7827369.9999999991</v>
      </c>
      <c r="I416" t="s">
        <v>8840</v>
      </c>
      <c r="J416">
        <v>2022</v>
      </c>
      <c r="K416">
        <v>2</v>
      </c>
      <c r="L416" t="s">
        <v>8917</v>
      </c>
      <c r="M416" t="s">
        <v>1552</v>
      </c>
      <c r="N416" t="s">
        <v>8918</v>
      </c>
    </row>
    <row r="417" spans="1:14" x14ac:dyDescent="0.3">
      <c r="A417">
        <v>2022</v>
      </c>
      <c r="B417" s="159">
        <v>44600</v>
      </c>
      <c r="C417" s="130">
        <v>17.71</v>
      </c>
      <c r="D417" s="130">
        <v>17.989999999999998</v>
      </c>
      <c r="E417" s="130">
        <v>17.52</v>
      </c>
      <c r="F417" s="130">
        <v>17.649999999999999</v>
      </c>
      <c r="G417" s="160">
        <v>631000</v>
      </c>
      <c r="H417" s="160">
        <f t="shared" si="6"/>
        <v>11137150</v>
      </c>
      <c r="I417" t="s">
        <v>8840</v>
      </c>
      <c r="J417">
        <v>2022</v>
      </c>
      <c r="K417">
        <v>2</v>
      </c>
      <c r="L417" t="s">
        <v>8917</v>
      </c>
      <c r="M417" t="s">
        <v>1552</v>
      </c>
      <c r="N417" t="s">
        <v>8918</v>
      </c>
    </row>
    <row r="418" spans="1:14" x14ac:dyDescent="0.3">
      <c r="A418">
        <v>2022</v>
      </c>
      <c r="B418" s="159">
        <v>44601</v>
      </c>
      <c r="C418" s="130">
        <v>17.649999999999999</v>
      </c>
      <c r="D418" s="130">
        <v>17.89</v>
      </c>
      <c r="E418" s="130">
        <v>17.55</v>
      </c>
      <c r="F418" s="130">
        <v>17.670000000000002</v>
      </c>
      <c r="G418" s="160">
        <v>1923000</v>
      </c>
      <c r="H418" s="160">
        <f t="shared" si="6"/>
        <v>33979410</v>
      </c>
      <c r="I418" t="s">
        <v>8840</v>
      </c>
      <c r="J418">
        <v>2022</v>
      </c>
      <c r="K418">
        <v>2</v>
      </c>
      <c r="L418" t="s">
        <v>8917</v>
      </c>
      <c r="M418" t="s">
        <v>1552</v>
      </c>
      <c r="N418" t="s">
        <v>8918</v>
      </c>
    </row>
    <row r="419" spans="1:14" x14ac:dyDescent="0.3">
      <c r="A419">
        <v>2022</v>
      </c>
      <c r="B419" s="159">
        <v>44602</v>
      </c>
      <c r="C419" s="130">
        <v>17.71</v>
      </c>
      <c r="D419" s="130">
        <v>17.899999999999999</v>
      </c>
      <c r="E419" s="130">
        <v>17.53</v>
      </c>
      <c r="F419" s="130">
        <v>17.55</v>
      </c>
      <c r="G419" s="160">
        <v>454500</v>
      </c>
      <c r="H419" s="160">
        <f t="shared" si="6"/>
        <v>7976475</v>
      </c>
      <c r="I419" t="s">
        <v>8840</v>
      </c>
      <c r="J419">
        <v>2022</v>
      </c>
      <c r="K419">
        <v>2</v>
      </c>
      <c r="L419" t="s">
        <v>8917</v>
      </c>
      <c r="M419" t="s">
        <v>1552</v>
      </c>
      <c r="N419" t="s">
        <v>8918</v>
      </c>
    </row>
    <row r="420" spans="1:14" x14ac:dyDescent="0.3">
      <c r="A420">
        <v>2022</v>
      </c>
      <c r="B420" s="159">
        <v>44603</v>
      </c>
      <c r="C420" s="130">
        <v>17.7</v>
      </c>
      <c r="D420" s="130">
        <v>17.79</v>
      </c>
      <c r="E420" s="130">
        <v>17.649999999999999</v>
      </c>
      <c r="F420" s="130">
        <v>17.7</v>
      </c>
      <c r="G420" s="160">
        <v>279500</v>
      </c>
      <c r="H420" s="160">
        <f t="shared" si="6"/>
        <v>4947150</v>
      </c>
      <c r="I420" t="s">
        <v>8840</v>
      </c>
      <c r="J420">
        <v>2022</v>
      </c>
      <c r="K420">
        <v>2</v>
      </c>
      <c r="L420" t="s">
        <v>8917</v>
      </c>
      <c r="M420" t="s">
        <v>1552</v>
      </c>
      <c r="N420" t="s">
        <v>8918</v>
      </c>
    </row>
    <row r="421" spans="1:14" x14ac:dyDescent="0.3">
      <c r="A421">
        <v>2022</v>
      </c>
      <c r="B421" s="159">
        <v>44606</v>
      </c>
      <c r="C421" s="130">
        <v>17.55</v>
      </c>
      <c r="D421" s="130">
        <v>17.95</v>
      </c>
      <c r="E421" s="130">
        <v>17.3</v>
      </c>
      <c r="F421" s="130">
        <v>17.739999999999998</v>
      </c>
      <c r="G421" s="160">
        <v>960500</v>
      </c>
      <c r="H421" s="160">
        <f t="shared" si="6"/>
        <v>17039270</v>
      </c>
      <c r="I421" t="s">
        <v>8840</v>
      </c>
      <c r="J421">
        <v>2022</v>
      </c>
      <c r="K421">
        <v>2</v>
      </c>
      <c r="L421" t="s">
        <v>8917</v>
      </c>
      <c r="M421" t="s">
        <v>1552</v>
      </c>
      <c r="N421" t="s">
        <v>8918</v>
      </c>
    </row>
    <row r="422" spans="1:14" x14ac:dyDescent="0.3">
      <c r="A422">
        <v>2022</v>
      </c>
      <c r="B422" s="159">
        <v>44607</v>
      </c>
      <c r="C422" s="130">
        <v>17.55</v>
      </c>
      <c r="D422" s="130">
        <v>17.649999999999999</v>
      </c>
      <c r="E422" s="130">
        <v>17.3</v>
      </c>
      <c r="F422" s="130">
        <v>17.55</v>
      </c>
      <c r="G422" s="160">
        <v>2387000</v>
      </c>
      <c r="H422" s="160">
        <f t="shared" si="6"/>
        <v>41891850</v>
      </c>
      <c r="I422" t="s">
        <v>8840</v>
      </c>
      <c r="J422">
        <v>2022</v>
      </c>
      <c r="K422">
        <v>2</v>
      </c>
      <c r="L422" t="s">
        <v>8917</v>
      </c>
      <c r="M422" t="s">
        <v>1552</v>
      </c>
      <c r="N422" t="s">
        <v>8918</v>
      </c>
    </row>
    <row r="423" spans="1:14" x14ac:dyDescent="0.3">
      <c r="A423">
        <v>2022</v>
      </c>
      <c r="B423" s="159">
        <v>44608</v>
      </c>
      <c r="C423" s="130">
        <v>17.7</v>
      </c>
      <c r="D423" s="130">
        <v>17.7</v>
      </c>
      <c r="E423" s="130">
        <v>17.46</v>
      </c>
      <c r="F423" s="130">
        <v>17.579999999999998</v>
      </c>
      <c r="G423" s="160">
        <v>463000</v>
      </c>
      <c r="H423" s="160">
        <f t="shared" si="6"/>
        <v>8139539.9999999991</v>
      </c>
      <c r="I423" t="s">
        <v>8840</v>
      </c>
      <c r="J423">
        <v>2022</v>
      </c>
      <c r="K423">
        <v>2</v>
      </c>
      <c r="L423" t="s">
        <v>8917</v>
      </c>
      <c r="M423" t="s">
        <v>1552</v>
      </c>
      <c r="N423" t="s">
        <v>8918</v>
      </c>
    </row>
    <row r="424" spans="1:14" x14ac:dyDescent="0.3">
      <c r="A424">
        <v>2022</v>
      </c>
      <c r="B424" s="159">
        <v>44609</v>
      </c>
      <c r="C424" s="130">
        <v>17.64</v>
      </c>
      <c r="D424" s="130">
        <v>17.649999999999999</v>
      </c>
      <c r="E424" s="130">
        <v>17.309999999999999</v>
      </c>
      <c r="F424" s="130">
        <v>17.34</v>
      </c>
      <c r="G424" s="160">
        <v>210500</v>
      </c>
      <c r="H424" s="160">
        <f t="shared" si="6"/>
        <v>3650070</v>
      </c>
      <c r="I424" t="s">
        <v>8840</v>
      </c>
      <c r="J424">
        <v>2022</v>
      </c>
      <c r="K424">
        <v>2</v>
      </c>
      <c r="L424" t="s">
        <v>8917</v>
      </c>
      <c r="M424" t="s">
        <v>1552</v>
      </c>
      <c r="N424" t="s">
        <v>8918</v>
      </c>
    </row>
    <row r="425" spans="1:14" x14ac:dyDescent="0.3">
      <c r="A425">
        <v>2022</v>
      </c>
      <c r="B425" s="159">
        <v>44610</v>
      </c>
      <c r="C425" s="130">
        <v>17.399999999999999</v>
      </c>
      <c r="D425" s="130">
        <v>17.649999999999999</v>
      </c>
      <c r="E425" s="130">
        <v>17.25</v>
      </c>
      <c r="F425" s="130">
        <v>17.59</v>
      </c>
      <c r="G425" s="160">
        <v>438500</v>
      </c>
      <c r="H425" s="160">
        <f t="shared" si="6"/>
        <v>7713215</v>
      </c>
      <c r="I425" t="s">
        <v>8840</v>
      </c>
      <c r="J425">
        <v>2022</v>
      </c>
      <c r="K425">
        <v>2</v>
      </c>
      <c r="L425" t="s">
        <v>8917</v>
      </c>
      <c r="M425" t="s">
        <v>1552</v>
      </c>
      <c r="N425" t="s">
        <v>8918</v>
      </c>
    </row>
    <row r="426" spans="1:14" x14ac:dyDescent="0.3">
      <c r="A426">
        <v>2022</v>
      </c>
      <c r="B426" s="159">
        <v>44613</v>
      </c>
      <c r="C426" s="130">
        <v>17.510000000000002</v>
      </c>
      <c r="D426" s="130">
        <v>17.63</v>
      </c>
      <c r="E426" s="130">
        <v>17.3</v>
      </c>
      <c r="F426" s="130">
        <v>17.559999999999999</v>
      </c>
      <c r="G426" s="160">
        <v>944000</v>
      </c>
      <c r="H426" s="160">
        <f t="shared" si="6"/>
        <v>16576639.999999998</v>
      </c>
      <c r="I426" t="s">
        <v>8840</v>
      </c>
      <c r="J426">
        <v>2022</v>
      </c>
      <c r="K426">
        <v>2</v>
      </c>
      <c r="L426" t="s">
        <v>8917</v>
      </c>
      <c r="M426" t="s">
        <v>1552</v>
      </c>
      <c r="N426" t="s">
        <v>8918</v>
      </c>
    </row>
    <row r="427" spans="1:14" x14ac:dyDescent="0.3">
      <c r="A427">
        <v>2022</v>
      </c>
      <c r="B427" s="159">
        <v>44614</v>
      </c>
      <c r="C427" s="130">
        <v>17.489999999999998</v>
      </c>
      <c r="D427" s="130">
        <v>17.5</v>
      </c>
      <c r="E427" s="130">
        <v>16.989999999999998</v>
      </c>
      <c r="F427" s="130">
        <v>17.23</v>
      </c>
      <c r="G427" s="160">
        <v>2174500</v>
      </c>
      <c r="H427" s="160">
        <f t="shared" si="6"/>
        <v>37466635</v>
      </c>
      <c r="I427" t="s">
        <v>8840</v>
      </c>
      <c r="J427">
        <v>2022</v>
      </c>
      <c r="K427">
        <v>2</v>
      </c>
      <c r="L427" t="s">
        <v>8917</v>
      </c>
      <c r="M427" t="s">
        <v>1552</v>
      </c>
      <c r="N427" t="s">
        <v>8918</v>
      </c>
    </row>
    <row r="428" spans="1:14" x14ac:dyDescent="0.3">
      <c r="A428">
        <v>2022</v>
      </c>
      <c r="B428" s="159">
        <v>44615</v>
      </c>
      <c r="C428" s="130">
        <v>17.309999999999999</v>
      </c>
      <c r="D428" s="130">
        <v>18.100000000000001</v>
      </c>
      <c r="E428" s="130">
        <v>17.2</v>
      </c>
      <c r="F428" s="130">
        <v>18.010000000000002</v>
      </c>
      <c r="G428" s="160">
        <v>3111500</v>
      </c>
      <c r="H428" s="160">
        <f t="shared" si="6"/>
        <v>56038115.000000007</v>
      </c>
      <c r="I428" t="s">
        <v>8840</v>
      </c>
      <c r="J428">
        <v>2022</v>
      </c>
      <c r="K428">
        <v>2</v>
      </c>
      <c r="L428" t="s">
        <v>8917</v>
      </c>
      <c r="M428" t="s">
        <v>1552</v>
      </c>
      <c r="N428" t="s">
        <v>8918</v>
      </c>
    </row>
    <row r="429" spans="1:14" x14ac:dyDescent="0.3">
      <c r="A429">
        <v>2022</v>
      </c>
      <c r="B429" s="159">
        <v>44616</v>
      </c>
      <c r="C429" s="130">
        <v>17.5</v>
      </c>
      <c r="D429" s="130">
        <v>17.829999999999998</v>
      </c>
      <c r="E429" s="130">
        <v>17.3</v>
      </c>
      <c r="F429" s="130">
        <v>17.5</v>
      </c>
      <c r="G429" s="160">
        <v>9151500</v>
      </c>
      <c r="H429" s="160">
        <f t="shared" si="6"/>
        <v>160151250</v>
      </c>
      <c r="I429" t="s">
        <v>8840</v>
      </c>
      <c r="J429">
        <v>2022</v>
      </c>
      <c r="K429">
        <v>2</v>
      </c>
      <c r="L429" t="s">
        <v>8917</v>
      </c>
      <c r="M429" t="s">
        <v>1552</v>
      </c>
      <c r="N429" t="s">
        <v>8918</v>
      </c>
    </row>
    <row r="430" spans="1:14" x14ac:dyDescent="0.3">
      <c r="A430">
        <v>2022</v>
      </c>
      <c r="B430" s="159">
        <v>44617</v>
      </c>
      <c r="C430" s="130">
        <v>17.5</v>
      </c>
      <c r="D430" s="130">
        <v>17.8</v>
      </c>
      <c r="E430" s="130">
        <v>17.2</v>
      </c>
      <c r="F430" s="130">
        <v>17.5</v>
      </c>
      <c r="G430" s="160">
        <v>1867000</v>
      </c>
      <c r="H430" s="160">
        <f t="shared" si="6"/>
        <v>32672500</v>
      </c>
      <c r="I430" t="s">
        <v>8840</v>
      </c>
      <c r="J430">
        <v>2022</v>
      </c>
      <c r="K430">
        <v>2</v>
      </c>
      <c r="L430" t="s">
        <v>8917</v>
      </c>
      <c r="M430" t="s">
        <v>1552</v>
      </c>
      <c r="N430" t="s">
        <v>8918</v>
      </c>
    </row>
    <row r="431" spans="1:14" x14ac:dyDescent="0.3">
      <c r="A431">
        <v>2022</v>
      </c>
      <c r="B431" s="159">
        <v>44620</v>
      </c>
      <c r="C431" s="130">
        <v>17.260000000000002</v>
      </c>
      <c r="D431" s="130">
        <v>17.75</v>
      </c>
      <c r="E431" s="130">
        <v>17.21</v>
      </c>
      <c r="F431" s="130">
        <v>17.68</v>
      </c>
      <c r="G431" s="160">
        <v>890000</v>
      </c>
      <c r="H431" s="160">
        <f t="shared" si="6"/>
        <v>15735200</v>
      </c>
      <c r="I431" t="s">
        <v>8840</v>
      </c>
      <c r="J431">
        <v>2022</v>
      </c>
      <c r="K431">
        <v>2</v>
      </c>
      <c r="L431" t="s">
        <v>8917</v>
      </c>
      <c r="M431" t="s">
        <v>1552</v>
      </c>
      <c r="N431" t="s">
        <v>8918</v>
      </c>
    </row>
    <row r="432" spans="1:14" x14ac:dyDescent="0.3">
      <c r="A432">
        <v>2022</v>
      </c>
      <c r="B432" s="159">
        <v>44621</v>
      </c>
      <c r="C432" s="130">
        <v>17.62</v>
      </c>
      <c r="D432" s="130">
        <v>17.72</v>
      </c>
      <c r="E432" s="130">
        <v>17.27</v>
      </c>
      <c r="F432" s="130">
        <v>17.510000000000002</v>
      </c>
      <c r="G432" s="160">
        <v>3059500</v>
      </c>
      <c r="H432" s="160">
        <f t="shared" si="6"/>
        <v>53571845.000000007</v>
      </c>
      <c r="I432" t="s">
        <v>8841</v>
      </c>
      <c r="J432">
        <v>2022</v>
      </c>
      <c r="K432">
        <v>3</v>
      </c>
      <c r="L432" t="s">
        <v>8919</v>
      </c>
      <c r="M432" t="s">
        <v>1552</v>
      </c>
      <c r="N432" t="s">
        <v>8920</v>
      </c>
    </row>
    <row r="433" spans="1:14" x14ac:dyDescent="0.3">
      <c r="A433">
        <v>2022</v>
      </c>
      <c r="B433" s="159">
        <v>44622</v>
      </c>
      <c r="C433" s="130">
        <v>17.36</v>
      </c>
      <c r="D433" s="130">
        <v>17.36</v>
      </c>
      <c r="E433" s="130">
        <v>17</v>
      </c>
      <c r="F433" s="130">
        <v>17.170000000000002</v>
      </c>
      <c r="G433" s="160">
        <v>5030000</v>
      </c>
      <c r="H433" s="160">
        <f t="shared" si="6"/>
        <v>86365100.000000015</v>
      </c>
      <c r="I433" t="s">
        <v>8841</v>
      </c>
      <c r="J433">
        <v>2022</v>
      </c>
      <c r="K433">
        <v>3</v>
      </c>
      <c r="L433" t="s">
        <v>8919</v>
      </c>
      <c r="M433" t="s">
        <v>1552</v>
      </c>
      <c r="N433" t="s">
        <v>8920</v>
      </c>
    </row>
    <row r="434" spans="1:14" x14ac:dyDescent="0.3">
      <c r="A434">
        <v>2022</v>
      </c>
      <c r="B434" s="159">
        <v>44623</v>
      </c>
      <c r="C434" s="130">
        <v>17.04</v>
      </c>
      <c r="D434" s="130">
        <v>17.25</v>
      </c>
      <c r="E434" s="130">
        <v>16.96</v>
      </c>
      <c r="F434" s="130">
        <v>17.11</v>
      </c>
      <c r="G434" s="160">
        <v>8871500</v>
      </c>
      <c r="H434" s="160">
        <f t="shared" si="6"/>
        <v>151791365</v>
      </c>
      <c r="I434" t="s">
        <v>8841</v>
      </c>
      <c r="J434">
        <v>2022</v>
      </c>
      <c r="K434">
        <v>3</v>
      </c>
      <c r="L434" t="s">
        <v>8919</v>
      </c>
      <c r="M434" t="s">
        <v>1552</v>
      </c>
      <c r="N434" t="s">
        <v>8920</v>
      </c>
    </row>
    <row r="435" spans="1:14" x14ac:dyDescent="0.3">
      <c r="A435">
        <v>2022</v>
      </c>
      <c r="B435" s="159">
        <v>44624</v>
      </c>
      <c r="C435" s="130">
        <v>17.170000000000002</v>
      </c>
      <c r="D435" s="130">
        <v>17.3</v>
      </c>
      <c r="E435" s="130">
        <v>17.010000000000002</v>
      </c>
      <c r="F435" s="130">
        <v>17.100000000000001</v>
      </c>
      <c r="G435" s="160">
        <v>3154500</v>
      </c>
      <c r="H435" s="160">
        <f t="shared" si="6"/>
        <v>53941950.000000007</v>
      </c>
      <c r="I435" t="s">
        <v>8841</v>
      </c>
      <c r="J435">
        <v>2022</v>
      </c>
      <c r="K435">
        <v>3</v>
      </c>
      <c r="L435" t="s">
        <v>8919</v>
      </c>
      <c r="M435" t="s">
        <v>1552</v>
      </c>
      <c r="N435" t="s">
        <v>8920</v>
      </c>
    </row>
    <row r="436" spans="1:14" x14ac:dyDescent="0.3">
      <c r="A436">
        <v>2022</v>
      </c>
      <c r="B436" s="159">
        <v>44627</v>
      </c>
      <c r="C436" s="130">
        <v>17.07</v>
      </c>
      <c r="D436" s="130">
        <v>17.07</v>
      </c>
      <c r="E436" s="130">
        <v>16.41</v>
      </c>
      <c r="F436" s="130">
        <v>16.73</v>
      </c>
      <c r="G436" s="160">
        <v>3234500</v>
      </c>
      <c r="H436" s="160">
        <f t="shared" si="6"/>
        <v>54113185</v>
      </c>
      <c r="I436" t="s">
        <v>8841</v>
      </c>
      <c r="J436">
        <v>2022</v>
      </c>
      <c r="K436">
        <v>3</v>
      </c>
      <c r="L436" t="s">
        <v>8919</v>
      </c>
      <c r="M436" t="s">
        <v>1552</v>
      </c>
      <c r="N436" t="s">
        <v>8920</v>
      </c>
    </row>
    <row r="437" spans="1:14" x14ac:dyDescent="0.3">
      <c r="A437">
        <v>2022</v>
      </c>
      <c r="B437" s="159">
        <v>44628</v>
      </c>
      <c r="C437" s="130">
        <v>16.98</v>
      </c>
      <c r="D437" s="130">
        <v>16.98</v>
      </c>
      <c r="E437" s="130">
        <v>16.36</v>
      </c>
      <c r="F437" s="130">
        <v>16.57</v>
      </c>
      <c r="G437" s="160">
        <v>1807500</v>
      </c>
      <c r="H437" s="160">
        <f t="shared" si="6"/>
        <v>29950275</v>
      </c>
      <c r="I437" t="s">
        <v>8841</v>
      </c>
      <c r="J437">
        <v>2022</v>
      </c>
      <c r="K437">
        <v>3</v>
      </c>
      <c r="L437" t="s">
        <v>8919</v>
      </c>
      <c r="M437" t="s">
        <v>1552</v>
      </c>
      <c r="N437" t="s">
        <v>8920</v>
      </c>
    </row>
    <row r="438" spans="1:14" x14ac:dyDescent="0.3">
      <c r="A438">
        <v>2022</v>
      </c>
      <c r="B438" s="159">
        <v>44629</v>
      </c>
      <c r="C438" s="130">
        <v>16.5</v>
      </c>
      <c r="D438" s="130">
        <v>17.079999999999998</v>
      </c>
      <c r="E438" s="130">
        <v>16.5</v>
      </c>
      <c r="F438" s="130">
        <v>16.91</v>
      </c>
      <c r="G438" s="160">
        <v>1991000</v>
      </c>
      <c r="H438" s="160">
        <f t="shared" si="6"/>
        <v>33667810</v>
      </c>
      <c r="I438" t="s">
        <v>8841</v>
      </c>
      <c r="J438">
        <v>2022</v>
      </c>
      <c r="K438">
        <v>3</v>
      </c>
      <c r="L438" t="s">
        <v>8919</v>
      </c>
      <c r="M438" t="s">
        <v>1552</v>
      </c>
      <c r="N438" t="s">
        <v>8920</v>
      </c>
    </row>
    <row r="439" spans="1:14" x14ac:dyDescent="0.3">
      <c r="A439">
        <v>2022</v>
      </c>
      <c r="B439" s="159">
        <v>44630</v>
      </c>
      <c r="C439" s="130">
        <v>17</v>
      </c>
      <c r="D439" s="130">
        <v>17.68</v>
      </c>
      <c r="E439" s="130">
        <v>16.899999999999999</v>
      </c>
      <c r="F439" s="130">
        <v>17.559999999999999</v>
      </c>
      <c r="G439" s="160">
        <v>4697000</v>
      </c>
      <c r="H439" s="160">
        <f t="shared" si="6"/>
        <v>82479320</v>
      </c>
      <c r="I439" t="s">
        <v>8841</v>
      </c>
      <c r="J439">
        <v>2022</v>
      </c>
      <c r="K439">
        <v>3</v>
      </c>
      <c r="L439" t="s">
        <v>8919</v>
      </c>
      <c r="M439" t="s">
        <v>1552</v>
      </c>
      <c r="N439" t="s">
        <v>8920</v>
      </c>
    </row>
    <row r="440" spans="1:14" x14ac:dyDescent="0.3">
      <c r="A440">
        <v>2022</v>
      </c>
      <c r="B440" s="159">
        <v>44631</v>
      </c>
      <c r="C440" s="130">
        <v>17.440000000000001</v>
      </c>
      <c r="D440" s="130">
        <v>18.100000000000001</v>
      </c>
      <c r="E440" s="130">
        <v>17.37</v>
      </c>
      <c r="F440" s="130">
        <v>17.61</v>
      </c>
      <c r="G440" s="160">
        <v>3322500</v>
      </c>
      <c r="H440" s="160">
        <f t="shared" si="6"/>
        <v>58509225</v>
      </c>
      <c r="I440" t="s">
        <v>8841</v>
      </c>
      <c r="J440">
        <v>2022</v>
      </c>
      <c r="K440">
        <v>3</v>
      </c>
      <c r="L440" t="s">
        <v>8919</v>
      </c>
      <c r="M440" t="s">
        <v>1552</v>
      </c>
      <c r="N440" t="s">
        <v>8920</v>
      </c>
    </row>
    <row r="441" spans="1:14" x14ac:dyDescent="0.3">
      <c r="A441">
        <v>2022</v>
      </c>
      <c r="B441" s="159">
        <v>44634</v>
      </c>
      <c r="C441" s="130">
        <v>17.52</v>
      </c>
      <c r="D441" s="130">
        <v>17.53</v>
      </c>
      <c r="E441" s="130">
        <v>17.25</v>
      </c>
      <c r="F441" s="130">
        <v>17.350000000000001</v>
      </c>
      <c r="G441" s="160">
        <v>428000</v>
      </c>
      <c r="H441" s="160">
        <f t="shared" si="6"/>
        <v>7425800.0000000009</v>
      </c>
      <c r="I441" t="s">
        <v>8841</v>
      </c>
      <c r="J441">
        <v>2022</v>
      </c>
      <c r="K441">
        <v>3</v>
      </c>
      <c r="L441" t="s">
        <v>8919</v>
      </c>
      <c r="M441" t="s">
        <v>1552</v>
      </c>
      <c r="N441" t="s">
        <v>8920</v>
      </c>
    </row>
    <row r="442" spans="1:14" x14ac:dyDescent="0.3">
      <c r="A442">
        <v>2022</v>
      </c>
      <c r="B442" s="159">
        <v>44635</v>
      </c>
      <c r="C442" s="130">
        <v>17.22</v>
      </c>
      <c r="D442" s="130">
        <v>17.75</v>
      </c>
      <c r="E442" s="130">
        <v>17.22</v>
      </c>
      <c r="F442" s="130">
        <v>17.649999999999999</v>
      </c>
      <c r="G442" s="160">
        <v>1477000</v>
      </c>
      <c r="H442" s="160">
        <f t="shared" si="6"/>
        <v>26069049.999999996</v>
      </c>
      <c r="I442" t="s">
        <v>8841</v>
      </c>
      <c r="J442">
        <v>2022</v>
      </c>
      <c r="K442">
        <v>3</v>
      </c>
      <c r="L442" t="s">
        <v>8919</v>
      </c>
      <c r="M442" t="s">
        <v>1552</v>
      </c>
      <c r="N442" t="s">
        <v>8920</v>
      </c>
    </row>
    <row r="443" spans="1:14" x14ac:dyDescent="0.3">
      <c r="A443">
        <v>2022</v>
      </c>
      <c r="B443" s="159">
        <v>44636</v>
      </c>
      <c r="C443" s="130">
        <v>17.649999999999999</v>
      </c>
      <c r="D443" s="130">
        <v>18.62</v>
      </c>
      <c r="E443" s="130">
        <v>17.649999999999999</v>
      </c>
      <c r="F443" s="130">
        <v>17.940000000000001</v>
      </c>
      <c r="G443" s="160">
        <v>5974000</v>
      </c>
      <c r="H443" s="160">
        <f t="shared" si="6"/>
        <v>107173560.00000001</v>
      </c>
      <c r="I443" t="s">
        <v>8841</v>
      </c>
      <c r="J443">
        <v>2022</v>
      </c>
      <c r="K443">
        <v>3</v>
      </c>
      <c r="L443" t="s">
        <v>8919</v>
      </c>
      <c r="M443" t="s">
        <v>1552</v>
      </c>
      <c r="N443" t="s">
        <v>8920</v>
      </c>
    </row>
    <row r="444" spans="1:14" x14ac:dyDescent="0.3">
      <c r="A444">
        <v>2022</v>
      </c>
      <c r="B444" s="159">
        <v>44637</v>
      </c>
      <c r="C444" s="130">
        <v>18.05</v>
      </c>
      <c r="D444" s="130">
        <v>18.25</v>
      </c>
      <c r="E444" s="130">
        <v>17.86</v>
      </c>
      <c r="F444" s="130">
        <v>17.920000000000002</v>
      </c>
      <c r="G444" s="160">
        <v>2703500</v>
      </c>
      <c r="H444" s="160">
        <f t="shared" si="6"/>
        <v>48446720.000000007</v>
      </c>
      <c r="I444" t="s">
        <v>8841</v>
      </c>
      <c r="J444">
        <v>2022</v>
      </c>
      <c r="K444">
        <v>3</v>
      </c>
      <c r="L444" t="s">
        <v>8919</v>
      </c>
      <c r="M444" t="s">
        <v>1552</v>
      </c>
      <c r="N444" t="s">
        <v>8920</v>
      </c>
    </row>
    <row r="445" spans="1:14" x14ac:dyDescent="0.3">
      <c r="A445">
        <v>2022</v>
      </c>
      <c r="B445" s="159">
        <v>44638</v>
      </c>
      <c r="C445" s="130">
        <v>17.72</v>
      </c>
      <c r="D445" s="130">
        <v>17.95</v>
      </c>
      <c r="E445" s="130">
        <v>17.3</v>
      </c>
      <c r="F445" s="130">
        <v>17.55</v>
      </c>
      <c r="G445" s="160">
        <v>5031000</v>
      </c>
      <c r="H445" s="160">
        <f t="shared" si="6"/>
        <v>88294050</v>
      </c>
      <c r="I445" t="s">
        <v>8841</v>
      </c>
      <c r="J445">
        <v>2022</v>
      </c>
      <c r="K445">
        <v>3</v>
      </c>
      <c r="L445" t="s">
        <v>8919</v>
      </c>
      <c r="M445" t="s">
        <v>1552</v>
      </c>
      <c r="N445" t="s">
        <v>8920</v>
      </c>
    </row>
    <row r="446" spans="1:14" x14ac:dyDescent="0.3">
      <c r="A446">
        <v>2022</v>
      </c>
      <c r="B446" s="159">
        <v>44641</v>
      </c>
      <c r="C446" s="130">
        <v>17.71</v>
      </c>
      <c r="D446" s="130">
        <v>17.739999999999998</v>
      </c>
      <c r="E446" s="130">
        <v>17.5</v>
      </c>
      <c r="F446" s="130">
        <v>17.649999999999999</v>
      </c>
      <c r="G446" s="160">
        <v>758000</v>
      </c>
      <c r="H446" s="160">
        <f t="shared" si="6"/>
        <v>13378699.999999998</v>
      </c>
      <c r="I446" t="s">
        <v>8841</v>
      </c>
      <c r="J446">
        <v>2022</v>
      </c>
      <c r="K446">
        <v>3</v>
      </c>
      <c r="L446" t="s">
        <v>8919</v>
      </c>
      <c r="M446" t="s">
        <v>1552</v>
      </c>
      <c r="N446" t="s">
        <v>8920</v>
      </c>
    </row>
    <row r="447" spans="1:14" x14ac:dyDescent="0.3">
      <c r="A447">
        <v>2022</v>
      </c>
      <c r="B447" s="159">
        <v>44642</v>
      </c>
      <c r="C447" s="130">
        <v>17.649999999999999</v>
      </c>
      <c r="D447" s="130">
        <v>17.68</v>
      </c>
      <c r="E447" s="130">
        <v>17.5</v>
      </c>
      <c r="F447" s="130">
        <v>17.649999999999999</v>
      </c>
      <c r="G447" s="160">
        <v>518500</v>
      </c>
      <c r="H447" s="160">
        <f t="shared" si="6"/>
        <v>9151525</v>
      </c>
      <c r="I447" t="s">
        <v>8841</v>
      </c>
      <c r="J447">
        <v>2022</v>
      </c>
      <c r="K447">
        <v>3</v>
      </c>
      <c r="L447" t="s">
        <v>8919</v>
      </c>
      <c r="M447" t="s">
        <v>1552</v>
      </c>
      <c r="N447" t="s">
        <v>8920</v>
      </c>
    </row>
    <row r="448" spans="1:14" x14ac:dyDescent="0.3">
      <c r="A448">
        <v>2022</v>
      </c>
      <c r="B448" s="159">
        <v>44644</v>
      </c>
      <c r="C448" s="130">
        <v>17.5</v>
      </c>
      <c r="D448" s="130">
        <v>17.95</v>
      </c>
      <c r="E448" s="130">
        <v>17.46</v>
      </c>
      <c r="F448" s="130">
        <v>17.899999999999999</v>
      </c>
      <c r="G448" s="160">
        <v>726500</v>
      </c>
      <c r="H448" s="160">
        <f t="shared" si="6"/>
        <v>13004349.999999998</v>
      </c>
      <c r="I448" t="s">
        <v>8841</v>
      </c>
      <c r="J448">
        <v>2022</v>
      </c>
      <c r="K448">
        <v>3</v>
      </c>
      <c r="L448" t="s">
        <v>8919</v>
      </c>
      <c r="M448" t="s">
        <v>1552</v>
      </c>
      <c r="N448" t="s">
        <v>8920</v>
      </c>
    </row>
    <row r="449" spans="1:14" x14ac:dyDescent="0.3">
      <c r="A449">
        <v>2022</v>
      </c>
      <c r="B449" s="159">
        <v>44645</v>
      </c>
      <c r="C449" s="130">
        <v>17.61</v>
      </c>
      <c r="D449" s="130">
        <v>18</v>
      </c>
      <c r="E449" s="130">
        <v>17.5</v>
      </c>
      <c r="F449" s="130">
        <v>17.62</v>
      </c>
      <c r="G449" s="160">
        <v>548500</v>
      </c>
      <c r="H449" s="160">
        <f t="shared" si="6"/>
        <v>9664570</v>
      </c>
      <c r="I449" t="s">
        <v>8841</v>
      </c>
      <c r="J449">
        <v>2022</v>
      </c>
      <c r="K449">
        <v>3</v>
      </c>
      <c r="L449" t="s">
        <v>8919</v>
      </c>
      <c r="M449" t="s">
        <v>1552</v>
      </c>
      <c r="N449" t="s">
        <v>8920</v>
      </c>
    </row>
    <row r="450" spans="1:14" x14ac:dyDescent="0.3">
      <c r="A450">
        <v>2022</v>
      </c>
      <c r="B450" s="159">
        <v>44648</v>
      </c>
      <c r="C450" s="130">
        <v>17.600000000000001</v>
      </c>
      <c r="D450" s="130">
        <v>17.920000000000002</v>
      </c>
      <c r="E450" s="130">
        <v>17.5</v>
      </c>
      <c r="F450" s="130">
        <v>17.77</v>
      </c>
      <c r="G450" s="160">
        <v>1894000</v>
      </c>
      <c r="H450" s="160">
        <f t="shared" si="6"/>
        <v>33656380</v>
      </c>
      <c r="I450" t="s">
        <v>8841</v>
      </c>
      <c r="J450">
        <v>2022</v>
      </c>
      <c r="K450">
        <v>3</v>
      </c>
      <c r="L450" t="s">
        <v>8919</v>
      </c>
      <c r="M450" t="s">
        <v>1552</v>
      </c>
      <c r="N450" t="s">
        <v>8920</v>
      </c>
    </row>
    <row r="451" spans="1:14" x14ac:dyDescent="0.3">
      <c r="A451">
        <v>2022</v>
      </c>
      <c r="B451" s="159">
        <v>44649</v>
      </c>
      <c r="C451" s="130">
        <v>17.8</v>
      </c>
      <c r="D451" s="130">
        <v>18.09</v>
      </c>
      <c r="E451" s="130">
        <v>17.8</v>
      </c>
      <c r="F451" s="130">
        <v>17.96</v>
      </c>
      <c r="G451" s="160">
        <v>2003500</v>
      </c>
      <c r="H451" s="160">
        <f t="shared" si="6"/>
        <v>35982860</v>
      </c>
      <c r="I451" t="s">
        <v>8841</v>
      </c>
      <c r="J451">
        <v>2022</v>
      </c>
      <c r="K451">
        <v>3</v>
      </c>
      <c r="L451" t="s">
        <v>8919</v>
      </c>
      <c r="M451" t="s">
        <v>1552</v>
      </c>
      <c r="N451" t="s">
        <v>8920</v>
      </c>
    </row>
    <row r="452" spans="1:14" x14ac:dyDescent="0.3">
      <c r="A452">
        <v>2022</v>
      </c>
      <c r="B452" s="159">
        <v>44650</v>
      </c>
      <c r="C452" s="130">
        <v>17.73</v>
      </c>
      <c r="D452" s="130">
        <v>18</v>
      </c>
      <c r="E452" s="130">
        <v>17.600000000000001</v>
      </c>
      <c r="F452" s="130">
        <v>17.91</v>
      </c>
      <c r="G452" s="160">
        <v>2025500</v>
      </c>
      <c r="H452" s="160">
        <f t="shared" si="6"/>
        <v>36276705</v>
      </c>
      <c r="I452" t="s">
        <v>8841</v>
      </c>
      <c r="J452">
        <v>2022</v>
      </c>
      <c r="K452">
        <v>3</v>
      </c>
      <c r="L452" t="s">
        <v>8919</v>
      </c>
      <c r="M452" t="s">
        <v>1552</v>
      </c>
      <c r="N452" t="s">
        <v>8920</v>
      </c>
    </row>
    <row r="453" spans="1:14" x14ac:dyDescent="0.3">
      <c r="A453">
        <v>2022</v>
      </c>
      <c r="B453" s="159">
        <v>44651</v>
      </c>
      <c r="C453" s="130">
        <v>17.91</v>
      </c>
      <c r="D453" s="130">
        <v>18.2</v>
      </c>
      <c r="E453" s="130">
        <v>17.850000000000001</v>
      </c>
      <c r="F453" s="130">
        <v>18.12</v>
      </c>
      <c r="G453" s="160">
        <v>2906500</v>
      </c>
      <c r="H453" s="160">
        <f t="shared" si="6"/>
        <v>52665780</v>
      </c>
      <c r="I453" t="s">
        <v>8841</v>
      </c>
      <c r="J453">
        <v>2022</v>
      </c>
      <c r="K453">
        <v>3</v>
      </c>
      <c r="L453" t="s">
        <v>8919</v>
      </c>
      <c r="M453" t="s">
        <v>1552</v>
      </c>
      <c r="N453" t="s">
        <v>8920</v>
      </c>
    </row>
    <row r="454" spans="1:14" x14ac:dyDescent="0.3">
      <c r="A454">
        <v>2022</v>
      </c>
      <c r="B454" s="159">
        <v>44652</v>
      </c>
      <c r="C454" s="130">
        <v>18.11</v>
      </c>
      <c r="D454" s="130">
        <v>18.3</v>
      </c>
      <c r="E454" s="130">
        <v>17.91</v>
      </c>
      <c r="F454" s="130">
        <v>18.2</v>
      </c>
      <c r="G454" s="160">
        <v>3704500</v>
      </c>
      <c r="H454" s="160">
        <f t="shared" si="6"/>
        <v>67421900</v>
      </c>
      <c r="I454" t="s">
        <v>8842</v>
      </c>
      <c r="J454">
        <v>2022</v>
      </c>
      <c r="K454">
        <v>4</v>
      </c>
      <c r="L454" t="s">
        <v>8921</v>
      </c>
      <c r="M454" t="s">
        <v>1552</v>
      </c>
      <c r="N454" t="s">
        <v>8922</v>
      </c>
    </row>
    <row r="455" spans="1:14" x14ac:dyDescent="0.3">
      <c r="A455">
        <v>2022</v>
      </c>
      <c r="B455" s="159">
        <v>44655</v>
      </c>
      <c r="C455" s="130">
        <v>17.57</v>
      </c>
      <c r="D455" s="130">
        <v>17.77</v>
      </c>
      <c r="E455" s="130">
        <v>17.16</v>
      </c>
      <c r="F455" s="130">
        <v>17.309999999999999</v>
      </c>
      <c r="G455" s="160">
        <v>1935500</v>
      </c>
      <c r="H455" s="160">
        <f t="shared" si="6"/>
        <v>33503504.999999996</v>
      </c>
      <c r="I455" t="s">
        <v>8842</v>
      </c>
      <c r="J455">
        <v>2022</v>
      </c>
      <c r="K455">
        <v>4</v>
      </c>
      <c r="L455" t="s">
        <v>8921</v>
      </c>
      <c r="M455" t="s">
        <v>1552</v>
      </c>
      <c r="N455" t="s">
        <v>8922</v>
      </c>
    </row>
    <row r="456" spans="1:14" x14ac:dyDescent="0.3">
      <c r="A456">
        <v>2022</v>
      </c>
      <c r="B456" s="159">
        <v>44656</v>
      </c>
      <c r="C456" s="130">
        <v>17.39</v>
      </c>
      <c r="D456" s="130">
        <v>17.5</v>
      </c>
      <c r="E456" s="130">
        <v>16.989999999999998</v>
      </c>
      <c r="F456" s="130">
        <v>17.11</v>
      </c>
      <c r="G456" s="160">
        <v>1113000</v>
      </c>
      <c r="H456" s="160">
        <f t="shared" si="6"/>
        <v>19043430</v>
      </c>
      <c r="I456" t="s">
        <v>8842</v>
      </c>
      <c r="J456">
        <v>2022</v>
      </c>
      <c r="K456">
        <v>4</v>
      </c>
      <c r="L456" t="s">
        <v>8921</v>
      </c>
      <c r="M456" t="s">
        <v>1552</v>
      </c>
      <c r="N456" t="s">
        <v>8922</v>
      </c>
    </row>
    <row r="457" spans="1:14" x14ac:dyDescent="0.3">
      <c r="A457">
        <v>2022</v>
      </c>
      <c r="B457" s="159">
        <v>44657</v>
      </c>
      <c r="C457" s="130">
        <v>17.100000000000001</v>
      </c>
      <c r="D457" s="130">
        <v>17.37</v>
      </c>
      <c r="E457" s="130">
        <v>17.100000000000001</v>
      </c>
      <c r="F457" s="130">
        <v>17.25</v>
      </c>
      <c r="G457" s="160">
        <v>430500</v>
      </c>
      <c r="H457" s="160">
        <f t="shared" si="6"/>
        <v>7426125</v>
      </c>
      <c r="I457" t="s">
        <v>8842</v>
      </c>
      <c r="J457">
        <v>2022</v>
      </c>
      <c r="K457">
        <v>4</v>
      </c>
      <c r="L457" t="s">
        <v>8921</v>
      </c>
      <c r="M457" t="s">
        <v>1552</v>
      </c>
      <c r="N457" t="s">
        <v>8922</v>
      </c>
    </row>
    <row r="458" spans="1:14" x14ac:dyDescent="0.3">
      <c r="A458">
        <v>2022</v>
      </c>
      <c r="B458" s="159">
        <v>44658</v>
      </c>
      <c r="C458" s="130">
        <v>17.25</v>
      </c>
      <c r="D458" s="130">
        <v>17.399999999999999</v>
      </c>
      <c r="E458" s="130">
        <v>17</v>
      </c>
      <c r="F458" s="130">
        <v>17.09</v>
      </c>
      <c r="G458" s="160">
        <v>2818000</v>
      </c>
      <c r="H458" s="160">
        <f t="shared" si="6"/>
        <v>48159620</v>
      </c>
      <c r="I458" t="s">
        <v>8842</v>
      </c>
      <c r="J458">
        <v>2022</v>
      </c>
      <c r="K458">
        <v>4</v>
      </c>
      <c r="L458" t="s">
        <v>8921</v>
      </c>
      <c r="M458" t="s">
        <v>1552</v>
      </c>
      <c r="N458" t="s">
        <v>8922</v>
      </c>
    </row>
    <row r="459" spans="1:14" x14ac:dyDescent="0.3">
      <c r="A459">
        <v>2022</v>
      </c>
      <c r="B459" s="159">
        <v>44659</v>
      </c>
      <c r="C459" s="130">
        <v>17</v>
      </c>
      <c r="D459" s="130">
        <v>17.34</v>
      </c>
      <c r="E459" s="130">
        <v>17</v>
      </c>
      <c r="F459" s="130">
        <v>17.100000000000001</v>
      </c>
      <c r="G459" s="160">
        <v>9060000</v>
      </c>
      <c r="H459" s="160">
        <f t="shared" si="6"/>
        <v>154926000</v>
      </c>
      <c r="I459" t="s">
        <v>8842</v>
      </c>
      <c r="J459">
        <v>2022</v>
      </c>
      <c r="K459">
        <v>4</v>
      </c>
      <c r="L459" t="s">
        <v>8921</v>
      </c>
      <c r="M459" t="s">
        <v>1552</v>
      </c>
      <c r="N459" t="s">
        <v>8922</v>
      </c>
    </row>
    <row r="460" spans="1:14" x14ac:dyDescent="0.3">
      <c r="A460">
        <v>2022</v>
      </c>
      <c r="B460" s="159">
        <v>44662</v>
      </c>
      <c r="C460" s="130">
        <v>17.39</v>
      </c>
      <c r="D460" s="130">
        <v>17.95</v>
      </c>
      <c r="E460" s="130">
        <v>17.39</v>
      </c>
      <c r="F460" s="130">
        <v>17.86</v>
      </c>
      <c r="G460" s="160">
        <v>18176500</v>
      </c>
      <c r="H460" s="160">
        <f t="shared" si="6"/>
        <v>324632290</v>
      </c>
      <c r="I460" t="s">
        <v>8842</v>
      </c>
      <c r="J460">
        <v>2022</v>
      </c>
      <c r="K460">
        <v>4</v>
      </c>
      <c r="L460" t="s">
        <v>8921</v>
      </c>
      <c r="M460" t="s">
        <v>1552</v>
      </c>
      <c r="N460" t="s">
        <v>8922</v>
      </c>
    </row>
    <row r="461" spans="1:14" x14ac:dyDescent="0.3">
      <c r="A461">
        <v>2022</v>
      </c>
      <c r="B461" s="159">
        <v>44663</v>
      </c>
      <c r="C461" s="130">
        <v>17.899999999999999</v>
      </c>
      <c r="D461" s="130">
        <v>18.239999999999998</v>
      </c>
      <c r="E461" s="130">
        <v>17.350000000000001</v>
      </c>
      <c r="F461" s="130">
        <v>18.11</v>
      </c>
      <c r="G461" s="160">
        <v>11038500</v>
      </c>
      <c r="H461" s="160">
        <f t="shared" si="6"/>
        <v>199907235</v>
      </c>
      <c r="I461" t="s">
        <v>8842</v>
      </c>
      <c r="J461">
        <v>2022</v>
      </c>
      <c r="K461">
        <v>4</v>
      </c>
      <c r="L461" t="s">
        <v>8921</v>
      </c>
      <c r="M461" t="s">
        <v>1552</v>
      </c>
      <c r="N461" t="s">
        <v>8922</v>
      </c>
    </row>
    <row r="462" spans="1:14" x14ac:dyDescent="0.3">
      <c r="A462">
        <v>2022</v>
      </c>
      <c r="B462" s="159">
        <v>44664</v>
      </c>
      <c r="C462" s="130">
        <v>17.850000000000001</v>
      </c>
      <c r="D462" s="130">
        <v>17.989999999999998</v>
      </c>
      <c r="E462" s="130">
        <v>17.649999999999999</v>
      </c>
      <c r="F462" s="130">
        <v>17.7</v>
      </c>
      <c r="G462" s="160">
        <v>1264500</v>
      </c>
      <c r="H462" s="160">
        <f t="shared" si="6"/>
        <v>22381650</v>
      </c>
      <c r="I462" t="s">
        <v>8842</v>
      </c>
      <c r="J462">
        <v>2022</v>
      </c>
      <c r="K462">
        <v>4</v>
      </c>
      <c r="L462" t="s">
        <v>8921</v>
      </c>
      <c r="M462" t="s">
        <v>1552</v>
      </c>
      <c r="N462" t="s">
        <v>8922</v>
      </c>
    </row>
    <row r="463" spans="1:14" x14ac:dyDescent="0.3">
      <c r="A463">
        <v>2022</v>
      </c>
      <c r="B463" s="159">
        <v>44665</v>
      </c>
      <c r="C463" s="130">
        <v>17.63</v>
      </c>
      <c r="D463" s="130">
        <v>18.3</v>
      </c>
      <c r="E463" s="130">
        <v>17.54</v>
      </c>
      <c r="F463" s="130">
        <v>18.22</v>
      </c>
      <c r="G463" s="160">
        <v>7940500</v>
      </c>
      <c r="H463" s="160">
        <f t="shared" si="6"/>
        <v>144675910</v>
      </c>
      <c r="I463" t="s">
        <v>8842</v>
      </c>
      <c r="J463">
        <v>2022</v>
      </c>
      <c r="K463">
        <v>4</v>
      </c>
      <c r="L463" t="s">
        <v>8921</v>
      </c>
      <c r="M463" t="s">
        <v>1552</v>
      </c>
      <c r="N463" t="s">
        <v>8922</v>
      </c>
    </row>
    <row r="464" spans="1:14" x14ac:dyDescent="0.3">
      <c r="A464">
        <v>2022</v>
      </c>
      <c r="B464" s="159">
        <v>44666</v>
      </c>
      <c r="C464" s="130">
        <v>18.3</v>
      </c>
      <c r="D464" s="130">
        <v>18.649999999999999</v>
      </c>
      <c r="E464" s="130">
        <v>18.100000000000001</v>
      </c>
      <c r="F464" s="130">
        <v>18.59</v>
      </c>
      <c r="G464" s="160">
        <v>5058500</v>
      </c>
      <c r="H464" s="160">
        <f t="shared" ref="H464:H527" si="7">F464*G464</f>
        <v>94037515</v>
      </c>
      <c r="I464" t="s">
        <v>8842</v>
      </c>
      <c r="J464">
        <v>2022</v>
      </c>
      <c r="K464">
        <v>4</v>
      </c>
      <c r="L464" t="s">
        <v>8921</v>
      </c>
      <c r="M464" t="s">
        <v>1552</v>
      </c>
      <c r="N464" t="s">
        <v>8922</v>
      </c>
    </row>
    <row r="465" spans="1:14" x14ac:dyDescent="0.3">
      <c r="A465">
        <v>2022</v>
      </c>
      <c r="B465" s="159">
        <v>44669</v>
      </c>
      <c r="C465" s="130">
        <v>18.59</v>
      </c>
      <c r="D465" s="130">
        <v>18.8</v>
      </c>
      <c r="E465" s="130">
        <v>18.25</v>
      </c>
      <c r="F465" s="130">
        <v>18.350000000000001</v>
      </c>
      <c r="G465" s="160">
        <v>1252000</v>
      </c>
      <c r="H465" s="160">
        <f t="shared" si="7"/>
        <v>22974200</v>
      </c>
      <c r="I465" t="s">
        <v>8842</v>
      </c>
      <c r="J465">
        <v>2022</v>
      </c>
      <c r="K465">
        <v>4</v>
      </c>
      <c r="L465" t="s">
        <v>8921</v>
      </c>
      <c r="M465" t="s">
        <v>1552</v>
      </c>
      <c r="N465" t="s">
        <v>8922</v>
      </c>
    </row>
    <row r="466" spans="1:14" x14ac:dyDescent="0.3">
      <c r="A466">
        <v>2022</v>
      </c>
      <c r="B466" s="159">
        <v>44670</v>
      </c>
      <c r="C466" s="130">
        <v>18.350000000000001</v>
      </c>
      <c r="D466" s="130">
        <v>18.5</v>
      </c>
      <c r="E466" s="130">
        <v>17.7</v>
      </c>
      <c r="F466" s="130">
        <v>17.920000000000002</v>
      </c>
      <c r="G466" s="160">
        <v>1595500</v>
      </c>
      <c r="H466" s="160">
        <f t="shared" si="7"/>
        <v>28591360.000000004</v>
      </c>
      <c r="I466" t="s">
        <v>8842</v>
      </c>
      <c r="J466">
        <v>2022</v>
      </c>
      <c r="K466">
        <v>4</v>
      </c>
      <c r="L466" t="s">
        <v>8921</v>
      </c>
      <c r="M466" t="s">
        <v>1552</v>
      </c>
      <c r="N466" t="s">
        <v>8922</v>
      </c>
    </row>
    <row r="467" spans="1:14" x14ac:dyDescent="0.3">
      <c r="A467">
        <v>2022</v>
      </c>
      <c r="B467" s="159">
        <v>44671</v>
      </c>
      <c r="C467" s="130">
        <v>17.82</v>
      </c>
      <c r="D467" s="130">
        <v>17.899999999999999</v>
      </c>
      <c r="E467" s="130">
        <v>16.899999999999999</v>
      </c>
      <c r="F467" s="130">
        <v>17.329999999999998</v>
      </c>
      <c r="G467" s="160">
        <v>3450500</v>
      </c>
      <c r="H467" s="160">
        <f t="shared" si="7"/>
        <v>59797164.999999993</v>
      </c>
      <c r="I467" t="s">
        <v>8842</v>
      </c>
      <c r="J467">
        <v>2022</v>
      </c>
      <c r="K467">
        <v>4</v>
      </c>
      <c r="L467" t="s">
        <v>8921</v>
      </c>
      <c r="M467" t="s">
        <v>1552</v>
      </c>
      <c r="N467" t="s">
        <v>8922</v>
      </c>
    </row>
    <row r="468" spans="1:14" x14ac:dyDescent="0.3">
      <c r="A468">
        <v>2022</v>
      </c>
      <c r="B468" s="159">
        <v>44672</v>
      </c>
      <c r="C468" s="130">
        <v>17.12</v>
      </c>
      <c r="D468" s="130">
        <v>17.2</v>
      </c>
      <c r="E468" s="130">
        <v>16.809999999999999</v>
      </c>
      <c r="F468" s="130">
        <v>17.04</v>
      </c>
      <c r="G468" s="160">
        <v>1811500</v>
      </c>
      <c r="H468" s="160">
        <f t="shared" si="7"/>
        <v>30867960</v>
      </c>
      <c r="I468" t="s">
        <v>8842</v>
      </c>
      <c r="J468">
        <v>2022</v>
      </c>
      <c r="K468">
        <v>4</v>
      </c>
      <c r="L468" t="s">
        <v>8921</v>
      </c>
      <c r="M468" t="s">
        <v>1552</v>
      </c>
      <c r="N468" t="s">
        <v>8922</v>
      </c>
    </row>
    <row r="469" spans="1:14" x14ac:dyDescent="0.3">
      <c r="A469">
        <v>2022</v>
      </c>
      <c r="B469" s="159">
        <v>44673</v>
      </c>
      <c r="C469" s="130">
        <v>17</v>
      </c>
      <c r="D469" s="130">
        <v>17.14</v>
      </c>
      <c r="E469" s="130">
        <v>16.95</v>
      </c>
      <c r="F469" s="130">
        <v>17</v>
      </c>
      <c r="G469" s="160">
        <v>1729500</v>
      </c>
      <c r="H469" s="160">
        <f t="shared" si="7"/>
        <v>29401500</v>
      </c>
      <c r="I469" t="s">
        <v>8842</v>
      </c>
      <c r="J469">
        <v>2022</v>
      </c>
      <c r="K469">
        <v>4</v>
      </c>
      <c r="L469" t="s">
        <v>8921</v>
      </c>
      <c r="M469" t="s">
        <v>1552</v>
      </c>
      <c r="N469" t="s">
        <v>8922</v>
      </c>
    </row>
    <row r="470" spans="1:14" x14ac:dyDescent="0.3">
      <c r="A470">
        <v>2022</v>
      </c>
      <c r="B470" s="159">
        <v>44676</v>
      </c>
      <c r="C470" s="130">
        <v>17.14</v>
      </c>
      <c r="D470" s="130">
        <v>17.45</v>
      </c>
      <c r="E470" s="130">
        <v>17</v>
      </c>
      <c r="F470" s="130">
        <v>17.079999999999998</v>
      </c>
      <c r="G470" s="160">
        <v>1847500</v>
      </c>
      <c r="H470" s="160">
        <f t="shared" si="7"/>
        <v>31555299.999999996</v>
      </c>
      <c r="I470" t="s">
        <v>8842</v>
      </c>
      <c r="J470">
        <v>2022</v>
      </c>
      <c r="K470">
        <v>4</v>
      </c>
      <c r="L470" t="s">
        <v>8921</v>
      </c>
      <c r="M470" t="s">
        <v>1552</v>
      </c>
      <c r="N470" t="s">
        <v>8922</v>
      </c>
    </row>
    <row r="471" spans="1:14" x14ac:dyDescent="0.3">
      <c r="A471">
        <v>2022</v>
      </c>
      <c r="B471" s="159">
        <v>44677</v>
      </c>
      <c r="C471" s="130">
        <v>16.920000000000002</v>
      </c>
      <c r="D471" s="130">
        <v>17.29</v>
      </c>
      <c r="E471" s="130">
        <v>16.920000000000002</v>
      </c>
      <c r="F471" s="130">
        <v>17.05</v>
      </c>
      <c r="G471" s="160">
        <v>1400000</v>
      </c>
      <c r="H471" s="160">
        <f t="shared" si="7"/>
        <v>23870000</v>
      </c>
      <c r="I471" t="s">
        <v>8842</v>
      </c>
      <c r="J471">
        <v>2022</v>
      </c>
      <c r="K471">
        <v>4</v>
      </c>
      <c r="L471" t="s">
        <v>8921</v>
      </c>
      <c r="M471" t="s">
        <v>1552</v>
      </c>
      <c r="N471" t="s">
        <v>8922</v>
      </c>
    </row>
    <row r="472" spans="1:14" x14ac:dyDescent="0.3">
      <c r="A472">
        <v>2022</v>
      </c>
      <c r="B472" s="159">
        <v>44678</v>
      </c>
      <c r="C472" s="130">
        <v>17</v>
      </c>
      <c r="D472" s="130">
        <v>17.25</v>
      </c>
      <c r="E472" s="130">
        <v>16.649999999999999</v>
      </c>
      <c r="F472" s="130">
        <v>16.71</v>
      </c>
      <c r="G472" s="160">
        <v>1073000</v>
      </c>
      <c r="H472" s="160">
        <f t="shared" si="7"/>
        <v>17929830</v>
      </c>
      <c r="I472" t="s">
        <v>8842</v>
      </c>
      <c r="J472">
        <v>2022</v>
      </c>
      <c r="K472">
        <v>4</v>
      </c>
      <c r="L472" t="s">
        <v>8921</v>
      </c>
      <c r="M472" t="s">
        <v>1552</v>
      </c>
      <c r="N472" t="s">
        <v>8922</v>
      </c>
    </row>
    <row r="473" spans="1:14" x14ac:dyDescent="0.3">
      <c r="A473">
        <v>2022</v>
      </c>
      <c r="B473" s="159">
        <v>44679</v>
      </c>
      <c r="C473" s="130">
        <v>16.88</v>
      </c>
      <c r="D473" s="130">
        <v>16.899999999999999</v>
      </c>
      <c r="E473" s="130">
        <v>16.329999999999998</v>
      </c>
      <c r="F473" s="130">
        <v>16.77</v>
      </c>
      <c r="G473" s="160">
        <v>2372500</v>
      </c>
      <c r="H473" s="160">
        <f t="shared" si="7"/>
        <v>39786825</v>
      </c>
      <c r="I473" t="s">
        <v>8842</v>
      </c>
      <c r="J473">
        <v>2022</v>
      </c>
      <c r="K473">
        <v>4</v>
      </c>
      <c r="L473" t="s">
        <v>8921</v>
      </c>
      <c r="M473" t="s">
        <v>1552</v>
      </c>
      <c r="N473" t="s">
        <v>8922</v>
      </c>
    </row>
    <row r="474" spans="1:14" x14ac:dyDescent="0.3">
      <c r="A474">
        <v>2022</v>
      </c>
      <c r="B474" s="159">
        <v>44687</v>
      </c>
      <c r="C474" s="130">
        <v>16.68</v>
      </c>
      <c r="D474" s="130">
        <v>16.8</v>
      </c>
      <c r="E474" s="130">
        <v>16.420000000000002</v>
      </c>
      <c r="F474" s="130">
        <v>16.57</v>
      </c>
      <c r="G474" s="160">
        <v>632000</v>
      </c>
      <c r="H474" s="160">
        <f t="shared" si="7"/>
        <v>10472240</v>
      </c>
      <c r="I474" t="s">
        <v>8845</v>
      </c>
      <c r="J474">
        <v>2022</v>
      </c>
      <c r="K474">
        <v>5</v>
      </c>
      <c r="L474" t="s">
        <v>8923</v>
      </c>
      <c r="M474" t="s">
        <v>1552</v>
      </c>
      <c r="N474" t="s">
        <v>8924</v>
      </c>
    </row>
    <row r="475" spans="1:14" x14ac:dyDescent="0.3">
      <c r="A475">
        <v>2022</v>
      </c>
      <c r="B475" s="159">
        <v>44690</v>
      </c>
      <c r="C475" s="130">
        <v>16.420000000000002</v>
      </c>
      <c r="D475" s="130">
        <v>16.600000000000001</v>
      </c>
      <c r="E475" s="130">
        <v>15.55</v>
      </c>
      <c r="F475" s="130">
        <v>15.85</v>
      </c>
      <c r="G475" s="160">
        <v>7941000</v>
      </c>
      <c r="H475" s="160">
        <f t="shared" si="7"/>
        <v>125864850</v>
      </c>
      <c r="I475" t="s">
        <v>8845</v>
      </c>
      <c r="J475">
        <v>2022</v>
      </c>
      <c r="K475">
        <v>5</v>
      </c>
      <c r="L475" t="s">
        <v>8923</v>
      </c>
      <c r="M475" t="s">
        <v>1552</v>
      </c>
      <c r="N475" t="s">
        <v>8924</v>
      </c>
    </row>
    <row r="476" spans="1:14" x14ac:dyDescent="0.3">
      <c r="A476">
        <v>2022</v>
      </c>
      <c r="B476" s="159">
        <v>44691</v>
      </c>
      <c r="C476" s="130">
        <v>16</v>
      </c>
      <c r="D476" s="130">
        <v>16</v>
      </c>
      <c r="E476" s="130">
        <v>15.5</v>
      </c>
      <c r="F476" s="130">
        <v>15.75</v>
      </c>
      <c r="G476" s="160">
        <v>3139500</v>
      </c>
      <c r="H476" s="160">
        <f t="shared" si="7"/>
        <v>49447125</v>
      </c>
      <c r="I476" t="s">
        <v>8845</v>
      </c>
      <c r="J476">
        <v>2022</v>
      </c>
      <c r="K476">
        <v>5</v>
      </c>
      <c r="L476" t="s">
        <v>8923</v>
      </c>
      <c r="M476" t="s">
        <v>1552</v>
      </c>
      <c r="N476" t="s">
        <v>8924</v>
      </c>
    </row>
    <row r="477" spans="1:14" x14ac:dyDescent="0.3">
      <c r="A477">
        <v>2022</v>
      </c>
      <c r="B477" s="159">
        <v>44692</v>
      </c>
      <c r="C477" s="130">
        <v>15.7</v>
      </c>
      <c r="D477" s="130">
        <v>15.94</v>
      </c>
      <c r="E477" s="130">
        <v>15.01</v>
      </c>
      <c r="F477" s="130">
        <v>15.27</v>
      </c>
      <c r="G477" s="160">
        <v>4808500</v>
      </c>
      <c r="H477" s="160">
        <f t="shared" si="7"/>
        <v>73425795</v>
      </c>
      <c r="I477" t="s">
        <v>8845</v>
      </c>
      <c r="J477">
        <v>2022</v>
      </c>
      <c r="K477">
        <v>5</v>
      </c>
      <c r="L477" t="s">
        <v>8923</v>
      </c>
      <c r="M477" t="s">
        <v>1552</v>
      </c>
      <c r="N477" t="s">
        <v>8924</v>
      </c>
    </row>
    <row r="478" spans="1:14" x14ac:dyDescent="0.3">
      <c r="A478">
        <v>2022</v>
      </c>
      <c r="B478" s="159">
        <v>44693</v>
      </c>
      <c r="C478" s="130">
        <v>15.21</v>
      </c>
      <c r="D478" s="130">
        <v>15.69</v>
      </c>
      <c r="E478" s="130">
        <v>15.17</v>
      </c>
      <c r="F478" s="130">
        <v>15.49</v>
      </c>
      <c r="G478" s="160">
        <v>2253000</v>
      </c>
      <c r="H478" s="160">
        <f t="shared" si="7"/>
        <v>34898970</v>
      </c>
      <c r="I478" t="s">
        <v>8845</v>
      </c>
      <c r="J478">
        <v>2022</v>
      </c>
      <c r="K478">
        <v>5</v>
      </c>
      <c r="L478" t="s">
        <v>8923</v>
      </c>
      <c r="M478" t="s">
        <v>1552</v>
      </c>
      <c r="N478" t="s">
        <v>8924</v>
      </c>
    </row>
    <row r="479" spans="1:14" x14ac:dyDescent="0.3">
      <c r="A479">
        <v>2022</v>
      </c>
      <c r="B479" s="159">
        <v>44694</v>
      </c>
      <c r="C479" s="130">
        <v>15.6</v>
      </c>
      <c r="D479" s="130">
        <v>15.84</v>
      </c>
      <c r="E479" s="130">
        <v>15.35</v>
      </c>
      <c r="F479" s="130">
        <v>15.62</v>
      </c>
      <c r="G479" s="160">
        <v>832000</v>
      </c>
      <c r="H479" s="160">
        <f t="shared" si="7"/>
        <v>12995840</v>
      </c>
      <c r="I479" t="s">
        <v>8845</v>
      </c>
      <c r="J479">
        <v>2022</v>
      </c>
      <c r="K479">
        <v>5</v>
      </c>
      <c r="L479" t="s">
        <v>8923</v>
      </c>
      <c r="M479" t="s">
        <v>1552</v>
      </c>
      <c r="N479" t="s">
        <v>8924</v>
      </c>
    </row>
    <row r="480" spans="1:14" x14ac:dyDescent="0.3">
      <c r="A480">
        <v>2022</v>
      </c>
      <c r="B480" s="159">
        <v>44697</v>
      </c>
      <c r="C480" s="130">
        <v>15.5</v>
      </c>
      <c r="D480" s="130">
        <v>15.95</v>
      </c>
      <c r="E480" s="130">
        <v>14.5</v>
      </c>
      <c r="F480" s="130">
        <v>15.49</v>
      </c>
      <c r="G480" s="160">
        <v>4031500</v>
      </c>
      <c r="H480" s="160">
        <f t="shared" si="7"/>
        <v>62447935</v>
      </c>
      <c r="I480" t="s">
        <v>8845</v>
      </c>
      <c r="J480">
        <v>2022</v>
      </c>
      <c r="K480">
        <v>5</v>
      </c>
      <c r="L480" t="s">
        <v>8923</v>
      </c>
      <c r="M480" t="s">
        <v>1552</v>
      </c>
      <c r="N480" t="s">
        <v>8924</v>
      </c>
    </row>
    <row r="481" spans="1:14" x14ac:dyDescent="0.3">
      <c r="A481">
        <v>2022</v>
      </c>
      <c r="B481" s="159">
        <v>44698</v>
      </c>
      <c r="C481" s="130">
        <v>15.4</v>
      </c>
      <c r="D481" s="130">
        <v>15.4</v>
      </c>
      <c r="E481" s="130">
        <v>15</v>
      </c>
      <c r="F481" s="130">
        <v>15.08</v>
      </c>
      <c r="G481" s="160">
        <v>1367500</v>
      </c>
      <c r="H481" s="160">
        <f t="shared" si="7"/>
        <v>20621900</v>
      </c>
      <c r="I481" t="s">
        <v>8845</v>
      </c>
      <c r="J481">
        <v>2022</v>
      </c>
      <c r="K481">
        <v>5</v>
      </c>
      <c r="L481" t="s">
        <v>8923</v>
      </c>
      <c r="M481" t="s">
        <v>1552</v>
      </c>
      <c r="N481" t="s">
        <v>8924</v>
      </c>
    </row>
    <row r="482" spans="1:14" x14ac:dyDescent="0.3">
      <c r="A482">
        <v>2022</v>
      </c>
      <c r="B482" s="159">
        <v>44699</v>
      </c>
      <c r="C482" s="130">
        <v>14.81</v>
      </c>
      <c r="D482" s="130">
        <v>15.4</v>
      </c>
      <c r="E482" s="130">
        <v>14.81</v>
      </c>
      <c r="F482" s="130">
        <v>15.2</v>
      </c>
      <c r="G482" s="160">
        <v>1276500</v>
      </c>
      <c r="H482" s="160">
        <f t="shared" si="7"/>
        <v>19402800</v>
      </c>
      <c r="I482" t="s">
        <v>8845</v>
      </c>
      <c r="J482">
        <v>2022</v>
      </c>
      <c r="K482">
        <v>5</v>
      </c>
      <c r="L482" t="s">
        <v>8923</v>
      </c>
      <c r="M482" t="s">
        <v>1552</v>
      </c>
      <c r="N482" t="s">
        <v>8924</v>
      </c>
    </row>
    <row r="483" spans="1:14" x14ac:dyDescent="0.3">
      <c r="A483">
        <v>2022</v>
      </c>
      <c r="B483" s="159">
        <v>44700</v>
      </c>
      <c r="C483" s="130">
        <v>15.28</v>
      </c>
      <c r="D483" s="130">
        <v>15.6</v>
      </c>
      <c r="E483" s="130">
        <v>15.22</v>
      </c>
      <c r="F483" s="130">
        <v>15.5</v>
      </c>
      <c r="G483" s="160">
        <v>6986500</v>
      </c>
      <c r="H483" s="160">
        <f t="shared" si="7"/>
        <v>108290750</v>
      </c>
      <c r="I483" t="s">
        <v>8845</v>
      </c>
      <c r="J483">
        <v>2022</v>
      </c>
      <c r="K483">
        <v>5</v>
      </c>
      <c r="L483" t="s">
        <v>8923</v>
      </c>
      <c r="M483" t="s">
        <v>1552</v>
      </c>
      <c r="N483" t="s">
        <v>8924</v>
      </c>
    </row>
    <row r="484" spans="1:14" x14ac:dyDescent="0.3">
      <c r="A484">
        <v>2022</v>
      </c>
      <c r="B484" s="159">
        <v>44701</v>
      </c>
      <c r="C484" s="130">
        <v>15.6</v>
      </c>
      <c r="D484" s="130">
        <v>15.8</v>
      </c>
      <c r="E484" s="130">
        <v>15.3</v>
      </c>
      <c r="F484" s="130">
        <v>15.37</v>
      </c>
      <c r="G484" s="160">
        <v>5880500</v>
      </c>
      <c r="H484" s="160">
        <f t="shared" si="7"/>
        <v>90383285</v>
      </c>
      <c r="I484" t="s">
        <v>8845</v>
      </c>
      <c r="J484">
        <v>2022</v>
      </c>
      <c r="K484">
        <v>5</v>
      </c>
      <c r="L484" t="s">
        <v>8923</v>
      </c>
      <c r="M484" t="s">
        <v>1552</v>
      </c>
      <c r="N484" t="s">
        <v>8924</v>
      </c>
    </row>
    <row r="485" spans="1:14" x14ac:dyDescent="0.3">
      <c r="A485">
        <v>2022</v>
      </c>
      <c r="B485" s="159">
        <v>44704</v>
      </c>
      <c r="C485" s="130">
        <v>15.25</v>
      </c>
      <c r="D485" s="130">
        <v>15.48</v>
      </c>
      <c r="E485" s="130">
        <v>14.5</v>
      </c>
      <c r="F485" s="130">
        <v>15.08</v>
      </c>
      <c r="G485" s="160">
        <v>1981500</v>
      </c>
      <c r="H485" s="160">
        <f t="shared" si="7"/>
        <v>29881020</v>
      </c>
      <c r="I485" t="s">
        <v>8845</v>
      </c>
      <c r="J485">
        <v>2022</v>
      </c>
      <c r="K485">
        <v>5</v>
      </c>
      <c r="L485" t="s">
        <v>8923</v>
      </c>
      <c r="M485" t="s">
        <v>1552</v>
      </c>
      <c r="N485" t="s">
        <v>8924</v>
      </c>
    </row>
    <row r="486" spans="1:14" x14ac:dyDescent="0.3">
      <c r="A486">
        <v>2022</v>
      </c>
      <c r="B486" s="159">
        <v>44705</v>
      </c>
      <c r="C486" s="130">
        <v>15.05</v>
      </c>
      <c r="D486" s="130">
        <v>15.24</v>
      </c>
      <c r="E486" s="130">
        <v>14.53</v>
      </c>
      <c r="F486" s="130">
        <v>14.75</v>
      </c>
      <c r="G486" s="160">
        <v>5661000</v>
      </c>
      <c r="H486" s="160">
        <f t="shared" si="7"/>
        <v>83499750</v>
      </c>
      <c r="I486" t="s">
        <v>8845</v>
      </c>
      <c r="J486">
        <v>2022</v>
      </c>
      <c r="K486">
        <v>5</v>
      </c>
      <c r="L486" t="s">
        <v>8923</v>
      </c>
      <c r="M486" t="s">
        <v>1552</v>
      </c>
      <c r="N486" t="s">
        <v>8924</v>
      </c>
    </row>
    <row r="487" spans="1:14" x14ac:dyDescent="0.3">
      <c r="A487">
        <v>2022</v>
      </c>
      <c r="B487" s="159">
        <v>44706</v>
      </c>
      <c r="C487" s="130">
        <v>14.55</v>
      </c>
      <c r="D487" s="130">
        <v>15.08</v>
      </c>
      <c r="E487" s="130">
        <v>14.49</v>
      </c>
      <c r="F487" s="130">
        <v>15</v>
      </c>
      <c r="G487" s="160">
        <v>4784000</v>
      </c>
      <c r="H487" s="160">
        <f t="shared" si="7"/>
        <v>71760000</v>
      </c>
      <c r="I487" t="s">
        <v>8845</v>
      </c>
      <c r="J487">
        <v>2022</v>
      </c>
      <c r="K487">
        <v>5</v>
      </c>
      <c r="L487" t="s">
        <v>8923</v>
      </c>
      <c r="M487" t="s">
        <v>1552</v>
      </c>
      <c r="N487" t="s">
        <v>8924</v>
      </c>
    </row>
    <row r="488" spans="1:14" x14ac:dyDescent="0.3">
      <c r="A488">
        <v>2022</v>
      </c>
      <c r="B488" s="159">
        <v>44707</v>
      </c>
      <c r="C488" s="130">
        <v>14.95</v>
      </c>
      <c r="D488" s="130">
        <v>15.2</v>
      </c>
      <c r="E488" s="130">
        <v>14.81</v>
      </c>
      <c r="F488" s="130">
        <v>15.03</v>
      </c>
      <c r="G488" s="160">
        <v>4742000</v>
      </c>
      <c r="H488" s="160">
        <f t="shared" si="7"/>
        <v>71272260</v>
      </c>
      <c r="I488" t="s">
        <v>8845</v>
      </c>
      <c r="J488">
        <v>2022</v>
      </c>
      <c r="K488">
        <v>5</v>
      </c>
      <c r="L488" t="s">
        <v>8923</v>
      </c>
      <c r="M488" t="s">
        <v>1552</v>
      </c>
      <c r="N488" t="s">
        <v>8924</v>
      </c>
    </row>
    <row r="489" spans="1:14" x14ac:dyDescent="0.3">
      <c r="A489">
        <v>2022</v>
      </c>
      <c r="B489" s="159">
        <v>44708</v>
      </c>
      <c r="C489" s="130">
        <v>15.1</v>
      </c>
      <c r="D489" s="130">
        <v>15.73</v>
      </c>
      <c r="E489" s="130">
        <v>15.1</v>
      </c>
      <c r="F489" s="130">
        <v>15.48</v>
      </c>
      <c r="G489" s="160">
        <v>3366000</v>
      </c>
      <c r="H489" s="160">
        <f t="shared" si="7"/>
        <v>52105680</v>
      </c>
      <c r="I489" t="s">
        <v>8845</v>
      </c>
      <c r="J489">
        <v>2022</v>
      </c>
      <c r="K489">
        <v>5</v>
      </c>
      <c r="L489" t="s">
        <v>8923</v>
      </c>
      <c r="M489" t="s">
        <v>1552</v>
      </c>
      <c r="N489" t="s">
        <v>8924</v>
      </c>
    </row>
    <row r="490" spans="1:14" x14ac:dyDescent="0.3">
      <c r="A490">
        <v>2022</v>
      </c>
      <c r="B490" s="159">
        <v>44711</v>
      </c>
      <c r="C490" s="130">
        <v>15.35</v>
      </c>
      <c r="D490" s="130">
        <v>15.8</v>
      </c>
      <c r="E490" s="130">
        <v>15.19</v>
      </c>
      <c r="F490" s="130">
        <v>15.25</v>
      </c>
      <c r="G490" s="160">
        <v>4423000</v>
      </c>
      <c r="H490" s="160">
        <f t="shared" si="7"/>
        <v>67450750</v>
      </c>
      <c r="I490" t="s">
        <v>8845</v>
      </c>
      <c r="J490">
        <v>2022</v>
      </c>
      <c r="K490">
        <v>5</v>
      </c>
      <c r="L490" t="s">
        <v>8923</v>
      </c>
      <c r="M490" t="s">
        <v>1552</v>
      </c>
      <c r="N490" t="s">
        <v>8924</v>
      </c>
    </row>
    <row r="491" spans="1:14" x14ac:dyDescent="0.3">
      <c r="A491">
        <v>2022</v>
      </c>
      <c r="B491" s="159">
        <v>44712</v>
      </c>
      <c r="C491" s="130">
        <v>15.25</v>
      </c>
      <c r="D491" s="130">
        <v>15.39</v>
      </c>
      <c r="E491" s="130">
        <v>15.1</v>
      </c>
      <c r="F491" s="130">
        <v>15.13</v>
      </c>
      <c r="G491" s="160">
        <v>138000</v>
      </c>
      <c r="H491" s="160">
        <f t="shared" si="7"/>
        <v>2087940</v>
      </c>
      <c r="I491" t="s">
        <v>8845</v>
      </c>
      <c r="J491">
        <v>2022</v>
      </c>
      <c r="K491">
        <v>5</v>
      </c>
      <c r="L491" t="s">
        <v>8923</v>
      </c>
      <c r="M491" t="s">
        <v>1552</v>
      </c>
      <c r="N491" t="s">
        <v>8924</v>
      </c>
    </row>
    <row r="492" spans="1:14" x14ac:dyDescent="0.3">
      <c r="A492">
        <v>2022</v>
      </c>
      <c r="B492" s="159">
        <v>44713</v>
      </c>
      <c r="C492" s="130">
        <v>15.12</v>
      </c>
      <c r="D492" s="130">
        <v>15.3</v>
      </c>
      <c r="E492" s="130">
        <v>14.9</v>
      </c>
      <c r="F492" s="130">
        <v>15.02</v>
      </c>
      <c r="G492" s="160">
        <v>497000</v>
      </c>
      <c r="H492" s="160">
        <f t="shared" si="7"/>
        <v>7464940</v>
      </c>
      <c r="I492" t="s">
        <v>8846</v>
      </c>
      <c r="J492">
        <v>2022</v>
      </c>
      <c r="K492">
        <v>6</v>
      </c>
      <c r="L492" t="s">
        <v>8925</v>
      </c>
      <c r="M492" t="s">
        <v>1552</v>
      </c>
      <c r="N492" t="s">
        <v>8926</v>
      </c>
    </row>
    <row r="493" spans="1:14" x14ac:dyDescent="0.3">
      <c r="A493">
        <v>2022</v>
      </c>
      <c r="B493" s="159">
        <v>44714</v>
      </c>
      <c r="C493" s="130">
        <v>14.95</v>
      </c>
      <c r="D493" s="130">
        <v>14.99</v>
      </c>
      <c r="E493" s="130">
        <v>14.8</v>
      </c>
      <c r="F493" s="130">
        <v>14.84</v>
      </c>
      <c r="G493" s="160">
        <v>708500</v>
      </c>
      <c r="H493" s="160">
        <f t="shared" si="7"/>
        <v>10514140</v>
      </c>
      <c r="I493" t="s">
        <v>8846</v>
      </c>
      <c r="J493">
        <v>2022</v>
      </c>
      <c r="K493">
        <v>6</v>
      </c>
      <c r="L493" t="s">
        <v>8925</v>
      </c>
      <c r="M493" t="s">
        <v>1552</v>
      </c>
      <c r="N493" t="s">
        <v>8926</v>
      </c>
    </row>
    <row r="494" spans="1:14" x14ac:dyDescent="0.3">
      <c r="A494">
        <v>2022</v>
      </c>
      <c r="B494" s="159">
        <v>44715</v>
      </c>
      <c r="C494" s="130">
        <v>14.56</v>
      </c>
      <c r="D494" s="130">
        <v>14.75</v>
      </c>
      <c r="E494" s="130">
        <v>14</v>
      </c>
      <c r="F494" s="130">
        <v>14.14</v>
      </c>
      <c r="G494" s="160">
        <v>3186000</v>
      </c>
      <c r="H494" s="160">
        <f t="shared" si="7"/>
        <v>45050040</v>
      </c>
      <c r="I494" t="s">
        <v>8846</v>
      </c>
      <c r="J494">
        <v>2022</v>
      </c>
      <c r="K494">
        <v>6</v>
      </c>
      <c r="L494" t="s">
        <v>8925</v>
      </c>
      <c r="M494" t="s">
        <v>1552</v>
      </c>
      <c r="N494" t="s">
        <v>8926</v>
      </c>
    </row>
    <row r="495" spans="1:14" x14ac:dyDescent="0.3">
      <c r="A495">
        <v>2022</v>
      </c>
      <c r="B495" s="159">
        <v>44718</v>
      </c>
      <c r="C495" s="130">
        <v>14.3</v>
      </c>
      <c r="D495" s="130">
        <v>14.55</v>
      </c>
      <c r="E495" s="130">
        <v>13.99</v>
      </c>
      <c r="F495" s="130">
        <v>14.35</v>
      </c>
      <c r="G495" s="160">
        <v>1735000</v>
      </c>
      <c r="H495" s="160">
        <f t="shared" si="7"/>
        <v>24897250</v>
      </c>
      <c r="I495" t="s">
        <v>8846</v>
      </c>
      <c r="J495">
        <v>2022</v>
      </c>
      <c r="K495">
        <v>6</v>
      </c>
      <c r="L495" t="s">
        <v>8925</v>
      </c>
      <c r="M495" t="s">
        <v>1552</v>
      </c>
      <c r="N495" t="s">
        <v>8926</v>
      </c>
    </row>
    <row r="496" spans="1:14" x14ac:dyDescent="0.3">
      <c r="A496">
        <v>2022</v>
      </c>
      <c r="B496" s="159">
        <v>44719</v>
      </c>
      <c r="C496" s="130">
        <v>14.45</v>
      </c>
      <c r="D496" s="130">
        <v>14.74</v>
      </c>
      <c r="E496" s="130">
        <v>14.27</v>
      </c>
      <c r="F496" s="130">
        <v>14.34</v>
      </c>
      <c r="G496" s="160">
        <v>576000</v>
      </c>
      <c r="H496" s="160">
        <f t="shared" si="7"/>
        <v>8259840</v>
      </c>
      <c r="I496" t="s">
        <v>8846</v>
      </c>
      <c r="J496">
        <v>2022</v>
      </c>
      <c r="K496">
        <v>6</v>
      </c>
      <c r="L496" t="s">
        <v>8925</v>
      </c>
      <c r="M496" t="s">
        <v>1552</v>
      </c>
      <c r="N496" t="s">
        <v>8926</v>
      </c>
    </row>
    <row r="497" spans="1:14" x14ac:dyDescent="0.3">
      <c r="A497">
        <v>2022</v>
      </c>
      <c r="B497" s="159">
        <v>44720</v>
      </c>
      <c r="C497" s="130">
        <v>14.45</v>
      </c>
      <c r="D497" s="130">
        <v>14.58</v>
      </c>
      <c r="E497" s="130">
        <v>14.28</v>
      </c>
      <c r="F497" s="130">
        <v>14.36</v>
      </c>
      <c r="G497" s="160">
        <v>856000</v>
      </c>
      <c r="H497" s="160">
        <f t="shared" si="7"/>
        <v>12292160</v>
      </c>
      <c r="I497" t="s">
        <v>8846</v>
      </c>
      <c r="J497">
        <v>2022</v>
      </c>
      <c r="K497">
        <v>6</v>
      </c>
      <c r="L497" t="s">
        <v>8925</v>
      </c>
      <c r="M497" t="s">
        <v>1552</v>
      </c>
      <c r="N497" t="s">
        <v>8926</v>
      </c>
    </row>
    <row r="498" spans="1:14" x14ac:dyDescent="0.3">
      <c r="A498">
        <v>2022</v>
      </c>
      <c r="B498" s="159">
        <v>44721</v>
      </c>
      <c r="C498" s="130">
        <v>14.45</v>
      </c>
      <c r="D498" s="130">
        <v>14.6</v>
      </c>
      <c r="E498" s="130">
        <v>14.25</v>
      </c>
      <c r="F498" s="130">
        <v>14.29</v>
      </c>
      <c r="G498" s="160">
        <v>301000</v>
      </c>
      <c r="H498" s="160">
        <f t="shared" si="7"/>
        <v>4301290</v>
      </c>
      <c r="I498" t="s">
        <v>8846</v>
      </c>
      <c r="J498">
        <v>2022</v>
      </c>
      <c r="K498">
        <v>6</v>
      </c>
      <c r="L498" t="s">
        <v>8925</v>
      </c>
      <c r="M498" t="s">
        <v>1552</v>
      </c>
      <c r="N498" t="s">
        <v>8926</v>
      </c>
    </row>
    <row r="499" spans="1:14" x14ac:dyDescent="0.3">
      <c r="A499">
        <v>2022</v>
      </c>
      <c r="B499" s="159">
        <v>44722</v>
      </c>
      <c r="C499" s="130">
        <v>14.3</v>
      </c>
      <c r="D499" s="130">
        <v>14.5</v>
      </c>
      <c r="E499" s="130">
        <v>14.25</v>
      </c>
      <c r="F499" s="130">
        <v>14.33</v>
      </c>
      <c r="G499" s="160">
        <v>253500</v>
      </c>
      <c r="H499" s="160">
        <f t="shared" si="7"/>
        <v>3632655</v>
      </c>
      <c r="I499" t="s">
        <v>8846</v>
      </c>
      <c r="J499">
        <v>2022</v>
      </c>
      <c r="K499">
        <v>6</v>
      </c>
      <c r="L499" t="s">
        <v>8925</v>
      </c>
      <c r="M499" t="s">
        <v>1552</v>
      </c>
      <c r="N499" t="s">
        <v>8926</v>
      </c>
    </row>
    <row r="500" spans="1:14" x14ac:dyDescent="0.3">
      <c r="A500">
        <v>2022</v>
      </c>
      <c r="B500" s="159">
        <v>44725</v>
      </c>
      <c r="C500" s="130">
        <v>14.11</v>
      </c>
      <c r="D500" s="130">
        <v>14.2</v>
      </c>
      <c r="E500" s="130">
        <v>13.85</v>
      </c>
      <c r="F500" s="130">
        <v>13.99</v>
      </c>
      <c r="G500" s="160">
        <v>1159500</v>
      </c>
      <c r="H500" s="160">
        <f t="shared" si="7"/>
        <v>16221405</v>
      </c>
      <c r="I500" t="s">
        <v>8846</v>
      </c>
      <c r="J500">
        <v>2022</v>
      </c>
      <c r="K500">
        <v>6</v>
      </c>
      <c r="L500" t="s">
        <v>8925</v>
      </c>
      <c r="M500" t="s">
        <v>1552</v>
      </c>
      <c r="N500" t="s">
        <v>8926</v>
      </c>
    </row>
    <row r="501" spans="1:14" x14ac:dyDescent="0.3">
      <c r="A501">
        <v>2022</v>
      </c>
      <c r="B501" s="159">
        <v>44726</v>
      </c>
      <c r="C501" s="130">
        <v>13.95</v>
      </c>
      <c r="D501" s="130">
        <v>14.35</v>
      </c>
      <c r="E501" s="130">
        <v>13.9</v>
      </c>
      <c r="F501" s="130">
        <v>14.22</v>
      </c>
      <c r="G501" s="160">
        <v>515500</v>
      </c>
      <c r="H501" s="160">
        <f t="shared" si="7"/>
        <v>7330410</v>
      </c>
      <c r="I501" t="s">
        <v>8846</v>
      </c>
      <c r="J501">
        <v>2022</v>
      </c>
      <c r="K501">
        <v>6</v>
      </c>
      <c r="L501" t="s">
        <v>8925</v>
      </c>
      <c r="M501" t="s">
        <v>1552</v>
      </c>
      <c r="N501" t="s">
        <v>8926</v>
      </c>
    </row>
    <row r="502" spans="1:14" x14ac:dyDescent="0.3">
      <c r="A502">
        <v>2022</v>
      </c>
      <c r="B502" s="159">
        <v>44727</v>
      </c>
      <c r="C502" s="130">
        <v>14.35</v>
      </c>
      <c r="D502" s="130">
        <v>14.6</v>
      </c>
      <c r="E502" s="130">
        <v>14.33</v>
      </c>
      <c r="F502" s="130">
        <v>14.52</v>
      </c>
      <c r="G502" s="160">
        <v>1099000</v>
      </c>
      <c r="H502" s="160">
        <f t="shared" si="7"/>
        <v>15957480</v>
      </c>
      <c r="I502" t="s">
        <v>8846</v>
      </c>
      <c r="J502">
        <v>2022</v>
      </c>
      <c r="K502">
        <v>6</v>
      </c>
      <c r="L502" t="s">
        <v>8925</v>
      </c>
      <c r="M502" t="s">
        <v>1552</v>
      </c>
      <c r="N502" t="s">
        <v>8926</v>
      </c>
    </row>
    <row r="503" spans="1:14" x14ac:dyDescent="0.3">
      <c r="A503">
        <v>2022</v>
      </c>
      <c r="B503" s="159">
        <v>44728</v>
      </c>
      <c r="C503" s="130">
        <v>14.48</v>
      </c>
      <c r="D503" s="130">
        <v>15.03</v>
      </c>
      <c r="E503" s="130">
        <v>14.1</v>
      </c>
      <c r="F503" s="130">
        <v>14.96</v>
      </c>
      <c r="G503" s="160">
        <v>3862500</v>
      </c>
      <c r="H503" s="160">
        <f t="shared" si="7"/>
        <v>57783000</v>
      </c>
      <c r="I503" t="s">
        <v>8846</v>
      </c>
      <c r="J503">
        <v>2022</v>
      </c>
      <c r="K503">
        <v>6</v>
      </c>
      <c r="L503" t="s">
        <v>8925</v>
      </c>
      <c r="M503" t="s">
        <v>1552</v>
      </c>
      <c r="N503" t="s">
        <v>8926</v>
      </c>
    </row>
    <row r="504" spans="1:14" x14ac:dyDescent="0.3">
      <c r="A504">
        <v>2022</v>
      </c>
      <c r="B504" s="159">
        <v>44729</v>
      </c>
      <c r="C504" s="130">
        <v>14.85</v>
      </c>
      <c r="D504" s="130">
        <v>15.2</v>
      </c>
      <c r="E504" s="130">
        <v>14.81</v>
      </c>
      <c r="F504" s="130">
        <v>14.98</v>
      </c>
      <c r="G504" s="160">
        <v>1166000</v>
      </c>
      <c r="H504" s="160">
        <f t="shared" si="7"/>
        <v>17466680</v>
      </c>
      <c r="I504" t="s">
        <v>8846</v>
      </c>
      <c r="J504">
        <v>2022</v>
      </c>
      <c r="K504">
        <v>6</v>
      </c>
      <c r="L504" t="s">
        <v>8925</v>
      </c>
      <c r="M504" t="s">
        <v>1552</v>
      </c>
      <c r="N504" t="s">
        <v>8926</v>
      </c>
    </row>
    <row r="505" spans="1:14" x14ac:dyDescent="0.3">
      <c r="A505">
        <v>2022</v>
      </c>
      <c r="B505" s="159">
        <v>44732</v>
      </c>
      <c r="C505" s="130">
        <v>15</v>
      </c>
      <c r="D505" s="130">
        <v>15.01</v>
      </c>
      <c r="E505" s="130">
        <v>14.63</v>
      </c>
      <c r="F505" s="130">
        <v>14.68</v>
      </c>
      <c r="G505" s="160">
        <v>205500</v>
      </c>
      <c r="H505" s="160">
        <f t="shared" si="7"/>
        <v>3016740</v>
      </c>
      <c r="I505" t="s">
        <v>8846</v>
      </c>
      <c r="J505">
        <v>2022</v>
      </c>
      <c r="K505">
        <v>6</v>
      </c>
      <c r="L505" t="s">
        <v>8925</v>
      </c>
      <c r="M505" t="s">
        <v>1552</v>
      </c>
      <c r="N505" t="s">
        <v>8926</v>
      </c>
    </row>
    <row r="506" spans="1:14" x14ac:dyDescent="0.3">
      <c r="A506">
        <v>2022</v>
      </c>
      <c r="B506" s="159">
        <v>44733</v>
      </c>
      <c r="C506" s="130">
        <v>14.69</v>
      </c>
      <c r="D506" s="130">
        <v>15.06</v>
      </c>
      <c r="E506" s="130">
        <v>14.66</v>
      </c>
      <c r="F506" s="130">
        <v>15.01</v>
      </c>
      <c r="G506" s="160">
        <v>1834000</v>
      </c>
      <c r="H506" s="160">
        <f t="shared" si="7"/>
        <v>27528340</v>
      </c>
      <c r="I506" t="s">
        <v>8846</v>
      </c>
      <c r="J506">
        <v>2022</v>
      </c>
      <c r="K506">
        <v>6</v>
      </c>
      <c r="L506" t="s">
        <v>8925</v>
      </c>
      <c r="M506" t="s">
        <v>1552</v>
      </c>
      <c r="N506" t="s">
        <v>8926</v>
      </c>
    </row>
    <row r="507" spans="1:14" x14ac:dyDescent="0.3">
      <c r="A507">
        <v>2022</v>
      </c>
      <c r="B507" s="159">
        <v>44734</v>
      </c>
      <c r="C507" s="130">
        <v>15.1</v>
      </c>
      <c r="D507" s="130">
        <v>15.15</v>
      </c>
      <c r="E507" s="130">
        <v>14.8</v>
      </c>
      <c r="F507" s="130">
        <v>14.84</v>
      </c>
      <c r="G507" s="160">
        <v>1018000</v>
      </c>
      <c r="H507" s="160">
        <f t="shared" si="7"/>
        <v>15107120</v>
      </c>
      <c r="I507" t="s">
        <v>8846</v>
      </c>
      <c r="J507">
        <v>2022</v>
      </c>
      <c r="K507">
        <v>6</v>
      </c>
      <c r="L507" t="s">
        <v>8925</v>
      </c>
      <c r="M507" t="s">
        <v>1552</v>
      </c>
      <c r="N507" t="s">
        <v>8926</v>
      </c>
    </row>
    <row r="508" spans="1:14" x14ac:dyDescent="0.3">
      <c r="A508">
        <v>2022</v>
      </c>
      <c r="B508" s="159">
        <v>44735</v>
      </c>
      <c r="C508" s="130">
        <v>15</v>
      </c>
      <c r="D508" s="130">
        <v>15.15</v>
      </c>
      <c r="E508" s="130">
        <v>14.92</v>
      </c>
      <c r="F508" s="130">
        <v>14.99</v>
      </c>
      <c r="G508" s="160">
        <v>4273500</v>
      </c>
      <c r="H508" s="160">
        <f t="shared" si="7"/>
        <v>64059765</v>
      </c>
      <c r="I508" t="s">
        <v>8846</v>
      </c>
      <c r="J508">
        <v>2022</v>
      </c>
      <c r="K508">
        <v>6</v>
      </c>
      <c r="L508" t="s">
        <v>8925</v>
      </c>
      <c r="M508" t="s">
        <v>1552</v>
      </c>
      <c r="N508" t="s">
        <v>8926</v>
      </c>
    </row>
    <row r="509" spans="1:14" x14ac:dyDescent="0.3">
      <c r="A509">
        <v>2022</v>
      </c>
      <c r="B509" s="159">
        <v>44736</v>
      </c>
      <c r="C509" s="130">
        <v>14.99</v>
      </c>
      <c r="D509" s="130">
        <v>15</v>
      </c>
      <c r="E509" s="130">
        <v>13.95</v>
      </c>
      <c r="F509" s="130">
        <v>14.01</v>
      </c>
      <c r="G509" s="160">
        <v>1521000</v>
      </c>
      <c r="H509" s="160">
        <f t="shared" si="7"/>
        <v>21309210</v>
      </c>
      <c r="I509" t="s">
        <v>8846</v>
      </c>
      <c r="J509">
        <v>2022</v>
      </c>
      <c r="K509">
        <v>6</v>
      </c>
      <c r="L509" t="s">
        <v>8925</v>
      </c>
      <c r="M509" t="s">
        <v>1552</v>
      </c>
      <c r="N509" t="s">
        <v>8926</v>
      </c>
    </row>
    <row r="510" spans="1:14" x14ac:dyDescent="0.3">
      <c r="A510">
        <v>2022</v>
      </c>
      <c r="B510" s="159">
        <v>44739</v>
      </c>
      <c r="C510" s="130">
        <v>14.15</v>
      </c>
      <c r="D510" s="130">
        <v>14.66</v>
      </c>
      <c r="E510" s="130">
        <v>14.11</v>
      </c>
      <c r="F510" s="130">
        <v>14.49</v>
      </c>
      <c r="G510" s="160">
        <v>1205500</v>
      </c>
      <c r="H510" s="160">
        <f t="shared" si="7"/>
        <v>17467695</v>
      </c>
      <c r="I510" t="s">
        <v>8846</v>
      </c>
      <c r="J510">
        <v>2022</v>
      </c>
      <c r="K510">
        <v>6</v>
      </c>
      <c r="L510" t="s">
        <v>8925</v>
      </c>
      <c r="M510" t="s">
        <v>1552</v>
      </c>
      <c r="N510" t="s">
        <v>8926</v>
      </c>
    </row>
    <row r="511" spans="1:14" x14ac:dyDescent="0.3">
      <c r="A511">
        <v>2022</v>
      </c>
      <c r="B511" s="159">
        <v>44740</v>
      </c>
      <c r="C511" s="130">
        <v>14.51</v>
      </c>
      <c r="D511" s="130">
        <v>14.75</v>
      </c>
      <c r="E511" s="130">
        <v>14.2</v>
      </c>
      <c r="F511" s="130">
        <v>14.33</v>
      </c>
      <c r="G511" s="160">
        <v>805500</v>
      </c>
      <c r="H511" s="160">
        <f t="shared" si="7"/>
        <v>11542815</v>
      </c>
      <c r="I511" t="s">
        <v>8846</v>
      </c>
      <c r="J511">
        <v>2022</v>
      </c>
      <c r="K511">
        <v>6</v>
      </c>
      <c r="L511" t="s">
        <v>8925</v>
      </c>
      <c r="M511" t="s">
        <v>1552</v>
      </c>
      <c r="N511" t="s">
        <v>8926</v>
      </c>
    </row>
    <row r="512" spans="1:14" x14ac:dyDescent="0.3">
      <c r="A512">
        <v>2022</v>
      </c>
      <c r="B512" s="159">
        <v>44741</v>
      </c>
      <c r="C512" s="130">
        <v>14.39</v>
      </c>
      <c r="D512" s="130">
        <v>14.9</v>
      </c>
      <c r="E512" s="130">
        <v>14.02</v>
      </c>
      <c r="F512" s="130">
        <v>14.43</v>
      </c>
      <c r="G512" s="160">
        <v>1412500</v>
      </c>
      <c r="H512" s="160">
        <f t="shared" si="7"/>
        <v>20382375</v>
      </c>
      <c r="I512" t="s">
        <v>8846</v>
      </c>
      <c r="J512">
        <v>2022</v>
      </c>
      <c r="K512">
        <v>6</v>
      </c>
      <c r="L512" t="s">
        <v>8925</v>
      </c>
      <c r="M512" t="s">
        <v>1552</v>
      </c>
      <c r="N512" t="s">
        <v>8926</v>
      </c>
    </row>
    <row r="513" spans="1:14" x14ac:dyDescent="0.3">
      <c r="A513">
        <v>2022</v>
      </c>
      <c r="B513" s="159">
        <v>44742</v>
      </c>
      <c r="C513" s="130">
        <v>14.5</v>
      </c>
      <c r="D513" s="130">
        <v>14.9</v>
      </c>
      <c r="E513" s="130">
        <v>13.36</v>
      </c>
      <c r="F513" s="130">
        <v>14.17</v>
      </c>
      <c r="G513" s="160">
        <v>13104000</v>
      </c>
      <c r="H513" s="160">
        <f t="shared" si="7"/>
        <v>185683680</v>
      </c>
      <c r="I513" t="s">
        <v>8846</v>
      </c>
      <c r="J513">
        <v>2022</v>
      </c>
      <c r="K513">
        <v>6</v>
      </c>
      <c r="L513" t="s">
        <v>8925</v>
      </c>
      <c r="M513" t="s">
        <v>1552</v>
      </c>
      <c r="N513" t="s">
        <v>8926</v>
      </c>
    </row>
    <row r="514" spans="1:14" x14ac:dyDescent="0.3">
      <c r="A514">
        <v>2023</v>
      </c>
      <c r="B514" s="159">
        <v>44743</v>
      </c>
      <c r="C514" s="130">
        <v>14.4</v>
      </c>
      <c r="D514" s="130">
        <v>14.4</v>
      </c>
      <c r="E514" s="130">
        <v>14.11</v>
      </c>
      <c r="F514" s="130">
        <v>14.2</v>
      </c>
      <c r="G514" s="160">
        <v>455500</v>
      </c>
      <c r="H514" s="160">
        <f t="shared" si="7"/>
        <v>6468100</v>
      </c>
      <c r="I514" t="s">
        <v>8847</v>
      </c>
      <c r="J514">
        <v>2022</v>
      </c>
      <c r="K514">
        <v>7</v>
      </c>
      <c r="L514" t="s">
        <v>8927</v>
      </c>
      <c r="M514" t="s">
        <v>1552</v>
      </c>
      <c r="N514" t="s">
        <v>8928</v>
      </c>
    </row>
    <row r="515" spans="1:14" x14ac:dyDescent="0.3">
      <c r="A515">
        <v>2023</v>
      </c>
      <c r="B515" s="159">
        <v>44746</v>
      </c>
      <c r="C515" s="130">
        <v>14.38</v>
      </c>
      <c r="D515" s="130">
        <v>14.38</v>
      </c>
      <c r="E515" s="130">
        <v>13.9</v>
      </c>
      <c r="F515" s="130">
        <v>13.97</v>
      </c>
      <c r="G515" s="160">
        <v>366500</v>
      </c>
      <c r="H515" s="160">
        <f t="shared" si="7"/>
        <v>5120005</v>
      </c>
      <c r="I515" t="s">
        <v>8847</v>
      </c>
      <c r="J515">
        <v>2022</v>
      </c>
      <c r="K515">
        <v>7</v>
      </c>
      <c r="L515" t="s">
        <v>8927</v>
      </c>
      <c r="M515" t="s">
        <v>1552</v>
      </c>
      <c r="N515" t="s">
        <v>8928</v>
      </c>
    </row>
    <row r="516" spans="1:14" x14ac:dyDescent="0.3">
      <c r="A516">
        <v>2023</v>
      </c>
      <c r="B516" s="159">
        <v>44747</v>
      </c>
      <c r="C516" s="130">
        <v>14</v>
      </c>
      <c r="D516" s="130">
        <v>14</v>
      </c>
      <c r="E516" s="130">
        <v>13.18</v>
      </c>
      <c r="F516" s="130">
        <v>13.47</v>
      </c>
      <c r="G516" s="160">
        <v>4430000</v>
      </c>
      <c r="H516" s="160">
        <f t="shared" si="7"/>
        <v>59672100</v>
      </c>
      <c r="I516" t="s">
        <v>8847</v>
      </c>
      <c r="J516">
        <v>2022</v>
      </c>
      <c r="K516">
        <v>7</v>
      </c>
      <c r="L516" t="s">
        <v>8927</v>
      </c>
      <c r="M516" t="s">
        <v>1552</v>
      </c>
      <c r="N516" t="s">
        <v>8928</v>
      </c>
    </row>
    <row r="517" spans="1:14" x14ac:dyDescent="0.3">
      <c r="A517">
        <v>2023</v>
      </c>
      <c r="B517" s="159">
        <v>44748</v>
      </c>
      <c r="C517" s="130">
        <v>14</v>
      </c>
      <c r="D517" s="130">
        <v>14.09</v>
      </c>
      <c r="E517" s="130">
        <v>13.5</v>
      </c>
      <c r="F517" s="130">
        <v>13.71</v>
      </c>
      <c r="G517" s="160">
        <v>2144000</v>
      </c>
      <c r="H517" s="160">
        <f t="shared" si="7"/>
        <v>29394240</v>
      </c>
      <c r="I517" t="s">
        <v>8847</v>
      </c>
      <c r="J517">
        <v>2022</v>
      </c>
      <c r="K517">
        <v>7</v>
      </c>
      <c r="L517" t="s">
        <v>8927</v>
      </c>
      <c r="M517" t="s">
        <v>1552</v>
      </c>
      <c r="N517" t="s">
        <v>8928</v>
      </c>
    </row>
    <row r="518" spans="1:14" x14ac:dyDescent="0.3">
      <c r="A518">
        <v>2023</v>
      </c>
      <c r="B518" s="159">
        <v>44749</v>
      </c>
      <c r="C518" s="130">
        <v>13.65</v>
      </c>
      <c r="D518" s="130">
        <v>14</v>
      </c>
      <c r="E518" s="130">
        <v>13.55</v>
      </c>
      <c r="F518" s="130">
        <v>13.72</v>
      </c>
      <c r="G518" s="160">
        <v>1960000</v>
      </c>
      <c r="H518" s="160">
        <f t="shared" si="7"/>
        <v>26891200</v>
      </c>
      <c r="I518" t="s">
        <v>8847</v>
      </c>
      <c r="J518">
        <v>2022</v>
      </c>
      <c r="K518">
        <v>7</v>
      </c>
      <c r="L518" t="s">
        <v>8927</v>
      </c>
      <c r="M518" t="s">
        <v>1552</v>
      </c>
      <c r="N518" t="s">
        <v>8928</v>
      </c>
    </row>
    <row r="519" spans="1:14" x14ac:dyDescent="0.3">
      <c r="A519">
        <v>2023</v>
      </c>
      <c r="B519" s="159">
        <v>44755</v>
      </c>
      <c r="C519" s="130">
        <v>13.9</v>
      </c>
      <c r="D519" s="130">
        <v>14.05</v>
      </c>
      <c r="E519" s="130">
        <v>13.37</v>
      </c>
      <c r="F519" s="130">
        <v>13.87</v>
      </c>
      <c r="G519" s="160">
        <v>2189500</v>
      </c>
      <c r="H519" s="160">
        <f t="shared" si="7"/>
        <v>30368365</v>
      </c>
      <c r="I519" t="s">
        <v>8847</v>
      </c>
      <c r="J519">
        <v>2022</v>
      </c>
      <c r="K519">
        <v>7</v>
      </c>
      <c r="L519" t="s">
        <v>8927</v>
      </c>
      <c r="M519" t="s">
        <v>1552</v>
      </c>
      <c r="N519" t="s">
        <v>8928</v>
      </c>
    </row>
    <row r="520" spans="1:14" x14ac:dyDescent="0.3">
      <c r="A520">
        <v>2023</v>
      </c>
      <c r="B520" s="159">
        <v>44756</v>
      </c>
      <c r="C520" s="130">
        <v>13.99</v>
      </c>
      <c r="D520" s="130">
        <v>14.24</v>
      </c>
      <c r="E520" s="130">
        <v>13.87</v>
      </c>
      <c r="F520" s="130">
        <v>14.17</v>
      </c>
      <c r="G520" s="160">
        <v>1404000</v>
      </c>
      <c r="H520" s="160">
        <f t="shared" si="7"/>
        <v>19894680</v>
      </c>
      <c r="I520" t="s">
        <v>8847</v>
      </c>
      <c r="J520">
        <v>2022</v>
      </c>
      <c r="K520">
        <v>7</v>
      </c>
      <c r="L520" t="s">
        <v>8927</v>
      </c>
      <c r="M520" t="s">
        <v>1552</v>
      </c>
      <c r="N520" t="s">
        <v>8928</v>
      </c>
    </row>
    <row r="521" spans="1:14" x14ac:dyDescent="0.3">
      <c r="A521">
        <v>2023</v>
      </c>
      <c r="B521" s="159">
        <v>44757</v>
      </c>
      <c r="C521" s="130">
        <v>14.03</v>
      </c>
      <c r="D521" s="130">
        <v>14.32</v>
      </c>
      <c r="E521" s="130">
        <v>13.75</v>
      </c>
      <c r="F521" s="130">
        <v>13.9</v>
      </c>
      <c r="G521" s="160">
        <v>520500</v>
      </c>
      <c r="H521" s="160">
        <f t="shared" si="7"/>
        <v>7234950</v>
      </c>
      <c r="I521" t="s">
        <v>8847</v>
      </c>
      <c r="J521">
        <v>2022</v>
      </c>
      <c r="K521">
        <v>7</v>
      </c>
      <c r="L521" t="s">
        <v>8927</v>
      </c>
      <c r="M521" t="s">
        <v>1552</v>
      </c>
      <c r="N521" t="s">
        <v>8928</v>
      </c>
    </row>
    <row r="522" spans="1:14" x14ac:dyDescent="0.3">
      <c r="A522">
        <v>2023</v>
      </c>
      <c r="B522" s="159">
        <v>44760</v>
      </c>
      <c r="C522" s="130">
        <v>13.99</v>
      </c>
      <c r="D522" s="130">
        <v>13.96</v>
      </c>
      <c r="E522" s="130">
        <v>13.47</v>
      </c>
      <c r="F522" s="130">
        <v>13.53</v>
      </c>
      <c r="G522" s="160">
        <v>523000</v>
      </c>
      <c r="H522" s="160">
        <f t="shared" si="7"/>
        <v>7076190</v>
      </c>
      <c r="I522" t="s">
        <v>8847</v>
      </c>
      <c r="J522">
        <v>2022</v>
      </c>
      <c r="K522">
        <v>7</v>
      </c>
      <c r="L522" t="s">
        <v>8927</v>
      </c>
      <c r="M522" t="s">
        <v>1552</v>
      </c>
      <c r="N522" t="s">
        <v>8928</v>
      </c>
    </row>
    <row r="523" spans="1:14" x14ac:dyDescent="0.3">
      <c r="A523">
        <v>2023</v>
      </c>
      <c r="B523" s="159">
        <v>44761</v>
      </c>
      <c r="C523" s="130">
        <v>13.62</v>
      </c>
      <c r="D523" s="130">
        <v>13.62</v>
      </c>
      <c r="E523" s="130">
        <v>12.8</v>
      </c>
      <c r="F523" s="130">
        <v>12.96</v>
      </c>
      <c r="G523" s="160">
        <v>2029500</v>
      </c>
      <c r="H523" s="160">
        <f t="shared" si="7"/>
        <v>26302320</v>
      </c>
      <c r="I523" t="s">
        <v>8847</v>
      </c>
      <c r="J523">
        <v>2022</v>
      </c>
      <c r="K523">
        <v>7</v>
      </c>
      <c r="L523" t="s">
        <v>8927</v>
      </c>
      <c r="M523" t="s">
        <v>1552</v>
      </c>
      <c r="N523" t="s">
        <v>8928</v>
      </c>
    </row>
    <row r="524" spans="1:14" x14ac:dyDescent="0.3">
      <c r="A524">
        <v>2023</v>
      </c>
      <c r="B524" s="159">
        <v>44762</v>
      </c>
      <c r="C524" s="130">
        <v>13.01</v>
      </c>
      <c r="D524" s="130">
        <v>13.01</v>
      </c>
      <c r="E524" s="130">
        <v>12.61</v>
      </c>
      <c r="F524" s="130">
        <v>12.87</v>
      </c>
      <c r="G524" s="160">
        <v>1362500</v>
      </c>
      <c r="H524" s="160">
        <f t="shared" si="7"/>
        <v>17535375</v>
      </c>
      <c r="I524" t="s">
        <v>8847</v>
      </c>
      <c r="J524">
        <v>2022</v>
      </c>
      <c r="K524">
        <v>7</v>
      </c>
      <c r="L524" t="s">
        <v>8927</v>
      </c>
      <c r="M524" t="s">
        <v>1552</v>
      </c>
      <c r="N524" t="s">
        <v>8928</v>
      </c>
    </row>
    <row r="525" spans="1:14" x14ac:dyDescent="0.3">
      <c r="A525">
        <v>2023</v>
      </c>
      <c r="B525" s="159">
        <v>44763</v>
      </c>
      <c r="C525" s="130">
        <v>12.92</v>
      </c>
      <c r="D525" s="130">
        <v>12.95</v>
      </c>
      <c r="E525" s="130">
        <v>12.6</v>
      </c>
      <c r="F525" s="130">
        <v>12.73</v>
      </c>
      <c r="G525" s="160">
        <v>1350000</v>
      </c>
      <c r="H525" s="160">
        <f t="shared" si="7"/>
        <v>17185500</v>
      </c>
      <c r="I525" t="s">
        <v>8847</v>
      </c>
      <c r="J525">
        <v>2022</v>
      </c>
      <c r="K525">
        <v>7</v>
      </c>
      <c r="L525" t="s">
        <v>8927</v>
      </c>
      <c r="M525" t="s">
        <v>1552</v>
      </c>
      <c r="N525" t="s">
        <v>8928</v>
      </c>
    </row>
    <row r="526" spans="1:14" x14ac:dyDescent="0.3">
      <c r="A526">
        <v>2023</v>
      </c>
      <c r="B526" s="159">
        <v>44764</v>
      </c>
      <c r="C526" s="130">
        <v>12.6</v>
      </c>
      <c r="D526" s="130">
        <v>13.09</v>
      </c>
      <c r="E526" s="130">
        <v>12.52</v>
      </c>
      <c r="F526" s="130">
        <v>12.93</v>
      </c>
      <c r="G526" s="160">
        <v>1841000</v>
      </c>
      <c r="H526" s="160">
        <f t="shared" si="7"/>
        <v>23804130</v>
      </c>
      <c r="I526" t="s">
        <v>8847</v>
      </c>
      <c r="J526">
        <v>2022</v>
      </c>
      <c r="K526">
        <v>7</v>
      </c>
      <c r="L526" t="s">
        <v>8927</v>
      </c>
      <c r="M526" t="s">
        <v>1552</v>
      </c>
      <c r="N526" t="s">
        <v>8928</v>
      </c>
    </row>
    <row r="527" spans="1:14" x14ac:dyDescent="0.3">
      <c r="A527">
        <v>2023</v>
      </c>
      <c r="B527" s="159">
        <v>44767</v>
      </c>
      <c r="C527" s="130">
        <v>12.7</v>
      </c>
      <c r="D527" s="130">
        <v>12.85</v>
      </c>
      <c r="E527" s="130">
        <v>12.65</v>
      </c>
      <c r="F527" s="130">
        <v>12.81</v>
      </c>
      <c r="G527" s="160">
        <v>209000</v>
      </c>
      <c r="H527" s="160">
        <f t="shared" si="7"/>
        <v>2677290</v>
      </c>
      <c r="I527" t="s">
        <v>8847</v>
      </c>
      <c r="J527">
        <v>2022</v>
      </c>
      <c r="K527">
        <v>7</v>
      </c>
      <c r="L527" t="s">
        <v>8927</v>
      </c>
      <c r="M527" t="s">
        <v>1552</v>
      </c>
      <c r="N527" t="s">
        <v>8928</v>
      </c>
    </row>
    <row r="528" spans="1:14" x14ac:dyDescent="0.3">
      <c r="A528">
        <v>2023</v>
      </c>
      <c r="B528" s="159">
        <v>44768</v>
      </c>
      <c r="C528" s="130">
        <v>12.81</v>
      </c>
      <c r="D528" s="130">
        <v>12.95</v>
      </c>
      <c r="E528" s="130">
        <v>12.67</v>
      </c>
      <c r="F528" s="130">
        <v>12.87</v>
      </c>
      <c r="G528" s="160">
        <v>423500</v>
      </c>
      <c r="H528" s="160">
        <f t="shared" ref="H528:H591" si="8">F528*G528</f>
        <v>5450445</v>
      </c>
      <c r="I528" t="s">
        <v>8847</v>
      </c>
      <c r="J528">
        <v>2022</v>
      </c>
      <c r="K528">
        <v>7</v>
      </c>
      <c r="L528" t="s">
        <v>8927</v>
      </c>
      <c r="M528" t="s">
        <v>1552</v>
      </c>
      <c r="N528" t="s">
        <v>8928</v>
      </c>
    </row>
    <row r="529" spans="1:14" x14ac:dyDescent="0.3">
      <c r="A529">
        <v>2023</v>
      </c>
      <c r="B529" s="159">
        <v>44769</v>
      </c>
      <c r="C529" s="130">
        <v>12.87</v>
      </c>
      <c r="D529" s="130">
        <v>13.14</v>
      </c>
      <c r="E529" s="130">
        <v>12.67</v>
      </c>
      <c r="F529" s="130">
        <v>12.89</v>
      </c>
      <c r="G529" s="160">
        <v>779000</v>
      </c>
      <c r="H529" s="160">
        <f t="shared" si="8"/>
        <v>10041310</v>
      </c>
      <c r="I529" t="s">
        <v>8847</v>
      </c>
      <c r="J529">
        <v>2022</v>
      </c>
      <c r="K529">
        <v>7</v>
      </c>
      <c r="L529" t="s">
        <v>8927</v>
      </c>
      <c r="M529" t="s">
        <v>1552</v>
      </c>
      <c r="N529" t="s">
        <v>8928</v>
      </c>
    </row>
    <row r="530" spans="1:14" x14ac:dyDescent="0.3">
      <c r="A530">
        <v>2023</v>
      </c>
      <c r="B530" s="159">
        <v>44770</v>
      </c>
      <c r="C530" s="130">
        <v>13</v>
      </c>
      <c r="D530" s="130">
        <v>13.15</v>
      </c>
      <c r="E530" s="130">
        <v>12.9</v>
      </c>
      <c r="F530" s="130">
        <v>13.01</v>
      </c>
      <c r="G530" s="160">
        <v>1358500</v>
      </c>
      <c r="H530" s="160">
        <f t="shared" si="8"/>
        <v>17674085</v>
      </c>
      <c r="I530" t="s">
        <v>8847</v>
      </c>
      <c r="J530">
        <v>2022</v>
      </c>
      <c r="K530">
        <v>7</v>
      </c>
      <c r="L530" t="s">
        <v>8927</v>
      </c>
      <c r="M530" t="s">
        <v>1552</v>
      </c>
      <c r="N530" t="s">
        <v>8928</v>
      </c>
    </row>
    <row r="531" spans="1:14" x14ac:dyDescent="0.3">
      <c r="A531">
        <v>2023</v>
      </c>
      <c r="B531" s="159">
        <v>44771</v>
      </c>
      <c r="C531" s="130">
        <v>13.02</v>
      </c>
      <c r="D531" s="130">
        <v>13.13</v>
      </c>
      <c r="E531" s="130">
        <v>12.8</v>
      </c>
      <c r="F531" s="130">
        <v>12.93</v>
      </c>
      <c r="G531" s="160">
        <v>430000</v>
      </c>
      <c r="H531" s="160">
        <f t="shared" si="8"/>
        <v>5559900</v>
      </c>
      <c r="I531" t="s">
        <v>8847</v>
      </c>
      <c r="J531">
        <v>2022</v>
      </c>
      <c r="K531">
        <v>7</v>
      </c>
      <c r="L531" t="s">
        <v>8927</v>
      </c>
      <c r="M531" t="s">
        <v>1552</v>
      </c>
      <c r="N531" t="s">
        <v>8928</v>
      </c>
    </row>
    <row r="532" spans="1:14" x14ac:dyDescent="0.3">
      <c r="A532">
        <v>2023</v>
      </c>
      <c r="B532" s="159">
        <v>44774</v>
      </c>
      <c r="C532" s="130">
        <v>12.9</v>
      </c>
      <c r="D532" s="130">
        <v>13</v>
      </c>
      <c r="E532" s="130">
        <v>12.8</v>
      </c>
      <c r="F532" s="130">
        <v>12.83</v>
      </c>
      <c r="G532" s="160">
        <v>381500</v>
      </c>
      <c r="H532" s="160">
        <f t="shared" si="8"/>
        <v>4894645</v>
      </c>
      <c r="I532" t="s">
        <v>8848</v>
      </c>
      <c r="J532">
        <v>2022</v>
      </c>
      <c r="K532">
        <v>8</v>
      </c>
      <c r="L532" t="s">
        <v>8929</v>
      </c>
      <c r="M532" t="s">
        <v>1552</v>
      </c>
      <c r="N532" t="s">
        <v>8930</v>
      </c>
    </row>
    <row r="533" spans="1:14" x14ac:dyDescent="0.3">
      <c r="A533">
        <v>2023</v>
      </c>
      <c r="B533" s="159">
        <v>44775</v>
      </c>
      <c r="C533" s="130">
        <v>12.83</v>
      </c>
      <c r="D533" s="130">
        <v>13.38</v>
      </c>
      <c r="E533" s="130">
        <v>12.45</v>
      </c>
      <c r="F533" s="130">
        <v>13.25</v>
      </c>
      <c r="G533" s="160">
        <v>1712500</v>
      </c>
      <c r="H533" s="160">
        <f t="shared" si="8"/>
        <v>22690625</v>
      </c>
      <c r="I533" t="s">
        <v>8848</v>
      </c>
      <c r="J533">
        <v>2022</v>
      </c>
      <c r="K533">
        <v>8</v>
      </c>
      <c r="L533" t="s">
        <v>8929</v>
      </c>
      <c r="M533" t="s">
        <v>1552</v>
      </c>
      <c r="N533" t="s">
        <v>8930</v>
      </c>
    </row>
    <row r="534" spans="1:14" x14ac:dyDescent="0.3">
      <c r="A534">
        <v>2023</v>
      </c>
      <c r="B534" s="159">
        <v>44776</v>
      </c>
      <c r="C534" s="130">
        <v>13.35</v>
      </c>
      <c r="D534" s="130">
        <v>14.25</v>
      </c>
      <c r="E534" s="130">
        <v>13.31</v>
      </c>
      <c r="F534" s="130">
        <v>14.23</v>
      </c>
      <c r="G534" s="160">
        <v>6597500</v>
      </c>
      <c r="H534" s="160">
        <f t="shared" si="8"/>
        <v>93882425</v>
      </c>
      <c r="I534" t="s">
        <v>8848</v>
      </c>
      <c r="J534">
        <v>2022</v>
      </c>
      <c r="K534">
        <v>8</v>
      </c>
      <c r="L534" t="s">
        <v>8929</v>
      </c>
      <c r="M534" t="s">
        <v>1552</v>
      </c>
      <c r="N534" t="s">
        <v>8930</v>
      </c>
    </row>
    <row r="535" spans="1:14" x14ac:dyDescent="0.3">
      <c r="A535">
        <v>2023</v>
      </c>
      <c r="B535" s="159">
        <v>44777</v>
      </c>
      <c r="C535" s="130">
        <v>14.1</v>
      </c>
      <c r="D535" s="130">
        <v>14.85</v>
      </c>
      <c r="E535" s="130">
        <v>14.1</v>
      </c>
      <c r="F535" s="130">
        <v>14.54</v>
      </c>
      <c r="G535" s="160">
        <v>2995500</v>
      </c>
      <c r="H535" s="160">
        <f t="shared" si="8"/>
        <v>43554570</v>
      </c>
      <c r="I535" t="s">
        <v>8848</v>
      </c>
      <c r="J535">
        <v>2022</v>
      </c>
      <c r="K535">
        <v>8</v>
      </c>
      <c r="L535" t="s">
        <v>8929</v>
      </c>
      <c r="M535" t="s">
        <v>1552</v>
      </c>
      <c r="N535" t="s">
        <v>8930</v>
      </c>
    </row>
    <row r="536" spans="1:14" x14ac:dyDescent="0.3">
      <c r="A536">
        <v>2023</v>
      </c>
      <c r="B536" s="159">
        <v>44778</v>
      </c>
      <c r="C536" s="130">
        <v>14.74</v>
      </c>
      <c r="D536" s="130">
        <v>15.3</v>
      </c>
      <c r="E536" s="130">
        <v>14.63</v>
      </c>
      <c r="F536" s="130">
        <v>15.22</v>
      </c>
      <c r="G536" s="160">
        <v>5407500</v>
      </c>
      <c r="H536" s="160">
        <f t="shared" si="8"/>
        <v>82302150</v>
      </c>
      <c r="I536" t="s">
        <v>8848</v>
      </c>
      <c r="J536">
        <v>2022</v>
      </c>
      <c r="K536">
        <v>8</v>
      </c>
      <c r="L536" t="s">
        <v>8929</v>
      </c>
      <c r="M536" t="s">
        <v>1552</v>
      </c>
      <c r="N536" t="s">
        <v>8930</v>
      </c>
    </row>
    <row r="537" spans="1:14" x14ac:dyDescent="0.3">
      <c r="A537">
        <v>2023</v>
      </c>
      <c r="B537" s="159">
        <v>44783</v>
      </c>
      <c r="C537" s="130">
        <v>15.25</v>
      </c>
      <c r="D537" s="130">
        <v>15.48</v>
      </c>
      <c r="E537" s="130">
        <v>14.8</v>
      </c>
      <c r="F537" s="130">
        <v>14.99</v>
      </c>
      <c r="G537" s="160">
        <v>2443500</v>
      </c>
      <c r="H537" s="160">
        <f t="shared" si="8"/>
        <v>36628065</v>
      </c>
      <c r="I537" t="s">
        <v>8848</v>
      </c>
      <c r="J537">
        <v>2022</v>
      </c>
      <c r="K537">
        <v>8</v>
      </c>
      <c r="L537" t="s">
        <v>8929</v>
      </c>
      <c r="M537" t="s">
        <v>1552</v>
      </c>
      <c r="N537" t="s">
        <v>8930</v>
      </c>
    </row>
    <row r="538" spans="1:14" x14ac:dyDescent="0.3">
      <c r="A538">
        <v>2023</v>
      </c>
      <c r="B538" s="159">
        <v>44784</v>
      </c>
      <c r="C538" s="130">
        <v>14.99</v>
      </c>
      <c r="D538" s="130">
        <v>15.1</v>
      </c>
      <c r="E538" s="130">
        <v>14.4</v>
      </c>
      <c r="F538" s="130">
        <v>14.54</v>
      </c>
      <c r="G538" s="160">
        <v>2010000</v>
      </c>
      <c r="H538" s="160">
        <f t="shared" si="8"/>
        <v>29225400</v>
      </c>
      <c r="I538" t="s">
        <v>8848</v>
      </c>
      <c r="J538">
        <v>2022</v>
      </c>
      <c r="K538">
        <v>8</v>
      </c>
      <c r="L538" t="s">
        <v>8929</v>
      </c>
      <c r="M538" t="s">
        <v>1552</v>
      </c>
      <c r="N538" t="s">
        <v>8930</v>
      </c>
    </row>
    <row r="539" spans="1:14" x14ac:dyDescent="0.3">
      <c r="A539">
        <v>2023</v>
      </c>
      <c r="B539" s="159">
        <v>44785</v>
      </c>
      <c r="C539" s="130">
        <v>14.55</v>
      </c>
      <c r="D539" s="130">
        <v>14.99</v>
      </c>
      <c r="E539" s="130">
        <v>14.45</v>
      </c>
      <c r="F539" s="130">
        <v>14.83</v>
      </c>
      <c r="G539" s="160">
        <v>4008500</v>
      </c>
      <c r="H539" s="160">
        <f t="shared" si="8"/>
        <v>59446055</v>
      </c>
      <c r="I539" t="s">
        <v>8848</v>
      </c>
      <c r="J539">
        <v>2022</v>
      </c>
      <c r="K539">
        <v>8</v>
      </c>
      <c r="L539" t="s">
        <v>8929</v>
      </c>
      <c r="M539" t="s">
        <v>1552</v>
      </c>
      <c r="N539" t="s">
        <v>8930</v>
      </c>
    </row>
    <row r="540" spans="1:14" x14ac:dyDescent="0.3">
      <c r="A540">
        <v>2023</v>
      </c>
      <c r="B540" s="159">
        <v>44788</v>
      </c>
      <c r="C540" s="130">
        <v>15.05</v>
      </c>
      <c r="D540" s="130">
        <v>15.39</v>
      </c>
      <c r="E540" s="130">
        <v>15</v>
      </c>
      <c r="F540" s="130">
        <v>15.09</v>
      </c>
      <c r="G540" s="160">
        <v>3317500</v>
      </c>
      <c r="H540" s="160">
        <f t="shared" si="8"/>
        <v>50061075</v>
      </c>
      <c r="I540" t="s">
        <v>8848</v>
      </c>
      <c r="J540">
        <v>2022</v>
      </c>
      <c r="K540">
        <v>8</v>
      </c>
      <c r="L540" t="s">
        <v>8929</v>
      </c>
      <c r="M540" t="s">
        <v>1552</v>
      </c>
      <c r="N540" t="s">
        <v>8930</v>
      </c>
    </row>
    <row r="541" spans="1:14" x14ac:dyDescent="0.3">
      <c r="A541">
        <v>2023</v>
      </c>
      <c r="B541" s="159">
        <v>44789</v>
      </c>
      <c r="C541" s="130">
        <v>15.25</v>
      </c>
      <c r="D541" s="130">
        <v>15.25</v>
      </c>
      <c r="E541" s="130">
        <v>14.65</v>
      </c>
      <c r="F541" s="130">
        <v>14.83</v>
      </c>
      <c r="G541" s="160">
        <v>2662000</v>
      </c>
      <c r="H541" s="160">
        <f t="shared" si="8"/>
        <v>39477460</v>
      </c>
      <c r="I541" t="s">
        <v>8848</v>
      </c>
      <c r="J541">
        <v>2022</v>
      </c>
      <c r="K541">
        <v>8</v>
      </c>
      <c r="L541" t="s">
        <v>8929</v>
      </c>
      <c r="M541" t="s">
        <v>1552</v>
      </c>
      <c r="N541" t="s">
        <v>8930</v>
      </c>
    </row>
    <row r="542" spans="1:14" x14ac:dyDescent="0.3">
      <c r="A542">
        <v>2023</v>
      </c>
      <c r="B542" s="159">
        <v>44790</v>
      </c>
      <c r="C542" s="130">
        <v>14.82</v>
      </c>
      <c r="D542" s="130">
        <v>15.28</v>
      </c>
      <c r="E542" s="130">
        <v>14.77</v>
      </c>
      <c r="F542" s="130">
        <v>15.14</v>
      </c>
      <c r="G542" s="160">
        <v>5051500</v>
      </c>
      <c r="H542" s="160">
        <f t="shared" si="8"/>
        <v>76479710</v>
      </c>
      <c r="I542" t="s">
        <v>8848</v>
      </c>
      <c r="J542">
        <v>2022</v>
      </c>
      <c r="K542">
        <v>8</v>
      </c>
      <c r="L542" t="s">
        <v>8929</v>
      </c>
      <c r="M542" t="s">
        <v>1552</v>
      </c>
      <c r="N542" t="s">
        <v>8930</v>
      </c>
    </row>
    <row r="543" spans="1:14" x14ac:dyDescent="0.3">
      <c r="A543">
        <v>2023</v>
      </c>
      <c r="B543" s="159">
        <v>44791</v>
      </c>
      <c r="C543" s="130">
        <v>15.3</v>
      </c>
      <c r="D543" s="130">
        <v>15.35</v>
      </c>
      <c r="E543" s="130">
        <v>15</v>
      </c>
      <c r="F543" s="130">
        <v>15.2</v>
      </c>
      <c r="G543" s="160">
        <v>2525000</v>
      </c>
      <c r="H543" s="160">
        <f t="shared" si="8"/>
        <v>38380000</v>
      </c>
      <c r="I543" t="s">
        <v>8848</v>
      </c>
      <c r="J543">
        <v>2022</v>
      </c>
      <c r="K543">
        <v>8</v>
      </c>
      <c r="L543" t="s">
        <v>8929</v>
      </c>
      <c r="M543" t="s">
        <v>1552</v>
      </c>
      <c r="N543" t="s">
        <v>8930</v>
      </c>
    </row>
    <row r="544" spans="1:14" x14ac:dyDescent="0.3">
      <c r="A544">
        <v>2023</v>
      </c>
      <c r="B544" s="159">
        <v>44792</v>
      </c>
      <c r="C544" s="130">
        <v>15</v>
      </c>
      <c r="D544" s="130">
        <v>15.13</v>
      </c>
      <c r="E544" s="130">
        <v>14.9</v>
      </c>
      <c r="F544" s="130">
        <v>15.01</v>
      </c>
      <c r="G544" s="160">
        <v>942500</v>
      </c>
      <c r="H544" s="160">
        <f t="shared" si="8"/>
        <v>14146925</v>
      </c>
      <c r="I544" t="s">
        <v>8848</v>
      </c>
      <c r="J544">
        <v>2022</v>
      </c>
      <c r="K544">
        <v>8</v>
      </c>
      <c r="L544" t="s">
        <v>8929</v>
      </c>
      <c r="M544" t="s">
        <v>1552</v>
      </c>
      <c r="N544" t="s">
        <v>8930</v>
      </c>
    </row>
    <row r="545" spans="1:14" x14ac:dyDescent="0.3">
      <c r="A545">
        <v>2023</v>
      </c>
      <c r="B545" s="159">
        <v>44795</v>
      </c>
      <c r="C545" s="130">
        <v>14.75</v>
      </c>
      <c r="D545" s="130">
        <v>14.85</v>
      </c>
      <c r="E545" s="130">
        <v>14.5</v>
      </c>
      <c r="F545" s="130">
        <v>14.76</v>
      </c>
      <c r="G545" s="160">
        <v>3013000</v>
      </c>
      <c r="H545" s="160">
        <f t="shared" si="8"/>
        <v>44471880</v>
      </c>
      <c r="I545" t="s">
        <v>8848</v>
      </c>
      <c r="J545">
        <v>2022</v>
      </c>
      <c r="K545">
        <v>8</v>
      </c>
      <c r="L545" t="s">
        <v>8929</v>
      </c>
      <c r="M545" t="s">
        <v>1552</v>
      </c>
      <c r="N545" t="s">
        <v>8930</v>
      </c>
    </row>
    <row r="546" spans="1:14" x14ac:dyDescent="0.3">
      <c r="A546">
        <v>2023</v>
      </c>
      <c r="B546" s="159">
        <v>44796</v>
      </c>
      <c r="C546" s="130">
        <v>14.95</v>
      </c>
      <c r="D546" s="130">
        <v>15.1</v>
      </c>
      <c r="E546" s="130">
        <v>14.76</v>
      </c>
      <c r="F546" s="130">
        <v>14.88</v>
      </c>
      <c r="G546" s="160">
        <v>1926500</v>
      </c>
      <c r="H546" s="160">
        <f t="shared" si="8"/>
        <v>28666320</v>
      </c>
      <c r="I546" t="s">
        <v>8848</v>
      </c>
      <c r="J546">
        <v>2022</v>
      </c>
      <c r="K546">
        <v>8</v>
      </c>
      <c r="L546" t="s">
        <v>8929</v>
      </c>
      <c r="M546" t="s">
        <v>1552</v>
      </c>
      <c r="N546" t="s">
        <v>8930</v>
      </c>
    </row>
    <row r="547" spans="1:14" x14ac:dyDescent="0.3">
      <c r="A547">
        <v>2023</v>
      </c>
      <c r="B547" s="159">
        <v>44797</v>
      </c>
      <c r="C547" s="130">
        <v>14.99</v>
      </c>
      <c r="D547" s="130">
        <v>15</v>
      </c>
      <c r="E547" s="130">
        <v>14.6</v>
      </c>
      <c r="F547" s="130">
        <v>14.66</v>
      </c>
      <c r="G547" s="160">
        <v>1233000</v>
      </c>
      <c r="H547" s="160">
        <f t="shared" si="8"/>
        <v>18075780</v>
      </c>
      <c r="I547" t="s">
        <v>8848</v>
      </c>
      <c r="J547">
        <v>2022</v>
      </c>
      <c r="K547">
        <v>8</v>
      </c>
      <c r="L547" t="s">
        <v>8929</v>
      </c>
      <c r="M547" t="s">
        <v>1552</v>
      </c>
      <c r="N547" t="s">
        <v>8930</v>
      </c>
    </row>
    <row r="548" spans="1:14" x14ac:dyDescent="0.3">
      <c r="A548">
        <v>2023</v>
      </c>
      <c r="B548" s="159">
        <v>44798</v>
      </c>
      <c r="C548" s="130">
        <v>14.8</v>
      </c>
      <c r="D548" s="130">
        <v>14.8</v>
      </c>
      <c r="E548" s="130">
        <v>14.52</v>
      </c>
      <c r="F548" s="130">
        <v>14.63</v>
      </c>
      <c r="G548" s="160">
        <v>463500</v>
      </c>
      <c r="H548" s="160">
        <f t="shared" si="8"/>
        <v>6781005</v>
      </c>
      <c r="I548" t="s">
        <v>8848</v>
      </c>
      <c r="J548">
        <v>2022</v>
      </c>
      <c r="K548">
        <v>8</v>
      </c>
      <c r="L548" t="s">
        <v>8929</v>
      </c>
      <c r="M548" t="s">
        <v>1552</v>
      </c>
      <c r="N548" t="s">
        <v>8930</v>
      </c>
    </row>
    <row r="549" spans="1:14" x14ac:dyDescent="0.3">
      <c r="A549">
        <v>2023</v>
      </c>
      <c r="B549" s="159">
        <v>44799</v>
      </c>
      <c r="C549" s="130">
        <v>14.79</v>
      </c>
      <c r="D549" s="130">
        <v>14.8</v>
      </c>
      <c r="E549" s="130">
        <v>14.41</v>
      </c>
      <c r="F549" s="130">
        <v>14.53</v>
      </c>
      <c r="G549" s="160">
        <v>3014500</v>
      </c>
      <c r="H549" s="160">
        <f t="shared" si="8"/>
        <v>43800685</v>
      </c>
      <c r="I549" t="s">
        <v>8848</v>
      </c>
      <c r="J549">
        <v>2022</v>
      </c>
      <c r="K549">
        <v>8</v>
      </c>
      <c r="L549" t="s">
        <v>8929</v>
      </c>
      <c r="M549" t="s">
        <v>1552</v>
      </c>
      <c r="N549" t="s">
        <v>8930</v>
      </c>
    </row>
    <row r="550" spans="1:14" x14ac:dyDescent="0.3">
      <c r="A550">
        <v>2023</v>
      </c>
      <c r="B550" s="159">
        <v>44802</v>
      </c>
      <c r="C550" s="130">
        <v>14.5</v>
      </c>
      <c r="D550" s="130">
        <v>14.74</v>
      </c>
      <c r="E550" s="130">
        <v>14</v>
      </c>
      <c r="F550" s="130">
        <v>14.59</v>
      </c>
      <c r="G550" s="160">
        <v>3385000</v>
      </c>
      <c r="H550" s="160">
        <f t="shared" si="8"/>
        <v>49387150</v>
      </c>
      <c r="I550" t="s">
        <v>8848</v>
      </c>
      <c r="J550">
        <v>2022</v>
      </c>
      <c r="K550">
        <v>8</v>
      </c>
      <c r="L550" t="s">
        <v>8929</v>
      </c>
      <c r="M550" t="s">
        <v>1552</v>
      </c>
      <c r="N550" t="s">
        <v>8930</v>
      </c>
    </row>
    <row r="551" spans="1:14" x14ac:dyDescent="0.3">
      <c r="A551">
        <v>2023</v>
      </c>
      <c r="B551" s="159">
        <v>44803</v>
      </c>
      <c r="C551" s="130">
        <v>15</v>
      </c>
      <c r="D551" s="130">
        <v>15</v>
      </c>
      <c r="E551" s="130">
        <v>14.4</v>
      </c>
      <c r="F551" s="130">
        <v>14.43</v>
      </c>
      <c r="G551" s="160">
        <v>11215500</v>
      </c>
      <c r="H551" s="160">
        <f t="shared" si="8"/>
        <v>161839665</v>
      </c>
      <c r="I551" t="s">
        <v>8848</v>
      </c>
      <c r="J551">
        <v>2022</v>
      </c>
      <c r="K551">
        <v>8</v>
      </c>
      <c r="L551" t="s">
        <v>8929</v>
      </c>
      <c r="M551" t="s">
        <v>1552</v>
      </c>
      <c r="N551" t="s">
        <v>8930</v>
      </c>
    </row>
    <row r="552" spans="1:14" x14ac:dyDescent="0.3">
      <c r="A552">
        <v>2023</v>
      </c>
      <c r="B552" s="159">
        <v>44804</v>
      </c>
      <c r="C552" s="130">
        <v>14.5</v>
      </c>
      <c r="D552" s="130">
        <v>15.18</v>
      </c>
      <c r="E552" s="130">
        <v>14.4</v>
      </c>
      <c r="F552" s="130">
        <v>15.02</v>
      </c>
      <c r="G552" s="160">
        <v>6906500</v>
      </c>
      <c r="H552" s="160">
        <f t="shared" si="8"/>
        <v>103735630</v>
      </c>
      <c r="I552" t="s">
        <v>8848</v>
      </c>
      <c r="J552">
        <v>2022</v>
      </c>
      <c r="K552">
        <v>8</v>
      </c>
      <c r="L552" t="s">
        <v>8929</v>
      </c>
      <c r="M552" t="s">
        <v>1552</v>
      </c>
      <c r="N552" t="s">
        <v>8930</v>
      </c>
    </row>
    <row r="553" spans="1:14" x14ac:dyDescent="0.3">
      <c r="A553">
        <v>2023</v>
      </c>
      <c r="B553" s="159">
        <v>44805</v>
      </c>
      <c r="C553" s="130">
        <v>15.09</v>
      </c>
      <c r="D553" s="130">
        <v>15.95</v>
      </c>
      <c r="E553" s="130">
        <v>15.08</v>
      </c>
      <c r="F553" s="130">
        <v>15.46</v>
      </c>
      <c r="G553" s="160">
        <v>13817000</v>
      </c>
      <c r="H553" s="160">
        <f t="shared" si="8"/>
        <v>213610820</v>
      </c>
      <c r="I553" t="s">
        <v>8849</v>
      </c>
      <c r="J553">
        <v>2022</v>
      </c>
      <c r="K553">
        <v>9</v>
      </c>
      <c r="L553" t="s">
        <v>8931</v>
      </c>
      <c r="M553" t="s">
        <v>1552</v>
      </c>
      <c r="N553" t="s">
        <v>8932</v>
      </c>
    </row>
    <row r="554" spans="1:14" x14ac:dyDescent="0.3">
      <c r="A554">
        <v>2023</v>
      </c>
      <c r="B554" s="159">
        <v>44806</v>
      </c>
      <c r="C554" s="130">
        <v>15.5</v>
      </c>
      <c r="D554" s="130">
        <v>15.92</v>
      </c>
      <c r="E554" s="130">
        <v>15.4</v>
      </c>
      <c r="F554" s="130">
        <v>15.57</v>
      </c>
      <c r="G554" s="160">
        <v>3433500</v>
      </c>
      <c r="H554" s="160">
        <f t="shared" si="8"/>
        <v>53459595</v>
      </c>
      <c r="I554" t="s">
        <v>8849</v>
      </c>
      <c r="J554">
        <v>2022</v>
      </c>
      <c r="K554">
        <v>9</v>
      </c>
      <c r="L554" t="s">
        <v>8931</v>
      </c>
      <c r="M554" t="s">
        <v>1552</v>
      </c>
      <c r="N554" t="s">
        <v>8932</v>
      </c>
    </row>
    <row r="555" spans="1:14" x14ac:dyDescent="0.3">
      <c r="A555">
        <v>2023</v>
      </c>
      <c r="B555" s="159">
        <v>44809</v>
      </c>
      <c r="C555" s="130">
        <v>15.5</v>
      </c>
      <c r="D555" s="130">
        <v>15.75</v>
      </c>
      <c r="E555" s="130">
        <v>15.18</v>
      </c>
      <c r="F555" s="130">
        <v>15.24</v>
      </c>
      <c r="G555" s="160">
        <v>4328500</v>
      </c>
      <c r="H555" s="160">
        <f t="shared" si="8"/>
        <v>65966340</v>
      </c>
      <c r="I555" t="s">
        <v>8849</v>
      </c>
      <c r="J555">
        <v>2022</v>
      </c>
      <c r="K555">
        <v>9</v>
      </c>
      <c r="L555" t="s">
        <v>8931</v>
      </c>
      <c r="M555" t="s">
        <v>1552</v>
      </c>
      <c r="N555" t="s">
        <v>8932</v>
      </c>
    </row>
    <row r="556" spans="1:14" x14ac:dyDescent="0.3">
      <c r="A556">
        <v>2023</v>
      </c>
      <c r="B556" s="159">
        <v>44810</v>
      </c>
      <c r="C556" s="130">
        <v>15.6</v>
      </c>
      <c r="D556" s="130">
        <v>15.6</v>
      </c>
      <c r="E556" s="130">
        <v>15.01</v>
      </c>
      <c r="F556" s="130">
        <v>15.1</v>
      </c>
      <c r="G556" s="160">
        <v>541000</v>
      </c>
      <c r="H556" s="160">
        <f t="shared" si="8"/>
        <v>8169100</v>
      </c>
      <c r="I556" t="s">
        <v>8849</v>
      </c>
      <c r="J556">
        <v>2022</v>
      </c>
      <c r="K556">
        <v>9</v>
      </c>
      <c r="L556" t="s">
        <v>8931</v>
      </c>
      <c r="M556" t="s">
        <v>1552</v>
      </c>
      <c r="N556" t="s">
        <v>8932</v>
      </c>
    </row>
    <row r="557" spans="1:14" x14ac:dyDescent="0.3">
      <c r="A557">
        <v>2023</v>
      </c>
      <c r="B557" s="159">
        <v>44811</v>
      </c>
      <c r="C557" s="130">
        <v>15.24</v>
      </c>
      <c r="D557" s="130">
        <v>15.33</v>
      </c>
      <c r="E557" s="130">
        <v>15.07</v>
      </c>
      <c r="F557" s="130">
        <v>15.2</v>
      </c>
      <c r="G557" s="160">
        <v>1024500</v>
      </c>
      <c r="H557" s="160">
        <f t="shared" si="8"/>
        <v>15572400</v>
      </c>
      <c r="I557" t="s">
        <v>8849</v>
      </c>
      <c r="J557">
        <v>2022</v>
      </c>
      <c r="K557">
        <v>9</v>
      </c>
      <c r="L557" t="s">
        <v>8931</v>
      </c>
      <c r="M557" t="s">
        <v>1552</v>
      </c>
      <c r="N557" t="s">
        <v>8932</v>
      </c>
    </row>
    <row r="558" spans="1:14" x14ac:dyDescent="0.3">
      <c r="A558">
        <v>2023</v>
      </c>
      <c r="B558" s="159">
        <v>44812</v>
      </c>
      <c r="C558" s="130">
        <v>15.19</v>
      </c>
      <c r="D558" s="130">
        <v>15.7</v>
      </c>
      <c r="E558" s="130">
        <v>15.19</v>
      </c>
      <c r="F558" s="130">
        <v>15.64</v>
      </c>
      <c r="G558" s="160">
        <v>3762500</v>
      </c>
      <c r="H558" s="160">
        <f t="shared" si="8"/>
        <v>58845500</v>
      </c>
      <c r="I558" t="s">
        <v>8849</v>
      </c>
      <c r="J558">
        <v>2022</v>
      </c>
      <c r="K558">
        <v>9</v>
      </c>
      <c r="L558" t="s">
        <v>8931</v>
      </c>
      <c r="M558" t="s">
        <v>1552</v>
      </c>
      <c r="N558" t="s">
        <v>8932</v>
      </c>
    </row>
    <row r="559" spans="1:14" x14ac:dyDescent="0.3">
      <c r="A559">
        <v>2023</v>
      </c>
      <c r="B559" s="159">
        <v>44813</v>
      </c>
      <c r="C559" s="130">
        <v>15.74</v>
      </c>
      <c r="D559" s="130">
        <v>15.9</v>
      </c>
      <c r="E559" s="130">
        <v>15.55</v>
      </c>
      <c r="F559" s="130">
        <v>15.63</v>
      </c>
      <c r="G559" s="160">
        <v>5274000</v>
      </c>
      <c r="H559" s="160">
        <f t="shared" si="8"/>
        <v>82432620</v>
      </c>
      <c r="I559" t="s">
        <v>8849</v>
      </c>
      <c r="J559">
        <v>2022</v>
      </c>
      <c r="K559">
        <v>9</v>
      </c>
      <c r="L559" t="s">
        <v>8931</v>
      </c>
      <c r="M559" t="s">
        <v>1552</v>
      </c>
      <c r="N559" t="s">
        <v>8932</v>
      </c>
    </row>
    <row r="560" spans="1:14" x14ac:dyDescent="0.3">
      <c r="A560">
        <v>2023</v>
      </c>
      <c r="B560" s="159">
        <v>44816</v>
      </c>
      <c r="C560" s="130">
        <v>15.75</v>
      </c>
      <c r="D560" s="130">
        <v>15.85</v>
      </c>
      <c r="E560" s="130">
        <v>15.39</v>
      </c>
      <c r="F560" s="130">
        <v>15.47</v>
      </c>
      <c r="G560" s="160">
        <v>2103000</v>
      </c>
      <c r="H560" s="160">
        <f t="shared" si="8"/>
        <v>32533410</v>
      </c>
      <c r="I560" t="s">
        <v>8849</v>
      </c>
      <c r="J560">
        <v>2022</v>
      </c>
      <c r="K560">
        <v>9</v>
      </c>
      <c r="L560" t="s">
        <v>8931</v>
      </c>
      <c r="M560" t="s">
        <v>1552</v>
      </c>
      <c r="N560" t="s">
        <v>8932</v>
      </c>
    </row>
    <row r="561" spans="1:14" x14ac:dyDescent="0.3">
      <c r="A561">
        <v>2023</v>
      </c>
      <c r="B561" s="159">
        <v>44817</v>
      </c>
      <c r="C561" s="130">
        <v>15.5</v>
      </c>
      <c r="D561" s="130">
        <v>15.74</v>
      </c>
      <c r="E561" s="130">
        <v>15.38</v>
      </c>
      <c r="F561" s="130">
        <v>15.5</v>
      </c>
      <c r="G561" s="160">
        <v>2277000</v>
      </c>
      <c r="H561" s="160">
        <f t="shared" si="8"/>
        <v>35293500</v>
      </c>
      <c r="I561" t="s">
        <v>8849</v>
      </c>
      <c r="J561">
        <v>2022</v>
      </c>
      <c r="K561">
        <v>9</v>
      </c>
      <c r="L561" t="s">
        <v>8931</v>
      </c>
      <c r="M561" t="s">
        <v>1552</v>
      </c>
      <c r="N561" t="s">
        <v>8932</v>
      </c>
    </row>
    <row r="562" spans="1:14" x14ac:dyDescent="0.3">
      <c r="A562">
        <v>2023</v>
      </c>
      <c r="B562" s="159">
        <v>44818</v>
      </c>
      <c r="C562" s="130">
        <v>15.35</v>
      </c>
      <c r="D562" s="130">
        <v>15.48</v>
      </c>
      <c r="E562" s="130">
        <v>15.11</v>
      </c>
      <c r="F562" s="130">
        <v>15.17</v>
      </c>
      <c r="G562" s="160">
        <v>2194000</v>
      </c>
      <c r="H562" s="160">
        <f t="shared" si="8"/>
        <v>33282980</v>
      </c>
      <c r="I562" t="s">
        <v>8849</v>
      </c>
      <c r="J562">
        <v>2022</v>
      </c>
      <c r="K562">
        <v>9</v>
      </c>
      <c r="L562" t="s">
        <v>8931</v>
      </c>
      <c r="M562" t="s">
        <v>1552</v>
      </c>
      <c r="N562" t="s">
        <v>8932</v>
      </c>
    </row>
    <row r="563" spans="1:14" x14ac:dyDescent="0.3">
      <c r="A563">
        <v>2023</v>
      </c>
      <c r="B563" s="159">
        <v>44819</v>
      </c>
      <c r="C563" s="130">
        <v>15.34</v>
      </c>
      <c r="D563" s="130">
        <v>15.45</v>
      </c>
      <c r="E563" s="130">
        <v>15.04</v>
      </c>
      <c r="F563" s="130">
        <v>15.08</v>
      </c>
      <c r="G563" s="160">
        <v>2670500</v>
      </c>
      <c r="H563" s="160">
        <f t="shared" si="8"/>
        <v>40271140</v>
      </c>
      <c r="I563" t="s">
        <v>8849</v>
      </c>
      <c r="J563">
        <v>2022</v>
      </c>
      <c r="K563">
        <v>9</v>
      </c>
      <c r="L563" t="s">
        <v>8931</v>
      </c>
      <c r="M563" t="s">
        <v>1552</v>
      </c>
      <c r="N563" t="s">
        <v>8932</v>
      </c>
    </row>
    <row r="564" spans="1:14" x14ac:dyDescent="0.3">
      <c r="A564">
        <v>2023</v>
      </c>
      <c r="B564" s="159">
        <v>44820</v>
      </c>
      <c r="C564" s="130">
        <v>15.1</v>
      </c>
      <c r="D564" s="130">
        <v>15.25</v>
      </c>
      <c r="E564" s="130">
        <v>14.99</v>
      </c>
      <c r="F564" s="130">
        <v>15</v>
      </c>
      <c r="G564" s="160">
        <v>1272000</v>
      </c>
      <c r="H564" s="160">
        <f t="shared" si="8"/>
        <v>19080000</v>
      </c>
      <c r="I564" t="s">
        <v>8849</v>
      </c>
      <c r="J564">
        <v>2022</v>
      </c>
      <c r="K564">
        <v>9</v>
      </c>
      <c r="L564" t="s">
        <v>8931</v>
      </c>
      <c r="M564" t="s">
        <v>1552</v>
      </c>
      <c r="N564" t="s">
        <v>8932</v>
      </c>
    </row>
    <row r="565" spans="1:14" x14ac:dyDescent="0.3">
      <c r="A565">
        <v>2023</v>
      </c>
      <c r="B565" s="159">
        <v>44823</v>
      </c>
      <c r="C565" s="130">
        <v>15.05</v>
      </c>
      <c r="D565" s="130">
        <v>15.15</v>
      </c>
      <c r="E565" s="130">
        <v>14.75</v>
      </c>
      <c r="F565" s="130">
        <v>15.1</v>
      </c>
      <c r="G565" s="160">
        <v>2125000</v>
      </c>
      <c r="H565" s="160">
        <f t="shared" si="8"/>
        <v>32087500</v>
      </c>
      <c r="I565" t="s">
        <v>8849</v>
      </c>
      <c r="J565">
        <v>2022</v>
      </c>
      <c r="K565">
        <v>9</v>
      </c>
      <c r="L565" t="s">
        <v>8931</v>
      </c>
      <c r="M565" t="s">
        <v>1552</v>
      </c>
      <c r="N565" t="s">
        <v>8932</v>
      </c>
    </row>
    <row r="566" spans="1:14" x14ac:dyDescent="0.3">
      <c r="A566">
        <v>2023</v>
      </c>
      <c r="B566" s="159">
        <v>44824</v>
      </c>
      <c r="C566" s="130">
        <v>15.1</v>
      </c>
      <c r="D566" s="130">
        <v>15.34</v>
      </c>
      <c r="E566" s="130">
        <v>14.82</v>
      </c>
      <c r="F566" s="130">
        <v>15.11</v>
      </c>
      <c r="G566" s="160">
        <v>1728000</v>
      </c>
      <c r="H566" s="160">
        <f t="shared" si="8"/>
        <v>26110080</v>
      </c>
      <c r="I566" t="s">
        <v>8849</v>
      </c>
      <c r="J566">
        <v>2022</v>
      </c>
      <c r="K566">
        <v>9</v>
      </c>
      <c r="L566" t="s">
        <v>8931</v>
      </c>
      <c r="M566" t="s">
        <v>1552</v>
      </c>
      <c r="N566" t="s">
        <v>8932</v>
      </c>
    </row>
    <row r="567" spans="1:14" x14ac:dyDescent="0.3">
      <c r="A567">
        <v>2023</v>
      </c>
      <c r="B567" s="159">
        <v>44825</v>
      </c>
      <c r="C567" s="130">
        <v>15.55</v>
      </c>
      <c r="D567" s="130">
        <v>15.65</v>
      </c>
      <c r="E567" s="130">
        <v>14.91</v>
      </c>
      <c r="F567" s="130">
        <v>15.01</v>
      </c>
      <c r="G567" s="160">
        <v>7140000</v>
      </c>
      <c r="H567" s="160">
        <f t="shared" si="8"/>
        <v>107171400</v>
      </c>
      <c r="I567" t="s">
        <v>8849</v>
      </c>
      <c r="J567">
        <v>2022</v>
      </c>
      <c r="K567">
        <v>9</v>
      </c>
      <c r="L567" t="s">
        <v>8931</v>
      </c>
      <c r="M567" t="s">
        <v>1552</v>
      </c>
      <c r="N567" t="s">
        <v>8932</v>
      </c>
    </row>
    <row r="568" spans="1:14" x14ac:dyDescent="0.3">
      <c r="A568">
        <v>2023</v>
      </c>
      <c r="B568" s="159">
        <v>44826</v>
      </c>
      <c r="C568" s="130">
        <v>14.97</v>
      </c>
      <c r="D568" s="130">
        <v>15.25</v>
      </c>
      <c r="E568" s="130">
        <v>14.6</v>
      </c>
      <c r="F568" s="130">
        <v>15.18</v>
      </c>
      <c r="G568" s="160">
        <v>2616000</v>
      </c>
      <c r="H568" s="160">
        <f t="shared" si="8"/>
        <v>39710880</v>
      </c>
      <c r="I568" t="s">
        <v>8849</v>
      </c>
      <c r="J568">
        <v>2022</v>
      </c>
      <c r="K568">
        <v>9</v>
      </c>
      <c r="L568" t="s">
        <v>8931</v>
      </c>
      <c r="M568" t="s">
        <v>1552</v>
      </c>
      <c r="N568" t="s">
        <v>8932</v>
      </c>
    </row>
    <row r="569" spans="1:14" x14ac:dyDescent="0.3">
      <c r="A569">
        <v>2023</v>
      </c>
      <c r="B569" s="159">
        <v>44827</v>
      </c>
      <c r="C569" s="130">
        <v>15.12</v>
      </c>
      <c r="D569" s="130">
        <v>15.3</v>
      </c>
      <c r="E569" s="130">
        <v>14.85</v>
      </c>
      <c r="F569" s="130">
        <v>15</v>
      </c>
      <c r="G569" s="160">
        <v>1307500</v>
      </c>
      <c r="H569" s="160">
        <f t="shared" si="8"/>
        <v>19612500</v>
      </c>
      <c r="I569" t="s">
        <v>8849</v>
      </c>
      <c r="J569">
        <v>2022</v>
      </c>
      <c r="K569">
        <v>9</v>
      </c>
      <c r="L569" t="s">
        <v>8931</v>
      </c>
      <c r="M569" t="s">
        <v>1552</v>
      </c>
      <c r="N569" t="s">
        <v>8932</v>
      </c>
    </row>
    <row r="570" spans="1:14" x14ac:dyDescent="0.3">
      <c r="A570">
        <v>2023</v>
      </c>
      <c r="B570" s="159">
        <v>44830</v>
      </c>
      <c r="C570" s="130">
        <v>15</v>
      </c>
      <c r="D570" s="130">
        <v>15.42</v>
      </c>
      <c r="E570" s="130">
        <v>14.96</v>
      </c>
      <c r="F570" s="130">
        <v>15.31</v>
      </c>
      <c r="G570" s="160">
        <v>7980000</v>
      </c>
      <c r="H570" s="160">
        <f t="shared" si="8"/>
        <v>122173800</v>
      </c>
      <c r="I570" t="s">
        <v>8849</v>
      </c>
      <c r="J570">
        <v>2022</v>
      </c>
      <c r="K570">
        <v>9</v>
      </c>
      <c r="L570" t="s">
        <v>8931</v>
      </c>
      <c r="M570" t="s">
        <v>1552</v>
      </c>
      <c r="N570" t="s">
        <v>8932</v>
      </c>
    </row>
    <row r="571" spans="1:14" x14ac:dyDescent="0.3">
      <c r="A571">
        <v>2023</v>
      </c>
      <c r="B571" s="159">
        <v>44831</v>
      </c>
      <c r="C571" s="130">
        <v>15.35</v>
      </c>
      <c r="D571" s="130">
        <v>15.66</v>
      </c>
      <c r="E571" s="130">
        <v>15.21</v>
      </c>
      <c r="F571" s="130">
        <v>15.29</v>
      </c>
      <c r="G571" s="160">
        <v>10646000</v>
      </c>
      <c r="H571" s="160">
        <f t="shared" si="8"/>
        <v>162777340</v>
      </c>
      <c r="I571" t="s">
        <v>8849</v>
      </c>
      <c r="J571">
        <v>2022</v>
      </c>
      <c r="K571">
        <v>9</v>
      </c>
      <c r="L571" t="s">
        <v>8931</v>
      </c>
      <c r="M571" t="s">
        <v>1552</v>
      </c>
      <c r="N571" t="s">
        <v>8932</v>
      </c>
    </row>
    <row r="572" spans="1:14" x14ac:dyDescent="0.3">
      <c r="A572">
        <v>2023</v>
      </c>
      <c r="B572" s="159">
        <v>44832</v>
      </c>
      <c r="C572" s="130">
        <v>15.3</v>
      </c>
      <c r="D572" s="130">
        <v>15.48</v>
      </c>
      <c r="E572" s="130">
        <v>15.22</v>
      </c>
      <c r="F572" s="130">
        <v>15.35</v>
      </c>
      <c r="G572" s="160">
        <v>4323500</v>
      </c>
      <c r="H572" s="160">
        <f t="shared" si="8"/>
        <v>66365725</v>
      </c>
      <c r="I572" t="s">
        <v>8849</v>
      </c>
      <c r="J572">
        <v>2022</v>
      </c>
      <c r="K572">
        <v>9</v>
      </c>
      <c r="L572" t="s">
        <v>8931</v>
      </c>
      <c r="M572" t="s">
        <v>1552</v>
      </c>
      <c r="N572" t="s">
        <v>8932</v>
      </c>
    </row>
    <row r="573" spans="1:14" x14ac:dyDescent="0.3">
      <c r="A573">
        <v>2023</v>
      </c>
      <c r="B573" s="159">
        <v>44833</v>
      </c>
      <c r="C573" s="130">
        <v>15.25</v>
      </c>
      <c r="D573" s="130">
        <v>15.46</v>
      </c>
      <c r="E573" s="130">
        <v>15</v>
      </c>
      <c r="F573" s="130">
        <v>15.24</v>
      </c>
      <c r="G573" s="160">
        <v>3962500</v>
      </c>
      <c r="H573" s="160">
        <f t="shared" si="8"/>
        <v>60388500</v>
      </c>
      <c r="I573" t="s">
        <v>8849</v>
      </c>
      <c r="J573">
        <v>2022</v>
      </c>
      <c r="K573">
        <v>9</v>
      </c>
      <c r="L573" t="s">
        <v>8931</v>
      </c>
      <c r="M573" t="s">
        <v>1552</v>
      </c>
      <c r="N573" t="s">
        <v>8932</v>
      </c>
    </row>
    <row r="574" spans="1:14" x14ac:dyDescent="0.3">
      <c r="A574">
        <v>2023</v>
      </c>
      <c r="B574" s="159">
        <v>44834</v>
      </c>
      <c r="C574" s="130">
        <v>15</v>
      </c>
      <c r="D574" s="130">
        <v>15.29</v>
      </c>
      <c r="E574" s="130">
        <v>14.9</v>
      </c>
      <c r="F574" s="130">
        <v>14.99</v>
      </c>
      <c r="G574" s="160">
        <v>4623500</v>
      </c>
      <c r="H574" s="160">
        <f t="shared" si="8"/>
        <v>69306265</v>
      </c>
      <c r="I574" t="s">
        <v>8849</v>
      </c>
      <c r="J574">
        <v>2022</v>
      </c>
      <c r="K574">
        <v>9</v>
      </c>
      <c r="L574" t="s">
        <v>8931</v>
      </c>
      <c r="M574" t="s">
        <v>1552</v>
      </c>
      <c r="N574" t="s">
        <v>8932</v>
      </c>
    </row>
    <row r="575" spans="1:14" x14ac:dyDescent="0.3">
      <c r="A575">
        <v>2023</v>
      </c>
      <c r="B575" s="159">
        <v>44837</v>
      </c>
      <c r="C575" s="130">
        <v>15.1</v>
      </c>
      <c r="D575" s="130">
        <v>15.24</v>
      </c>
      <c r="E575" s="130">
        <v>15</v>
      </c>
      <c r="F575" s="130">
        <v>15.21</v>
      </c>
      <c r="G575" s="160">
        <v>681000</v>
      </c>
      <c r="H575" s="160">
        <f t="shared" si="8"/>
        <v>10358010</v>
      </c>
      <c r="I575" t="s">
        <v>8850</v>
      </c>
      <c r="J575">
        <v>2022</v>
      </c>
      <c r="K575">
        <v>10</v>
      </c>
      <c r="L575" t="s">
        <v>8933</v>
      </c>
      <c r="M575" t="s">
        <v>1552</v>
      </c>
      <c r="N575" t="s">
        <v>8934</v>
      </c>
    </row>
    <row r="576" spans="1:14" x14ac:dyDescent="0.3">
      <c r="A576">
        <v>2023</v>
      </c>
      <c r="B576" s="159">
        <v>44838</v>
      </c>
      <c r="C576" s="130">
        <v>15.05</v>
      </c>
      <c r="D576" s="130">
        <v>15.51</v>
      </c>
      <c r="E576" s="130">
        <v>15.05</v>
      </c>
      <c r="F576" s="130">
        <v>15.36</v>
      </c>
      <c r="G576" s="160">
        <v>1833500</v>
      </c>
      <c r="H576" s="160">
        <f t="shared" si="8"/>
        <v>28162560</v>
      </c>
      <c r="I576" t="s">
        <v>8850</v>
      </c>
      <c r="J576">
        <v>2022</v>
      </c>
      <c r="K576">
        <v>10</v>
      </c>
      <c r="L576" t="s">
        <v>8933</v>
      </c>
      <c r="M576" t="s">
        <v>1552</v>
      </c>
      <c r="N576" t="s">
        <v>8934</v>
      </c>
    </row>
    <row r="577" spans="1:14" x14ac:dyDescent="0.3">
      <c r="A577">
        <v>2023</v>
      </c>
      <c r="B577" s="159">
        <v>44839</v>
      </c>
      <c r="C577" s="130">
        <v>15.21</v>
      </c>
      <c r="D577" s="130">
        <v>15.88</v>
      </c>
      <c r="E577" s="130">
        <v>15.21</v>
      </c>
      <c r="F577" s="130">
        <v>15.83</v>
      </c>
      <c r="G577" s="160">
        <v>4010500</v>
      </c>
      <c r="H577" s="160">
        <f t="shared" si="8"/>
        <v>63486215</v>
      </c>
      <c r="I577" t="s">
        <v>8850</v>
      </c>
      <c r="J577">
        <v>2022</v>
      </c>
      <c r="K577">
        <v>10</v>
      </c>
      <c r="L577" t="s">
        <v>8933</v>
      </c>
      <c r="M577" t="s">
        <v>1552</v>
      </c>
      <c r="N577" t="s">
        <v>8934</v>
      </c>
    </row>
    <row r="578" spans="1:14" x14ac:dyDescent="0.3">
      <c r="A578">
        <v>2023</v>
      </c>
      <c r="B578" s="159">
        <v>44840</v>
      </c>
      <c r="C578" s="130">
        <v>15.95</v>
      </c>
      <c r="D578" s="130">
        <v>16.100000000000001</v>
      </c>
      <c r="E578" s="130">
        <v>15.6</v>
      </c>
      <c r="F578" s="130">
        <v>15.68</v>
      </c>
      <c r="G578" s="160">
        <v>6480500</v>
      </c>
      <c r="H578" s="160">
        <f t="shared" si="8"/>
        <v>101614240</v>
      </c>
      <c r="I578" t="s">
        <v>8850</v>
      </c>
      <c r="J578">
        <v>2022</v>
      </c>
      <c r="K578">
        <v>10</v>
      </c>
      <c r="L578" t="s">
        <v>8933</v>
      </c>
      <c r="M578" t="s">
        <v>1552</v>
      </c>
      <c r="N578" t="s">
        <v>8934</v>
      </c>
    </row>
    <row r="579" spans="1:14" x14ac:dyDescent="0.3">
      <c r="A579">
        <v>2023</v>
      </c>
      <c r="B579" s="159">
        <v>44841</v>
      </c>
      <c r="C579" s="130">
        <v>15.68</v>
      </c>
      <c r="D579" s="130">
        <v>16</v>
      </c>
      <c r="E579" s="130">
        <v>15.55</v>
      </c>
      <c r="F579" s="130">
        <v>15.61</v>
      </c>
      <c r="G579" s="160">
        <v>2857000</v>
      </c>
      <c r="H579" s="160">
        <f t="shared" si="8"/>
        <v>44597770</v>
      </c>
      <c r="I579" t="s">
        <v>8850</v>
      </c>
      <c r="J579">
        <v>2022</v>
      </c>
      <c r="K579">
        <v>10</v>
      </c>
      <c r="L579" t="s">
        <v>8933</v>
      </c>
      <c r="M579" t="s">
        <v>1552</v>
      </c>
      <c r="N579" t="s">
        <v>8934</v>
      </c>
    </row>
    <row r="580" spans="1:14" x14ac:dyDescent="0.3">
      <c r="A580">
        <v>2023</v>
      </c>
      <c r="B580" s="159">
        <v>44844</v>
      </c>
      <c r="C580" s="130">
        <v>15.7</v>
      </c>
      <c r="D580" s="130">
        <v>15.99</v>
      </c>
      <c r="E580" s="130">
        <v>15.6</v>
      </c>
      <c r="F580" s="130">
        <v>15.95</v>
      </c>
      <c r="G580" s="160">
        <v>5642500</v>
      </c>
      <c r="H580" s="160">
        <f t="shared" si="8"/>
        <v>89997875</v>
      </c>
      <c r="I580" t="s">
        <v>8850</v>
      </c>
      <c r="J580">
        <v>2022</v>
      </c>
      <c r="K580">
        <v>10</v>
      </c>
      <c r="L580" t="s">
        <v>8933</v>
      </c>
      <c r="M580" t="s">
        <v>1552</v>
      </c>
      <c r="N580" t="s">
        <v>8934</v>
      </c>
    </row>
    <row r="581" spans="1:14" x14ac:dyDescent="0.3">
      <c r="A581">
        <v>2023</v>
      </c>
      <c r="B581" s="159">
        <v>44845</v>
      </c>
      <c r="C581" s="130">
        <v>15.99</v>
      </c>
      <c r="D581" s="130">
        <v>16.03</v>
      </c>
      <c r="E581" s="130">
        <v>15.71</v>
      </c>
      <c r="F581" s="130">
        <v>15.87</v>
      </c>
      <c r="G581" s="160">
        <v>2992500</v>
      </c>
      <c r="H581" s="160">
        <f t="shared" si="8"/>
        <v>47490975</v>
      </c>
      <c r="I581" t="s">
        <v>8850</v>
      </c>
      <c r="J581">
        <v>2022</v>
      </c>
      <c r="K581">
        <v>10</v>
      </c>
      <c r="L581" t="s">
        <v>8933</v>
      </c>
      <c r="M581" t="s">
        <v>1552</v>
      </c>
      <c r="N581" t="s">
        <v>8934</v>
      </c>
    </row>
    <row r="582" spans="1:14" x14ac:dyDescent="0.3">
      <c r="A582">
        <v>2023</v>
      </c>
      <c r="B582" s="159">
        <v>44846</v>
      </c>
      <c r="C582" s="130">
        <v>15.9</v>
      </c>
      <c r="D582" s="130">
        <v>15.95</v>
      </c>
      <c r="E582" s="130">
        <v>15.6</v>
      </c>
      <c r="F582" s="130">
        <v>15.67</v>
      </c>
      <c r="G582" s="160">
        <v>3214500</v>
      </c>
      <c r="H582" s="160">
        <f t="shared" si="8"/>
        <v>50371215</v>
      </c>
      <c r="I582" t="s">
        <v>8850</v>
      </c>
      <c r="J582">
        <v>2022</v>
      </c>
      <c r="K582">
        <v>10</v>
      </c>
      <c r="L582" t="s">
        <v>8933</v>
      </c>
      <c r="M582" t="s">
        <v>1552</v>
      </c>
      <c r="N582" t="s">
        <v>8934</v>
      </c>
    </row>
    <row r="583" spans="1:14" x14ac:dyDescent="0.3">
      <c r="A583">
        <v>2023</v>
      </c>
      <c r="B583" s="159">
        <v>44847</v>
      </c>
      <c r="C583" s="130">
        <v>14.28</v>
      </c>
      <c r="D583" s="130">
        <v>14.37</v>
      </c>
      <c r="E583" s="130">
        <v>13.93</v>
      </c>
      <c r="F583" s="130">
        <v>14.24</v>
      </c>
      <c r="G583" s="160">
        <v>2343500</v>
      </c>
      <c r="H583" s="160">
        <f t="shared" si="8"/>
        <v>33371440</v>
      </c>
      <c r="I583" t="s">
        <v>8850</v>
      </c>
      <c r="J583">
        <v>2022</v>
      </c>
      <c r="K583">
        <v>10</v>
      </c>
      <c r="L583" t="s">
        <v>8933</v>
      </c>
      <c r="M583" t="s">
        <v>1552</v>
      </c>
      <c r="N583" t="s">
        <v>8934</v>
      </c>
    </row>
    <row r="584" spans="1:14" x14ac:dyDescent="0.3">
      <c r="A584">
        <v>2023</v>
      </c>
      <c r="B584" s="159">
        <v>44848</v>
      </c>
      <c r="C584" s="130">
        <v>14.2</v>
      </c>
      <c r="D584" s="130">
        <v>14.4</v>
      </c>
      <c r="E584" s="130">
        <v>14.14</v>
      </c>
      <c r="F584" s="130">
        <v>14.3</v>
      </c>
      <c r="G584" s="160">
        <v>759500</v>
      </c>
      <c r="H584" s="160">
        <f t="shared" si="8"/>
        <v>10860850</v>
      </c>
      <c r="I584" t="s">
        <v>8850</v>
      </c>
      <c r="J584">
        <v>2022</v>
      </c>
      <c r="K584">
        <v>10</v>
      </c>
      <c r="L584" t="s">
        <v>8933</v>
      </c>
      <c r="M584" t="s">
        <v>1552</v>
      </c>
      <c r="N584" t="s">
        <v>8934</v>
      </c>
    </row>
    <row r="585" spans="1:14" x14ac:dyDescent="0.3">
      <c r="A585">
        <v>2023</v>
      </c>
      <c r="B585" s="159">
        <v>44851</v>
      </c>
      <c r="C585" s="130">
        <v>14.25</v>
      </c>
      <c r="D585" s="130">
        <v>14.25</v>
      </c>
      <c r="E585" s="130">
        <v>14.05</v>
      </c>
      <c r="F585" s="130">
        <v>14.21</v>
      </c>
      <c r="G585" s="160">
        <v>866000</v>
      </c>
      <c r="H585" s="160">
        <f t="shared" si="8"/>
        <v>12305860</v>
      </c>
      <c r="I585" t="s">
        <v>8850</v>
      </c>
      <c r="J585">
        <v>2022</v>
      </c>
      <c r="K585">
        <v>10</v>
      </c>
      <c r="L585" t="s">
        <v>8933</v>
      </c>
      <c r="M585" t="s">
        <v>1552</v>
      </c>
      <c r="N585" t="s">
        <v>8934</v>
      </c>
    </row>
    <row r="586" spans="1:14" x14ac:dyDescent="0.3">
      <c r="A586">
        <v>2023</v>
      </c>
      <c r="B586" s="159">
        <v>44852</v>
      </c>
      <c r="C586" s="130">
        <v>14.2</v>
      </c>
      <c r="D586" s="130">
        <v>14.24</v>
      </c>
      <c r="E586" s="130">
        <v>14.05</v>
      </c>
      <c r="F586" s="130">
        <v>14.14</v>
      </c>
      <c r="G586" s="160">
        <v>1336500</v>
      </c>
      <c r="H586" s="160">
        <f t="shared" si="8"/>
        <v>18898110</v>
      </c>
      <c r="I586" t="s">
        <v>8850</v>
      </c>
      <c r="J586">
        <v>2022</v>
      </c>
      <c r="K586">
        <v>10</v>
      </c>
      <c r="L586" t="s">
        <v>8933</v>
      </c>
      <c r="M586" t="s">
        <v>1552</v>
      </c>
      <c r="N586" t="s">
        <v>8934</v>
      </c>
    </row>
    <row r="587" spans="1:14" x14ac:dyDescent="0.3">
      <c r="A587">
        <v>2023</v>
      </c>
      <c r="B587" s="159">
        <v>44853</v>
      </c>
      <c r="C587" s="130">
        <v>14.25</v>
      </c>
      <c r="D587" s="130">
        <v>14.39</v>
      </c>
      <c r="E587" s="130">
        <v>14.2</v>
      </c>
      <c r="F587" s="130">
        <v>14.34</v>
      </c>
      <c r="G587" s="160">
        <v>1681500</v>
      </c>
      <c r="H587" s="160">
        <f t="shared" si="8"/>
        <v>24112710</v>
      </c>
      <c r="I587" t="s">
        <v>8850</v>
      </c>
      <c r="J587">
        <v>2022</v>
      </c>
      <c r="K587">
        <v>10</v>
      </c>
      <c r="L587" t="s">
        <v>8933</v>
      </c>
      <c r="M587" t="s">
        <v>1552</v>
      </c>
      <c r="N587" t="s">
        <v>8934</v>
      </c>
    </row>
    <row r="588" spans="1:14" x14ac:dyDescent="0.3">
      <c r="A588">
        <v>2023</v>
      </c>
      <c r="B588" s="159">
        <v>44854</v>
      </c>
      <c r="C588" s="130">
        <v>14.31</v>
      </c>
      <c r="D588" s="130">
        <v>14.7</v>
      </c>
      <c r="E588" s="130">
        <v>14.3</v>
      </c>
      <c r="F588" s="130">
        <v>14.46</v>
      </c>
      <c r="G588" s="160">
        <v>3576000</v>
      </c>
      <c r="H588" s="160">
        <f t="shared" si="8"/>
        <v>51708960</v>
      </c>
      <c r="I588" t="s">
        <v>8850</v>
      </c>
      <c r="J588">
        <v>2022</v>
      </c>
      <c r="K588">
        <v>10</v>
      </c>
      <c r="L588" t="s">
        <v>8933</v>
      </c>
      <c r="M588" t="s">
        <v>1552</v>
      </c>
      <c r="N588" t="s">
        <v>8934</v>
      </c>
    </row>
    <row r="589" spans="1:14" x14ac:dyDescent="0.3">
      <c r="A589">
        <v>2023</v>
      </c>
      <c r="B589" s="159">
        <v>44855</v>
      </c>
      <c r="C589" s="130">
        <v>14.44</v>
      </c>
      <c r="D589" s="130">
        <v>14.65</v>
      </c>
      <c r="E589" s="130">
        <v>14.3</v>
      </c>
      <c r="F589" s="130">
        <v>14.59</v>
      </c>
      <c r="G589" s="160">
        <v>1717000</v>
      </c>
      <c r="H589" s="160">
        <f t="shared" si="8"/>
        <v>25051030</v>
      </c>
      <c r="I589" t="s">
        <v>8850</v>
      </c>
      <c r="J589">
        <v>2022</v>
      </c>
      <c r="K589">
        <v>10</v>
      </c>
      <c r="L589" t="s">
        <v>8933</v>
      </c>
      <c r="M589" t="s">
        <v>1552</v>
      </c>
      <c r="N589" t="s">
        <v>8934</v>
      </c>
    </row>
    <row r="590" spans="1:14" x14ac:dyDescent="0.3">
      <c r="A590">
        <v>2023</v>
      </c>
      <c r="B590" s="159">
        <v>44858</v>
      </c>
      <c r="C590" s="130">
        <v>14.8</v>
      </c>
      <c r="D590" s="130">
        <v>14.95</v>
      </c>
      <c r="E590" s="130">
        <v>14.56</v>
      </c>
      <c r="F590" s="130">
        <v>14.65</v>
      </c>
      <c r="G590" s="160">
        <v>5317000</v>
      </c>
      <c r="H590" s="160">
        <f t="shared" si="8"/>
        <v>77894050</v>
      </c>
      <c r="I590" t="s">
        <v>8850</v>
      </c>
      <c r="J590">
        <v>2022</v>
      </c>
      <c r="K590">
        <v>10</v>
      </c>
      <c r="L590" t="s">
        <v>8933</v>
      </c>
      <c r="M590" t="s">
        <v>1552</v>
      </c>
      <c r="N590" t="s">
        <v>8934</v>
      </c>
    </row>
    <row r="591" spans="1:14" x14ac:dyDescent="0.3">
      <c r="A591">
        <v>2023</v>
      </c>
      <c r="B591" s="159">
        <v>44859</v>
      </c>
      <c r="C591" s="130">
        <v>14.59</v>
      </c>
      <c r="D591" s="130">
        <v>14.72</v>
      </c>
      <c r="E591" s="130">
        <v>14.5</v>
      </c>
      <c r="F591" s="130">
        <v>14.56</v>
      </c>
      <c r="G591" s="160">
        <v>1088000</v>
      </c>
      <c r="H591" s="160">
        <f t="shared" si="8"/>
        <v>15841280</v>
      </c>
      <c r="I591" t="s">
        <v>8850</v>
      </c>
      <c r="J591">
        <v>2022</v>
      </c>
      <c r="K591">
        <v>10</v>
      </c>
      <c r="L591" t="s">
        <v>8933</v>
      </c>
      <c r="M591" t="s">
        <v>1552</v>
      </c>
      <c r="N591" t="s">
        <v>8934</v>
      </c>
    </row>
    <row r="592" spans="1:14" x14ac:dyDescent="0.3">
      <c r="A592">
        <v>2023</v>
      </c>
      <c r="B592" s="159">
        <v>44860</v>
      </c>
      <c r="C592" s="130">
        <v>14.55</v>
      </c>
      <c r="D592" s="130">
        <v>14.55</v>
      </c>
      <c r="E592" s="130">
        <v>13.8</v>
      </c>
      <c r="F592" s="130">
        <v>14.19</v>
      </c>
      <c r="G592" s="160">
        <v>1839000</v>
      </c>
      <c r="H592" s="160">
        <f t="shared" ref="H592:H655" si="9">F592*G592</f>
        <v>26095410</v>
      </c>
      <c r="I592" t="s">
        <v>8850</v>
      </c>
      <c r="J592">
        <v>2022</v>
      </c>
      <c r="K592">
        <v>10</v>
      </c>
      <c r="L592" t="s">
        <v>8933</v>
      </c>
      <c r="M592" t="s">
        <v>1552</v>
      </c>
      <c r="N592" t="s">
        <v>8934</v>
      </c>
    </row>
    <row r="593" spans="1:14" x14ac:dyDescent="0.3">
      <c r="A593">
        <v>2023</v>
      </c>
      <c r="B593" s="159">
        <v>44861</v>
      </c>
      <c r="C593" s="130">
        <v>14.33</v>
      </c>
      <c r="D593" s="130">
        <v>14.47</v>
      </c>
      <c r="E593" s="130">
        <v>14.1</v>
      </c>
      <c r="F593" s="130">
        <v>14.39</v>
      </c>
      <c r="G593" s="160">
        <v>1519000</v>
      </c>
      <c r="H593" s="160">
        <f t="shared" si="9"/>
        <v>21858410</v>
      </c>
      <c r="I593" t="s">
        <v>8850</v>
      </c>
      <c r="J593">
        <v>2022</v>
      </c>
      <c r="K593">
        <v>10</v>
      </c>
      <c r="L593" t="s">
        <v>8933</v>
      </c>
      <c r="M593" t="s">
        <v>1552</v>
      </c>
      <c r="N593" t="s">
        <v>8934</v>
      </c>
    </row>
    <row r="594" spans="1:14" x14ac:dyDescent="0.3">
      <c r="A594">
        <v>2023</v>
      </c>
      <c r="B594" s="159">
        <v>44862</v>
      </c>
      <c r="C594" s="130">
        <v>14.2</v>
      </c>
      <c r="D594" s="130">
        <v>14.39</v>
      </c>
      <c r="E594" s="130">
        <v>14.05</v>
      </c>
      <c r="F594" s="130">
        <v>14.26</v>
      </c>
      <c r="G594" s="160">
        <v>1786500</v>
      </c>
      <c r="H594" s="160">
        <f t="shared" si="9"/>
        <v>25475490</v>
      </c>
      <c r="I594" t="s">
        <v>8850</v>
      </c>
      <c r="J594">
        <v>2022</v>
      </c>
      <c r="K594">
        <v>10</v>
      </c>
      <c r="L594" t="s">
        <v>8933</v>
      </c>
      <c r="M594" t="s">
        <v>1552</v>
      </c>
      <c r="N594" t="s">
        <v>8934</v>
      </c>
    </row>
    <row r="595" spans="1:14" x14ac:dyDescent="0.3">
      <c r="A595">
        <v>2023</v>
      </c>
      <c r="B595" s="159">
        <v>44865</v>
      </c>
      <c r="C595" s="130">
        <v>14.35</v>
      </c>
      <c r="D595" s="130">
        <v>14.4</v>
      </c>
      <c r="E595" s="130">
        <v>14</v>
      </c>
      <c r="F595" s="130">
        <v>14.12</v>
      </c>
      <c r="G595" s="160">
        <v>1571500</v>
      </c>
      <c r="H595" s="160">
        <f t="shared" si="9"/>
        <v>22189580</v>
      </c>
      <c r="I595" t="s">
        <v>8850</v>
      </c>
      <c r="J595">
        <v>2022</v>
      </c>
      <c r="K595">
        <v>10</v>
      </c>
      <c r="L595" t="s">
        <v>8933</v>
      </c>
      <c r="M595" t="s">
        <v>1552</v>
      </c>
      <c r="N595" t="s">
        <v>8934</v>
      </c>
    </row>
    <row r="596" spans="1:14" x14ac:dyDescent="0.3">
      <c r="A596">
        <v>2023</v>
      </c>
      <c r="B596" s="159">
        <v>44866</v>
      </c>
      <c r="C596" s="130">
        <v>14.35</v>
      </c>
      <c r="D596" s="130">
        <v>14.6</v>
      </c>
      <c r="E596" s="130">
        <v>14.26</v>
      </c>
      <c r="F596" s="130">
        <v>14.52</v>
      </c>
      <c r="G596" s="160">
        <v>4188500</v>
      </c>
      <c r="H596" s="160">
        <f t="shared" si="9"/>
        <v>60817020</v>
      </c>
      <c r="I596" t="s">
        <v>8851</v>
      </c>
      <c r="J596">
        <v>2022</v>
      </c>
      <c r="K596">
        <v>11</v>
      </c>
      <c r="L596" t="s">
        <v>8935</v>
      </c>
      <c r="M596" t="s">
        <v>1552</v>
      </c>
      <c r="N596" t="s">
        <v>8936</v>
      </c>
    </row>
    <row r="597" spans="1:14" x14ac:dyDescent="0.3">
      <c r="A597">
        <v>2023</v>
      </c>
      <c r="B597" s="159">
        <v>44867</v>
      </c>
      <c r="C597" s="130">
        <v>14.6</v>
      </c>
      <c r="D597" s="130">
        <v>14.6</v>
      </c>
      <c r="E597" s="130">
        <v>14.3</v>
      </c>
      <c r="F597" s="130">
        <v>14.4</v>
      </c>
      <c r="G597" s="160">
        <v>1181500</v>
      </c>
      <c r="H597" s="160">
        <f t="shared" si="9"/>
        <v>17013600</v>
      </c>
      <c r="I597" t="s">
        <v>8851</v>
      </c>
      <c r="J597">
        <v>2022</v>
      </c>
      <c r="K597">
        <v>11</v>
      </c>
      <c r="L597" t="s">
        <v>8935</v>
      </c>
      <c r="M597" t="s">
        <v>1552</v>
      </c>
      <c r="N597" t="s">
        <v>8936</v>
      </c>
    </row>
    <row r="598" spans="1:14" x14ac:dyDescent="0.3">
      <c r="A598">
        <v>2023</v>
      </c>
      <c r="B598" s="159">
        <v>44868</v>
      </c>
      <c r="C598" s="130">
        <v>14.5</v>
      </c>
      <c r="D598" s="130">
        <v>14.65</v>
      </c>
      <c r="E598" s="130">
        <v>14.31</v>
      </c>
      <c r="F598" s="130">
        <v>14.53</v>
      </c>
      <c r="G598" s="160">
        <v>1160500</v>
      </c>
      <c r="H598" s="160">
        <f t="shared" si="9"/>
        <v>16862065</v>
      </c>
      <c r="I598" t="s">
        <v>8851</v>
      </c>
      <c r="J598">
        <v>2022</v>
      </c>
      <c r="K598">
        <v>11</v>
      </c>
      <c r="L598" t="s">
        <v>8935</v>
      </c>
      <c r="M598" t="s">
        <v>1552</v>
      </c>
      <c r="N598" t="s">
        <v>8936</v>
      </c>
    </row>
    <row r="599" spans="1:14" x14ac:dyDescent="0.3">
      <c r="A599">
        <v>2023</v>
      </c>
      <c r="B599" s="159">
        <v>44869</v>
      </c>
      <c r="C599" s="130">
        <v>14.22</v>
      </c>
      <c r="D599" s="130">
        <v>14.53</v>
      </c>
      <c r="E599" s="130">
        <v>14.2</v>
      </c>
      <c r="F599" s="130">
        <v>14.26</v>
      </c>
      <c r="G599" s="160">
        <v>913000</v>
      </c>
      <c r="H599" s="160">
        <f t="shared" si="9"/>
        <v>13019380</v>
      </c>
      <c r="I599" t="s">
        <v>8851</v>
      </c>
      <c r="J599">
        <v>2022</v>
      </c>
      <c r="K599">
        <v>11</v>
      </c>
      <c r="L599" t="s">
        <v>8935</v>
      </c>
      <c r="M599" t="s">
        <v>1552</v>
      </c>
      <c r="N599" t="s">
        <v>8936</v>
      </c>
    </row>
    <row r="600" spans="1:14" x14ac:dyDescent="0.3">
      <c r="A600">
        <v>2023</v>
      </c>
      <c r="B600" s="159">
        <v>44872</v>
      </c>
      <c r="C600" s="130">
        <v>14.3</v>
      </c>
      <c r="D600" s="130">
        <v>14.5</v>
      </c>
      <c r="E600" s="130">
        <v>14.3</v>
      </c>
      <c r="F600" s="130">
        <v>14.43</v>
      </c>
      <c r="G600" s="160">
        <v>2131000</v>
      </c>
      <c r="H600" s="160">
        <f t="shared" si="9"/>
        <v>30750330</v>
      </c>
      <c r="I600" t="s">
        <v>8851</v>
      </c>
      <c r="J600">
        <v>2022</v>
      </c>
      <c r="K600">
        <v>11</v>
      </c>
      <c r="L600" t="s">
        <v>8935</v>
      </c>
      <c r="M600" t="s">
        <v>1552</v>
      </c>
      <c r="N600" t="s">
        <v>8936</v>
      </c>
    </row>
    <row r="601" spans="1:14" x14ac:dyDescent="0.3">
      <c r="A601">
        <v>2023</v>
      </c>
      <c r="B601" s="159">
        <v>44873</v>
      </c>
      <c r="C601" s="130">
        <v>14.5</v>
      </c>
      <c r="D601" s="130">
        <v>14.84</v>
      </c>
      <c r="E601" s="130">
        <v>14.5</v>
      </c>
      <c r="F601" s="130">
        <v>14.76</v>
      </c>
      <c r="G601" s="160">
        <v>4697000</v>
      </c>
      <c r="H601" s="160">
        <f t="shared" si="9"/>
        <v>69327720</v>
      </c>
      <c r="I601" t="s">
        <v>8851</v>
      </c>
      <c r="J601">
        <v>2022</v>
      </c>
      <c r="K601">
        <v>11</v>
      </c>
      <c r="L601" t="s">
        <v>8935</v>
      </c>
      <c r="M601" t="s">
        <v>1552</v>
      </c>
      <c r="N601" t="s">
        <v>8936</v>
      </c>
    </row>
    <row r="602" spans="1:14" x14ac:dyDescent="0.3">
      <c r="A602">
        <v>2023</v>
      </c>
      <c r="B602" s="159">
        <v>44875</v>
      </c>
      <c r="C602" s="130">
        <v>14.84</v>
      </c>
      <c r="D602" s="130">
        <v>14.96</v>
      </c>
      <c r="E602" s="130">
        <v>14.72</v>
      </c>
      <c r="F602" s="130">
        <v>14.78</v>
      </c>
      <c r="G602" s="160">
        <v>2853000</v>
      </c>
      <c r="H602" s="160">
        <f t="shared" si="9"/>
        <v>42167340</v>
      </c>
      <c r="I602" t="s">
        <v>8851</v>
      </c>
      <c r="J602">
        <v>2022</v>
      </c>
      <c r="K602">
        <v>11</v>
      </c>
      <c r="L602" t="s">
        <v>8935</v>
      </c>
      <c r="M602" t="s">
        <v>1552</v>
      </c>
      <c r="N602" t="s">
        <v>8936</v>
      </c>
    </row>
    <row r="603" spans="1:14" x14ac:dyDescent="0.3">
      <c r="A603">
        <v>2023</v>
      </c>
      <c r="B603" s="159">
        <v>44876</v>
      </c>
      <c r="C603" s="130">
        <v>14.81</v>
      </c>
      <c r="D603" s="130">
        <v>14.89</v>
      </c>
      <c r="E603" s="130">
        <v>14.61</v>
      </c>
      <c r="F603" s="130">
        <v>14.79</v>
      </c>
      <c r="G603" s="160">
        <v>1502500</v>
      </c>
      <c r="H603" s="160">
        <f t="shared" si="9"/>
        <v>22221975</v>
      </c>
      <c r="I603" t="s">
        <v>8851</v>
      </c>
      <c r="J603">
        <v>2022</v>
      </c>
      <c r="K603">
        <v>11</v>
      </c>
      <c r="L603" t="s">
        <v>8935</v>
      </c>
      <c r="M603" t="s">
        <v>1552</v>
      </c>
      <c r="N603" t="s">
        <v>8936</v>
      </c>
    </row>
    <row r="604" spans="1:14" x14ac:dyDescent="0.3">
      <c r="A604">
        <v>2023</v>
      </c>
      <c r="B604" s="159">
        <v>44879</v>
      </c>
      <c r="C604" s="130">
        <v>14.82</v>
      </c>
      <c r="D604" s="130">
        <v>14.82</v>
      </c>
      <c r="E604" s="130">
        <v>14.45</v>
      </c>
      <c r="F604" s="130">
        <v>14.51</v>
      </c>
      <c r="G604" s="160">
        <v>1899000</v>
      </c>
      <c r="H604" s="160">
        <f t="shared" si="9"/>
        <v>27554490</v>
      </c>
      <c r="I604" t="s">
        <v>8851</v>
      </c>
      <c r="J604">
        <v>2022</v>
      </c>
      <c r="K604">
        <v>11</v>
      </c>
      <c r="L604" t="s">
        <v>8935</v>
      </c>
      <c r="M604" t="s">
        <v>1552</v>
      </c>
      <c r="N604" t="s">
        <v>8936</v>
      </c>
    </row>
    <row r="605" spans="1:14" x14ac:dyDescent="0.3">
      <c r="A605">
        <v>2023</v>
      </c>
      <c r="B605" s="159">
        <v>44880</v>
      </c>
      <c r="C605" s="130">
        <v>14.5</v>
      </c>
      <c r="D605" s="130">
        <v>14.68</v>
      </c>
      <c r="E605" s="130">
        <v>14.41</v>
      </c>
      <c r="F605" s="130">
        <v>14.43</v>
      </c>
      <c r="G605" s="160">
        <v>1647000</v>
      </c>
      <c r="H605" s="160">
        <f t="shared" si="9"/>
        <v>23766210</v>
      </c>
      <c r="I605" t="s">
        <v>8851</v>
      </c>
      <c r="J605">
        <v>2022</v>
      </c>
      <c r="K605">
        <v>11</v>
      </c>
      <c r="L605" t="s">
        <v>8935</v>
      </c>
      <c r="M605" t="s">
        <v>1552</v>
      </c>
      <c r="N605" t="s">
        <v>8936</v>
      </c>
    </row>
    <row r="606" spans="1:14" x14ac:dyDescent="0.3">
      <c r="A606">
        <v>2023</v>
      </c>
      <c r="B606" s="159">
        <v>44881</v>
      </c>
      <c r="C606" s="130">
        <v>14.43</v>
      </c>
      <c r="D606" s="130">
        <v>14.47</v>
      </c>
      <c r="E606" s="130">
        <v>14.28</v>
      </c>
      <c r="F606" s="130">
        <v>14.31</v>
      </c>
      <c r="G606" s="160">
        <v>696500</v>
      </c>
      <c r="H606" s="160">
        <f t="shared" si="9"/>
        <v>9966915</v>
      </c>
      <c r="I606" t="s">
        <v>8851</v>
      </c>
      <c r="J606">
        <v>2022</v>
      </c>
      <c r="K606">
        <v>11</v>
      </c>
      <c r="L606" t="s">
        <v>8935</v>
      </c>
      <c r="M606" t="s">
        <v>1552</v>
      </c>
      <c r="N606" t="s">
        <v>8936</v>
      </c>
    </row>
    <row r="607" spans="1:14" x14ac:dyDescent="0.3">
      <c r="A607">
        <v>2023</v>
      </c>
      <c r="B607" s="159">
        <v>44882</v>
      </c>
      <c r="C607" s="130">
        <v>14.31</v>
      </c>
      <c r="D607" s="130">
        <v>14.59</v>
      </c>
      <c r="E607" s="130">
        <v>14.31</v>
      </c>
      <c r="F607" s="130">
        <v>14.51</v>
      </c>
      <c r="G607" s="160">
        <v>2573500</v>
      </c>
      <c r="H607" s="160">
        <f t="shared" si="9"/>
        <v>37341485</v>
      </c>
      <c r="I607" t="s">
        <v>8851</v>
      </c>
      <c r="J607">
        <v>2022</v>
      </c>
      <c r="K607">
        <v>11</v>
      </c>
      <c r="L607" t="s">
        <v>8935</v>
      </c>
      <c r="M607" t="s">
        <v>1552</v>
      </c>
      <c r="N607" t="s">
        <v>8936</v>
      </c>
    </row>
    <row r="608" spans="1:14" x14ac:dyDescent="0.3">
      <c r="A608">
        <v>2023</v>
      </c>
      <c r="B608" s="159">
        <v>44883</v>
      </c>
      <c r="C608" s="130">
        <v>14.45</v>
      </c>
      <c r="D608" s="130">
        <v>14.64</v>
      </c>
      <c r="E608" s="130">
        <v>14.38</v>
      </c>
      <c r="F608" s="130">
        <v>14.55</v>
      </c>
      <c r="G608" s="160">
        <v>6035500</v>
      </c>
      <c r="H608" s="160">
        <f t="shared" si="9"/>
        <v>87816525</v>
      </c>
      <c r="I608" t="s">
        <v>8851</v>
      </c>
      <c r="J608">
        <v>2022</v>
      </c>
      <c r="K608">
        <v>11</v>
      </c>
      <c r="L608" t="s">
        <v>8935</v>
      </c>
      <c r="M608" t="s">
        <v>1552</v>
      </c>
      <c r="N608" t="s">
        <v>8936</v>
      </c>
    </row>
    <row r="609" spans="1:14" x14ac:dyDescent="0.3">
      <c r="A609">
        <v>2023</v>
      </c>
      <c r="B609" s="159">
        <v>44886</v>
      </c>
      <c r="C609" s="130">
        <v>14.6</v>
      </c>
      <c r="D609" s="130">
        <v>14.6</v>
      </c>
      <c r="E609" s="130">
        <v>14.03</v>
      </c>
      <c r="F609" s="130">
        <v>14.08</v>
      </c>
      <c r="G609" s="160">
        <v>4704500</v>
      </c>
      <c r="H609" s="160">
        <f t="shared" si="9"/>
        <v>66239360</v>
      </c>
      <c r="I609" t="s">
        <v>8851</v>
      </c>
      <c r="J609">
        <v>2022</v>
      </c>
      <c r="K609">
        <v>11</v>
      </c>
      <c r="L609" t="s">
        <v>8935</v>
      </c>
      <c r="M609" t="s">
        <v>1552</v>
      </c>
      <c r="N609" t="s">
        <v>8936</v>
      </c>
    </row>
    <row r="610" spans="1:14" x14ac:dyDescent="0.3">
      <c r="A610">
        <v>2023</v>
      </c>
      <c r="B610" s="159">
        <v>44887</v>
      </c>
      <c r="C610" s="130">
        <v>14.12</v>
      </c>
      <c r="D610" s="130">
        <v>14.48</v>
      </c>
      <c r="E610" s="130">
        <v>14.08</v>
      </c>
      <c r="F610" s="130">
        <v>14.43</v>
      </c>
      <c r="G610" s="160">
        <v>1985000</v>
      </c>
      <c r="H610" s="160">
        <f t="shared" si="9"/>
        <v>28643550</v>
      </c>
      <c r="I610" t="s">
        <v>8851</v>
      </c>
      <c r="J610">
        <v>2022</v>
      </c>
      <c r="K610">
        <v>11</v>
      </c>
      <c r="L610" t="s">
        <v>8935</v>
      </c>
      <c r="M610" t="s">
        <v>1552</v>
      </c>
      <c r="N610" t="s">
        <v>8936</v>
      </c>
    </row>
    <row r="611" spans="1:14" x14ac:dyDescent="0.3">
      <c r="A611">
        <v>2023</v>
      </c>
      <c r="B611" s="159">
        <v>44888</v>
      </c>
      <c r="C611" s="130">
        <v>14.36</v>
      </c>
      <c r="D611" s="130">
        <v>14.5</v>
      </c>
      <c r="E611" s="130">
        <v>14.3</v>
      </c>
      <c r="F611" s="130">
        <v>14.41</v>
      </c>
      <c r="G611" s="160">
        <v>1122500</v>
      </c>
      <c r="H611" s="160">
        <f t="shared" si="9"/>
        <v>16175225</v>
      </c>
      <c r="I611" t="s">
        <v>8851</v>
      </c>
      <c r="J611">
        <v>2022</v>
      </c>
      <c r="K611">
        <v>11</v>
      </c>
      <c r="L611" t="s">
        <v>8935</v>
      </c>
      <c r="M611" t="s">
        <v>1552</v>
      </c>
      <c r="N611" t="s">
        <v>8936</v>
      </c>
    </row>
    <row r="612" spans="1:14" x14ac:dyDescent="0.3">
      <c r="A612">
        <v>2023</v>
      </c>
      <c r="B612" s="159">
        <v>44889</v>
      </c>
      <c r="C612" s="130">
        <v>14.3</v>
      </c>
      <c r="D612" s="130">
        <v>14.5</v>
      </c>
      <c r="E612" s="130">
        <v>14.27</v>
      </c>
      <c r="F612" s="130">
        <v>14.41</v>
      </c>
      <c r="G612" s="160">
        <v>945500</v>
      </c>
      <c r="H612" s="160">
        <f t="shared" si="9"/>
        <v>13624655</v>
      </c>
      <c r="I612" t="s">
        <v>8851</v>
      </c>
      <c r="J612">
        <v>2022</v>
      </c>
      <c r="K612">
        <v>11</v>
      </c>
      <c r="L612" t="s">
        <v>8935</v>
      </c>
      <c r="M612" t="s">
        <v>1552</v>
      </c>
      <c r="N612" t="s">
        <v>8936</v>
      </c>
    </row>
    <row r="613" spans="1:14" x14ac:dyDescent="0.3">
      <c r="A613">
        <v>2023</v>
      </c>
      <c r="B613" s="159">
        <v>44890</v>
      </c>
      <c r="C613" s="130">
        <v>14.5</v>
      </c>
      <c r="D613" s="130">
        <v>14.5</v>
      </c>
      <c r="E613" s="130">
        <v>14.23</v>
      </c>
      <c r="F613" s="130">
        <v>14.29</v>
      </c>
      <c r="G613" s="160">
        <v>711000</v>
      </c>
      <c r="H613" s="160">
        <f t="shared" si="9"/>
        <v>10160190</v>
      </c>
      <c r="I613" t="s">
        <v>8851</v>
      </c>
      <c r="J613">
        <v>2022</v>
      </c>
      <c r="K613">
        <v>11</v>
      </c>
      <c r="L613" t="s">
        <v>8935</v>
      </c>
      <c r="M613" t="s">
        <v>1552</v>
      </c>
      <c r="N613" t="s">
        <v>8936</v>
      </c>
    </row>
    <row r="614" spans="1:14" x14ac:dyDescent="0.3">
      <c r="A614">
        <v>2023</v>
      </c>
      <c r="B614" s="159">
        <v>44893</v>
      </c>
      <c r="C614" s="130">
        <v>14</v>
      </c>
      <c r="D614" s="130">
        <v>14.05</v>
      </c>
      <c r="E614" s="130">
        <v>13.45</v>
      </c>
      <c r="F614" s="130">
        <v>13.59</v>
      </c>
      <c r="G614" s="160">
        <v>3292000</v>
      </c>
      <c r="H614" s="160">
        <f t="shared" si="9"/>
        <v>44738280</v>
      </c>
      <c r="I614" t="s">
        <v>8851</v>
      </c>
      <c r="J614">
        <v>2022</v>
      </c>
      <c r="K614">
        <v>11</v>
      </c>
      <c r="L614" t="s">
        <v>8935</v>
      </c>
      <c r="M614" t="s">
        <v>1552</v>
      </c>
      <c r="N614" t="s">
        <v>8936</v>
      </c>
    </row>
    <row r="615" spans="1:14" x14ac:dyDescent="0.3">
      <c r="A615">
        <v>2023</v>
      </c>
      <c r="B615" s="159">
        <v>44894</v>
      </c>
      <c r="C615" s="130">
        <v>13.75</v>
      </c>
      <c r="D615" s="130">
        <v>13.75</v>
      </c>
      <c r="E615" s="130">
        <v>13.4</v>
      </c>
      <c r="F615" s="130">
        <v>13.51</v>
      </c>
      <c r="G615" s="160">
        <v>1053500</v>
      </c>
      <c r="H615" s="160">
        <f t="shared" si="9"/>
        <v>14232785</v>
      </c>
      <c r="I615" t="s">
        <v>8851</v>
      </c>
      <c r="J615">
        <v>2022</v>
      </c>
      <c r="K615">
        <v>11</v>
      </c>
      <c r="L615" t="s">
        <v>8935</v>
      </c>
      <c r="M615" t="s">
        <v>1552</v>
      </c>
      <c r="N615" t="s">
        <v>8936</v>
      </c>
    </row>
    <row r="616" spans="1:14" x14ac:dyDescent="0.3">
      <c r="A616">
        <v>2023</v>
      </c>
      <c r="B616" s="159">
        <v>44895</v>
      </c>
      <c r="C616" s="130">
        <v>13.6</v>
      </c>
      <c r="D616" s="130">
        <v>13.65</v>
      </c>
      <c r="E616" s="130">
        <v>13.35</v>
      </c>
      <c r="F616" s="130">
        <v>13.45</v>
      </c>
      <c r="G616" s="160">
        <v>849500</v>
      </c>
      <c r="H616" s="160">
        <f t="shared" si="9"/>
        <v>11425775</v>
      </c>
      <c r="I616" t="s">
        <v>8851</v>
      </c>
      <c r="J616">
        <v>2022</v>
      </c>
      <c r="K616">
        <v>11</v>
      </c>
      <c r="L616" t="s">
        <v>8935</v>
      </c>
      <c r="M616" t="s">
        <v>1552</v>
      </c>
      <c r="N616" t="s">
        <v>8936</v>
      </c>
    </row>
    <row r="617" spans="1:14" x14ac:dyDescent="0.3">
      <c r="A617">
        <v>2023</v>
      </c>
      <c r="B617" s="159">
        <v>44896</v>
      </c>
      <c r="C617" s="130">
        <v>13.58</v>
      </c>
      <c r="D617" s="130">
        <v>13.58</v>
      </c>
      <c r="E617" s="130">
        <v>13.3</v>
      </c>
      <c r="F617" s="130">
        <v>13.35</v>
      </c>
      <c r="G617" s="160">
        <v>606000</v>
      </c>
      <c r="H617" s="160">
        <f t="shared" si="9"/>
        <v>8090100</v>
      </c>
      <c r="I617" t="s">
        <v>8852</v>
      </c>
      <c r="J617">
        <v>2022</v>
      </c>
      <c r="K617">
        <v>12</v>
      </c>
      <c r="L617" t="s">
        <v>8937</v>
      </c>
      <c r="M617" t="s">
        <v>1552</v>
      </c>
      <c r="N617" t="s">
        <v>8938</v>
      </c>
    </row>
    <row r="618" spans="1:14" x14ac:dyDescent="0.3">
      <c r="A618">
        <v>2023</v>
      </c>
      <c r="B618" s="159">
        <v>44897</v>
      </c>
      <c r="C618" s="130">
        <v>13.31</v>
      </c>
      <c r="D618" s="130">
        <v>13.4</v>
      </c>
      <c r="E618" s="130">
        <v>13.05</v>
      </c>
      <c r="F618" s="130">
        <v>13.16</v>
      </c>
      <c r="G618" s="160">
        <v>1852000</v>
      </c>
      <c r="H618" s="160">
        <f t="shared" si="9"/>
        <v>24372320</v>
      </c>
      <c r="I618" t="s">
        <v>8852</v>
      </c>
      <c r="J618">
        <v>2022</v>
      </c>
      <c r="K618">
        <v>12</v>
      </c>
      <c r="L618" t="s">
        <v>8937</v>
      </c>
      <c r="M618" t="s">
        <v>1552</v>
      </c>
      <c r="N618" t="s">
        <v>8938</v>
      </c>
    </row>
    <row r="619" spans="1:14" x14ac:dyDescent="0.3">
      <c r="A619">
        <v>2023</v>
      </c>
      <c r="B619" s="159">
        <v>44900</v>
      </c>
      <c r="C619" s="130">
        <v>13.15</v>
      </c>
      <c r="D619" s="130">
        <v>13.3</v>
      </c>
      <c r="E619" s="130">
        <v>12.2</v>
      </c>
      <c r="F619" s="130">
        <v>12.51</v>
      </c>
      <c r="G619" s="160">
        <v>9477500</v>
      </c>
      <c r="H619" s="160">
        <f t="shared" si="9"/>
        <v>118563525</v>
      </c>
      <c r="I619" t="s">
        <v>8852</v>
      </c>
      <c r="J619">
        <v>2022</v>
      </c>
      <c r="K619">
        <v>12</v>
      </c>
      <c r="L619" t="s">
        <v>8937</v>
      </c>
      <c r="M619" t="s">
        <v>1552</v>
      </c>
      <c r="N619" t="s">
        <v>8938</v>
      </c>
    </row>
    <row r="620" spans="1:14" x14ac:dyDescent="0.3">
      <c r="A620">
        <v>2023</v>
      </c>
      <c r="B620" s="159">
        <v>44901</v>
      </c>
      <c r="C620" s="130">
        <v>12.45</v>
      </c>
      <c r="D620" s="130">
        <v>12.74</v>
      </c>
      <c r="E620" s="130">
        <v>12.45</v>
      </c>
      <c r="F620" s="130">
        <v>12.69</v>
      </c>
      <c r="G620" s="160">
        <v>1016000</v>
      </c>
      <c r="H620" s="160">
        <f t="shared" si="9"/>
        <v>12893040</v>
      </c>
      <c r="I620" t="s">
        <v>8852</v>
      </c>
      <c r="J620">
        <v>2022</v>
      </c>
      <c r="K620">
        <v>12</v>
      </c>
      <c r="L620" t="s">
        <v>8937</v>
      </c>
      <c r="M620" t="s">
        <v>1552</v>
      </c>
      <c r="N620" t="s">
        <v>8938</v>
      </c>
    </row>
    <row r="621" spans="1:14" x14ac:dyDescent="0.3">
      <c r="A621">
        <v>2023</v>
      </c>
      <c r="B621" s="159">
        <v>44902</v>
      </c>
      <c r="C621" s="130">
        <v>12.71</v>
      </c>
      <c r="D621" s="130">
        <v>12.85</v>
      </c>
      <c r="E621" s="130">
        <v>12.71</v>
      </c>
      <c r="F621" s="130">
        <v>12.8</v>
      </c>
      <c r="G621" s="160">
        <v>712000</v>
      </c>
      <c r="H621" s="160">
        <f t="shared" si="9"/>
        <v>9113600</v>
      </c>
      <c r="I621" t="s">
        <v>8852</v>
      </c>
      <c r="J621">
        <v>2022</v>
      </c>
      <c r="K621">
        <v>12</v>
      </c>
      <c r="L621" t="s">
        <v>8937</v>
      </c>
      <c r="M621" t="s">
        <v>1552</v>
      </c>
      <c r="N621" t="s">
        <v>8938</v>
      </c>
    </row>
    <row r="622" spans="1:14" x14ac:dyDescent="0.3">
      <c r="A622">
        <v>2023</v>
      </c>
      <c r="B622" s="159">
        <v>44903</v>
      </c>
      <c r="C622" s="130">
        <v>12.75</v>
      </c>
      <c r="D622" s="130">
        <v>12.8</v>
      </c>
      <c r="E622" s="130">
        <v>12.51</v>
      </c>
      <c r="F622" s="130">
        <v>12.68</v>
      </c>
      <c r="G622" s="160">
        <v>451500</v>
      </c>
      <c r="H622" s="160">
        <f t="shared" si="9"/>
        <v>5725020</v>
      </c>
      <c r="I622" t="s">
        <v>8852</v>
      </c>
      <c r="J622">
        <v>2022</v>
      </c>
      <c r="K622">
        <v>12</v>
      </c>
      <c r="L622" t="s">
        <v>8937</v>
      </c>
      <c r="M622" t="s">
        <v>1552</v>
      </c>
      <c r="N622" t="s">
        <v>8938</v>
      </c>
    </row>
    <row r="623" spans="1:14" x14ac:dyDescent="0.3">
      <c r="A623">
        <v>2023</v>
      </c>
      <c r="B623" s="159">
        <v>44904</v>
      </c>
      <c r="C623" s="130">
        <v>12.68</v>
      </c>
      <c r="D623" s="130">
        <v>12.7</v>
      </c>
      <c r="E623" s="130">
        <v>12.35</v>
      </c>
      <c r="F623" s="130">
        <v>12.4</v>
      </c>
      <c r="G623" s="160">
        <v>917000</v>
      </c>
      <c r="H623" s="160">
        <f t="shared" si="9"/>
        <v>11370800</v>
      </c>
      <c r="I623" t="s">
        <v>8852</v>
      </c>
      <c r="J623">
        <v>2022</v>
      </c>
      <c r="K623">
        <v>12</v>
      </c>
      <c r="L623" t="s">
        <v>8937</v>
      </c>
      <c r="M623" t="s">
        <v>1552</v>
      </c>
      <c r="N623" t="s">
        <v>8938</v>
      </c>
    </row>
    <row r="624" spans="1:14" x14ac:dyDescent="0.3">
      <c r="A624">
        <v>2023</v>
      </c>
      <c r="B624" s="159">
        <v>44907</v>
      </c>
      <c r="C624" s="130">
        <v>12.31</v>
      </c>
      <c r="D624" s="130">
        <v>12.49</v>
      </c>
      <c r="E624" s="130">
        <v>12.3</v>
      </c>
      <c r="F624" s="130">
        <v>12.44</v>
      </c>
      <c r="G624" s="160">
        <v>277000</v>
      </c>
      <c r="H624" s="160">
        <f t="shared" si="9"/>
        <v>3445880</v>
      </c>
      <c r="I624" t="s">
        <v>8852</v>
      </c>
      <c r="J624">
        <v>2022</v>
      </c>
      <c r="K624">
        <v>12</v>
      </c>
      <c r="L624" t="s">
        <v>8937</v>
      </c>
      <c r="M624" t="s">
        <v>1552</v>
      </c>
      <c r="N624" t="s">
        <v>8938</v>
      </c>
    </row>
    <row r="625" spans="1:14" x14ac:dyDescent="0.3">
      <c r="A625">
        <v>2023</v>
      </c>
      <c r="B625" s="159">
        <v>44908</v>
      </c>
      <c r="C625" s="130">
        <v>12.5</v>
      </c>
      <c r="D625" s="130">
        <v>12.5</v>
      </c>
      <c r="E625" s="130">
        <v>11.99</v>
      </c>
      <c r="F625" s="130">
        <v>12.13</v>
      </c>
      <c r="G625" s="160">
        <v>5073000</v>
      </c>
      <c r="H625" s="160">
        <f t="shared" si="9"/>
        <v>61535490.000000007</v>
      </c>
      <c r="I625" t="s">
        <v>8852</v>
      </c>
      <c r="J625">
        <v>2022</v>
      </c>
      <c r="K625">
        <v>12</v>
      </c>
      <c r="L625" t="s">
        <v>8937</v>
      </c>
      <c r="M625" t="s">
        <v>1552</v>
      </c>
      <c r="N625" t="s">
        <v>8938</v>
      </c>
    </row>
    <row r="626" spans="1:14" x14ac:dyDescent="0.3">
      <c r="A626">
        <v>2023</v>
      </c>
      <c r="B626" s="159">
        <v>44909</v>
      </c>
      <c r="C626" s="130">
        <v>12.05</v>
      </c>
      <c r="D626" s="130">
        <v>12.2</v>
      </c>
      <c r="E626" s="130">
        <v>11.97</v>
      </c>
      <c r="F626" s="130">
        <v>11.99</v>
      </c>
      <c r="G626" s="160">
        <v>5810000</v>
      </c>
      <c r="H626" s="160">
        <f t="shared" si="9"/>
        <v>69661900</v>
      </c>
      <c r="I626" t="s">
        <v>8852</v>
      </c>
      <c r="J626">
        <v>2022</v>
      </c>
      <c r="K626">
        <v>12</v>
      </c>
      <c r="L626" t="s">
        <v>8937</v>
      </c>
      <c r="M626" t="s">
        <v>1552</v>
      </c>
      <c r="N626" t="s">
        <v>8938</v>
      </c>
    </row>
    <row r="627" spans="1:14" x14ac:dyDescent="0.3">
      <c r="A627">
        <v>2023</v>
      </c>
      <c r="B627" s="159">
        <v>44910</v>
      </c>
      <c r="C627" s="130">
        <v>12.1</v>
      </c>
      <c r="D627" s="130">
        <v>12.14</v>
      </c>
      <c r="E627" s="130">
        <v>11.85</v>
      </c>
      <c r="F627" s="130">
        <v>11.88</v>
      </c>
      <c r="G627" s="160">
        <v>7097000</v>
      </c>
      <c r="H627" s="160">
        <f t="shared" si="9"/>
        <v>84312360</v>
      </c>
      <c r="I627" t="s">
        <v>8852</v>
      </c>
      <c r="J627">
        <v>2022</v>
      </c>
      <c r="K627">
        <v>12</v>
      </c>
      <c r="L627" t="s">
        <v>8937</v>
      </c>
      <c r="M627" t="s">
        <v>1552</v>
      </c>
      <c r="N627" t="s">
        <v>8938</v>
      </c>
    </row>
    <row r="628" spans="1:14" x14ac:dyDescent="0.3">
      <c r="A628">
        <v>2023</v>
      </c>
      <c r="B628" s="159">
        <v>44911</v>
      </c>
      <c r="C628" s="130">
        <v>11.99</v>
      </c>
      <c r="D628" s="130">
        <v>12</v>
      </c>
      <c r="E628" s="130">
        <v>11.89</v>
      </c>
      <c r="F628" s="130">
        <v>11.9</v>
      </c>
      <c r="G628" s="160">
        <v>2001500</v>
      </c>
      <c r="H628" s="160">
        <f t="shared" si="9"/>
        <v>23817850</v>
      </c>
      <c r="I628" t="s">
        <v>8852</v>
      </c>
      <c r="J628">
        <v>2022</v>
      </c>
      <c r="K628">
        <v>12</v>
      </c>
      <c r="L628" t="s">
        <v>8937</v>
      </c>
      <c r="M628" t="s">
        <v>1552</v>
      </c>
      <c r="N628" t="s">
        <v>8938</v>
      </c>
    </row>
    <row r="629" spans="1:14" x14ac:dyDescent="0.3">
      <c r="A629">
        <v>2023</v>
      </c>
      <c r="B629" s="159">
        <v>44914</v>
      </c>
      <c r="C629" s="130">
        <v>11.91</v>
      </c>
      <c r="D629" s="130">
        <v>11.95</v>
      </c>
      <c r="E629" s="130">
        <v>11.5</v>
      </c>
      <c r="F629" s="130">
        <v>11.9</v>
      </c>
      <c r="G629" s="160">
        <v>2133500</v>
      </c>
      <c r="H629" s="160">
        <f t="shared" si="9"/>
        <v>25388650</v>
      </c>
      <c r="I629" t="s">
        <v>8852</v>
      </c>
      <c r="J629">
        <v>2022</v>
      </c>
      <c r="K629">
        <v>12</v>
      </c>
      <c r="L629" t="s">
        <v>8937</v>
      </c>
      <c r="M629" t="s">
        <v>1552</v>
      </c>
      <c r="N629" t="s">
        <v>8938</v>
      </c>
    </row>
    <row r="630" spans="1:14" x14ac:dyDescent="0.3">
      <c r="A630">
        <v>2023</v>
      </c>
      <c r="B630" s="159">
        <v>44915</v>
      </c>
      <c r="C630" s="130">
        <v>11.82</v>
      </c>
      <c r="D630" s="130">
        <v>12.45</v>
      </c>
      <c r="E630" s="130">
        <v>11.3</v>
      </c>
      <c r="F630" s="130">
        <v>11.92</v>
      </c>
      <c r="G630" s="160">
        <v>2042500</v>
      </c>
      <c r="H630" s="160">
        <f t="shared" si="9"/>
        <v>24346600</v>
      </c>
      <c r="I630" t="s">
        <v>8852</v>
      </c>
      <c r="J630">
        <v>2022</v>
      </c>
      <c r="K630">
        <v>12</v>
      </c>
      <c r="L630" t="s">
        <v>8937</v>
      </c>
      <c r="M630" t="s">
        <v>1552</v>
      </c>
      <c r="N630" t="s">
        <v>8938</v>
      </c>
    </row>
    <row r="631" spans="1:14" x14ac:dyDescent="0.3">
      <c r="A631">
        <v>2023</v>
      </c>
      <c r="B631" s="159">
        <v>44916</v>
      </c>
      <c r="C631" s="130">
        <v>11.95</v>
      </c>
      <c r="D631" s="130">
        <v>12</v>
      </c>
      <c r="E631" s="130">
        <v>11.41</v>
      </c>
      <c r="F631" s="130">
        <v>11.5</v>
      </c>
      <c r="G631" s="160">
        <v>877500</v>
      </c>
      <c r="H631" s="160">
        <f t="shared" si="9"/>
        <v>10091250</v>
      </c>
      <c r="I631" t="s">
        <v>8852</v>
      </c>
      <c r="J631">
        <v>2022</v>
      </c>
      <c r="K631">
        <v>12</v>
      </c>
      <c r="L631" t="s">
        <v>8937</v>
      </c>
      <c r="M631" t="s">
        <v>1552</v>
      </c>
      <c r="N631" t="s">
        <v>8938</v>
      </c>
    </row>
    <row r="632" spans="1:14" x14ac:dyDescent="0.3">
      <c r="A632">
        <v>2023</v>
      </c>
      <c r="B632" s="159">
        <v>44917</v>
      </c>
      <c r="C632" s="130">
        <v>11.5</v>
      </c>
      <c r="D632" s="130">
        <v>11.7</v>
      </c>
      <c r="E632" s="130">
        <v>11.35</v>
      </c>
      <c r="F632" s="130">
        <v>11.61</v>
      </c>
      <c r="G632" s="160">
        <v>983000</v>
      </c>
      <c r="H632" s="160">
        <f t="shared" si="9"/>
        <v>11412630</v>
      </c>
      <c r="I632" t="s">
        <v>8852</v>
      </c>
      <c r="J632">
        <v>2022</v>
      </c>
      <c r="K632">
        <v>12</v>
      </c>
      <c r="L632" t="s">
        <v>8937</v>
      </c>
      <c r="M632" t="s">
        <v>1552</v>
      </c>
      <c r="N632" t="s">
        <v>8938</v>
      </c>
    </row>
    <row r="633" spans="1:14" x14ac:dyDescent="0.3">
      <c r="A633">
        <v>2023</v>
      </c>
      <c r="B633" s="159">
        <v>44918</v>
      </c>
      <c r="C633" s="130">
        <v>11.61</v>
      </c>
      <c r="D633" s="130">
        <v>11.61</v>
      </c>
      <c r="E633" s="130">
        <v>11.18</v>
      </c>
      <c r="F633" s="130">
        <v>11.45</v>
      </c>
      <c r="G633" s="160">
        <v>677500</v>
      </c>
      <c r="H633" s="160">
        <f t="shared" si="9"/>
        <v>7757374.9999999991</v>
      </c>
      <c r="I633" t="s">
        <v>8852</v>
      </c>
      <c r="J633">
        <v>2022</v>
      </c>
      <c r="K633">
        <v>12</v>
      </c>
      <c r="L633" t="s">
        <v>8937</v>
      </c>
      <c r="M633" t="s">
        <v>1552</v>
      </c>
      <c r="N633" t="s">
        <v>8938</v>
      </c>
    </row>
    <row r="634" spans="1:14" x14ac:dyDescent="0.3">
      <c r="A634">
        <v>2023</v>
      </c>
      <c r="B634" s="159">
        <v>44921</v>
      </c>
      <c r="C634" s="130">
        <v>11.55</v>
      </c>
      <c r="D634" s="130">
        <v>11.7</v>
      </c>
      <c r="E634" s="130">
        <v>11.4</v>
      </c>
      <c r="F634" s="130">
        <v>11.57</v>
      </c>
      <c r="G634" s="160">
        <v>3262500</v>
      </c>
      <c r="H634" s="160">
        <f t="shared" si="9"/>
        <v>37747125</v>
      </c>
      <c r="I634" t="s">
        <v>8852</v>
      </c>
      <c r="J634">
        <v>2022</v>
      </c>
      <c r="K634">
        <v>12</v>
      </c>
      <c r="L634" t="s">
        <v>8937</v>
      </c>
      <c r="M634" t="s">
        <v>1552</v>
      </c>
      <c r="N634" t="s">
        <v>8938</v>
      </c>
    </row>
    <row r="635" spans="1:14" x14ac:dyDescent="0.3">
      <c r="A635">
        <v>2023</v>
      </c>
      <c r="B635" s="159">
        <v>44922</v>
      </c>
      <c r="C635" s="130">
        <v>11.52</v>
      </c>
      <c r="D635" s="130">
        <v>11.74</v>
      </c>
      <c r="E635" s="130">
        <v>11.36</v>
      </c>
      <c r="F635" s="130">
        <v>11.5</v>
      </c>
      <c r="G635" s="160">
        <v>3648500</v>
      </c>
      <c r="H635" s="160">
        <f t="shared" si="9"/>
        <v>41957750</v>
      </c>
      <c r="I635" t="s">
        <v>8852</v>
      </c>
      <c r="J635">
        <v>2022</v>
      </c>
      <c r="K635">
        <v>12</v>
      </c>
      <c r="L635" t="s">
        <v>8937</v>
      </c>
      <c r="M635" t="s">
        <v>1552</v>
      </c>
      <c r="N635" t="s">
        <v>8938</v>
      </c>
    </row>
    <row r="636" spans="1:14" x14ac:dyDescent="0.3">
      <c r="A636">
        <v>2023</v>
      </c>
      <c r="B636" s="159">
        <v>44923</v>
      </c>
      <c r="C636" s="130">
        <v>11.45</v>
      </c>
      <c r="D636" s="130">
        <v>11.5</v>
      </c>
      <c r="E636" s="130">
        <v>11.25</v>
      </c>
      <c r="F636" s="130">
        <v>11.34</v>
      </c>
      <c r="G636" s="160">
        <v>1774000</v>
      </c>
      <c r="H636" s="160">
        <f t="shared" si="9"/>
        <v>20117160</v>
      </c>
      <c r="I636" t="s">
        <v>8852</v>
      </c>
      <c r="J636">
        <v>2022</v>
      </c>
      <c r="K636">
        <v>12</v>
      </c>
      <c r="L636" t="s">
        <v>8937</v>
      </c>
      <c r="M636" t="s">
        <v>1552</v>
      </c>
      <c r="N636" t="s">
        <v>8938</v>
      </c>
    </row>
    <row r="637" spans="1:14" x14ac:dyDescent="0.3">
      <c r="A637">
        <v>2023</v>
      </c>
      <c r="B637" s="159">
        <v>44924</v>
      </c>
      <c r="C637" s="130">
        <v>11.25</v>
      </c>
      <c r="D637" s="130">
        <v>11.9</v>
      </c>
      <c r="E637" s="130">
        <v>11.24</v>
      </c>
      <c r="F637" s="130">
        <v>11.73</v>
      </c>
      <c r="G637" s="160">
        <v>1518500</v>
      </c>
      <c r="H637" s="160">
        <f t="shared" si="9"/>
        <v>17812005</v>
      </c>
      <c r="I637" t="s">
        <v>8852</v>
      </c>
      <c r="J637">
        <v>2022</v>
      </c>
      <c r="K637">
        <v>12</v>
      </c>
      <c r="L637" t="s">
        <v>8937</v>
      </c>
      <c r="M637" t="s">
        <v>1552</v>
      </c>
      <c r="N637" t="s">
        <v>8938</v>
      </c>
    </row>
    <row r="638" spans="1:14" x14ac:dyDescent="0.3">
      <c r="A638">
        <v>2023</v>
      </c>
      <c r="B638" s="159">
        <v>44925</v>
      </c>
      <c r="C638" s="130">
        <v>11.7</v>
      </c>
      <c r="D638" s="130">
        <v>12.25</v>
      </c>
      <c r="E638" s="130">
        <v>11.6</v>
      </c>
      <c r="F638" s="130">
        <v>12.02</v>
      </c>
      <c r="G638" s="160">
        <v>3730500</v>
      </c>
      <c r="H638" s="160">
        <f t="shared" si="9"/>
        <v>44840610</v>
      </c>
      <c r="I638" t="s">
        <v>8852</v>
      </c>
      <c r="J638">
        <v>2022</v>
      </c>
      <c r="K638">
        <v>12</v>
      </c>
      <c r="L638" t="s">
        <v>8937</v>
      </c>
      <c r="M638" t="s">
        <v>1552</v>
      </c>
      <c r="N638" t="s">
        <v>8938</v>
      </c>
    </row>
    <row r="639" spans="1:14" x14ac:dyDescent="0.3">
      <c r="A639">
        <v>2023</v>
      </c>
      <c r="B639" s="159">
        <v>44928</v>
      </c>
      <c r="C639" s="130">
        <v>12</v>
      </c>
      <c r="D639" s="130">
        <v>12.09</v>
      </c>
      <c r="E639" s="130">
        <v>11.65</v>
      </c>
      <c r="F639" s="130">
        <v>11.75</v>
      </c>
      <c r="G639" s="160">
        <v>796000</v>
      </c>
      <c r="H639" s="160">
        <f t="shared" si="9"/>
        <v>9353000</v>
      </c>
      <c r="I639" t="s">
        <v>8853</v>
      </c>
      <c r="J639">
        <v>2023</v>
      </c>
      <c r="K639">
        <v>1</v>
      </c>
      <c r="L639" t="s">
        <v>8939</v>
      </c>
      <c r="M639" t="s">
        <v>1552</v>
      </c>
      <c r="N639" t="s">
        <v>8940</v>
      </c>
    </row>
    <row r="640" spans="1:14" x14ac:dyDescent="0.3">
      <c r="A640">
        <v>2023</v>
      </c>
      <c r="B640" s="159">
        <v>44929</v>
      </c>
      <c r="C640" s="130">
        <v>11.73</v>
      </c>
      <c r="D640" s="130">
        <v>11.8</v>
      </c>
      <c r="E640" s="130">
        <v>11.6</v>
      </c>
      <c r="F640" s="130">
        <v>11.63</v>
      </c>
      <c r="G640" s="160">
        <v>210500</v>
      </c>
      <c r="H640" s="160">
        <f t="shared" si="9"/>
        <v>2448115</v>
      </c>
      <c r="I640" t="s">
        <v>8853</v>
      </c>
      <c r="J640">
        <v>2023</v>
      </c>
      <c r="K640">
        <v>1</v>
      </c>
      <c r="L640" t="s">
        <v>8939</v>
      </c>
      <c r="M640" t="s">
        <v>1552</v>
      </c>
      <c r="N640" t="s">
        <v>8940</v>
      </c>
    </row>
    <row r="641" spans="1:14" x14ac:dyDescent="0.3">
      <c r="A641">
        <v>2023</v>
      </c>
      <c r="B641" s="159">
        <v>44930</v>
      </c>
      <c r="C641" s="130">
        <v>11.7</v>
      </c>
      <c r="D641" s="130">
        <v>11.74</v>
      </c>
      <c r="E641" s="130">
        <v>11.46</v>
      </c>
      <c r="F641" s="130">
        <v>11.48</v>
      </c>
      <c r="G641" s="160">
        <v>474500</v>
      </c>
      <c r="H641" s="160">
        <f t="shared" si="9"/>
        <v>5447260</v>
      </c>
      <c r="I641" t="s">
        <v>8853</v>
      </c>
      <c r="J641">
        <v>2023</v>
      </c>
      <c r="K641">
        <v>1</v>
      </c>
      <c r="L641" t="s">
        <v>8939</v>
      </c>
      <c r="M641" t="s">
        <v>1552</v>
      </c>
      <c r="N641" t="s">
        <v>8940</v>
      </c>
    </row>
    <row r="642" spans="1:14" x14ac:dyDescent="0.3">
      <c r="A642">
        <v>2023</v>
      </c>
      <c r="B642" s="159">
        <v>44931</v>
      </c>
      <c r="C642" s="130">
        <v>11.5</v>
      </c>
      <c r="D642" s="130">
        <v>11.5</v>
      </c>
      <c r="E642" s="130">
        <v>11.33</v>
      </c>
      <c r="F642" s="130">
        <v>11.41</v>
      </c>
      <c r="G642" s="160">
        <v>731500</v>
      </c>
      <c r="H642" s="160">
        <f t="shared" si="9"/>
        <v>8346415</v>
      </c>
      <c r="I642" t="s">
        <v>8853</v>
      </c>
      <c r="J642">
        <v>2023</v>
      </c>
      <c r="K642">
        <v>1</v>
      </c>
      <c r="L642" t="s">
        <v>8939</v>
      </c>
      <c r="M642" t="s">
        <v>1552</v>
      </c>
      <c r="N642" t="s">
        <v>8940</v>
      </c>
    </row>
    <row r="643" spans="1:14" x14ac:dyDescent="0.3">
      <c r="A643">
        <v>2023</v>
      </c>
      <c r="B643" s="159">
        <v>44932</v>
      </c>
      <c r="C643" s="130">
        <v>11.64</v>
      </c>
      <c r="D643" s="130">
        <v>11.64</v>
      </c>
      <c r="E643" s="130">
        <v>11.3</v>
      </c>
      <c r="F643" s="130">
        <v>11.37</v>
      </c>
      <c r="G643" s="160">
        <v>1297500</v>
      </c>
      <c r="H643" s="160">
        <f t="shared" si="9"/>
        <v>14752574.999999998</v>
      </c>
      <c r="I643" t="s">
        <v>8853</v>
      </c>
      <c r="J643">
        <v>2023</v>
      </c>
      <c r="K643">
        <v>1</v>
      </c>
      <c r="L643" t="s">
        <v>8939</v>
      </c>
      <c r="M643" t="s">
        <v>1552</v>
      </c>
      <c r="N643" t="s">
        <v>8940</v>
      </c>
    </row>
    <row r="644" spans="1:14" x14ac:dyDescent="0.3">
      <c r="A644">
        <v>2023</v>
      </c>
      <c r="B644" s="159">
        <v>44935</v>
      </c>
      <c r="C644" s="130">
        <v>11.4</v>
      </c>
      <c r="D644" s="130">
        <v>11.4</v>
      </c>
      <c r="E644" s="130">
        <v>10.96</v>
      </c>
      <c r="F644" s="130">
        <v>11.11</v>
      </c>
      <c r="G644" s="160">
        <v>2022500</v>
      </c>
      <c r="H644" s="160">
        <f t="shared" si="9"/>
        <v>22469975</v>
      </c>
      <c r="I644" t="s">
        <v>8853</v>
      </c>
      <c r="J644">
        <v>2023</v>
      </c>
      <c r="K644">
        <v>1</v>
      </c>
      <c r="L644" t="s">
        <v>8939</v>
      </c>
      <c r="M644" t="s">
        <v>1552</v>
      </c>
      <c r="N644" t="s">
        <v>8940</v>
      </c>
    </row>
    <row r="645" spans="1:14" x14ac:dyDescent="0.3">
      <c r="A645">
        <v>2023</v>
      </c>
      <c r="B645" s="159">
        <v>44936</v>
      </c>
      <c r="C645" s="130">
        <v>11.2</v>
      </c>
      <c r="D645" s="130">
        <v>11.69</v>
      </c>
      <c r="E645" s="130">
        <v>11.1</v>
      </c>
      <c r="F645" s="130">
        <v>11.4</v>
      </c>
      <c r="G645" s="160">
        <v>3537500</v>
      </c>
      <c r="H645" s="160">
        <f t="shared" si="9"/>
        <v>40327500</v>
      </c>
      <c r="I645" t="s">
        <v>8853</v>
      </c>
      <c r="J645">
        <v>2023</v>
      </c>
      <c r="K645">
        <v>1</v>
      </c>
      <c r="L645" t="s">
        <v>8939</v>
      </c>
      <c r="M645" t="s">
        <v>1552</v>
      </c>
      <c r="N645" t="s">
        <v>8940</v>
      </c>
    </row>
    <row r="646" spans="1:14" x14ac:dyDescent="0.3">
      <c r="A646">
        <v>2023</v>
      </c>
      <c r="B646" s="159">
        <v>44937</v>
      </c>
      <c r="C646" s="130">
        <v>11.46</v>
      </c>
      <c r="D646" s="130">
        <v>11.46</v>
      </c>
      <c r="E646" s="130">
        <v>11.2</v>
      </c>
      <c r="F646" s="130">
        <v>11.22</v>
      </c>
      <c r="G646" s="160">
        <v>435500</v>
      </c>
      <c r="H646" s="160">
        <f t="shared" si="9"/>
        <v>4886310</v>
      </c>
      <c r="I646" t="s">
        <v>8853</v>
      </c>
      <c r="J646">
        <v>2023</v>
      </c>
      <c r="K646">
        <v>1</v>
      </c>
      <c r="L646" t="s">
        <v>8939</v>
      </c>
      <c r="M646" t="s">
        <v>1552</v>
      </c>
      <c r="N646" t="s">
        <v>8940</v>
      </c>
    </row>
    <row r="647" spans="1:14" x14ac:dyDescent="0.3">
      <c r="A647">
        <v>2023</v>
      </c>
      <c r="B647" s="159">
        <v>44938</v>
      </c>
      <c r="C647" s="130">
        <v>11.13</v>
      </c>
      <c r="D647" s="130">
        <v>11.8</v>
      </c>
      <c r="E647" s="130">
        <v>11.13</v>
      </c>
      <c r="F647" s="130">
        <v>11.35</v>
      </c>
      <c r="G647" s="160">
        <v>3923500</v>
      </c>
      <c r="H647" s="160">
        <f t="shared" si="9"/>
        <v>44531725</v>
      </c>
      <c r="I647" t="s">
        <v>8853</v>
      </c>
      <c r="J647">
        <v>2023</v>
      </c>
      <c r="K647">
        <v>1</v>
      </c>
      <c r="L647" t="s">
        <v>8939</v>
      </c>
      <c r="M647" t="s">
        <v>1552</v>
      </c>
      <c r="N647" t="s">
        <v>8940</v>
      </c>
    </row>
    <row r="648" spans="1:14" x14ac:dyDescent="0.3">
      <c r="A648">
        <v>2023</v>
      </c>
      <c r="B648" s="159">
        <v>44939</v>
      </c>
      <c r="C648" s="130">
        <v>11.35</v>
      </c>
      <c r="D648" s="130">
        <v>11.47</v>
      </c>
      <c r="E648" s="130">
        <v>11.2</v>
      </c>
      <c r="F648" s="130">
        <v>11.3</v>
      </c>
      <c r="G648" s="160">
        <v>1137500</v>
      </c>
      <c r="H648" s="160">
        <f t="shared" si="9"/>
        <v>12853750</v>
      </c>
      <c r="I648" t="s">
        <v>8853</v>
      </c>
      <c r="J648">
        <v>2023</v>
      </c>
      <c r="K648">
        <v>1</v>
      </c>
      <c r="L648" t="s">
        <v>8939</v>
      </c>
      <c r="M648" t="s">
        <v>1552</v>
      </c>
      <c r="N648" t="s">
        <v>8940</v>
      </c>
    </row>
    <row r="649" spans="1:14" x14ac:dyDescent="0.3">
      <c r="A649">
        <v>2023</v>
      </c>
      <c r="B649" s="159">
        <v>44942</v>
      </c>
      <c r="C649" s="130">
        <v>11.5</v>
      </c>
      <c r="D649" s="130">
        <v>11.5</v>
      </c>
      <c r="E649" s="130">
        <v>10.88</v>
      </c>
      <c r="F649" s="130">
        <v>10.99</v>
      </c>
      <c r="G649" s="160">
        <v>2720500</v>
      </c>
      <c r="H649" s="160">
        <f t="shared" si="9"/>
        <v>29898295</v>
      </c>
      <c r="I649" t="s">
        <v>8853</v>
      </c>
      <c r="J649">
        <v>2023</v>
      </c>
      <c r="K649">
        <v>1</v>
      </c>
      <c r="L649" t="s">
        <v>8939</v>
      </c>
      <c r="M649" t="s">
        <v>1552</v>
      </c>
      <c r="N649" t="s">
        <v>8940</v>
      </c>
    </row>
    <row r="650" spans="1:14" x14ac:dyDescent="0.3">
      <c r="A650">
        <v>2023</v>
      </c>
      <c r="B650" s="159">
        <v>44943</v>
      </c>
      <c r="C650" s="130">
        <v>11</v>
      </c>
      <c r="D650" s="130">
        <v>11.15</v>
      </c>
      <c r="E650" s="130">
        <v>10.41</v>
      </c>
      <c r="F650" s="130">
        <v>10.52</v>
      </c>
      <c r="G650" s="160">
        <v>4205000</v>
      </c>
      <c r="H650" s="160">
        <f t="shared" si="9"/>
        <v>44236600</v>
      </c>
      <c r="I650" t="s">
        <v>8853</v>
      </c>
      <c r="J650">
        <v>2023</v>
      </c>
      <c r="K650">
        <v>1</v>
      </c>
      <c r="L650" t="s">
        <v>8939</v>
      </c>
      <c r="M650" t="s">
        <v>1552</v>
      </c>
      <c r="N650" t="s">
        <v>8940</v>
      </c>
    </row>
    <row r="651" spans="1:14" x14ac:dyDescent="0.3">
      <c r="A651">
        <v>2023</v>
      </c>
      <c r="B651" s="159">
        <v>44944</v>
      </c>
      <c r="C651" s="130">
        <v>10.55</v>
      </c>
      <c r="D651" s="130">
        <v>10.75</v>
      </c>
      <c r="E651" s="130">
        <v>10.3</v>
      </c>
      <c r="F651" s="130">
        <v>10.53</v>
      </c>
      <c r="G651" s="160">
        <v>792000</v>
      </c>
      <c r="H651" s="160">
        <f t="shared" si="9"/>
        <v>8339759.9999999991</v>
      </c>
      <c r="I651" t="s">
        <v>8853</v>
      </c>
      <c r="J651">
        <v>2023</v>
      </c>
      <c r="K651">
        <v>1</v>
      </c>
      <c r="L651" t="s">
        <v>8939</v>
      </c>
      <c r="M651" t="s">
        <v>1552</v>
      </c>
      <c r="N651" t="s">
        <v>8940</v>
      </c>
    </row>
    <row r="652" spans="1:14" x14ac:dyDescent="0.3">
      <c r="A652">
        <v>2023</v>
      </c>
      <c r="B652" s="159">
        <v>44945</v>
      </c>
      <c r="C652" s="130">
        <v>10.41</v>
      </c>
      <c r="D652" s="130">
        <v>10.66</v>
      </c>
      <c r="E652" s="130">
        <v>10.41</v>
      </c>
      <c r="F652" s="130">
        <v>10.51</v>
      </c>
      <c r="G652" s="160">
        <v>825000</v>
      </c>
      <c r="H652" s="160">
        <f t="shared" si="9"/>
        <v>8670750</v>
      </c>
      <c r="I652" t="s">
        <v>8853</v>
      </c>
      <c r="J652">
        <v>2023</v>
      </c>
      <c r="K652">
        <v>1</v>
      </c>
      <c r="L652" t="s">
        <v>8939</v>
      </c>
      <c r="M652" t="s">
        <v>1552</v>
      </c>
      <c r="N652" t="s">
        <v>8940</v>
      </c>
    </row>
    <row r="653" spans="1:14" x14ac:dyDescent="0.3">
      <c r="A653">
        <v>2023</v>
      </c>
      <c r="B653" s="159">
        <v>44946</v>
      </c>
      <c r="C653" s="130">
        <v>10.58</v>
      </c>
      <c r="D653" s="130">
        <v>10.74</v>
      </c>
      <c r="E653" s="130">
        <v>10.24</v>
      </c>
      <c r="F653" s="130">
        <v>10.64</v>
      </c>
      <c r="G653" s="160">
        <v>2613500</v>
      </c>
      <c r="H653" s="160">
        <f t="shared" si="9"/>
        <v>27807640</v>
      </c>
      <c r="I653" t="s">
        <v>8853</v>
      </c>
      <c r="J653">
        <v>2023</v>
      </c>
      <c r="K653">
        <v>1</v>
      </c>
      <c r="L653" t="s">
        <v>8939</v>
      </c>
      <c r="M653" t="s">
        <v>1552</v>
      </c>
      <c r="N653" t="s">
        <v>8940</v>
      </c>
    </row>
    <row r="654" spans="1:14" x14ac:dyDescent="0.3">
      <c r="A654">
        <v>2023</v>
      </c>
      <c r="B654" s="159">
        <v>44949</v>
      </c>
      <c r="C654" s="130">
        <v>10.41</v>
      </c>
      <c r="D654" s="130">
        <v>10.85</v>
      </c>
      <c r="E654" s="130">
        <v>10.41</v>
      </c>
      <c r="F654" s="130">
        <v>10.76</v>
      </c>
      <c r="G654" s="160">
        <v>1239500</v>
      </c>
      <c r="H654" s="160">
        <f t="shared" si="9"/>
        <v>13337020</v>
      </c>
      <c r="I654" t="s">
        <v>8853</v>
      </c>
      <c r="J654">
        <v>2023</v>
      </c>
      <c r="K654">
        <v>1</v>
      </c>
      <c r="L654" t="s">
        <v>8939</v>
      </c>
      <c r="M654" t="s">
        <v>1552</v>
      </c>
      <c r="N654" t="s">
        <v>8940</v>
      </c>
    </row>
    <row r="655" spans="1:14" x14ac:dyDescent="0.3">
      <c r="A655">
        <v>2023</v>
      </c>
      <c r="B655" s="159">
        <v>44950</v>
      </c>
      <c r="C655" s="130">
        <v>10.79</v>
      </c>
      <c r="D655" s="130">
        <v>11.22</v>
      </c>
      <c r="E655" s="130">
        <v>10.65</v>
      </c>
      <c r="F655" s="130">
        <v>11.05</v>
      </c>
      <c r="G655" s="160">
        <v>6202000</v>
      </c>
      <c r="H655" s="160">
        <f t="shared" si="9"/>
        <v>68532100</v>
      </c>
      <c r="I655" t="s">
        <v>8853</v>
      </c>
      <c r="J655">
        <v>2023</v>
      </c>
      <c r="K655">
        <v>1</v>
      </c>
      <c r="L655" t="s">
        <v>8939</v>
      </c>
      <c r="M655" t="s">
        <v>1552</v>
      </c>
      <c r="N655" t="s">
        <v>8940</v>
      </c>
    </row>
    <row r="656" spans="1:14" x14ac:dyDescent="0.3">
      <c r="A656">
        <v>2023</v>
      </c>
      <c r="B656" s="159">
        <v>44951</v>
      </c>
      <c r="C656" s="130">
        <v>11.16</v>
      </c>
      <c r="D656" s="130">
        <v>11.49</v>
      </c>
      <c r="E656" s="130">
        <v>11.02</v>
      </c>
      <c r="F656" s="130">
        <v>11.2</v>
      </c>
      <c r="G656" s="160">
        <v>8613000</v>
      </c>
      <c r="H656" s="160">
        <f t="shared" ref="H656:H719" si="10">F656*G656</f>
        <v>96465600</v>
      </c>
      <c r="I656" t="s">
        <v>8853</v>
      </c>
      <c r="J656">
        <v>2023</v>
      </c>
      <c r="K656">
        <v>1</v>
      </c>
      <c r="L656" t="s">
        <v>8939</v>
      </c>
      <c r="M656" t="s">
        <v>1552</v>
      </c>
      <c r="N656" t="s">
        <v>8940</v>
      </c>
    </row>
    <row r="657" spans="1:14" x14ac:dyDescent="0.3">
      <c r="A657">
        <v>2023</v>
      </c>
      <c r="B657" s="159">
        <v>44952</v>
      </c>
      <c r="C657" s="130">
        <v>11.21</v>
      </c>
      <c r="D657" s="130">
        <v>12.09</v>
      </c>
      <c r="E657" s="130">
        <v>11.12</v>
      </c>
      <c r="F657" s="130">
        <v>11.95</v>
      </c>
      <c r="G657" s="160">
        <v>8788000</v>
      </c>
      <c r="H657" s="160">
        <f t="shared" si="10"/>
        <v>105016600</v>
      </c>
      <c r="I657" t="s">
        <v>8853</v>
      </c>
      <c r="J657">
        <v>2023</v>
      </c>
      <c r="K657">
        <v>1</v>
      </c>
      <c r="L657" t="s">
        <v>8939</v>
      </c>
      <c r="M657" t="s">
        <v>1552</v>
      </c>
      <c r="N657" t="s">
        <v>8940</v>
      </c>
    </row>
    <row r="658" spans="1:14" x14ac:dyDescent="0.3">
      <c r="A658">
        <v>2023</v>
      </c>
      <c r="B658" s="159">
        <v>44953</v>
      </c>
      <c r="C658" s="130">
        <v>11.94</v>
      </c>
      <c r="D658" s="130">
        <v>11.94</v>
      </c>
      <c r="E658" s="130">
        <v>11.4</v>
      </c>
      <c r="F658" s="130">
        <v>11.45</v>
      </c>
      <c r="G658" s="160">
        <v>1779000</v>
      </c>
      <c r="H658" s="160">
        <f t="shared" si="10"/>
        <v>20369550</v>
      </c>
      <c r="I658" t="s">
        <v>8853</v>
      </c>
      <c r="J658">
        <v>2023</v>
      </c>
      <c r="K658">
        <v>1</v>
      </c>
      <c r="L658" t="s">
        <v>8939</v>
      </c>
      <c r="M658" t="s">
        <v>1552</v>
      </c>
      <c r="N658" t="s">
        <v>8940</v>
      </c>
    </row>
    <row r="659" spans="1:14" x14ac:dyDescent="0.3">
      <c r="A659">
        <v>2023</v>
      </c>
      <c r="B659" s="159">
        <v>44956</v>
      </c>
      <c r="C659" s="130">
        <v>11.2</v>
      </c>
      <c r="D659" s="130">
        <v>11.48</v>
      </c>
      <c r="E659" s="130">
        <v>10.9</v>
      </c>
      <c r="F659" s="130">
        <v>10.99</v>
      </c>
      <c r="G659" s="160">
        <v>1347000</v>
      </c>
      <c r="H659" s="160">
        <f t="shared" si="10"/>
        <v>14803530</v>
      </c>
      <c r="I659" t="s">
        <v>8853</v>
      </c>
      <c r="J659">
        <v>2023</v>
      </c>
      <c r="K659">
        <v>1</v>
      </c>
      <c r="L659" t="s">
        <v>8939</v>
      </c>
      <c r="M659" t="s">
        <v>1552</v>
      </c>
      <c r="N659" t="s">
        <v>8940</v>
      </c>
    </row>
    <row r="660" spans="1:14" x14ac:dyDescent="0.3">
      <c r="A660">
        <v>2023</v>
      </c>
      <c r="B660" s="159">
        <v>44957</v>
      </c>
      <c r="C660" s="130">
        <v>10.9</v>
      </c>
      <c r="D660" s="130">
        <v>11.48</v>
      </c>
      <c r="E660" s="130">
        <v>10.9</v>
      </c>
      <c r="F660" s="130">
        <v>11.39</v>
      </c>
      <c r="G660" s="160">
        <v>4779500</v>
      </c>
      <c r="H660" s="160">
        <f t="shared" si="10"/>
        <v>54438505</v>
      </c>
      <c r="I660" t="s">
        <v>8853</v>
      </c>
      <c r="J660">
        <v>2023</v>
      </c>
      <c r="K660">
        <v>1</v>
      </c>
      <c r="L660" t="s">
        <v>8939</v>
      </c>
      <c r="M660" t="s">
        <v>1552</v>
      </c>
      <c r="N660" t="s">
        <v>8940</v>
      </c>
    </row>
    <row r="661" spans="1:14" x14ac:dyDescent="0.3">
      <c r="A661">
        <v>2023</v>
      </c>
      <c r="B661" s="159">
        <v>44958</v>
      </c>
      <c r="C661" s="130">
        <v>11.51</v>
      </c>
      <c r="D661" s="130">
        <v>11.58</v>
      </c>
      <c r="E661" s="130">
        <v>11.26</v>
      </c>
      <c r="F661" s="130">
        <v>11.41</v>
      </c>
      <c r="G661" s="160">
        <v>2085500</v>
      </c>
      <c r="H661" s="160">
        <f t="shared" si="10"/>
        <v>23795555</v>
      </c>
      <c r="I661" t="s">
        <v>8854</v>
      </c>
      <c r="J661">
        <v>2023</v>
      </c>
      <c r="K661">
        <v>2</v>
      </c>
      <c r="L661" t="s">
        <v>8941</v>
      </c>
      <c r="M661" t="s">
        <v>1552</v>
      </c>
      <c r="N661" t="s">
        <v>8942</v>
      </c>
    </row>
    <row r="662" spans="1:14" x14ac:dyDescent="0.3">
      <c r="A662">
        <v>2023</v>
      </c>
      <c r="B662" s="159">
        <v>44959</v>
      </c>
      <c r="C662" s="130">
        <v>11.5</v>
      </c>
      <c r="D662" s="130">
        <v>11.54</v>
      </c>
      <c r="E662" s="130">
        <v>11.28</v>
      </c>
      <c r="F662" s="130">
        <v>11.33</v>
      </c>
      <c r="G662" s="160">
        <v>1611500</v>
      </c>
      <c r="H662" s="160">
        <f t="shared" si="10"/>
        <v>18258295</v>
      </c>
      <c r="I662" t="s">
        <v>8854</v>
      </c>
      <c r="J662">
        <v>2023</v>
      </c>
      <c r="K662">
        <v>2</v>
      </c>
      <c r="L662" t="s">
        <v>8941</v>
      </c>
      <c r="M662" t="s">
        <v>1552</v>
      </c>
      <c r="N662" t="s">
        <v>8942</v>
      </c>
    </row>
    <row r="663" spans="1:14" x14ac:dyDescent="0.3">
      <c r="A663">
        <v>2023</v>
      </c>
      <c r="B663" s="159">
        <v>44960</v>
      </c>
      <c r="C663" s="130">
        <v>11.4</v>
      </c>
      <c r="D663" s="130">
        <v>11.45</v>
      </c>
      <c r="E663" s="130">
        <v>11.2</v>
      </c>
      <c r="F663" s="130">
        <v>11.35</v>
      </c>
      <c r="G663" s="160">
        <v>1548000</v>
      </c>
      <c r="H663" s="160">
        <f t="shared" si="10"/>
        <v>17569800</v>
      </c>
      <c r="I663" t="s">
        <v>8854</v>
      </c>
      <c r="J663">
        <v>2023</v>
      </c>
      <c r="K663">
        <v>2</v>
      </c>
      <c r="L663" t="s">
        <v>8941</v>
      </c>
      <c r="M663" t="s">
        <v>1552</v>
      </c>
      <c r="N663" t="s">
        <v>8942</v>
      </c>
    </row>
    <row r="664" spans="1:14" x14ac:dyDescent="0.3">
      <c r="A664">
        <v>2023</v>
      </c>
      <c r="B664" s="159">
        <v>44963</v>
      </c>
      <c r="C664" s="130">
        <v>11.4</v>
      </c>
      <c r="D664" s="130">
        <v>11.79</v>
      </c>
      <c r="E664" s="130">
        <v>11.3</v>
      </c>
      <c r="F664" s="130">
        <v>11.63</v>
      </c>
      <c r="G664" s="160">
        <v>1978500</v>
      </c>
      <c r="H664" s="160">
        <f t="shared" si="10"/>
        <v>23009955</v>
      </c>
      <c r="I664" t="s">
        <v>8854</v>
      </c>
      <c r="J664">
        <v>2023</v>
      </c>
      <c r="K664">
        <v>2</v>
      </c>
      <c r="L664" t="s">
        <v>8941</v>
      </c>
      <c r="M664" t="s">
        <v>1552</v>
      </c>
      <c r="N664" t="s">
        <v>8942</v>
      </c>
    </row>
    <row r="665" spans="1:14" x14ac:dyDescent="0.3">
      <c r="A665">
        <v>2023</v>
      </c>
      <c r="B665" s="159">
        <v>44964</v>
      </c>
      <c r="C665" s="130">
        <v>11.7</v>
      </c>
      <c r="D665" s="130">
        <v>11.9</v>
      </c>
      <c r="E665" s="130">
        <v>11.51</v>
      </c>
      <c r="F665" s="130">
        <v>11.6</v>
      </c>
      <c r="G665" s="160">
        <v>3198000</v>
      </c>
      <c r="H665" s="160">
        <f t="shared" si="10"/>
        <v>37096800</v>
      </c>
      <c r="I665" t="s">
        <v>8854</v>
      </c>
      <c r="J665">
        <v>2023</v>
      </c>
      <c r="K665">
        <v>2</v>
      </c>
      <c r="L665" t="s">
        <v>8941</v>
      </c>
      <c r="M665" t="s">
        <v>1552</v>
      </c>
      <c r="N665" t="s">
        <v>8942</v>
      </c>
    </row>
    <row r="666" spans="1:14" x14ac:dyDescent="0.3">
      <c r="A666">
        <v>2023</v>
      </c>
      <c r="B666" s="159">
        <v>44965</v>
      </c>
      <c r="C666" s="130">
        <v>11.67</v>
      </c>
      <c r="D666" s="130">
        <v>11.69</v>
      </c>
      <c r="E666" s="130">
        <v>11.4</v>
      </c>
      <c r="F666" s="130">
        <v>11.58</v>
      </c>
      <c r="G666" s="160">
        <v>986000</v>
      </c>
      <c r="H666" s="160">
        <f t="shared" si="10"/>
        <v>11417880</v>
      </c>
      <c r="I666" t="s">
        <v>8854</v>
      </c>
      <c r="J666">
        <v>2023</v>
      </c>
      <c r="K666">
        <v>2</v>
      </c>
      <c r="L666" t="s">
        <v>8941</v>
      </c>
      <c r="M666" t="s">
        <v>1552</v>
      </c>
      <c r="N666" t="s">
        <v>8942</v>
      </c>
    </row>
    <row r="667" spans="1:14" x14ac:dyDescent="0.3">
      <c r="A667">
        <v>2023</v>
      </c>
      <c r="B667" s="159">
        <v>44966</v>
      </c>
      <c r="C667" s="130">
        <v>11.7</v>
      </c>
      <c r="D667" s="130">
        <v>12.3</v>
      </c>
      <c r="E667" s="130">
        <v>11.7</v>
      </c>
      <c r="F667" s="130">
        <v>12.22</v>
      </c>
      <c r="G667" s="160">
        <v>3787500</v>
      </c>
      <c r="H667" s="160">
        <f t="shared" si="10"/>
        <v>46283250</v>
      </c>
      <c r="I667" t="s">
        <v>8854</v>
      </c>
      <c r="J667">
        <v>2023</v>
      </c>
      <c r="K667">
        <v>2</v>
      </c>
      <c r="L667" t="s">
        <v>8941</v>
      </c>
      <c r="M667" t="s">
        <v>1552</v>
      </c>
      <c r="N667" t="s">
        <v>8942</v>
      </c>
    </row>
    <row r="668" spans="1:14" x14ac:dyDescent="0.3">
      <c r="A668">
        <v>2023</v>
      </c>
      <c r="B668" s="159">
        <v>44967</v>
      </c>
      <c r="C668" s="130">
        <v>11.99</v>
      </c>
      <c r="D668" s="130">
        <v>12.19</v>
      </c>
      <c r="E668" s="130">
        <v>11.8</v>
      </c>
      <c r="F668" s="130">
        <v>11.98</v>
      </c>
      <c r="G668" s="160">
        <v>1330500</v>
      </c>
      <c r="H668" s="160">
        <f t="shared" si="10"/>
        <v>15939390</v>
      </c>
      <c r="I668" t="s">
        <v>8854</v>
      </c>
      <c r="J668">
        <v>2023</v>
      </c>
      <c r="K668">
        <v>2</v>
      </c>
      <c r="L668" t="s">
        <v>8941</v>
      </c>
      <c r="M668" t="s">
        <v>1552</v>
      </c>
      <c r="N668" t="s">
        <v>8942</v>
      </c>
    </row>
    <row r="669" spans="1:14" x14ac:dyDescent="0.3">
      <c r="A669">
        <v>2023</v>
      </c>
      <c r="B669" s="159">
        <v>44970</v>
      </c>
      <c r="C669" s="130">
        <v>11.85</v>
      </c>
      <c r="D669" s="130">
        <v>12.14</v>
      </c>
      <c r="E669" s="130">
        <v>11.8</v>
      </c>
      <c r="F669" s="130">
        <v>11.82</v>
      </c>
      <c r="G669" s="160">
        <v>1520000</v>
      </c>
      <c r="H669" s="160">
        <f t="shared" si="10"/>
        <v>17966400</v>
      </c>
      <c r="I669" t="s">
        <v>8854</v>
      </c>
      <c r="J669">
        <v>2023</v>
      </c>
      <c r="K669">
        <v>2</v>
      </c>
      <c r="L669" t="s">
        <v>8941</v>
      </c>
      <c r="M669" t="s">
        <v>1552</v>
      </c>
      <c r="N669" t="s">
        <v>8942</v>
      </c>
    </row>
    <row r="670" spans="1:14" x14ac:dyDescent="0.3">
      <c r="A670">
        <v>2023</v>
      </c>
      <c r="B670" s="159">
        <v>44971</v>
      </c>
      <c r="C670" s="130">
        <v>11.8</v>
      </c>
      <c r="D670" s="130">
        <v>11.83</v>
      </c>
      <c r="E670" s="130">
        <v>11.5</v>
      </c>
      <c r="F670" s="130">
        <v>11.6</v>
      </c>
      <c r="G670" s="160">
        <v>4426000</v>
      </c>
      <c r="H670" s="160">
        <f t="shared" si="10"/>
        <v>51341600</v>
      </c>
      <c r="I670" t="s">
        <v>8854</v>
      </c>
      <c r="J670">
        <v>2023</v>
      </c>
      <c r="K670">
        <v>2</v>
      </c>
      <c r="L670" t="s">
        <v>8941</v>
      </c>
      <c r="M670" t="s">
        <v>1552</v>
      </c>
      <c r="N670" t="s">
        <v>8942</v>
      </c>
    </row>
    <row r="671" spans="1:14" x14ac:dyDescent="0.3">
      <c r="A671">
        <v>2023</v>
      </c>
      <c r="B671" s="159">
        <v>44972</v>
      </c>
      <c r="C671" s="130">
        <v>11.59</v>
      </c>
      <c r="D671" s="130">
        <v>11.88</v>
      </c>
      <c r="E671" s="130">
        <v>11.5</v>
      </c>
      <c r="F671" s="130">
        <v>11.69</v>
      </c>
      <c r="G671" s="160">
        <v>2556500</v>
      </c>
      <c r="H671" s="160">
        <f t="shared" si="10"/>
        <v>29885485</v>
      </c>
      <c r="I671" t="s">
        <v>8854</v>
      </c>
      <c r="J671">
        <v>2023</v>
      </c>
      <c r="K671">
        <v>2</v>
      </c>
      <c r="L671" t="s">
        <v>8941</v>
      </c>
      <c r="M671" t="s">
        <v>1552</v>
      </c>
      <c r="N671" t="s">
        <v>8942</v>
      </c>
    </row>
    <row r="672" spans="1:14" x14ac:dyDescent="0.3">
      <c r="A672">
        <v>2023</v>
      </c>
      <c r="B672" s="159">
        <v>44973</v>
      </c>
      <c r="C672" s="130">
        <v>11.56</v>
      </c>
      <c r="D672" s="130">
        <v>11.96</v>
      </c>
      <c r="E672" s="130">
        <v>11.22</v>
      </c>
      <c r="F672" s="130">
        <v>11.61</v>
      </c>
      <c r="G672" s="160">
        <v>3758000</v>
      </c>
      <c r="H672" s="160">
        <f t="shared" si="10"/>
        <v>43630380</v>
      </c>
      <c r="I672" t="s">
        <v>8854</v>
      </c>
      <c r="J672">
        <v>2023</v>
      </c>
      <c r="K672">
        <v>2</v>
      </c>
      <c r="L672" t="s">
        <v>8941</v>
      </c>
      <c r="M672" t="s">
        <v>1552</v>
      </c>
      <c r="N672" t="s">
        <v>8942</v>
      </c>
    </row>
    <row r="673" spans="1:14" x14ac:dyDescent="0.3">
      <c r="A673">
        <v>2023</v>
      </c>
      <c r="B673" s="159">
        <v>44974</v>
      </c>
      <c r="C673" s="130">
        <v>11.69</v>
      </c>
      <c r="D673" s="130">
        <v>11.72</v>
      </c>
      <c r="E673" s="130">
        <v>11.55</v>
      </c>
      <c r="F673" s="130">
        <v>11.67</v>
      </c>
      <c r="G673" s="160">
        <v>3092500</v>
      </c>
      <c r="H673" s="160">
        <f t="shared" si="10"/>
        <v>36089475</v>
      </c>
      <c r="I673" t="s">
        <v>8854</v>
      </c>
      <c r="J673">
        <v>2023</v>
      </c>
      <c r="K673">
        <v>2</v>
      </c>
      <c r="L673" t="s">
        <v>8941</v>
      </c>
      <c r="M673" t="s">
        <v>1552</v>
      </c>
      <c r="N673" t="s">
        <v>8942</v>
      </c>
    </row>
    <row r="674" spans="1:14" x14ac:dyDescent="0.3">
      <c r="A674">
        <v>2023</v>
      </c>
      <c r="B674" s="159">
        <v>44977</v>
      </c>
      <c r="C674" s="130">
        <v>11.6</v>
      </c>
      <c r="D674" s="130">
        <v>11.6</v>
      </c>
      <c r="E674" s="130">
        <v>11.3</v>
      </c>
      <c r="F674" s="130">
        <v>11.51</v>
      </c>
      <c r="G674" s="160">
        <v>1290000</v>
      </c>
      <c r="H674" s="160">
        <f t="shared" si="10"/>
        <v>14847900</v>
      </c>
      <c r="I674" t="s">
        <v>8854</v>
      </c>
      <c r="J674">
        <v>2023</v>
      </c>
      <c r="K674">
        <v>2</v>
      </c>
      <c r="L674" t="s">
        <v>8941</v>
      </c>
      <c r="M674" t="s">
        <v>1552</v>
      </c>
      <c r="N674" t="s">
        <v>8942</v>
      </c>
    </row>
    <row r="675" spans="1:14" x14ac:dyDescent="0.3">
      <c r="A675">
        <v>2023</v>
      </c>
      <c r="B675" s="159">
        <v>44978</v>
      </c>
      <c r="C675" s="130">
        <v>11.64</v>
      </c>
      <c r="D675" s="130">
        <v>11.68</v>
      </c>
      <c r="E675" s="130">
        <v>11.51</v>
      </c>
      <c r="F675" s="130">
        <v>11.59</v>
      </c>
      <c r="G675" s="160">
        <v>1734000</v>
      </c>
      <c r="H675" s="160">
        <f t="shared" si="10"/>
        <v>20097060</v>
      </c>
      <c r="I675" t="s">
        <v>8854</v>
      </c>
      <c r="J675">
        <v>2023</v>
      </c>
      <c r="K675">
        <v>2</v>
      </c>
      <c r="L675" t="s">
        <v>8941</v>
      </c>
      <c r="M675" t="s">
        <v>1552</v>
      </c>
      <c r="N675" t="s">
        <v>8942</v>
      </c>
    </row>
    <row r="676" spans="1:14" x14ac:dyDescent="0.3">
      <c r="A676">
        <v>2023</v>
      </c>
      <c r="B676" s="159">
        <v>44979</v>
      </c>
      <c r="C676" s="130">
        <v>11.59</v>
      </c>
      <c r="D676" s="130">
        <v>11.9</v>
      </c>
      <c r="E676" s="130">
        <v>11.59</v>
      </c>
      <c r="F676" s="130">
        <v>11.75</v>
      </c>
      <c r="G676" s="160">
        <v>3700000</v>
      </c>
      <c r="H676" s="160">
        <f t="shared" si="10"/>
        <v>43475000</v>
      </c>
      <c r="I676" t="s">
        <v>8854</v>
      </c>
      <c r="J676">
        <v>2023</v>
      </c>
      <c r="K676">
        <v>2</v>
      </c>
      <c r="L676" t="s">
        <v>8941</v>
      </c>
      <c r="M676" t="s">
        <v>1552</v>
      </c>
      <c r="N676" t="s">
        <v>8942</v>
      </c>
    </row>
    <row r="677" spans="1:14" x14ac:dyDescent="0.3">
      <c r="A677">
        <v>2023</v>
      </c>
      <c r="B677" s="159">
        <v>44980</v>
      </c>
      <c r="C677" s="130">
        <v>11.78</v>
      </c>
      <c r="D677" s="130">
        <v>11.85</v>
      </c>
      <c r="E677" s="130">
        <v>11.3</v>
      </c>
      <c r="F677" s="130">
        <v>11.4</v>
      </c>
      <c r="G677" s="160">
        <v>2953500</v>
      </c>
      <c r="H677" s="160">
        <f t="shared" si="10"/>
        <v>33669900</v>
      </c>
      <c r="I677" t="s">
        <v>8854</v>
      </c>
      <c r="J677">
        <v>2023</v>
      </c>
      <c r="K677">
        <v>2</v>
      </c>
      <c r="L677" t="s">
        <v>8941</v>
      </c>
      <c r="M677" t="s">
        <v>1552</v>
      </c>
      <c r="N677" t="s">
        <v>8942</v>
      </c>
    </row>
    <row r="678" spans="1:14" x14ac:dyDescent="0.3">
      <c r="A678">
        <v>2023</v>
      </c>
      <c r="B678" s="159">
        <v>44981</v>
      </c>
      <c r="C678" s="130">
        <v>11.36</v>
      </c>
      <c r="D678" s="130">
        <v>11.75</v>
      </c>
      <c r="E678" s="130">
        <v>11.35</v>
      </c>
      <c r="F678" s="130">
        <v>11.5</v>
      </c>
      <c r="G678" s="160">
        <v>3252500</v>
      </c>
      <c r="H678" s="160">
        <f t="shared" si="10"/>
        <v>37403750</v>
      </c>
      <c r="I678" t="s">
        <v>8854</v>
      </c>
      <c r="J678">
        <v>2023</v>
      </c>
      <c r="K678">
        <v>2</v>
      </c>
      <c r="L678" t="s">
        <v>8941</v>
      </c>
      <c r="M678" t="s">
        <v>1552</v>
      </c>
      <c r="N678" t="s">
        <v>8942</v>
      </c>
    </row>
    <row r="679" spans="1:14" x14ac:dyDescent="0.3">
      <c r="A679">
        <v>2023</v>
      </c>
      <c r="B679" s="159">
        <v>44984</v>
      </c>
      <c r="C679" s="130">
        <v>11.5</v>
      </c>
      <c r="D679" s="130">
        <v>11.74</v>
      </c>
      <c r="E679" s="130">
        <v>11.4</v>
      </c>
      <c r="F679" s="130">
        <v>11.67</v>
      </c>
      <c r="G679" s="160">
        <v>2602000</v>
      </c>
      <c r="H679" s="160">
        <f t="shared" si="10"/>
        <v>30365340</v>
      </c>
      <c r="I679" t="s">
        <v>8854</v>
      </c>
      <c r="J679">
        <v>2023</v>
      </c>
      <c r="K679">
        <v>2</v>
      </c>
      <c r="L679" t="s">
        <v>8941</v>
      </c>
      <c r="M679" t="s">
        <v>1552</v>
      </c>
      <c r="N679" t="s">
        <v>8942</v>
      </c>
    </row>
    <row r="680" spans="1:14" x14ac:dyDescent="0.3">
      <c r="A680">
        <v>2023</v>
      </c>
      <c r="B680" s="159">
        <v>44985</v>
      </c>
      <c r="C680" s="130">
        <v>11.6</v>
      </c>
      <c r="D680" s="130">
        <v>11.7</v>
      </c>
      <c r="E680" s="130">
        <v>11.4</v>
      </c>
      <c r="F680" s="130">
        <v>11.64</v>
      </c>
      <c r="G680" s="160">
        <v>3260500</v>
      </c>
      <c r="H680" s="160">
        <f t="shared" si="10"/>
        <v>37952220</v>
      </c>
      <c r="I680" t="s">
        <v>8854</v>
      </c>
      <c r="J680">
        <v>2023</v>
      </c>
      <c r="K680">
        <v>2</v>
      </c>
      <c r="L680" t="s">
        <v>8941</v>
      </c>
      <c r="M680" t="s">
        <v>1552</v>
      </c>
      <c r="N680" t="s">
        <v>8942</v>
      </c>
    </row>
    <row r="681" spans="1:14" x14ac:dyDescent="0.3">
      <c r="A681">
        <v>2023</v>
      </c>
      <c r="B681" s="159">
        <v>44986</v>
      </c>
      <c r="C681" s="130">
        <v>11.45</v>
      </c>
      <c r="D681" s="130">
        <v>11.54</v>
      </c>
      <c r="E681" s="130">
        <v>11.35</v>
      </c>
      <c r="F681" s="130">
        <v>11.5</v>
      </c>
      <c r="G681" s="160">
        <v>662000</v>
      </c>
      <c r="H681" s="160">
        <f t="shared" si="10"/>
        <v>7613000</v>
      </c>
      <c r="I681" t="s">
        <v>8855</v>
      </c>
      <c r="J681">
        <v>2023</v>
      </c>
      <c r="K681">
        <v>3</v>
      </c>
      <c r="L681" t="s">
        <v>8943</v>
      </c>
      <c r="M681" t="s">
        <v>1552</v>
      </c>
      <c r="N681" t="s">
        <v>8944</v>
      </c>
    </row>
    <row r="682" spans="1:14" x14ac:dyDescent="0.3">
      <c r="A682">
        <v>2023</v>
      </c>
      <c r="B682" s="159">
        <v>44987</v>
      </c>
      <c r="C682" s="130">
        <v>11.3</v>
      </c>
      <c r="D682" s="130">
        <v>11.6</v>
      </c>
      <c r="E682" s="130">
        <v>11.3</v>
      </c>
      <c r="F682" s="130">
        <v>11.34</v>
      </c>
      <c r="G682" s="160">
        <v>937000</v>
      </c>
      <c r="H682" s="160">
        <f t="shared" si="10"/>
        <v>10625580</v>
      </c>
      <c r="I682" t="s">
        <v>8855</v>
      </c>
      <c r="J682">
        <v>2023</v>
      </c>
      <c r="K682">
        <v>3</v>
      </c>
      <c r="L682" t="s">
        <v>8943</v>
      </c>
      <c r="M682" t="s">
        <v>1552</v>
      </c>
      <c r="N682" t="s">
        <v>8944</v>
      </c>
    </row>
    <row r="683" spans="1:14" x14ac:dyDescent="0.3">
      <c r="A683">
        <v>2023</v>
      </c>
      <c r="B683" s="159">
        <v>44988</v>
      </c>
      <c r="C683" s="130">
        <v>11.2</v>
      </c>
      <c r="D683" s="130">
        <v>11.69</v>
      </c>
      <c r="E683" s="130">
        <v>11.2</v>
      </c>
      <c r="F683" s="130">
        <v>11.59</v>
      </c>
      <c r="G683" s="160">
        <v>1424000</v>
      </c>
      <c r="H683" s="160">
        <f t="shared" si="10"/>
        <v>16504160</v>
      </c>
      <c r="I683" t="s">
        <v>8855</v>
      </c>
      <c r="J683">
        <v>2023</v>
      </c>
      <c r="K683">
        <v>3</v>
      </c>
      <c r="L683" t="s">
        <v>8943</v>
      </c>
      <c r="M683" t="s">
        <v>1552</v>
      </c>
      <c r="N683" t="s">
        <v>8944</v>
      </c>
    </row>
    <row r="684" spans="1:14" x14ac:dyDescent="0.3">
      <c r="A684">
        <v>2023</v>
      </c>
      <c r="B684" s="159">
        <v>44991</v>
      </c>
      <c r="C684" s="130">
        <v>11.69</v>
      </c>
      <c r="D684" s="130">
        <v>11.9</v>
      </c>
      <c r="E684" s="130">
        <v>11.33</v>
      </c>
      <c r="F684" s="130">
        <v>11.41</v>
      </c>
      <c r="G684" s="160">
        <v>2040500</v>
      </c>
      <c r="H684" s="160">
        <f t="shared" si="10"/>
        <v>23282105</v>
      </c>
      <c r="I684" t="s">
        <v>8855</v>
      </c>
      <c r="J684">
        <v>2023</v>
      </c>
      <c r="K684">
        <v>3</v>
      </c>
      <c r="L684" t="s">
        <v>8943</v>
      </c>
      <c r="M684" t="s">
        <v>1552</v>
      </c>
      <c r="N684" t="s">
        <v>8944</v>
      </c>
    </row>
    <row r="685" spans="1:14" x14ac:dyDescent="0.3">
      <c r="A685">
        <v>2023</v>
      </c>
      <c r="B685" s="159">
        <v>44992</v>
      </c>
      <c r="C685" s="130">
        <v>11.55</v>
      </c>
      <c r="D685" s="130">
        <v>11.82</v>
      </c>
      <c r="E685" s="130">
        <v>11.41</v>
      </c>
      <c r="F685" s="130">
        <v>11.69</v>
      </c>
      <c r="G685" s="160">
        <v>6534000</v>
      </c>
      <c r="H685" s="160">
        <f t="shared" si="10"/>
        <v>76382460</v>
      </c>
      <c r="I685" t="s">
        <v>8855</v>
      </c>
      <c r="J685">
        <v>2023</v>
      </c>
      <c r="K685">
        <v>3</v>
      </c>
      <c r="L685" t="s">
        <v>8943</v>
      </c>
      <c r="M685" t="s">
        <v>1552</v>
      </c>
      <c r="N685" t="s">
        <v>8944</v>
      </c>
    </row>
    <row r="686" spans="1:14" x14ac:dyDescent="0.3">
      <c r="A686">
        <v>2023</v>
      </c>
      <c r="B686" s="159">
        <v>44993</v>
      </c>
      <c r="C686" s="130">
        <v>11.68</v>
      </c>
      <c r="D686" s="130">
        <v>11.85</v>
      </c>
      <c r="E686" s="130">
        <v>11.5</v>
      </c>
      <c r="F686" s="130">
        <v>11.55</v>
      </c>
      <c r="G686" s="160">
        <v>2469000</v>
      </c>
      <c r="H686" s="160">
        <f t="shared" si="10"/>
        <v>28516950</v>
      </c>
      <c r="I686" t="s">
        <v>8855</v>
      </c>
      <c r="J686">
        <v>2023</v>
      </c>
      <c r="K686">
        <v>3</v>
      </c>
      <c r="L686" t="s">
        <v>8943</v>
      </c>
      <c r="M686" t="s">
        <v>1552</v>
      </c>
      <c r="N686" t="s">
        <v>8944</v>
      </c>
    </row>
    <row r="687" spans="1:14" x14ac:dyDescent="0.3">
      <c r="A687">
        <v>2023</v>
      </c>
      <c r="B687" s="159">
        <v>44994</v>
      </c>
      <c r="C687" s="130">
        <v>11.6</v>
      </c>
      <c r="D687" s="130">
        <v>12.05</v>
      </c>
      <c r="E687" s="130">
        <v>11.47</v>
      </c>
      <c r="F687" s="130">
        <v>11.98</v>
      </c>
      <c r="G687" s="160">
        <v>10733000</v>
      </c>
      <c r="H687" s="160">
        <f t="shared" si="10"/>
        <v>128581340</v>
      </c>
      <c r="I687" t="s">
        <v>8855</v>
      </c>
      <c r="J687">
        <v>2023</v>
      </c>
      <c r="K687">
        <v>3</v>
      </c>
      <c r="L687" t="s">
        <v>8943</v>
      </c>
      <c r="M687" t="s">
        <v>1552</v>
      </c>
      <c r="N687" t="s">
        <v>8944</v>
      </c>
    </row>
    <row r="688" spans="1:14" x14ac:dyDescent="0.3">
      <c r="A688">
        <v>2023</v>
      </c>
      <c r="B688" s="159">
        <v>44995</v>
      </c>
      <c r="C688" s="130">
        <v>12</v>
      </c>
      <c r="D688" s="130">
        <v>12.3</v>
      </c>
      <c r="E688" s="130">
        <v>11.85</v>
      </c>
      <c r="F688" s="130">
        <v>12.13</v>
      </c>
      <c r="G688" s="160">
        <v>5475500</v>
      </c>
      <c r="H688" s="160">
        <f t="shared" si="10"/>
        <v>66417815.000000007</v>
      </c>
      <c r="I688" t="s">
        <v>8855</v>
      </c>
      <c r="J688">
        <v>2023</v>
      </c>
      <c r="K688">
        <v>3</v>
      </c>
      <c r="L688" t="s">
        <v>8943</v>
      </c>
      <c r="M688" t="s">
        <v>1552</v>
      </c>
      <c r="N688" t="s">
        <v>8944</v>
      </c>
    </row>
    <row r="689" spans="1:14" x14ac:dyDescent="0.3">
      <c r="A689">
        <v>2023</v>
      </c>
      <c r="B689" s="159">
        <v>44998</v>
      </c>
      <c r="C689" s="130">
        <v>12.2</v>
      </c>
      <c r="D689" s="130">
        <v>12.25</v>
      </c>
      <c r="E689" s="130">
        <v>11.85</v>
      </c>
      <c r="F689" s="130">
        <v>11.95</v>
      </c>
      <c r="G689" s="160">
        <v>1248500</v>
      </c>
      <c r="H689" s="160">
        <f t="shared" si="10"/>
        <v>14919575</v>
      </c>
      <c r="I689" t="s">
        <v>8855</v>
      </c>
      <c r="J689">
        <v>2023</v>
      </c>
      <c r="K689">
        <v>3</v>
      </c>
      <c r="L689" t="s">
        <v>8943</v>
      </c>
      <c r="M689" t="s">
        <v>1552</v>
      </c>
      <c r="N689" t="s">
        <v>8944</v>
      </c>
    </row>
    <row r="690" spans="1:14" x14ac:dyDescent="0.3">
      <c r="A690">
        <v>2023</v>
      </c>
      <c r="B690" s="159">
        <v>44999</v>
      </c>
      <c r="C690" s="130">
        <v>12.09</v>
      </c>
      <c r="D690" s="130">
        <v>12.09</v>
      </c>
      <c r="E690" s="130">
        <v>11.77</v>
      </c>
      <c r="F690" s="130">
        <v>11.81</v>
      </c>
      <c r="G690" s="160">
        <v>1334000</v>
      </c>
      <c r="H690" s="160">
        <f t="shared" si="10"/>
        <v>15754540</v>
      </c>
      <c r="I690" t="s">
        <v>8855</v>
      </c>
      <c r="J690">
        <v>2023</v>
      </c>
      <c r="K690">
        <v>3</v>
      </c>
      <c r="L690" t="s">
        <v>8943</v>
      </c>
      <c r="M690" t="s">
        <v>1552</v>
      </c>
      <c r="N690" t="s">
        <v>8944</v>
      </c>
    </row>
    <row r="691" spans="1:14" x14ac:dyDescent="0.3">
      <c r="A691">
        <v>2023</v>
      </c>
      <c r="B691" s="159">
        <v>45000</v>
      </c>
      <c r="C691" s="130">
        <v>11.72</v>
      </c>
      <c r="D691" s="130">
        <v>12.78</v>
      </c>
      <c r="E691" s="130">
        <v>11.6</v>
      </c>
      <c r="F691" s="130">
        <v>12.53</v>
      </c>
      <c r="G691" s="160">
        <v>9463500</v>
      </c>
      <c r="H691" s="160">
        <f t="shared" si="10"/>
        <v>118577655</v>
      </c>
      <c r="I691" t="s">
        <v>8855</v>
      </c>
      <c r="J691">
        <v>2023</v>
      </c>
      <c r="K691">
        <v>3</v>
      </c>
      <c r="L691" t="s">
        <v>8943</v>
      </c>
      <c r="M691" t="s">
        <v>1552</v>
      </c>
      <c r="N691" t="s">
        <v>8944</v>
      </c>
    </row>
    <row r="692" spans="1:14" x14ac:dyDescent="0.3">
      <c r="A692">
        <v>2023</v>
      </c>
      <c r="B692" s="159">
        <v>45001</v>
      </c>
      <c r="C692" s="130">
        <v>12.85</v>
      </c>
      <c r="D692" s="130">
        <v>13.18</v>
      </c>
      <c r="E692" s="130">
        <v>12.75</v>
      </c>
      <c r="F692" s="130">
        <v>12.81</v>
      </c>
      <c r="G692" s="160">
        <v>7673500</v>
      </c>
      <c r="H692" s="160">
        <f t="shared" si="10"/>
        <v>98297535</v>
      </c>
      <c r="I692" t="s">
        <v>8855</v>
      </c>
      <c r="J692">
        <v>2023</v>
      </c>
      <c r="K692">
        <v>3</v>
      </c>
      <c r="L692" t="s">
        <v>8943</v>
      </c>
      <c r="M692" t="s">
        <v>1552</v>
      </c>
      <c r="N692" t="s">
        <v>8944</v>
      </c>
    </row>
    <row r="693" spans="1:14" x14ac:dyDescent="0.3">
      <c r="A693">
        <v>2023</v>
      </c>
      <c r="B693" s="159">
        <v>45002</v>
      </c>
      <c r="C693" s="130">
        <v>12.81</v>
      </c>
      <c r="D693" s="130">
        <v>12.9</v>
      </c>
      <c r="E693" s="130">
        <v>12.55</v>
      </c>
      <c r="F693" s="130">
        <v>12.61</v>
      </c>
      <c r="G693" s="160">
        <v>1269000</v>
      </c>
      <c r="H693" s="160">
        <f t="shared" si="10"/>
        <v>16002090</v>
      </c>
      <c r="I693" t="s">
        <v>8855</v>
      </c>
      <c r="J693">
        <v>2023</v>
      </c>
      <c r="K693">
        <v>3</v>
      </c>
      <c r="L693" t="s">
        <v>8943</v>
      </c>
      <c r="M693" t="s">
        <v>1552</v>
      </c>
      <c r="N693" t="s">
        <v>8944</v>
      </c>
    </row>
    <row r="694" spans="1:14" x14ac:dyDescent="0.3">
      <c r="A694">
        <v>2023</v>
      </c>
      <c r="B694" s="159">
        <v>45005</v>
      </c>
      <c r="C694" s="130">
        <v>12.66</v>
      </c>
      <c r="D694" s="130">
        <v>12.76</v>
      </c>
      <c r="E694" s="130">
        <v>12.15</v>
      </c>
      <c r="F694" s="130">
        <v>12.26</v>
      </c>
      <c r="G694" s="160">
        <v>3673000</v>
      </c>
      <c r="H694" s="160">
        <f t="shared" si="10"/>
        <v>45030980</v>
      </c>
      <c r="I694" t="s">
        <v>8855</v>
      </c>
      <c r="J694">
        <v>2023</v>
      </c>
      <c r="K694">
        <v>3</v>
      </c>
      <c r="L694" t="s">
        <v>8943</v>
      </c>
      <c r="M694" t="s">
        <v>1552</v>
      </c>
      <c r="N694" t="s">
        <v>8944</v>
      </c>
    </row>
    <row r="695" spans="1:14" x14ac:dyDescent="0.3">
      <c r="A695">
        <v>2023</v>
      </c>
      <c r="B695" s="159">
        <v>45006</v>
      </c>
      <c r="C695" s="130">
        <v>12.28</v>
      </c>
      <c r="D695" s="130">
        <v>12.33</v>
      </c>
      <c r="E695" s="130">
        <v>11.92</v>
      </c>
      <c r="F695" s="130">
        <v>12</v>
      </c>
      <c r="G695" s="160">
        <v>4452500</v>
      </c>
      <c r="H695" s="160">
        <f t="shared" si="10"/>
        <v>53430000</v>
      </c>
      <c r="I695" t="s">
        <v>8855</v>
      </c>
      <c r="J695">
        <v>2023</v>
      </c>
      <c r="K695">
        <v>3</v>
      </c>
      <c r="L695" t="s">
        <v>8943</v>
      </c>
      <c r="M695" t="s">
        <v>1552</v>
      </c>
      <c r="N695" t="s">
        <v>8944</v>
      </c>
    </row>
    <row r="696" spans="1:14" x14ac:dyDescent="0.3">
      <c r="A696">
        <v>2023</v>
      </c>
      <c r="B696" s="159">
        <v>45007</v>
      </c>
      <c r="C696" s="130">
        <v>12.02</v>
      </c>
      <c r="D696" s="130">
        <v>12.26</v>
      </c>
      <c r="E696" s="130">
        <v>11.76</v>
      </c>
      <c r="F696" s="130">
        <v>11.81</v>
      </c>
      <c r="G696" s="160">
        <v>17487500</v>
      </c>
      <c r="H696" s="160">
        <f t="shared" si="10"/>
        <v>206527375</v>
      </c>
      <c r="I696" t="s">
        <v>8855</v>
      </c>
      <c r="J696">
        <v>2023</v>
      </c>
      <c r="K696">
        <v>3</v>
      </c>
      <c r="L696" t="s">
        <v>8943</v>
      </c>
      <c r="M696" t="s">
        <v>1552</v>
      </c>
      <c r="N696" t="s">
        <v>8944</v>
      </c>
    </row>
    <row r="697" spans="1:14" x14ac:dyDescent="0.3">
      <c r="A697">
        <v>2023</v>
      </c>
      <c r="B697" s="159">
        <v>45009</v>
      </c>
      <c r="C697" s="130">
        <v>11.83</v>
      </c>
      <c r="D697" s="130">
        <v>11.83</v>
      </c>
      <c r="E697" s="130">
        <v>11.57</v>
      </c>
      <c r="F697" s="130">
        <v>11.6</v>
      </c>
      <c r="G697" s="160">
        <v>1517500</v>
      </c>
      <c r="H697" s="160">
        <f t="shared" si="10"/>
        <v>17603000</v>
      </c>
      <c r="I697" t="s">
        <v>8855</v>
      </c>
      <c r="J697">
        <v>2023</v>
      </c>
      <c r="K697">
        <v>3</v>
      </c>
      <c r="L697" t="s">
        <v>8943</v>
      </c>
      <c r="M697" t="s">
        <v>1552</v>
      </c>
      <c r="N697" t="s">
        <v>8944</v>
      </c>
    </row>
    <row r="698" spans="1:14" x14ac:dyDescent="0.3">
      <c r="A698">
        <v>2023</v>
      </c>
      <c r="B698" s="159">
        <v>45012</v>
      </c>
      <c r="C698" s="130">
        <v>11.58</v>
      </c>
      <c r="D698" s="130">
        <v>11.77</v>
      </c>
      <c r="E698" s="130">
        <v>11.4</v>
      </c>
      <c r="F698" s="130">
        <v>11.67</v>
      </c>
      <c r="G698" s="160">
        <v>4323000</v>
      </c>
      <c r="H698" s="160">
        <f t="shared" si="10"/>
        <v>50449410</v>
      </c>
      <c r="I698" t="s">
        <v>8855</v>
      </c>
      <c r="J698">
        <v>2023</v>
      </c>
      <c r="K698">
        <v>3</v>
      </c>
      <c r="L698" t="s">
        <v>8943</v>
      </c>
      <c r="M698" t="s">
        <v>1552</v>
      </c>
      <c r="N698" t="s">
        <v>8944</v>
      </c>
    </row>
    <row r="699" spans="1:14" x14ac:dyDescent="0.3">
      <c r="A699">
        <v>2023</v>
      </c>
      <c r="B699" s="159">
        <v>45013</v>
      </c>
      <c r="C699" s="130">
        <v>11.7</v>
      </c>
      <c r="D699" s="130">
        <v>11.94</v>
      </c>
      <c r="E699" s="130">
        <v>11.62</v>
      </c>
      <c r="F699" s="130">
        <v>11.84</v>
      </c>
      <c r="G699" s="160">
        <v>1344000</v>
      </c>
      <c r="H699" s="160">
        <f t="shared" si="10"/>
        <v>15912960</v>
      </c>
      <c r="I699" t="s">
        <v>8855</v>
      </c>
      <c r="J699">
        <v>2023</v>
      </c>
      <c r="K699">
        <v>3</v>
      </c>
      <c r="L699" t="s">
        <v>8943</v>
      </c>
      <c r="M699" t="s">
        <v>1552</v>
      </c>
      <c r="N699" t="s">
        <v>8944</v>
      </c>
    </row>
    <row r="700" spans="1:14" x14ac:dyDescent="0.3">
      <c r="A700">
        <v>2023</v>
      </c>
      <c r="B700" s="159">
        <v>45014</v>
      </c>
      <c r="C700" s="130">
        <v>11.9</v>
      </c>
      <c r="D700" s="130">
        <v>12.15</v>
      </c>
      <c r="E700" s="130">
        <v>11.71</v>
      </c>
      <c r="F700" s="130">
        <v>11.8</v>
      </c>
      <c r="G700" s="160">
        <v>711500</v>
      </c>
      <c r="H700" s="160">
        <f t="shared" si="10"/>
        <v>8395700</v>
      </c>
      <c r="I700" t="s">
        <v>8855</v>
      </c>
      <c r="J700">
        <v>2023</v>
      </c>
      <c r="K700">
        <v>3</v>
      </c>
      <c r="L700" t="s">
        <v>8943</v>
      </c>
      <c r="M700" t="s">
        <v>1552</v>
      </c>
      <c r="N700" t="s">
        <v>8944</v>
      </c>
    </row>
    <row r="701" spans="1:14" x14ac:dyDescent="0.3">
      <c r="A701">
        <v>2023</v>
      </c>
      <c r="B701" s="159">
        <v>45015</v>
      </c>
      <c r="C701" s="130">
        <v>11.87</v>
      </c>
      <c r="D701" s="130">
        <v>12.25</v>
      </c>
      <c r="E701" s="130">
        <v>11.66</v>
      </c>
      <c r="F701" s="130">
        <v>12.08</v>
      </c>
      <c r="G701" s="160">
        <v>1077500</v>
      </c>
      <c r="H701" s="160">
        <f t="shared" si="10"/>
        <v>13016200</v>
      </c>
      <c r="I701" t="s">
        <v>8855</v>
      </c>
      <c r="J701">
        <v>2023</v>
      </c>
      <c r="K701">
        <v>3</v>
      </c>
      <c r="L701" t="s">
        <v>8943</v>
      </c>
      <c r="M701" t="s">
        <v>1552</v>
      </c>
      <c r="N701" t="s">
        <v>8944</v>
      </c>
    </row>
    <row r="702" spans="1:14" x14ac:dyDescent="0.3">
      <c r="A702">
        <v>2023</v>
      </c>
      <c r="B702" s="159">
        <v>45016</v>
      </c>
      <c r="C702" s="130">
        <v>11.91</v>
      </c>
      <c r="D702" s="130">
        <v>12.16</v>
      </c>
      <c r="E702" s="130">
        <v>11.82</v>
      </c>
      <c r="F702" s="130">
        <v>11.96</v>
      </c>
      <c r="G702" s="160">
        <v>966500</v>
      </c>
      <c r="H702" s="160">
        <f t="shared" si="10"/>
        <v>11559340</v>
      </c>
      <c r="I702" t="s">
        <v>8855</v>
      </c>
      <c r="J702">
        <v>2023</v>
      </c>
      <c r="K702">
        <v>3</v>
      </c>
      <c r="L702" t="s">
        <v>8943</v>
      </c>
      <c r="M702" t="s">
        <v>1552</v>
      </c>
      <c r="N702" t="s">
        <v>8944</v>
      </c>
    </row>
    <row r="703" spans="1:14" x14ac:dyDescent="0.3">
      <c r="A703">
        <v>2023</v>
      </c>
      <c r="B703" s="159">
        <v>45019</v>
      </c>
      <c r="C703" s="130">
        <v>12.09</v>
      </c>
      <c r="D703" s="130">
        <v>12.09</v>
      </c>
      <c r="E703" s="130">
        <v>11.66</v>
      </c>
      <c r="F703" s="130">
        <v>11.7</v>
      </c>
      <c r="G703" s="160">
        <v>323000</v>
      </c>
      <c r="H703" s="160">
        <f t="shared" si="10"/>
        <v>3779100</v>
      </c>
      <c r="I703" t="s">
        <v>8856</v>
      </c>
      <c r="J703">
        <v>2023</v>
      </c>
      <c r="K703">
        <v>4</v>
      </c>
      <c r="L703" t="s">
        <v>8945</v>
      </c>
      <c r="M703" t="s">
        <v>1552</v>
      </c>
      <c r="N703" t="s">
        <v>8946</v>
      </c>
    </row>
    <row r="704" spans="1:14" x14ac:dyDescent="0.3">
      <c r="A704">
        <v>2023</v>
      </c>
      <c r="B704" s="159">
        <v>45020</v>
      </c>
      <c r="C704" s="130">
        <v>11.71</v>
      </c>
      <c r="D704" s="130">
        <v>11.82</v>
      </c>
      <c r="E704" s="130">
        <v>11.5</v>
      </c>
      <c r="F704" s="130">
        <v>11.79</v>
      </c>
      <c r="G704" s="160">
        <v>519500</v>
      </c>
      <c r="H704" s="160">
        <f t="shared" si="10"/>
        <v>6124905</v>
      </c>
      <c r="I704" t="s">
        <v>8856</v>
      </c>
      <c r="J704">
        <v>2023</v>
      </c>
      <c r="K704">
        <v>4</v>
      </c>
      <c r="L704" t="s">
        <v>8945</v>
      </c>
      <c r="M704" t="s">
        <v>1552</v>
      </c>
      <c r="N704" t="s">
        <v>8946</v>
      </c>
    </row>
    <row r="705" spans="1:14" x14ac:dyDescent="0.3">
      <c r="A705">
        <v>2023</v>
      </c>
      <c r="B705" s="159">
        <v>45021</v>
      </c>
      <c r="C705" s="130">
        <v>11.95</v>
      </c>
      <c r="D705" s="130">
        <v>11.95</v>
      </c>
      <c r="E705" s="130">
        <v>11.69</v>
      </c>
      <c r="F705" s="130">
        <v>11.73</v>
      </c>
      <c r="G705" s="160">
        <v>730500</v>
      </c>
      <c r="H705" s="160">
        <f t="shared" si="10"/>
        <v>8568765</v>
      </c>
      <c r="I705" t="s">
        <v>8856</v>
      </c>
      <c r="J705">
        <v>2023</v>
      </c>
      <c r="K705">
        <v>4</v>
      </c>
      <c r="L705" t="s">
        <v>8945</v>
      </c>
      <c r="M705" t="s">
        <v>1552</v>
      </c>
      <c r="N705" t="s">
        <v>8946</v>
      </c>
    </row>
    <row r="706" spans="1:14" x14ac:dyDescent="0.3">
      <c r="A706">
        <v>2023</v>
      </c>
      <c r="B706" s="159">
        <v>45022</v>
      </c>
      <c r="C706" s="130">
        <v>11.89</v>
      </c>
      <c r="D706" s="130">
        <v>12.06</v>
      </c>
      <c r="E706" s="130">
        <v>11.81</v>
      </c>
      <c r="F706" s="130">
        <v>11.92</v>
      </c>
      <c r="G706" s="160">
        <v>2763000</v>
      </c>
      <c r="H706" s="160">
        <f t="shared" si="10"/>
        <v>32934960</v>
      </c>
      <c r="I706" t="s">
        <v>8856</v>
      </c>
      <c r="J706">
        <v>2023</v>
      </c>
      <c r="K706">
        <v>4</v>
      </c>
      <c r="L706" t="s">
        <v>8945</v>
      </c>
      <c r="M706" t="s">
        <v>1552</v>
      </c>
      <c r="N706" t="s">
        <v>8946</v>
      </c>
    </row>
    <row r="707" spans="1:14" x14ac:dyDescent="0.3">
      <c r="A707">
        <v>2023</v>
      </c>
      <c r="B707" s="159">
        <v>45023</v>
      </c>
      <c r="C707" s="130">
        <v>12.1</v>
      </c>
      <c r="D707" s="130">
        <v>12.15</v>
      </c>
      <c r="E707" s="130">
        <v>11.75</v>
      </c>
      <c r="F707" s="130">
        <v>11.81</v>
      </c>
      <c r="G707" s="160">
        <v>1905000</v>
      </c>
      <c r="H707" s="160">
        <f t="shared" si="10"/>
        <v>22498050</v>
      </c>
      <c r="I707" t="s">
        <v>8856</v>
      </c>
      <c r="J707">
        <v>2023</v>
      </c>
      <c r="K707">
        <v>4</v>
      </c>
      <c r="L707" t="s">
        <v>8945</v>
      </c>
      <c r="M707" t="s">
        <v>1552</v>
      </c>
      <c r="N707" t="s">
        <v>8946</v>
      </c>
    </row>
    <row r="708" spans="1:14" x14ac:dyDescent="0.3">
      <c r="A708">
        <v>2023</v>
      </c>
      <c r="B708" s="159">
        <v>45026</v>
      </c>
      <c r="C708" s="130">
        <v>11.81</v>
      </c>
      <c r="D708" s="130">
        <v>11.9</v>
      </c>
      <c r="E708" s="130">
        <v>11.45</v>
      </c>
      <c r="F708" s="130">
        <v>11.52</v>
      </c>
      <c r="G708" s="160">
        <v>2870500</v>
      </c>
      <c r="H708" s="160">
        <f t="shared" si="10"/>
        <v>33068160</v>
      </c>
      <c r="I708" t="s">
        <v>8856</v>
      </c>
      <c r="J708">
        <v>2023</v>
      </c>
      <c r="K708">
        <v>4</v>
      </c>
      <c r="L708" t="s">
        <v>8945</v>
      </c>
      <c r="M708" t="s">
        <v>1552</v>
      </c>
      <c r="N708" t="s">
        <v>8946</v>
      </c>
    </row>
    <row r="709" spans="1:14" x14ac:dyDescent="0.3">
      <c r="A709">
        <v>2023</v>
      </c>
      <c r="B709" s="159">
        <v>45027</v>
      </c>
      <c r="C709" s="130">
        <v>11.52</v>
      </c>
      <c r="D709" s="130">
        <v>11.81</v>
      </c>
      <c r="E709" s="130">
        <v>11.52</v>
      </c>
      <c r="F709" s="130">
        <v>11.71</v>
      </c>
      <c r="G709" s="160">
        <v>405500</v>
      </c>
      <c r="H709" s="160">
        <f t="shared" si="10"/>
        <v>4748405</v>
      </c>
      <c r="I709" t="s">
        <v>8856</v>
      </c>
      <c r="J709">
        <v>2023</v>
      </c>
      <c r="K709">
        <v>4</v>
      </c>
      <c r="L709" t="s">
        <v>8945</v>
      </c>
      <c r="M709" t="s">
        <v>1552</v>
      </c>
      <c r="N709" t="s">
        <v>8946</v>
      </c>
    </row>
    <row r="710" spans="1:14" x14ac:dyDescent="0.3">
      <c r="A710">
        <v>2023</v>
      </c>
      <c r="B710" s="159">
        <v>45028</v>
      </c>
      <c r="C710" s="130">
        <v>11.71</v>
      </c>
      <c r="D710" s="130">
        <v>11.88</v>
      </c>
      <c r="E710" s="130">
        <v>11.03</v>
      </c>
      <c r="F710" s="130">
        <v>11.76</v>
      </c>
      <c r="G710" s="160">
        <v>700000</v>
      </c>
      <c r="H710" s="160">
        <f t="shared" si="10"/>
        <v>8232000</v>
      </c>
      <c r="I710" t="s">
        <v>8856</v>
      </c>
      <c r="J710">
        <v>2023</v>
      </c>
      <c r="K710">
        <v>4</v>
      </c>
      <c r="L710" t="s">
        <v>8945</v>
      </c>
      <c r="M710" t="s">
        <v>1552</v>
      </c>
      <c r="N710" t="s">
        <v>8946</v>
      </c>
    </row>
    <row r="711" spans="1:14" x14ac:dyDescent="0.3">
      <c r="A711">
        <v>2023</v>
      </c>
      <c r="B711" s="159">
        <v>45029</v>
      </c>
      <c r="C711" s="130">
        <v>11.85</v>
      </c>
      <c r="D711" s="130">
        <v>12</v>
      </c>
      <c r="E711" s="130">
        <v>11.8</v>
      </c>
      <c r="F711" s="130">
        <v>11.88</v>
      </c>
      <c r="G711" s="160">
        <v>1306500</v>
      </c>
      <c r="H711" s="160">
        <f t="shared" si="10"/>
        <v>15521220.000000002</v>
      </c>
      <c r="I711" t="s">
        <v>8856</v>
      </c>
      <c r="J711">
        <v>2023</v>
      </c>
      <c r="K711">
        <v>4</v>
      </c>
      <c r="L711" t="s">
        <v>8945</v>
      </c>
      <c r="M711" t="s">
        <v>1552</v>
      </c>
      <c r="N711" t="s">
        <v>8946</v>
      </c>
    </row>
    <row r="712" spans="1:14" x14ac:dyDescent="0.3">
      <c r="A712">
        <v>2023</v>
      </c>
      <c r="B712" s="159">
        <v>45033</v>
      </c>
      <c r="C712" s="130">
        <v>11.9</v>
      </c>
      <c r="D712" s="130">
        <v>11.9</v>
      </c>
      <c r="E712" s="130">
        <v>11.7</v>
      </c>
      <c r="F712" s="130">
        <v>11.77</v>
      </c>
      <c r="G712" s="160">
        <v>641500</v>
      </c>
      <c r="H712" s="160">
        <f t="shared" si="10"/>
        <v>7550455</v>
      </c>
      <c r="I712" t="s">
        <v>8856</v>
      </c>
      <c r="J712">
        <v>2023</v>
      </c>
      <c r="K712">
        <v>4</v>
      </c>
      <c r="L712" t="s">
        <v>8945</v>
      </c>
      <c r="M712" t="s">
        <v>1552</v>
      </c>
      <c r="N712" t="s">
        <v>8946</v>
      </c>
    </row>
    <row r="713" spans="1:14" x14ac:dyDescent="0.3">
      <c r="A713">
        <v>2023</v>
      </c>
      <c r="B713" s="159">
        <v>45034</v>
      </c>
      <c r="C713" s="130">
        <v>11.85</v>
      </c>
      <c r="D713" s="130">
        <v>11.87</v>
      </c>
      <c r="E713" s="130">
        <v>11.65</v>
      </c>
      <c r="F713" s="130">
        <v>11.8</v>
      </c>
      <c r="G713" s="160">
        <v>348500</v>
      </c>
      <c r="H713" s="160">
        <f t="shared" si="10"/>
        <v>4112300.0000000005</v>
      </c>
      <c r="I713" t="s">
        <v>8856</v>
      </c>
      <c r="J713">
        <v>2023</v>
      </c>
      <c r="K713">
        <v>4</v>
      </c>
      <c r="L713" t="s">
        <v>8945</v>
      </c>
      <c r="M713" t="s">
        <v>1552</v>
      </c>
      <c r="N713" t="s">
        <v>8946</v>
      </c>
    </row>
    <row r="714" spans="1:14" x14ac:dyDescent="0.3">
      <c r="A714">
        <v>2023</v>
      </c>
      <c r="B714" s="159">
        <v>45035</v>
      </c>
      <c r="C714" s="130">
        <v>11.8</v>
      </c>
      <c r="D714" s="130">
        <v>11.9</v>
      </c>
      <c r="E714" s="130">
        <v>11.77</v>
      </c>
      <c r="F714" s="130">
        <v>11.83</v>
      </c>
      <c r="G714" s="160">
        <v>406500</v>
      </c>
      <c r="H714" s="160">
        <f t="shared" si="10"/>
        <v>4808895</v>
      </c>
      <c r="I714" t="s">
        <v>8856</v>
      </c>
      <c r="J714">
        <v>2023</v>
      </c>
      <c r="K714">
        <v>4</v>
      </c>
      <c r="L714" t="s">
        <v>8945</v>
      </c>
      <c r="M714" t="s">
        <v>1552</v>
      </c>
      <c r="N714" t="s">
        <v>8946</v>
      </c>
    </row>
    <row r="715" spans="1:14" x14ac:dyDescent="0.3">
      <c r="A715">
        <v>2023</v>
      </c>
      <c r="B715" s="159">
        <v>45036</v>
      </c>
      <c r="C715" s="130">
        <v>11.8</v>
      </c>
      <c r="D715" s="130">
        <v>12.03</v>
      </c>
      <c r="E715" s="130">
        <v>11.69</v>
      </c>
      <c r="F715" s="130">
        <v>11.85</v>
      </c>
      <c r="G715" s="160">
        <v>2797500</v>
      </c>
      <c r="H715" s="160">
        <f t="shared" si="10"/>
        <v>33150375</v>
      </c>
      <c r="I715" t="s">
        <v>8856</v>
      </c>
      <c r="J715">
        <v>2023</v>
      </c>
      <c r="K715">
        <v>4</v>
      </c>
      <c r="L715" t="s">
        <v>8945</v>
      </c>
      <c r="M715" t="s">
        <v>1552</v>
      </c>
      <c r="N715" t="s">
        <v>8946</v>
      </c>
    </row>
    <row r="716" spans="1:14" x14ac:dyDescent="0.3">
      <c r="A716">
        <v>2023</v>
      </c>
      <c r="B716" s="159">
        <v>45042</v>
      </c>
      <c r="C716" s="130">
        <v>11.76</v>
      </c>
      <c r="D716" s="130">
        <v>11.95</v>
      </c>
      <c r="E716" s="130">
        <v>11.65</v>
      </c>
      <c r="F716" s="130">
        <v>11.7</v>
      </c>
      <c r="G716" s="160">
        <v>958000</v>
      </c>
      <c r="H716" s="160">
        <f t="shared" si="10"/>
        <v>11208600</v>
      </c>
      <c r="I716" t="s">
        <v>8856</v>
      </c>
      <c r="J716">
        <v>2023</v>
      </c>
      <c r="K716">
        <v>4</v>
      </c>
      <c r="L716" t="s">
        <v>8945</v>
      </c>
      <c r="M716" t="s">
        <v>1552</v>
      </c>
      <c r="N716" t="s">
        <v>8946</v>
      </c>
    </row>
    <row r="717" spans="1:14" x14ac:dyDescent="0.3">
      <c r="A717">
        <v>2023</v>
      </c>
      <c r="B717" s="159">
        <v>45043</v>
      </c>
      <c r="C717" s="130">
        <v>11.61</v>
      </c>
      <c r="D717" s="130">
        <v>12.08</v>
      </c>
      <c r="E717" s="130">
        <v>11.61</v>
      </c>
      <c r="F717" s="130">
        <v>11.98</v>
      </c>
      <c r="G717" s="160">
        <v>2846500</v>
      </c>
      <c r="H717" s="160">
        <f t="shared" si="10"/>
        <v>34101070</v>
      </c>
      <c r="I717" t="s">
        <v>8856</v>
      </c>
      <c r="J717">
        <v>2023</v>
      </c>
      <c r="K717">
        <v>4</v>
      </c>
      <c r="L717" t="s">
        <v>8945</v>
      </c>
      <c r="M717" t="s">
        <v>1552</v>
      </c>
      <c r="N717" t="s">
        <v>8946</v>
      </c>
    </row>
    <row r="718" spans="1:14" x14ac:dyDescent="0.3">
      <c r="A718">
        <v>2023</v>
      </c>
      <c r="B718" s="159">
        <v>45044</v>
      </c>
      <c r="C718" s="130">
        <v>12.1</v>
      </c>
      <c r="D718" s="130">
        <v>12.1</v>
      </c>
      <c r="E718" s="130">
        <v>11.95</v>
      </c>
      <c r="F718" s="130">
        <v>12.05</v>
      </c>
      <c r="G718" s="160">
        <v>2710000</v>
      </c>
      <c r="H718" s="160">
        <f t="shared" si="10"/>
        <v>32655500.000000004</v>
      </c>
      <c r="I718" t="s">
        <v>8856</v>
      </c>
      <c r="J718">
        <v>2023</v>
      </c>
      <c r="K718">
        <v>4</v>
      </c>
      <c r="L718" t="s">
        <v>8945</v>
      </c>
      <c r="M718" t="s">
        <v>1552</v>
      </c>
      <c r="N718" t="s">
        <v>8946</v>
      </c>
    </row>
    <row r="719" spans="1:14" x14ac:dyDescent="0.3">
      <c r="A719">
        <v>2023</v>
      </c>
      <c r="B719" s="159">
        <v>45048</v>
      </c>
      <c r="C719" s="130">
        <v>12.1</v>
      </c>
      <c r="D719" s="130">
        <v>12.33</v>
      </c>
      <c r="E719" s="130">
        <v>12</v>
      </c>
      <c r="F719" s="130">
        <v>12.2</v>
      </c>
      <c r="G719" s="160">
        <v>2567000</v>
      </c>
      <c r="H719" s="160">
        <f t="shared" si="10"/>
        <v>31317400</v>
      </c>
      <c r="I719" t="s">
        <v>8857</v>
      </c>
      <c r="J719">
        <v>2023</v>
      </c>
      <c r="K719">
        <v>5</v>
      </c>
      <c r="L719" t="s">
        <v>8947</v>
      </c>
      <c r="M719" t="s">
        <v>1552</v>
      </c>
      <c r="N719" t="s">
        <v>8948</v>
      </c>
    </row>
    <row r="720" spans="1:14" x14ac:dyDescent="0.3">
      <c r="A720">
        <v>2023</v>
      </c>
      <c r="B720" s="159">
        <v>45049</v>
      </c>
      <c r="C720" s="130">
        <v>12.25</v>
      </c>
      <c r="D720" s="130">
        <v>12.45</v>
      </c>
      <c r="E720" s="130">
        <v>12</v>
      </c>
      <c r="F720" s="130">
        <v>12.3</v>
      </c>
      <c r="G720" s="160">
        <v>6388500</v>
      </c>
      <c r="H720" s="160">
        <f t="shared" ref="H720:H783" si="11">F720*G720</f>
        <v>78578550</v>
      </c>
      <c r="I720" t="s">
        <v>8857</v>
      </c>
      <c r="J720">
        <v>2023</v>
      </c>
      <c r="K720">
        <v>5</v>
      </c>
      <c r="L720" t="s">
        <v>8947</v>
      </c>
      <c r="M720" t="s">
        <v>1552</v>
      </c>
      <c r="N720" t="s">
        <v>8948</v>
      </c>
    </row>
    <row r="721" spans="1:14" x14ac:dyDescent="0.3">
      <c r="A721">
        <v>2023</v>
      </c>
      <c r="B721" s="159">
        <v>45050</v>
      </c>
      <c r="C721" s="130">
        <v>12.36</v>
      </c>
      <c r="D721" s="130">
        <v>12.59</v>
      </c>
      <c r="E721" s="130">
        <v>12.14</v>
      </c>
      <c r="F721" s="130">
        <v>12.18</v>
      </c>
      <c r="G721" s="160">
        <v>7383500</v>
      </c>
      <c r="H721" s="160">
        <f t="shared" si="11"/>
        <v>89931030</v>
      </c>
      <c r="I721" t="s">
        <v>8857</v>
      </c>
      <c r="J721">
        <v>2023</v>
      </c>
      <c r="K721">
        <v>5</v>
      </c>
      <c r="L721" t="s">
        <v>8947</v>
      </c>
      <c r="M721" t="s">
        <v>1552</v>
      </c>
      <c r="N721" t="s">
        <v>8948</v>
      </c>
    </row>
    <row r="722" spans="1:14" x14ac:dyDescent="0.3">
      <c r="A722">
        <v>2023</v>
      </c>
      <c r="B722" s="159">
        <v>45051</v>
      </c>
      <c r="C722" s="130">
        <v>12.17</v>
      </c>
      <c r="D722" s="130">
        <v>12.44</v>
      </c>
      <c r="E722" s="130">
        <v>12.04</v>
      </c>
      <c r="F722" s="130">
        <v>12.28</v>
      </c>
      <c r="G722" s="160">
        <v>2003000</v>
      </c>
      <c r="H722" s="160">
        <f t="shared" si="11"/>
        <v>24596840</v>
      </c>
      <c r="I722" t="s">
        <v>8857</v>
      </c>
      <c r="J722">
        <v>2023</v>
      </c>
      <c r="K722">
        <v>5</v>
      </c>
      <c r="L722" t="s">
        <v>8947</v>
      </c>
      <c r="M722" t="s">
        <v>1552</v>
      </c>
      <c r="N722" t="s">
        <v>8948</v>
      </c>
    </row>
    <row r="723" spans="1:14" x14ac:dyDescent="0.3">
      <c r="A723">
        <v>2023</v>
      </c>
      <c r="B723" s="159">
        <v>45054</v>
      </c>
      <c r="C723" s="130">
        <v>12.13</v>
      </c>
      <c r="D723" s="130">
        <v>12.25</v>
      </c>
      <c r="E723" s="130">
        <v>11.87</v>
      </c>
      <c r="F723" s="130">
        <v>11.99</v>
      </c>
      <c r="G723" s="160">
        <v>1516500</v>
      </c>
      <c r="H723" s="160">
        <f t="shared" si="11"/>
        <v>18182835</v>
      </c>
      <c r="I723" t="s">
        <v>8857</v>
      </c>
      <c r="J723">
        <v>2023</v>
      </c>
      <c r="K723">
        <v>5</v>
      </c>
      <c r="L723" t="s">
        <v>8947</v>
      </c>
      <c r="M723" t="s">
        <v>1552</v>
      </c>
      <c r="N723" t="s">
        <v>8948</v>
      </c>
    </row>
    <row r="724" spans="1:14" x14ac:dyDescent="0.3">
      <c r="A724">
        <v>2023</v>
      </c>
      <c r="B724" s="159">
        <v>45055</v>
      </c>
      <c r="C724" s="130">
        <v>11.85</v>
      </c>
      <c r="D724" s="130">
        <v>12.18</v>
      </c>
      <c r="E724" s="130">
        <v>11.7</v>
      </c>
      <c r="F724" s="130">
        <v>11.85</v>
      </c>
      <c r="G724" s="160">
        <v>2888500</v>
      </c>
      <c r="H724" s="160">
        <f t="shared" si="11"/>
        <v>34228725</v>
      </c>
      <c r="I724" t="s">
        <v>8857</v>
      </c>
      <c r="J724">
        <v>2023</v>
      </c>
      <c r="K724">
        <v>5</v>
      </c>
      <c r="L724" t="s">
        <v>8947</v>
      </c>
      <c r="M724" t="s">
        <v>1552</v>
      </c>
      <c r="N724" t="s">
        <v>8948</v>
      </c>
    </row>
    <row r="725" spans="1:14" x14ac:dyDescent="0.3">
      <c r="A725">
        <v>2023</v>
      </c>
      <c r="B725" s="159">
        <v>45056</v>
      </c>
      <c r="C725" s="130">
        <v>12</v>
      </c>
      <c r="D725" s="130">
        <v>12.05</v>
      </c>
      <c r="E725" s="130">
        <v>11.9</v>
      </c>
      <c r="F725" s="130">
        <v>11.92</v>
      </c>
      <c r="G725" s="160">
        <v>2447000</v>
      </c>
      <c r="H725" s="160">
        <f t="shared" si="11"/>
        <v>29168240</v>
      </c>
      <c r="I725" t="s">
        <v>8857</v>
      </c>
      <c r="J725">
        <v>2023</v>
      </c>
      <c r="K725">
        <v>5</v>
      </c>
      <c r="L725" t="s">
        <v>8947</v>
      </c>
      <c r="M725" t="s">
        <v>1552</v>
      </c>
      <c r="N725" t="s">
        <v>8948</v>
      </c>
    </row>
    <row r="726" spans="1:14" x14ac:dyDescent="0.3">
      <c r="A726">
        <v>2023</v>
      </c>
      <c r="B726" s="159">
        <v>45057</v>
      </c>
      <c r="C726" s="130">
        <v>12.12</v>
      </c>
      <c r="D726" s="130">
        <v>12.14</v>
      </c>
      <c r="E726" s="130">
        <v>12</v>
      </c>
      <c r="F726" s="130">
        <v>12.06</v>
      </c>
      <c r="G726" s="160">
        <v>1297000</v>
      </c>
      <c r="H726" s="160">
        <f t="shared" si="11"/>
        <v>15641820</v>
      </c>
      <c r="I726" t="s">
        <v>8857</v>
      </c>
      <c r="J726">
        <v>2023</v>
      </c>
      <c r="K726">
        <v>5</v>
      </c>
      <c r="L726" t="s">
        <v>8947</v>
      </c>
      <c r="M726" t="s">
        <v>1552</v>
      </c>
      <c r="N726" t="s">
        <v>8948</v>
      </c>
    </row>
    <row r="727" spans="1:14" x14ac:dyDescent="0.3">
      <c r="A727">
        <v>2023</v>
      </c>
      <c r="B727" s="159">
        <v>45058</v>
      </c>
      <c r="C727" s="130">
        <v>12.05</v>
      </c>
      <c r="D727" s="130">
        <v>12.23</v>
      </c>
      <c r="E727" s="130">
        <v>12</v>
      </c>
      <c r="F727" s="130">
        <v>12.13</v>
      </c>
      <c r="G727" s="160">
        <v>1835000</v>
      </c>
      <c r="H727" s="160">
        <f t="shared" si="11"/>
        <v>22258550</v>
      </c>
      <c r="I727" t="s">
        <v>8857</v>
      </c>
      <c r="J727">
        <v>2023</v>
      </c>
      <c r="K727">
        <v>5</v>
      </c>
      <c r="L727" t="s">
        <v>8947</v>
      </c>
      <c r="M727" t="s">
        <v>1552</v>
      </c>
      <c r="N727" t="s">
        <v>8948</v>
      </c>
    </row>
    <row r="728" spans="1:14" x14ac:dyDescent="0.3">
      <c r="A728">
        <v>2023</v>
      </c>
      <c r="B728" s="159">
        <v>45061</v>
      </c>
      <c r="C728" s="130">
        <v>11.98</v>
      </c>
      <c r="D728" s="130">
        <v>12.42</v>
      </c>
      <c r="E728" s="130">
        <v>11.98</v>
      </c>
      <c r="F728" s="130">
        <v>12.32</v>
      </c>
      <c r="G728" s="160">
        <v>2225500</v>
      </c>
      <c r="H728" s="160">
        <f t="shared" si="11"/>
        <v>27418160</v>
      </c>
      <c r="I728" t="s">
        <v>8857</v>
      </c>
      <c r="J728">
        <v>2023</v>
      </c>
      <c r="K728">
        <v>5</v>
      </c>
      <c r="L728" t="s">
        <v>8947</v>
      </c>
      <c r="M728" t="s">
        <v>1552</v>
      </c>
      <c r="N728" t="s">
        <v>8948</v>
      </c>
    </row>
    <row r="729" spans="1:14" x14ac:dyDescent="0.3">
      <c r="A729">
        <v>2023</v>
      </c>
      <c r="B729" s="159">
        <v>45062</v>
      </c>
      <c r="C729" s="130">
        <v>12.45</v>
      </c>
      <c r="D729" s="130">
        <v>12.56</v>
      </c>
      <c r="E729" s="130">
        <v>12.15</v>
      </c>
      <c r="F729" s="130">
        <v>12.19</v>
      </c>
      <c r="G729" s="160">
        <v>5521000</v>
      </c>
      <c r="H729" s="160">
        <f t="shared" si="11"/>
        <v>67300990</v>
      </c>
      <c r="I729" t="s">
        <v>8857</v>
      </c>
      <c r="J729">
        <v>2023</v>
      </c>
      <c r="K729">
        <v>5</v>
      </c>
      <c r="L729" t="s">
        <v>8947</v>
      </c>
      <c r="M729" t="s">
        <v>1552</v>
      </c>
      <c r="N729" t="s">
        <v>8948</v>
      </c>
    </row>
    <row r="730" spans="1:14" x14ac:dyDescent="0.3">
      <c r="A730">
        <v>2023</v>
      </c>
      <c r="B730" s="159">
        <v>45063</v>
      </c>
      <c r="C730" s="130">
        <v>12.15</v>
      </c>
      <c r="D730" s="130">
        <v>12.25</v>
      </c>
      <c r="E730" s="130">
        <v>12.1</v>
      </c>
      <c r="F730" s="130">
        <v>12.15</v>
      </c>
      <c r="G730" s="160">
        <v>2065000</v>
      </c>
      <c r="H730" s="160">
        <f t="shared" si="11"/>
        <v>25089750</v>
      </c>
      <c r="I730" t="s">
        <v>8857</v>
      </c>
      <c r="J730">
        <v>2023</v>
      </c>
      <c r="K730">
        <v>5</v>
      </c>
      <c r="L730" t="s">
        <v>8947</v>
      </c>
      <c r="M730" t="s">
        <v>1552</v>
      </c>
      <c r="N730" t="s">
        <v>8948</v>
      </c>
    </row>
    <row r="731" spans="1:14" x14ac:dyDescent="0.3">
      <c r="A731">
        <v>2023</v>
      </c>
      <c r="B731" s="159">
        <v>45064</v>
      </c>
      <c r="C731" s="130">
        <v>12.29</v>
      </c>
      <c r="D731" s="130">
        <v>12.3</v>
      </c>
      <c r="E731" s="130">
        <v>11.93</v>
      </c>
      <c r="F731" s="130">
        <v>11.98</v>
      </c>
      <c r="G731" s="160">
        <v>777000</v>
      </c>
      <c r="H731" s="160">
        <f t="shared" si="11"/>
        <v>9308460</v>
      </c>
      <c r="I731" t="s">
        <v>8857</v>
      </c>
      <c r="J731">
        <v>2023</v>
      </c>
      <c r="K731">
        <v>5</v>
      </c>
      <c r="L731" t="s">
        <v>8947</v>
      </c>
      <c r="M731" t="s">
        <v>1552</v>
      </c>
      <c r="N731" t="s">
        <v>8948</v>
      </c>
    </row>
    <row r="732" spans="1:14" x14ac:dyDescent="0.3">
      <c r="A732">
        <v>2023</v>
      </c>
      <c r="B732" s="159">
        <v>45065</v>
      </c>
      <c r="C732" s="130">
        <v>12.09</v>
      </c>
      <c r="D732" s="130">
        <v>12.11</v>
      </c>
      <c r="E732" s="130">
        <v>11.93</v>
      </c>
      <c r="F732" s="130">
        <v>11.98</v>
      </c>
      <c r="G732" s="160">
        <v>1614000</v>
      </c>
      <c r="H732" s="160">
        <f t="shared" si="11"/>
        <v>19335720</v>
      </c>
      <c r="I732" t="s">
        <v>8857</v>
      </c>
      <c r="J732">
        <v>2023</v>
      </c>
      <c r="K732">
        <v>5</v>
      </c>
      <c r="L732" t="s">
        <v>8947</v>
      </c>
      <c r="M732" t="s">
        <v>1552</v>
      </c>
      <c r="N732" t="s">
        <v>8948</v>
      </c>
    </row>
    <row r="733" spans="1:14" x14ac:dyDescent="0.3">
      <c r="A733">
        <v>2023</v>
      </c>
      <c r="B733" s="159">
        <v>45068</v>
      </c>
      <c r="C733" s="130">
        <v>11.9</v>
      </c>
      <c r="D733" s="130">
        <v>11.99</v>
      </c>
      <c r="E733" s="130">
        <v>11.72</v>
      </c>
      <c r="F733" s="130">
        <v>11.92</v>
      </c>
      <c r="G733" s="160">
        <v>1309500</v>
      </c>
      <c r="H733" s="160">
        <f t="shared" si="11"/>
        <v>15609240</v>
      </c>
      <c r="I733" t="s">
        <v>8857</v>
      </c>
      <c r="J733">
        <v>2023</v>
      </c>
      <c r="K733">
        <v>5</v>
      </c>
      <c r="L733" t="s">
        <v>8947</v>
      </c>
      <c r="M733" t="s">
        <v>1552</v>
      </c>
      <c r="N733" t="s">
        <v>8948</v>
      </c>
    </row>
    <row r="734" spans="1:14" x14ac:dyDescent="0.3">
      <c r="A734">
        <v>2023</v>
      </c>
      <c r="B734" s="159">
        <v>45069</v>
      </c>
      <c r="C734" s="130">
        <v>11.95</v>
      </c>
      <c r="D734" s="130">
        <v>11.98</v>
      </c>
      <c r="E734" s="130">
        <v>11.78</v>
      </c>
      <c r="F734" s="130">
        <v>11.82</v>
      </c>
      <c r="G734" s="160">
        <v>624000</v>
      </c>
      <c r="H734" s="160">
        <f t="shared" si="11"/>
        <v>7375680</v>
      </c>
      <c r="I734" t="s">
        <v>8857</v>
      </c>
      <c r="J734">
        <v>2023</v>
      </c>
      <c r="K734">
        <v>5</v>
      </c>
      <c r="L734" t="s">
        <v>8947</v>
      </c>
      <c r="M734" t="s">
        <v>1552</v>
      </c>
      <c r="N734" t="s">
        <v>8948</v>
      </c>
    </row>
    <row r="735" spans="1:14" x14ac:dyDescent="0.3">
      <c r="A735">
        <v>2023</v>
      </c>
      <c r="B735" s="159">
        <v>45070</v>
      </c>
      <c r="C735" s="130">
        <v>11.86</v>
      </c>
      <c r="D735" s="130">
        <v>11.9</v>
      </c>
      <c r="E735" s="130">
        <v>11.7</v>
      </c>
      <c r="F735" s="130">
        <v>11.79</v>
      </c>
      <c r="G735" s="160">
        <v>670500</v>
      </c>
      <c r="H735" s="160">
        <f t="shared" si="11"/>
        <v>7905194.9999999991</v>
      </c>
      <c r="I735" t="s">
        <v>8857</v>
      </c>
      <c r="J735">
        <v>2023</v>
      </c>
      <c r="K735">
        <v>5</v>
      </c>
      <c r="L735" t="s">
        <v>8947</v>
      </c>
      <c r="M735" t="s">
        <v>1552</v>
      </c>
      <c r="N735" t="s">
        <v>8948</v>
      </c>
    </row>
    <row r="736" spans="1:14" x14ac:dyDescent="0.3">
      <c r="A736">
        <v>2023</v>
      </c>
      <c r="B736" s="159">
        <v>45071</v>
      </c>
      <c r="C736" s="130">
        <v>11.9</v>
      </c>
      <c r="D736" s="130">
        <v>12</v>
      </c>
      <c r="E736" s="130">
        <v>11.7</v>
      </c>
      <c r="F736" s="130">
        <v>11.76</v>
      </c>
      <c r="G736" s="160">
        <v>618500</v>
      </c>
      <c r="H736" s="160">
        <f t="shared" si="11"/>
        <v>7273560</v>
      </c>
      <c r="I736" t="s">
        <v>8857</v>
      </c>
      <c r="J736">
        <v>2023</v>
      </c>
      <c r="K736">
        <v>5</v>
      </c>
      <c r="L736" t="s">
        <v>8947</v>
      </c>
      <c r="M736" t="s">
        <v>1552</v>
      </c>
      <c r="N736" t="s">
        <v>8948</v>
      </c>
    </row>
    <row r="737" spans="1:14" x14ac:dyDescent="0.3">
      <c r="A737">
        <v>2023</v>
      </c>
      <c r="B737" s="159">
        <v>45072</v>
      </c>
      <c r="C737" s="130">
        <v>11.8</v>
      </c>
      <c r="D737" s="130">
        <v>12.05</v>
      </c>
      <c r="E737" s="130">
        <v>11.8</v>
      </c>
      <c r="F737" s="130">
        <v>11.87</v>
      </c>
      <c r="G737" s="160">
        <v>5559000</v>
      </c>
      <c r="H737" s="160">
        <f t="shared" si="11"/>
        <v>65985329.999999993</v>
      </c>
      <c r="I737" t="s">
        <v>8857</v>
      </c>
      <c r="J737">
        <v>2023</v>
      </c>
      <c r="K737">
        <v>5</v>
      </c>
      <c r="L737" t="s">
        <v>8947</v>
      </c>
      <c r="M737" t="s">
        <v>1552</v>
      </c>
      <c r="N737" t="s">
        <v>8948</v>
      </c>
    </row>
    <row r="738" spans="1:14" x14ac:dyDescent="0.3">
      <c r="A738">
        <v>2023</v>
      </c>
      <c r="B738" s="159">
        <v>45075</v>
      </c>
      <c r="C738" s="130">
        <v>11.89</v>
      </c>
      <c r="D738" s="130">
        <v>12.4</v>
      </c>
      <c r="E738" s="130">
        <v>11.89</v>
      </c>
      <c r="F738" s="130">
        <v>12.03</v>
      </c>
      <c r="G738" s="160">
        <v>5312000</v>
      </c>
      <c r="H738" s="160">
        <f t="shared" si="11"/>
        <v>63903360</v>
      </c>
      <c r="I738" t="s">
        <v>8857</v>
      </c>
      <c r="J738">
        <v>2023</v>
      </c>
      <c r="K738">
        <v>5</v>
      </c>
      <c r="L738" t="s">
        <v>8947</v>
      </c>
      <c r="M738" t="s">
        <v>1552</v>
      </c>
      <c r="N738" t="s">
        <v>8948</v>
      </c>
    </row>
    <row r="739" spans="1:14" x14ac:dyDescent="0.3">
      <c r="A739">
        <v>2023</v>
      </c>
      <c r="B739" s="159">
        <v>45076</v>
      </c>
      <c r="C739" s="130">
        <v>12.13</v>
      </c>
      <c r="D739" s="130">
        <v>12.16</v>
      </c>
      <c r="E739" s="130">
        <v>11.9</v>
      </c>
      <c r="F739" s="130">
        <v>12.13</v>
      </c>
      <c r="G739" s="160">
        <v>2092500</v>
      </c>
      <c r="H739" s="160">
        <f t="shared" si="11"/>
        <v>25382025</v>
      </c>
      <c r="I739" t="s">
        <v>8857</v>
      </c>
      <c r="J739">
        <v>2023</v>
      </c>
      <c r="K739">
        <v>5</v>
      </c>
      <c r="L739" t="s">
        <v>8947</v>
      </c>
      <c r="M739" t="s">
        <v>1552</v>
      </c>
      <c r="N739" t="s">
        <v>8948</v>
      </c>
    </row>
    <row r="740" spans="1:14" x14ac:dyDescent="0.3">
      <c r="A740">
        <v>2023</v>
      </c>
      <c r="B740" s="159">
        <v>45077</v>
      </c>
      <c r="C740" s="130">
        <v>12.19</v>
      </c>
      <c r="D740" s="130">
        <v>12.36</v>
      </c>
      <c r="E740" s="130">
        <v>11.74</v>
      </c>
      <c r="F740" s="130">
        <v>11.78</v>
      </c>
      <c r="G740" s="160">
        <v>6478000</v>
      </c>
      <c r="H740" s="160">
        <f t="shared" si="11"/>
        <v>76310840</v>
      </c>
      <c r="I740" t="s">
        <v>8857</v>
      </c>
      <c r="J740">
        <v>2023</v>
      </c>
      <c r="K740">
        <v>5</v>
      </c>
      <c r="L740" t="s">
        <v>8947</v>
      </c>
      <c r="M740" t="s">
        <v>1552</v>
      </c>
      <c r="N740" t="s">
        <v>8948</v>
      </c>
    </row>
    <row r="741" spans="1:14" x14ac:dyDescent="0.3">
      <c r="A741">
        <v>2023</v>
      </c>
      <c r="B741" s="159">
        <v>45078</v>
      </c>
      <c r="C741" s="130">
        <v>11.94</v>
      </c>
      <c r="D741" s="130">
        <v>12</v>
      </c>
      <c r="E741" s="130">
        <v>11.81</v>
      </c>
      <c r="F741" s="130">
        <v>11.85</v>
      </c>
      <c r="G741" s="160">
        <v>1326000</v>
      </c>
      <c r="H741" s="160">
        <f t="shared" si="11"/>
        <v>15713100</v>
      </c>
      <c r="I741" t="s">
        <v>8858</v>
      </c>
      <c r="J741">
        <v>2023</v>
      </c>
      <c r="K741">
        <v>6</v>
      </c>
      <c r="L741" t="s">
        <v>8949</v>
      </c>
      <c r="M741" t="s">
        <v>1552</v>
      </c>
      <c r="N741" t="s">
        <v>8950</v>
      </c>
    </row>
    <row r="742" spans="1:14" x14ac:dyDescent="0.3">
      <c r="A742">
        <v>2023</v>
      </c>
      <c r="B742" s="159">
        <v>45079</v>
      </c>
      <c r="C742" s="130">
        <v>11.9</v>
      </c>
      <c r="D742" s="130">
        <v>12.21</v>
      </c>
      <c r="E742" s="130">
        <v>11.84</v>
      </c>
      <c r="F742" s="130">
        <v>12.16</v>
      </c>
      <c r="G742" s="160">
        <v>2811000</v>
      </c>
      <c r="H742" s="160">
        <f t="shared" si="11"/>
        <v>34181760</v>
      </c>
      <c r="I742" t="s">
        <v>8858</v>
      </c>
      <c r="J742">
        <v>2023</v>
      </c>
      <c r="K742">
        <v>6</v>
      </c>
      <c r="L742" t="s">
        <v>8949</v>
      </c>
      <c r="M742" t="s">
        <v>1552</v>
      </c>
      <c r="N742" t="s">
        <v>8950</v>
      </c>
    </row>
    <row r="743" spans="1:14" x14ac:dyDescent="0.3">
      <c r="A743">
        <v>2023</v>
      </c>
      <c r="B743" s="159">
        <v>45082</v>
      </c>
      <c r="C743" s="130">
        <v>12.17</v>
      </c>
      <c r="D743" s="130">
        <v>12.49</v>
      </c>
      <c r="E743" s="130">
        <v>12.03</v>
      </c>
      <c r="F743" s="130">
        <v>12.39</v>
      </c>
      <c r="G743" s="160">
        <v>2499000</v>
      </c>
      <c r="H743" s="160">
        <f t="shared" si="11"/>
        <v>30962610</v>
      </c>
      <c r="I743" t="s">
        <v>8858</v>
      </c>
      <c r="J743">
        <v>2023</v>
      </c>
      <c r="K743">
        <v>6</v>
      </c>
      <c r="L743" t="s">
        <v>8949</v>
      </c>
      <c r="M743" t="s">
        <v>1552</v>
      </c>
      <c r="N743" t="s">
        <v>8950</v>
      </c>
    </row>
    <row r="744" spans="1:14" x14ac:dyDescent="0.3">
      <c r="A744">
        <v>2023</v>
      </c>
      <c r="B744" s="159">
        <v>45083</v>
      </c>
      <c r="C744" s="130">
        <v>12.34</v>
      </c>
      <c r="D744" s="130">
        <v>12.8</v>
      </c>
      <c r="E744" s="130">
        <v>12.25</v>
      </c>
      <c r="F744" s="130">
        <v>12.43</v>
      </c>
      <c r="G744" s="160">
        <v>6026000</v>
      </c>
      <c r="H744" s="160">
        <f t="shared" si="11"/>
        <v>74903180</v>
      </c>
      <c r="I744" t="s">
        <v>8858</v>
      </c>
      <c r="J744">
        <v>2023</v>
      </c>
      <c r="K744">
        <v>6</v>
      </c>
      <c r="L744" t="s">
        <v>8949</v>
      </c>
      <c r="M744" t="s">
        <v>1552</v>
      </c>
      <c r="N744" t="s">
        <v>8950</v>
      </c>
    </row>
    <row r="745" spans="1:14" x14ac:dyDescent="0.3">
      <c r="A745">
        <v>2023</v>
      </c>
      <c r="B745" s="159">
        <v>45084</v>
      </c>
      <c r="C745" s="130">
        <v>12.51</v>
      </c>
      <c r="D745" s="130">
        <v>12.76</v>
      </c>
      <c r="E745" s="130">
        <v>12.3</v>
      </c>
      <c r="F745" s="130">
        <v>12.65</v>
      </c>
      <c r="G745" s="160">
        <v>4911000</v>
      </c>
      <c r="H745" s="160">
        <f t="shared" si="11"/>
        <v>62124150</v>
      </c>
      <c r="I745" t="s">
        <v>8858</v>
      </c>
      <c r="J745">
        <v>2023</v>
      </c>
      <c r="K745">
        <v>6</v>
      </c>
      <c r="L745" t="s">
        <v>8949</v>
      </c>
      <c r="M745" t="s">
        <v>1552</v>
      </c>
      <c r="N745" t="s">
        <v>8950</v>
      </c>
    </row>
    <row r="746" spans="1:14" x14ac:dyDescent="0.3">
      <c r="A746">
        <v>2023</v>
      </c>
      <c r="B746" s="159">
        <v>45085</v>
      </c>
      <c r="C746" s="130">
        <v>12.7</v>
      </c>
      <c r="D746" s="130">
        <v>12.82</v>
      </c>
      <c r="E746" s="130">
        <v>12.42</v>
      </c>
      <c r="F746" s="130">
        <v>12.47</v>
      </c>
      <c r="G746" s="160">
        <v>4608000</v>
      </c>
      <c r="H746" s="160">
        <f t="shared" si="11"/>
        <v>57461760</v>
      </c>
      <c r="I746" t="s">
        <v>8858</v>
      </c>
      <c r="J746">
        <v>2023</v>
      </c>
      <c r="K746">
        <v>6</v>
      </c>
      <c r="L746" t="s">
        <v>8949</v>
      </c>
      <c r="M746" t="s">
        <v>1552</v>
      </c>
      <c r="N746" t="s">
        <v>8950</v>
      </c>
    </row>
    <row r="747" spans="1:14" x14ac:dyDescent="0.3">
      <c r="A747">
        <v>2023</v>
      </c>
      <c r="B747" s="159">
        <v>45086</v>
      </c>
      <c r="C747" s="130">
        <v>12.47</v>
      </c>
      <c r="D747" s="130">
        <v>12.55</v>
      </c>
      <c r="E747" s="130">
        <v>12.37</v>
      </c>
      <c r="F747" s="130">
        <v>12.45</v>
      </c>
      <c r="G747" s="160">
        <v>609000</v>
      </c>
      <c r="H747" s="160">
        <f t="shared" si="11"/>
        <v>7582050</v>
      </c>
      <c r="I747" t="s">
        <v>8858</v>
      </c>
      <c r="J747">
        <v>2023</v>
      </c>
      <c r="K747">
        <v>6</v>
      </c>
      <c r="L747" t="s">
        <v>8949</v>
      </c>
      <c r="M747" t="s">
        <v>1552</v>
      </c>
      <c r="N747" t="s">
        <v>8950</v>
      </c>
    </row>
    <row r="748" spans="1:14" x14ac:dyDescent="0.3">
      <c r="A748">
        <v>2023</v>
      </c>
      <c r="B748" s="159">
        <v>45089</v>
      </c>
      <c r="C748" s="130">
        <v>12.4</v>
      </c>
      <c r="D748" s="130">
        <v>12.8</v>
      </c>
      <c r="E748" s="130">
        <v>12.38</v>
      </c>
      <c r="F748" s="130">
        <v>12.45</v>
      </c>
      <c r="G748" s="160">
        <v>2784500</v>
      </c>
      <c r="H748" s="160">
        <f t="shared" si="11"/>
        <v>34667025</v>
      </c>
      <c r="I748" t="s">
        <v>8858</v>
      </c>
      <c r="J748">
        <v>2023</v>
      </c>
      <c r="K748">
        <v>6</v>
      </c>
      <c r="L748" t="s">
        <v>8949</v>
      </c>
      <c r="M748" t="s">
        <v>1552</v>
      </c>
      <c r="N748" t="s">
        <v>8950</v>
      </c>
    </row>
    <row r="749" spans="1:14" x14ac:dyDescent="0.3">
      <c r="A749">
        <v>2023</v>
      </c>
      <c r="B749" s="159">
        <v>45090</v>
      </c>
      <c r="C749" s="130">
        <v>12.59</v>
      </c>
      <c r="D749" s="130">
        <v>12.61</v>
      </c>
      <c r="E749" s="130">
        <v>12.25</v>
      </c>
      <c r="F749" s="130">
        <v>12.27</v>
      </c>
      <c r="G749" s="160">
        <v>845000</v>
      </c>
      <c r="H749" s="160">
        <f t="shared" si="11"/>
        <v>10368150</v>
      </c>
      <c r="I749" t="s">
        <v>8858</v>
      </c>
      <c r="J749">
        <v>2023</v>
      </c>
      <c r="K749">
        <v>6</v>
      </c>
      <c r="L749" t="s">
        <v>8949</v>
      </c>
      <c r="M749" t="s">
        <v>1552</v>
      </c>
      <c r="N749" t="s">
        <v>8950</v>
      </c>
    </row>
    <row r="750" spans="1:14" x14ac:dyDescent="0.3">
      <c r="A750">
        <v>2023</v>
      </c>
      <c r="B750" s="159">
        <v>45091</v>
      </c>
      <c r="C750" s="130">
        <v>12.22</v>
      </c>
      <c r="D750" s="130">
        <v>12.3</v>
      </c>
      <c r="E750" s="130">
        <v>12.15</v>
      </c>
      <c r="F750" s="130">
        <v>12.17</v>
      </c>
      <c r="G750" s="160">
        <v>512500</v>
      </c>
      <c r="H750" s="160">
        <f t="shared" si="11"/>
        <v>6237125</v>
      </c>
      <c r="I750" t="s">
        <v>8858</v>
      </c>
      <c r="J750">
        <v>2023</v>
      </c>
      <c r="K750">
        <v>6</v>
      </c>
      <c r="L750" t="s">
        <v>8949</v>
      </c>
      <c r="M750" t="s">
        <v>1552</v>
      </c>
      <c r="N750" t="s">
        <v>8950</v>
      </c>
    </row>
    <row r="751" spans="1:14" x14ac:dyDescent="0.3">
      <c r="A751">
        <v>2023</v>
      </c>
      <c r="B751" s="159">
        <v>45092</v>
      </c>
      <c r="C751" s="130">
        <v>12.1</v>
      </c>
      <c r="D751" s="130">
        <v>12.23</v>
      </c>
      <c r="E751" s="130">
        <v>12.05</v>
      </c>
      <c r="F751" s="130">
        <v>12.11</v>
      </c>
      <c r="G751" s="160">
        <v>680500</v>
      </c>
      <c r="H751" s="160">
        <f t="shared" si="11"/>
        <v>8240855</v>
      </c>
      <c r="I751" t="s">
        <v>8858</v>
      </c>
      <c r="J751">
        <v>2023</v>
      </c>
      <c r="K751">
        <v>6</v>
      </c>
      <c r="L751" t="s">
        <v>8949</v>
      </c>
      <c r="M751" t="s">
        <v>1552</v>
      </c>
      <c r="N751" t="s">
        <v>8950</v>
      </c>
    </row>
    <row r="752" spans="1:14" x14ac:dyDescent="0.3">
      <c r="A752">
        <v>2023</v>
      </c>
      <c r="B752" s="159">
        <v>45093</v>
      </c>
      <c r="C752" s="130">
        <v>12.08</v>
      </c>
      <c r="D752" s="130">
        <v>12.25</v>
      </c>
      <c r="E752" s="130">
        <v>11.95</v>
      </c>
      <c r="F752" s="130">
        <v>12.02</v>
      </c>
      <c r="G752" s="160">
        <v>1299000</v>
      </c>
      <c r="H752" s="160">
        <f t="shared" si="11"/>
        <v>15613980</v>
      </c>
      <c r="I752" t="s">
        <v>8858</v>
      </c>
      <c r="J752">
        <v>2023</v>
      </c>
      <c r="K752">
        <v>6</v>
      </c>
      <c r="L752" t="s">
        <v>8949</v>
      </c>
      <c r="M752" t="s">
        <v>1552</v>
      </c>
      <c r="N752" t="s">
        <v>8950</v>
      </c>
    </row>
    <row r="753" spans="1:14" x14ac:dyDescent="0.3">
      <c r="A753">
        <v>2023</v>
      </c>
      <c r="B753" s="159">
        <v>45096</v>
      </c>
      <c r="C753" s="130">
        <v>12.13</v>
      </c>
      <c r="D753" s="130">
        <v>12.15</v>
      </c>
      <c r="E753" s="130">
        <v>11.75</v>
      </c>
      <c r="F753" s="130">
        <v>11.78</v>
      </c>
      <c r="G753" s="160">
        <v>2467000</v>
      </c>
      <c r="H753" s="160">
        <f t="shared" si="11"/>
        <v>29061260</v>
      </c>
      <c r="I753" t="s">
        <v>8858</v>
      </c>
      <c r="J753">
        <v>2023</v>
      </c>
      <c r="K753">
        <v>6</v>
      </c>
      <c r="L753" t="s">
        <v>8949</v>
      </c>
      <c r="M753" t="s">
        <v>1552</v>
      </c>
      <c r="N753" t="s">
        <v>8950</v>
      </c>
    </row>
    <row r="754" spans="1:14" x14ac:dyDescent="0.3">
      <c r="A754">
        <v>2023</v>
      </c>
      <c r="B754" s="159">
        <v>45097</v>
      </c>
      <c r="C754" s="130">
        <v>11.75</v>
      </c>
      <c r="D754" s="130">
        <v>11.88</v>
      </c>
      <c r="E754" s="130">
        <v>11.59</v>
      </c>
      <c r="F754" s="130">
        <v>11.66</v>
      </c>
      <c r="G754" s="160">
        <v>1832000</v>
      </c>
      <c r="H754" s="160">
        <f t="shared" si="11"/>
        <v>21361120</v>
      </c>
      <c r="I754" t="s">
        <v>8858</v>
      </c>
      <c r="J754">
        <v>2023</v>
      </c>
      <c r="K754">
        <v>6</v>
      </c>
      <c r="L754" t="s">
        <v>8949</v>
      </c>
      <c r="M754" t="s">
        <v>1552</v>
      </c>
      <c r="N754" t="s">
        <v>8950</v>
      </c>
    </row>
    <row r="755" spans="1:14" x14ac:dyDescent="0.3">
      <c r="A755">
        <v>2023</v>
      </c>
      <c r="B755" s="159">
        <v>45098</v>
      </c>
      <c r="C755" s="130">
        <v>11.68</v>
      </c>
      <c r="D755" s="130">
        <v>11.74</v>
      </c>
      <c r="E755" s="130">
        <v>11.48</v>
      </c>
      <c r="F755" s="130">
        <v>11.51</v>
      </c>
      <c r="G755" s="160">
        <v>848000</v>
      </c>
      <c r="H755" s="160">
        <f t="shared" si="11"/>
        <v>9760480</v>
      </c>
      <c r="I755" t="s">
        <v>8858</v>
      </c>
      <c r="J755">
        <v>2023</v>
      </c>
      <c r="K755">
        <v>6</v>
      </c>
      <c r="L755" t="s">
        <v>8949</v>
      </c>
      <c r="M755" t="s">
        <v>1552</v>
      </c>
      <c r="N755" t="s">
        <v>8950</v>
      </c>
    </row>
    <row r="756" spans="1:14" x14ac:dyDescent="0.3">
      <c r="A756">
        <v>2023</v>
      </c>
      <c r="B756" s="159">
        <v>45099</v>
      </c>
      <c r="C756" s="130">
        <v>11.48</v>
      </c>
      <c r="D756" s="130">
        <v>11.75</v>
      </c>
      <c r="E756" s="130">
        <v>11.46</v>
      </c>
      <c r="F756" s="130">
        <v>11.69</v>
      </c>
      <c r="G756" s="160">
        <v>1951500</v>
      </c>
      <c r="H756" s="160">
        <f t="shared" si="11"/>
        <v>22813035</v>
      </c>
      <c r="I756" t="s">
        <v>8858</v>
      </c>
      <c r="J756">
        <v>2023</v>
      </c>
      <c r="K756">
        <v>6</v>
      </c>
      <c r="L756" t="s">
        <v>8949</v>
      </c>
      <c r="M756" t="s">
        <v>1552</v>
      </c>
      <c r="N756" t="s">
        <v>8950</v>
      </c>
    </row>
    <row r="757" spans="1:14" x14ac:dyDescent="0.3">
      <c r="A757">
        <v>2023</v>
      </c>
      <c r="B757" s="159">
        <v>45100</v>
      </c>
      <c r="C757" s="130">
        <v>11.65</v>
      </c>
      <c r="D757" s="130">
        <v>11.7</v>
      </c>
      <c r="E757" s="130">
        <v>11.5</v>
      </c>
      <c r="F757" s="130">
        <v>11.55</v>
      </c>
      <c r="G757" s="160">
        <v>682000</v>
      </c>
      <c r="H757" s="160">
        <f t="shared" si="11"/>
        <v>7877100.0000000009</v>
      </c>
      <c r="I757" t="s">
        <v>8858</v>
      </c>
      <c r="J757">
        <v>2023</v>
      </c>
      <c r="K757">
        <v>6</v>
      </c>
      <c r="L757" t="s">
        <v>8949</v>
      </c>
      <c r="M757" t="s">
        <v>1552</v>
      </c>
      <c r="N757" t="s">
        <v>8950</v>
      </c>
    </row>
    <row r="758" spans="1:14" x14ac:dyDescent="0.3">
      <c r="A758">
        <v>2023</v>
      </c>
      <c r="B758" s="159">
        <v>45103</v>
      </c>
      <c r="C758" s="130">
        <v>11.6</v>
      </c>
      <c r="D758" s="130">
        <v>12.25</v>
      </c>
      <c r="E758" s="130">
        <v>11.6</v>
      </c>
      <c r="F758" s="130">
        <v>12.23</v>
      </c>
      <c r="G758" s="160">
        <v>2911000</v>
      </c>
      <c r="H758" s="160">
        <f t="shared" si="11"/>
        <v>35601530</v>
      </c>
      <c r="I758" t="s">
        <v>8858</v>
      </c>
      <c r="J758">
        <v>2023</v>
      </c>
      <c r="K758">
        <v>6</v>
      </c>
      <c r="L758" t="s">
        <v>8949</v>
      </c>
      <c r="M758" t="s">
        <v>1552</v>
      </c>
      <c r="N758" t="s">
        <v>8950</v>
      </c>
    </row>
    <row r="759" spans="1:14" x14ac:dyDescent="0.3">
      <c r="A759">
        <v>2023</v>
      </c>
      <c r="B759" s="159">
        <v>45104</v>
      </c>
      <c r="C759" s="130">
        <v>12.05</v>
      </c>
      <c r="D759" s="130">
        <v>12.11</v>
      </c>
      <c r="E759" s="130">
        <v>11.68</v>
      </c>
      <c r="F759" s="130">
        <v>11.76</v>
      </c>
      <c r="G759" s="160">
        <v>4486000</v>
      </c>
      <c r="H759" s="160">
        <f t="shared" si="11"/>
        <v>52755360</v>
      </c>
      <c r="I759" t="s">
        <v>8858</v>
      </c>
      <c r="J759">
        <v>2023</v>
      </c>
      <c r="K759">
        <v>6</v>
      </c>
      <c r="L759" t="s">
        <v>8949</v>
      </c>
      <c r="M759" t="s">
        <v>1552</v>
      </c>
      <c r="N759" t="s">
        <v>8950</v>
      </c>
    </row>
    <row r="760" spans="1:14" x14ac:dyDescent="0.3">
      <c r="A760">
        <v>2024</v>
      </c>
      <c r="B760" s="159">
        <v>45110</v>
      </c>
      <c r="C760" s="130">
        <v>12.7</v>
      </c>
      <c r="D760" s="130">
        <v>12.76</v>
      </c>
      <c r="E760" s="130">
        <v>12.5</v>
      </c>
      <c r="F760" s="130">
        <v>12.76</v>
      </c>
      <c r="G760" s="160">
        <v>2098000</v>
      </c>
      <c r="H760" s="160">
        <f t="shared" si="11"/>
        <v>26770480</v>
      </c>
      <c r="I760" t="s">
        <v>8859</v>
      </c>
      <c r="J760">
        <v>2023</v>
      </c>
      <c r="K760">
        <v>7</v>
      </c>
      <c r="L760" t="s">
        <v>8951</v>
      </c>
      <c r="M760" t="s">
        <v>1552</v>
      </c>
      <c r="N760" t="s">
        <v>8952</v>
      </c>
    </row>
    <row r="761" spans="1:14" x14ac:dyDescent="0.3">
      <c r="A761">
        <v>2024</v>
      </c>
      <c r="B761" s="159">
        <v>45111</v>
      </c>
      <c r="C761" s="130">
        <v>12.99</v>
      </c>
      <c r="D761" s="130">
        <v>13</v>
      </c>
      <c r="E761" s="130">
        <v>12.3</v>
      </c>
      <c r="F761" s="130">
        <v>12.37</v>
      </c>
      <c r="G761" s="160">
        <v>5348000</v>
      </c>
      <c r="H761" s="160">
        <f t="shared" si="11"/>
        <v>66154759.999999993</v>
      </c>
      <c r="I761" t="s">
        <v>8859</v>
      </c>
      <c r="J761">
        <v>2023</v>
      </c>
      <c r="K761">
        <v>7</v>
      </c>
      <c r="L761" t="s">
        <v>8951</v>
      </c>
      <c r="M761" t="s">
        <v>1552</v>
      </c>
      <c r="N761" t="s">
        <v>8952</v>
      </c>
    </row>
    <row r="762" spans="1:14" x14ac:dyDescent="0.3">
      <c r="A762">
        <v>2024</v>
      </c>
      <c r="B762" s="159">
        <v>45112</v>
      </c>
      <c r="C762" s="130">
        <v>12.35</v>
      </c>
      <c r="D762" s="130">
        <v>12.68</v>
      </c>
      <c r="E762" s="130">
        <v>12.2</v>
      </c>
      <c r="F762" s="130">
        <v>12.34</v>
      </c>
      <c r="G762" s="160">
        <v>2663500</v>
      </c>
      <c r="H762" s="160">
        <f t="shared" si="11"/>
        <v>32867590</v>
      </c>
      <c r="I762" t="s">
        <v>8859</v>
      </c>
      <c r="J762">
        <v>2023</v>
      </c>
      <c r="K762">
        <v>7</v>
      </c>
      <c r="L762" t="s">
        <v>8951</v>
      </c>
      <c r="M762" t="s">
        <v>1552</v>
      </c>
      <c r="N762" t="s">
        <v>8952</v>
      </c>
    </row>
    <row r="763" spans="1:14" x14ac:dyDescent="0.3">
      <c r="A763">
        <v>2024</v>
      </c>
      <c r="B763" s="159">
        <v>45113</v>
      </c>
      <c r="C763" s="130">
        <v>12.43</v>
      </c>
      <c r="D763" s="130">
        <v>12.69</v>
      </c>
      <c r="E763" s="130">
        <v>12.35</v>
      </c>
      <c r="F763" s="130">
        <v>12.56</v>
      </c>
      <c r="G763" s="160">
        <v>3030500</v>
      </c>
      <c r="H763" s="160">
        <f t="shared" si="11"/>
        <v>38063080</v>
      </c>
      <c r="I763" t="s">
        <v>8859</v>
      </c>
      <c r="J763">
        <v>2023</v>
      </c>
      <c r="K763">
        <v>7</v>
      </c>
      <c r="L763" t="s">
        <v>8951</v>
      </c>
      <c r="M763" t="s">
        <v>1552</v>
      </c>
      <c r="N763" t="s">
        <v>8952</v>
      </c>
    </row>
    <row r="764" spans="1:14" x14ac:dyDescent="0.3">
      <c r="A764">
        <v>2024</v>
      </c>
      <c r="B764" s="159">
        <v>45114</v>
      </c>
      <c r="C764" s="130">
        <v>12.7</v>
      </c>
      <c r="D764" s="130">
        <v>12.85</v>
      </c>
      <c r="E764" s="130">
        <v>12.46</v>
      </c>
      <c r="F764" s="130">
        <v>12.52</v>
      </c>
      <c r="G764" s="160">
        <v>4315000</v>
      </c>
      <c r="H764" s="160">
        <f t="shared" si="11"/>
        <v>54023800</v>
      </c>
      <c r="I764" t="s">
        <v>8859</v>
      </c>
      <c r="J764">
        <v>2023</v>
      </c>
      <c r="K764">
        <v>7</v>
      </c>
      <c r="L764" t="s">
        <v>8951</v>
      </c>
      <c r="M764" t="s">
        <v>1552</v>
      </c>
      <c r="N764" t="s">
        <v>8952</v>
      </c>
    </row>
    <row r="765" spans="1:14" x14ac:dyDescent="0.3">
      <c r="A765">
        <v>2024</v>
      </c>
      <c r="B765" s="159">
        <v>45117</v>
      </c>
      <c r="C765" s="130">
        <v>12.56</v>
      </c>
      <c r="D765" s="130">
        <v>12.74</v>
      </c>
      <c r="E765" s="130">
        <v>12.51</v>
      </c>
      <c r="F765" s="130">
        <v>12.58</v>
      </c>
      <c r="G765" s="160">
        <v>6289000</v>
      </c>
      <c r="H765" s="160">
        <f t="shared" si="11"/>
        <v>79115620</v>
      </c>
      <c r="I765" t="s">
        <v>8859</v>
      </c>
      <c r="J765">
        <v>2023</v>
      </c>
      <c r="K765">
        <v>7</v>
      </c>
      <c r="L765" t="s">
        <v>8951</v>
      </c>
      <c r="M765" t="s">
        <v>1552</v>
      </c>
      <c r="N765" t="s">
        <v>8952</v>
      </c>
    </row>
    <row r="766" spans="1:14" x14ac:dyDescent="0.3">
      <c r="A766">
        <v>2024</v>
      </c>
      <c r="B766" s="159">
        <v>45118</v>
      </c>
      <c r="C766" s="130">
        <v>12.7</v>
      </c>
      <c r="D766" s="130">
        <v>13.14</v>
      </c>
      <c r="E766" s="130">
        <v>12.7</v>
      </c>
      <c r="F766" s="130">
        <v>13.09</v>
      </c>
      <c r="G766" s="160">
        <v>20590500</v>
      </c>
      <c r="H766" s="160">
        <f t="shared" si="11"/>
        <v>269529645</v>
      </c>
      <c r="I766" t="s">
        <v>8859</v>
      </c>
      <c r="J766">
        <v>2023</v>
      </c>
      <c r="K766">
        <v>7</v>
      </c>
      <c r="L766" t="s">
        <v>8951</v>
      </c>
      <c r="M766" t="s">
        <v>1552</v>
      </c>
      <c r="N766" t="s">
        <v>8952</v>
      </c>
    </row>
    <row r="767" spans="1:14" x14ac:dyDescent="0.3">
      <c r="A767">
        <v>2024</v>
      </c>
      <c r="B767" s="159">
        <v>45119</v>
      </c>
      <c r="C767" s="130">
        <v>13.21</v>
      </c>
      <c r="D767" s="130">
        <v>13.3</v>
      </c>
      <c r="E767" s="130">
        <v>12.75</v>
      </c>
      <c r="F767" s="130">
        <v>12.82</v>
      </c>
      <c r="G767" s="160">
        <v>8847000</v>
      </c>
      <c r="H767" s="160">
        <f t="shared" si="11"/>
        <v>113418540</v>
      </c>
      <c r="I767" t="s">
        <v>8859</v>
      </c>
      <c r="J767">
        <v>2023</v>
      </c>
      <c r="K767">
        <v>7</v>
      </c>
      <c r="L767" t="s">
        <v>8951</v>
      </c>
      <c r="M767" t="s">
        <v>1552</v>
      </c>
      <c r="N767" t="s">
        <v>8952</v>
      </c>
    </row>
    <row r="768" spans="1:14" x14ac:dyDescent="0.3">
      <c r="A768">
        <v>2024</v>
      </c>
      <c r="B768" s="159">
        <v>45120</v>
      </c>
      <c r="C768" s="130">
        <v>12.96</v>
      </c>
      <c r="D768" s="130">
        <v>13.07</v>
      </c>
      <c r="E768" s="130">
        <v>12.65</v>
      </c>
      <c r="F768" s="130">
        <v>12.75</v>
      </c>
      <c r="G768" s="160">
        <v>4515500</v>
      </c>
      <c r="H768" s="160">
        <f t="shared" si="11"/>
        <v>57572625</v>
      </c>
      <c r="I768" t="s">
        <v>8859</v>
      </c>
      <c r="J768">
        <v>2023</v>
      </c>
      <c r="K768">
        <v>7</v>
      </c>
      <c r="L768" t="s">
        <v>8951</v>
      </c>
      <c r="M768" t="s">
        <v>1552</v>
      </c>
      <c r="N768" t="s">
        <v>8952</v>
      </c>
    </row>
    <row r="769" spans="1:14" x14ac:dyDescent="0.3">
      <c r="A769">
        <v>2024</v>
      </c>
      <c r="B769" s="159">
        <v>45121</v>
      </c>
      <c r="C769" s="130">
        <v>12.87</v>
      </c>
      <c r="D769" s="130">
        <v>12.87</v>
      </c>
      <c r="E769" s="130">
        <v>12.5</v>
      </c>
      <c r="F769" s="130">
        <v>12.6</v>
      </c>
      <c r="G769" s="160">
        <v>1338000</v>
      </c>
      <c r="H769" s="160">
        <f t="shared" si="11"/>
        <v>16858800</v>
      </c>
      <c r="I769" t="s">
        <v>8859</v>
      </c>
      <c r="J769">
        <v>2023</v>
      </c>
      <c r="K769">
        <v>7</v>
      </c>
      <c r="L769" t="s">
        <v>8951</v>
      </c>
      <c r="M769" t="s">
        <v>1552</v>
      </c>
      <c r="N769" t="s">
        <v>8952</v>
      </c>
    </row>
    <row r="770" spans="1:14" x14ac:dyDescent="0.3">
      <c r="A770">
        <v>2024</v>
      </c>
      <c r="B770" s="159">
        <v>45124</v>
      </c>
      <c r="C770" s="130">
        <v>12.6</v>
      </c>
      <c r="D770" s="130">
        <v>12.65</v>
      </c>
      <c r="E770" s="130">
        <v>12.3</v>
      </c>
      <c r="F770" s="130">
        <v>12.35</v>
      </c>
      <c r="G770" s="160">
        <v>1064500</v>
      </c>
      <c r="H770" s="160">
        <f t="shared" si="11"/>
        <v>13146575</v>
      </c>
      <c r="I770" t="s">
        <v>8859</v>
      </c>
      <c r="J770">
        <v>2023</v>
      </c>
      <c r="K770">
        <v>7</v>
      </c>
      <c r="L770" t="s">
        <v>8951</v>
      </c>
      <c r="M770" t="s">
        <v>1552</v>
      </c>
      <c r="N770" t="s">
        <v>8952</v>
      </c>
    </row>
    <row r="771" spans="1:14" x14ac:dyDescent="0.3">
      <c r="A771">
        <v>2024</v>
      </c>
      <c r="B771" s="159">
        <v>45125</v>
      </c>
      <c r="C771" s="130">
        <v>12.42</v>
      </c>
      <c r="D771" s="130">
        <v>12.43</v>
      </c>
      <c r="E771" s="130">
        <v>12.13</v>
      </c>
      <c r="F771" s="130">
        <v>12.2</v>
      </c>
      <c r="G771" s="160">
        <v>1604500</v>
      </c>
      <c r="H771" s="160">
        <f t="shared" si="11"/>
        <v>19574900</v>
      </c>
      <c r="I771" t="s">
        <v>8859</v>
      </c>
      <c r="J771">
        <v>2023</v>
      </c>
      <c r="K771">
        <v>7</v>
      </c>
      <c r="L771" t="s">
        <v>8951</v>
      </c>
      <c r="M771" t="s">
        <v>1552</v>
      </c>
      <c r="N771" t="s">
        <v>8952</v>
      </c>
    </row>
    <row r="772" spans="1:14" x14ac:dyDescent="0.3">
      <c r="A772">
        <v>2024</v>
      </c>
      <c r="B772" s="159">
        <v>45126</v>
      </c>
      <c r="C772" s="130">
        <v>12.25</v>
      </c>
      <c r="D772" s="130">
        <v>12.29</v>
      </c>
      <c r="E772" s="130">
        <v>11.98</v>
      </c>
      <c r="F772" s="130">
        <v>12</v>
      </c>
      <c r="G772" s="160">
        <v>3567000</v>
      </c>
      <c r="H772" s="160">
        <f t="shared" si="11"/>
        <v>42804000</v>
      </c>
      <c r="I772" t="s">
        <v>8859</v>
      </c>
      <c r="J772">
        <v>2023</v>
      </c>
      <c r="K772">
        <v>7</v>
      </c>
      <c r="L772" t="s">
        <v>8951</v>
      </c>
      <c r="M772" t="s">
        <v>1552</v>
      </c>
      <c r="N772" t="s">
        <v>8952</v>
      </c>
    </row>
    <row r="773" spans="1:14" x14ac:dyDescent="0.3">
      <c r="A773">
        <v>2024</v>
      </c>
      <c r="B773" s="159">
        <v>45127</v>
      </c>
      <c r="C773" s="130">
        <v>12.01</v>
      </c>
      <c r="D773" s="130">
        <v>12.34</v>
      </c>
      <c r="E773" s="130">
        <v>12.01</v>
      </c>
      <c r="F773" s="130">
        <v>12.15</v>
      </c>
      <c r="G773" s="160">
        <v>4478000</v>
      </c>
      <c r="H773" s="160">
        <f t="shared" si="11"/>
        <v>54407700</v>
      </c>
      <c r="I773" t="s">
        <v>8859</v>
      </c>
      <c r="J773">
        <v>2023</v>
      </c>
      <c r="K773">
        <v>7</v>
      </c>
      <c r="L773" t="s">
        <v>8951</v>
      </c>
      <c r="M773" t="s">
        <v>1552</v>
      </c>
      <c r="N773" t="s">
        <v>8952</v>
      </c>
    </row>
    <row r="774" spans="1:14" x14ac:dyDescent="0.3">
      <c r="A774">
        <v>2024</v>
      </c>
      <c r="B774" s="159">
        <v>45128</v>
      </c>
      <c r="C774" s="130">
        <v>12.1</v>
      </c>
      <c r="D774" s="130">
        <v>12.45</v>
      </c>
      <c r="E774" s="130">
        <v>12.1</v>
      </c>
      <c r="F774" s="130">
        <v>12.35</v>
      </c>
      <c r="G774" s="160">
        <v>3875500</v>
      </c>
      <c r="H774" s="160">
        <f t="shared" si="11"/>
        <v>47862425</v>
      </c>
      <c r="I774" t="s">
        <v>8859</v>
      </c>
      <c r="J774">
        <v>2023</v>
      </c>
      <c r="K774">
        <v>7</v>
      </c>
      <c r="L774" t="s">
        <v>8951</v>
      </c>
      <c r="M774" t="s">
        <v>1552</v>
      </c>
      <c r="N774" t="s">
        <v>8952</v>
      </c>
    </row>
    <row r="775" spans="1:14" x14ac:dyDescent="0.3">
      <c r="A775">
        <v>2024</v>
      </c>
      <c r="B775" s="159">
        <v>45131</v>
      </c>
      <c r="C775" s="130">
        <v>12.42</v>
      </c>
      <c r="D775" s="130">
        <v>12.42</v>
      </c>
      <c r="E775" s="130">
        <v>12.1</v>
      </c>
      <c r="F775" s="130">
        <v>12.2</v>
      </c>
      <c r="G775" s="160">
        <v>925500</v>
      </c>
      <c r="H775" s="160">
        <f t="shared" si="11"/>
        <v>11291100</v>
      </c>
      <c r="I775" t="s">
        <v>8859</v>
      </c>
      <c r="J775">
        <v>2023</v>
      </c>
      <c r="K775">
        <v>7</v>
      </c>
      <c r="L775" t="s">
        <v>8951</v>
      </c>
      <c r="M775" t="s">
        <v>1552</v>
      </c>
      <c r="N775" t="s">
        <v>8952</v>
      </c>
    </row>
    <row r="776" spans="1:14" x14ac:dyDescent="0.3">
      <c r="A776">
        <v>2024</v>
      </c>
      <c r="B776" s="159">
        <v>45132</v>
      </c>
      <c r="C776" s="130">
        <v>12.37</v>
      </c>
      <c r="D776" s="130">
        <v>12.37</v>
      </c>
      <c r="E776" s="130">
        <v>12.15</v>
      </c>
      <c r="F776" s="130">
        <v>12.19</v>
      </c>
      <c r="G776" s="160">
        <v>1802000</v>
      </c>
      <c r="H776" s="160">
        <f t="shared" si="11"/>
        <v>21966380</v>
      </c>
      <c r="I776" t="s">
        <v>8859</v>
      </c>
      <c r="J776">
        <v>2023</v>
      </c>
      <c r="K776">
        <v>7</v>
      </c>
      <c r="L776" t="s">
        <v>8951</v>
      </c>
      <c r="M776" t="s">
        <v>1552</v>
      </c>
      <c r="N776" t="s">
        <v>8952</v>
      </c>
    </row>
    <row r="777" spans="1:14" x14ac:dyDescent="0.3">
      <c r="A777">
        <v>2024</v>
      </c>
      <c r="B777" s="159">
        <v>45133</v>
      </c>
      <c r="C777" s="130">
        <v>12.3</v>
      </c>
      <c r="D777" s="130">
        <v>12.36</v>
      </c>
      <c r="E777" s="130">
        <v>11.98</v>
      </c>
      <c r="F777" s="130">
        <v>12.02</v>
      </c>
      <c r="G777" s="160">
        <v>5484500</v>
      </c>
      <c r="H777" s="160">
        <f t="shared" si="11"/>
        <v>65923690</v>
      </c>
      <c r="I777" t="s">
        <v>8859</v>
      </c>
      <c r="J777">
        <v>2023</v>
      </c>
      <c r="K777">
        <v>7</v>
      </c>
      <c r="L777" t="s">
        <v>8951</v>
      </c>
      <c r="M777" t="s">
        <v>1552</v>
      </c>
      <c r="N777" t="s">
        <v>8952</v>
      </c>
    </row>
    <row r="778" spans="1:14" x14ac:dyDescent="0.3">
      <c r="A778">
        <v>2024</v>
      </c>
      <c r="B778" s="159">
        <v>45134</v>
      </c>
      <c r="C778" s="130">
        <v>12.08</v>
      </c>
      <c r="D778" s="130">
        <v>12.24</v>
      </c>
      <c r="E778" s="130">
        <v>12</v>
      </c>
      <c r="F778" s="130">
        <v>12.06</v>
      </c>
      <c r="G778" s="160">
        <v>3697000</v>
      </c>
      <c r="H778" s="160">
        <f t="shared" si="11"/>
        <v>44585820</v>
      </c>
      <c r="I778" t="s">
        <v>8859</v>
      </c>
      <c r="J778">
        <v>2023</v>
      </c>
      <c r="K778">
        <v>7</v>
      </c>
      <c r="L778" t="s">
        <v>8951</v>
      </c>
      <c r="M778" t="s">
        <v>1552</v>
      </c>
      <c r="N778" t="s">
        <v>8952</v>
      </c>
    </row>
    <row r="779" spans="1:14" x14ac:dyDescent="0.3">
      <c r="A779">
        <v>2024</v>
      </c>
      <c r="B779" s="159">
        <v>45138</v>
      </c>
      <c r="C779" s="130">
        <v>12.21</v>
      </c>
      <c r="D779" s="130">
        <v>12.59</v>
      </c>
      <c r="E779" s="130">
        <v>12.1</v>
      </c>
      <c r="F779" s="130">
        <v>12.5</v>
      </c>
      <c r="G779" s="160">
        <v>6217500</v>
      </c>
      <c r="H779" s="160">
        <f t="shared" si="11"/>
        <v>77718750</v>
      </c>
      <c r="I779" t="s">
        <v>8859</v>
      </c>
      <c r="J779">
        <v>2023</v>
      </c>
      <c r="K779">
        <v>7</v>
      </c>
      <c r="L779" t="s">
        <v>8951</v>
      </c>
      <c r="M779" t="s">
        <v>1552</v>
      </c>
      <c r="N779" t="s">
        <v>8952</v>
      </c>
    </row>
    <row r="780" spans="1:14" x14ac:dyDescent="0.3">
      <c r="A780">
        <v>2024</v>
      </c>
      <c r="B780" s="159">
        <v>45139</v>
      </c>
      <c r="C780" s="130">
        <v>12.71</v>
      </c>
      <c r="D780" s="130">
        <v>13.18</v>
      </c>
      <c r="E780" s="130">
        <v>12.57</v>
      </c>
      <c r="F780" s="130">
        <v>12.66</v>
      </c>
      <c r="G780" s="160">
        <v>11990000</v>
      </c>
      <c r="H780" s="160">
        <f t="shared" si="11"/>
        <v>151793400</v>
      </c>
      <c r="I780" t="s">
        <v>8860</v>
      </c>
      <c r="J780">
        <v>2023</v>
      </c>
      <c r="K780">
        <v>8</v>
      </c>
      <c r="L780" t="s">
        <v>8953</v>
      </c>
      <c r="M780" t="s">
        <v>1552</v>
      </c>
      <c r="N780" t="s">
        <v>8954</v>
      </c>
    </row>
    <row r="781" spans="1:14" x14ac:dyDescent="0.3">
      <c r="A781">
        <v>2024</v>
      </c>
      <c r="B781" s="159">
        <v>45140</v>
      </c>
      <c r="C781" s="130">
        <v>12.65</v>
      </c>
      <c r="D781" s="130">
        <v>12.7</v>
      </c>
      <c r="E781" s="130">
        <v>12.5</v>
      </c>
      <c r="F781" s="130">
        <v>12.61</v>
      </c>
      <c r="G781" s="160">
        <v>2097000</v>
      </c>
      <c r="H781" s="160">
        <f t="shared" si="11"/>
        <v>26443170</v>
      </c>
      <c r="I781" t="s">
        <v>8860</v>
      </c>
      <c r="J781">
        <v>2023</v>
      </c>
      <c r="K781">
        <v>8</v>
      </c>
      <c r="L781" t="s">
        <v>8953</v>
      </c>
      <c r="M781" t="s">
        <v>1552</v>
      </c>
      <c r="N781" t="s">
        <v>8954</v>
      </c>
    </row>
    <row r="782" spans="1:14" x14ac:dyDescent="0.3">
      <c r="A782">
        <v>2024</v>
      </c>
      <c r="B782" s="159">
        <v>45141</v>
      </c>
      <c r="C782" s="130">
        <v>12.51</v>
      </c>
      <c r="D782" s="130">
        <v>12.95</v>
      </c>
      <c r="E782" s="130">
        <v>12.36</v>
      </c>
      <c r="F782" s="130">
        <v>12.41</v>
      </c>
      <c r="G782" s="160">
        <v>9817000</v>
      </c>
      <c r="H782" s="160">
        <f t="shared" si="11"/>
        <v>121828970</v>
      </c>
      <c r="I782" t="s">
        <v>8860</v>
      </c>
      <c r="J782">
        <v>2023</v>
      </c>
      <c r="K782">
        <v>8</v>
      </c>
      <c r="L782" t="s">
        <v>8953</v>
      </c>
      <c r="M782" t="s">
        <v>1552</v>
      </c>
      <c r="N782" t="s">
        <v>8954</v>
      </c>
    </row>
    <row r="783" spans="1:14" x14ac:dyDescent="0.3">
      <c r="A783">
        <v>2024</v>
      </c>
      <c r="B783" s="159">
        <v>45142</v>
      </c>
      <c r="C783" s="130">
        <v>12.45</v>
      </c>
      <c r="D783" s="130">
        <v>12.59</v>
      </c>
      <c r="E783" s="130">
        <v>12.27</v>
      </c>
      <c r="F783" s="130">
        <v>12.33</v>
      </c>
      <c r="G783" s="160">
        <v>5186500</v>
      </c>
      <c r="H783" s="160">
        <f t="shared" si="11"/>
        <v>63949545</v>
      </c>
      <c r="I783" t="s">
        <v>8860</v>
      </c>
      <c r="J783">
        <v>2023</v>
      </c>
      <c r="K783">
        <v>8</v>
      </c>
      <c r="L783" t="s">
        <v>8953</v>
      </c>
      <c r="M783" t="s">
        <v>1552</v>
      </c>
      <c r="N783" t="s">
        <v>8954</v>
      </c>
    </row>
    <row r="784" spans="1:14" x14ac:dyDescent="0.3">
      <c r="A784">
        <v>2024</v>
      </c>
      <c r="B784" s="159">
        <v>45145</v>
      </c>
      <c r="C784" s="130">
        <v>12.36</v>
      </c>
      <c r="D784" s="130">
        <v>12.59</v>
      </c>
      <c r="E784" s="130">
        <v>12.3</v>
      </c>
      <c r="F784" s="130">
        <v>12.34</v>
      </c>
      <c r="G784" s="160">
        <v>1561500</v>
      </c>
      <c r="H784" s="160">
        <f t="shared" ref="H784:H847" si="12">F784*G784</f>
        <v>19268910</v>
      </c>
      <c r="I784" t="s">
        <v>8860</v>
      </c>
      <c r="J784">
        <v>2023</v>
      </c>
      <c r="K784">
        <v>8</v>
      </c>
      <c r="L784" t="s">
        <v>8953</v>
      </c>
      <c r="M784" t="s">
        <v>1552</v>
      </c>
      <c r="N784" t="s">
        <v>8954</v>
      </c>
    </row>
    <row r="785" spans="1:14" x14ac:dyDescent="0.3">
      <c r="A785">
        <v>2024</v>
      </c>
      <c r="B785" s="159">
        <v>45146</v>
      </c>
      <c r="C785" s="130">
        <v>12.37</v>
      </c>
      <c r="D785" s="130">
        <v>12.46</v>
      </c>
      <c r="E785" s="130">
        <v>12.17</v>
      </c>
      <c r="F785" s="130">
        <v>12.24</v>
      </c>
      <c r="G785" s="160">
        <v>1860500</v>
      </c>
      <c r="H785" s="160">
        <f t="shared" si="12"/>
        <v>22772520</v>
      </c>
      <c r="I785" t="s">
        <v>8860</v>
      </c>
      <c r="J785">
        <v>2023</v>
      </c>
      <c r="K785">
        <v>8</v>
      </c>
      <c r="L785" t="s">
        <v>8953</v>
      </c>
      <c r="M785" t="s">
        <v>1552</v>
      </c>
      <c r="N785" t="s">
        <v>8954</v>
      </c>
    </row>
    <row r="786" spans="1:14" x14ac:dyDescent="0.3">
      <c r="A786">
        <v>2024</v>
      </c>
      <c r="B786" s="159">
        <v>45147</v>
      </c>
      <c r="C786" s="130">
        <v>12.35</v>
      </c>
      <c r="D786" s="130">
        <v>12.44</v>
      </c>
      <c r="E786" s="130">
        <v>12.16</v>
      </c>
      <c r="F786" s="130">
        <v>12.36</v>
      </c>
      <c r="G786" s="160">
        <v>663000</v>
      </c>
      <c r="H786" s="160">
        <f t="shared" si="12"/>
        <v>8194680</v>
      </c>
      <c r="I786" t="s">
        <v>8860</v>
      </c>
      <c r="J786">
        <v>2023</v>
      </c>
      <c r="K786">
        <v>8</v>
      </c>
      <c r="L786" t="s">
        <v>8953</v>
      </c>
      <c r="M786" t="s">
        <v>1552</v>
      </c>
      <c r="N786" t="s">
        <v>8954</v>
      </c>
    </row>
    <row r="787" spans="1:14" x14ac:dyDescent="0.3">
      <c r="A787">
        <v>2024</v>
      </c>
      <c r="B787" s="159">
        <v>45148</v>
      </c>
      <c r="C787" s="130">
        <v>12.32</v>
      </c>
      <c r="D787" s="130">
        <v>12.55</v>
      </c>
      <c r="E787" s="130">
        <v>12.13</v>
      </c>
      <c r="F787" s="130">
        <v>12.2</v>
      </c>
      <c r="G787" s="160">
        <v>2324500</v>
      </c>
      <c r="H787" s="160">
        <f t="shared" si="12"/>
        <v>28358900</v>
      </c>
      <c r="I787" t="s">
        <v>8860</v>
      </c>
      <c r="J787">
        <v>2023</v>
      </c>
      <c r="K787">
        <v>8</v>
      </c>
      <c r="L787" t="s">
        <v>8953</v>
      </c>
      <c r="M787" t="s">
        <v>1552</v>
      </c>
      <c r="N787" t="s">
        <v>8954</v>
      </c>
    </row>
    <row r="788" spans="1:14" x14ac:dyDescent="0.3">
      <c r="A788">
        <v>2024</v>
      </c>
      <c r="B788" s="159">
        <v>45149</v>
      </c>
      <c r="C788" s="130">
        <v>12.3</v>
      </c>
      <c r="D788" s="130">
        <v>12.65</v>
      </c>
      <c r="E788" s="130">
        <v>12.3</v>
      </c>
      <c r="F788" s="130">
        <v>12.34</v>
      </c>
      <c r="G788" s="160">
        <v>9578500</v>
      </c>
      <c r="H788" s="160">
        <f t="shared" si="12"/>
        <v>118198690</v>
      </c>
      <c r="I788" t="s">
        <v>8860</v>
      </c>
      <c r="J788">
        <v>2023</v>
      </c>
      <c r="K788">
        <v>8</v>
      </c>
      <c r="L788" t="s">
        <v>8953</v>
      </c>
      <c r="M788" t="s">
        <v>1552</v>
      </c>
      <c r="N788" t="s">
        <v>8954</v>
      </c>
    </row>
    <row r="789" spans="1:14" x14ac:dyDescent="0.3">
      <c r="A789">
        <v>2024</v>
      </c>
      <c r="B789" s="159">
        <v>45153</v>
      </c>
      <c r="C789" s="130">
        <v>12.31</v>
      </c>
      <c r="D789" s="130">
        <v>12.57</v>
      </c>
      <c r="E789" s="130">
        <v>12.23</v>
      </c>
      <c r="F789" s="130">
        <v>12.27</v>
      </c>
      <c r="G789" s="160">
        <v>1819000</v>
      </c>
      <c r="H789" s="160">
        <f t="shared" si="12"/>
        <v>22319130</v>
      </c>
      <c r="I789" t="s">
        <v>8860</v>
      </c>
      <c r="J789">
        <v>2023</v>
      </c>
      <c r="K789">
        <v>8</v>
      </c>
      <c r="L789" t="s">
        <v>8953</v>
      </c>
      <c r="M789" t="s">
        <v>1552</v>
      </c>
      <c r="N789" t="s">
        <v>8954</v>
      </c>
    </row>
    <row r="790" spans="1:14" x14ac:dyDescent="0.3">
      <c r="A790">
        <v>2024</v>
      </c>
      <c r="B790" s="159">
        <v>45154</v>
      </c>
      <c r="C790" s="130">
        <v>12.47</v>
      </c>
      <c r="D790" s="130">
        <v>12.47</v>
      </c>
      <c r="E790" s="130">
        <v>12.01</v>
      </c>
      <c r="F790" s="130">
        <v>12.05</v>
      </c>
      <c r="G790" s="160">
        <v>1076000</v>
      </c>
      <c r="H790" s="160">
        <f t="shared" si="12"/>
        <v>12965800</v>
      </c>
      <c r="I790" t="s">
        <v>8860</v>
      </c>
      <c r="J790">
        <v>2023</v>
      </c>
      <c r="K790">
        <v>8</v>
      </c>
      <c r="L790" t="s">
        <v>8953</v>
      </c>
      <c r="M790" t="s">
        <v>1552</v>
      </c>
      <c r="N790" t="s">
        <v>8954</v>
      </c>
    </row>
    <row r="791" spans="1:14" x14ac:dyDescent="0.3">
      <c r="A791">
        <v>2024</v>
      </c>
      <c r="B791" s="159">
        <v>45155</v>
      </c>
      <c r="C791" s="130">
        <v>12.1</v>
      </c>
      <c r="D791" s="130">
        <v>12.18</v>
      </c>
      <c r="E791" s="130">
        <v>12</v>
      </c>
      <c r="F791" s="130">
        <v>12.12</v>
      </c>
      <c r="G791" s="160">
        <v>928500</v>
      </c>
      <c r="H791" s="160">
        <f t="shared" si="12"/>
        <v>11253420</v>
      </c>
      <c r="I791" t="s">
        <v>8860</v>
      </c>
      <c r="J791">
        <v>2023</v>
      </c>
      <c r="K791">
        <v>8</v>
      </c>
      <c r="L791" t="s">
        <v>8953</v>
      </c>
      <c r="M791" t="s">
        <v>1552</v>
      </c>
      <c r="N791" t="s">
        <v>8954</v>
      </c>
    </row>
    <row r="792" spans="1:14" x14ac:dyDescent="0.3">
      <c r="A792">
        <v>2024</v>
      </c>
      <c r="B792" s="159">
        <v>45156</v>
      </c>
      <c r="C792" s="130">
        <v>12.18</v>
      </c>
      <c r="D792" s="130">
        <v>12.3</v>
      </c>
      <c r="E792" s="130">
        <v>11.98</v>
      </c>
      <c r="F792" s="130">
        <v>12.06</v>
      </c>
      <c r="G792" s="160">
        <v>1159000</v>
      </c>
      <c r="H792" s="160">
        <f t="shared" si="12"/>
        <v>13977540</v>
      </c>
      <c r="I792" t="s">
        <v>8860</v>
      </c>
      <c r="J792">
        <v>2023</v>
      </c>
      <c r="K792">
        <v>8</v>
      </c>
      <c r="L792" t="s">
        <v>8953</v>
      </c>
      <c r="M792" t="s">
        <v>1552</v>
      </c>
      <c r="N792" t="s">
        <v>8954</v>
      </c>
    </row>
    <row r="793" spans="1:14" x14ac:dyDescent="0.3">
      <c r="A793">
        <v>2024</v>
      </c>
      <c r="B793" s="159">
        <v>45159</v>
      </c>
      <c r="C793" s="130">
        <v>12.05</v>
      </c>
      <c r="D793" s="130">
        <v>12.14</v>
      </c>
      <c r="E793" s="130">
        <v>11.66</v>
      </c>
      <c r="F793" s="130">
        <v>11.75</v>
      </c>
      <c r="G793" s="160">
        <v>1321000</v>
      </c>
      <c r="H793" s="160">
        <f t="shared" si="12"/>
        <v>15521750</v>
      </c>
      <c r="I793" t="s">
        <v>8860</v>
      </c>
      <c r="J793">
        <v>2023</v>
      </c>
      <c r="K793">
        <v>8</v>
      </c>
      <c r="L793" t="s">
        <v>8953</v>
      </c>
      <c r="M793" t="s">
        <v>1552</v>
      </c>
      <c r="N793" t="s">
        <v>8954</v>
      </c>
    </row>
    <row r="794" spans="1:14" x14ac:dyDescent="0.3">
      <c r="A794">
        <v>2024</v>
      </c>
      <c r="B794" s="159">
        <v>45160</v>
      </c>
      <c r="C794" s="130">
        <v>11.62</v>
      </c>
      <c r="D794" s="130">
        <v>11.89</v>
      </c>
      <c r="E794" s="130">
        <v>11.62</v>
      </c>
      <c r="F794" s="130">
        <v>11.8</v>
      </c>
      <c r="G794" s="160">
        <v>471000</v>
      </c>
      <c r="H794" s="160">
        <f t="shared" si="12"/>
        <v>5557800</v>
      </c>
      <c r="I794" t="s">
        <v>8860</v>
      </c>
      <c r="J794">
        <v>2023</v>
      </c>
      <c r="K794">
        <v>8</v>
      </c>
      <c r="L794" t="s">
        <v>8953</v>
      </c>
      <c r="M794" t="s">
        <v>1552</v>
      </c>
      <c r="N794" t="s">
        <v>8954</v>
      </c>
    </row>
    <row r="795" spans="1:14" x14ac:dyDescent="0.3">
      <c r="A795">
        <v>2024</v>
      </c>
      <c r="B795" s="159">
        <v>45161</v>
      </c>
      <c r="C795" s="130">
        <v>11.89</v>
      </c>
      <c r="D795" s="130">
        <v>11.89</v>
      </c>
      <c r="E795" s="130">
        <v>11.52</v>
      </c>
      <c r="F795" s="130">
        <v>11.62</v>
      </c>
      <c r="G795" s="160">
        <v>757500</v>
      </c>
      <c r="H795" s="160">
        <f t="shared" si="12"/>
        <v>8802150</v>
      </c>
      <c r="I795" t="s">
        <v>8860</v>
      </c>
      <c r="J795">
        <v>2023</v>
      </c>
      <c r="K795">
        <v>8</v>
      </c>
      <c r="L795" t="s">
        <v>8953</v>
      </c>
      <c r="M795" t="s">
        <v>1552</v>
      </c>
      <c r="N795" t="s">
        <v>8954</v>
      </c>
    </row>
    <row r="796" spans="1:14" x14ac:dyDescent="0.3">
      <c r="A796">
        <v>2024</v>
      </c>
      <c r="B796" s="159">
        <v>45162</v>
      </c>
      <c r="C796" s="130">
        <v>11.65</v>
      </c>
      <c r="D796" s="130">
        <v>12.16</v>
      </c>
      <c r="E796" s="130">
        <v>11.65</v>
      </c>
      <c r="F796" s="130">
        <v>12.01</v>
      </c>
      <c r="G796" s="160">
        <v>11569500</v>
      </c>
      <c r="H796" s="160">
        <f t="shared" si="12"/>
        <v>138949695</v>
      </c>
      <c r="I796" t="s">
        <v>8860</v>
      </c>
      <c r="J796">
        <v>2023</v>
      </c>
      <c r="K796">
        <v>8</v>
      </c>
      <c r="L796" t="s">
        <v>8953</v>
      </c>
      <c r="M796" t="s">
        <v>1552</v>
      </c>
      <c r="N796" t="s">
        <v>8954</v>
      </c>
    </row>
    <row r="797" spans="1:14" x14ac:dyDescent="0.3">
      <c r="A797">
        <v>2024</v>
      </c>
      <c r="B797" s="159">
        <v>45163</v>
      </c>
      <c r="C797" s="130">
        <v>11.99</v>
      </c>
      <c r="D797" s="130">
        <v>12.05</v>
      </c>
      <c r="E797" s="130">
        <v>11.8</v>
      </c>
      <c r="F797" s="130">
        <v>11.86</v>
      </c>
      <c r="G797" s="160">
        <v>581500</v>
      </c>
      <c r="H797" s="160">
        <f t="shared" si="12"/>
        <v>6896590</v>
      </c>
      <c r="I797" t="s">
        <v>8860</v>
      </c>
      <c r="J797">
        <v>2023</v>
      </c>
      <c r="K797">
        <v>8</v>
      </c>
      <c r="L797" t="s">
        <v>8953</v>
      </c>
      <c r="M797" t="s">
        <v>1552</v>
      </c>
      <c r="N797" t="s">
        <v>8954</v>
      </c>
    </row>
    <row r="798" spans="1:14" x14ac:dyDescent="0.3">
      <c r="A798">
        <v>2024</v>
      </c>
      <c r="B798" s="159">
        <v>45166</v>
      </c>
      <c r="C798" s="130">
        <v>11.98</v>
      </c>
      <c r="D798" s="130">
        <v>11.98</v>
      </c>
      <c r="E798" s="130">
        <v>11.66</v>
      </c>
      <c r="F798" s="130">
        <v>11.72</v>
      </c>
      <c r="G798" s="160">
        <v>882500</v>
      </c>
      <c r="H798" s="160">
        <f t="shared" si="12"/>
        <v>10342900</v>
      </c>
      <c r="I798" t="s">
        <v>8860</v>
      </c>
      <c r="J798">
        <v>2023</v>
      </c>
      <c r="K798">
        <v>8</v>
      </c>
      <c r="L798" t="s">
        <v>8953</v>
      </c>
      <c r="M798" t="s">
        <v>1552</v>
      </c>
      <c r="N798" t="s">
        <v>8954</v>
      </c>
    </row>
    <row r="799" spans="1:14" x14ac:dyDescent="0.3">
      <c r="A799">
        <v>2024</v>
      </c>
      <c r="B799" s="159">
        <v>45167</v>
      </c>
      <c r="C799" s="130">
        <v>11.88</v>
      </c>
      <c r="D799" s="130">
        <v>11.88</v>
      </c>
      <c r="E799" s="130">
        <v>11</v>
      </c>
      <c r="F799" s="130">
        <v>11.16</v>
      </c>
      <c r="G799" s="160">
        <v>8250000</v>
      </c>
      <c r="H799" s="160">
        <f t="shared" si="12"/>
        <v>92070000</v>
      </c>
      <c r="I799" t="s">
        <v>8860</v>
      </c>
      <c r="J799">
        <v>2023</v>
      </c>
      <c r="K799">
        <v>8</v>
      </c>
      <c r="L799" t="s">
        <v>8953</v>
      </c>
      <c r="M799" t="s">
        <v>1552</v>
      </c>
      <c r="N799" t="s">
        <v>8954</v>
      </c>
    </row>
    <row r="800" spans="1:14" x14ac:dyDescent="0.3">
      <c r="A800">
        <v>2024</v>
      </c>
      <c r="B800" s="159">
        <v>45168</v>
      </c>
      <c r="C800" s="130">
        <v>11.19</v>
      </c>
      <c r="D800" s="130">
        <v>11.22</v>
      </c>
      <c r="E800" s="130">
        <v>10.91</v>
      </c>
      <c r="F800" s="130">
        <v>10.99</v>
      </c>
      <c r="G800" s="160">
        <v>1649000</v>
      </c>
      <c r="H800" s="160">
        <f t="shared" si="12"/>
        <v>18122510</v>
      </c>
      <c r="I800" t="s">
        <v>8860</v>
      </c>
      <c r="J800">
        <v>2023</v>
      </c>
      <c r="K800">
        <v>8</v>
      </c>
      <c r="L800" t="s">
        <v>8953</v>
      </c>
      <c r="M800" t="s">
        <v>1552</v>
      </c>
      <c r="N800" t="s">
        <v>8954</v>
      </c>
    </row>
    <row r="801" spans="1:14" x14ac:dyDescent="0.3">
      <c r="A801">
        <v>2024</v>
      </c>
      <c r="B801" s="159">
        <v>45169</v>
      </c>
      <c r="C801" s="130">
        <v>10.99</v>
      </c>
      <c r="D801" s="130">
        <v>10.99</v>
      </c>
      <c r="E801" s="130">
        <v>10.45</v>
      </c>
      <c r="F801" s="130">
        <v>10.61</v>
      </c>
      <c r="G801" s="160">
        <v>2405500</v>
      </c>
      <c r="H801" s="160">
        <f t="shared" si="12"/>
        <v>25522355</v>
      </c>
      <c r="I801" t="s">
        <v>8860</v>
      </c>
      <c r="J801">
        <v>2023</v>
      </c>
      <c r="K801">
        <v>8</v>
      </c>
      <c r="L801" t="s">
        <v>8953</v>
      </c>
      <c r="M801" t="s">
        <v>1552</v>
      </c>
      <c r="N801" t="s">
        <v>8954</v>
      </c>
    </row>
    <row r="802" spans="1:14" x14ac:dyDescent="0.3">
      <c r="A802">
        <v>2024</v>
      </c>
      <c r="B802" s="159">
        <v>45170</v>
      </c>
      <c r="C802" s="130">
        <v>10.5</v>
      </c>
      <c r="D802" s="130">
        <v>10.85</v>
      </c>
      <c r="E802" s="130">
        <v>10.45</v>
      </c>
      <c r="F802" s="130">
        <v>10.75</v>
      </c>
      <c r="G802" s="160">
        <v>1124000</v>
      </c>
      <c r="H802" s="160">
        <f t="shared" si="12"/>
        <v>12083000</v>
      </c>
      <c r="I802" t="s">
        <v>8861</v>
      </c>
      <c r="J802">
        <v>2023</v>
      </c>
      <c r="K802">
        <v>9</v>
      </c>
      <c r="L802" t="s">
        <v>8955</v>
      </c>
      <c r="M802" t="s">
        <v>1552</v>
      </c>
      <c r="N802" t="s">
        <v>8956</v>
      </c>
    </row>
    <row r="803" spans="1:14" x14ac:dyDescent="0.3">
      <c r="A803">
        <v>2024</v>
      </c>
      <c r="B803" s="159">
        <v>45173</v>
      </c>
      <c r="C803" s="130">
        <v>10.8</v>
      </c>
      <c r="D803" s="130">
        <v>11.1</v>
      </c>
      <c r="E803" s="130">
        <v>10.71</v>
      </c>
      <c r="F803" s="130">
        <v>10.76</v>
      </c>
      <c r="G803" s="160">
        <v>1239000</v>
      </c>
      <c r="H803" s="160">
        <f t="shared" si="12"/>
        <v>13331640</v>
      </c>
      <c r="I803" t="s">
        <v>8861</v>
      </c>
      <c r="J803">
        <v>2023</v>
      </c>
      <c r="K803">
        <v>9</v>
      </c>
      <c r="L803" t="s">
        <v>8955</v>
      </c>
      <c r="M803" t="s">
        <v>1552</v>
      </c>
      <c r="N803" t="s">
        <v>8956</v>
      </c>
    </row>
    <row r="804" spans="1:14" x14ac:dyDescent="0.3">
      <c r="A804">
        <v>2024</v>
      </c>
      <c r="B804" s="159">
        <v>45174</v>
      </c>
      <c r="C804" s="130">
        <v>10.9</v>
      </c>
      <c r="D804" s="130">
        <v>11.08</v>
      </c>
      <c r="E804" s="130">
        <v>10.72</v>
      </c>
      <c r="F804" s="130">
        <v>10.77</v>
      </c>
      <c r="G804" s="160">
        <v>2146000</v>
      </c>
      <c r="H804" s="160">
        <f t="shared" si="12"/>
        <v>23112420</v>
      </c>
      <c r="I804" t="s">
        <v>8861</v>
      </c>
      <c r="J804">
        <v>2023</v>
      </c>
      <c r="K804">
        <v>9</v>
      </c>
      <c r="L804" t="s">
        <v>8955</v>
      </c>
      <c r="M804" t="s">
        <v>1552</v>
      </c>
      <c r="N804" t="s">
        <v>8956</v>
      </c>
    </row>
    <row r="805" spans="1:14" x14ac:dyDescent="0.3">
      <c r="A805">
        <v>2024</v>
      </c>
      <c r="B805" s="159">
        <v>45175</v>
      </c>
      <c r="C805" s="130">
        <v>10.9</v>
      </c>
      <c r="D805" s="130">
        <v>11.08</v>
      </c>
      <c r="E805" s="130">
        <v>10.77</v>
      </c>
      <c r="F805" s="130">
        <v>11.05</v>
      </c>
      <c r="G805" s="160">
        <v>940500</v>
      </c>
      <c r="H805" s="160">
        <f t="shared" si="12"/>
        <v>10392525</v>
      </c>
      <c r="I805" t="s">
        <v>8861</v>
      </c>
      <c r="J805">
        <v>2023</v>
      </c>
      <c r="K805">
        <v>9</v>
      </c>
      <c r="L805" t="s">
        <v>8955</v>
      </c>
      <c r="M805" t="s">
        <v>1552</v>
      </c>
      <c r="N805" t="s">
        <v>8956</v>
      </c>
    </row>
    <row r="806" spans="1:14" x14ac:dyDescent="0.3">
      <c r="A806">
        <v>2024</v>
      </c>
      <c r="B806" s="159">
        <v>45176</v>
      </c>
      <c r="C806" s="130">
        <v>11</v>
      </c>
      <c r="D806" s="130">
        <v>11.11</v>
      </c>
      <c r="E806" s="130">
        <v>10.8</v>
      </c>
      <c r="F806" s="130">
        <v>10.89</v>
      </c>
      <c r="G806" s="160">
        <v>522000</v>
      </c>
      <c r="H806" s="160">
        <f t="shared" si="12"/>
        <v>5684580</v>
      </c>
      <c r="I806" t="s">
        <v>8861</v>
      </c>
      <c r="J806">
        <v>2023</v>
      </c>
      <c r="K806">
        <v>9</v>
      </c>
      <c r="L806" t="s">
        <v>8955</v>
      </c>
      <c r="M806" t="s">
        <v>1552</v>
      </c>
      <c r="N806" t="s">
        <v>8956</v>
      </c>
    </row>
    <row r="807" spans="1:14" x14ac:dyDescent="0.3">
      <c r="A807">
        <v>2024</v>
      </c>
      <c r="B807" s="159">
        <v>45177</v>
      </c>
      <c r="C807" s="130">
        <v>10.9</v>
      </c>
      <c r="D807" s="130">
        <v>10.93</v>
      </c>
      <c r="E807" s="130">
        <v>10.8</v>
      </c>
      <c r="F807" s="130">
        <v>10.82</v>
      </c>
      <c r="G807" s="160">
        <v>283000</v>
      </c>
      <c r="H807" s="160">
        <f t="shared" si="12"/>
        <v>3062060</v>
      </c>
      <c r="I807" t="s">
        <v>8861</v>
      </c>
      <c r="J807">
        <v>2023</v>
      </c>
      <c r="K807">
        <v>9</v>
      </c>
      <c r="L807" t="s">
        <v>8955</v>
      </c>
      <c r="M807" t="s">
        <v>1552</v>
      </c>
      <c r="N807" t="s">
        <v>8956</v>
      </c>
    </row>
    <row r="808" spans="1:14" x14ac:dyDescent="0.3">
      <c r="A808">
        <v>2024</v>
      </c>
      <c r="B808" s="159">
        <v>45180</v>
      </c>
      <c r="C808" s="130">
        <v>10.85</v>
      </c>
      <c r="D808" s="130">
        <v>10.89</v>
      </c>
      <c r="E808" s="130">
        <v>10.7</v>
      </c>
      <c r="F808" s="130">
        <v>10.74</v>
      </c>
      <c r="G808" s="160">
        <v>393500</v>
      </c>
      <c r="H808" s="160">
        <f t="shared" si="12"/>
        <v>4226190</v>
      </c>
      <c r="I808" t="s">
        <v>8861</v>
      </c>
      <c r="J808">
        <v>2023</v>
      </c>
      <c r="K808">
        <v>9</v>
      </c>
      <c r="L808" t="s">
        <v>8955</v>
      </c>
      <c r="M808" t="s">
        <v>1552</v>
      </c>
      <c r="N808" t="s">
        <v>8956</v>
      </c>
    </row>
    <row r="809" spans="1:14" x14ac:dyDescent="0.3">
      <c r="A809">
        <v>2024</v>
      </c>
      <c r="B809" s="159">
        <v>45181</v>
      </c>
      <c r="C809" s="130">
        <v>10.85</v>
      </c>
      <c r="D809" s="130">
        <v>10.85</v>
      </c>
      <c r="E809" s="130">
        <v>10.42</v>
      </c>
      <c r="F809" s="130">
        <v>10.54</v>
      </c>
      <c r="G809" s="160">
        <v>725500</v>
      </c>
      <c r="H809" s="160">
        <f t="shared" si="12"/>
        <v>7646769.9999999991</v>
      </c>
      <c r="I809" t="s">
        <v>8861</v>
      </c>
      <c r="J809">
        <v>2023</v>
      </c>
      <c r="K809">
        <v>9</v>
      </c>
      <c r="L809" t="s">
        <v>8955</v>
      </c>
      <c r="M809" t="s">
        <v>1552</v>
      </c>
      <c r="N809" t="s">
        <v>8956</v>
      </c>
    </row>
    <row r="810" spans="1:14" x14ac:dyDescent="0.3">
      <c r="A810">
        <v>2024</v>
      </c>
      <c r="B810" s="159">
        <v>45182</v>
      </c>
      <c r="C810" s="130">
        <v>10.64</v>
      </c>
      <c r="D810" s="130">
        <v>10.89</v>
      </c>
      <c r="E810" s="130">
        <v>10.53</v>
      </c>
      <c r="F810" s="130">
        <v>10.61</v>
      </c>
      <c r="G810" s="160">
        <v>714500</v>
      </c>
      <c r="H810" s="160">
        <f t="shared" si="12"/>
        <v>7580845</v>
      </c>
      <c r="I810" t="s">
        <v>8861</v>
      </c>
      <c r="J810">
        <v>2023</v>
      </c>
      <c r="K810">
        <v>9</v>
      </c>
      <c r="L810" t="s">
        <v>8955</v>
      </c>
      <c r="M810" t="s">
        <v>1552</v>
      </c>
      <c r="N810" t="s">
        <v>8956</v>
      </c>
    </row>
    <row r="811" spans="1:14" x14ac:dyDescent="0.3">
      <c r="A811">
        <v>2024</v>
      </c>
      <c r="B811" s="159">
        <v>45183</v>
      </c>
      <c r="C811" s="130">
        <v>10.6</v>
      </c>
      <c r="D811" s="130">
        <v>10.74</v>
      </c>
      <c r="E811" s="130">
        <v>10.56</v>
      </c>
      <c r="F811" s="130">
        <v>10.6</v>
      </c>
      <c r="G811" s="160">
        <v>905500</v>
      </c>
      <c r="H811" s="160">
        <f t="shared" si="12"/>
        <v>9598300</v>
      </c>
      <c r="I811" t="s">
        <v>8861</v>
      </c>
      <c r="J811">
        <v>2023</v>
      </c>
      <c r="K811">
        <v>9</v>
      </c>
      <c r="L811" t="s">
        <v>8955</v>
      </c>
      <c r="M811" t="s">
        <v>1552</v>
      </c>
      <c r="N811" t="s">
        <v>8956</v>
      </c>
    </row>
    <row r="812" spans="1:14" x14ac:dyDescent="0.3">
      <c r="A812">
        <v>2024</v>
      </c>
      <c r="B812" s="159">
        <v>45184</v>
      </c>
      <c r="C812" s="130">
        <v>10.92</v>
      </c>
      <c r="D812" s="130">
        <v>11.05</v>
      </c>
      <c r="E812" s="130">
        <v>10.8</v>
      </c>
      <c r="F812" s="130">
        <v>10.95</v>
      </c>
      <c r="G812" s="160">
        <v>3724000</v>
      </c>
      <c r="H812" s="160">
        <f t="shared" si="12"/>
        <v>40777800</v>
      </c>
      <c r="I812" t="s">
        <v>8861</v>
      </c>
      <c r="J812">
        <v>2023</v>
      </c>
      <c r="K812">
        <v>9</v>
      </c>
      <c r="L812" t="s">
        <v>8955</v>
      </c>
      <c r="M812" t="s">
        <v>1552</v>
      </c>
      <c r="N812" t="s">
        <v>8956</v>
      </c>
    </row>
    <row r="813" spans="1:14" x14ac:dyDescent="0.3">
      <c r="A813">
        <v>2024</v>
      </c>
      <c r="B813" s="159">
        <v>45187</v>
      </c>
      <c r="C813" s="130">
        <v>11</v>
      </c>
      <c r="D813" s="130">
        <v>11</v>
      </c>
      <c r="E813" s="130">
        <v>10.8</v>
      </c>
      <c r="F813" s="130">
        <v>10.84</v>
      </c>
      <c r="G813" s="160">
        <v>289500</v>
      </c>
      <c r="H813" s="160">
        <f t="shared" si="12"/>
        <v>3138180</v>
      </c>
      <c r="I813" t="s">
        <v>8861</v>
      </c>
      <c r="J813">
        <v>2023</v>
      </c>
      <c r="K813">
        <v>9</v>
      </c>
      <c r="L813" t="s">
        <v>8955</v>
      </c>
      <c r="M813" t="s">
        <v>1552</v>
      </c>
      <c r="N813" t="s">
        <v>8956</v>
      </c>
    </row>
    <row r="814" spans="1:14" x14ac:dyDescent="0.3">
      <c r="A814">
        <v>2024</v>
      </c>
      <c r="B814" s="159">
        <v>45188</v>
      </c>
      <c r="C814" s="130">
        <v>10.89</v>
      </c>
      <c r="D814" s="130">
        <v>10.93</v>
      </c>
      <c r="E814" s="130">
        <v>10.76</v>
      </c>
      <c r="F814" s="130">
        <v>10.86</v>
      </c>
      <c r="G814" s="160">
        <v>336500</v>
      </c>
      <c r="H814" s="160">
        <f t="shared" si="12"/>
        <v>3654390</v>
      </c>
      <c r="I814" t="s">
        <v>8861</v>
      </c>
      <c r="J814">
        <v>2023</v>
      </c>
      <c r="K814">
        <v>9</v>
      </c>
      <c r="L814" t="s">
        <v>8955</v>
      </c>
      <c r="M814" t="s">
        <v>1552</v>
      </c>
      <c r="N814" t="s">
        <v>8956</v>
      </c>
    </row>
    <row r="815" spans="1:14" x14ac:dyDescent="0.3">
      <c r="A815">
        <v>2024</v>
      </c>
      <c r="B815" s="159">
        <v>45189</v>
      </c>
      <c r="C815" s="130">
        <v>10.9</v>
      </c>
      <c r="D815" s="130">
        <v>10.9</v>
      </c>
      <c r="E815" s="130">
        <v>10.75</v>
      </c>
      <c r="F815" s="130">
        <v>10.78</v>
      </c>
      <c r="G815" s="160">
        <v>120000</v>
      </c>
      <c r="H815" s="160">
        <f t="shared" si="12"/>
        <v>1293600</v>
      </c>
      <c r="I815" t="s">
        <v>8861</v>
      </c>
      <c r="J815">
        <v>2023</v>
      </c>
      <c r="K815">
        <v>9</v>
      </c>
      <c r="L815" t="s">
        <v>8955</v>
      </c>
      <c r="M815" t="s">
        <v>1552</v>
      </c>
      <c r="N815" t="s">
        <v>8956</v>
      </c>
    </row>
    <row r="816" spans="1:14" x14ac:dyDescent="0.3">
      <c r="A816">
        <v>2024</v>
      </c>
      <c r="B816" s="159">
        <v>45190</v>
      </c>
      <c r="C816" s="130">
        <v>10.88</v>
      </c>
      <c r="D816" s="130">
        <v>11.11</v>
      </c>
      <c r="E816" s="130">
        <v>10.75</v>
      </c>
      <c r="F816" s="130">
        <v>11.02</v>
      </c>
      <c r="G816" s="160">
        <v>1538500</v>
      </c>
      <c r="H816" s="160">
        <f t="shared" si="12"/>
        <v>16954270</v>
      </c>
      <c r="I816" t="s">
        <v>8861</v>
      </c>
      <c r="J816">
        <v>2023</v>
      </c>
      <c r="K816">
        <v>9</v>
      </c>
      <c r="L816" t="s">
        <v>8955</v>
      </c>
      <c r="M816" t="s">
        <v>1552</v>
      </c>
      <c r="N816" t="s">
        <v>8956</v>
      </c>
    </row>
    <row r="817" spans="1:14" x14ac:dyDescent="0.3">
      <c r="A817">
        <v>2024</v>
      </c>
      <c r="B817" s="159">
        <v>45191</v>
      </c>
      <c r="C817" s="130">
        <v>11.16</v>
      </c>
      <c r="D817" s="130">
        <v>11.16</v>
      </c>
      <c r="E817" s="130">
        <v>10.87</v>
      </c>
      <c r="F817" s="130">
        <v>10.91</v>
      </c>
      <c r="G817" s="160">
        <v>425500</v>
      </c>
      <c r="H817" s="160">
        <f t="shared" si="12"/>
        <v>4642205</v>
      </c>
      <c r="I817" t="s">
        <v>8861</v>
      </c>
      <c r="J817">
        <v>2023</v>
      </c>
      <c r="K817">
        <v>9</v>
      </c>
      <c r="L817" t="s">
        <v>8955</v>
      </c>
      <c r="M817" t="s">
        <v>1552</v>
      </c>
      <c r="N817" t="s">
        <v>8956</v>
      </c>
    </row>
    <row r="818" spans="1:14" x14ac:dyDescent="0.3">
      <c r="A818">
        <v>2024</v>
      </c>
      <c r="B818" s="159">
        <v>45194</v>
      </c>
      <c r="C818" s="130">
        <v>11.04</v>
      </c>
      <c r="D818" s="130">
        <v>11.04</v>
      </c>
      <c r="E818" s="130">
        <v>10.8</v>
      </c>
      <c r="F818" s="130">
        <v>10.84</v>
      </c>
      <c r="G818" s="160">
        <v>480500</v>
      </c>
      <c r="H818" s="160">
        <f t="shared" si="12"/>
        <v>5208620</v>
      </c>
      <c r="I818" t="s">
        <v>8861</v>
      </c>
      <c r="J818">
        <v>2023</v>
      </c>
      <c r="K818">
        <v>9</v>
      </c>
      <c r="L818" t="s">
        <v>8955</v>
      </c>
      <c r="M818" t="s">
        <v>1552</v>
      </c>
      <c r="N818" t="s">
        <v>8956</v>
      </c>
    </row>
    <row r="819" spans="1:14" x14ac:dyDescent="0.3">
      <c r="A819">
        <v>2024</v>
      </c>
      <c r="B819" s="159">
        <v>45195</v>
      </c>
      <c r="C819" s="130">
        <v>10.76</v>
      </c>
      <c r="D819" s="130">
        <v>11.08</v>
      </c>
      <c r="E819" s="130">
        <v>10.76</v>
      </c>
      <c r="F819" s="130">
        <v>10.91</v>
      </c>
      <c r="G819" s="160">
        <v>704500</v>
      </c>
      <c r="H819" s="160">
        <f t="shared" si="12"/>
        <v>7686095</v>
      </c>
      <c r="I819" t="s">
        <v>8861</v>
      </c>
      <c r="J819">
        <v>2023</v>
      </c>
      <c r="K819">
        <v>9</v>
      </c>
      <c r="L819" t="s">
        <v>8955</v>
      </c>
      <c r="M819" t="s">
        <v>1552</v>
      </c>
      <c r="N819" t="s">
        <v>8956</v>
      </c>
    </row>
    <row r="820" spans="1:14" x14ac:dyDescent="0.3">
      <c r="A820">
        <v>2024</v>
      </c>
      <c r="B820" s="159">
        <v>45196</v>
      </c>
      <c r="C820" s="130">
        <v>10.85</v>
      </c>
      <c r="D820" s="130">
        <v>11.46</v>
      </c>
      <c r="E820" s="130">
        <v>10.85</v>
      </c>
      <c r="F820" s="130">
        <v>11.32</v>
      </c>
      <c r="G820" s="160">
        <v>2737000</v>
      </c>
      <c r="H820" s="160">
        <f t="shared" si="12"/>
        <v>30982840</v>
      </c>
      <c r="I820" t="s">
        <v>8861</v>
      </c>
      <c r="J820">
        <v>2023</v>
      </c>
      <c r="K820">
        <v>9</v>
      </c>
      <c r="L820" t="s">
        <v>8955</v>
      </c>
      <c r="M820" t="s">
        <v>1552</v>
      </c>
      <c r="N820" t="s">
        <v>8956</v>
      </c>
    </row>
    <row r="821" spans="1:14" x14ac:dyDescent="0.3">
      <c r="A821">
        <v>2024</v>
      </c>
      <c r="B821" s="159">
        <v>45197</v>
      </c>
      <c r="C821" s="130">
        <v>11.35</v>
      </c>
      <c r="D821" s="130">
        <v>11.45</v>
      </c>
      <c r="E821" s="130">
        <v>11.22</v>
      </c>
      <c r="F821" s="130">
        <v>11.31</v>
      </c>
      <c r="G821" s="160">
        <v>2165000</v>
      </c>
      <c r="H821" s="160">
        <f t="shared" si="12"/>
        <v>24486150</v>
      </c>
      <c r="I821" t="s">
        <v>8861</v>
      </c>
      <c r="J821">
        <v>2023</v>
      </c>
      <c r="K821">
        <v>9</v>
      </c>
      <c r="L821" t="s">
        <v>8955</v>
      </c>
      <c r="M821" t="s">
        <v>1552</v>
      </c>
      <c r="N821" t="s">
        <v>8956</v>
      </c>
    </row>
    <row r="822" spans="1:14" x14ac:dyDescent="0.3">
      <c r="A822">
        <v>2024</v>
      </c>
      <c r="B822" s="159">
        <v>45201</v>
      </c>
      <c r="C822" s="130">
        <v>11.4</v>
      </c>
      <c r="D822" s="130">
        <v>11.4</v>
      </c>
      <c r="E822" s="130">
        <v>11.15</v>
      </c>
      <c r="F822" s="130">
        <v>11.26</v>
      </c>
      <c r="G822" s="160">
        <v>566500</v>
      </c>
      <c r="H822" s="160">
        <f t="shared" si="12"/>
        <v>6378790</v>
      </c>
      <c r="I822" t="s">
        <v>8862</v>
      </c>
      <c r="J822">
        <v>2023</v>
      </c>
      <c r="K822">
        <v>10</v>
      </c>
      <c r="L822" t="s">
        <v>8957</v>
      </c>
      <c r="M822" t="s">
        <v>1552</v>
      </c>
      <c r="N822" t="s">
        <v>8958</v>
      </c>
    </row>
    <row r="823" spans="1:14" x14ac:dyDescent="0.3">
      <c r="A823">
        <v>2024</v>
      </c>
      <c r="B823" s="159">
        <v>45202</v>
      </c>
      <c r="C823" s="130">
        <v>11.25</v>
      </c>
      <c r="D823" s="130">
        <v>11.4</v>
      </c>
      <c r="E823" s="130">
        <v>11.2</v>
      </c>
      <c r="F823" s="130">
        <v>11.22</v>
      </c>
      <c r="G823" s="160">
        <v>1335000</v>
      </c>
      <c r="H823" s="160">
        <f t="shared" si="12"/>
        <v>14978700</v>
      </c>
      <c r="I823" t="s">
        <v>8862</v>
      </c>
      <c r="J823">
        <v>2023</v>
      </c>
      <c r="K823">
        <v>10</v>
      </c>
      <c r="L823" t="s">
        <v>8957</v>
      </c>
      <c r="M823" t="s">
        <v>1552</v>
      </c>
      <c r="N823" t="s">
        <v>8958</v>
      </c>
    </row>
    <row r="824" spans="1:14" x14ac:dyDescent="0.3">
      <c r="A824">
        <v>2024</v>
      </c>
      <c r="B824" s="159">
        <v>45203</v>
      </c>
      <c r="C824" s="130">
        <v>11.22</v>
      </c>
      <c r="D824" s="130">
        <v>11.3</v>
      </c>
      <c r="E824" s="130">
        <v>11.2</v>
      </c>
      <c r="F824" s="130">
        <v>11.21</v>
      </c>
      <c r="G824" s="160">
        <v>826500</v>
      </c>
      <c r="H824" s="160">
        <f t="shared" si="12"/>
        <v>9265065</v>
      </c>
      <c r="I824" t="s">
        <v>8862</v>
      </c>
      <c r="J824">
        <v>2023</v>
      </c>
      <c r="K824">
        <v>10</v>
      </c>
      <c r="L824" t="s">
        <v>8957</v>
      </c>
      <c r="M824" t="s">
        <v>1552</v>
      </c>
      <c r="N824" t="s">
        <v>8958</v>
      </c>
    </row>
    <row r="825" spans="1:14" x14ac:dyDescent="0.3">
      <c r="A825">
        <v>2024</v>
      </c>
      <c r="B825" s="159">
        <v>45204</v>
      </c>
      <c r="C825" s="130">
        <v>11.26</v>
      </c>
      <c r="D825" s="130">
        <v>12.16</v>
      </c>
      <c r="E825" s="130">
        <v>11.26</v>
      </c>
      <c r="F825" s="130">
        <v>11.99</v>
      </c>
      <c r="G825" s="160">
        <v>9535000</v>
      </c>
      <c r="H825" s="160">
        <f t="shared" si="12"/>
        <v>114324650</v>
      </c>
      <c r="I825" t="s">
        <v>8862</v>
      </c>
      <c r="J825">
        <v>2023</v>
      </c>
      <c r="K825">
        <v>10</v>
      </c>
      <c r="L825" t="s">
        <v>8957</v>
      </c>
      <c r="M825" t="s">
        <v>1552</v>
      </c>
      <c r="N825" t="s">
        <v>8958</v>
      </c>
    </row>
    <row r="826" spans="1:14" x14ac:dyDescent="0.3">
      <c r="A826">
        <v>2024</v>
      </c>
      <c r="B826" s="159">
        <v>45205</v>
      </c>
      <c r="C826" s="130">
        <v>12.17</v>
      </c>
      <c r="D826" s="130">
        <v>12.17</v>
      </c>
      <c r="E826" s="130">
        <v>11.82</v>
      </c>
      <c r="F826" s="130">
        <v>11.9</v>
      </c>
      <c r="G826" s="160">
        <v>3159500</v>
      </c>
      <c r="H826" s="160">
        <f t="shared" si="12"/>
        <v>37598050</v>
      </c>
      <c r="I826" t="s">
        <v>8862</v>
      </c>
      <c r="J826">
        <v>2023</v>
      </c>
      <c r="K826">
        <v>10</v>
      </c>
      <c r="L826" t="s">
        <v>8957</v>
      </c>
      <c r="M826" t="s">
        <v>1552</v>
      </c>
      <c r="N826" t="s">
        <v>8958</v>
      </c>
    </row>
    <row r="827" spans="1:14" x14ac:dyDescent="0.3">
      <c r="A827">
        <v>2024</v>
      </c>
      <c r="B827" s="159">
        <v>45208</v>
      </c>
      <c r="C827" s="130">
        <v>11.66</v>
      </c>
      <c r="D827" s="130">
        <v>12.15</v>
      </c>
      <c r="E827" s="130">
        <v>11.66</v>
      </c>
      <c r="F827" s="130">
        <v>11.99</v>
      </c>
      <c r="G827" s="160">
        <v>1542500</v>
      </c>
      <c r="H827" s="160">
        <f t="shared" si="12"/>
        <v>18494575</v>
      </c>
      <c r="I827" t="s">
        <v>8862</v>
      </c>
      <c r="J827">
        <v>2023</v>
      </c>
      <c r="K827">
        <v>10</v>
      </c>
      <c r="L827" t="s">
        <v>8957</v>
      </c>
      <c r="M827" t="s">
        <v>1552</v>
      </c>
      <c r="N827" t="s">
        <v>8958</v>
      </c>
    </row>
    <row r="828" spans="1:14" x14ac:dyDescent="0.3">
      <c r="A828">
        <v>2024</v>
      </c>
      <c r="B828" s="159">
        <v>45209</v>
      </c>
      <c r="C828" s="130">
        <v>12</v>
      </c>
      <c r="D828" s="130">
        <v>12.4</v>
      </c>
      <c r="E828" s="130">
        <v>11.9</v>
      </c>
      <c r="F828" s="130">
        <v>12.12</v>
      </c>
      <c r="G828" s="160">
        <v>3892000</v>
      </c>
      <c r="H828" s="160">
        <f t="shared" si="12"/>
        <v>47171040</v>
      </c>
      <c r="I828" t="s">
        <v>8862</v>
      </c>
      <c r="J828">
        <v>2023</v>
      </c>
      <c r="K828">
        <v>10</v>
      </c>
      <c r="L828" t="s">
        <v>8957</v>
      </c>
      <c r="M828" t="s">
        <v>1552</v>
      </c>
      <c r="N828" t="s">
        <v>8958</v>
      </c>
    </row>
    <row r="829" spans="1:14" x14ac:dyDescent="0.3">
      <c r="A829">
        <v>2024</v>
      </c>
      <c r="B829" s="159">
        <v>45210</v>
      </c>
      <c r="C829" s="130">
        <v>12.2</v>
      </c>
      <c r="D829" s="130">
        <v>12.3</v>
      </c>
      <c r="E829" s="130">
        <v>12.12</v>
      </c>
      <c r="F829" s="130">
        <v>12.25</v>
      </c>
      <c r="G829" s="160">
        <v>1429000</v>
      </c>
      <c r="H829" s="160">
        <f t="shared" si="12"/>
        <v>17505250</v>
      </c>
      <c r="I829" t="s">
        <v>8862</v>
      </c>
      <c r="J829">
        <v>2023</v>
      </c>
      <c r="K829">
        <v>10</v>
      </c>
      <c r="L829" t="s">
        <v>8957</v>
      </c>
      <c r="M829" t="s">
        <v>1552</v>
      </c>
      <c r="N829" t="s">
        <v>8958</v>
      </c>
    </row>
    <row r="830" spans="1:14" x14ac:dyDescent="0.3">
      <c r="A830">
        <v>2024</v>
      </c>
      <c r="B830" s="159">
        <v>45211</v>
      </c>
      <c r="C830" s="130">
        <v>12.28</v>
      </c>
      <c r="D830" s="130">
        <v>12.28</v>
      </c>
      <c r="E830" s="130">
        <v>11.85</v>
      </c>
      <c r="F830" s="130">
        <v>12.03</v>
      </c>
      <c r="G830" s="160">
        <v>1446000</v>
      </c>
      <c r="H830" s="160">
        <f t="shared" si="12"/>
        <v>17395380</v>
      </c>
      <c r="I830" t="s">
        <v>8862</v>
      </c>
      <c r="J830">
        <v>2023</v>
      </c>
      <c r="K830">
        <v>10</v>
      </c>
      <c r="L830" t="s">
        <v>8957</v>
      </c>
      <c r="M830" t="s">
        <v>1552</v>
      </c>
      <c r="N830" t="s">
        <v>8958</v>
      </c>
    </row>
    <row r="831" spans="1:14" x14ac:dyDescent="0.3">
      <c r="A831">
        <v>2024</v>
      </c>
      <c r="B831" s="159">
        <v>45212</v>
      </c>
      <c r="C831" s="130">
        <v>12.05</v>
      </c>
      <c r="D831" s="130">
        <v>12.53</v>
      </c>
      <c r="E831" s="130">
        <v>12.05</v>
      </c>
      <c r="F831" s="130">
        <v>12.46</v>
      </c>
      <c r="G831" s="160">
        <v>4095500</v>
      </c>
      <c r="H831" s="160">
        <f t="shared" si="12"/>
        <v>51029930</v>
      </c>
      <c r="I831" t="s">
        <v>8862</v>
      </c>
      <c r="J831">
        <v>2023</v>
      </c>
      <c r="K831">
        <v>10</v>
      </c>
      <c r="L831" t="s">
        <v>8957</v>
      </c>
      <c r="M831" t="s">
        <v>1552</v>
      </c>
      <c r="N831" t="s">
        <v>8958</v>
      </c>
    </row>
    <row r="832" spans="1:14" x14ac:dyDescent="0.3">
      <c r="A832">
        <v>2024</v>
      </c>
      <c r="B832" s="159">
        <v>45215</v>
      </c>
      <c r="C832" s="130">
        <v>12.41</v>
      </c>
      <c r="D832" s="130">
        <v>12.74</v>
      </c>
      <c r="E832" s="130">
        <v>12.35</v>
      </c>
      <c r="F832" s="130">
        <v>12.58</v>
      </c>
      <c r="G832" s="160">
        <v>3173000</v>
      </c>
      <c r="H832" s="160">
        <f t="shared" si="12"/>
        <v>39916340</v>
      </c>
      <c r="I832" t="s">
        <v>8862</v>
      </c>
      <c r="J832">
        <v>2023</v>
      </c>
      <c r="K832">
        <v>10</v>
      </c>
      <c r="L832" t="s">
        <v>8957</v>
      </c>
      <c r="M832" t="s">
        <v>1552</v>
      </c>
      <c r="N832" t="s">
        <v>8958</v>
      </c>
    </row>
    <row r="833" spans="1:14" x14ac:dyDescent="0.3">
      <c r="A833">
        <v>2024</v>
      </c>
      <c r="B833" s="159">
        <v>45216</v>
      </c>
      <c r="C833" s="130">
        <v>12.57</v>
      </c>
      <c r="D833" s="130">
        <v>13</v>
      </c>
      <c r="E833" s="130">
        <v>12.4</v>
      </c>
      <c r="F833" s="130">
        <v>12.71</v>
      </c>
      <c r="G833" s="160">
        <v>8278000</v>
      </c>
      <c r="H833" s="160">
        <f t="shared" si="12"/>
        <v>105213380</v>
      </c>
      <c r="I833" t="s">
        <v>8862</v>
      </c>
      <c r="J833">
        <v>2023</v>
      </c>
      <c r="K833">
        <v>10</v>
      </c>
      <c r="L833" t="s">
        <v>8957</v>
      </c>
      <c r="M833" t="s">
        <v>1552</v>
      </c>
      <c r="N833" t="s">
        <v>8958</v>
      </c>
    </row>
    <row r="834" spans="1:14" x14ac:dyDescent="0.3">
      <c r="A834">
        <v>2024</v>
      </c>
      <c r="B834" s="159">
        <v>45217</v>
      </c>
      <c r="C834" s="130">
        <v>12.8</v>
      </c>
      <c r="D834" s="130">
        <v>12.8</v>
      </c>
      <c r="E834" s="130">
        <v>12.35</v>
      </c>
      <c r="F834" s="130">
        <v>12.47</v>
      </c>
      <c r="G834" s="160">
        <v>2885000</v>
      </c>
      <c r="H834" s="160">
        <f t="shared" si="12"/>
        <v>35975950</v>
      </c>
      <c r="I834" t="s">
        <v>8862</v>
      </c>
      <c r="J834">
        <v>2023</v>
      </c>
      <c r="K834">
        <v>10</v>
      </c>
      <c r="L834" t="s">
        <v>8957</v>
      </c>
      <c r="M834" t="s">
        <v>1552</v>
      </c>
      <c r="N834" t="s">
        <v>8958</v>
      </c>
    </row>
    <row r="835" spans="1:14" x14ac:dyDescent="0.3">
      <c r="A835">
        <v>2024</v>
      </c>
      <c r="B835" s="159">
        <v>45218</v>
      </c>
      <c r="C835" s="130">
        <v>12.58</v>
      </c>
      <c r="D835" s="130">
        <v>13.1</v>
      </c>
      <c r="E835" s="130">
        <v>12.5</v>
      </c>
      <c r="F835" s="130">
        <v>12.97</v>
      </c>
      <c r="G835" s="160">
        <v>7675500</v>
      </c>
      <c r="H835" s="160">
        <f t="shared" si="12"/>
        <v>99551235</v>
      </c>
      <c r="I835" t="s">
        <v>8862</v>
      </c>
      <c r="J835">
        <v>2023</v>
      </c>
      <c r="K835">
        <v>10</v>
      </c>
      <c r="L835" t="s">
        <v>8957</v>
      </c>
      <c r="M835" t="s">
        <v>1552</v>
      </c>
      <c r="N835" t="s">
        <v>8958</v>
      </c>
    </row>
    <row r="836" spans="1:14" x14ac:dyDescent="0.3">
      <c r="A836">
        <v>2024</v>
      </c>
      <c r="B836" s="159">
        <v>45219</v>
      </c>
      <c r="C836" s="130">
        <v>12.8</v>
      </c>
      <c r="D836" s="130">
        <v>13.25</v>
      </c>
      <c r="E836" s="130">
        <v>12.7</v>
      </c>
      <c r="F836" s="130">
        <v>12.77</v>
      </c>
      <c r="G836" s="160">
        <v>3279000</v>
      </c>
      <c r="H836" s="160">
        <f t="shared" si="12"/>
        <v>41872830</v>
      </c>
      <c r="I836" t="s">
        <v>8862</v>
      </c>
      <c r="J836">
        <v>2023</v>
      </c>
      <c r="K836">
        <v>10</v>
      </c>
      <c r="L836" t="s">
        <v>8957</v>
      </c>
      <c r="M836" t="s">
        <v>1552</v>
      </c>
      <c r="N836" t="s">
        <v>8958</v>
      </c>
    </row>
    <row r="837" spans="1:14" x14ac:dyDescent="0.3">
      <c r="A837">
        <v>2024</v>
      </c>
      <c r="B837" s="159">
        <v>45222</v>
      </c>
      <c r="C837" s="130">
        <v>12.89</v>
      </c>
      <c r="D837" s="130">
        <v>12.92</v>
      </c>
      <c r="E837" s="130">
        <v>12.75</v>
      </c>
      <c r="F837" s="130">
        <v>12.77</v>
      </c>
      <c r="G837" s="160">
        <v>1691000</v>
      </c>
      <c r="H837" s="160">
        <f t="shared" si="12"/>
        <v>21594070</v>
      </c>
      <c r="I837" t="s">
        <v>8862</v>
      </c>
      <c r="J837">
        <v>2023</v>
      </c>
      <c r="K837">
        <v>10</v>
      </c>
      <c r="L837" t="s">
        <v>8957</v>
      </c>
      <c r="M837" t="s">
        <v>1552</v>
      </c>
      <c r="N837" t="s">
        <v>8958</v>
      </c>
    </row>
    <row r="838" spans="1:14" x14ac:dyDescent="0.3">
      <c r="A838">
        <v>2024</v>
      </c>
      <c r="B838" s="159">
        <v>45223</v>
      </c>
      <c r="C838" s="130">
        <v>12.75</v>
      </c>
      <c r="D838" s="130">
        <v>12.9</v>
      </c>
      <c r="E838" s="130">
        <v>12.51</v>
      </c>
      <c r="F838" s="130">
        <v>12.66</v>
      </c>
      <c r="G838" s="160">
        <v>1333500</v>
      </c>
      <c r="H838" s="160">
        <f t="shared" si="12"/>
        <v>16882110</v>
      </c>
      <c r="I838" t="s">
        <v>8862</v>
      </c>
      <c r="J838">
        <v>2023</v>
      </c>
      <c r="K838">
        <v>10</v>
      </c>
      <c r="L838" t="s">
        <v>8957</v>
      </c>
      <c r="M838" t="s">
        <v>1552</v>
      </c>
      <c r="N838" t="s">
        <v>8958</v>
      </c>
    </row>
    <row r="839" spans="1:14" x14ac:dyDescent="0.3">
      <c r="A839">
        <v>2024</v>
      </c>
      <c r="B839" s="159">
        <v>45224</v>
      </c>
      <c r="C839" s="130">
        <v>12.83</v>
      </c>
      <c r="D839" s="130">
        <v>13.66</v>
      </c>
      <c r="E839" s="130">
        <v>12.8</v>
      </c>
      <c r="F839" s="130">
        <v>13.59</v>
      </c>
      <c r="G839" s="160">
        <v>21267000</v>
      </c>
      <c r="H839" s="160">
        <f t="shared" si="12"/>
        <v>289018530</v>
      </c>
      <c r="I839" t="s">
        <v>8862</v>
      </c>
      <c r="J839">
        <v>2023</v>
      </c>
      <c r="K839">
        <v>10</v>
      </c>
      <c r="L839" t="s">
        <v>8957</v>
      </c>
      <c r="M839" t="s">
        <v>1552</v>
      </c>
      <c r="N839" t="s">
        <v>8958</v>
      </c>
    </row>
    <row r="840" spans="1:14" x14ac:dyDescent="0.3">
      <c r="A840">
        <v>2024</v>
      </c>
      <c r="B840" s="159">
        <v>45225</v>
      </c>
      <c r="C840" s="130">
        <v>13.66</v>
      </c>
      <c r="D840" s="130">
        <v>13.76</v>
      </c>
      <c r="E840" s="130">
        <v>13.32</v>
      </c>
      <c r="F840" s="130">
        <v>13.46</v>
      </c>
      <c r="G840" s="160">
        <v>5323000</v>
      </c>
      <c r="H840" s="160">
        <f t="shared" si="12"/>
        <v>71647580</v>
      </c>
      <c r="I840" t="s">
        <v>8862</v>
      </c>
      <c r="J840">
        <v>2023</v>
      </c>
      <c r="K840">
        <v>10</v>
      </c>
      <c r="L840" t="s">
        <v>8957</v>
      </c>
      <c r="M840" t="s">
        <v>1552</v>
      </c>
      <c r="N840" t="s">
        <v>8958</v>
      </c>
    </row>
    <row r="841" spans="1:14" x14ac:dyDescent="0.3">
      <c r="A841">
        <v>2024</v>
      </c>
      <c r="B841" s="159">
        <v>45226</v>
      </c>
      <c r="C841" s="130">
        <v>13.4</v>
      </c>
      <c r="D841" s="130">
        <v>13.93</v>
      </c>
      <c r="E841" s="130">
        <v>13.4</v>
      </c>
      <c r="F841" s="130">
        <v>13.65</v>
      </c>
      <c r="G841" s="160">
        <v>10327000</v>
      </c>
      <c r="H841" s="160">
        <f t="shared" si="12"/>
        <v>140963550</v>
      </c>
      <c r="I841" t="s">
        <v>8862</v>
      </c>
      <c r="J841">
        <v>2023</v>
      </c>
      <c r="K841">
        <v>10</v>
      </c>
      <c r="L841" t="s">
        <v>8957</v>
      </c>
      <c r="M841" t="s">
        <v>1552</v>
      </c>
      <c r="N841" t="s">
        <v>8958</v>
      </c>
    </row>
    <row r="842" spans="1:14" x14ac:dyDescent="0.3">
      <c r="A842">
        <v>2024</v>
      </c>
      <c r="B842" s="159">
        <v>45229</v>
      </c>
      <c r="C842" s="130">
        <v>13.89</v>
      </c>
      <c r="D842" s="130">
        <v>13.91</v>
      </c>
      <c r="E842" s="130">
        <v>13.62</v>
      </c>
      <c r="F842" s="130">
        <v>13.79</v>
      </c>
      <c r="G842" s="160">
        <v>4242000</v>
      </c>
      <c r="H842" s="160">
        <f t="shared" si="12"/>
        <v>58497180</v>
      </c>
      <c r="I842" t="s">
        <v>8862</v>
      </c>
      <c r="J842">
        <v>2023</v>
      </c>
      <c r="K842">
        <v>10</v>
      </c>
      <c r="L842" t="s">
        <v>8957</v>
      </c>
      <c r="M842" t="s">
        <v>1552</v>
      </c>
      <c r="N842" t="s">
        <v>8958</v>
      </c>
    </row>
    <row r="843" spans="1:14" x14ac:dyDescent="0.3">
      <c r="A843">
        <v>2024</v>
      </c>
      <c r="B843" s="159">
        <v>45230</v>
      </c>
      <c r="C843" s="130">
        <v>13.8</v>
      </c>
      <c r="D843" s="130">
        <v>14</v>
      </c>
      <c r="E843" s="130">
        <v>13.52</v>
      </c>
      <c r="F843" s="130">
        <v>13.92</v>
      </c>
      <c r="G843" s="160">
        <v>8857000</v>
      </c>
      <c r="H843" s="160">
        <f t="shared" si="12"/>
        <v>123289440</v>
      </c>
      <c r="I843" t="s">
        <v>8862</v>
      </c>
      <c r="J843">
        <v>2023</v>
      </c>
      <c r="K843">
        <v>10</v>
      </c>
      <c r="L843" t="s">
        <v>8957</v>
      </c>
      <c r="M843" t="s">
        <v>1552</v>
      </c>
      <c r="N843" t="s">
        <v>8958</v>
      </c>
    </row>
    <row r="844" spans="1:14" x14ac:dyDescent="0.3">
      <c r="A844">
        <v>2024</v>
      </c>
      <c r="B844" s="159">
        <v>45231</v>
      </c>
      <c r="C844" s="130">
        <v>13.95</v>
      </c>
      <c r="D844" s="130">
        <v>14.15</v>
      </c>
      <c r="E844" s="130">
        <v>13.75</v>
      </c>
      <c r="F844" s="130">
        <v>13.84</v>
      </c>
      <c r="G844" s="160">
        <v>6142000</v>
      </c>
      <c r="H844" s="160">
        <f t="shared" si="12"/>
        <v>85005280</v>
      </c>
      <c r="I844" t="s">
        <v>8863</v>
      </c>
      <c r="J844">
        <v>2023</v>
      </c>
      <c r="K844">
        <v>11</v>
      </c>
      <c r="L844" t="s">
        <v>8959</v>
      </c>
      <c r="M844" t="s">
        <v>1552</v>
      </c>
      <c r="N844" t="s">
        <v>8960</v>
      </c>
    </row>
    <row r="845" spans="1:14" x14ac:dyDescent="0.3">
      <c r="A845">
        <v>2024</v>
      </c>
      <c r="B845" s="159">
        <v>45232</v>
      </c>
      <c r="C845" s="130">
        <v>13.85</v>
      </c>
      <c r="D845" s="130">
        <v>14.4</v>
      </c>
      <c r="E845" s="130">
        <v>13.85</v>
      </c>
      <c r="F845" s="130">
        <v>14.23</v>
      </c>
      <c r="G845" s="160">
        <v>8773500</v>
      </c>
      <c r="H845" s="160">
        <f t="shared" si="12"/>
        <v>124846905</v>
      </c>
      <c r="I845" t="s">
        <v>8863</v>
      </c>
      <c r="J845">
        <v>2023</v>
      </c>
      <c r="K845">
        <v>11</v>
      </c>
      <c r="L845" t="s">
        <v>8959</v>
      </c>
      <c r="M845" t="s">
        <v>1552</v>
      </c>
      <c r="N845" t="s">
        <v>8960</v>
      </c>
    </row>
    <row r="846" spans="1:14" x14ac:dyDescent="0.3">
      <c r="A846">
        <v>2024</v>
      </c>
      <c r="B846" s="159">
        <v>45233</v>
      </c>
      <c r="C846" s="130">
        <v>14.34</v>
      </c>
      <c r="D846" s="130">
        <v>14.53</v>
      </c>
      <c r="E846" s="130">
        <v>13.96</v>
      </c>
      <c r="F846" s="130">
        <v>14.15</v>
      </c>
      <c r="G846" s="160">
        <v>7325500</v>
      </c>
      <c r="H846" s="160">
        <f t="shared" si="12"/>
        <v>103655825</v>
      </c>
      <c r="I846" t="s">
        <v>8863</v>
      </c>
      <c r="J846">
        <v>2023</v>
      </c>
      <c r="K846">
        <v>11</v>
      </c>
      <c r="L846" t="s">
        <v>8959</v>
      </c>
      <c r="M846" t="s">
        <v>1552</v>
      </c>
      <c r="N846" t="s">
        <v>8960</v>
      </c>
    </row>
    <row r="847" spans="1:14" x14ac:dyDescent="0.3">
      <c r="A847">
        <v>2024</v>
      </c>
      <c r="B847" s="159">
        <v>45236</v>
      </c>
      <c r="C847" s="130">
        <v>14.2</v>
      </c>
      <c r="D847" s="130">
        <v>14.73</v>
      </c>
      <c r="E847" s="130">
        <v>14.1</v>
      </c>
      <c r="F847" s="130">
        <v>14.57</v>
      </c>
      <c r="G847" s="160">
        <v>8051000</v>
      </c>
      <c r="H847" s="160">
        <f t="shared" si="12"/>
        <v>117303070</v>
      </c>
      <c r="I847" t="s">
        <v>8863</v>
      </c>
      <c r="J847">
        <v>2023</v>
      </c>
      <c r="K847">
        <v>11</v>
      </c>
      <c r="L847" t="s">
        <v>8959</v>
      </c>
      <c r="M847" t="s">
        <v>1552</v>
      </c>
      <c r="N847" t="s">
        <v>8960</v>
      </c>
    </row>
    <row r="848" spans="1:14" x14ac:dyDescent="0.3">
      <c r="A848">
        <v>2024</v>
      </c>
      <c r="B848" s="159">
        <v>45237</v>
      </c>
      <c r="C848" s="130">
        <v>14.7</v>
      </c>
      <c r="D848" s="130">
        <v>15.45</v>
      </c>
      <c r="E848" s="130">
        <v>14.7</v>
      </c>
      <c r="F848" s="130">
        <v>14.94</v>
      </c>
      <c r="G848" s="160">
        <v>18585000</v>
      </c>
      <c r="H848" s="160">
        <f t="shared" ref="H848:H911" si="13">F848*G848</f>
        <v>277659900</v>
      </c>
      <c r="I848" t="s">
        <v>8863</v>
      </c>
      <c r="J848">
        <v>2023</v>
      </c>
      <c r="K848">
        <v>11</v>
      </c>
      <c r="L848" t="s">
        <v>8959</v>
      </c>
      <c r="M848" t="s">
        <v>1552</v>
      </c>
      <c r="N848" t="s">
        <v>8960</v>
      </c>
    </row>
    <row r="849" spans="1:14" x14ac:dyDescent="0.3">
      <c r="A849">
        <v>2024</v>
      </c>
      <c r="B849" s="159">
        <v>45238</v>
      </c>
      <c r="C849" s="130">
        <v>15.1</v>
      </c>
      <c r="D849" s="130">
        <v>15.59</v>
      </c>
      <c r="E849" s="130">
        <v>15.1</v>
      </c>
      <c r="F849" s="130">
        <v>15.44</v>
      </c>
      <c r="G849" s="160">
        <v>10943000</v>
      </c>
      <c r="H849" s="160">
        <f t="shared" si="13"/>
        <v>168959920</v>
      </c>
      <c r="I849" t="s">
        <v>8863</v>
      </c>
      <c r="J849">
        <v>2023</v>
      </c>
      <c r="K849">
        <v>11</v>
      </c>
      <c r="L849" t="s">
        <v>8959</v>
      </c>
      <c r="M849" t="s">
        <v>1552</v>
      </c>
      <c r="N849" t="s">
        <v>8960</v>
      </c>
    </row>
    <row r="850" spans="1:14" x14ac:dyDescent="0.3">
      <c r="A850">
        <v>2024</v>
      </c>
      <c r="B850" s="159">
        <v>45240</v>
      </c>
      <c r="C850" s="130">
        <v>15.6</v>
      </c>
      <c r="D850" s="130">
        <v>16.350000000000001</v>
      </c>
      <c r="E850" s="130">
        <v>15.3</v>
      </c>
      <c r="F850" s="130">
        <v>16.16</v>
      </c>
      <c r="G850" s="160">
        <v>21100000</v>
      </c>
      <c r="H850" s="160">
        <f t="shared" si="13"/>
        <v>340976000</v>
      </c>
      <c r="I850" t="s">
        <v>8863</v>
      </c>
      <c r="J850">
        <v>2023</v>
      </c>
      <c r="K850">
        <v>11</v>
      </c>
      <c r="L850" t="s">
        <v>8959</v>
      </c>
      <c r="M850" t="s">
        <v>1552</v>
      </c>
      <c r="N850" t="s">
        <v>8960</v>
      </c>
    </row>
    <row r="851" spans="1:14" x14ac:dyDescent="0.3">
      <c r="A851">
        <v>2024</v>
      </c>
      <c r="B851" s="159">
        <v>45243</v>
      </c>
      <c r="C851" s="130">
        <v>16.329999999999998</v>
      </c>
      <c r="D851" s="130">
        <v>16.5</v>
      </c>
      <c r="E851" s="130">
        <v>16.16</v>
      </c>
      <c r="F851" s="130">
        <v>16.46</v>
      </c>
      <c r="G851" s="160">
        <v>8862000</v>
      </c>
      <c r="H851" s="160">
        <f t="shared" si="13"/>
        <v>145868520</v>
      </c>
      <c r="I851" t="s">
        <v>8863</v>
      </c>
      <c r="J851">
        <v>2023</v>
      </c>
      <c r="K851">
        <v>11</v>
      </c>
      <c r="L851" t="s">
        <v>8959</v>
      </c>
      <c r="M851" t="s">
        <v>1552</v>
      </c>
      <c r="N851" t="s">
        <v>8960</v>
      </c>
    </row>
    <row r="852" spans="1:14" x14ac:dyDescent="0.3">
      <c r="A852">
        <v>2024</v>
      </c>
      <c r="B852" s="159">
        <v>45244</v>
      </c>
      <c r="C852" s="130">
        <v>16.5</v>
      </c>
      <c r="D852" s="130">
        <v>16.579999999999998</v>
      </c>
      <c r="E852" s="130">
        <v>16.05</v>
      </c>
      <c r="F852" s="130">
        <v>16.45</v>
      </c>
      <c r="G852" s="160">
        <v>8555000</v>
      </c>
      <c r="H852" s="160">
        <f t="shared" si="13"/>
        <v>140729750</v>
      </c>
      <c r="I852" t="s">
        <v>8863</v>
      </c>
      <c r="J852">
        <v>2023</v>
      </c>
      <c r="K852">
        <v>11</v>
      </c>
      <c r="L852" t="s">
        <v>8959</v>
      </c>
      <c r="M852" t="s">
        <v>1552</v>
      </c>
      <c r="N852" t="s">
        <v>8960</v>
      </c>
    </row>
    <row r="853" spans="1:14" x14ac:dyDescent="0.3">
      <c r="A853">
        <v>2024</v>
      </c>
      <c r="B853" s="159">
        <v>45245</v>
      </c>
      <c r="C853" s="130">
        <v>16.5</v>
      </c>
      <c r="D853" s="130">
        <v>16.5</v>
      </c>
      <c r="E853" s="130">
        <v>16.260000000000002</v>
      </c>
      <c r="F853" s="130">
        <v>16.32</v>
      </c>
      <c r="G853" s="160">
        <v>3749500</v>
      </c>
      <c r="H853" s="160">
        <f t="shared" si="13"/>
        <v>61191840</v>
      </c>
      <c r="I853" t="s">
        <v>8863</v>
      </c>
      <c r="J853">
        <v>2023</v>
      </c>
      <c r="K853">
        <v>11</v>
      </c>
      <c r="L853" t="s">
        <v>8959</v>
      </c>
      <c r="M853" t="s">
        <v>1552</v>
      </c>
      <c r="N853" t="s">
        <v>8960</v>
      </c>
    </row>
    <row r="854" spans="1:14" x14ac:dyDescent="0.3">
      <c r="A854">
        <v>2024</v>
      </c>
      <c r="B854" s="159">
        <v>45246</v>
      </c>
      <c r="C854" s="130">
        <v>16.489999999999998</v>
      </c>
      <c r="D854" s="130">
        <v>16.510000000000002</v>
      </c>
      <c r="E854" s="130">
        <v>15.9</v>
      </c>
      <c r="F854" s="130">
        <v>16.03</v>
      </c>
      <c r="G854" s="160">
        <v>9231500</v>
      </c>
      <c r="H854" s="160">
        <f t="shared" si="13"/>
        <v>147980945</v>
      </c>
      <c r="I854" t="s">
        <v>8863</v>
      </c>
      <c r="J854">
        <v>2023</v>
      </c>
      <c r="K854">
        <v>11</v>
      </c>
      <c r="L854" t="s">
        <v>8959</v>
      </c>
      <c r="M854" t="s">
        <v>1552</v>
      </c>
      <c r="N854" t="s">
        <v>8960</v>
      </c>
    </row>
    <row r="855" spans="1:14" x14ac:dyDescent="0.3">
      <c r="A855">
        <v>2024</v>
      </c>
      <c r="B855" s="159">
        <v>45247</v>
      </c>
      <c r="C855" s="130">
        <v>16.04</v>
      </c>
      <c r="D855" s="130">
        <v>16.399999999999999</v>
      </c>
      <c r="E855" s="130">
        <v>16</v>
      </c>
      <c r="F855" s="130">
        <v>16.18</v>
      </c>
      <c r="G855" s="160">
        <v>4748000</v>
      </c>
      <c r="H855" s="160">
        <f t="shared" si="13"/>
        <v>76822640</v>
      </c>
      <c r="I855" t="s">
        <v>8863</v>
      </c>
      <c r="J855">
        <v>2023</v>
      </c>
      <c r="K855">
        <v>11</v>
      </c>
      <c r="L855" t="s">
        <v>8959</v>
      </c>
      <c r="M855" t="s">
        <v>1552</v>
      </c>
      <c r="N855" t="s">
        <v>8960</v>
      </c>
    </row>
    <row r="856" spans="1:14" x14ac:dyDescent="0.3">
      <c r="A856">
        <v>2024</v>
      </c>
      <c r="B856" s="159">
        <v>45250</v>
      </c>
      <c r="C856" s="130">
        <v>16.079999999999998</v>
      </c>
      <c r="D856" s="130">
        <v>16.12</v>
      </c>
      <c r="E856" s="130">
        <v>15.91</v>
      </c>
      <c r="F856" s="130">
        <v>15.99</v>
      </c>
      <c r="G856" s="160">
        <v>2396000</v>
      </c>
      <c r="H856" s="160">
        <f t="shared" si="13"/>
        <v>38312040</v>
      </c>
      <c r="I856" t="s">
        <v>8863</v>
      </c>
      <c r="J856">
        <v>2023</v>
      </c>
      <c r="K856">
        <v>11</v>
      </c>
      <c r="L856" t="s">
        <v>8959</v>
      </c>
      <c r="M856" t="s">
        <v>1552</v>
      </c>
      <c r="N856" t="s">
        <v>8960</v>
      </c>
    </row>
    <row r="857" spans="1:14" x14ac:dyDescent="0.3">
      <c r="A857">
        <v>2024</v>
      </c>
      <c r="B857" s="159">
        <v>45251</v>
      </c>
      <c r="C857" s="130">
        <v>15.86</v>
      </c>
      <c r="D857" s="130">
        <v>16.34</v>
      </c>
      <c r="E857" s="130">
        <v>15.86</v>
      </c>
      <c r="F857" s="130">
        <v>16.170000000000002</v>
      </c>
      <c r="G857" s="160">
        <v>6649000</v>
      </c>
      <c r="H857" s="160">
        <f t="shared" si="13"/>
        <v>107514330.00000001</v>
      </c>
      <c r="I857" t="s">
        <v>8863</v>
      </c>
      <c r="J857">
        <v>2023</v>
      </c>
      <c r="K857">
        <v>11</v>
      </c>
      <c r="L857" t="s">
        <v>8959</v>
      </c>
      <c r="M857" t="s">
        <v>1552</v>
      </c>
      <c r="N857" t="s">
        <v>8960</v>
      </c>
    </row>
    <row r="858" spans="1:14" x14ac:dyDescent="0.3">
      <c r="A858">
        <v>2024</v>
      </c>
      <c r="B858" s="159">
        <v>45252</v>
      </c>
      <c r="C858" s="130">
        <v>16.239999999999998</v>
      </c>
      <c r="D858" s="130">
        <v>16.87</v>
      </c>
      <c r="E858" s="130">
        <v>16.100000000000001</v>
      </c>
      <c r="F858" s="130">
        <v>16.72</v>
      </c>
      <c r="G858" s="160">
        <v>7117000</v>
      </c>
      <c r="H858" s="160">
        <f t="shared" si="13"/>
        <v>118996239.99999999</v>
      </c>
      <c r="I858" t="s">
        <v>8863</v>
      </c>
      <c r="J858">
        <v>2023</v>
      </c>
      <c r="K858">
        <v>11</v>
      </c>
      <c r="L858" t="s">
        <v>8959</v>
      </c>
      <c r="M858" t="s">
        <v>1552</v>
      </c>
      <c r="N858" t="s">
        <v>8960</v>
      </c>
    </row>
    <row r="859" spans="1:14" x14ac:dyDescent="0.3">
      <c r="A859">
        <v>2024</v>
      </c>
      <c r="B859" s="159">
        <v>45253</v>
      </c>
      <c r="C859" s="130">
        <v>16.989999999999998</v>
      </c>
      <c r="D859" s="130">
        <v>17.22</v>
      </c>
      <c r="E859" s="130">
        <v>16.8</v>
      </c>
      <c r="F859" s="130">
        <v>17.100000000000001</v>
      </c>
      <c r="G859" s="160">
        <v>11990000</v>
      </c>
      <c r="H859" s="160">
        <f t="shared" si="13"/>
        <v>205029000.00000003</v>
      </c>
      <c r="I859" t="s">
        <v>8863</v>
      </c>
      <c r="J859">
        <v>2023</v>
      </c>
      <c r="K859">
        <v>11</v>
      </c>
      <c r="L859" t="s">
        <v>8959</v>
      </c>
      <c r="M859" t="s">
        <v>1552</v>
      </c>
      <c r="N859" t="s">
        <v>8960</v>
      </c>
    </row>
    <row r="860" spans="1:14" x14ac:dyDescent="0.3">
      <c r="A860">
        <v>2024</v>
      </c>
      <c r="B860" s="159">
        <v>45254</v>
      </c>
      <c r="C860" s="130">
        <v>17.25</v>
      </c>
      <c r="D860" s="130">
        <v>17.399999999999999</v>
      </c>
      <c r="E860" s="130">
        <v>16.899999999999999</v>
      </c>
      <c r="F860" s="130">
        <v>17.05</v>
      </c>
      <c r="G860" s="160">
        <v>6293000</v>
      </c>
      <c r="H860" s="160">
        <f t="shared" si="13"/>
        <v>107295650</v>
      </c>
      <c r="I860" t="s">
        <v>8863</v>
      </c>
      <c r="J860">
        <v>2023</v>
      </c>
      <c r="K860">
        <v>11</v>
      </c>
      <c r="L860" t="s">
        <v>8959</v>
      </c>
      <c r="M860" t="s">
        <v>1552</v>
      </c>
      <c r="N860" t="s">
        <v>8960</v>
      </c>
    </row>
    <row r="861" spans="1:14" x14ac:dyDescent="0.3">
      <c r="A861">
        <v>2024</v>
      </c>
      <c r="B861" s="159">
        <v>45257</v>
      </c>
      <c r="C861" s="130">
        <v>17.05</v>
      </c>
      <c r="D861" s="130">
        <v>17.5</v>
      </c>
      <c r="E861" s="130">
        <v>16.850000000000001</v>
      </c>
      <c r="F861" s="130">
        <v>17.309999999999999</v>
      </c>
      <c r="G861" s="160">
        <v>5736500</v>
      </c>
      <c r="H861" s="160">
        <f t="shared" si="13"/>
        <v>99298815</v>
      </c>
      <c r="I861" t="s">
        <v>8863</v>
      </c>
      <c r="J861">
        <v>2023</v>
      </c>
      <c r="K861">
        <v>11</v>
      </c>
      <c r="L861" t="s">
        <v>8959</v>
      </c>
      <c r="M861" t="s">
        <v>1552</v>
      </c>
      <c r="N861" t="s">
        <v>8960</v>
      </c>
    </row>
    <row r="862" spans="1:14" x14ac:dyDescent="0.3">
      <c r="A862">
        <v>2024</v>
      </c>
      <c r="B862" s="159">
        <v>45258</v>
      </c>
      <c r="C862" s="130">
        <v>17.399999999999999</v>
      </c>
      <c r="D862" s="130">
        <v>17.62</v>
      </c>
      <c r="E862" s="130">
        <v>17.149999999999999</v>
      </c>
      <c r="F862" s="130">
        <v>17.22</v>
      </c>
      <c r="G862" s="160">
        <v>7572000</v>
      </c>
      <c r="H862" s="160">
        <f t="shared" si="13"/>
        <v>130389839.99999999</v>
      </c>
      <c r="I862" t="s">
        <v>8863</v>
      </c>
      <c r="J862">
        <v>2023</v>
      </c>
      <c r="K862">
        <v>11</v>
      </c>
      <c r="L862" t="s">
        <v>8959</v>
      </c>
      <c r="M862" t="s">
        <v>1552</v>
      </c>
      <c r="N862" t="s">
        <v>8960</v>
      </c>
    </row>
    <row r="863" spans="1:14" x14ac:dyDescent="0.3">
      <c r="A863">
        <v>2024</v>
      </c>
      <c r="B863" s="159">
        <v>45259</v>
      </c>
      <c r="C863" s="130">
        <v>17.3</v>
      </c>
      <c r="D863" s="130">
        <v>17.350000000000001</v>
      </c>
      <c r="E863" s="130">
        <v>16.8</v>
      </c>
      <c r="F863" s="130">
        <v>16.98</v>
      </c>
      <c r="G863" s="160">
        <v>8509500</v>
      </c>
      <c r="H863" s="160">
        <f t="shared" si="13"/>
        <v>144491310</v>
      </c>
      <c r="I863" t="s">
        <v>8863</v>
      </c>
      <c r="J863">
        <v>2023</v>
      </c>
      <c r="K863">
        <v>11</v>
      </c>
      <c r="L863" t="s">
        <v>8959</v>
      </c>
      <c r="M863" t="s">
        <v>1552</v>
      </c>
      <c r="N863" t="s">
        <v>8960</v>
      </c>
    </row>
    <row r="864" spans="1:14" x14ac:dyDescent="0.3">
      <c r="A864">
        <v>2024</v>
      </c>
      <c r="B864" s="159">
        <v>45260</v>
      </c>
      <c r="C864" s="130">
        <v>17</v>
      </c>
      <c r="D864" s="130">
        <v>17.98</v>
      </c>
      <c r="E864" s="130">
        <v>16.899999999999999</v>
      </c>
      <c r="F864" s="130">
        <v>17.54</v>
      </c>
      <c r="G864" s="160">
        <v>18711500</v>
      </c>
      <c r="H864" s="160">
        <f t="shared" si="13"/>
        <v>328199710</v>
      </c>
      <c r="I864" t="s">
        <v>8863</v>
      </c>
      <c r="J864">
        <v>2023</v>
      </c>
      <c r="K864">
        <v>11</v>
      </c>
      <c r="L864" t="s">
        <v>8959</v>
      </c>
      <c r="M864" t="s">
        <v>1552</v>
      </c>
      <c r="N864" t="s">
        <v>8960</v>
      </c>
    </row>
    <row r="865" spans="1:14" x14ac:dyDescent="0.3">
      <c r="A865">
        <v>2024</v>
      </c>
      <c r="B865" s="159">
        <v>45261</v>
      </c>
      <c r="C865" s="130">
        <v>17.75</v>
      </c>
      <c r="D865" s="130">
        <v>18.86</v>
      </c>
      <c r="E865" s="130">
        <v>17.600000000000001</v>
      </c>
      <c r="F865" s="130">
        <v>18.86</v>
      </c>
      <c r="G865" s="160">
        <v>27255000</v>
      </c>
      <c r="H865" s="160">
        <f t="shared" si="13"/>
        <v>514029300</v>
      </c>
      <c r="I865" t="s">
        <v>8864</v>
      </c>
      <c r="J865">
        <v>2023</v>
      </c>
      <c r="K865">
        <v>12</v>
      </c>
      <c r="L865" t="s">
        <v>8961</v>
      </c>
      <c r="M865" t="s">
        <v>1552</v>
      </c>
      <c r="N865" t="s">
        <v>8962</v>
      </c>
    </row>
    <row r="866" spans="1:14" x14ac:dyDescent="0.3">
      <c r="A866">
        <v>2024</v>
      </c>
      <c r="B866" s="159">
        <v>45264</v>
      </c>
      <c r="C866" s="130">
        <v>20.25</v>
      </c>
      <c r="D866" s="130">
        <v>20.27</v>
      </c>
      <c r="E866" s="130">
        <v>19.12</v>
      </c>
      <c r="F866" s="130">
        <v>20.07</v>
      </c>
      <c r="G866" s="160">
        <v>41984500</v>
      </c>
      <c r="H866" s="160">
        <f t="shared" si="13"/>
        <v>842628915</v>
      </c>
      <c r="I866" t="s">
        <v>8864</v>
      </c>
      <c r="J866">
        <v>2023</v>
      </c>
      <c r="K866">
        <v>12</v>
      </c>
      <c r="L866" t="s">
        <v>8961</v>
      </c>
      <c r="M866" t="s">
        <v>1552</v>
      </c>
      <c r="N866" t="s">
        <v>8962</v>
      </c>
    </row>
    <row r="867" spans="1:14" x14ac:dyDescent="0.3">
      <c r="A867">
        <v>2024</v>
      </c>
      <c r="B867" s="159">
        <v>45265</v>
      </c>
      <c r="C867" s="130">
        <v>20.149999999999999</v>
      </c>
      <c r="D867" s="130">
        <v>20.79</v>
      </c>
      <c r="E867" s="130">
        <v>19.8</v>
      </c>
      <c r="F867" s="130">
        <v>20.51</v>
      </c>
      <c r="G867" s="160">
        <v>23813500</v>
      </c>
      <c r="H867" s="160">
        <f t="shared" si="13"/>
        <v>488414885.00000006</v>
      </c>
      <c r="I867" t="s">
        <v>8864</v>
      </c>
      <c r="J867">
        <v>2023</v>
      </c>
      <c r="K867">
        <v>12</v>
      </c>
      <c r="L867" t="s">
        <v>8961</v>
      </c>
      <c r="M867" t="s">
        <v>1552</v>
      </c>
      <c r="N867" t="s">
        <v>8962</v>
      </c>
    </row>
    <row r="868" spans="1:14" x14ac:dyDescent="0.3">
      <c r="A868">
        <v>2024</v>
      </c>
      <c r="B868" s="159">
        <v>45266</v>
      </c>
      <c r="C868" s="130">
        <v>20.5</v>
      </c>
      <c r="D868" s="130">
        <v>21.2</v>
      </c>
      <c r="E868" s="130">
        <v>20.25</v>
      </c>
      <c r="F868" s="130">
        <v>20.49</v>
      </c>
      <c r="G868" s="160">
        <v>20735000</v>
      </c>
      <c r="H868" s="160">
        <f t="shared" si="13"/>
        <v>424860149.99999994</v>
      </c>
      <c r="I868" t="s">
        <v>8864</v>
      </c>
      <c r="J868">
        <v>2023</v>
      </c>
      <c r="K868">
        <v>12</v>
      </c>
      <c r="L868" t="s">
        <v>8961</v>
      </c>
      <c r="M868" t="s">
        <v>1552</v>
      </c>
      <c r="N868" t="s">
        <v>8962</v>
      </c>
    </row>
    <row r="869" spans="1:14" x14ac:dyDescent="0.3">
      <c r="A869">
        <v>2024</v>
      </c>
      <c r="B869" s="159">
        <v>45267</v>
      </c>
      <c r="C869" s="130">
        <v>20.41</v>
      </c>
      <c r="D869" s="130">
        <v>20.75</v>
      </c>
      <c r="E869" s="130">
        <v>20</v>
      </c>
      <c r="F869" s="130">
        <v>20.260000000000002</v>
      </c>
      <c r="G869" s="160">
        <v>13410500</v>
      </c>
      <c r="H869" s="160">
        <f t="shared" si="13"/>
        <v>271696730</v>
      </c>
      <c r="I869" t="s">
        <v>8864</v>
      </c>
      <c r="J869">
        <v>2023</v>
      </c>
      <c r="K869">
        <v>12</v>
      </c>
      <c r="L869" t="s">
        <v>8961</v>
      </c>
      <c r="M869" t="s">
        <v>1552</v>
      </c>
      <c r="N869" t="s">
        <v>8962</v>
      </c>
    </row>
    <row r="870" spans="1:14" x14ac:dyDescent="0.3">
      <c r="A870">
        <v>2024</v>
      </c>
      <c r="B870" s="159">
        <v>45268</v>
      </c>
      <c r="C870" s="130">
        <v>20.39</v>
      </c>
      <c r="D870" s="130">
        <v>20.5</v>
      </c>
      <c r="E870" s="130">
        <v>19.88</v>
      </c>
      <c r="F870" s="130">
        <v>20.25</v>
      </c>
      <c r="G870" s="160">
        <v>19038000</v>
      </c>
      <c r="H870" s="160">
        <f t="shared" si="13"/>
        <v>385519500</v>
      </c>
      <c r="I870" t="s">
        <v>8864</v>
      </c>
      <c r="J870">
        <v>2023</v>
      </c>
      <c r="K870">
        <v>12</v>
      </c>
      <c r="L870" t="s">
        <v>8961</v>
      </c>
      <c r="M870" t="s">
        <v>1552</v>
      </c>
      <c r="N870" t="s">
        <v>8962</v>
      </c>
    </row>
    <row r="871" spans="1:14" x14ac:dyDescent="0.3">
      <c r="A871">
        <v>2024</v>
      </c>
      <c r="B871" s="159">
        <v>45271</v>
      </c>
      <c r="C871" s="130">
        <v>20.2</v>
      </c>
      <c r="D871" s="130">
        <v>20.260000000000002</v>
      </c>
      <c r="E871" s="130">
        <v>19.600000000000001</v>
      </c>
      <c r="F871" s="130">
        <v>19.84</v>
      </c>
      <c r="G871" s="160">
        <v>8574500</v>
      </c>
      <c r="H871" s="160">
        <f t="shared" si="13"/>
        <v>170118080</v>
      </c>
      <c r="I871" t="s">
        <v>8864</v>
      </c>
      <c r="J871">
        <v>2023</v>
      </c>
      <c r="K871">
        <v>12</v>
      </c>
      <c r="L871" t="s">
        <v>8961</v>
      </c>
      <c r="M871" t="s">
        <v>1552</v>
      </c>
      <c r="N871" t="s">
        <v>8962</v>
      </c>
    </row>
    <row r="872" spans="1:14" x14ac:dyDescent="0.3">
      <c r="A872">
        <v>2024</v>
      </c>
      <c r="B872" s="159">
        <v>45272</v>
      </c>
      <c r="C872" s="130">
        <v>19.95</v>
      </c>
      <c r="D872" s="130">
        <v>20.28</v>
      </c>
      <c r="E872" s="130">
        <v>19.66</v>
      </c>
      <c r="F872" s="130">
        <v>19.760000000000002</v>
      </c>
      <c r="G872" s="160">
        <v>21975000</v>
      </c>
      <c r="H872" s="160">
        <f t="shared" si="13"/>
        <v>434226000.00000006</v>
      </c>
      <c r="I872" t="s">
        <v>8864</v>
      </c>
      <c r="J872">
        <v>2023</v>
      </c>
      <c r="K872">
        <v>12</v>
      </c>
      <c r="L872" t="s">
        <v>8961</v>
      </c>
      <c r="M872" t="s">
        <v>1552</v>
      </c>
      <c r="N872" t="s">
        <v>8962</v>
      </c>
    </row>
    <row r="873" spans="1:14" x14ac:dyDescent="0.3">
      <c r="A873">
        <v>2024</v>
      </c>
      <c r="B873" s="159">
        <v>45273</v>
      </c>
      <c r="C873" s="130">
        <v>19.84</v>
      </c>
      <c r="D873" s="130">
        <v>20.61</v>
      </c>
      <c r="E873" s="130">
        <v>19.66</v>
      </c>
      <c r="F873" s="130">
        <v>20.07</v>
      </c>
      <c r="G873" s="160">
        <v>36196500</v>
      </c>
      <c r="H873" s="160">
        <f t="shared" si="13"/>
        <v>726463755</v>
      </c>
      <c r="I873" t="s">
        <v>8864</v>
      </c>
      <c r="J873">
        <v>2023</v>
      </c>
      <c r="K873">
        <v>12</v>
      </c>
      <c r="L873" t="s">
        <v>8961</v>
      </c>
      <c r="M873" t="s">
        <v>1552</v>
      </c>
      <c r="N873" t="s">
        <v>8962</v>
      </c>
    </row>
    <row r="874" spans="1:14" x14ac:dyDescent="0.3">
      <c r="A874">
        <v>2024</v>
      </c>
      <c r="B874" s="159">
        <v>45274</v>
      </c>
      <c r="C874" s="130">
        <v>20.05</v>
      </c>
      <c r="D874" s="130">
        <v>20.25</v>
      </c>
      <c r="E874" s="130">
        <v>19.78</v>
      </c>
      <c r="F874" s="130">
        <v>19.86</v>
      </c>
      <c r="G874" s="160">
        <v>6115000</v>
      </c>
      <c r="H874" s="160">
        <f t="shared" si="13"/>
        <v>121443900</v>
      </c>
      <c r="I874" t="s">
        <v>8864</v>
      </c>
      <c r="J874">
        <v>2023</v>
      </c>
      <c r="K874">
        <v>12</v>
      </c>
      <c r="L874" t="s">
        <v>8961</v>
      </c>
      <c r="M874" t="s">
        <v>1552</v>
      </c>
      <c r="N874" t="s">
        <v>8962</v>
      </c>
    </row>
    <row r="875" spans="1:14" x14ac:dyDescent="0.3">
      <c r="A875">
        <v>2024</v>
      </c>
      <c r="B875" s="159">
        <v>45275</v>
      </c>
      <c r="C875" s="130">
        <v>19.989999999999998</v>
      </c>
      <c r="D875" s="130">
        <v>20.25</v>
      </c>
      <c r="E875" s="130">
        <v>19.8</v>
      </c>
      <c r="F875" s="130">
        <v>20.03</v>
      </c>
      <c r="G875" s="160">
        <v>9792500</v>
      </c>
      <c r="H875" s="160">
        <f t="shared" si="13"/>
        <v>196143775</v>
      </c>
      <c r="I875" t="s">
        <v>8864</v>
      </c>
      <c r="J875">
        <v>2023</v>
      </c>
      <c r="K875">
        <v>12</v>
      </c>
      <c r="L875" t="s">
        <v>8961</v>
      </c>
      <c r="M875" t="s">
        <v>1552</v>
      </c>
      <c r="N875" t="s">
        <v>8962</v>
      </c>
    </row>
    <row r="876" spans="1:14" x14ac:dyDescent="0.3">
      <c r="A876">
        <v>2024</v>
      </c>
      <c r="B876" s="159">
        <v>45278</v>
      </c>
      <c r="C876" s="130">
        <v>20.25</v>
      </c>
      <c r="D876" s="130">
        <v>20.45</v>
      </c>
      <c r="E876" s="130">
        <v>19.75</v>
      </c>
      <c r="F876" s="130">
        <v>19.87</v>
      </c>
      <c r="G876" s="160">
        <v>10733000</v>
      </c>
      <c r="H876" s="160">
        <f t="shared" si="13"/>
        <v>213264710</v>
      </c>
      <c r="I876" t="s">
        <v>8864</v>
      </c>
      <c r="J876">
        <v>2023</v>
      </c>
      <c r="K876">
        <v>12</v>
      </c>
      <c r="L876" t="s">
        <v>8961</v>
      </c>
      <c r="M876" t="s">
        <v>1552</v>
      </c>
      <c r="N876" t="s">
        <v>8962</v>
      </c>
    </row>
    <row r="877" spans="1:14" x14ac:dyDescent="0.3">
      <c r="A877">
        <v>2024</v>
      </c>
      <c r="B877" s="159">
        <v>45279</v>
      </c>
      <c r="C877" s="130">
        <v>19.97</v>
      </c>
      <c r="D877" s="130">
        <v>19.97</v>
      </c>
      <c r="E877" s="130">
        <v>18.38</v>
      </c>
      <c r="F877" s="130">
        <v>18.48</v>
      </c>
      <c r="G877" s="160">
        <v>13346000</v>
      </c>
      <c r="H877" s="160">
        <f t="shared" si="13"/>
        <v>246634080</v>
      </c>
      <c r="I877" t="s">
        <v>8864</v>
      </c>
      <c r="J877">
        <v>2023</v>
      </c>
      <c r="K877">
        <v>12</v>
      </c>
      <c r="L877" t="s">
        <v>8961</v>
      </c>
      <c r="M877" t="s">
        <v>1552</v>
      </c>
      <c r="N877" t="s">
        <v>8962</v>
      </c>
    </row>
    <row r="878" spans="1:14" x14ac:dyDescent="0.3">
      <c r="A878">
        <v>2024</v>
      </c>
      <c r="B878" s="159">
        <v>45280</v>
      </c>
      <c r="C878" s="130">
        <v>18.25</v>
      </c>
      <c r="D878" s="130">
        <v>19.100000000000001</v>
      </c>
      <c r="E878" s="130">
        <v>17.62</v>
      </c>
      <c r="F878" s="130">
        <v>18.55</v>
      </c>
      <c r="G878" s="160">
        <v>15694000</v>
      </c>
      <c r="H878" s="160">
        <f t="shared" si="13"/>
        <v>291123700</v>
      </c>
      <c r="I878" t="s">
        <v>8864</v>
      </c>
      <c r="J878">
        <v>2023</v>
      </c>
      <c r="K878">
        <v>12</v>
      </c>
      <c r="L878" t="s">
        <v>8961</v>
      </c>
      <c r="M878" t="s">
        <v>1552</v>
      </c>
      <c r="N878" t="s">
        <v>8962</v>
      </c>
    </row>
    <row r="879" spans="1:14" x14ac:dyDescent="0.3">
      <c r="A879">
        <v>2024</v>
      </c>
      <c r="B879" s="159">
        <v>45281</v>
      </c>
      <c r="C879" s="130">
        <v>18.61</v>
      </c>
      <c r="D879" s="130">
        <v>18.850000000000001</v>
      </c>
      <c r="E879" s="130">
        <v>18.100000000000001</v>
      </c>
      <c r="F879" s="130">
        <v>18.64</v>
      </c>
      <c r="G879" s="160">
        <v>5003500</v>
      </c>
      <c r="H879" s="160">
        <f t="shared" si="13"/>
        <v>93265240</v>
      </c>
      <c r="I879" t="s">
        <v>8864</v>
      </c>
      <c r="J879">
        <v>2023</v>
      </c>
      <c r="K879">
        <v>12</v>
      </c>
      <c r="L879" t="s">
        <v>8961</v>
      </c>
      <c r="M879" t="s">
        <v>1552</v>
      </c>
      <c r="N879" t="s">
        <v>8962</v>
      </c>
    </row>
    <row r="880" spans="1:14" x14ac:dyDescent="0.3">
      <c r="A880">
        <v>2024</v>
      </c>
      <c r="B880" s="159">
        <v>45282</v>
      </c>
      <c r="C880" s="130">
        <v>18.8</v>
      </c>
      <c r="D880" s="130">
        <v>19.2</v>
      </c>
      <c r="E880" s="130">
        <v>18.010000000000002</v>
      </c>
      <c r="F880" s="130">
        <v>18.11</v>
      </c>
      <c r="G880" s="160">
        <v>2917500</v>
      </c>
      <c r="H880" s="160">
        <f t="shared" si="13"/>
        <v>52835925</v>
      </c>
      <c r="I880" t="s">
        <v>8864</v>
      </c>
      <c r="J880">
        <v>2023</v>
      </c>
      <c r="K880">
        <v>12</v>
      </c>
      <c r="L880" t="s">
        <v>8961</v>
      </c>
      <c r="M880" t="s">
        <v>1552</v>
      </c>
      <c r="N880" t="s">
        <v>8962</v>
      </c>
    </row>
    <row r="881" spans="1:14" x14ac:dyDescent="0.3">
      <c r="A881">
        <v>2024</v>
      </c>
      <c r="B881" s="159">
        <v>45286</v>
      </c>
      <c r="C881" s="130">
        <v>18.25</v>
      </c>
      <c r="D881" s="130">
        <v>18.32</v>
      </c>
      <c r="E881" s="130">
        <v>16.75</v>
      </c>
      <c r="F881" s="130">
        <v>16.829999999999998</v>
      </c>
      <c r="G881" s="160">
        <v>10135500</v>
      </c>
      <c r="H881" s="160">
        <f t="shared" si="13"/>
        <v>170580464.99999997</v>
      </c>
      <c r="I881" t="s">
        <v>8864</v>
      </c>
      <c r="J881">
        <v>2023</v>
      </c>
      <c r="K881">
        <v>12</v>
      </c>
      <c r="L881" t="s">
        <v>8961</v>
      </c>
      <c r="M881" t="s">
        <v>1552</v>
      </c>
      <c r="N881" t="s">
        <v>8962</v>
      </c>
    </row>
    <row r="882" spans="1:14" x14ac:dyDescent="0.3">
      <c r="A882">
        <v>2024</v>
      </c>
      <c r="B882" s="159">
        <v>45287</v>
      </c>
      <c r="C882" s="130">
        <v>16.850000000000001</v>
      </c>
      <c r="D882" s="130">
        <v>18.09</v>
      </c>
      <c r="E882" s="130">
        <v>16.63</v>
      </c>
      <c r="F882" s="130">
        <v>17.98</v>
      </c>
      <c r="G882" s="160">
        <v>8017000</v>
      </c>
      <c r="H882" s="160">
        <f t="shared" si="13"/>
        <v>144145660</v>
      </c>
      <c r="I882" t="s">
        <v>8864</v>
      </c>
      <c r="J882">
        <v>2023</v>
      </c>
      <c r="K882">
        <v>12</v>
      </c>
      <c r="L882" t="s">
        <v>8961</v>
      </c>
      <c r="M882" t="s">
        <v>1552</v>
      </c>
      <c r="N882" t="s">
        <v>8962</v>
      </c>
    </row>
    <row r="883" spans="1:14" x14ac:dyDescent="0.3">
      <c r="A883">
        <v>2024</v>
      </c>
      <c r="B883" s="159">
        <v>45288</v>
      </c>
      <c r="C883" s="130">
        <v>18.02</v>
      </c>
      <c r="D883" s="130">
        <v>19</v>
      </c>
      <c r="E883" s="130">
        <v>17.850000000000001</v>
      </c>
      <c r="F883" s="130">
        <v>18.600000000000001</v>
      </c>
      <c r="G883" s="160">
        <v>11945500</v>
      </c>
      <c r="H883" s="160">
        <f t="shared" si="13"/>
        <v>222186300.00000003</v>
      </c>
      <c r="I883" t="s">
        <v>8864</v>
      </c>
      <c r="J883">
        <v>2023</v>
      </c>
      <c r="K883">
        <v>12</v>
      </c>
      <c r="L883" t="s">
        <v>8961</v>
      </c>
      <c r="M883" t="s">
        <v>1552</v>
      </c>
      <c r="N883" t="s">
        <v>8962</v>
      </c>
    </row>
    <row r="884" spans="1:14" x14ac:dyDescent="0.3">
      <c r="A884">
        <v>2024</v>
      </c>
      <c r="B884" s="159">
        <v>45289</v>
      </c>
      <c r="C884" s="130">
        <v>18.649999999999999</v>
      </c>
      <c r="D884" s="130">
        <v>19.48</v>
      </c>
      <c r="E884" s="130">
        <v>18.329999999999998</v>
      </c>
      <c r="F884" s="130">
        <v>18.920000000000002</v>
      </c>
      <c r="G884" s="160">
        <v>5959000</v>
      </c>
      <c r="H884" s="160">
        <f t="shared" si="13"/>
        <v>112744280.00000001</v>
      </c>
      <c r="I884" t="s">
        <v>8864</v>
      </c>
      <c r="J884">
        <v>2023</v>
      </c>
      <c r="K884">
        <v>12</v>
      </c>
      <c r="L884" t="s">
        <v>8961</v>
      </c>
      <c r="M884" t="s">
        <v>1552</v>
      </c>
      <c r="N884" t="s">
        <v>8962</v>
      </c>
    </row>
    <row r="885" spans="1:14" x14ac:dyDescent="0.3">
      <c r="A885">
        <v>2024</v>
      </c>
      <c r="B885" s="159">
        <v>45292</v>
      </c>
      <c r="C885" s="130">
        <v>18.95</v>
      </c>
      <c r="D885" s="130">
        <v>20.149999999999999</v>
      </c>
      <c r="E885" s="130">
        <v>18.95</v>
      </c>
      <c r="F885" s="130">
        <v>19.96</v>
      </c>
      <c r="G885" s="160">
        <v>9793000</v>
      </c>
      <c r="H885" s="160">
        <f t="shared" si="13"/>
        <v>195468280</v>
      </c>
      <c r="I885" t="s">
        <v>8867</v>
      </c>
      <c r="J885">
        <v>2024</v>
      </c>
      <c r="K885">
        <v>1</v>
      </c>
      <c r="L885" t="s">
        <v>8963</v>
      </c>
      <c r="M885" t="s">
        <v>1552</v>
      </c>
      <c r="N885" t="s">
        <v>8964</v>
      </c>
    </row>
    <row r="886" spans="1:14" x14ac:dyDescent="0.3">
      <c r="A886">
        <v>2024</v>
      </c>
      <c r="B886" s="159">
        <v>45293</v>
      </c>
      <c r="C886" s="130">
        <v>20.27</v>
      </c>
      <c r="D886" s="130">
        <v>20.9</v>
      </c>
      <c r="E886" s="130">
        <v>19.850000000000001</v>
      </c>
      <c r="F886" s="130">
        <v>20.3</v>
      </c>
      <c r="G886" s="160">
        <v>30470000</v>
      </c>
      <c r="H886" s="160">
        <f t="shared" si="13"/>
        <v>618541000</v>
      </c>
      <c r="I886" t="s">
        <v>8867</v>
      </c>
      <c r="J886">
        <v>2024</v>
      </c>
      <c r="K886">
        <v>1</v>
      </c>
      <c r="L886" t="s">
        <v>8963</v>
      </c>
      <c r="M886" t="s">
        <v>1552</v>
      </c>
      <c r="N886" t="s">
        <v>8964</v>
      </c>
    </row>
    <row r="887" spans="1:14" x14ac:dyDescent="0.3">
      <c r="A887">
        <v>2024</v>
      </c>
      <c r="B887" s="159">
        <v>45294</v>
      </c>
      <c r="C887" s="130">
        <v>20.55</v>
      </c>
      <c r="D887" s="130">
        <v>20.75</v>
      </c>
      <c r="E887" s="130">
        <v>20.010000000000002</v>
      </c>
      <c r="F887" s="130">
        <v>20.13</v>
      </c>
      <c r="G887" s="160">
        <v>12248500</v>
      </c>
      <c r="H887" s="160">
        <f t="shared" si="13"/>
        <v>246562305</v>
      </c>
      <c r="I887" t="s">
        <v>8867</v>
      </c>
      <c r="J887">
        <v>2024</v>
      </c>
      <c r="K887">
        <v>1</v>
      </c>
      <c r="L887" t="s">
        <v>8963</v>
      </c>
      <c r="M887" t="s">
        <v>1552</v>
      </c>
      <c r="N887" t="s">
        <v>8964</v>
      </c>
    </row>
    <row r="888" spans="1:14" x14ac:dyDescent="0.3">
      <c r="A888">
        <v>2024</v>
      </c>
      <c r="B888" s="159">
        <v>45295</v>
      </c>
      <c r="C888" s="130">
        <v>20.329999999999998</v>
      </c>
      <c r="D888" s="130">
        <v>20.329999999999998</v>
      </c>
      <c r="E888" s="130">
        <v>19.7</v>
      </c>
      <c r="F888" s="130">
        <v>20.170000000000002</v>
      </c>
      <c r="G888" s="160">
        <v>5233500</v>
      </c>
      <c r="H888" s="160">
        <f t="shared" si="13"/>
        <v>105559695.00000001</v>
      </c>
      <c r="I888" t="s">
        <v>8867</v>
      </c>
      <c r="J888">
        <v>2024</v>
      </c>
      <c r="K888">
        <v>1</v>
      </c>
      <c r="L888" t="s">
        <v>8963</v>
      </c>
      <c r="M888" t="s">
        <v>1552</v>
      </c>
      <c r="N888" t="s">
        <v>8964</v>
      </c>
    </row>
    <row r="889" spans="1:14" x14ac:dyDescent="0.3">
      <c r="A889">
        <v>2024</v>
      </c>
      <c r="B889" s="159">
        <v>45296</v>
      </c>
      <c r="C889" s="130">
        <v>20.059999999999999</v>
      </c>
      <c r="D889" s="130">
        <v>20.5</v>
      </c>
      <c r="E889" s="130">
        <v>19.399999999999999</v>
      </c>
      <c r="F889" s="130">
        <v>19.899999999999999</v>
      </c>
      <c r="G889" s="160">
        <v>11359000</v>
      </c>
      <c r="H889" s="160">
        <f t="shared" si="13"/>
        <v>226044099.99999997</v>
      </c>
      <c r="I889" t="s">
        <v>8867</v>
      </c>
      <c r="J889">
        <v>2024</v>
      </c>
      <c r="K889">
        <v>1</v>
      </c>
      <c r="L889" t="s">
        <v>8963</v>
      </c>
      <c r="M889" t="s">
        <v>1552</v>
      </c>
      <c r="N889" t="s">
        <v>8964</v>
      </c>
    </row>
    <row r="890" spans="1:14" x14ac:dyDescent="0.3">
      <c r="A890">
        <v>2024</v>
      </c>
      <c r="B890" s="159">
        <v>45299</v>
      </c>
      <c r="C890" s="130">
        <v>19.95</v>
      </c>
      <c r="D890" s="130">
        <v>20.09</v>
      </c>
      <c r="E890" s="130">
        <v>19.3</v>
      </c>
      <c r="F890" s="130">
        <v>19.350000000000001</v>
      </c>
      <c r="G890" s="160">
        <v>2659000</v>
      </c>
      <c r="H890" s="160">
        <f t="shared" si="13"/>
        <v>51451650.000000007</v>
      </c>
      <c r="I890" t="s">
        <v>8867</v>
      </c>
      <c r="J890">
        <v>2024</v>
      </c>
      <c r="K890">
        <v>1</v>
      </c>
      <c r="L890" t="s">
        <v>8963</v>
      </c>
      <c r="M890" t="s">
        <v>1552</v>
      </c>
      <c r="N890" t="s">
        <v>8964</v>
      </c>
    </row>
    <row r="891" spans="1:14" x14ac:dyDescent="0.3">
      <c r="A891">
        <v>2024</v>
      </c>
      <c r="B891" s="159">
        <v>45300</v>
      </c>
      <c r="C891" s="130">
        <v>19.5</v>
      </c>
      <c r="D891" s="130">
        <v>19.89</v>
      </c>
      <c r="E891" s="130">
        <v>19.100000000000001</v>
      </c>
      <c r="F891" s="130">
        <v>19.3</v>
      </c>
      <c r="G891" s="160">
        <v>2430000</v>
      </c>
      <c r="H891" s="160">
        <f t="shared" si="13"/>
        <v>46899000</v>
      </c>
      <c r="I891" t="s">
        <v>8867</v>
      </c>
      <c r="J891">
        <v>2024</v>
      </c>
      <c r="K891">
        <v>1</v>
      </c>
      <c r="L891" t="s">
        <v>8963</v>
      </c>
      <c r="M891" t="s">
        <v>1552</v>
      </c>
      <c r="N891" t="s">
        <v>8964</v>
      </c>
    </row>
    <row r="892" spans="1:14" x14ac:dyDescent="0.3">
      <c r="A892">
        <v>2024</v>
      </c>
      <c r="B892" s="159">
        <v>45301</v>
      </c>
      <c r="C892" s="130">
        <v>19.350000000000001</v>
      </c>
      <c r="D892" s="130">
        <v>19.55</v>
      </c>
      <c r="E892" s="130">
        <v>19.2</v>
      </c>
      <c r="F892" s="130">
        <v>19.37</v>
      </c>
      <c r="G892" s="160">
        <v>2759000</v>
      </c>
      <c r="H892" s="160">
        <f t="shared" si="13"/>
        <v>53441830</v>
      </c>
      <c r="I892" t="s">
        <v>8867</v>
      </c>
      <c r="J892">
        <v>2024</v>
      </c>
      <c r="K892">
        <v>1</v>
      </c>
      <c r="L892" t="s">
        <v>8963</v>
      </c>
      <c r="M892" t="s">
        <v>1552</v>
      </c>
      <c r="N892" t="s">
        <v>8964</v>
      </c>
    </row>
    <row r="893" spans="1:14" x14ac:dyDescent="0.3">
      <c r="A893">
        <v>2024</v>
      </c>
      <c r="B893" s="159">
        <v>45302</v>
      </c>
      <c r="C893" s="130">
        <v>19.399999999999999</v>
      </c>
      <c r="D893" s="130">
        <v>20</v>
      </c>
      <c r="E893" s="130">
        <v>19.399999999999999</v>
      </c>
      <c r="F893" s="130">
        <v>19.600000000000001</v>
      </c>
      <c r="G893" s="160">
        <v>7111000</v>
      </c>
      <c r="H893" s="160">
        <f t="shared" si="13"/>
        <v>139375600</v>
      </c>
      <c r="I893" t="s">
        <v>8867</v>
      </c>
      <c r="J893">
        <v>2024</v>
      </c>
      <c r="K893">
        <v>1</v>
      </c>
      <c r="L893" t="s">
        <v>8963</v>
      </c>
      <c r="M893" t="s">
        <v>1552</v>
      </c>
      <c r="N893" t="s">
        <v>8964</v>
      </c>
    </row>
    <row r="894" spans="1:14" x14ac:dyDescent="0.3">
      <c r="A894">
        <v>2024</v>
      </c>
      <c r="B894" s="159">
        <v>45303</v>
      </c>
      <c r="C894" s="130">
        <v>19.989999999999998</v>
      </c>
      <c r="D894" s="130">
        <v>20.2</v>
      </c>
      <c r="E894" s="130">
        <v>19.420000000000002</v>
      </c>
      <c r="F894" s="130">
        <v>19.649999999999999</v>
      </c>
      <c r="G894" s="160">
        <v>7579500</v>
      </c>
      <c r="H894" s="160">
        <f t="shared" si="13"/>
        <v>148937175</v>
      </c>
      <c r="I894" t="s">
        <v>8867</v>
      </c>
      <c r="J894">
        <v>2024</v>
      </c>
      <c r="K894">
        <v>1</v>
      </c>
      <c r="L894" t="s">
        <v>8963</v>
      </c>
      <c r="M894" t="s">
        <v>1552</v>
      </c>
      <c r="N894" t="s">
        <v>8964</v>
      </c>
    </row>
    <row r="895" spans="1:14" x14ac:dyDescent="0.3">
      <c r="A895">
        <v>2024</v>
      </c>
      <c r="B895" s="159">
        <v>45306</v>
      </c>
      <c r="C895" s="130">
        <v>19.95</v>
      </c>
      <c r="D895" s="130">
        <v>19.95</v>
      </c>
      <c r="E895" s="130">
        <v>19.100000000000001</v>
      </c>
      <c r="F895" s="130">
        <v>19.149999999999999</v>
      </c>
      <c r="G895" s="160">
        <v>4504000</v>
      </c>
      <c r="H895" s="160">
        <f t="shared" si="13"/>
        <v>86251600</v>
      </c>
      <c r="I895" t="s">
        <v>8867</v>
      </c>
      <c r="J895">
        <v>2024</v>
      </c>
      <c r="K895">
        <v>1</v>
      </c>
      <c r="L895" t="s">
        <v>8963</v>
      </c>
      <c r="M895" t="s">
        <v>1552</v>
      </c>
      <c r="N895" t="s">
        <v>8964</v>
      </c>
    </row>
    <row r="896" spans="1:14" x14ac:dyDescent="0.3">
      <c r="A896">
        <v>2024</v>
      </c>
      <c r="B896" s="159">
        <v>45307</v>
      </c>
      <c r="C896" s="130">
        <v>19.010000000000002</v>
      </c>
      <c r="D896" s="130">
        <v>19.3</v>
      </c>
      <c r="E896" s="130">
        <v>18.75</v>
      </c>
      <c r="F896" s="130">
        <v>18.96</v>
      </c>
      <c r="G896" s="160">
        <v>6092500</v>
      </c>
      <c r="H896" s="160">
        <f t="shared" si="13"/>
        <v>115513800</v>
      </c>
      <c r="I896" t="s">
        <v>8867</v>
      </c>
      <c r="J896">
        <v>2024</v>
      </c>
      <c r="K896">
        <v>1</v>
      </c>
      <c r="L896" t="s">
        <v>8963</v>
      </c>
      <c r="M896" t="s">
        <v>1552</v>
      </c>
      <c r="N896" t="s">
        <v>8964</v>
      </c>
    </row>
    <row r="897" spans="1:14" x14ac:dyDescent="0.3">
      <c r="A897">
        <v>2024</v>
      </c>
      <c r="B897" s="159">
        <v>45308</v>
      </c>
      <c r="C897" s="130">
        <v>18.97</v>
      </c>
      <c r="D897" s="130">
        <v>19.29</v>
      </c>
      <c r="E897" s="130">
        <v>18.22</v>
      </c>
      <c r="F897" s="130">
        <v>18.66</v>
      </c>
      <c r="G897" s="160">
        <v>5784500</v>
      </c>
      <c r="H897" s="160">
        <f t="shared" si="13"/>
        <v>107938770</v>
      </c>
      <c r="I897" t="s">
        <v>8867</v>
      </c>
      <c r="J897">
        <v>2024</v>
      </c>
      <c r="K897">
        <v>1</v>
      </c>
      <c r="L897" t="s">
        <v>8963</v>
      </c>
      <c r="M897" t="s">
        <v>1552</v>
      </c>
      <c r="N897" t="s">
        <v>8964</v>
      </c>
    </row>
    <row r="898" spans="1:14" x14ac:dyDescent="0.3">
      <c r="A898">
        <v>2024</v>
      </c>
      <c r="B898" s="159">
        <v>45309</v>
      </c>
      <c r="C898" s="130">
        <v>18.600000000000001</v>
      </c>
      <c r="D898" s="130">
        <v>19.100000000000001</v>
      </c>
      <c r="E898" s="130">
        <v>18.14</v>
      </c>
      <c r="F898" s="130">
        <v>18.71</v>
      </c>
      <c r="G898" s="160">
        <v>4089000</v>
      </c>
      <c r="H898" s="160">
        <f t="shared" si="13"/>
        <v>76505190</v>
      </c>
      <c r="I898" t="s">
        <v>8867</v>
      </c>
      <c r="J898">
        <v>2024</v>
      </c>
      <c r="K898">
        <v>1</v>
      </c>
      <c r="L898" t="s">
        <v>8963</v>
      </c>
      <c r="M898" t="s">
        <v>1552</v>
      </c>
      <c r="N898" t="s">
        <v>8964</v>
      </c>
    </row>
    <row r="899" spans="1:14" x14ac:dyDescent="0.3">
      <c r="A899">
        <v>2024</v>
      </c>
      <c r="B899" s="159">
        <v>45310</v>
      </c>
      <c r="C899" s="130">
        <v>18.899999999999999</v>
      </c>
      <c r="D899" s="130">
        <v>19.149999999999999</v>
      </c>
      <c r="E899" s="130">
        <v>18.600000000000001</v>
      </c>
      <c r="F899" s="130">
        <v>18.75</v>
      </c>
      <c r="G899" s="160">
        <v>3892500</v>
      </c>
      <c r="H899" s="160">
        <f t="shared" si="13"/>
        <v>72984375</v>
      </c>
      <c r="I899" t="s">
        <v>8867</v>
      </c>
      <c r="J899">
        <v>2024</v>
      </c>
      <c r="K899">
        <v>1</v>
      </c>
      <c r="L899" t="s">
        <v>8963</v>
      </c>
      <c r="M899" t="s">
        <v>1552</v>
      </c>
      <c r="N899" t="s">
        <v>8964</v>
      </c>
    </row>
    <row r="900" spans="1:14" x14ac:dyDescent="0.3">
      <c r="A900">
        <v>2024</v>
      </c>
      <c r="B900" s="159">
        <v>45313</v>
      </c>
      <c r="C900" s="130">
        <v>18.850000000000001</v>
      </c>
      <c r="D900" s="130">
        <v>18.850000000000001</v>
      </c>
      <c r="E900" s="130">
        <v>18.309999999999999</v>
      </c>
      <c r="F900" s="130">
        <v>18.440000000000001</v>
      </c>
      <c r="G900" s="160">
        <v>745500</v>
      </c>
      <c r="H900" s="160">
        <f t="shared" si="13"/>
        <v>13747020.000000002</v>
      </c>
      <c r="I900" t="s">
        <v>8867</v>
      </c>
      <c r="J900">
        <v>2024</v>
      </c>
      <c r="K900">
        <v>1</v>
      </c>
      <c r="L900" t="s">
        <v>8963</v>
      </c>
      <c r="M900" t="s">
        <v>1552</v>
      </c>
      <c r="N900" t="s">
        <v>8964</v>
      </c>
    </row>
    <row r="901" spans="1:14" x14ac:dyDescent="0.3">
      <c r="A901">
        <v>2024</v>
      </c>
      <c r="B901" s="159">
        <v>45314</v>
      </c>
      <c r="C901" s="130">
        <v>18.600000000000001</v>
      </c>
      <c r="D901" s="130">
        <v>19.100000000000001</v>
      </c>
      <c r="E901" s="130">
        <v>18.41</v>
      </c>
      <c r="F901" s="130">
        <v>18.829999999999998</v>
      </c>
      <c r="G901" s="160">
        <v>5421000</v>
      </c>
      <c r="H901" s="160">
        <f t="shared" si="13"/>
        <v>102077429.99999999</v>
      </c>
      <c r="I901" t="s">
        <v>8867</v>
      </c>
      <c r="J901">
        <v>2024</v>
      </c>
      <c r="K901">
        <v>1</v>
      </c>
      <c r="L901" t="s">
        <v>8963</v>
      </c>
      <c r="M901" t="s">
        <v>1552</v>
      </c>
      <c r="N901" t="s">
        <v>8964</v>
      </c>
    </row>
    <row r="902" spans="1:14" x14ac:dyDescent="0.3">
      <c r="A902">
        <v>2024</v>
      </c>
      <c r="B902" s="159">
        <v>45315</v>
      </c>
      <c r="C902" s="130">
        <v>18.95</v>
      </c>
      <c r="D902" s="130">
        <v>19.39</v>
      </c>
      <c r="E902" s="130">
        <v>18.91</v>
      </c>
      <c r="F902" s="130">
        <v>18.97</v>
      </c>
      <c r="G902" s="160">
        <v>8621000</v>
      </c>
      <c r="H902" s="160">
        <f t="shared" si="13"/>
        <v>163540370</v>
      </c>
      <c r="I902" t="s">
        <v>8867</v>
      </c>
      <c r="J902">
        <v>2024</v>
      </c>
      <c r="K902">
        <v>1</v>
      </c>
      <c r="L902" t="s">
        <v>8963</v>
      </c>
      <c r="M902" t="s">
        <v>1552</v>
      </c>
      <c r="N902" t="s">
        <v>8964</v>
      </c>
    </row>
    <row r="903" spans="1:14" x14ac:dyDescent="0.3">
      <c r="A903">
        <v>2024</v>
      </c>
      <c r="B903" s="159">
        <v>45316</v>
      </c>
      <c r="C903" s="130">
        <v>19.29</v>
      </c>
      <c r="D903" s="130">
        <v>19.399999999999999</v>
      </c>
      <c r="E903" s="130">
        <v>18.75</v>
      </c>
      <c r="F903" s="130">
        <v>18.82</v>
      </c>
      <c r="G903" s="160">
        <v>6972500</v>
      </c>
      <c r="H903" s="160">
        <f t="shared" si="13"/>
        <v>131222450</v>
      </c>
      <c r="I903" t="s">
        <v>8867</v>
      </c>
      <c r="J903">
        <v>2024</v>
      </c>
      <c r="K903">
        <v>1</v>
      </c>
      <c r="L903" t="s">
        <v>8963</v>
      </c>
      <c r="M903" t="s">
        <v>1552</v>
      </c>
      <c r="N903" t="s">
        <v>8964</v>
      </c>
    </row>
    <row r="904" spans="1:14" x14ac:dyDescent="0.3">
      <c r="A904">
        <v>2024</v>
      </c>
      <c r="B904" s="159">
        <v>45317</v>
      </c>
      <c r="C904" s="130">
        <v>19</v>
      </c>
      <c r="D904" s="130">
        <v>19</v>
      </c>
      <c r="E904" s="130">
        <v>18.45</v>
      </c>
      <c r="F904" s="130">
        <v>18.5</v>
      </c>
      <c r="G904" s="160">
        <v>2356500</v>
      </c>
      <c r="H904" s="160">
        <f t="shared" si="13"/>
        <v>43595250</v>
      </c>
      <c r="I904" t="s">
        <v>8867</v>
      </c>
      <c r="J904">
        <v>2024</v>
      </c>
      <c r="K904">
        <v>1</v>
      </c>
      <c r="L904" t="s">
        <v>8963</v>
      </c>
      <c r="M904" t="s">
        <v>1552</v>
      </c>
      <c r="N904" t="s">
        <v>8964</v>
      </c>
    </row>
    <row r="905" spans="1:14" x14ac:dyDescent="0.3">
      <c r="A905">
        <v>2024</v>
      </c>
      <c r="B905" s="159">
        <v>45320</v>
      </c>
      <c r="C905" s="130">
        <v>18.5</v>
      </c>
      <c r="D905" s="130">
        <v>18.5</v>
      </c>
      <c r="E905" s="130">
        <v>17.95</v>
      </c>
      <c r="F905" s="130">
        <v>18.190000000000001</v>
      </c>
      <c r="G905" s="160">
        <v>3292500</v>
      </c>
      <c r="H905" s="160">
        <f t="shared" si="13"/>
        <v>59890575.000000007</v>
      </c>
      <c r="I905" t="s">
        <v>8867</v>
      </c>
      <c r="J905">
        <v>2024</v>
      </c>
      <c r="K905">
        <v>1</v>
      </c>
      <c r="L905" t="s">
        <v>8963</v>
      </c>
      <c r="M905" t="s">
        <v>1552</v>
      </c>
      <c r="N905" t="s">
        <v>8964</v>
      </c>
    </row>
    <row r="906" spans="1:14" x14ac:dyDescent="0.3">
      <c r="A906">
        <v>2024</v>
      </c>
      <c r="B906" s="159">
        <v>45321</v>
      </c>
      <c r="C906" s="130">
        <v>18.100000000000001</v>
      </c>
      <c r="D906" s="130">
        <v>18.399999999999999</v>
      </c>
      <c r="E906" s="130">
        <v>17.78</v>
      </c>
      <c r="F906" s="130">
        <v>17.87</v>
      </c>
      <c r="G906" s="160">
        <v>8022000</v>
      </c>
      <c r="H906" s="160">
        <f t="shared" si="13"/>
        <v>143353140</v>
      </c>
      <c r="I906" t="s">
        <v>8867</v>
      </c>
      <c r="J906">
        <v>2024</v>
      </c>
      <c r="K906">
        <v>1</v>
      </c>
      <c r="L906" t="s">
        <v>8963</v>
      </c>
      <c r="M906" t="s">
        <v>1552</v>
      </c>
      <c r="N906" t="s">
        <v>8964</v>
      </c>
    </row>
    <row r="907" spans="1:14" x14ac:dyDescent="0.3">
      <c r="A907">
        <v>2024</v>
      </c>
      <c r="B907" s="159">
        <v>45322</v>
      </c>
      <c r="C907" s="130">
        <v>18.38</v>
      </c>
      <c r="D907" s="130">
        <v>18.38</v>
      </c>
      <c r="E907" s="130">
        <v>17.8</v>
      </c>
      <c r="F907" s="130">
        <v>17.87</v>
      </c>
      <c r="G907" s="160">
        <v>2152000</v>
      </c>
      <c r="H907" s="160">
        <f t="shared" si="13"/>
        <v>38456240</v>
      </c>
      <c r="I907" t="s">
        <v>8867</v>
      </c>
      <c r="J907">
        <v>2024</v>
      </c>
      <c r="K907">
        <v>1</v>
      </c>
      <c r="L907" t="s">
        <v>8963</v>
      </c>
      <c r="M907" t="s">
        <v>1552</v>
      </c>
      <c r="N907" t="s">
        <v>8964</v>
      </c>
    </row>
    <row r="908" spans="1:14" x14ac:dyDescent="0.3">
      <c r="A908">
        <v>2024</v>
      </c>
      <c r="B908" s="159">
        <v>45323</v>
      </c>
      <c r="C908" s="130">
        <v>18.12</v>
      </c>
      <c r="D908" s="130">
        <v>18.13</v>
      </c>
      <c r="E908" s="130">
        <v>17.8</v>
      </c>
      <c r="F908" s="130">
        <v>17.88</v>
      </c>
      <c r="G908" s="160">
        <v>1333500</v>
      </c>
      <c r="H908" s="160">
        <f t="shared" si="13"/>
        <v>23842980</v>
      </c>
      <c r="I908" t="s">
        <v>8868</v>
      </c>
      <c r="J908">
        <v>2024</v>
      </c>
      <c r="K908">
        <v>2</v>
      </c>
      <c r="L908" t="s">
        <v>8965</v>
      </c>
      <c r="M908" t="s">
        <v>1552</v>
      </c>
      <c r="N908" t="s">
        <v>8966</v>
      </c>
    </row>
    <row r="909" spans="1:14" x14ac:dyDescent="0.3">
      <c r="A909">
        <v>2024</v>
      </c>
      <c r="B909" s="159">
        <v>45324</v>
      </c>
      <c r="C909" s="130">
        <v>18</v>
      </c>
      <c r="D909" s="130">
        <v>18.239999999999998</v>
      </c>
      <c r="E909" s="130">
        <v>17.91</v>
      </c>
      <c r="F909" s="130">
        <v>18.05</v>
      </c>
      <c r="G909" s="160">
        <v>1147500</v>
      </c>
      <c r="H909" s="160">
        <f t="shared" si="13"/>
        <v>20712375</v>
      </c>
      <c r="I909" t="s">
        <v>8868</v>
      </c>
      <c r="J909">
        <v>2024</v>
      </c>
      <c r="K909">
        <v>2</v>
      </c>
      <c r="L909" t="s">
        <v>8965</v>
      </c>
      <c r="M909" t="s">
        <v>1552</v>
      </c>
      <c r="N909" t="s">
        <v>8966</v>
      </c>
    </row>
    <row r="910" spans="1:14" x14ac:dyDescent="0.3">
      <c r="A910">
        <v>2024</v>
      </c>
      <c r="B910" s="159">
        <v>45328</v>
      </c>
      <c r="C910" s="130">
        <v>18</v>
      </c>
      <c r="D910" s="130">
        <v>18.440000000000001</v>
      </c>
      <c r="E910" s="130">
        <v>17.91</v>
      </c>
      <c r="F910" s="130">
        <v>18.05</v>
      </c>
      <c r="G910" s="160">
        <v>7078000</v>
      </c>
      <c r="H910" s="160">
        <f t="shared" si="13"/>
        <v>127757900</v>
      </c>
      <c r="I910" t="s">
        <v>8868</v>
      </c>
      <c r="J910">
        <v>2024</v>
      </c>
      <c r="K910">
        <v>2</v>
      </c>
      <c r="L910" t="s">
        <v>8965</v>
      </c>
      <c r="M910" t="s">
        <v>1552</v>
      </c>
      <c r="N910" t="s">
        <v>8966</v>
      </c>
    </row>
    <row r="911" spans="1:14" x14ac:dyDescent="0.3">
      <c r="A911">
        <v>2024</v>
      </c>
      <c r="B911" s="159">
        <v>45329</v>
      </c>
      <c r="C911" s="130">
        <v>18.190000000000001</v>
      </c>
      <c r="D911" s="130">
        <v>18.79</v>
      </c>
      <c r="E911" s="130">
        <v>18.100000000000001</v>
      </c>
      <c r="F911" s="130">
        <v>18.59</v>
      </c>
      <c r="G911" s="160">
        <v>7703000</v>
      </c>
      <c r="H911" s="160">
        <f t="shared" si="13"/>
        <v>143198770</v>
      </c>
      <c r="I911" t="s">
        <v>8868</v>
      </c>
      <c r="J911">
        <v>2024</v>
      </c>
      <c r="K911">
        <v>2</v>
      </c>
      <c r="L911" t="s">
        <v>8965</v>
      </c>
      <c r="M911" t="s">
        <v>1552</v>
      </c>
      <c r="N911" t="s">
        <v>8966</v>
      </c>
    </row>
    <row r="912" spans="1:14" x14ac:dyDescent="0.3">
      <c r="A912">
        <v>2024</v>
      </c>
      <c r="B912" s="159">
        <v>45331</v>
      </c>
      <c r="C912" s="130">
        <v>18.28</v>
      </c>
      <c r="D912" s="130">
        <v>18.3</v>
      </c>
      <c r="E912" s="130">
        <v>17.2</v>
      </c>
      <c r="F912" s="130">
        <v>17.96</v>
      </c>
      <c r="G912" s="160">
        <v>8548500</v>
      </c>
      <c r="H912" s="160">
        <f t="shared" ref="H912:H975" si="14">F912*G912</f>
        <v>153531060</v>
      </c>
      <c r="I912" t="s">
        <v>8868</v>
      </c>
      <c r="J912">
        <v>2024</v>
      </c>
      <c r="K912">
        <v>2</v>
      </c>
      <c r="L912" t="s">
        <v>8965</v>
      </c>
      <c r="M912" t="s">
        <v>1552</v>
      </c>
      <c r="N912" t="s">
        <v>8966</v>
      </c>
    </row>
    <row r="913" spans="1:14" x14ac:dyDescent="0.3">
      <c r="A913">
        <v>2024</v>
      </c>
      <c r="B913" s="159">
        <v>45334</v>
      </c>
      <c r="C913" s="130">
        <v>17.82</v>
      </c>
      <c r="D913" s="130">
        <v>18</v>
      </c>
      <c r="E913" s="130">
        <v>17.059999999999999</v>
      </c>
      <c r="F913" s="130">
        <v>17.28</v>
      </c>
      <c r="G913" s="160">
        <v>3917500</v>
      </c>
      <c r="H913" s="160">
        <f t="shared" si="14"/>
        <v>67694400</v>
      </c>
      <c r="I913" t="s">
        <v>8868</v>
      </c>
      <c r="J913">
        <v>2024</v>
      </c>
      <c r="K913">
        <v>2</v>
      </c>
      <c r="L913" t="s">
        <v>8965</v>
      </c>
      <c r="M913" t="s">
        <v>1552</v>
      </c>
      <c r="N913" t="s">
        <v>8966</v>
      </c>
    </row>
    <row r="914" spans="1:14" x14ac:dyDescent="0.3">
      <c r="A914">
        <v>2024</v>
      </c>
      <c r="B914" s="159">
        <v>45335</v>
      </c>
      <c r="C914" s="130">
        <v>17.25</v>
      </c>
      <c r="D914" s="130">
        <v>17.989999999999998</v>
      </c>
      <c r="E914" s="130">
        <v>16.25</v>
      </c>
      <c r="F914" s="130">
        <v>17.8</v>
      </c>
      <c r="G914" s="160">
        <v>3567500</v>
      </c>
      <c r="H914" s="160">
        <f t="shared" si="14"/>
        <v>63501500</v>
      </c>
      <c r="I914" t="s">
        <v>8868</v>
      </c>
      <c r="J914">
        <v>2024</v>
      </c>
      <c r="K914">
        <v>2</v>
      </c>
      <c r="L914" t="s">
        <v>8965</v>
      </c>
      <c r="M914" t="s">
        <v>1552</v>
      </c>
      <c r="N914" t="s">
        <v>8966</v>
      </c>
    </row>
    <row r="915" spans="1:14" x14ac:dyDescent="0.3">
      <c r="A915">
        <v>2024</v>
      </c>
      <c r="B915" s="159">
        <v>45336</v>
      </c>
      <c r="C915" s="130">
        <v>18.2</v>
      </c>
      <c r="D915" s="130">
        <v>18.45</v>
      </c>
      <c r="E915" s="130">
        <v>17.75</v>
      </c>
      <c r="F915" s="130">
        <v>18.27</v>
      </c>
      <c r="G915" s="160">
        <v>3523000</v>
      </c>
      <c r="H915" s="160">
        <f t="shared" si="14"/>
        <v>64365210</v>
      </c>
      <c r="I915" t="s">
        <v>8868</v>
      </c>
      <c r="J915">
        <v>2024</v>
      </c>
      <c r="K915">
        <v>2</v>
      </c>
      <c r="L915" t="s">
        <v>8965</v>
      </c>
      <c r="M915" t="s">
        <v>1552</v>
      </c>
      <c r="N915" t="s">
        <v>8966</v>
      </c>
    </row>
    <row r="916" spans="1:14" x14ac:dyDescent="0.3">
      <c r="A916">
        <v>2024</v>
      </c>
      <c r="B916" s="159">
        <v>45337</v>
      </c>
      <c r="C916" s="130">
        <v>18.48</v>
      </c>
      <c r="D916" s="130">
        <v>18.48</v>
      </c>
      <c r="E916" s="130">
        <v>17.510000000000002</v>
      </c>
      <c r="F916" s="130">
        <v>17.64</v>
      </c>
      <c r="G916" s="160">
        <v>1239500</v>
      </c>
      <c r="H916" s="160">
        <f t="shared" si="14"/>
        <v>21864780</v>
      </c>
      <c r="I916" t="s">
        <v>8868</v>
      </c>
      <c r="J916">
        <v>2024</v>
      </c>
      <c r="K916">
        <v>2</v>
      </c>
      <c r="L916" t="s">
        <v>8965</v>
      </c>
      <c r="M916" t="s">
        <v>1552</v>
      </c>
      <c r="N916" t="s">
        <v>8966</v>
      </c>
    </row>
    <row r="917" spans="1:14" x14ac:dyDescent="0.3">
      <c r="A917">
        <v>2024</v>
      </c>
      <c r="B917" s="159">
        <v>45338</v>
      </c>
      <c r="C917" s="130">
        <v>17.8</v>
      </c>
      <c r="D917" s="130">
        <v>17.8</v>
      </c>
      <c r="E917" s="130">
        <v>16.649999999999999</v>
      </c>
      <c r="F917" s="130">
        <v>16.989999999999998</v>
      </c>
      <c r="G917" s="160">
        <v>3867500</v>
      </c>
      <c r="H917" s="160">
        <f t="shared" si="14"/>
        <v>65708824.999999993</v>
      </c>
      <c r="I917" t="s">
        <v>8868</v>
      </c>
      <c r="J917">
        <v>2024</v>
      </c>
      <c r="K917">
        <v>2</v>
      </c>
      <c r="L917" t="s">
        <v>8965</v>
      </c>
      <c r="M917" t="s">
        <v>1552</v>
      </c>
      <c r="N917" t="s">
        <v>8966</v>
      </c>
    </row>
    <row r="918" spans="1:14" x14ac:dyDescent="0.3">
      <c r="A918">
        <v>2024</v>
      </c>
      <c r="B918" s="159">
        <v>45341</v>
      </c>
      <c r="C918" s="130">
        <v>16.559999999999999</v>
      </c>
      <c r="D918" s="130">
        <v>17.25</v>
      </c>
      <c r="E918" s="130">
        <v>16.559999999999999</v>
      </c>
      <c r="F918" s="130">
        <v>17.07</v>
      </c>
      <c r="G918" s="160">
        <v>2527000</v>
      </c>
      <c r="H918" s="160">
        <f t="shared" si="14"/>
        <v>43135890</v>
      </c>
      <c r="I918" t="s">
        <v>8868</v>
      </c>
      <c r="J918">
        <v>2024</v>
      </c>
      <c r="K918">
        <v>2</v>
      </c>
      <c r="L918" t="s">
        <v>8965</v>
      </c>
      <c r="M918" t="s">
        <v>1552</v>
      </c>
      <c r="N918" t="s">
        <v>8966</v>
      </c>
    </row>
    <row r="919" spans="1:14" x14ac:dyDescent="0.3">
      <c r="A919">
        <v>2024</v>
      </c>
      <c r="B919" s="159">
        <v>45342</v>
      </c>
      <c r="C919" s="130">
        <v>17.100000000000001</v>
      </c>
      <c r="D919" s="130">
        <v>17.3</v>
      </c>
      <c r="E919" s="130">
        <v>16.8</v>
      </c>
      <c r="F919" s="130">
        <v>17</v>
      </c>
      <c r="G919" s="160">
        <v>1084500</v>
      </c>
      <c r="H919" s="160">
        <f t="shared" si="14"/>
        <v>18436500</v>
      </c>
      <c r="I919" t="s">
        <v>8868</v>
      </c>
      <c r="J919">
        <v>2024</v>
      </c>
      <c r="K919">
        <v>2</v>
      </c>
      <c r="L919" t="s">
        <v>8965</v>
      </c>
      <c r="M919" t="s">
        <v>1552</v>
      </c>
      <c r="N919" t="s">
        <v>8966</v>
      </c>
    </row>
    <row r="920" spans="1:14" x14ac:dyDescent="0.3">
      <c r="A920">
        <v>2024</v>
      </c>
      <c r="B920" s="159">
        <v>45343</v>
      </c>
      <c r="C920" s="130">
        <v>17.489999999999998</v>
      </c>
      <c r="D920" s="130">
        <v>17.8</v>
      </c>
      <c r="E920" s="130">
        <v>17.22</v>
      </c>
      <c r="F920" s="130">
        <v>17.72</v>
      </c>
      <c r="G920" s="160">
        <v>2834500</v>
      </c>
      <c r="H920" s="160">
        <f t="shared" si="14"/>
        <v>50227340</v>
      </c>
      <c r="I920" t="s">
        <v>8868</v>
      </c>
      <c r="J920">
        <v>2024</v>
      </c>
      <c r="K920">
        <v>2</v>
      </c>
      <c r="L920" t="s">
        <v>8965</v>
      </c>
      <c r="M920" t="s">
        <v>1552</v>
      </c>
      <c r="N920" t="s">
        <v>8966</v>
      </c>
    </row>
    <row r="921" spans="1:14" x14ac:dyDescent="0.3">
      <c r="A921">
        <v>2024</v>
      </c>
      <c r="B921" s="159">
        <v>45344</v>
      </c>
      <c r="C921" s="130">
        <v>17.940000000000001</v>
      </c>
      <c r="D921" s="130">
        <v>17.940000000000001</v>
      </c>
      <c r="E921" s="130">
        <v>17.489999999999998</v>
      </c>
      <c r="F921" s="130">
        <v>17.59</v>
      </c>
      <c r="G921" s="160">
        <v>984000</v>
      </c>
      <c r="H921" s="160">
        <f t="shared" si="14"/>
        <v>17308560</v>
      </c>
      <c r="I921" t="s">
        <v>8868</v>
      </c>
      <c r="J921">
        <v>2024</v>
      </c>
      <c r="K921">
        <v>2</v>
      </c>
      <c r="L921" t="s">
        <v>8965</v>
      </c>
      <c r="M921" t="s">
        <v>1552</v>
      </c>
      <c r="N921" t="s">
        <v>8966</v>
      </c>
    </row>
    <row r="922" spans="1:14" x14ac:dyDescent="0.3">
      <c r="A922">
        <v>2024</v>
      </c>
      <c r="B922" s="159">
        <v>45345</v>
      </c>
      <c r="C922" s="130">
        <v>17.5</v>
      </c>
      <c r="D922" s="130">
        <v>17.989999999999998</v>
      </c>
      <c r="E922" s="130">
        <v>17.45</v>
      </c>
      <c r="F922" s="130">
        <v>17.82</v>
      </c>
      <c r="G922" s="160">
        <v>1096000</v>
      </c>
      <c r="H922" s="160">
        <f t="shared" si="14"/>
        <v>19530720</v>
      </c>
      <c r="I922" t="s">
        <v>8868</v>
      </c>
      <c r="J922">
        <v>2024</v>
      </c>
      <c r="K922">
        <v>2</v>
      </c>
      <c r="L922" t="s">
        <v>8965</v>
      </c>
      <c r="M922" t="s">
        <v>1552</v>
      </c>
      <c r="N922" t="s">
        <v>8966</v>
      </c>
    </row>
    <row r="923" spans="1:14" x14ac:dyDescent="0.3">
      <c r="A923">
        <v>2024</v>
      </c>
      <c r="B923" s="159">
        <v>45348</v>
      </c>
      <c r="C923" s="130">
        <v>18.010000000000002</v>
      </c>
      <c r="D923" s="130">
        <v>18.3</v>
      </c>
      <c r="E923" s="130">
        <v>17.3</v>
      </c>
      <c r="F923" s="130">
        <v>17.84</v>
      </c>
      <c r="G923" s="160">
        <v>3498000</v>
      </c>
      <c r="H923" s="160">
        <f t="shared" si="14"/>
        <v>62404320</v>
      </c>
      <c r="I923" t="s">
        <v>8868</v>
      </c>
      <c r="J923">
        <v>2024</v>
      </c>
      <c r="K923">
        <v>2</v>
      </c>
      <c r="L923" t="s">
        <v>8965</v>
      </c>
      <c r="M923" t="s">
        <v>1552</v>
      </c>
      <c r="N923" t="s">
        <v>8966</v>
      </c>
    </row>
    <row r="924" spans="1:14" x14ac:dyDescent="0.3">
      <c r="A924">
        <v>2024</v>
      </c>
      <c r="B924" s="159">
        <v>45349</v>
      </c>
      <c r="C924" s="130">
        <v>17.850000000000001</v>
      </c>
      <c r="D924" s="130">
        <v>18.079999999999998</v>
      </c>
      <c r="E924" s="130">
        <v>17.62</v>
      </c>
      <c r="F924" s="130">
        <v>17.73</v>
      </c>
      <c r="G924" s="160">
        <v>3639000</v>
      </c>
      <c r="H924" s="160">
        <f t="shared" si="14"/>
        <v>64519470</v>
      </c>
      <c r="I924" t="s">
        <v>8868</v>
      </c>
      <c r="J924">
        <v>2024</v>
      </c>
      <c r="K924">
        <v>2</v>
      </c>
      <c r="L924" t="s">
        <v>8965</v>
      </c>
      <c r="M924" t="s">
        <v>1552</v>
      </c>
      <c r="N924" t="s">
        <v>8966</v>
      </c>
    </row>
    <row r="925" spans="1:14" x14ac:dyDescent="0.3">
      <c r="A925">
        <v>2024</v>
      </c>
      <c r="B925" s="159">
        <v>45350</v>
      </c>
      <c r="C925" s="130">
        <v>17.7</v>
      </c>
      <c r="D925" s="130">
        <v>18.55</v>
      </c>
      <c r="E925" s="130">
        <v>17.66</v>
      </c>
      <c r="F925" s="130">
        <v>18.440000000000001</v>
      </c>
      <c r="G925" s="160">
        <v>5116000</v>
      </c>
      <c r="H925" s="160">
        <f t="shared" si="14"/>
        <v>94339040</v>
      </c>
      <c r="I925" t="s">
        <v>8868</v>
      </c>
      <c r="J925">
        <v>2024</v>
      </c>
      <c r="K925">
        <v>2</v>
      </c>
      <c r="L925" t="s">
        <v>8965</v>
      </c>
      <c r="M925" t="s">
        <v>1552</v>
      </c>
      <c r="N925" t="s">
        <v>8966</v>
      </c>
    </row>
    <row r="926" spans="1:14" x14ac:dyDescent="0.3">
      <c r="A926">
        <v>2024</v>
      </c>
      <c r="B926" s="159">
        <v>45351</v>
      </c>
      <c r="C926" s="130">
        <v>18.5</v>
      </c>
      <c r="D926" s="130">
        <v>18.8</v>
      </c>
      <c r="E926" s="130">
        <v>18.25</v>
      </c>
      <c r="F926" s="130">
        <v>18.48</v>
      </c>
      <c r="G926" s="160">
        <v>3472500</v>
      </c>
      <c r="H926" s="160">
        <f t="shared" si="14"/>
        <v>64171800</v>
      </c>
      <c r="I926" t="s">
        <v>8868</v>
      </c>
      <c r="J926">
        <v>2024</v>
      </c>
      <c r="K926">
        <v>2</v>
      </c>
      <c r="L926" t="s">
        <v>8965</v>
      </c>
      <c r="M926" t="s">
        <v>1552</v>
      </c>
      <c r="N926" t="s">
        <v>8966</v>
      </c>
    </row>
    <row r="927" spans="1:14" x14ac:dyDescent="0.3">
      <c r="A927">
        <v>2024</v>
      </c>
      <c r="B927" s="159">
        <v>45352</v>
      </c>
      <c r="C927" s="130">
        <v>18.5</v>
      </c>
      <c r="D927" s="130">
        <v>18.5</v>
      </c>
      <c r="E927" s="130">
        <v>17.89</v>
      </c>
      <c r="F927" s="130">
        <v>18.11</v>
      </c>
      <c r="G927" s="160">
        <v>3010000</v>
      </c>
      <c r="H927" s="160">
        <f t="shared" si="14"/>
        <v>54511100</v>
      </c>
      <c r="I927" t="s">
        <v>8869</v>
      </c>
      <c r="J927">
        <v>2024</v>
      </c>
      <c r="K927">
        <v>3</v>
      </c>
      <c r="L927" t="s">
        <v>8967</v>
      </c>
      <c r="M927" t="s">
        <v>1552</v>
      </c>
      <c r="N927" t="s">
        <v>8968</v>
      </c>
    </row>
    <row r="928" spans="1:14" x14ac:dyDescent="0.3">
      <c r="A928">
        <v>2024</v>
      </c>
      <c r="B928" s="159">
        <v>45355</v>
      </c>
      <c r="C928" s="130">
        <v>18.38</v>
      </c>
      <c r="D928" s="130">
        <v>18.5</v>
      </c>
      <c r="E928" s="130">
        <v>17.95</v>
      </c>
      <c r="F928" s="130">
        <v>18.09</v>
      </c>
      <c r="G928" s="160">
        <v>13069500</v>
      </c>
      <c r="H928" s="160">
        <f t="shared" si="14"/>
        <v>236427255</v>
      </c>
      <c r="I928" t="s">
        <v>8869</v>
      </c>
      <c r="J928">
        <v>2024</v>
      </c>
      <c r="K928">
        <v>3</v>
      </c>
      <c r="L928" t="s">
        <v>8967</v>
      </c>
      <c r="M928" t="s">
        <v>1552</v>
      </c>
      <c r="N928" t="s">
        <v>8968</v>
      </c>
    </row>
    <row r="929" spans="1:14" x14ac:dyDescent="0.3">
      <c r="A929">
        <v>2024</v>
      </c>
      <c r="B929" s="159">
        <v>45356</v>
      </c>
      <c r="C929" s="130">
        <v>18.149999999999999</v>
      </c>
      <c r="D929" s="130">
        <v>18.38</v>
      </c>
      <c r="E929" s="130">
        <v>17.850000000000001</v>
      </c>
      <c r="F929" s="130">
        <v>17.920000000000002</v>
      </c>
      <c r="G929" s="160">
        <v>7684500</v>
      </c>
      <c r="H929" s="160">
        <f t="shared" si="14"/>
        <v>137706240</v>
      </c>
      <c r="I929" t="s">
        <v>8869</v>
      </c>
      <c r="J929">
        <v>2024</v>
      </c>
      <c r="K929">
        <v>3</v>
      </c>
      <c r="L929" t="s">
        <v>8967</v>
      </c>
      <c r="M929" t="s">
        <v>1552</v>
      </c>
      <c r="N929" t="s">
        <v>8968</v>
      </c>
    </row>
    <row r="930" spans="1:14" x14ac:dyDescent="0.3">
      <c r="A930">
        <v>2024</v>
      </c>
      <c r="B930" s="159">
        <v>45357</v>
      </c>
      <c r="C930" s="130">
        <v>17.920000000000002</v>
      </c>
      <c r="D930" s="130">
        <v>18.05</v>
      </c>
      <c r="E930" s="130">
        <v>17.53</v>
      </c>
      <c r="F930" s="130">
        <v>17.649999999999999</v>
      </c>
      <c r="G930" s="160">
        <v>2457500</v>
      </c>
      <c r="H930" s="160">
        <f t="shared" si="14"/>
        <v>43374875</v>
      </c>
      <c r="I930" t="s">
        <v>8869</v>
      </c>
      <c r="J930">
        <v>2024</v>
      </c>
      <c r="K930">
        <v>3</v>
      </c>
      <c r="L930" t="s">
        <v>8967</v>
      </c>
      <c r="M930" t="s">
        <v>1552</v>
      </c>
      <c r="N930" t="s">
        <v>8968</v>
      </c>
    </row>
    <row r="931" spans="1:14" x14ac:dyDescent="0.3">
      <c r="A931">
        <v>2024</v>
      </c>
      <c r="B931" s="159">
        <v>45358</v>
      </c>
      <c r="C931" s="130">
        <v>17.600000000000001</v>
      </c>
      <c r="D931" s="130">
        <v>17.89</v>
      </c>
      <c r="E931" s="130">
        <v>17.37</v>
      </c>
      <c r="F931" s="130">
        <v>17.66</v>
      </c>
      <c r="G931" s="160">
        <v>1472500</v>
      </c>
      <c r="H931" s="160">
        <f t="shared" si="14"/>
        <v>26004350</v>
      </c>
      <c r="I931" t="s">
        <v>8869</v>
      </c>
      <c r="J931">
        <v>2024</v>
      </c>
      <c r="K931">
        <v>3</v>
      </c>
      <c r="L931" t="s">
        <v>8967</v>
      </c>
      <c r="M931" t="s">
        <v>1552</v>
      </c>
      <c r="N931" t="s">
        <v>8968</v>
      </c>
    </row>
    <row r="932" spans="1:14" x14ac:dyDescent="0.3">
      <c r="A932">
        <v>2024</v>
      </c>
      <c r="B932" s="159">
        <v>45359</v>
      </c>
      <c r="C932" s="130">
        <v>17.899999999999999</v>
      </c>
      <c r="D932" s="130">
        <v>18.05</v>
      </c>
      <c r="E932" s="130">
        <v>17.75</v>
      </c>
      <c r="F932" s="130">
        <v>17.86</v>
      </c>
      <c r="G932" s="160">
        <v>4591000</v>
      </c>
      <c r="H932" s="160">
        <f t="shared" si="14"/>
        <v>81995260</v>
      </c>
      <c r="I932" t="s">
        <v>8869</v>
      </c>
      <c r="J932">
        <v>2024</v>
      </c>
      <c r="K932">
        <v>3</v>
      </c>
      <c r="L932" t="s">
        <v>8967</v>
      </c>
      <c r="M932" t="s">
        <v>1552</v>
      </c>
      <c r="N932" t="s">
        <v>8968</v>
      </c>
    </row>
    <row r="933" spans="1:14" x14ac:dyDescent="0.3">
      <c r="A933">
        <v>2024</v>
      </c>
      <c r="B933" s="159">
        <v>45362</v>
      </c>
      <c r="C933" s="130">
        <v>18.059999999999999</v>
      </c>
      <c r="D933" s="130">
        <v>18.309999999999999</v>
      </c>
      <c r="E933" s="130">
        <v>17.899999999999999</v>
      </c>
      <c r="F933" s="130">
        <v>18.05</v>
      </c>
      <c r="G933" s="160">
        <v>3542742</v>
      </c>
      <c r="H933" s="160">
        <f t="shared" si="14"/>
        <v>63946493.100000001</v>
      </c>
      <c r="I933" t="s">
        <v>8869</v>
      </c>
      <c r="J933">
        <v>2024</v>
      </c>
      <c r="K933">
        <v>3</v>
      </c>
      <c r="L933" t="s">
        <v>8967</v>
      </c>
      <c r="M933" t="s">
        <v>1552</v>
      </c>
      <c r="N933" t="s">
        <v>8968</v>
      </c>
    </row>
    <row r="934" spans="1:14" x14ac:dyDescent="0.3">
      <c r="A934">
        <v>2024</v>
      </c>
      <c r="B934" s="159">
        <v>45363</v>
      </c>
      <c r="C934" s="130">
        <v>18.45</v>
      </c>
      <c r="D934" s="130">
        <v>18.45</v>
      </c>
      <c r="E934" s="130">
        <v>17.559999999999999</v>
      </c>
      <c r="F934" s="130">
        <v>17.670000000000002</v>
      </c>
      <c r="G934" s="160">
        <v>2346354</v>
      </c>
      <c r="H934" s="160">
        <f t="shared" si="14"/>
        <v>41460075.180000007</v>
      </c>
      <c r="I934" t="s">
        <v>8869</v>
      </c>
      <c r="J934">
        <v>2024</v>
      </c>
      <c r="K934">
        <v>3</v>
      </c>
      <c r="L934" t="s">
        <v>8967</v>
      </c>
      <c r="M934" t="s">
        <v>1552</v>
      </c>
      <c r="N934" t="s">
        <v>8968</v>
      </c>
    </row>
    <row r="935" spans="1:14" x14ac:dyDescent="0.3">
      <c r="A935">
        <v>2024</v>
      </c>
      <c r="B935" s="159">
        <v>45364</v>
      </c>
      <c r="C935" s="130">
        <v>17.75</v>
      </c>
      <c r="D935" s="130">
        <v>17.850000000000001</v>
      </c>
      <c r="E935" s="130">
        <v>17.34</v>
      </c>
      <c r="F935" s="130">
        <v>17.45</v>
      </c>
      <c r="G935" s="160">
        <v>1472614</v>
      </c>
      <c r="H935" s="160">
        <f t="shared" si="14"/>
        <v>25697114.300000001</v>
      </c>
      <c r="I935" t="s">
        <v>8869</v>
      </c>
      <c r="J935">
        <v>2024</v>
      </c>
      <c r="K935">
        <v>3</v>
      </c>
      <c r="L935" t="s">
        <v>8967</v>
      </c>
      <c r="M935" t="s">
        <v>1552</v>
      </c>
      <c r="N935" t="s">
        <v>8968</v>
      </c>
    </row>
    <row r="936" spans="1:14" x14ac:dyDescent="0.3">
      <c r="A936">
        <v>2024</v>
      </c>
      <c r="B936" s="159">
        <v>45365</v>
      </c>
      <c r="C936" s="130">
        <v>17.7</v>
      </c>
      <c r="D936" s="130">
        <v>17.899999999999999</v>
      </c>
      <c r="E936" s="130">
        <v>17.3</v>
      </c>
      <c r="F936" s="130">
        <v>17.809999999999999</v>
      </c>
      <c r="G936" s="160">
        <v>1692966</v>
      </c>
      <c r="H936" s="160">
        <f t="shared" si="14"/>
        <v>30151724.459999997</v>
      </c>
      <c r="I936" t="s">
        <v>8869</v>
      </c>
      <c r="J936">
        <v>2024</v>
      </c>
      <c r="K936">
        <v>3</v>
      </c>
      <c r="L936" t="s">
        <v>8967</v>
      </c>
      <c r="M936" t="s">
        <v>1552</v>
      </c>
      <c r="N936" t="s">
        <v>8968</v>
      </c>
    </row>
    <row r="937" spans="1:14" x14ac:dyDescent="0.3">
      <c r="A937">
        <v>2024</v>
      </c>
      <c r="B937" s="159">
        <v>45366</v>
      </c>
      <c r="C937" s="130">
        <v>17.649999999999999</v>
      </c>
      <c r="D937" s="130">
        <v>17.989999999999998</v>
      </c>
      <c r="E937" s="130">
        <v>17.600000000000001</v>
      </c>
      <c r="F937" s="130">
        <v>17.64</v>
      </c>
      <c r="G937" s="160">
        <v>1700309</v>
      </c>
      <c r="H937" s="160">
        <f t="shared" si="14"/>
        <v>29993450.760000002</v>
      </c>
      <c r="I937" t="s">
        <v>8869</v>
      </c>
      <c r="J937">
        <v>2024</v>
      </c>
      <c r="K937">
        <v>3</v>
      </c>
      <c r="L937" t="s">
        <v>8967</v>
      </c>
      <c r="M937" t="s">
        <v>1552</v>
      </c>
      <c r="N937" t="s">
        <v>8968</v>
      </c>
    </row>
    <row r="938" spans="1:14" x14ac:dyDescent="0.3">
      <c r="A938">
        <v>2024</v>
      </c>
      <c r="B938" s="159">
        <v>45369</v>
      </c>
      <c r="C938" s="130">
        <v>17.670000000000002</v>
      </c>
      <c r="D938" s="130">
        <v>17.940000000000001</v>
      </c>
      <c r="E938" s="130">
        <v>17.55</v>
      </c>
      <c r="F938" s="130">
        <v>17.71</v>
      </c>
      <c r="G938" s="160">
        <v>1526645</v>
      </c>
      <c r="H938" s="160">
        <f t="shared" si="14"/>
        <v>27036882.950000003</v>
      </c>
      <c r="I938" t="s">
        <v>8869</v>
      </c>
      <c r="J938">
        <v>2024</v>
      </c>
      <c r="K938">
        <v>3</v>
      </c>
      <c r="L938" t="s">
        <v>8967</v>
      </c>
      <c r="M938" t="s">
        <v>1552</v>
      </c>
      <c r="N938" t="s">
        <v>8968</v>
      </c>
    </row>
    <row r="939" spans="1:14" x14ac:dyDescent="0.3">
      <c r="A939">
        <v>2024</v>
      </c>
      <c r="B939" s="159">
        <v>45370</v>
      </c>
      <c r="C939" s="130">
        <v>17.71</v>
      </c>
      <c r="D939" s="130">
        <v>17.75</v>
      </c>
      <c r="E939" s="130">
        <v>17.25</v>
      </c>
      <c r="F939" s="130">
        <v>17.39</v>
      </c>
      <c r="G939" s="160">
        <v>2936515</v>
      </c>
      <c r="H939" s="160">
        <f t="shared" si="14"/>
        <v>51065995.850000001</v>
      </c>
      <c r="I939" t="s">
        <v>8869</v>
      </c>
      <c r="J939">
        <v>2024</v>
      </c>
      <c r="K939">
        <v>3</v>
      </c>
      <c r="L939" t="s">
        <v>8967</v>
      </c>
      <c r="M939" t="s">
        <v>1552</v>
      </c>
      <c r="N939" t="s">
        <v>8968</v>
      </c>
    </row>
    <row r="940" spans="1:14" x14ac:dyDescent="0.3">
      <c r="A940">
        <v>2024</v>
      </c>
      <c r="B940" s="159">
        <v>45371</v>
      </c>
      <c r="C940" s="130">
        <v>17.68</v>
      </c>
      <c r="D940" s="130">
        <v>17.68</v>
      </c>
      <c r="E940" s="130">
        <v>17.11</v>
      </c>
      <c r="F940" s="130">
        <v>17.149999999999999</v>
      </c>
      <c r="G940" s="160">
        <v>1803961</v>
      </c>
      <c r="H940" s="160">
        <f t="shared" si="14"/>
        <v>30937931.149999999</v>
      </c>
      <c r="I940" t="s">
        <v>8869</v>
      </c>
      <c r="J940">
        <v>2024</v>
      </c>
      <c r="K940">
        <v>3</v>
      </c>
      <c r="L940" t="s">
        <v>8967</v>
      </c>
      <c r="M940" t="s">
        <v>1552</v>
      </c>
      <c r="N940" t="s">
        <v>8968</v>
      </c>
    </row>
    <row r="941" spans="1:14" x14ac:dyDescent="0.3">
      <c r="A941">
        <v>2024</v>
      </c>
      <c r="B941" s="159">
        <v>45372</v>
      </c>
      <c r="C941" s="130">
        <v>17.2</v>
      </c>
      <c r="D941" s="130">
        <v>17.25</v>
      </c>
      <c r="E941" s="130">
        <v>16.5</v>
      </c>
      <c r="F941" s="130">
        <v>16.62</v>
      </c>
      <c r="G941" s="160">
        <v>3830693</v>
      </c>
      <c r="H941" s="160">
        <f t="shared" si="14"/>
        <v>63666117.660000004</v>
      </c>
      <c r="I941" t="s">
        <v>8869</v>
      </c>
      <c r="J941">
        <v>2024</v>
      </c>
      <c r="K941">
        <v>3</v>
      </c>
      <c r="L941" t="s">
        <v>8967</v>
      </c>
      <c r="M941" t="s">
        <v>1552</v>
      </c>
      <c r="N941" t="s">
        <v>8968</v>
      </c>
    </row>
    <row r="942" spans="1:14" x14ac:dyDescent="0.3">
      <c r="A942">
        <v>2024</v>
      </c>
      <c r="B942" s="159">
        <v>45373</v>
      </c>
      <c r="C942" s="130">
        <v>16.600000000000001</v>
      </c>
      <c r="D942" s="130">
        <v>16.899999999999999</v>
      </c>
      <c r="E942" s="130">
        <v>16.2</v>
      </c>
      <c r="F942" s="130">
        <v>16.440000000000001</v>
      </c>
      <c r="G942" s="160">
        <v>3505812</v>
      </c>
      <c r="H942" s="160">
        <f t="shared" si="14"/>
        <v>57635549.280000001</v>
      </c>
      <c r="I942" t="s">
        <v>8869</v>
      </c>
      <c r="J942">
        <v>2024</v>
      </c>
      <c r="K942">
        <v>3</v>
      </c>
      <c r="L942" t="s">
        <v>8967</v>
      </c>
      <c r="M942" t="s">
        <v>1552</v>
      </c>
      <c r="N942" t="s">
        <v>8968</v>
      </c>
    </row>
    <row r="943" spans="1:14" x14ac:dyDescent="0.3">
      <c r="A943">
        <v>2024</v>
      </c>
      <c r="B943" s="159">
        <v>45376</v>
      </c>
      <c r="C943" s="130">
        <v>16.5</v>
      </c>
      <c r="D943" s="130">
        <v>16.75</v>
      </c>
      <c r="E943" s="130">
        <v>16.399999999999999</v>
      </c>
      <c r="F943" s="130">
        <v>16.5</v>
      </c>
      <c r="G943" s="160">
        <v>1479843</v>
      </c>
      <c r="H943" s="160">
        <f t="shared" si="14"/>
        <v>24417409.5</v>
      </c>
      <c r="I943" t="s">
        <v>8869</v>
      </c>
      <c r="J943">
        <v>2024</v>
      </c>
      <c r="K943">
        <v>3</v>
      </c>
      <c r="L943" t="s">
        <v>8967</v>
      </c>
      <c r="M943" t="s">
        <v>1552</v>
      </c>
      <c r="N943" t="s">
        <v>8968</v>
      </c>
    </row>
    <row r="944" spans="1:14" x14ac:dyDescent="0.3">
      <c r="A944">
        <v>2024</v>
      </c>
      <c r="B944" s="159">
        <v>45377</v>
      </c>
      <c r="C944" s="130">
        <v>16.5</v>
      </c>
      <c r="D944" s="130">
        <v>17.100000000000001</v>
      </c>
      <c r="E944" s="130">
        <v>16.350000000000001</v>
      </c>
      <c r="F944" s="130">
        <v>16.86</v>
      </c>
      <c r="G944" s="160">
        <v>4644801</v>
      </c>
      <c r="H944" s="160">
        <f t="shared" si="14"/>
        <v>78311344.859999999</v>
      </c>
      <c r="I944" t="s">
        <v>8869</v>
      </c>
      <c r="J944">
        <v>2024</v>
      </c>
      <c r="K944">
        <v>3</v>
      </c>
      <c r="L944" t="s">
        <v>8967</v>
      </c>
      <c r="M944" t="s">
        <v>1552</v>
      </c>
      <c r="N944" t="s">
        <v>8968</v>
      </c>
    </row>
    <row r="945" spans="1:14" x14ac:dyDescent="0.3">
      <c r="A945">
        <v>2024</v>
      </c>
      <c r="B945" s="159">
        <v>45378</v>
      </c>
      <c r="C945" s="130">
        <v>16.809999999999999</v>
      </c>
      <c r="D945" s="130">
        <v>17.11</v>
      </c>
      <c r="E945" s="130">
        <v>16.8</v>
      </c>
      <c r="F945" s="130">
        <v>16.989999999999998</v>
      </c>
      <c r="G945" s="160">
        <v>2084825</v>
      </c>
      <c r="H945" s="160">
        <f t="shared" si="14"/>
        <v>35421176.75</v>
      </c>
      <c r="I945" t="s">
        <v>8869</v>
      </c>
      <c r="J945">
        <v>2024</v>
      </c>
      <c r="K945">
        <v>3</v>
      </c>
      <c r="L945" t="s">
        <v>8967</v>
      </c>
      <c r="M945" t="s">
        <v>1552</v>
      </c>
      <c r="N945" t="s">
        <v>8968</v>
      </c>
    </row>
    <row r="946" spans="1:14" x14ac:dyDescent="0.3">
      <c r="A946">
        <v>2024</v>
      </c>
      <c r="B946" s="159">
        <v>45379</v>
      </c>
      <c r="C946" s="130">
        <v>17.18</v>
      </c>
      <c r="D946" s="130">
        <v>17.600000000000001</v>
      </c>
      <c r="E946" s="130">
        <v>17.07</v>
      </c>
      <c r="F946" s="130">
        <v>17.5</v>
      </c>
      <c r="G946" s="160">
        <v>3176660</v>
      </c>
      <c r="H946" s="160">
        <f t="shared" si="14"/>
        <v>55591550</v>
      </c>
      <c r="I946" t="s">
        <v>8869</v>
      </c>
      <c r="J946">
        <v>2024</v>
      </c>
      <c r="K946">
        <v>3</v>
      </c>
      <c r="L946" t="s">
        <v>8967</v>
      </c>
      <c r="M946" t="s">
        <v>1552</v>
      </c>
      <c r="N946" t="s">
        <v>8968</v>
      </c>
    </row>
    <row r="947" spans="1:14" x14ac:dyDescent="0.3">
      <c r="A947">
        <v>2024</v>
      </c>
      <c r="B947" s="159">
        <v>45380</v>
      </c>
      <c r="C947" s="130">
        <v>17.62</v>
      </c>
      <c r="D947" s="130">
        <v>17.75</v>
      </c>
      <c r="E947" s="130">
        <v>17.02</v>
      </c>
      <c r="F947" s="130">
        <v>17.64</v>
      </c>
      <c r="G947" s="160">
        <v>5780482</v>
      </c>
      <c r="H947" s="160">
        <f t="shared" si="14"/>
        <v>101967702.48</v>
      </c>
      <c r="I947" t="s">
        <v>8869</v>
      </c>
      <c r="J947">
        <v>2024</v>
      </c>
      <c r="K947">
        <v>3</v>
      </c>
      <c r="L947" t="s">
        <v>8967</v>
      </c>
      <c r="M947" t="s">
        <v>1552</v>
      </c>
      <c r="N947" t="s">
        <v>8968</v>
      </c>
    </row>
    <row r="948" spans="1:14" x14ac:dyDescent="0.3">
      <c r="A948">
        <v>2024</v>
      </c>
      <c r="B948" s="159">
        <v>45383</v>
      </c>
      <c r="C948" s="130">
        <v>17.64</v>
      </c>
      <c r="D948" s="130">
        <v>17.690000000000001</v>
      </c>
      <c r="E948" s="130">
        <v>17.100000000000001</v>
      </c>
      <c r="F948" s="130">
        <v>17.27</v>
      </c>
      <c r="G948" s="160">
        <v>2368673</v>
      </c>
      <c r="H948" s="160">
        <f t="shared" si="14"/>
        <v>40906982.710000001</v>
      </c>
      <c r="I948" t="s">
        <v>8870</v>
      </c>
      <c r="J948">
        <v>2024</v>
      </c>
      <c r="K948">
        <v>4</v>
      </c>
      <c r="L948" t="s">
        <v>8969</v>
      </c>
      <c r="M948" t="s">
        <v>1552</v>
      </c>
      <c r="N948" t="s">
        <v>8970</v>
      </c>
    </row>
    <row r="949" spans="1:14" x14ac:dyDescent="0.3">
      <c r="A949">
        <v>2024</v>
      </c>
      <c r="B949" s="159">
        <v>45384</v>
      </c>
      <c r="C949" s="130">
        <v>17.25</v>
      </c>
      <c r="D949" s="130">
        <v>17.34</v>
      </c>
      <c r="E949" s="130">
        <v>16.850000000000001</v>
      </c>
      <c r="F949" s="130">
        <v>16.920000000000002</v>
      </c>
      <c r="G949" s="160">
        <v>2188971</v>
      </c>
      <c r="H949" s="160">
        <f t="shared" si="14"/>
        <v>37037389.32</v>
      </c>
      <c r="I949" t="s">
        <v>8870</v>
      </c>
      <c r="J949">
        <v>2024</v>
      </c>
      <c r="K949">
        <v>4</v>
      </c>
      <c r="L949" t="s">
        <v>8969</v>
      </c>
      <c r="M949" t="s">
        <v>1552</v>
      </c>
      <c r="N949" t="s">
        <v>8970</v>
      </c>
    </row>
    <row r="950" spans="1:14" x14ac:dyDescent="0.3">
      <c r="A950">
        <v>2024</v>
      </c>
      <c r="B950" s="159">
        <v>45385</v>
      </c>
      <c r="C950" s="130">
        <v>17.02</v>
      </c>
      <c r="D950" s="130">
        <v>18.190000000000001</v>
      </c>
      <c r="E950" s="130">
        <v>16.95</v>
      </c>
      <c r="F950" s="130">
        <v>18.190000000000001</v>
      </c>
      <c r="G950" s="160">
        <v>12462408</v>
      </c>
      <c r="H950" s="160">
        <f t="shared" si="14"/>
        <v>226691201.52000001</v>
      </c>
      <c r="I950" t="s">
        <v>8870</v>
      </c>
      <c r="J950">
        <v>2024</v>
      </c>
      <c r="K950">
        <v>4</v>
      </c>
      <c r="L950" t="s">
        <v>8969</v>
      </c>
      <c r="M950" t="s">
        <v>1552</v>
      </c>
      <c r="N950" t="s">
        <v>8970</v>
      </c>
    </row>
    <row r="951" spans="1:14" x14ac:dyDescent="0.3">
      <c r="A951">
        <v>2024</v>
      </c>
      <c r="B951" s="159">
        <v>45386</v>
      </c>
      <c r="C951" s="130">
        <v>18.55</v>
      </c>
      <c r="D951" s="130">
        <v>18.600000000000001</v>
      </c>
      <c r="E951" s="130">
        <v>17.88</v>
      </c>
      <c r="F951" s="130">
        <v>17.96</v>
      </c>
      <c r="G951" s="160">
        <v>6325882</v>
      </c>
      <c r="H951" s="160">
        <f t="shared" si="14"/>
        <v>113612840.72</v>
      </c>
      <c r="I951" t="s">
        <v>8870</v>
      </c>
      <c r="J951">
        <v>2024</v>
      </c>
      <c r="K951">
        <v>4</v>
      </c>
      <c r="L951" t="s">
        <v>8969</v>
      </c>
      <c r="M951" t="s">
        <v>1552</v>
      </c>
      <c r="N951" t="s">
        <v>8970</v>
      </c>
    </row>
    <row r="952" spans="1:14" x14ac:dyDescent="0.3">
      <c r="A952">
        <v>2024</v>
      </c>
      <c r="B952" s="159">
        <v>45390</v>
      </c>
      <c r="C952" s="130">
        <v>18.100000000000001</v>
      </c>
      <c r="D952" s="130">
        <v>18.32</v>
      </c>
      <c r="E952" s="130">
        <v>17.89</v>
      </c>
      <c r="F952" s="130">
        <v>18.239999999999998</v>
      </c>
      <c r="G952" s="160">
        <v>4054715</v>
      </c>
      <c r="H952" s="160">
        <f t="shared" si="14"/>
        <v>73958001.599999994</v>
      </c>
      <c r="I952" t="s">
        <v>8870</v>
      </c>
      <c r="J952">
        <v>2024</v>
      </c>
      <c r="K952">
        <v>4</v>
      </c>
      <c r="L952" t="s">
        <v>8969</v>
      </c>
      <c r="M952" t="s">
        <v>1552</v>
      </c>
      <c r="N952" t="s">
        <v>8970</v>
      </c>
    </row>
    <row r="953" spans="1:14" x14ac:dyDescent="0.3">
      <c r="A953">
        <v>2024</v>
      </c>
      <c r="B953" s="159">
        <v>45391</v>
      </c>
      <c r="C953" s="130">
        <v>18.239999999999998</v>
      </c>
      <c r="D953" s="130">
        <v>19.190000000000001</v>
      </c>
      <c r="E953" s="130">
        <v>18.239999999999998</v>
      </c>
      <c r="F953" s="130">
        <v>18.920000000000002</v>
      </c>
      <c r="G953" s="160">
        <v>12591500</v>
      </c>
      <c r="H953" s="160">
        <f t="shared" si="14"/>
        <v>238231180.00000003</v>
      </c>
      <c r="I953" t="s">
        <v>8870</v>
      </c>
      <c r="J953">
        <v>2024</v>
      </c>
      <c r="K953">
        <v>4</v>
      </c>
      <c r="L953" t="s">
        <v>8969</v>
      </c>
      <c r="M953" t="s">
        <v>1552</v>
      </c>
      <c r="N953" t="s">
        <v>8970</v>
      </c>
    </row>
    <row r="954" spans="1:14" x14ac:dyDescent="0.3">
      <c r="A954">
        <v>2024</v>
      </c>
      <c r="B954" s="159">
        <v>45397</v>
      </c>
      <c r="C954" s="130">
        <v>18.68</v>
      </c>
      <c r="D954" s="130">
        <v>20.34</v>
      </c>
      <c r="E954" s="130">
        <v>18.55</v>
      </c>
      <c r="F954" s="130">
        <v>20.010000000000002</v>
      </c>
      <c r="G954" s="160">
        <v>33100985</v>
      </c>
      <c r="H954" s="160">
        <f t="shared" si="14"/>
        <v>662350709.85000002</v>
      </c>
      <c r="I954" t="s">
        <v>8870</v>
      </c>
      <c r="J954">
        <v>2024</v>
      </c>
      <c r="K954">
        <v>4</v>
      </c>
      <c r="L954" t="s">
        <v>8969</v>
      </c>
      <c r="M954" t="s">
        <v>1552</v>
      </c>
      <c r="N954" t="s">
        <v>8970</v>
      </c>
    </row>
    <row r="955" spans="1:14" x14ac:dyDescent="0.3">
      <c r="A955">
        <v>2024</v>
      </c>
      <c r="B955" s="159">
        <v>45398</v>
      </c>
      <c r="C955" s="130">
        <v>20.3</v>
      </c>
      <c r="D955" s="130">
        <v>20.399999999999999</v>
      </c>
      <c r="E955" s="130">
        <v>19.5</v>
      </c>
      <c r="F955" s="130">
        <v>19.57</v>
      </c>
      <c r="G955" s="160">
        <v>14377299</v>
      </c>
      <c r="H955" s="160">
        <f t="shared" si="14"/>
        <v>281363741.43000001</v>
      </c>
      <c r="I955" t="s">
        <v>8870</v>
      </c>
      <c r="J955">
        <v>2024</v>
      </c>
      <c r="K955">
        <v>4</v>
      </c>
      <c r="L955" t="s">
        <v>8969</v>
      </c>
      <c r="M955" t="s">
        <v>1552</v>
      </c>
      <c r="N955" t="s">
        <v>8970</v>
      </c>
    </row>
    <row r="956" spans="1:14" x14ac:dyDescent="0.3">
      <c r="A956">
        <v>2024</v>
      </c>
      <c r="B956" s="159">
        <v>45399</v>
      </c>
      <c r="C956" s="130">
        <v>19.649999999999999</v>
      </c>
      <c r="D956" s="130">
        <v>20.76</v>
      </c>
      <c r="E956" s="130">
        <v>19.12</v>
      </c>
      <c r="F956" s="130">
        <v>20.34</v>
      </c>
      <c r="G956" s="160">
        <v>27951937</v>
      </c>
      <c r="H956" s="160">
        <f t="shared" si="14"/>
        <v>568542398.58000004</v>
      </c>
      <c r="I956" t="s">
        <v>8870</v>
      </c>
      <c r="J956">
        <v>2024</v>
      </c>
      <c r="K956">
        <v>4</v>
      </c>
      <c r="L956" t="s">
        <v>8969</v>
      </c>
      <c r="M956" t="s">
        <v>1552</v>
      </c>
      <c r="N956" t="s">
        <v>8970</v>
      </c>
    </row>
    <row r="957" spans="1:14" x14ac:dyDescent="0.3">
      <c r="A957">
        <v>2024</v>
      </c>
      <c r="B957" s="159">
        <v>45400</v>
      </c>
      <c r="C957" s="130">
        <v>20.5</v>
      </c>
      <c r="D957" s="130">
        <v>21.1</v>
      </c>
      <c r="E957" s="130">
        <v>20.14</v>
      </c>
      <c r="F957" s="130">
        <v>20.260000000000002</v>
      </c>
      <c r="G957" s="160">
        <v>18770186</v>
      </c>
      <c r="H957" s="160">
        <f t="shared" si="14"/>
        <v>380283968.36000001</v>
      </c>
      <c r="I957" t="s">
        <v>8870</v>
      </c>
      <c r="J957">
        <v>2024</v>
      </c>
      <c r="K957">
        <v>4</v>
      </c>
      <c r="L957" t="s">
        <v>8969</v>
      </c>
      <c r="M957" t="s">
        <v>1552</v>
      </c>
      <c r="N957" t="s">
        <v>8970</v>
      </c>
    </row>
    <row r="958" spans="1:14" x14ac:dyDescent="0.3">
      <c r="A958">
        <v>2024</v>
      </c>
      <c r="B958" s="159">
        <v>45401</v>
      </c>
      <c r="C958" s="130">
        <v>19.920000000000002</v>
      </c>
      <c r="D958" s="130">
        <v>20.329999999999998</v>
      </c>
      <c r="E958" s="130">
        <v>19.8</v>
      </c>
      <c r="F958" s="130">
        <v>20.04</v>
      </c>
      <c r="G958" s="160">
        <v>6740570</v>
      </c>
      <c r="H958" s="160">
        <f t="shared" si="14"/>
        <v>135081022.79999998</v>
      </c>
      <c r="I958" t="s">
        <v>8870</v>
      </c>
      <c r="J958">
        <v>2024</v>
      </c>
      <c r="K958">
        <v>4</v>
      </c>
      <c r="L958" t="s">
        <v>8969</v>
      </c>
      <c r="M958" t="s">
        <v>1552</v>
      </c>
      <c r="N958" t="s">
        <v>8970</v>
      </c>
    </row>
    <row r="959" spans="1:14" x14ac:dyDescent="0.3">
      <c r="A959">
        <v>2024</v>
      </c>
      <c r="B959" s="159">
        <v>45404</v>
      </c>
      <c r="C959" s="130">
        <v>20.05</v>
      </c>
      <c r="D959" s="130">
        <v>20.75</v>
      </c>
      <c r="E959" s="130">
        <v>19.989999999999998</v>
      </c>
      <c r="F959" s="130">
        <v>20.18</v>
      </c>
      <c r="G959" s="160">
        <v>16814217</v>
      </c>
      <c r="H959" s="160">
        <f t="shared" si="14"/>
        <v>339310899.06</v>
      </c>
      <c r="I959" t="s">
        <v>8870</v>
      </c>
      <c r="J959">
        <v>2024</v>
      </c>
      <c r="K959">
        <v>4</v>
      </c>
      <c r="L959" t="s">
        <v>8969</v>
      </c>
      <c r="M959" t="s">
        <v>1552</v>
      </c>
      <c r="N959" t="s">
        <v>8970</v>
      </c>
    </row>
    <row r="960" spans="1:14" x14ac:dyDescent="0.3">
      <c r="A960">
        <v>2024</v>
      </c>
      <c r="B960" s="159">
        <v>45405</v>
      </c>
      <c r="C960" s="130">
        <v>20.37</v>
      </c>
      <c r="D960" s="130">
        <v>21.6</v>
      </c>
      <c r="E960" s="130">
        <v>20.18</v>
      </c>
      <c r="F960" s="130">
        <v>20.37</v>
      </c>
      <c r="G960" s="160">
        <v>45924220</v>
      </c>
      <c r="H960" s="160">
        <f t="shared" si="14"/>
        <v>935476361.4000001</v>
      </c>
      <c r="I960" t="s">
        <v>8870</v>
      </c>
      <c r="J960">
        <v>2024</v>
      </c>
      <c r="K960">
        <v>4</v>
      </c>
      <c r="L960" t="s">
        <v>8969</v>
      </c>
      <c r="M960" t="s">
        <v>1552</v>
      </c>
      <c r="N960" t="s">
        <v>8970</v>
      </c>
    </row>
    <row r="961" spans="1:14" x14ac:dyDescent="0.3">
      <c r="A961">
        <v>2024</v>
      </c>
      <c r="B961" s="159">
        <v>45406</v>
      </c>
      <c r="C961" s="130">
        <v>20.3</v>
      </c>
      <c r="D961" s="130">
        <v>20.92</v>
      </c>
      <c r="E961" s="130">
        <v>20.21</v>
      </c>
      <c r="F961" s="130">
        <v>20.57</v>
      </c>
      <c r="G961" s="160">
        <v>14168183</v>
      </c>
      <c r="H961" s="160">
        <f t="shared" si="14"/>
        <v>291439524.31</v>
      </c>
      <c r="I961" t="s">
        <v>8870</v>
      </c>
      <c r="J961">
        <v>2024</v>
      </c>
      <c r="K961">
        <v>4</v>
      </c>
      <c r="L961" t="s">
        <v>8969</v>
      </c>
      <c r="M961" t="s">
        <v>1552</v>
      </c>
      <c r="N961" t="s">
        <v>8970</v>
      </c>
    </row>
    <row r="962" spans="1:14" x14ac:dyDescent="0.3">
      <c r="A962">
        <v>2024</v>
      </c>
      <c r="B962" s="159">
        <v>45407</v>
      </c>
      <c r="C962" s="130">
        <v>20.7</v>
      </c>
      <c r="D962" s="130">
        <v>20.8</v>
      </c>
      <c r="E962" s="130">
        <v>20.260000000000002</v>
      </c>
      <c r="F962" s="130">
        <v>20.54</v>
      </c>
      <c r="G962" s="160">
        <v>8697468</v>
      </c>
      <c r="H962" s="160">
        <f t="shared" si="14"/>
        <v>178645992.72</v>
      </c>
      <c r="I962" t="s">
        <v>8870</v>
      </c>
      <c r="J962">
        <v>2024</v>
      </c>
      <c r="K962">
        <v>4</v>
      </c>
      <c r="L962" t="s">
        <v>8969</v>
      </c>
      <c r="M962" t="s">
        <v>1552</v>
      </c>
      <c r="N962" t="s">
        <v>8970</v>
      </c>
    </row>
    <row r="963" spans="1:14" x14ac:dyDescent="0.3">
      <c r="A963">
        <v>2024</v>
      </c>
      <c r="B963" s="159">
        <v>45408</v>
      </c>
      <c r="C963" s="130">
        <v>20.51</v>
      </c>
      <c r="D963" s="130">
        <v>20.85</v>
      </c>
      <c r="E963" s="130">
        <v>20.3</v>
      </c>
      <c r="F963" s="130">
        <v>20.71</v>
      </c>
      <c r="G963" s="160">
        <v>7989757</v>
      </c>
      <c r="H963" s="160">
        <f t="shared" si="14"/>
        <v>165467867.47</v>
      </c>
      <c r="I963" t="s">
        <v>8870</v>
      </c>
      <c r="J963">
        <v>2024</v>
      </c>
      <c r="K963">
        <v>4</v>
      </c>
      <c r="L963" t="s">
        <v>8969</v>
      </c>
      <c r="M963" t="s">
        <v>1552</v>
      </c>
      <c r="N963" t="s">
        <v>8970</v>
      </c>
    </row>
    <row r="964" spans="1:14" x14ac:dyDescent="0.3">
      <c r="A964">
        <v>2024</v>
      </c>
      <c r="B964" s="159">
        <v>45411</v>
      </c>
      <c r="C964" s="130">
        <v>20.8</v>
      </c>
      <c r="D964" s="130">
        <v>21.1</v>
      </c>
      <c r="E964" s="130">
        <v>19.8</v>
      </c>
      <c r="F964" s="130">
        <v>19.989999999999998</v>
      </c>
      <c r="G964" s="160">
        <v>12477876</v>
      </c>
      <c r="H964" s="160">
        <f t="shared" si="14"/>
        <v>249432741.23999998</v>
      </c>
      <c r="I964" t="s">
        <v>8870</v>
      </c>
      <c r="J964">
        <v>2024</v>
      </c>
      <c r="K964">
        <v>4</v>
      </c>
      <c r="L964" t="s">
        <v>8969</v>
      </c>
      <c r="M964" t="s">
        <v>1552</v>
      </c>
      <c r="N964" t="s">
        <v>8970</v>
      </c>
    </row>
    <row r="965" spans="1:14" x14ac:dyDescent="0.3">
      <c r="A965">
        <v>2024</v>
      </c>
      <c r="B965" s="159">
        <v>45412</v>
      </c>
      <c r="C965" s="130">
        <v>20.010000000000002</v>
      </c>
      <c r="D965" s="130">
        <v>20.399999999999999</v>
      </c>
      <c r="E965" s="130">
        <v>19.5</v>
      </c>
      <c r="F965" s="130">
        <v>19.600000000000001</v>
      </c>
      <c r="G965" s="160">
        <v>7687132</v>
      </c>
      <c r="H965" s="160">
        <f t="shared" si="14"/>
        <v>150667787.20000002</v>
      </c>
      <c r="I965" t="s">
        <v>8870</v>
      </c>
      <c r="J965">
        <v>2024</v>
      </c>
      <c r="K965">
        <v>4</v>
      </c>
      <c r="L965" t="s">
        <v>8969</v>
      </c>
      <c r="M965" t="s">
        <v>1552</v>
      </c>
      <c r="N965" t="s">
        <v>8970</v>
      </c>
    </row>
    <row r="966" spans="1:14" x14ac:dyDescent="0.3">
      <c r="A966">
        <v>2024</v>
      </c>
      <c r="B966" s="159">
        <v>45414</v>
      </c>
      <c r="C966" s="130">
        <v>19.8</v>
      </c>
      <c r="D966" s="130">
        <v>20.38</v>
      </c>
      <c r="E966" s="130">
        <v>19.510000000000002</v>
      </c>
      <c r="F966" s="130">
        <v>20.16</v>
      </c>
      <c r="G966" s="160">
        <v>8610154</v>
      </c>
      <c r="H966" s="160">
        <f t="shared" si="14"/>
        <v>173580704.64000002</v>
      </c>
      <c r="I966" t="s">
        <v>8871</v>
      </c>
      <c r="J966">
        <v>2024</v>
      </c>
      <c r="K966">
        <v>5</v>
      </c>
      <c r="L966" t="s">
        <v>8971</v>
      </c>
      <c r="M966" t="s">
        <v>1552</v>
      </c>
      <c r="N966" t="s">
        <v>8972</v>
      </c>
    </row>
    <row r="967" spans="1:14" x14ac:dyDescent="0.3">
      <c r="A967">
        <v>2024</v>
      </c>
      <c r="B967" s="159">
        <v>45415</v>
      </c>
      <c r="C967" s="130">
        <v>20.5</v>
      </c>
      <c r="D967" s="130">
        <v>21.42</v>
      </c>
      <c r="E967" s="130">
        <v>20.260000000000002</v>
      </c>
      <c r="F967" s="130">
        <v>21.36</v>
      </c>
      <c r="G967" s="160">
        <v>19309110</v>
      </c>
      <c r="H967" s="160">
        <f t="shared" si="14"/>
        <v>412442589.59999996</v>
      </c>
      <c r="I967" t="s">
        <v>8871</v>
      </c>
      <c r="J967">
        <v>2024</v>
      </c>
      <c r="K967">
        <v>5</v>
      </c>
      <c r="L967" t="s">
        <v>8971</v>
      </c>
      <c r="M967" t="s">
        <v>1552</v>
      </c>
      <c r="N967" t="s">
        <v>8972</v>
      </c>
    </row>
    <row r="968" spans="1:14" x14ac:dyDescent="0.3">
      <c r="A968">
        <v>2024</v>
      </c>
      <c r="B968" s="159">
        <v>45418</v>
      </c>
      <c r="C968" s="130">
        <v>22</v>
      </c>
      <c r="D968" s="130">
        <v>22.9</v>
      </c>
      <c r="E968" s="130">
        <v>21.8</v>
      </c>
      <c r="F968" s="130">
        <v>22.44</v>
      </c>
      <c r="G968" s="160">
        <v>40362811</v>
      </c>
      <c r="H968" s="160">
        <f t="shared" si="14"/>
        <v>905741478.84000003</v>
      </c>
      <c r="I968" t="s">
        <v>8871</v>
      </c>
      <c r="J968">
        <v>2024</v>
      </c>
      <c r="K968">
        <v>5</v>
      </c>
      <c r="L968" t="s">
        <v>8971</v>
      </c>
      <c r="M968" t="s">
        <v>1552</v>
      </c>
      <c r="N968" t="s">
        <v>8972</v>
      </c>
    </row>
    <row r="969" spans="1:14" x14ac:dyDescent="0.3">
      <c r="A969">
        <v>2024</v>
      </c>
      <c r="B969" s="159">
        <v>45419</v>
      </c>
      <c r="C969" s="130">
        <v>22.63</v>
      </c>
      <c r="D969" s="130">
        <v>22.75</v>
      </c>
      <c r="E969" s="130">
        <v>21.9</v>
      </c>
      <c r="F969" s="130">
        <v>22.04</v>
      </c>
      <c r="G969" s="160">
        <v>21834500</v>
      </c>
      <c r="H969" s="160">
        <f t="shared" si="14"/>
        <v>481232380</v>
      </c>
      <c r="I969" t="s">
        <v>8871</v>
      </c>
      <c r="J969">
        <v>2024</v>
      </c>
      <c r="K969">
        <v>5</v>
      </c>
      <c r="L969" t="s">
        <v>8971</v>
      </c>
      <c r="M969" t="s">
        <v>1552</v>
      </c>
      <c r="N969" t="s">
        <v>8972</v>
      </c>
    </row>
    <row r="970" spans="1:14" x14ac:dyDescent="0.3">
      <c r="A970">
        <v>2024</v>
      </c>
      <c r="B970" s="159">
        <v>45420</v>
      </c>
      <c r="C970" s="130">
        <v>21.9</v>
      </c>
      <c r="D970" s="130">
        <v>22.15</v>
      </c>
      <c r="E970" s="130">
        <v>21.2</v>
      </c>
      <c r="F970" s="130">
        <v>21.46</v>
      </c>
      <c r="G970" s="160">
        <v>6746216</v>
      </c>
      <c r="H970" s="160">
        <f t="shared" si="14"/>
        <v>144773795.36000001</v>
      </c>
      <c r="I970" t="s">
        <v>8871</v>
      </c>
      <c r="J970">
        <v>2024</v>
      </c>
      <c r="K970">
        <v>5</v>
      </c>
      <c r="L970" t="s">
        <v>8971</v>
      </c>
      <c r="M970" t="s">
        <v>1552</v>
      </c>
      <c r="N970" t="s">
        <v>8972</v>
      </c>
    </row>
    <row r="971" spans="1:14" x14ac:dyDescent="0.3">
      <c r="A971">
        <v>2024</v>
      </c>
      <c r="B971" s="159">
        <v>45421</v>
      </c>
      <c r="C971" s="130">
        <v>21.6</v>
      </c>
      <c r="D971" s="130">
        <v>22.35</v>
      </c>
      <c r="E971" s="130">
        <v>20.99</v>
      </c>
      <c r="F971" s="130">
        <v>22.24</v>
      </c>
      <c r="G971" s="160">
        <v>11603137</v>
      </c>
      <c r="H971" s="160">
        <f t="shared" si="14"/>
        <v>258053766.88</v>
      </c>
      <c r="I971" t="s">
        <v>8871</v>
      </c>
      <c r="J971">
        <v>2024</v>
      </c>
      <c r="K971">
        <v>5</v>
      </c>
      <c r="L971" t="s">
        <v>8971</v>
      </c>
      <c r="M971" t="s">
        <v>1552</v>
      </c>
      <c r="N971" t="s">
        <v>8972</v>
      </c>
    </row>
    <row r="972" spans="1:14" x14ac:dyDescent="0.3">
      <c r="A972">
        <v>2024</v>
      </c>
      <c r="B972" s="159">
        <v>45422</v>
      </c>
      <c r="C972" s="130">
        <v>22.44</v>
      </c>
      <c r="D972" s="130">
        <v>23.59</v>
      </c>
      <c r="E972" s="130">
        <v>22.31</v>
      </c>
      <c r="F972" s="130">
        <v>23.06</v>
      </c>
      <c r="G972" s="160">
        <v>29772203</v>
      </c>
      <c r="H972" s="160">
        <f t="shared" si="14"/>
        <v>686547001.17999995</v>
      </c>
      <c r="I972" t="s">
        <v>8871</v>
      </c>
      <c r="J972">
        <v>2024</v>
      </c>
      <c r="K972">
        <v>5</v>
      </c>
      <c r="L972" t="s">
        <v>8971</v>
      </c>
      <c r="M972" t="s">
        <v>1552</v>
      </c>
      <c r="N972" t="s">
        <v>8972</v>
      </c>
    </row>
    <row r="973" spans="1:14" x14ac:dyDescent="0.3">
      <c r="A973">
        <v>2024</v>
      </c>
      <c r="B973" s="159">
        <v>45425</v>
      </c>
      <c r="C973" s="130">
        <v>23.25</v>
      </c>
      <c r="D973" s="130">
        <v>23.61</v>
      </c>
      <c r="E973" s="130">
        <v>22.5</v>
      </c>
      <c r="F973" s="130">
        <v>22.83</v>
      </c>
      <c r="G973" s="160">
        <v>21206203</v>
      </c>
      <c r="H973" s="160">
        <f t="shared" si="14"/>
        <v>484137614.48999995</v>
      </c>
      <c r="I973" t="s">
        <v>8871</v>
      </c>
      <c r="J973">
        <v>2024</v>
      </c>
      <c r="K973">
        <v>5</v>
      </c>
      <c r="L973" t="s">
        <v>8971</v>
      </c>
      <c r="M973" t="s">
        <v>1552</v>
      </c>
      <c r="N973" t="s">
        <v>8972</v>
      </c>
    </row>
    <row r="974" spans="1:14" x14ac:dyDescent="0.3">
      <c r="A974">
        <v>2024</v>
      </c>
      <c r="B974" s="159">
        <v>45426</v>
      </c>
      <c r="C974" s="130">
        <v>22.99</v>
      </c>
      <c r="D974" s="130">
        <v>23.1</v>
      </c>
      <c r="E974" s="130">
        <v>22.25</v>
      </c>
      <c r="F974" s="130">
        <v>22.96</v>
      </c>
      <c r="G974" s="160">
        <v>10464990</v>
      </c>
      <c r="H974" s="160">
        <f t="shared" si="14"/>
        <v>240276170.40000001</v>
      </c>
      <c r="I974" t="s">
        <v>8871</v>
      </c>
      <c r="J974">
        <v>2024</v>
      </c>
      <c r="K974">
        <v>5</v>
      </c>
      <c r="L974" t="s">
        <v>8971</v>
      </c>
      <c r="M974" t="s">
        <v>1552</v>
      </c>
      <c r="N974" t="s">
        <v>8972</v>
      </c>
    </row>
    <row r="975" spans="1:14" x14ac:dyDescent="0.3">
      <c r="A975">
        <v>2024</v>
      </c>
      <c r="B975" s="159">
        <v>45427</v>
      </c>
      <c r="C975" s="130">
        <v>23.1</v>
      </c>
      <c r="D975" s="130">
        <v>23.4</v>
      </c>
      <c r="E975" s="130">
        <v>22.5</v>
      </c>
      <c r="F975" s="130">
        <v>22.59</v>
      </c>
      <c r="G975" s="160">
        <v>9877440</v>
      </c>
      <c r="H975" s="160">
        <f t="shared" si="14"/>
        <v>223131369.59999999</v>
      </c>
      <c r="I975" t="s">
        <v>8871</v>
      </c>
      <c r="J975">
        <v>2024</v>
      </c>
      <c r="K975">
        <v>5</v>
      </c>
      <c r="L975" t="s">
        <v>8971</v>
      </c>
      <c r="M975" t="s">
        <v>1552</v>
      </c>
      <c r="N975" t="s">
        <v>8972</v>
      </c>
    </row>
    <row r="976" spans="1:14" x14ac:dyDescent="0.3">
      <c r="A976">
        <v>2024</v>
      </c>
      <c r="B976" s="159">
        <v>45428</v>
      </c>
      <c r="C976" s="130">
        <v>22.69</v>
      </c>
      <c r="D976" s="130">
        <v>22.85</v>
      </c>
      <c r="E976" s="130">
        <v>22.1</v>
      </c>
      <c r="F976" s="130">
        <v>22.32</v>
      </c>
      <c r="G976" s="160">
        <v>8892641</v>
      </c>
      <c r="H976" s="160">
        <f t="shared" ref="H976:H1039" si="15">F976*G976</f>
        <v>198483747.12</v>
      </c>
      <c r="I976" t="s">
        <v>8871</v>
      </c>
      <c r="J976">
        <v>2024</v>
      </c>
      <c r="K976">
        <v>5</v>
      </c>
      <c r="L976" t="s">
        <v>8971</v>
      </c>
      <c r="M976" t="s">
        <v>1552</v>
      </c>
      <c r="N976" t="s">
        <v>8972</v>
      </c>
    </row>
    <row r="977" spans="1:14" x14ac:dyDescent="0.3">
      <c r="A977">
        <v>2024</v>
      </c>
      <c r="B977" s="159">
        <v>45429</v>
      </c>
      <c r="C977" s="130">
        <v>22.32</v>
      </c>
      <c r="D977" s="130">
        <v>22.9</v>
      </c>
      <c r="E977" s="130">
        <v>22.3</v>
      </c>
      <c r="F977" s="130">
        <v>22.5</v>
      </c>
      <c r="G977" s="160">
        <v>12095252</v>
      </c>
      <c r="H977" s="160">
        <f t="shared" si="15"/>
        <v>272143170</v>
      </c>
      <c r="I977" t="s">
        <v>8871</v>
      </c>
      <c r="J977">
        <v>2024</v>
      </c>
      <c r="K977">
        <v>5</v>
      </c>
      <c r="L977" t="s">
        <v>8971</v>
      </c>
      <c r="M977" t="s">
        <v>1552</v>
      </c>
      <c r="N977" t="s">
        <v>8972</v>
      </c>
    </row>
    <row r="978" spans="1:14" x14ac:dyDescent="0.3">
      <c r="A978">
        <v>2024</v>
      </c>
      <c r="B978" s="159">
        <v>45432</v>
      </c>
      <c r="C978" s="130">
        <v>22.7</v>
      </c>
      <c r="D978" s="130">
        <v>22.7</v>
      </c>
      <c r="E978" s="130">
        <v>21.66</v>
      </c>
      <c r="F978" s="130">
        <v>21.93</v>
      </c>
      <c r="G978" s="160">
        <v>6139061</v>
      </c>
      <c r="H978" s="160">
        <f t="shared" si="15"/>
        <v>134629607.72999999</v>
      </c>
      <c r="I978" t="s">
        <v>8871</v>
      </c>
      <c r="J978">
        <v>2024</v>
      </c>
      <c r="K978">
        <v>5</v>
      </c>
      <c r="L978" t="s">
        <v>8971</v>
      </c>
      <c r="M978" t="s">
        <v>1552</v>
      </c>
      <c r="N978" t="s">
        <v>8972</v>
      </c>
    </row>
    <row r="979" spans="1:14" x14ac:dyDescent="0.3">
      <c r="A979">
        <v>2024</v>
      </c>
      <c r="B979" s="159">
        <v>45433</v>
      </c>
      <c r="C979" s="130">
        <v>21.9</v>
      </c>
      <c r="D979" s="130">
        <v>22.3</v>
      </c>
      <c r="E979" s="130">
        <v>21.5</v>
      </c>
      <c r="F979" s="130">
        <v>21.69</v>
      </c>
      <c r="G979" s="160">
        <v>4916903</v>
      </c>
      <c r="H979" s="160">
        <f t="shared" si="15"/>
        <v>106647626.07000001</v>
      </c>
      <c r="I979" t="s">
        <v>8871</v>
      </c>
      <c r="J979">
        <v>2024</v>
      </c>
      <c r="K979">
        <v>5</v>
      </c>
      <c r="L979" t="s">
        <v>8971</v>
      </c>
      <c r="M979" t="s">
        <v>1552</v>
      </c>
      <c r="N979" t="s">
        <v>8972</v>
      </c>
    </row>
    <row r="980" spans="1:14" x14ac:dyDescent="0.3">
      <c r="A980">
        <v>2024</v>
      </c>
      <c r="B980" s="159">
        <v>45434</v>
      </c>
      <c r="C980" s="130">
        <v>21.89</v>
      </c>
      <c r="D980" s="130">
        <v>21.9</v>
      </c>
      <c r="E980" s="130">
        <v>21.06</v>
      </c>
      <c r="F980" s="130">
        <v>21.26</v>
      </c>
      <c r="G980" s="160">
        <v>5461367</v>
      </c>
      <c r="H980" s="160">
        <f t="shared" si="15"/>
        <v>116108662.42</v>
      </c>
      <c r="I980" t="s">
        <v>8871</v>
      </c>
      <c r="J980">
        <v>2024</v>
      </c>
      <c r="K980">
        <v>5</v>
      </c>
      <c r="L980" t="s">
        <v>8971</v>
      </c>
      <c r="M980" t="s">
        <v>1552</v>
      </c>
      <c r="N980" t="s">
        <v>8972</v>
      </c>
    </row>
    <row r="981" spans="1:14" x14ac:dyDescent="0.3">
      <c r="A981">
        <v>2024</v>
      </c>
      <c r="B981" s="159">
        <v>45435</v>
      </c>
      <c r="C981" s="130">
        <v>21.29</v>
      </c>
      <c r="D981" s="130">
        <v>21.5</v>
      </c>
      <c r="E981" s="130">
        <v>21</v>
      </c>
      <c r="F981" s="130">
        <v>21.24</v>
      </c>
      <c r="G981" s="160">
        <v>8823610</v>
      </c>
      <c r="H981" s="160">
        <f t="shared" si="15"/>
        <v>187413476.39999998</v>
      </c>
      <c r="I981" t="s">
        <v>8871</v>
      </c>
      <c r="J981">
        <v>2024</v>
      </c>
      <c r="K981">
        <v>5</v>
      </c>
      <c r="L981" t="s">
        <v>8971</v>
      </c>
      <c r="M981" t="s">
        <v>1552</v>
      </c>
      <c r="N981" t="s">
        <v>8972</v>
      </c>
    </row>
    <row r="982" spans="1:14" x14ac:dyDescent="0.3">
      <c r="A982">
        <v>2024</v>
      </c>
      <c r="B982" s="159">
        <v>45436</v>
      </c>
      <c r="C982" s="130">
        <v>21.25</v>
      </c>
      <c r="D982" s="130">
        <v>21.75</v>
      </c>
      <c r="E982" s="130">
        <v>21.24</v>
      </c>
      <c r="F982" s="130">
        <v>21.58</v>
      </c>
      <c r="G982" s="160">
        <v>8013189</v>
      </c>
      <c r="H982" s="160">
        <f t="shared" si="15"/>
        <v>172924618.61999997</v>
      </c>
      <c r="I982" t="s">
        <v>8871</v>
      </c>
      <c r="J982">
        <v>2024</v>
      </c>
      <c r="K982">
        <v>5</v>
      </c>
      <c r="L982" t="s">
        <v>8971</v>
      </c>
      <c r="M982" t="s">
        <v>1552</v>
      </c>
      <c r="N982" t="s">
        <v>8972</v>
      </c>
    </row>
    <row r="983" spans="1:14" x14ac:dyDescent="0.3">
      <c r="A983">
        <v>2024</v>
      </c>
      <c r="B983" s="159">
        <v>45439</v>
      </c>
      <c r="C983" s="130">
        <v>21.92</v>
      </c>
      <c r="D983" s="130">
        <v>22</v>
      </c>
      <c r="E983" s="130">
        <v>21.29</v>
      </c>
      <c r="F983" s="130">
        <v>21.39</v>
      </c>
      <c r="G983" s="160">
        <v>9739406</v>
      </c>
      <c r="H983" s="160">
        <f t="shared" si="15"/>
        <v>208325894.34</v>
      </c>
      <c r="I983" t="s">
        <v>8871</v>
      </c>
      <c r="J983">
        <v>2024</v>
      </c>
      <c r="K983">
        <v>5</v>
      </c>
      <c r="L983" t="s">
        <v>8971</v>
      </c>
      <c r="M983" t="s">
        <v>1552</v>
      </c>
      <c r="N983" t="s">
        <v>8972</v>
      </c>
    </row>
    <row r="984" spans="1:14" x14ac:dyDescent="0.3">
      <c r="A984">
        <v>2024</v>
      </c>
      <c r="B984" s="159">
        <v>45441</v>
      </c>
      <c r="C984" s="130">
        <v>21.5</v>
      </c>
      <c r="D984" s="130">
        <v>21.94</v>
      </c>
      <c r="E984" s="130">
        <v>21.1</v>
      </c>
      <c r="F984" s="130">
        <v>21.71</v>
      </c>
      <c r="G984" s="160">
        <v>9037876</v>
      </c>
      <c r="H984" s="160">
        <f t="shared" si="15"/>
        <v>196212287.96000001</v>
      </c>
      <c r="I984" t="s">
        <v>8871</v>
      </c>
      <c r="J984">
        <v>2024</v>
      </c>
      <c r="K984">
        <v>5</v>
      </c>
      <c r="L984" t="s">
        <v>8971</v>
      </c>
      <c r="M984" t="s">
        <v>1552</v>
      </c>
      <c r="N984" t="s">
        <v>8972</v>
      </c>
    </row>
    <row r="985" spans="1:14" x14ac:dyDescent="0.3">
      <c r="A985">
        <v>2024</v>
      </c>
      <c r="B985" s="159">
        <v>45442</v>
      </c>
      <c r="C985" s="130">
        <v>21.98</v>
      </c>
      <c r="D985" s="130">
        <v>23</v>
      </c>
      <c r="E985" s="130">
        <v>21.74</v>
      </c>
      <c r="F985" s="130">
        <v>22.91</v>
      </c>
      <c r="G985" s="160">
        <v>42521383</v>
      </c>
      <c r="H985" s="160">
        <f t="shared" si="15"/>
        <v>974164884.52999997</v>
      </c>
      <c r="I985" t="s">
        <v>8871</v>
      </c>
      <c r="J985">
        <v>2024</v>
      </c>
      <c r="K985">
        <v>5</v>
      </c>
      <c r="L985" t="s">
        <v>8971</v>
      </c>
      <c r="M985" t="s">
        <v>1552</v>
      </c>
      <c r="N985" t="s">
        <v>8972</v>
      </c>
    </row>
    <row r="986" spans="1:14" x14ac:dyDescent="0.3">
      <c r="A986">
        <v>2024</v>
      </c>
      <c r="B986" s="159">
        <v>45443</v>
      </c>
      <c r="C986" s="130">
        <v>23.07</v>
      </c>
      <c r="D986" s="130">
        <v>23.85</v>
      </c>
      <c r="E986" s="130">
        <v>22.81</v>
      </c>
      <c r="F986" s="130">
        <v>23.45</v>
      </c>
      <c r="G986" s="160">
        <v>18452089</v>
      </c>
      <c r="H986" s="160">
        <f t="shared" si="15"/>
        <v>432701487.05000001</v>
      </c>
      <c r="I986" t="s">
        <v>8871</v>
      </c>
      <c r="J986">
        <v>2024</v>
      </c>
      <c r="K986">
        <v>5</v>
      </c>
      <c r="L986" t="s">
        <v>8971</v>
      </c>
      <c r="M986" t="s">
        <v>1552</v>
      </c>
      <c r="N986" t="s">
        <v>8972</v>
      </c>
    </row>
    <row r="987" spans="1:14" x14ac:dyDescent="0.3">
      <c r="A987">
        <v>2024</v>
      </c>
      <c r="B987" s="159">
        <v>45446</v>
      </c>
      <c r="C987" s="130">
        <v>23.48</v>
      </c>
      <c r="D987" s="130">
        <v>23.89</v>
      </c>
      <c r="E987" s="130">
        <v>23.05</v>
      </c>
      <c r="F987" s="130">
        <v>23.66</v>
      </c>
      <c r="G987" s="160">
        <v>32835391</v>
      </c>
      <c r="H987" s="160">
        <f t="shared" si="15"/>
        <v>776885351.06000006</v>
      </c>
      <c r="I987" t="s">
        <v>8872</v>
      </c>
      <c r="J987">
        <v>2024</v>
      </c>
      <c r="K987">
        <v>6</v>
      </c>
      <c r="L987" t="s">
        <v>8973</v>
      </c>
      <c r="M987" t="s">
        <v>1552</v>
      </c>
      <c r="N987" t="s">
        <v>8974</v>
      </c>
    </row>
    <row r="988" spans="1:14" x14ac:dyDescent="0.3">
      <c r="A988">
        <v>2024</v>
      </c>
      <c r="B988" s="159">
        <v>45447</v>
      </c>
      <c r="C988" s="130">
        <v>23.64</v>
      </c>
      <c r="D988" s="130">
        <v>23.95</v>
      </c>
      <c r="E988" s="130">
        <v>22.12</v>
      </c>
      <c r="F988" s="130">
        <v>22.51</v>
      </c>
      <c r="G988" s="160">
        <v>36618571</v>
      </c>
      <c r="H988" s="160">
        <f t="shared" si="15"/>
        <v>824284033.21000004</v>
      </c>
      <c r="I988" t="s">
        <v>8872</v>
      </c>
      <c r="J988">
        <v>2024</v>
      </c>
      <c r="K988">
        <v>6</v>
      </c>
      <c r="L988" t="s">
        <v>8973</v>
      </c>
      <c r="M988" t="s">
        <v>1552</v>
      </c>
      <c r="N988" t="s">
        <v>8974</v>
      </c>
    </row>
    <row r="989" spans="1:14" x14ac:dyDescent="0.3">
      <c r="A989">
        <v>2024</v>
      </c>
      <c r="B989" s="159">
        <v>45448</v>
      </c>
      <c r="C989" s="130">
        <v>22.5</v>
      </c>
      <c r="D989" s="130">
        <v>22.87</v>
      </c>
      <c r="E989" s="130">
        <v>22.2</v>
      </c>
      <c r="F989" s="130">
        <v>22.28</v>
      </c>
      <c r="G989" s="160">
        <v>8239995</v>
      </c>
      <c r="H989" s="160">
        <f t="shared" si="15"/>
        <v>183587088.60000002</v>
      </c>
      <c r="I989" t="s">
        <v>8872</v>
      </c>
      <c r="J989">
        <v>2024</v>
      </c>
      <c r="K989">
        <v>6</v>
      </c>
      <c r="L989" t="s">
        <v>8973</v>
      </c>
      <c r="M989" t="s">
        <v>1552</v>
      </c>
      <c r="N989" t="s">
        <v>8974</v>
      </c>
    </row>
    <row r="990" spans="1:14" x14ac:dyDescent="0.3">
      <c r="A990">
        <v>2024</v>
      </c>
      <c r="B990" s="159">
        <v>45449</v>
      </c>
      <c r="C990" s="130">
        <v>22.3</v>
      </c>
      <c r="D990" s="130">
        <v>22.99</v>
      </c>
      <c r="E990" s="130">
        <v>21.76</v>
      </c>
      <c r="F990" s="130">
        <v>21.94</v>
      </c>
      <c r="G990" s="160">
        <v>12072224</v>
      </c>
      <c r="H990" s="160">
        <f t="shared" si="15"/>
        <v>264864594.56</v>
      </c>
      <c r="I990" t="s">
        <v>8872</v>
      </c>
      <c r="J990">
        <v>2024</v>
      </c>
      <c r="K990">
        <v>6</v>
      </c>
      <c r="L990" t="s">
        <v>8973</v>
      </c>
      <c r="M990" t="s">
        <v>1552</v>
      </c>
      <c r="N990" t="s">
        <v>8974</v>
      </c>
    </row>
    <row r="991" spans="1:14" x14ac:dyDescent="0.3">
      <c r="A991">
        <v>2024</v>
      </c>
      <c r="B991" s="159">
        <v>45450</v>
      </c>
      <c r="C991" s="130">
        <v>21.86</v>
      </c>
      <c r="D991" s="130">
        <v>23.24</v>
      </c>
      <c r="E991" s="130">
        <v>20.61</v>
      </c>
      <c r="F991" s="130">
        <v>22.79</v>
      </c>
      <c r="G991" s="160">
        <v>34397313</v>
      </c>
      <c r="H991" s="160">
        <f t="shared" si="15"/>
        <v>783914763.26999998</v>
      </c>
      <c r="I991" t="s">
        <v>8872</v>
      </c>
      <c r="J991">
        <v>2024</v>
      </c>
      <c r="K991">
        <v>6</v>
      </c>
      <c r="L991" t="s">
        <v>8973</v>
      </c>
      <c r="M991" t="s">
        <v>1552</v>
      </c>
      <c r="N991" t="s">
        <v>8974</v>
      </c>
    </row>
    <row r="992" spans="1:14" x14ac:dyDescent="0.3">
      <c r="A992">
        <v>2024</v>
      </c>
      <c r="B992" s="159">
        <v>45453</v>
      </c>
      <c r="C992" s="130">
        <v>22.99</v>
      </c>
      <c r="D992" s="130">
        <v>23.09</v>
      </c>
      <c r="E992" s="130">
        <v>22.29</v>
      </c>
      <c r="F992" s="130">
        <v>22.52</v>
      </c>
      <c r="G992" s="160">
        <v>13723732</v>
      </c>
      <c r="H992" s="160">
        <f t="shared" si="15"/>
        <v>309058444.63999999</v>
      </c>
      <c r="I992" t="s">
        <v>8872</v>
      </c>
      <c r="J992">
        <v>2024</v>
      </c>
      <c r="K992">
        <v>6</v>
      </c>
      <c r="L992" t="s">
        <v>8973</v>
      </c>
      <c r="M992" t="s">
        <v>1552</v>
      </c>
      <c r="N992" t="s">
        <v>8974</v>
      </c>
    </row>
    <row r="993" spans="1:14" x14ac:dyDescent="0.3">
      <c r="A993">
        <v>2024</v>
      </c>
      <c r="B993" s="159">
        <v>45454</v>
      </c>
      <c r="C993" s="130">
        <v>23.01</v>
      </c>
      <c r="D993" s="130">
        <v>23.09</v>
      </c>
      <c r="E993" s="130">
        <v>21.8</v>
      </c>
      <c r="F993" s="130">
        <v>21.98</v>
      </c>
      <c r="G993" s="160">
        <v>13750403</v>
      </c>
      <c r="H993" s="160">
        <f t="shared" si="15"/>
        <v>302233857.94</v>
      </c>
      <c r="I993" t="s">
        <v>8872</v>
      </c>
      <c r="J993">
        <v>2024</v>
      </c>
      <c r="K993">
        <v>6</v>
      </c>
      <c r="L993" t="s">
        <v>8973</v>
      </c>
      <c r="M993" t="s">
        <v>1552</v>
      </c>
      <c r="N993" t="s">
        <v>8974</v>
      </c>
    </row>
    <row r="994" spans="1:14" x14ac:dyDescent="0.3">
      <c r="A994">
        <v>2024</v>
      </c>
      <c r="B994" s="159">
        <v>45455</v>
      </c>
      <c r="C994" s="130">
        <v>21.97</v>
      </c>
      <c r="D994" s="130">
        <v>22.51</v>
      </c>
      <c r="E994" s="130">
        <v>21.73</v>
      </c>
      <c r="F994" s="130">
        <v>22.27</v>
      </c>
      <c r="G994" s="160">
        <v>4736202</v>
      </c>
      <c r="H994" s="160">
        <f t="shared" si="15"/>
        <v>105475218.53999999</v>
      </c>
      <c r="I994" t="s">
        <v>8872</v>
      </c>
      <c r="J994">
        <v>2024</v>
      </c>
      <c r="K994">
        <v>6</v>
      </c>
      <c r="L994" t="s">
        <v>8973</v>
      </c>
      <c r="M994" t="s">
        <v>1552</v>
      </c>
      <c r="N994" t="s">
        <v>8974</v>
      </c>
    </row>
    <row r="995" spans="1:14" x14ac:dyDescent="0.3">
      <c r="A995">
        <v>2024</v>
      </c>
      <c r="B995" s="159">
        <v>45456</v>
      </c>
      <c r="C995" s="130">
        <v>22.5</v>
      </c>
      <c r="D995" s="130">
        <v>24.16</v>
      </c>
      <c r="E995" s="130">
        <v>22.49</v>
      </c>
      <c r="F995" s="130">
        <v>24.14</v>
      </c>
      <c r="G995" s="160">
        <v>39803815</v>
      </c>
      <c r="H995" s="160">
        <f t="shared" si="15"/>
        <v>960864094.10000002</v>
      </c>
      <c r="I995" t="s">
        <v>8872</v>
      </c>
      <c r="J995">
        <v>2024</v>
      </c>
      <c r="K995">
        <v>6</v>
      </c>
      <c r="L995" t="s">
        <v>8973</v>
      </c>
      <c r="M995" t="s">
        <v>1552</v>
      </c>
      <c r="N995" t="s">
        <v>8974</v>
      </c>
    </row>
    <row r="996" spans="1:14" x14ac:dyDescent="0.3">
      <c r="A996">
        <v>2024</v>
      </c>
      <c r="B996" s="159">
        <v>45457</v>
      </c>
      <c r="C996" s="130">
        <v>24.13</v>
      </c>
      <c r="D996" s="130">
        <v>24.67</v>
      </c>
      <c r="E996" s="130">
        <v>23.73</v>
      </c>
      <c r="F996" s="130">
        <v>23.91</v>
      </c>
      <c r="G996" s="160">
        <v>17199734</v>
      </c>
      <c r="H996" s="160">
        <f t="shared" si="15"/>
        <v>411245639.94</v>
      </c>
      <c r="I996" t="s">
        <v>8872</v>
      </c>
      <c r="J996">
        <v>2024</v>
      </c>
      <c r="K996">
        <v>6</v>
      </c>
      <c r="L996" t="s">
        <v>8973</v>
      </c>
      <c r="M996" t="s">
        <v>1552</v>
      </c>
      <c r="N996" t="s">
        <v>8974</v>
      </c>
    </row>
    <row r="997" spans="1:14" x14ac:dyDescent="0.3">
      <c r="A997">
        <v>2024</v>
      </c>
      <c r="B997" s="159">
        <v>45463</v>
      </c>
      <c r="C997" s="130">
        <v>23.9</v>
      </c>
      <c r="D997" s="130">
        <v>24.29</v>
      </c>
      <c r="E997" s="130">
        <v>23.61</v>
      </c>
      <c r="F997" s="130">
        <v>23.82</v>
      </c>
      <c r="G997" s="160">
        <v>9610904</v>
      </c>
      <c r="H997" s="160">
        <f t="shared" si="15"/>
        <v>228931733.28</v>
      </c>
      <c r="I997" t="s">
        <v>8872</v>
      </c>
      <c r="J997">
        <v>2024</v>
      </c>
      <c r="K997">
        <v>6</v>
      </c>
      <c r="L997" t="s">
        <v>8973</v>
      </c>
      <c r="M997" t="s">
        <v>1552</v>
      </c>
      <c r="N997" t="s">
        <v>8974</v>
      </c>
    </row>
    <row r="998" spans="1:14" x14ac:dyDescent="0.3">
      <c r="A998">
        <v>2024</v>
      </c>
      <c r="B998" s="159">
        <v>45464</v>
      </c>
      <c r="C998" s="130">
        <v>23.83</v>
      </c>
      <c r="D998" s="130">
        <v>24.05</v>
      </c>
      <c r="E998" s="130">
        <v>22.95</v>
      </c>
      <c r="F998" s="130">
        <v>23.06</v>
      </c>
      <c r="G998" s="160">
        <v>8502954</v>
      </c>
      <c r="H998" s="160">
        <f t="shared" si="15"/>
        <v>196078119.23999998</v>
      </c>
      <c r="I998" t="s">
        <v>8872</v>
      </c>
      <c r="J998">
        <v>2024</v>
      </c>
      <c r="K998">
        <v>6</v>
      </c>
      <c r="L998" t="s">
        <v>8973</v>
      </c>
      <c r="M998" t="s">
        <v>1552</v>
      </c>
      <c r="N998" t="s">
        <v>8974</v>
      </c>
    </row>
    <row r="999" spans="1:14" x14ac:dyDescent="0.3">
      <c r="A999">
        <v>2024</v>
      </c>
      <c r="B999" s="159">
        <v>45467</v>
      </c>
      <c r="C999" s="130">
        <v>23.1</v>
      </c>
      <c r="D999" s="130">
        <v>23.4</v>
      </c>
      <c r="E999" s="130">
        <v>22.8</v>
      </c>
      <c r="F999" s="130">
        <v>23.1</v>
      </c>
      <c r="G999" s="160">
        <v>6971638</v>
      </c>
      <c r="H999" s="160">
        <f t="shared" si="15"/>
        <v>161044837.80000001</v>
      </c>
      <c r="I999" t="s">
        <v>8872</v>
      </c>
      <c r="J999">
        <v>2024</v>
      </c>
      <c r="K999">
        <v>6</v>
      </c>
      <c r="L999" t="s">
        <v>8973</v>
      </c>
      <c r="M999" t="s">
        <v>1552</v>
      </c>
      <c r="N999" t="s">
        <v>8974</v>
      </c>
    </row>
    <row r="1000" spans="1:14" x14ac:dyDescent="0.3">
      <c r="A1000">
        <v>2024</v>
      </c>
      <c r="B1000" s="159">
        <v>45468</v>
      </c>
      <c r="C1000" s="130">
        <v>23.1</v>
      </c>
      <c r="D1000" s="130">
        <v>23.41</v>
      </c>
      <c r="E1000" s="130">
        <v>22.92</v>
      </c>
      <c r="F1000" s="130">
        <v>23.01</v>
      </c>
      <c r="G1000" s="160">
        <v>4994800</v>
      </c>
      <c r="H1000" s="160">
        <f t="shared" si="15"/>
        <v>114930348.00000001</v>
      </c>
      <c r="I1000" t="s">
        <v>8872</v>
      </c>
      <c r="J1000">
        <v>2024</v>
      </c>
      <c r="K1000">
        <v>6</v>
      </c>
      <c r="L1000" t="s">
        <v>8973</v>
      </c>
      <c r="M1000" t="s">
        <v>1552</v>
      </c>
      <c r="N1000" t="s">
        <v>8974</v>
      </c>
    </row>
    <row r="1001" spans="1:14" x14ac:dyDescent="0.3">
      <c r="A1001">
        <v>2024</v>
      </c>
      <c r="B1001" s="159">
        <v>45469</v>
      </c>
      <c r="C1001" s="130">
        <v>23.02</v>
      </c>
      <c r="D1001" s="130">
        <v>23.23</v>
      </c>
      <c r="E1001" s="130">
        <v>22.61</v>
      </c>
      <c r="F1001" s="130">
        <v>22.94</v>
      </c>
      <c r="G1001" s="160">
        <v>4929920</v>
      </c>
      <c r="H1001" s="160">
        <f t="shared" si="15"/>
        <v>113092364.80000001</v>
      </c>
      <c r="I1001" t="s">
        <v>8872</v>
      </c>
      <c r="J1001">
        <v>2024</v>
      </c>
      <c r="K1001">
        <v>6</v>
      </c>
      <c r="L1001" t="s">
        <v>8973</v>
      </c>
      <c r="M1001" t="s">
        <v>1552</v>
      </c>
      <c r="N1001" t="s">
        <v>8974</v>
      </c>
    </row>
    <row r="1002" spans="1:14" x14ac:dyDescent="0.3">
      <c r="A1002">
        <v>2024</v>
      </c>
      <c r="B1002" s="159">
        <v>45470</v>
      </c>
      <c r="C1002" s="130">
        <v>22.81</v>
      </c>
      <c r="D1002" s="130">
        <v>23.28</v>
      </c>
      <c r="E1002" s="130">
        <v>22.63</v>
      </c>
      <c r="F1002" s="130">
        <v>22.82</v>
      </c>
      <c r="G1002" s="160">
        <v>3164201</v>
      </c>
      <c r="H1002" s="160">
        <f t="shared" si="15"/>
        <v>72207066.820000008</v>
      </c>
      <c r="I1002" t="s">
        <v>8872</v>
      </c>
      <c r="J1002">
        <v>2024</v>
      </c>
      <c r="K1002">
        <v>6</v>
      </c>
      <c r="L1002" t="s">
        <v>8973</v>
      </c>
      <c r="M1002" t="s">
        <v>1552</v>
      </c>
      <c r="N1002" t="s">
        <v>8974</v>
      </c>
    </row>
    <row r="1003" spans="1:14" x14ac:dyDescent="0.3">
      <c r="A1003">
        <v>2024</v>
      </c>
      <c r="B1003" s="159">
        <v>45471</v>
      </c>
      <c r="C1003" s="130">
        <v>22.82</v>
      </c>
      <c r="D1003" s="130">
        <v>23.08</v>
      </c>
      <c r="E1003" s="130">
        <v>22.65</v>
      </c>
      <c r="F1003" s="130">
        <v>22.91</v>
      </c>
      <c r="G1003" s="160">
        <v>3114681</v>
      </c>
      <c r="H1003" s="160">
        <f t="shared" si="15"/>
        <v>71357341.709999993</v>
      </c>
      <c r="I1003" t="s">
        <v>8872</v>
      </c>
      <c r="J1003">
        <v>2024</v>
      </c>
      <c r="K1003">
        <v>6</v>
      </c>
      <c r="L1003" t="s">
        <v>8973</v>
      </c>
      <c r="M1003" t="s">
        <v>1552</v>
      </c>
      <c r="N1003" t="s">
        <v>8974</v>
      </c>
    </row>
    <row r="1004" spans="1:14" x14ac:dyDescent="0.3">
      <c r="A1004">
        <v>2025</v>
      </c>
      <c r="B1004" s="159">
        <v>45474</v>
      </c>
      <c r="C1004" s="130">
        <v>22.75</v>
      </c>
      <c r="D1004" s="130">
        <v>23.3</v>
      </c>
      <c r="E1004" s="130">
        <v>22.53</v>
      </c>
      <c r="F1004" s="130">
        <v>22.7</v>
      </c>
      <c r="G1004" s="160">
        <v>4678019</v>
      </c>
      <c r="H1004" s="160">
        <f t="shared" si="15"/>
        <v>106191031.3</v>
      </c>
      <c r="I1004" t="s">
        <v>8873</v>
      </c>
      <c r="J1004">
        <v>2024</v>
      </c>
      <c r="K1004">
        <v>7</v>
      </c>
      <c r="L1004" t="s">
        <v>5431</v>
      </c>
      <c r="M1004" t="s">
        <v>1552</v>
      </c>
      <c r="N1004" t="s">
        <v>8975</v>
      </c>
    </row>
    <row r="1005" spans="1:14" x14ac:dyDescent="0.3">
      <c r="A1005">
        <v>2025</v>
      </c>
      <c r="B1005" s="159">
        <v>45475</v>
      </c>
      <c r="C1005" s="130">
        <v>22.85</v>
      </c>
      <c r="D1005" s="130">
        <v>23.01</v>
      </c>
      <c r="E1005" s="130">
        <v>22.6</v>
      </c>
      <c r="F1005" s="130">
        <v>22.7</v>
      </c>
      <c r="G1005" s="160">
        <v>5383770</v>
      </c>
      <c r="H1005" s="160">
        <f t="shared" si="15"/>
        <v>122211579</v>
      </c>
      <c r="I1005" t="s">
        <v>8873</v>
      </c>
      <c r="J1005">
        <v>2024</v>
      </c>
      <c r="K1005">
        <v>7</v>
      </c>
      <c r="L1005" t="s">
        <v>5431</v>
      </c>
      <c r="M1005" t="s">
        <v>1552</v>
      </c>
      <c r="N1005" t="s">
        <v>8975</v>
      </c>
    </row>
    <row r="1006" spans="1:14" x14ac:dyDescent="0.3">
      <c r="A1006">
        <v>2025</v>
      </c>
      <c r="B1006" s="159">
        <v>45476</v>
      </c>
      <c r="C1006" s="130">
        <v>22.77</v>
      </c>
      <c r="D1006" s="130">
        <v>23.15</v>
      </c>
      <c r="E1006" s="130">
        <v>22.73</v>
      </c>
      <c r="F1006" s="130">
        <v>22.96</v>
      </c>
      <c r="G1006" s="160">
        <v>10260542</v>
      </c>
      <c r="H1006" s="160">
        <f t="shared" si="15"/>
        <v>235582044.32000002</v>
      </c>
      <c r="I1006" t="s">
        <v>8873</v>
      </c>
      <c r="J1006">
        <v>2024</v>
      </c>
      <c r="K1006">
        <v>7</v>
      </c>
      <c r="L1006" t="s">
        <v>5431</v>
      </c>
      <c r="M1006" t="s">
        <v>1552</v>
      </c>
      <c r="N1006" t="s">
        <v>8975</v>
      </c>
    </row>
    <row r="1007" spans="1:14" x14ac:dyDescent="0.3">
      <c r="A1007">
        <v>2025</v>
      </c>
      <c r="B1007" s="159">
        <v>45477</v>
      </c>
      <c r="C1007" s="130">
        <v>23</v>
      </c>
      <c r="D1007" s="130">
        <v>23.18</v>
      </c>
      <c r="E1007" s="130">
        <v>22.73</v>
      </c>
      <c r="F1007" s="130">
        <v>22.88</v>
      </c>
      <c r="G1007" s="160">
        <v>6437128</v>
      </c>
      <c r="H1007" s="160">
        <f t="shared" si="15"/>
        <v>147281488.63999999</v>
      </c>
      <c r="I1007" t="s">
        <v>8873</v>
      </c>
      <c r="J1007">
        <v>2024</v>
      </c>
      <c r="K1007">
        <v>7</v>
      </c>
      <c r="L1007" t="s">
        <v>5431</v>
      </c>
      <c r="M1007" t="s">
        <v>1552</v>
      </c>
      <c r="N1007" t="s">
        <v>8975</v>
      </c>
    </row>
    <row r="1008" spans="1:14" x14ac:dyDescent="0.3">
      <c r="A1008">
        <v>2025</v>
      </c>
      <c r="B1008" s="159">
        <v>45478</v>
      </c>
      <c r="C1008" s="130">
        <v>22.9</v>
      </c>
      <c r="D1008" s="130">
        <v>22.96</v>
      </c>
      <c r="E1008" s="130">
        <v>22.34</v>
      </c>
      <c r="F1008" s="130">
        <v>22.39</v>
      </c>
      <c r="G1008" s="160">
        <v>5017052</v>
      </c>
      <c r="H1008" s="160">
        <f t="shared" si="15"/>
        <v>112331794.28</v>
      </c>
      <c r="I1008" t="s">
        <v>8873</v>
      </c>
      <c r="J1008">
        <v>2024</v>
      </c>
      <c r="K1008">
        <v>7</v>
      </c>
      <c r="L1008" t="s">
        <v>5431</v>
      </c>
      <c r="M1008" t="s">
        <v>1552</v>
      </c>
      <c r="N1008" t="s">
        <v>8975</v>
      </c>
    </row>
    <row r="1009" spans="1:14" x14ac:dyDescent="0.3">
      <c r="A1009">
        <v>2025</v>
      </c>
      <c r="B1009" s="159">
        <v>45481</v>
      </c>
      <c r="C1009" s="130">
        <v>22.34</v>
      </c>
      <c r="D1009" s="130">
        <v>23.7</v>
      </c>
      <c r="E1009" s="130">
        <v>22.01</v>
      </c>
      <c r="F1009" s="130">
        <v>22.99</v>
      </c>
      <c r="G1009" s="160">
        <v>6651536</v>
      </c>
      <c r="H1009" s="160">
        <f t="shared" si="15"/>
        <v>152918812.63999999</v>
      </c>
      <c r="I1009" t="s">
        <v>8873</v>
      </c>
      <c r="J1009">
        <v>2024</v>
      </c>
      <c r="K1009">
        <v>7</v>
      </c>
      <c r="L1009" t="s">
        <v>5431</v>
      </c>
      <c r="M1009" t="s">
        <v>1552</v>
      </c>
      <c r="N1009" t="s">
        <v>8975</v>
      </c>
    </row>
    <row r="1010" spans="1:14" x14ac:dyDescent="0.3">
      <c r="A1010">
        <v>2025</v>
      </c>
      <c r="B1010" s="159">
        <v>45482</v>
      </c>
      <c r="C1010" s="130">
        <v>23.02</v>
      </c>
      <c r="D1010" s="130">
        <v>23.54</v>
      </c>
      <c r="E1010" s="130">
        <v>22.66</v>
      </c>
      <c r="F1010" s="130">
        <v>23.12</v>
      </c>
      <c r="G1010" s="160">
        <v>8230699</v>
      </c>
      <c r="H1010" s="160">
        <f t="shared" si="15"/>
        <v>190293760.88</v>
      </c>
      <c r="I1010" t="s">
        <v>8873</v>
      </c>
      <c r="J1010">
        <v>2024</v>
      </c>
      <c r="K1010">
        <v>7</v>
      </c>
      <c r="L1010" t="s">
        <v>5431</v>
      </c>
      <c r="M1010" t="s">
        <v>1552</v>
      </c>
      <c r="N1010" t="s">
        <v>8975</v>
      </c>
    </row>
    <row r="1011" spans="1:14" x14ac:dyDescent="0.3">
      <c r="A1011">
        <v>2025</v>
      </c>
      <c r="B1011" s="159">
        <v>45483</v>
      </c>
      <c r="C1011" s="130">
        <v>23.3</v>
      </c>
      <c r="D1011" s="130">
        <v>23.3</v>
      </c>
      <c r="E1011" s="130">
        <v>22.75</v>
      </c>
      <c r="F1011" s="130">
        <v>22.89</v>
      </c>
      <c r="G1011" s="160">
        <v>4698564</v>
      </c>
      <c r="H1011" s="160">
        <f t="shared" si="15"/>
        <v>107550129.96000001</v>
      </c>
      <c r="I1011" t="s">
        <v>8873</v>
      </c>
      <c r="J1011">
        <v>2024</v>
      </c>
      <c r="K1011">
        <v>7</v>
      </c>
      <c r="L1011" t="s">
        <v>5431</v>
      </c>
      <c r="M1011" t="s">
        <v>1552</v>
      </c>
      <c r="N1011" t="s">
        <v>8975</v>
      </c>
    </row>
    <row r="1012" spans="1:14" x14ac:dyDescent="0.3">
      <c r="A1012">
        <v>2025</v>
      </c>
      <c r="B1012" s="159">
        <v>45484</v>
      </c>
      <c r="C1012" s="130">
        <v>22.71</v>
      </c>
      <c r="D1012" s="130">
        <v>23</v>
      </c>
      <c r="E1012" s="130">
        <v>22.5</v>
      </c>
      <c r="F1012" s="130">
        <v>22.71</v>
      </c>
      <c r="G1012" s="160">
        <v>4448771</v>
      </c>
      <c r="H1012" s="160">
        <f t="shared" si="15"/>
        <v>101031589.41</v>
      </c>
      <c r="I1012" t="s">
        <v>8873</v>
      </c>
      <c r="J1012">
        <v>2024</v>
      </c>
      <c r="K1012">
        <v>7</v>
      </c>
      <c r="L1012" t="s">
        <v>5431</v>
      </c>
      <c r="M1012" t="s">
        <v>1552</v>
      </c>
      <c r="N1012" t="s">
        <v>8975</v>
      </c>
    </row>
    <row r="1013" spans="1:14" x14ac:dyDescent="0.3">
      <c r="A1013">
        <v>2025</v>
      </c>
      <c r="B1013" s="159">
        <v>45485</v>
      </c>
      <c r="C1013" s="130">
        <v>22.71</v>
      </c>
      <c r="D1013" s="130">
        <v>22.97</v>
      </c>
      <c r="E1013" s="130">
        <v>22</v>
      </c>
      <c r="F1013" s="130">
        <v>22.73</v>
      </c>
      <c r="G1013" s="160">
        <v>6163472</v>
      </c>
      <c r="H1013" s="160">
        <f t="shared" si="15"/>
        <v>140095718.56</v>
      </c>
      <c r="I1013" t="s">
        <v>8873</v>
      </c>
      <c r="J1013">
        <v>2024</v>
      </c>
      <c r="K1013">
        <v>7</v>
      </c>
      <c r="L1013" t="s">
        <v>5431</v>
      </c>
      <c r="M1013" t="s">
        <v>1552</v>
      </c>
      <c r="N1013" t="s">
        <v>8975</v>
      </c>
    </row>
    <row r="1014" spans="1:14" x14ac:dyDescent="0.3">
      <c r="A1014">
        <v>2025</v>
      </c>
      <c r="B1014" s="159">
        <v>45488</v>
      </c>
      <c r="C1014" s="130">
        <v>23</v>
      </c>
      <c r="D1014" s="130">
        <v>23.5</v>
      </c>
      <c r="E1014" s="130">
        <v>22.91</v>
      </c>
      <c r="F1014" s="130">
        <v>23.11</v>
      </c>
      <c r="G1014" s="160">
        <v>8398923</v>
      </c>
      <c r="H1014" s="160">
        <f t="shared" si="15"/>
        <v>194099110.53</v>
      </c>
      <c r="I1014" t="s">
        <v>8873</v>
      </c>
      <c r="J1014">
        <v>2024</v>
      </c>
      <c r="K1014">
        <v>7</v>
      </c>
      <c r="L1014" t="s">
        <v>5431</v>
      </c>
      <c r="M1014" t="s">
        <v>1552</v>
      </c>
      <c r="N1014" t="s">
        <v>8975</v>
      </c>
    </row>
    <row r="1015" spans="1:14" x14ac:dyDescent="0.3">
      <c r="A1015">
        <v>2025</v>
      </c>
      <c r="B1015" s="159">
        <v>45491</v>
      </c>
      <c r="C1015" s="130">
        <v>23.1</v>
      </c>
      <c r="D1015" s="130">
        <v>23.15</v>
      </c>
      <c r="E1015" s="130">
        <v>22.85</v>
      </c>
      <c r="F1015" s="130">
        <v>22.99</v>
      </c>
      <c r="G1015" s="160">
        <v>4937769</v>
      </c>
      <c r="H1015" s="160">
        <f t="shared" si="15"/>
        <v>113519309.30999999</v>
      </c>
      <c r="I1015" t="s">
        <v>8873</v>
      </c>
      <c r="J1015">
        <v>2024</v>
      </c>
      <c r="K1015">
        <v>7</v>
      </c>
      <c r="L1015" t="s">
        <v>5431</v>
      </c>
      <c r="M1015" t="s">
        <v>1552</v>
      </c>
      <c r="N1015" t="s">
        <v>8975</v>
      </c>
    </row>
    <row r="1016" spans="1:14" x14ac:dyDescent="0.3">
      <c r="A1016">
        <v>2025</v>
      </c>
      <c r="B1016" s="159">
        <v>45492</v>
      </c>
      <c r="C1016" s="130">
        <v>23.01</v>
      </c>
      <c r="D1016" s="130">
        <v>23.05</v>
      </c>
      <c r="E1016" s="130">
        <v>22.55</v>
      </c>
      <c r="F1016" s="130">
        <v>22.68</v>
      </c>
      <c r="G1016" s="160">
        <v>4964181</v>
      </c>
      <c r="H1016" s="160">
        <f t="shared" si="15"/>
        <v>112587625.08</v>
      </c>
      <c r="I1016" t="s">
        <v>8873</v>
      </c>
      <c r="J1016">
        <v>2024</v>
      </c>
      <c r="K1016">
        <v>7</v>
      </c>
      <c r="L1016" t="s">
        <v>5431</v>
      </c>
      <c r="M1016" t="s">
        <v>1552</v>
      </c>
      <c r="N1016" t="s">
        <v>8975</v>
      </c>
    </row>
    <row r="1017" spans="1:14" x14ac:dyDescent="0.3">
      <c r="A1017">
        <v>2025</v>
      </c>
      <c r="B1017" s="159">
        <v>45495</v>
      </c>
      <c r="C1017" s="130">
        <v>22.68</v>
      </c>
      <c r="D1017" s="130">
        <v>22.9</v>
      </c>
      <c r="E1017" s="130">
        <v>21.8</v>
      </c>
      <c r="F1017" s="130">
        <v>22</v>
      </c>
      <c r="G1017" s="160">
        <v>4887748</v>
      </c>
      <c r="H1017" s="160">
        <f t="shared" si="15"/>
        <v>107530456</v>
      </c>
      <c r="I1017" t="s">
        <v>8873</v>
      </c>
      <c r="J1017">
        <v>2024</v>
      </c>
      <c r="K1017">
        <v>7</v>
      </c>
      <c r="L1017" t="s">
        <v>5431</v>
      </c>
      <c r="M1017" t="s">
        <v>1552</v>
      </c>
      <c r="N1017" t="s">
        <v>8975</v>
      </c>
    </row>
    <row r="1018" spans="1:14" x14ac:dyDescent="0.3">
      <c r="A1018">
        <v>2025</v>
      </c>
      <c r="B1018" s="159">
        <v>45496</v>
      </c>
      <c r="C1018" s="130">
        <v>22.2</v>
      </c>
      <c r="D1018" s="130">
        <v>22.7</v>
      </c>
      <c r="E1018" s="130">
        <v>21.9</v>
      </c>
      <c r="F1018" s="130">
        <v>22.01</v>
      </c>
      <c r="G1018" s="160">
        <v>3843991</v>
      </c>
      <c r="H1018" s="160">
        <f t="shared" si="15"/>
        <v>84606241.910000011</v>
      </c>
      <c r="I1018" t="s">
        <v>8873</v>
      </c>
      <c r="J1018">
        <v>2024</v>
      </c>
      <c r="K1018">
        <v>7</v>
      </c>
      <c r="L1018" t="s">
        <v>5431</v>
      </c>
      <c r="M1018" t="s">
        <v>1552</v>
      </c>
      <c r="N1018" t="s">
        <v>8975</v>
      </c>
    </row>
    <row r="1019" spans="1:14" x14ac:dyDescent="0.3">
      <c r="A1019">
        <v>2025</v>
      </c>
      <c r="B1019" s="159">
        <v>45497</v>
      </c>
      <c r="C1019" s="130">
        <v>22.2</v>
      </c>
      <c r="D1019" s="130">
        <v>22.25</v>
      </c>
      <c r="E1019" s="130">
        <v>21.81</v>
      </c>
      <c r="F1019" s="130">
        <v>22</v>
      </c>
      <c r="G1019" s="160">
        <v>5279016</v>
      </c>
      <c r="H1019" s="160">
        <f t="shared" si="15"/>
        <v>116138352</v>
      </c>
      <c r="I1019" t="s">
        <v>8873</v>
      </c>
      <c r="J1019">
        <v>2024</v>
      </c>
      <c r="K1019">
        <v>7</v>
      </c>
      <c r="L1019" t="s">
        <v>5431</v>
      </c>
      <c r="M1019" t="s">
        <v>1552</v>
      </c>
      <c r="N1019" t="s">
        <v>8975</v>
      </c>
    </row>
    <row r="1020" spans="1:14" x14ac:dyDescent="0.3">
      <c r="A1020">
        <v>2025</v>
      </c>
      <c r="B1020" s="159">
        <v>45498</v>
      </c>
      <c r="C1020" s="130">
        <v>22</v>
      </c>
      <c r="D1020" s="130">
        <v>22.42</v>
      </c>
      <c r="E1020" s="130">
        <v>21.7</v>
      </c>
      <c r="F1020" s="130">
        <v>21.83</v>
      </c>
      <c r="G1020" s="160">
        <v>4371610</v>
      </c>
      <c r="H1020" s="160">
        <f t="shared" si="15"/>
        <v>95432246.299999997</v>
      </c>
      <c r="I1020" t="s">
        <v>8873</v>
      </c>
      <c r="J1020">
        <v>2024</v>
      </c>
      <c r="K1020">
        <v>7</v>
      </c>
      <c r="L1020" t="s">
        <v>5431</v>
      </c>
      <c r="M1020" t="s">
        <v>1552</v>
      </c>
      <c r="N1020" t="s">
        <v>8975</v>
      </c>
    </row>
    <row r="1021" spans="1:14" x14ac:dyDescent="0.3">
      <c r="A1021">
        <v>2025</v>
      </c>
      <c r="B1021" s="159">
        <v>45499</v>
      </c>
      <c r="C1021" s="130">
        <v>22</v>
      </c>
      <c r="D1021" s="130">
        <v>22</v>
      </c>
      <c r="E1021" s="130">
        <v>21.45</v>
      </c>
      <c r="F1021" s="130">
        <v>21.74</v>
      </c>
      <c r="G1021" s="160">
        <v>4790816</v>
      </c>
      <c r="H1021" s="160">
        <f t="shared" si="15"/>
        <v>104152339.83999999</v>
      </c>
      <c r="I1021" t="s">
        <v>8873</v>
      </c>
      <c r="J1021">
        <v>2024</v>
      </c>
      <c r="K1021">
        <v>7</v>
      </c>
      <c r="L1021" t="s">
        <v>5431</v>
      </c>
      <c r="M1021" t="s">
        <v>1552</v>
      </c>
      <c r="N1021" t="s">
        <v>8975</v>
      </c>
    </row>
    <row r="1022" spans="1:14" x14ac:dyDescent="0.3">
      <c r="A1022">
        <v>2025</v>
      </c>
      <c r="B1022" s="159">
        <v>45502</v>
      </c>
      <c r="C1022" s="130">
        <v>21.95</v>
      </c>
      <c r="D1022" s="130">
        <v>22.66</v>
      </c>
      <c r="E1022" s="130">
        <v>21.55</v>
      </c>
      <c r="F1022" s="130">
        <v>22.52</v>
      </c>
      <c r="G1022" s="160">
        <v>12762187</v>
      </c>
      <c r="H1022" s="160">
        <f t="shared" si="15"/>
        <v>287404451.24000001</v>
      </c>
      <c r="I1022" t="s">
        <v>8873</v>
      </c>
      <c r="J1022">
        <v>2024</v>
      </c>
      <c r="K1022">
        <v>7</v>
      </c>
      <c r="L1022" t="s">
        <v>5431</v>
      </c>
      <c r="M1022" t="s">
        <v>1552</v>
      </c>
      <c r="N1022" t="s">
        <v>8975</v>
      </c>
    </row>
    <row r="1023" spans="1:14" x14ac:dyDescent="0.3">
      <c r="A1023">
        <v>2025</v>
      </c>
      <c r="B1023" s="159">
        <v>45503</v>
      </c>
      <c r="C1023" s="130">
        <v>22.75</v>
      </c>
      <c r="D1023" s="130">
        <v>22.75</v>
      </c>
      <c r="E1023" s="130">
        <v>21.53</v>
      </c>
      <c r="F1023" s="130">
        <v>21.63</v>
      </c>
      <c r="G1023" s="160">
        <v>15819905</v>
      </c>
      <c r="H1023" s="160">
        <f t="shared" si="15"/>
        <v>342184545.14999998</v>
      </c>
      <c r="I1023" t="s">
        <v>8873</v>
      </c>
      <c r="J1023">
        <v>2024</v>
      </c>
      <c r="K1023">
        <v>7</v>
      </c>
      <c r="L1023" t="s">
        <v>5431</v>
      </c>
      <c r="M1023" t="s">
        <v>1552</v>
      </c>
      <c r="N1023" t="s">
        <v>8975</v>
      </c>
    </row>
    <row r="1024" spans="1:14" x14ac:dyDescent="0.3">
      <c r="A1024">
        <v>2025</v>
      </c>
      <c r="B1024" s="159">
        <v>45504</v>
      </c>
      <c r="C1024" s="130">
        <v>21.65</v>
      </c>
      <c r="D1024" s="130">
        <v>21.71</v>
      </c>
      <c r="E1024" s="130">
        <v>20.5</v>
      </c>
      <c r="F1024" s="130">
        <v>20.77</v>
      </c>
      <c r="G1024" s="160">
        <v>4792998</v>
      </c>
      <c r="H1024" s="160">
        <f t="shared" si="15"/>
        <v>99550568.459999993</v>
      </c>
      <c r="I1024" t="s">
        <v>8873</v>
      </c>
      <c r="J1024">
        <v>2024</v>
      </c>
      <c r="K1024">
        <v>7</v>
      </c>
      <c r="L1024" t="s">
        <v>5431</v>
      </c>
      <c r="M1024" t="s">
        <v>1552</v>
      </c>
      <c r="N1024" t="s">
        <v>8975</v>
      </c>
    </row>
    <row r="1025" spans="1:14" x14ac:dyDescent="0.3">
      <c r="A1025">
        <v>2025</v>
      </c>
      <c r="B1025" s="159">
        <v>45505</v>
      </c>
      <c r="C1025" s="130">
        <v>20.95</v>
      </c>
      <c r="D1025" s="130">
        <v>21.3</v>
      </c>
      <c r="E1025" s="130">
        <v>20.25</v>
      </c>
      <c r="F1025" s="130">
        <v>20.83</v>
      </c>
      <c r="G1025" s="160">
        <v>11547096</v>
      </c>
      <c r="H1025" s="160">
        <f t="shared" si="15"/>
        <v>240526009.67999998</v>
      </c>
      <c r="I1025" t="s">
        <v>8874</v>
      </c>
      <c r="J1025">
        <v>2024</v>
      </c>
      <c r="K1025">
        <v>8</v>
      </c>
      <c r="L1025" t="s">
        <v>5454</v>
      </c>
      <c r="M1025" t="s">
        <v>1552</v>
      </c>
      <c r="N1025" t="s">
        <v>8976</v>
      </c>
    </row>
    <row r="1026" spans="1:14" x14ac:dyDescent="0.3">
      <c r="A1026">
        <v>2025</v>
      </c>
      <c r="B1026" s="159">
        <v>45506</v>
      </c>
      <c r="C1026" s="130">
        <v>21.08</v>
      </c>
      <c r="D1026" s="130">
        <v>21.48</v>
      </c>
      <c r="E1026" s="130">
        <v>20.309999999999999</v>
      </c>
      <c r="F1026" s="130">
        <v>20.97</v>
      </c>
      <c r="G1026" s="160">
        <v>12922634</v>
      </c>
      <c r="H1026" s="160">
        <f t="shared" si="15"/>
        <v>270987634.97999996</v>
      </c>
      <c r="I1026" t="s">
        <v>8874</v>
      </c>
      <c r="J1026">
        <v>2024</v>
      </c>
      <c r="K1026">
        <v>8</v>
      </c>
      <c r="L1026" t="s">
        <v>5454</v>
      </c>
      <c r="M1026" t="s">
        <v>1552</v>
      </c>
      <c r="N1026" t="s">
        <v>8976</v>
      </c>
    </row>
    <row r="1027" spans="1:14" x14ac:dyDescent="0.3">
      <c r="A1027">
        <v>2025</v>
      </c>
      <c r="B1027" s="159">
        <v>45509</v>
      </c>
      <c r="C1027" s="130">
        <v>20.7</v>
      </c>
      <c r="D1027" s="130">
        <v>20.75</v>
      </c>
      <c r="E1027" s="130">
        <v>19.82</v>
      </c>
      <c r="F1027" s="130">
        <v>20.16</v>
      </c>
      <c r="G1027" s="160">
        <v>6752143</v>
      </c>
      <c r="H1027" s="160">
        <f t="shared" si="15"/>
        <v>136123202.88</v>
      </c>
      <c r="I1027" t="s">
        <v>8874</v>
      </c>
      <c r="J1027">
        <v>2024</v>
      </c>
      <c r="K1027">
        <v>8</v>
      </c>
      <c r="L1027" t="s">
        <v>5454</v>
      </c>
      <c r="M1027" t="s">
        <v>1552</v>
      </c>
      <c r="N1027" t="s">
        <v>8976</v>
      </c>
    </row>
    <row r="1028" spans="1:14" x14ac:dyDescent="0.3">
      <c r="A1028">
        <v>2025</v>
      </c>
      <c r="B1028" s="159">
        <v>45510</v>
      </c>
      <c r="C1028" s="130">
        <v>20.25</v>
      </c>
      <c r="D1028" s="130">
        <v>20.55</v>
      </c>
      <c r="E1028" s="130">
        <v>19.55</v>
      </c>
      <c r="F1028" s="130">
        <v>20.010000000000002</v>
      </c>
      <c r="G1028" s="160">
        <v>7426543</v>
      </c>
      <c r="H1028" s="160">
        <f t="shared" si="15"/>
        <v>148605125.43000001</v>
      </c>
      <c r="I1028" t="s">
        <v>8874</v>
      </c>
      <c r="J1028">
        <v>2024</v>
      </c>
      <c r="K1028">
        <v>8</v>
      </c>
      <c r="L1028" t="s">
        <v>5454</v>
      </c>
      <c r="M1028" t="s">
        <v>1552</v>
      </c>
      <c r="N1028" t="s">
        <v>8976</v>
      </c>
    </row>
    <row r="1029" spans="1:14" x14ac:dyDescent="0.3">
      <c r="A1029">
        <v>2025</v>
      </c>
      <c r="B1029" s="159">
        <v>45511</v>
      </c>
      <c r="C1029" s="130">
        <v>20.010000000000002</v>
      </c>
      <c r="D1029" s="130">
        <v>20.58</v>
      </c>
      <c r="E1029" s="130">
        <v>19.95</v>
      </c>
      <c r="F1029" s="130">
        <v>20.02</v>
      </c>
      <c r="G1029" s="160">
        <v>4182365</v>
      </c>
      <c r="H1029" s="160">
        <f t="shared" si="15"/>
        <v>83730947.299999997</v>
      </c>
      <c r="I1029" t="s">
        <v>8874</v>
      </c>
      <c r="J1029">
        <v>2024</v>
      </c>
      <c r="K1029">
        <v>8</v>
      </c>
      <c r="L1029" t="s">
        <v>5454</v>
      </c>
      <c r="M1029" t="s">
        <v>1552</v>
      </c>
      <c r="N1029" t="s">
        <v>8976</v>
      </c>
    </row>
    <row r="1030" spans="1:14" x14ac:dyDescent="0.3">
      <c r="A1030">
        <v>2025</v>
      </c>
      <c r="B1030" s="159">
        <v>45512</v>
      </c>
      <c r="C1030" s="130">
        <v>20.25</v>
      </c>
      <c r="D1030" s="130">
        <v>20.94</v>
      </c>
      <c r="E1030" s="130">
        <v>20.13</v>
      </c>
      <c r="F1030" s="130">
        <v>20.76</v>
      </c>
      <c r="G1030" s="160">
        <v>6366489</v>
      </c>
      <c r="H1030" s="160">
        <f t="shared" si="15"/>
        <v>132168311.64000002</v>
      </c>
      <c r="I1030" t="s">
        <v>8874</v>
      </c>
      <c r="J1030">
        <v>2024</v>
      </c>
      <c r="K1030">
        <v>8</v>
      </c>
      <c r="L1030" t="s">
        <v>5454</v>
      </c>
      <c r="M1030" t="s">
        <v>1552</v>
      </c>
      <c r="N1030" t="s">
        <v>8976</v>
      </c>
    </row>
    <row r="1031" spans="1:14" x14ac:dyDescent="0.3">
      <c r="A1031">
        <v>2025</v>
      </c>
      <c r="B1031" s="159">
        <v>45513</v>
      </c>
      <c r="C1031" s="130">
        <v>20.91</v>
      </c>
      <c r="D1031" s="130">
        <v>21</v>
      </c>
      <c r="E1031" s="130">
        <v>20.62</v>
      </c>
      <c r="F1031" s="130">
        <v>20.93</v>
      </c>
      <c r="G1031" s="160">
        <v>2668758</v>
      </c>
      <c r="H1031" s="160">
        <f t="shared" si="15"/>
        <v>55857104.939999998</v>
      </c>
      <c r="I1031" t="s">
        <v>8874</v>
      </c>
      <c r="J1031">
        <v>2024</v>
      </c>
      <c r="K1031">
        <v>8</v>
      </c>
      <c r="L1031" t="s">
        <v>5454</v>
      </c>
      <c r="M1031" t="s">
        <v>1552</v>
      </c>
      <c r="N1031" t="s">
        <v>8976</v>
      </c>
    </row>
    <row r="1032" spans="1:14" x14ac:dyDescent="0.3">
      <c r="A1032">
        <v>2025</v>
      </c>
      <c r="B1032" s="159">
        <v>45516</v>
      </c>
      <c r="C1032" s="130">
        <v>21</v>
      </c>
      <c r="D1032" s="130">
        <v>21.15</v>
      </c>
      <c r="E1032" s="130">
        <v>19.75</v>
      </c>
      <c r="F1032" s="130">
        <v>20.3</v>
      </c>
      <c r="G1032" s="160">
        <v>5324084</v>
      </c>
      <c r="H1032" s="160">
        <f t="shared" si="15"/>
        <v>108078905.2</v>
      </c>
      <c r="I1032" t="s">
        <v>8874</v>
      </c>
      <c r="J1032">
        <v>2024</v>
      </c>
      <c r="K1032">
        <v>8</v>
      </c>
      <c r="L1032" t="s">
        <v>5454</v>
      </c>
      <c r="M1032" t="s">
        <v>1552</v>
      </c>
      <c r="N1032" t="s">
        <v>8976</v>
      </c>
    </row>
    <row r="1033" spans="1:14" x14ac:dyDescent="0.3">
      <c r="A1033">
        <v>2025</v>
      </c>
      <c r="B1033" s="159">
        <v>45517</v>
      </c>
      <c r="C1033" s="130">
        <v>20.149999999999999</v>
      </c>
      <c r="D1033" s="130">
        <v>20.350000000000001</v>
      </c>
      <c r="E1033" s="130">
        <v>20</v>
      </c>
      <c r="F1033" s="130">
        <v>20.09</v>
      </c>
      <c r="G1033" s="160">
        <v>2975141</v>
      </c>
      <c r="H1033" s="160">
        <f t="shared" si="15"/>
        <v>59770582.689999998</v>
      </c>
      <c r="I1033" t="s">
        <v>8874</v>
      </c>
      <c r="J1033">
        <v>2024</v>
      </c>
      <c r="K1033">
        <v>8</v>
      </c>
      <c r="L1033" t="s">
        <v>5454</v>
      </c>
      <c r="M1033" t="s">
        <v>1552</v>
      </c>
      <c r="N1033" t="s">
        <v>8976</v>
      </c>
    </row>
    <row r="1034" spans="1:14" x14ac:dyDescent="0.3">
      <c r="A1034">
        <v>2025</v>
      </c>
      <c r="B1034" s="159">
        <v>45519</v>
      </c>
      <c r="C1034" s="130">
        <v>20.05</v>
      </c>
      <c r="D1034" s="130">
        <v>20.350000000000001</v>
      </c>
      <c r="E1034" s="130">
        <v>19.95</v>
      </c>
      <c r="F1034" s="130">
        <v>20.11</v>
      </c>
      <c r="G1034" s="160">
        <v>2827773</v>
      </c>
      <c r="H1034" s="160">
        <f t="shared" si="15"/>
        <v>56866515.030000001</v>
      </c>
      <c r="I1034" t="s">
        <v>8874</v>
      </c>
      <c r="J1034">
        <v>2024</v>
      </c>
      <c r="K1034">
        <v>8</v>
      </c>
      <c r="L1034" t="s">
        <v>5454</v>
      </c>
      <c r="M1034" t="s">
        <v>1552</v>
      </c>
      <c r="N1034" t="s">
        <v>8976</v>
      </c>
    </row>
    <row r="1035" spans="1:14" x14ac:dyDescent="0.3">
      <c r="A1035">
        <v>2025</v>
      </c>
      <c r="B1035" s="159">
        <v>45520</v>
      </c>
      <c r="C1035" s="130">
        <v>20.149999999999999</v>
      </c>
      <c r="D1035" s="130">
        <v>21.7</v>
      </c>
      <c r="E1035" s="130">
        <v>20.11</v>
      </c>
      <c r="F1035" s="130">
        <v>20.74</v>
      </c>
      <c r="G1035" s="160">
        <v>9760736</v>
      </c>
      <c r="H1035" s="160">
        <f t="shared" si="15"/>
        <v>202437664.63999999</v>
      </c>
      <c r="I1035" t="s">
        <v>8874</v>
      </c>
      <c r="J1035">
        <v>2024</v>
      </c>
      <c r="K1035">
        <v>8</v>
      </c>
      <c r="L1035" t="s">
        <v>5454</v>
      </c>
      <c r="M1035" t="s">
        <v>1552</v>
      </c>
      <c r="N1035" t="s">
        <v>8976</v>
      </c>
    </row>
    <row r="1036" spans="1:14" x14ac:dyDescent="0.3">
      <c r="A1036">
        <v>2025</v>
      </c>
      <c r="B1036" s="159">
        <v>45523</v>
      </c>
      <c r="C1036" s="130">
        <v>20.84</v>
      </c>
      <c r="D1036" s="130">
        <v>21.17</v>
      </c>
      <c r="E1036" s="130">
        <v>20.54</v>
      </c>
      <c r="F1036" s="130">
        <v>20.69</v>
      </c>
      <c r="G1036" s="160">
        <v>4684994</v>
      </c>
      <c r="H1036" s="160">
        <f t="shared" si="15"/>
        <v>96932525.859999999</v>
      </c>
      <c r="I1036" t="s">
        <v>8874</v>
      </c>
      <c r="J1036">
        <v>2024</v>
      </c>
      <c r="K1036">
        <v>8</v>
      </c>
      <c r="L1036" t="s">
        <v>5454</v>
      </c>
      <c r="M1036" t="s">
        <v>1552</v>
      </c>
      <c r="N1036" t="s">
        <v>8976</v>
      </c>
    </row>
    <row r="1037" spans="1:14" x14ac:dyDescent="0.3">
      <c r="A1037">
        <v>2025</v>
      </c>
      <c r="B1037" s="159">
        <v>45524</v>
      </c>
      <c r="C1037" s="130">
        <v>20.7</v>
      </c>
      <c r="D1037" s="130">
        <v>20.8</v>
      </c>
      <c r="E1037" s="130">
        <v>20.45</v>
      </c>
      <c r="F1037" s="130">
        <v>20.61</v>
      </c>
      <c r="G1037" s="160">
        <v>5469571</v>
      </c>
      <c r="H1037" s="160">
        <f t="shared" si="15"/>
        <v>112727858.31</v>
      </c>
      <c r="I1037" t="s">
        <v>8874</v>
      </c>
      <c r="J1037">
        <v>2024</v>
      </c>
      <c r="K1037">
        <v>8</v>
      </c>
      <c r="L1037" t="s">
        <v>5454</v>
      </c>
      <c r="M1037" t="s">
        <v>1552</v>
      </c>
      <c r="N1037" t="s">
        <v>8976</v>
      </c>
    </row>
    <row r="1038" spans="1:14" x14ac:dyDescent="0.3">
      <c r="A1038">
        <v>2025</v>
      </c>
      <c r="B1038" s="159">
        <v>45525</v>
      </c>
      <c r="C1038" s="130">
        <v>20.61</v>
      </c>
      <c r="D1038" s="130">
        <v>21.66</v>
      </c>
      <c r="E1038" s="130">
        <v>20.6</v>
      </c>
      <c r="F1038" s="130">
        <v>21.41</v>
      </c>
      <c r="G1038" s="160">
        <v>5608753</v>
      </c>
      <c r="H1038" s="160">
        <f t="shared" si="15"/>
        <v>120083401.73</v>
      </c>
      <c r="I1038" t="s">
        <v>8874</v>
      </c>
      <c r="J1038">
        <v>2024</v>
      </c>
      <c r="K1038">
        <v>8</v>
      </c>
      <c r="L1038" t="s">
        <v>5454</v>
      </c>
      <c r="M1038" t="s">
        <v>1552</v>
      </c>
      <c r="N1038" t="s">
        <v>8976</v>
      </c>
    </row>
    <row r="1039" spans="1:14" x14ac:dyDescent="0.3">
      <c r="A1039">
        <v>2025</v>
      </c>
      <c r="B1039" s="159">
        <v>45526</v>
      </c>
      <c r="C1039" s="130">
        <v>21.59</v>
      </c>
      <c r="D1039" s="130">
        <v>23.05</v>
      </c>
      <c r="E1039" s="130">
        <v>21.59</v>
      </c>
      <c r="F1039" s="130">
        <v>22.38</v>
      </c>
      <c r="G1039" s="160">
        <v>15855662</v>
      </c>
      <c r="H1039" s="160">
        <f t="shared" si="15"/>
        <v>354849715.56</v>
      </c>
      <c r="I1039" t="s">
        <v>8874</v>
      </c>
      <c r="J1039">
        <v>2024</v>
      </c>
      <c r="K1039">
        <v>8</v>
      </c>
      <c r="L1039" t="s">
        <v>5454</v>
      </c>
      <c r="M1039" t="s">
        <v>1552</v>
      </c>
      <c r="N1039" t="s">
        <v>8976</v>
      </c>
    </row>
    <row r="1040" spans="1:14" x14ac:dyDescent="0.3">
      <c r="A1040">
        <v>2025</v>
      </c>
      <c r="B1040" s="159">
        <v>45527</v>
      </c>
      <c r="C1040" s="130">
        <v>22.48</v>
      </c>
      <c r="D1040" s="130">
        <v>22.49</v>
      </c>
      <c r="E1040" s="130">
        <v>22.02</v>
      </c>
      <c r="F1040" s="130">
        <v>22.08</v>
      </c>
      <c r="G1040" s="160">
        <v>1840749</v>
      </c>
      <c r="H1040" s="160">
        <f t="shared" ref="H1040:H1103" si="16">F1040*G1040</f>
        <v>40643737.919999994</v>
      </c>
      <c r="I1040" t="s">
        <v>8874</v>
      </c>
      <c r="J1040">
        <v>2024</v>
      </c>
      <c r="K1040">
        <v>8</v>
      </c>
      <c r="L1040" t="s">
        <v>5454</v>
      </c>
      <c r="M1040" t="s">
        <v>1552</v>
      </c>
      <c r="N1040" t="s">
        <v>8976</v>
      </c>
    </row>
    <row r="1041" spans="1:14" x14ac:dyDescent="0.3">
      <c r="A1041">
        <v>2025</v>
      </c>
      <c r="B1041" s="159">
        <v>45530</v>
      </c>
      <c r="C1041" s="130">
        <v>22.11</v>
      </c>
      <c r="D1041" s="130">
        <v>22.39</v>
      </c>
      <c r="E1041" s="130">
        <v>21.61</v>
      </c>
      <c r="F1041" s="130">
        <v>21.72</v>
      </c>
      <c r="G1041" s="160">
        <v>1266818</v>
      </c>
      <c r="H1041" s="160">
        <f t="shared" si="16"/>
        <v>27515286.959999997</v>
      </c>
      <c r="I1041" t="s">
        <v>8874</v>
      </c>
      <c r="J1041">
        <v>2024</v>
      </c>
      <c r="K1041">
        <v>8</v>
      </c>
      <c r="L1041" t="s">
        <v>5454</v>
      </c>
      <c r="M1041" t="s">
        <v>1552</v>
      </c>
      <c r="N1041" t="s">
        <v>8976</v>
      </c>
    </row>
    <row r="1042" spans="1:14" x14ac:dyDescent="0.3">
      <c r="A1042">
        <v>2025</v>
      </c>
      <c r="B1042" s="159">
        <v>45531</v>
      </c>
      <c r="C1042" s="130">
        <v>21.95</v>
      </c>
      <c r="D1042" s="130">
        <v>23.48</v>
      </c>
      <c r="E1042" s="130">
        <v>21.25</v>
      </c>
      <c r="F1042" s="130">
        <v>22.31</v>
      </c>
      <c r="G1042" s="160">
        <v>26082389</v>
      </c>
      <c r="H1042" s="160">
        <f t="shared" si="16"/>
        <v>581898098.58999991</v>
      </c>
      <c r="I1042" t="s">
        <v>8874</v>
      </c>
      <c r="J1042">
        <v>2024</v>
      </c>
      <c r="K1042">
        <v>8</v>
      </c>
      <c r="L1042" t="s">
        <v>5454</v>
      </c>
      <c r="M1042" t="s">
        <v>1552</v>
      </c>
      <c r="N1042" t="s">
        <v>8976</v>
      </c>
    </row>
    <row r="1043" spans="1:14" x14ac:dyDescent="0.3">
      <c r="A1043">
        <v>2025</v>
      </c>
      <c r="B1043" s="159">
        <v>45532</v>
      </c>
      <c r="C1043" s="130">
        <v>22.4</v>
      </c>
      <c r="D1043" s="130">
        <v>22.45</v>
      </c>
      <c r="E1043" s="130">
        <v>21.9</v>
      </c>
      <c r="F1043" s="130">
        <v>22.17</v>
      </c>
      <c r="G1043" s="160">
        <v>2615792</v>
      </c>
      <c r="H1043" s="160">
        <f t="shared" si="16"/>
        <v>57992108.640000008</v>
      </c>
      <c r="I1043" t="s">
        <v>8874</v>
      </c>
      <c r="J1043">
        <v>2024</v>
      </c>
      <c r="K1043">
        <v>8</v>
      </c>
      <c r="L1043" t="s">
        <v>5454</v>
      </c>
      <c r="M1043" t="s">
        <v>1552</v>
      </c>
      <c r="N1043" t="s">
        <v>8976</v>
      </c>
    </row>
    <row r="1044" spans="1:14" x14ac:dyDescent="0.3">
      <c r="A1044">
        <v>2025</v>
      </c>
      <c r="B1044" s="159">
        <v>45533</v>
      </c>
      <c r="C1044" s="130">
        <v>22.2</v>
      </c>
      <c r="D1044" s="130">
        <v>22.29</v>
      </c>
      <c r="E1044" s="130">
        <v>22</v>
      </c>
      <c r="F1044" s="130">
        <v>22.15</v>
      </c>
      <c r="G1044" s="160">
        <v>1104352</v>
      </c>
      <c r="H1044" s="160">
        <f t="shared" si="16"/>
        <v>24461396.799999997</v>
      </c>
      <c r="I1044" t="s">
        <v>8874</v>
      </c>
      <c r="J1044">
        <v>2024</v>
      </c>
      <c r="K1044">
        <v>8</v>
      </c>
      <c r="L1044" t="s">
        <v>5454</v>
      </c>
      <c r="M1044" t="s">
        <v>1552</v>
      </c>
      <c r="N1044" t="s">
        <v>8976</v>
      </c>
    </row>
    <row r="1045" spans="1:14" x14ac:dyDescent="0.3">
      <c r="A1045">
        <v>2025</v>
      </c>
      <c r="B1045" s="159">
        <v>45534</v>
      </c>
      <c r="C1045" s="130">
        <v>22.35</v>
      </c>
      <c r="D1045" s="130">
        <v>22.35</v>
      </c>
      <c r="E1045" s="130">
        <v>21.8</v>
      </c>
      <c r="F1045" s="130">
        <v>21.88</v>
      </c>
      <c r="G1045" s="160">
        <v>2248429</v>
      </c>
      <c r="H1045" s="160">
        <f t="shared" si="16"/>
        <v>49195626.519999996</v>
      </c>
      <c r="I1045" t="s">
        <v>8874</v>
      </c>
      <c r="J1045">
        <v>2024</v>
      </c>
      <c r="K1045">
        <v>8</v>
      </c>
      <c r="L1045" t="s">
        <v>5454</v>
      </c>
      <c r="M1045" t="s">
        <v>1552</v>
      </c>
      <c r="N1045" t="s">
        <v>8976</v>
      </c>
    </row>
    <row r="1046" spans="1:14" x14ac:dyDescent="0.3">
      <c r="A1046">
        <v>2025</v>
      </c>
      <c r="B1046" s="159">
        <v>45537</v>
      </c>
      <c r="C1046" s="130">
        <v>22</v>
      </c>
      <c r="D1046" s="130">
        <v>22.2</v>
      </c>
      <c r="E1046" s="130">
        <v>21.65</v>
      </c>
      <c r="F1046" s="130">
        <v>21.81</v>
      </c>
      <c r="G1046" s="160">
        <v>6942410</v>
      </c>
      <c r="H1046" s="160">
        <f t="shared" si="16"/>
        <v>151413962.09999999</v>
      </c>
      <c r="I1046" t="s">
        <v>8875</v>
      </c>
      <c r="J1046">
        <v>2024</v>
      </c>
      <c r="K1046">
        <v>9</v>
      </c>
      <c r="L1046" t="s">
        <v>5477</v>
      </c>
      <c r="M1046" t="s">
        <v>1552</v>
      </c>
      <c r="N1046" t="s">
        <v>8977</v>
      </c>
    </row>
    <row r="1047" spans="1:14" x14ac:dyDescent="0.3">
      <c r="A1047">
        <v>2025</v>
      </c>
      <c r="B1047" s="159">
        <v>45538</v>
      </c>
      <c r="C1047" s="130">
        <v>22.15</v>
      </c>
      <c r="D1047" s="130">
        <v>22.28</v>
      </c>
      <c r="E1047" s="130">
        <v>21.9</v>
      </c>
      <c r="F1047" s="130">
        <v>22.21</v>
      </c>
      <c r="G1047" s="160">
        <v>2009980</v>
      </c>
      <c r="H1047" s="160">
        <f t="shared" si="16"/>
        <v>44641655.800000004</v>
      </c>
      <c r="I1047" t="s">
        <v>8875</v>
      </c>
      <c r="J1047">
        <v>2024</v>
      </c>
      <c r="K1047">
        <v>9</v>
      </c>
      <c r="L1047" t="s">
        <v>5477</v>
      </c>
      <c r="M1047" t="s">
        <v>1552</v>
      </c>
      <c r="N1047" t="s">
        <v>8977</v>
      </c>
    </row>
    <row r="1048" spans="1:14" x14ac:dyDescent="0.3">
      <c r="A1048">
        <v>2025</v>
      </c>
      <c r="B1048" s="159">
        <v>45539</v>
      </c>
      <c r="C1048" s="130">
        <v>22.29</v>
      </c>
      <c r="D1048" s="130">
        <v>23.36</v>
      </c>
      <c r="E1048" s="130">
        <v>22.22</v>
      </c>
      <c r="F1048" s="130">
        <v>23.15</v>
      </c>
      <c r="G1048" s="160">
        <v>8472327</v>
      </c>
      <c r="H1048" s="160">
        <f t="shared" si="16"/>
        <v>196134370.04999998</v>
      </c>
      <c r="I1048" t="s">
        <v>8875</v>
      </c>
      <c r="J1048">
        <v>2024</v>
      </c>
      <c r="K1048">
        <v>9</v>
      </c>
      <c r="L1048" t="s">
        <v>5477</v>
      </c>
      <c r="M1048" t="s">
        <v>1552</v>
      </c>
      <c r="N1048" t="s">
        <v>8977</v>
      </c>
    </row>
    <row r="1049" spans="1:14" x14ac:dyDescent="0.3">
      <c r="A1049">
        <v>2025</v>
      </c>
      <c r="B1049" s="159">
        <v>45540</v>
      </c>
      <c r="C1049" s="130">
        <v>23.21</v>
      </c>
      <c r="D1049" s="130">
        <v>23.49</v>
      </c>
      <c r="E1049" s="130">
        <v>22.76</v>
      </c>
      <c r="F1049" s="130">
        <v>22.95</v>
      </c>
      <c r="G1049" s="160">
        <v>4139302</v>
      </c>
      <c r="H1049" s="160">
        <f t="shared" si="16"/>
        <v>94996980.899999991</v>
      </c>
      <c r="I1049" t="s">
        <v>8875</v>
      </c>
      <c r="J1049">
        <v>2024</v>
      </c>
      <c r="K1049">
        <v>9</v>
      </c>
      <c r="L1049" t="s">
        <v>5477</v>
      </c>
      <c r="M1049" t="s">
        <v>1552</v>
      </c>
      <c r="N1049" t="s">
        <v>8977</v>
      </c>
    </row>
    <row r="1050" spans="1:14" x14ac:dyDescent="0.3">
      <c r="A1050">
        <v>2025</v>
      </c>
      <c r="B1050" s="159">
        <v>45541</v>
      </c>
      <c r="C1050" s="130">
        <v>23.13</v>
      </c>
      <c r="D1050" s="130">
        <v>23.2</v>
      </c>
      <c r="E1050" s="130">
        <v>22.7</v>
      </c>
      <c r="F1050" s="130">
        <v>22.76</v>
      </c>
      <c r="G1050" s="160">
        <v>676236</v>
      </c>
      <c r="H1050" s="160">
        <f t="shared" si="16"/>
        <v>15391131.360000001</v>
      </c>
      <c r="I1050" t="s">
        <v>8875</v>
      </c>
      <c r="J1050">
        <v>2024</v>
      </c>
      <c r="K1050">
        <v>9</v>
      </c>
      <c r="L1050" t="s">
        <v>5477</v>
      </c>
      <c r="M1050" t="s">
        <v>1552</v>
      </c>
      <c r="N1050" t="s">
        <v>8977</v>
      </c>
    </row>
    <row r="1051" spans="1:14" x14ac:dyDescent="0.3">
      <c r="A1051">
        <v>2025</v>
      </c>
      <c r="B1051" s="159">
        <v>45544</v>
      </c>
      <c r="C1051" s="130">
        <v>22.8</v>
      </c>
      <c r="D1051" s="130">
        <v>23.05</v>
      </c>
      <c r="E1051" s="130">
        <v>22.59</v>
      </c>
      <c r="F1051" s="130">
        <v>22.81</v>
      </c>
      <c r="G1051" s="160">
        <v>4789894</v>
      </c>
      <c r="H1051" s="160">
        <f t="shared" si="16"/>
        <v>109257482.14</v>
      </c>
      <c r="I1051" t="s">
        <v>8875</v>
      </c>
      <c r="J1051">
        <v>2024</v>
      </c>
      <c r="K1051">
        <v>9</v>
      </c>
      <c r="L1051" t="s">
        <v>5477</v>
      </c>
      <c r="M1051" t="s">
        <v>1552</v>
      </c>
      <c r="N1051" t="s">
        <v>8977</v>
      </c>
    </row>
    <row r="1052" spans="1:14" x14ac:dyDescent="0.3">
      <c r="A1052">
        <v>2025</v>
      </c>
      <c r="B1052" s="159">
        <v>45545</v>
      </c>
      <c r="C1052" s="130">
        <v>22.73</v>
      </c>
      <c r="D1052" s="130">
        <v>23.74</v>
      </c>
      <c r="E1052" s="130">
        <v>22.6</v>
      </c>
      <c r="F1052" s="130">
        <v>23.5</v>
      </c>
      <c r="G1052" s="160">
        <v>11195443</v>
      </c>
      <c r="H1052" s="160">
        <f t="shared" si="16"/>
        <v>263092910.5</v>
      </c>
      <c r="I1052" t="s">
        <v>8875</v>
      </c>
      <c r="J1052">
        <v>2024</v>
      </c>
      <c r="K1052">
        <v>9</v>
      </c>
      <c r="L1052" t="s">
        <v>5477</v>
      </c>
      <c r="M1052" t="s">
        <v>1552</v>
      </c>
      <c r="N1052" t="s">
        <v>8977</v>
      </c>
    </row>
    <row r="1053" spans="1:14" x14ac:dyDescent="0.3">
      <c r="A1053">
        <v>2025</v>
      </c>
      <c r="B1053" s="159">
        <v>45546</v>
      </c>
      <c r="C1053" s="130">
        <v>23.6</v>
      </c>
      <c r="D1053" s="130">
        <v>23.87</v>
      </c>
      <c r="E1053" s="130">
        <v>23.28</v>
      </c>
      <c r="F1053" s="130">
        <v>23.42</v>
      </c>
      <c r="G1053" s="160">
        <v>6433421</v>
      </c>
      <c r="H1053" s="160">
        <f t="shared" si="16"/>
        <v>150670719.82000002</v>
      </c>
      <c r="I1053" t="s">
        <v>8875</v>
      </c>
      <c r="J1053">
        <v>2024</v>
      </c>
      <c r="K1053">
        <v>9</v>
      </c>
      <c r="L1053" t="s">
        <v>5477</v>
      </c>
      <c r="M1053" t="s">
        <v>1552</v>
      </c>
      <c r="N1053" t="s">
        <v>8977</v>
      </c>
    </row>
    <row r="1054" spans="1:14" x14ac:dyDescent="0.3">
      <c r="A1054">
        <v>2025</v>
      </c>
      <c r="B1054" s="159">
        <v>45547</v>
      </c>
      <c r="C1054" s="130">
        <v>23.6</v>
      </c>
      <c r="D1054" s="130">
        <v>24.9</v>
      </c>
      <c r="E1054" s="130">
        <v>23.05</v>
      </c>
      <c r="F1054" s="130">
        <v>24.54</v>
      </c>
      <c r="G1054" s="160">
        <v>15550470</v>
      </c>
      <c r="H1054" s="160">
        <f t="shared" si="16"/>
        <v>381608533.80000001</v>
      </c>
      <c r="I1054" t="s">
        <v>8875</v>
      </c>
      <c r="J1054">
        <v>2024</v>
      </c>
      <c r="K1054">
        <v>9</v>
      </c>
      <c r="L1054" t="s">
        <v>5477</v>
      </c>
      <c r="M1054" t="s">
        <v>1552</v>
      </c>
      <c r="N1054" t="s">
        <v>8977</v>
      </c>
    </row>
    <row r="1055" spans="1:14" x14ac:dyDescent="0.3">
      <c r="A1055">
        <v>2025</v>
      </c>
      <c r="B1055" s="159">
        <v>45548</v>
      </c>
      <c r="C1055" s="130">
        <v>25.5</v>
      </c>
      <c r="D1055" s="130">
        <v>25.7</v>
      </c>
      <c r="E1055" s="130">
        <v>24.25</v>
      </c>
      <c r="F1055" s="130">
        <v>24.37</v>
      </c>
      <c r="G1055" s="160">
        <v>18725243</v>
      </c>
      <c r="H1055" s="160">
        <f t="shared" si="16"/>
        <v>456334171.91000003</v>
      </c>
      <c r="I1055" t="s">
        <v>8875</v>
      </c>
      <c r="J1055">
        <v>2024</v>
      </c>
      <c r="K1055">
        <v>9</v>
      </c>
      <c r="L1055" t="s">
        <v>5477</v>
      </c>
      <c r="M1055" t="s">
        <v>1552</v>
      </c>
      <c r="N1055" t="s">
        <v>8977</v>
      </c>
    </row>
    <row r="1056" spans="1:14" x14ac:dyDescent="0.3">
      <c r="A1056">
        <v>2025</v>
      </c>
      <c r="B1056" s="159">
        <v>45551</v>
      </c>
      <c r="C1056" s="130">
        <v>24.45</v>
      </c>
      <c r="D1056" s="130">
        <v>24.48</v>
      </c>
      <c r="E1056" s="130">
        <v>23.6</v>
      </c>
      <c r="F1056" s="130">
        <v>24.2</v>
      </c>
      <c r="G1056" s="160">
        <v>5116039</v>
      </c>
      <c r="H1056" s="160">
        <f t="shared" si="16"/>
        <v>123808143.8</v>
      </c>
      <c r="I1056" t="s">
        <v>8875</v>
      </c>
      <c r="J1056">
        <v>2024</v>
      </c>
      <c r="K1056">
        <v>9</v>
      </c>
      <c r="L1056" t="s">
        <v>5477</v>
      </c>
      <c r="M1056" t="s">
        <v>1552</v>
      </c>
      <c r="N1056" t="s">
        <v>8977</v>
      </c>
    </row>
    <row r="1057" spans="1:14" x14ac:dyDescent="0.3">
      <c r="A1057">
        <v>2025</v>
      </c>
      <c r="B1057" s="159">
        <v>45553</v>
      </c>
      <c r="C1057" s="130">
        <v>24.52</v>
      </c>
      <c r="D1057" s="130">
        <v>24.56</v>
      </c>
      <c r="E1057" s="130">
        <v>24.15</v>
      </c>
      <c r="F1057" s="130">
        <v>24.29</v>
      </c>
      <c r="G1057" s="160">
        <v>3719105</v>
      </c>
      <c r="H1057" s="160">
        <f t="shared" si="16"/>
        <v>90337060.450000003</v>
      </c>
      <c r="I1057" t="s">
        <v>8875</v>
      </c>
      <c r="J1057">
        <v>2024</v>
      </c>
      <c r="K1057">
        <v>9</v>
      </c>
      <c r="L1057" t="s">
        <v>5477</v>
      </c>
      <c r="M1057" t="s">
        <v>1552</v>
      </c>
      <c r="N1057" t="s">
        <v>8977</v>
      </c>
    </row>
    <row r="1058" spans="1:14" x14ac:dyDescent="0.3">
      <c r="A1058">
        <v>2025</v>
      </c>
      <c r="B1058" s="159">
        <v>45554</v>
      </c>
      <c r="C1058" s="130">
        <v>24.3</v>
      </c>
      <c r="D1058" s="130">
        <v>24.89</v>
      </c>
      <c r="E1058" s="130">
        <v>24.18</v>
      </c>
      <c r="F1058" s="130">
        <v>24.72</v>
      </c>
      <c r="G1058" s="160">
        <v>7720188</v>
      </c>
      <c r="H1058" s="160">
        <f t="shared" si="16"/>
        <v>190843047.35999998</v>
      </c>
      <c r="I1058" t="s">
        <v>8875</v>
      </c>
      <c r="J1058">
        <v>2024</v>
      </c>
      <c r="K1058">
        <v>9</v>
      </c>
      <c r="L1058" t="s">
        <v>5477</v>
      </c>
      <c r="M1058" t="s">
        <v>1552</v>
      </c>
      <c r="N1058" t="s">
        <v>8977</v>
      </c>
    </row>
    <row r="1059" spans="1:14" x14ac:dyDescent="0.3">
      <c r="A1059">
        <v>2025</v>
      </c>
      <c r="B1059" s="159">
        <v>45555</v>
      </c>
      <c r="C1059" s="130">
        <v>24.78</v>
      </c>
      <c r="D1059" s="130">
        <v>25.39</v>
      </c>
      <c r="E1059" s="130">
        <v>24.31</v>
      </c>
      <c r="F1059" s="130">
        <v>25.07</v>
      </c>
      <c r="G1059" s="160">
        <v>7206462</v>
      </c>
      <c r="H1059" s="160">
        <f t="shared" si="16"/>
        <v>180666002.34</v>
      </c>
      <c r="I1059" t="s">
        <v>8875</v>
      </c>
      <c r="J1059">
        <v>2024</v>
      </c>
      <c r="K1059">
        <v>9</v>
      </c>
      <c r="L1059" t="s">
        <v>5477</v>
      </c>
      <c r="M1059" t="s">
        <v>1552</v>
      </c>
      <c r="N1059" t="s">
        <v>8977</v>
      </c>
    </row>
    <row r="1060" spans="1:14" x14ac:dyDescent="0.3">
      <c r="A1060">
        <v>2025</v>
      </c>
      <c r="B1060" s="159">
        <v>45558</v>
      </c>
      <c r="C1060" s="130">
        <v>25.05</v>
      </c>
      <c r="D1060" s="130">
        <v>25.1</v>
      </c>
      <c r="E1060" s="130">
        <v>24.21</v>
      </c>
      <c r="F1060" s="130">
        <v>24.35</v>
      </c>
      <c r="G1060" s="160">
        <v>2663090</v>
      </c>
      <c r="H1060" s="160">
        <f t="shared" si="16"/>
        <v>64846241.500000007</v>
      </c>
      <c r="I1060" t="s">
        <v>8875</v>
      </c>
      <c r="J1060">
        <v>2024</v>
      </c>
      <c r="K1060">
        <v>9</v>
      </c>
      <c r="L1060" t="s">
        <v>5477</v>
      </c>
      <c r="M1060" t="s">
        <v>1552</v>
      </c>
      <c r="N1060" t="s">
        <v>8977</v>
      </c>
    </row>
    <row r="1061" spans="1:14" x14ac:dyDescent="0.3">
      <c r="A1061">
        <v>2025</v>
      </c>
      <c r="B1061" s="159">
        <v>45559</v>
      </c>
      <c r="C1061" s="130">
        <v>24.48</v>
      </c>
      <c r="D1061" s="130">
        <v>24.48</v>
      </c>
      <c r="E1061" s="130">
        <v>23.8</v>
      </c>
      <c r="F1061" s="130">
        <v>24.04</v>
      </c>
      <c r="G1061" s="160">
        <v>2351216</v>
      </c>
      <c r="H1061" s="160">
        <f t="shared" si="16"/>
        <v>56523232.640000001</v>
      </c>
      <c r="I1061" t="s">
        <v>8875</v>
      </c>
      <c r="J1061">
        <v>2024</v>
      </c>
      <c r="K1061">
        <v>9</v>
      </c>
      <c r="L1061" t="s">
        <v>5477</v>
      </c>
      <c r="M1061" t="s">
        <v>1552</v>
      </c>
      <c r="N1061" t="s">
        <v>8977</v>
      </c>
    </row>
    <row r="1062" spans="1:14" x14ac:dyDescent="0.3">
      <c r="A1062">
        <v>2025</v>
      </c>
      <c r="B1062" s="159">
        <v>45560</v>
      </c>
      <c r="C1062" s="130">
        <v>24.16</v>
      </c>
      <c r="D1062" s="130">
        <v>25.15</v>
      </c>
      <c r="E1062" s="130">
        <v>23.84</v>
      </c>
      <c r="F1062" s="130">
        <v>24.99</v>
      </c>
      <c r="G1062" s="160">
        <v>7657647</v>
      </c>
      <c r="H1062" s="160">
        <f t="shared" si="16"/>
        <v>191364598.53</v>
      </c>
      <c r="I1062" t="s">
        <v>8875</v>
      </c>
      <c r="J1062">
        <v>2024</v>
      </c>
      <c r="K1062">
        <v>9</v>
      </c>
      <c r="L1062" t="s">
        <v>5477</v>
      </c>
      <c r="M1062" t="s">
        <v>1552</v>
      </c>
      <c r="N1062" t="s">
        <v>8977</v>
      </c>
    </row>
    <row r="1063" spans="1:14" x14ac:dyDescent="0.3">
      <c r="A1063">
        <v>2025</v>
      </c>
      <c r="B1063" s="159">
        <v>45561</v>
      </c>
      <c r="C1063" s="130">
        <v>25.25</v>
      </c>
      <c r="D1063" s="130">
        <v>25.8</v>
      </c>
      <c r="E1063" s="130">
        <v>24.95</v>
      </c>
      <c r="F1063" s="130">
        <v>25.35</v>
      </c>
      <c r="G1063" s="160">
        <v>11949523</v>
      </c>
      <c r="H1063" s="160">
        <f t="shared" si="16"/>
        <v>302920408.05000001</v>
      </c>
      <c r="I1063" t="s">
        <v>8875</v>
      </c>
      <c r="J1063">
        <v>2024</v>
      </c>
      <c r="K1063">
        <v>9</v>
      </c>
      <c r="L1063" t="s">
        <v>5477</v>
      </c>
      <c r="M1063" t="s">
        <v>1552</v>
      </c>
      <c r="N1063" t="s">
        <v>8977</v>
      </c>
    </row>
    <row r="1064" spans="1:14" x14ac:dyDescent="0.3">
      <c r="A1064">
        <v>2025</v>
      </c>
      <c r="B1064" s="159">
        <v>45562</v>
      </c>
      <c r="C1064" s="130">
        <v>25.48</v>
      </c>
      <c r="D1064" s="130">
        <v>25.48</v>
      </c>
      <c r="E1064" s="130">
        <v>25</v>
      </c>
      <c r="F1064" s="130">
        <v>25.22</v>
      </c>
      <c r="G1064" s="160">
        <v>2804892</v>
      </c>
      <c r="H1064" s="160">
        <f t="shared" si="16"/>
        <v>70739376.239999995</v>
      </c>
      <c r="I1064" t="s">
        <v>8875</v>
      </c>
      <c r="J1064">
        <v>2024</v>
      </c>
      <c r="K1064">
        <v>9</v>
      </c>
      <c r="L1064" t="s">
        <v>5477</v>
      </c>
      <c r="M1064" t="s">
        <v>1552</v>
      </c>
      <c r="N1064" t="s">
        <v>8977</v>
      </c>
    </row>
    <row r="1065" spans="1:14" x14ac:dyDescent="0.3">
      <c r="A1065">
        <v>2025</v>
      </c>
      <c r="B1065" s="159">
        <v>45565</v>
      </c>
      <c r="C1065" s="130">
        <v>25.26</v>
      </c>
      <c r="D1065" s="130">
        <v>25.4</v>
      </c>
      <c r="E1065" s="130">
        <v>24.75</v>
      </c>
      <c r="F1065" s="130">
        <v>25.28</v>
      </c>
      <c r="G1065" s="160">
        <v>5176568</v>
      </c>
      <c r="H1065" s="160">
        <f t="shared" si="16"/>
        <v>130863639.04000001</v>
      </c>
      <c r="I1065" t="s">
        <v>8875</v>
      </c>
      <c r="J1065">
        <v>2024</v>
      </c>
      <c r="K1065">
        <v>9</v>
      </c>
      <c r="L1065" t="s">
        <v>5477</v>
      </c>
      <c r="M1065" t="s">
        <v>1552</v>
      </c>
      <c r="N1065" t="s">
        <v>8977</v>
      </c>
    </row>
    <row r="1066" spans="1:14" x14ac:dyDescent="0.3">
      <c r="A1066">
        <v>2025</v>
      </c>
      <c r="B1066" s="159">
        <v>45566</v>
      </c>
      <c r="C1066" s="130">
        <v>25.12</v>
      </c>
      <c r="D1066" s="130">
        <v>27.19</v>
      </c>
      <c r="E1066" s="130">
        <v>25.12</v>
      </c>
      <c r="F1066" s="130">
        <v>26.62</v>
      </c>
      <c r="G1066" s="160">
        <v>29125856</v>
      </c>
      <c r="H1066" s="160">
        <f t="shared" si="16"/>
        <v>775330286.72000003</v>
      </c>
      <c r="I1066" t="s">
        <v>8876</v>
      </c>
      <c r="J1066">
        <v>2024</v>
      </c>
      <c r="K1066">
        <v>10</v>
      </c>
      <c r="L1066" t="s">
        <v>5499</v>
      </c>
      <c r="M1066" t="s">
        <v>1552</v>
      </c>
      <c r="N1066" t="s">
        <v>8978</v>
      </c>
    </row>
    <row r="1067" spans="1:14" x14ac:dyDescent="0.3">
      <c r="A1067">
        <v>2025</v>
      </c>
      <c r="B1067" s="159">
        <v>45567</v>
      </c>
      <c r="C1067" s="130">
        <v>26.47</v>
      </c>
      <c r="D1067" s="130">
        <v>27.69</v>
      </c>
      <c r="E1067" s="130">
        <v>26.22</v>
      </c>
      <c r="F1067" s="130">
        <v>27.41</v>
      </c>
      <c r="G1067" s="160">
        <v>20045582</v>
      </c>
      <c r="H1067" s="160">
        <f t="shared" si="16"/>
        <v>549449402.62</v>
      </c>
      <c r="I1067" t="s">
        <v>8876</v>
      </c>
      <c r="J1067">
        <v>2024</v>
      </c>
      <c r="K1067">
        <v>10</v>
      </c>
      <c r="L1067" t="s">
        <v>5499</v>
      </c>
      <c r="M1067" t="s">
        <v>1552</v>
      </c>
      <c r="N1067" t="s">
        <v>8978</v>
      </c>
    </row>
    <row r="1068" spans="1:14" x14ac:dyDescent="0.3">
      <c r="A1068">
        <v>2025</v>
      </c>
      <c r="B1068" s="159">
        <v>45568</v>
      </c>
      <c r="C1068" s="130">
        <v>27.4</v>
      </c>
      <c r="D1068" s="130">
        <v>28.1</v>
      </c>
      <c r="E1068" s="130">
        <v>26.72</v>
      </c>
      <c r="F1068" s="130">
        <v>27.15</v>
      </c>
      <c r="G1068" s="160">
        <v>21628458</v>
      </c>
      <c r="H1068" s="160">
        <f t="shared" si="16"/>
        <v>587212634.69999993</v>
      </c>
      <c r="I1068" t="s">
        <v>8876</v>
      </c>
      <c r="J1068">
        <v>2024</v>
      </c>
      <c r="K1068">
        <v>10</v>
      </c>
      <c r="L1068" t="s">
        <v>5499</v>
      </c>
      <c r="M1068" t="s">
        <v>1552</v>
      </c>
      <c r="N1068" t="s">
        <v>8978</v>
      </c>
    </row>
    <row r="1069" spans="1:14" x14ac:dyDescent="0.3">
      <c r="A1069">
        <v>2025</v>
      </c>
      <c r="B1069" s="159">
        <v>45569</v>
      </c>
      <c r="C1069" s="130">
        <v>26.22</v>
      </c>
      <c r="D1069" s="130">
        <v>27.09</v>
      </c>
      <c r="E1069" s="130">
        <v>25.75</v>
      </c>
      <c r="F1069" s="130">
        <v>26.95</v>
      </c>
      <c r="G1069" s="160">
        <v>12420908</v>
      </c>
      <c r="H1069" s="160">
        <f t="shared" si="16"/>
        <v>334743470.59999996</v>
      </c>
      <c r="I1069" t="s">
        <v>8876</v>
      </c>
      <c r="J1069">
        <v>2024</v>
      </c>
      <c r="K1069">
        <v>10</v>
      </c>
      <c r="L1069" t="s">
        <v>5499</v>
      </c>
      <c r="M1069" t="s">
        <v>1552</v>
      </c>
      <c r="N1069" t="s">
        <v>8978</v>
      </c>
    </row>
    <row r="1070" spans="1:14" x14ac:dyDescent="0.3">
      <c r="A1070">
        <v>2025</v>
      </c>
      <c r="B1070" s="159">
        <v>45572</v>
      </c>
      <c r="C1070" s="130">
        <v>26.9</v>
      </c>
      <c r="D1070" s="130">
        <v>28.39</v>
      </c>
      <c r="E1070" s="130">
        <v>26.6</v>
      </c>
      <c r="F1070" s="130">
        <v>28</v>
      </c>
      <c r="G1070" s="160">
        <v>23127553</v>
      </c>
      <c r="H1070" s="160">
        <f t="shared" si="16"/>
        <v>647571484</v>
      </c>
      <c r="I1070" t="s">
        <v>8876</v>
      </c>
      <c r="J1070">
        <v>2024</v>
      </c>
      <c r="K1070">
        <v>10</v>
      </c>
      <c r="L1070" t="s">
        <v>5499</v>
      </c>
      <c r="M1070" t="s">
        <v>1552</v>
      </c>
      <c r="N1070" t="s">
        <v>8978</v>
      </c>
    </row>
    <row r="1071" spans="1:14" x14ac:dyDescent="0.3">
      <c r="A1071">
        <v>2025</v>
      </c>
      <c r="B1071" s="159">
        <v>45573</v>
      </c>
      <c r="C1071" s="130">
        <v>28.3</v>
      </c>
      <c r="D1071" s="130">
        <v>28.3</v>
      </c>
      <c r="E1071" s="130">
        <v>27</v>
      </c>
      <c r="F1071" s="130">
        <v>27.39</v>
      </c>
      <c r="G1071" s="160">
        <v>13160387</v>
      </c>
      <c r="H1071" s="160">
        <f t="shared" si="16"/>
        <v>360462999.93000001</v>
      </c>
      <c r="I1071" t="s">
        <v>8876</v>
      </c>
      <c r="J1071">
        <v>2024</v>
      </c>
      <c r="K1071">
        <v>10</v>
      </c>
      <c r="L1071" t="s">
        <v>5499</v>
      </c>
      <c r="M1071" t="s">
        <v>1552</v>
      </c>
      <c r="N1071" t="s">
        <v>8978</v>
      </c>
    </row>
    <row r="1072" spans="1:14" x14ac:dyDescent="0.3">
      <c r="A1072">
        <v>2025</v>
      </c>
      <c r="B1072" s="159">
        <v>45574</v>
      </c>
      <c r="C1072" s="130">
        <v>27.55</v>
      </c>
      <c r="D1072" s="130">
        <v>27.98</v>
      </c>
      <c r="E1072" s="130">
        <v>26.95</v>
      </c>
      <c r="F1072" s="130">
        <v>27.52</v>
      </c>
      <c r="G1072" s="160">
        <v>13879905</v>
      </c>
      <c r="H1072" s="160">
        <f t="shared" si="16"/>
        <v>381974985.60000002</v>
      </c>
      <c r="I1072" t="s">
        <v>8876</v>
      </c>
      <c r="J1072">
        <v>2024</v>
      </c>
      <c r="K1072">
        <v>10</v>
      </c>
      <c r="L1072" t="s">
        <v>5499</v>
      </c>
      <c r="M1072" t="s">
        <v>1552</v>
      </c>
      <c r="N1072" t="s">
        <v>8978</v>
      </c>
    </row>
    <row r="1073" spans="1:14" x14ac:dyDescent="0.3">
      <c r="A1073">
        <v>2025</v>
      </c>
      <c r="B1073" s="159">
        <v>45575</v>
      </c>
      <c r="C1073" s="130">
        <v>27.6</v>
      </c>
      <c r="D1073" s="130">
        <v>28.08</v>
      </c>
      <c r="E1073" s="130">
        <v>27.13</v>
      </c>
      <c r="F1073" s="130">
        <v>27.97</v>
      </c>
      <c r="G1073" s="160">
        <v>10495306</v>
      </c>
      <c r="H1073" s="160">
        <f t="shared" si="16"/>
        <v>293553708.81999999</v>
      </c>
      <c r="I1073" t="s">
        <v>8876</v>
      </c>
      <c r="J1073">
        <v>2024</v>
      </c>
      <c r="K1073">
        <v>10</v>
      </c>
      <c r="L1073" t="s">
        <v>5499</v>
      </c>
      <c r="M1073" t="s">
        <v>1552</v>
      </c>
      <c r="N1073" t="s">
        <v>8978</v>
      </c>
    </row>
    <row r="1074" spans="1:14" x14ac:dyDescent="0.3">
      <c r="A1074">
        <v>2025</v>
      </c>
      <c r="B1074" s="159">
        <v>45576</v>
      </c>
      <c r="C1074" s="130">
        <v>28.19</v>
      </c>
      <c r="D1074" s="130">
        <v>28.8</v>
      </c>
      <c r="E1074" s="130">
        <v>27.87</v>
      </c>
      <c r="F1074" s="130">
        <v>28.62</v>
      </c>
      <c r="G1074" s="160">
        <v>12389794</v>
      </c>
      <c r="H1074" s="160">
        <f t="shared" si="16"/>
        <v>354595904.28000003</v>
      </c>
      <c r="I1074" t="s">
        <v>8876</v>
      </c>
      <c r="J1074">
        <v>2024</v>
      </c>
      <c r="K1074">
        <v>10</v>
      </c>
      <c r="L1074" t="s">
        <v>5499</v>
      </c>
      <c r="M1074" t="s">
        <v>1552</v>
      </c>
      <c r="N1074" t="s">
        <v>8978</v>
      </c>
    </row>
    <row r="1075" spans="1:14" x14ac:dyDescent="0.3">
      <c r="A1075">
        <v>2025</v>
      </c>
      <c r="B1075" s="159">
        <v>45579</v>
      </c>
      <c r="C1075" s="130">
        <v>28.41</v>
      </c>
      <c r="D1075" s="130">
        <v>29.85</v>
      </c>
      <c r="E1075" s="130">
        <v>28.41</v>
      </c>
      <c r="F1075" s="130">
        <v>29.08</v>
      </c>
      <c r="G1075" s="160">
        <v>15742751</v>
      </c>
      <c r="H1075" s="160">
        <f t="shared" si="16"/>
        <v>457799199.07999998</v>
      </c>
      <c r="I1075" t="s">
        <v>8876</v>
      </c>
      <c r="J1075">
        <v>2024</v>
      </c>
      <c r="K1075">
        <v>10</v>
      </c>
      <c r="L1075" t="s">
        <v>5499</v>
      </c>
      <c r="M1075" t="s">
        <v>1552</v>
      </c>
      <c r="N1075" t="s">
        <v>8978</v>
      </c>
    </row>
    <row r="1076" spans="1:14" x14ac:dyDescent="0.3">
      <c r="A1076">
        <v>2025</v>
      </c>
      <c r="B1076" s="159">
        <v>45580</v>
      </c>
      <c r="C1076" s="130">
        <v>29.11</v>
      </c>
      <c r="D1076" s="130">
        <v>29.85</v>
      </c>
      <c r="E1076" s="130">
        <v>28.85</v>
      </c>
      <c r="F1076" s="130">
        <v>29.34</v>
      </c>
      <c r="G1076" s="160">
        <v>5406017</v>
      </c>
      <c r="H1076" s="160">
        <f t="shared" si="16"/>
        <v>158612538.78</v>
      </c>
      <c r="I1076" t="s">
        <v>8876</v>
      </c>
      <c r="J1076">
        <v>2024</v>
      </c>
      <c r="K1076">
        <v>10</v>
      </c>
      <c r="L1076" t="s">
        <v>5499</v>
      </c>
      <c r="M1076" t="s">
        <v>1552</v>
      </c>
      <c r="N1076" t="s">
        <v>8978</v>
      </c>
    </row>
    <row r="1077" spans="1:14" x14ac:dyDescent="0.3">
      <c r="A1077">
        <v>2025</v>
      </c>
      <c r="B1077" s="159">
        <v>45581</v>
      </c>
      <c r="C1077" s="130">
        <v>29.49</v>
      </c>
      <c r="D1077" s="130">
        <v>29.59</v>
      </c>
      <c r="E1077" s="130">
        <v>28.59</v>
      </c>
      <c r="F1077" s="130">
        <v>28.98</v>
      </c>
      <c r="G1077" s="160">
        <v>10861086</v>
      </c>
      <c r="H1077" s="160">
        <f t="shared" si="16"/>
        <v>314754272.28000003</v>
      </c>
      <c r="I1077" t="s">
        <v>8876</v>
      </c>
      <c r="J1077">
        <v>2024</v>
      </c>
      <c r="K1077">
        <v>10</v>
      </c>
      <c r="L1077" t="s">
        <v>5499</v>
      </c>
      <c r="M1077" t="s">
        <v>1552</v>
      </c>
      <c r="N1077" t="s">
        <v>8978</v>
      </c>
    </row>
    <row r="1078" spans="1:14" x14ac:dyDescent="0.3">
      <c r="A1078">
        <v>2025</v>
      </c>
      <c r="B1078" s="159">
        <v>45582</v>
      </c>
      <c r="C1078" s="130">
        <v>29.23</v>
      </c>
      <c r="D1078" s="130">
        <v>29.54</v>
      </c>
      <c r="E1078" s="130">
        <v>28.6</v>
      </c>
      <c r="F1078" s="130">
        <v>29.04</v>
      </c>
      <c r="G1078" s="160">
        <v>5794011</v>
      </c>
      <c r="H1078" s="160">
        <f t="shared" si="16"/>
        <v>168258079.44</v>
      </c>
      <c r="I1078" t="s">
        <v>8876</v>
      </c>
      <c r="J1078">
        <v>2024</v>
      </c>
      <c r="K1078">
        <v>10</v>
      </c>
      <c r="L1078" t="s">
        <v>5499</v>
      </c>
      <c r="M1078" t="s">
        <v>1552</v>
      </c>
      <c r="N1078" t="s">
        <v>8978</v>
      </c>
    </row>
    <row r="1079" spans="1:14" x14ac:dyDescent="0.3">
      <c r="A1079">
        <v>2025</v>
      </c>
      <c r="B1079" s="159">
        <v>45583</v>
      </c>
      <c r="C1079" s="130">
        <v>29.11</v>
      </c>
      <c r="D1079" s="130">
        <v>29.2</v>
      </c>
      <c r="E1079" s="130">
        <v>28.5</v>
      </c>
      <c r="F1079" s="130">
        <v>28.58</v>
      </c>
      <c r="G1079" s="160">
        <v>4146394</v>
      </c>
      <c r="H1079" s="160">
        <f t="shared" si="16"/>
        <v>118503940.52</v>
      </c>
      <c r="I1079" t="s">
        <v>8876</v>
      </c>
      <c r="J1079">
        <v>2024</v>
      </c>
      <c r="K1079">
        <v>10</v>
      </c>
      <c r="L1079" t="s">
        <v>5499</v>
      </c>
      <c r="M1079" t="s">
        <v>1552</v>
      </c>
      <c r="N1079" t="s">
        <v>8978</v>
      </c>
    </row>
    <row r="1080" spans="1:14" x14ac:dyDescent="0.3">
      <c r="A1080">
        <v>2025</v>
      </c>
      <c r="B1080" s="159">
        <v>45586</v>
      </c>
      <c r="C1080" s="130">
        <v>28.45</v>
      </c>
      <c r="D1080" s="130">
        <v>29.29</v>
      </c>
      <c r="E1080" s="130">
        <v>28.45</v>
      </c>
      <c r="F1080" s="130">
        <v>28.91</v>
      </c>
      <c r="G1080" s="160">
        <v>4144445</v>
      </c>
      <c r="H1080" s="160">
        <f t="shared" si="16"/>
        <v>119815904.95</v>
      </c>
      <c r="I1080" t="s">
        <v>8876</v>
      </c>
      <c r="J1080">
        <v>2024</v>
      </c>
      <c r="K1080">
        <v>10</v>
      </c>
      <c r="L1080" t="s">
        <v>5499</v>
      </c>
      <c r="M1080" t="s">
        <v>1552</v>
      </c>
      <c r="N1080" t="s">
        <v>8978</v>
      </c>
    </row>
    <row r="1081" spans="1:14" x14ac:dyDescent="0.3">
      <c r="A1081">
        <v>2025</v>
      </c>
      <c r="B1081" s="159">
        <v>45587</v>
      </c>
      <c r="C1081" s="130">
        <v>28.99</v>
      </c>
      <c r="D1081" s="130">
        <v>30.45</v>
      </c>
      <c r="E1081" s="130">
        <v>28.8</v>
      </c>
      <c r="F1081" s="130">
        <v>29.54</v>
      </c>
      <c r="G1081" s="160">
        <v>8669206</v>
      </c>
      <c r="H1081" s="160">
        <f t="shared" si="16"/>
        <v>256088345.23999998</v>
      </c>
      <c r="I1081" t="s">
        <v>8876</v>
      </c>
      <c r="J1081">
        <v>2024</v>
      </c>
      <c r="K1081">
        <v>10</v>
      </c>
      <c r="L1081" t="s">
        <v>5499</v>
      </c>
      <c r="M1081" t="s">
        <v>1552</v>
      </c>
      <c r="N1081" t="s">
        <v>8978</v>
      </c>
    </row>
    <row r="1082" spans="1:14" x14ac:dyDescent="0.3">
      <c r="A1082">
        <v>2025</v>
      </c>
      <c r="B1082" s="159">
        <v>45588</v>
      </c>
      <c r="C1082" s="130">
        <v>29.6</v>
      </c>
      <c r="D1082" s="130">
        <v>30.48</v>
      </c>
      <c r="E1082" s="130">
        <v>29.5</v>
      </c>
      <c r="F1082" s="130">
        <v>30.33</v>
      </c>
      <c r="G1082" s="160">
        <v>10211012</v>
      </c>
      <c r="H1082" s="160">
        <f t="shared" si="16"/>
        <v>309699993.95999998</v>
      </c>
      <c r="I1082" t="s">
        <v>8876</v>
      </c>
      <c r="J1082">
        <v>2024</v>
      </c>
      <c r="K1082">
        <v>10</v>
      </c>
      <c r="L1082" t="s">
        <v>5499</v>
      </c>
      <c r="M1082" t="s">
        <v>1552</v>
      </c>
      <c r="N1082" t="s">
        <v>8978</v>
      </c>
    </row>
    <row r="1083" spans="1:14" x14ac:dyDescent="0.3">
      <c r="A1083">
        <v>2025</v>
      </c>
      <c r="B1083" s="159">
        <v>45589</v>
      </c>
      <c r="C1083" s="130">
        <v>30.4</v>
      </c>
      <c r="D1083" s="130">
        <v>32.049999999999997</v>
      </c>
      <c r="E1083" s="130">
        <v>30.39</v>
      </c>
      <c r="F1083" s="130">
        <v>31.46</v>
      </c>
      <c r="G1083" s="160">
        <v>23272920</v>
      </c>
      <c r="H1083" s="160">
        <f t="shared" si="16"/>
        <v>732166063.20000005</v>
      </c>
      <c r="I1083" t="s">
        <v>8876</v>
      </c>
      <c r="J1083">
        <v>2024</v>
      </c>
      <c r="K1083">
        <v>10</v>
      </c>
      <c r="L1083" t="s">
        <v>5499</v>
      </c>
      <c r="M1083" t="s">
        <v>1552</v>
      </c>
      <c r="N1083" t="s">
        <v>8978</v>
      </c>
    </row>
    <row r="1084" spans="1:14" x14ac:dyDescent="0.3">
      <c r="A1084">
        <v>2025</v>
      </c>
      <c r="B1084" s="159">
        <v>45590</v>
      </c>
      <c r="C1084" s="130">
        <v>31.95</v>
      </c>
      <c r="D1084" s="130">
        <v>34.4</v>
      </c>
      <c r="E1084" s="130">
        <v>30.91</v>
      </c>
      <c r="F1084" s="130">
        <v>33.99</v>
      </c>
      <c r="G1084" s="160">
        <v>31553452</v>
      </c>
      <c r="H1084" s="160">
        <f t="shared" si="16"/>
        <v>1072501833.48</v>
      </c>
      <c r="I1084" t="s">
        <v>8876</v>
      </c>
      <c r="J1084">
        <v>2024</v>
      </c>
      <c r="K1084">
        <v>10</v>
      </c>
      <c r="L1084" t="s">
        <v>5499</v>
      </c>
      <c r="M1084" t="s">
        <v>1552</v>
      </c>
      <c r="N1084" t="s">
        <v>8978</v>
      </c>
    </row>
    <row r="1085" spans="1:14" x14ac:dyDescent="0.3">
      <c r="A1085">
        <v>2025</v>
      </c>
      <c r="B1085" s="159">
        <v>45593</v>
      </c>
      <c r="C1085" s="130">
        <v>34.1</v>
      </c>
      <c r="D1085" s="130">
        <v>34.700000000000003</v>
      </c>
      <c r="E1085" s="130">
        <v>32.51</v>
      </c>
      <c r="F1085" s="130">
        <v>32.94</v>
      </c>
      <c r="G1085" s="160">
        <v>13143264</v>
      </c>
      <c r="H1085" s="160">
        <f t="shared" si="16"/>
        <v>432939116.15999997</v>
      </c>
      <c r="I1085" t="s">
        <v>8876</v>
      </c>
      <c r="J1085">
        <v>2024</v>
      </c>
      <c r="K1085">
        <v>10</v>
      </c>
      <c r="L1085" t="s">
        <v>5499</v>
      </c>
      <c r="M1085" t="s">
        <v>1552</v>
      </c>
      <c r="N1085" t="s">
        <v>8978</v>
      </c>
    </row>
    <row r="1086" spans="1:14" x14ac:dyDescent="0.3">
      <c r="A1086">
        <v>2025</v>
      </c>
      <c r="B1086" s="159">
        <v>45594</v>
      </c>
      <c r="C1086" s="130">
        <v>33.200000000000003</v>
      </c>
      <c r="D1086" s="130">
        <v>34.15</v>
      </c>
      <c r="E1086" s="130">
        <v>32.56</v>
      </c>
      <c r="F1086" s="130">
        <v>33.26</v>
      </c>
      <c r="G1086" s="160">
        <v>10346413</v>
      </c>
      <c r="H1086" s="160">
        <f t="shared" si="16"/>
        <v>344121696.38</v>
      </c>
      <c r="I1086" t="s">
        <v>8876</v>
      </c>
      <c r="J1086">
        <v>2024</v>
      </c>
      <c r="K1086">
        <v>10</v>
      </c>
      <c r="L1086" t="s">
        <v>5499</v>
      </c>
      <c r="M1086" t="s">
        <v>1552</v>
      </c>
      <c r="N1086" t="s">
        <v>8978</v>
      </c>
    </row>
    <row r="1087" spans="1:14" x14ac:dyDescent="0.3">
      <c r="A1087">
        <v>2025</v>
      </c>
      <c r="B1087" s="159">
        <v>45595</v>
      </c>
      <c r="C1087" s="130">
        <v>33.5</v>
      </c>
      <c r="D1087" s="130">
        <v>33.6</v>
      </c>
      <c r="E1087" s="130">
        <v>32.49</v>
      </c>
      <c r="F1087" s="130">
        <v>32.71</v>
      </c>
      <c r="G1087" s="160">
        <v>10289422</v>
      </c>
      <c r="H1087" s="160">
        <f t="shared" si="16"/>
        <v>336566993.62</v>
      </c>
      <c r="I1087" t="s">
        <v>8876</v>
      </c>
      <c r="J1087">
        <v>2024</v>
      </c>
      <c r="K1087">
        <v>10</v>
      </c>
      <c r="L1087" t="s">
        <v>5499</v>
      </c>
      <c r="M1087" t="s">
        <v>1552</v>
      </c>
      <c r="N1087" t="s">
        <v>8978</v>
      </c>
    </row>
    <row r="1088" spans="1:14" x14ac:dyDescent="0.3">
      <c r="A1088">
        <v>2025</v>
      </c>
      <c r="B1088" s="159">
        <v>45596</v>
      </c>
      <c r="C1088" s="130">
        <v>33.049999999999997</v>
      </c>
      <c r="D1088" s="130">
        <v>33.380000000000003</v>
      </c>
      <c r="E1088" s="130">
        <v>32.35</v>
      </c>
      <c r="F1088" s="130">
        <v>32.56</v>
      </c>
      <c r="G1088" s="160">
        <v>9095443</v>
      </c>
      <c r="H1088" s="160">
        <f t="shared" si="16"/>
        <v>296147624.08000004</v>
      </c>
      <c r="I1088" t="s">
        <v>8876</v>
      </c>
      <c r="J1088">
        <v>2024</v>
      </c>
      <c r="K1088">
        <v>10</v>
      </c>
      <c r="L1088" t="s">
        <v>5499</v>
      </c>
      <c r="M1088" t="s">
        <v>1552</v>
      </c>
      <c r="N1088" t="s">
        <v>8978</v>
      </c>
    </row>
    <row r="1089" spans="1:14" x14ac:dyDescent="0.3">
      <c r="A1089">
        <v>2025</v>
      </c>
      <c r="B1089" s="159">
        <v>45597</v>
      </c>
      <c r="C1089" s="130">
        <v>32.82</v>
      </c>
      <c r="D1089" s="130">
        <v>34.1</v>
      </c>
      <c r="E1089" s="130">
        <v>32.56</v>
      </c>
      <c r="F1089" s="130">
        <v>33.909999999999997</v>
      </c>
      <c r="G1089" s="160">
        <v>10837347</v>
      </c>
      <c r="H1089" s="160">
        <f t="shared" si="16"/>
        <v>367494436.76999998</v>
      </c>
      <c r="I1089" t="s">
        <v>8877</v>
      </c>
      <c r="J1089">
        <v>2024</v>
      </c>
      <c r="K1089">
        <v>11</v>
      </c>
      <c r="L1089" t="s">
        <v>5524</v>
      </c>
      <c r="M1089" t="s">
        <v>1552</v>
      </c>
      <c r="N1089" t="s">
        <v>8979</v>
      </c>
    </row>
    <row r="1090" spans="1:14" x14ac:dyDescent="0.3">
      <c r="A1090">
        <v>2025</v>
      </c>
      <c r="B1090" s="159">
        <v>45600</v>
      </c>
      <c r="C1090" s="130">
        <v>34.409999999999997</v>
      </c>
      <c r="D1090" s="130">
        <v>35.299999999999997</v>
      </c>
      <c r="E1090" s="130">
        <v>34.11</v>
      </c>
      <c r="F1090" s="130">
        <v>35.06</v>
      </c>
      <c r="G1090" s="160">
        <v>20330341</v>
      </c>
      <c r="H1090" s="160">
        <f t="shared" si="16"/>
        <v>712781755.46000004</v>
      </c>
      <c r="I1090" t="s">
        <v>8877</v>
      </c>
      <c r="J1090">
        <v>2024</v>
      </c>
      <c r="K1090">
        <v>11</v>
      </c>
      <c r="L1090" t="s">
        <v>5524</v>
      </c>
      <c r="M1090" t="s">
        <v>1552</v>
      </c>
      <c r="N1090" t="s">
        <v>8979</v>
      </c>
    </row>
    <row r="1091" spans="1:14" x14ac:dyDescent="0.3">
      <c r="A1091">
        <v>2025</v>
      </c>
      <c r="B1091" s="159">
        <v>45601</v>
      </c>
      <c r="C1091" s="130">
        <v>35.74</v>
      </c>
      <c r="D1091" s="130">
        <v>36.1</v>
      </c>
      <c r="E1091" s="130">
        <v>34.31</v>
      </c>
      <c r="F1091" s="130">
        <v>34.93</v>
      </c>
      <c r="G1091" s="160">
        <v>21425572</v>
      </c>
      <c r="H1091" s="160">
        <f t="shared" si="16"/>
        <v>748395229.96000004</v>
      </c>
      <c r="I1091" t="s">
        <v>8877</v>
      </c>
      <c r="J1091">
        <v>2024</v>
      </c>
      <c r="K1091">
        <v>11</v>
      </c>
      <c r="L1091" t="s">
        <v>5524</v>
      </c>
      <c r="M1091" t="s">
        <v>1552</v>
      </c>
      <c r="N1091" t="s">
        <v>8979</v>
      </c>
    </row>
    <row r="1092" spans="1:14" x14ac:dyDescent="0.3">
      <c r="A1092">
        <v>2025</v>
      </c>
      <c r="B1092" s="159">
        <v>45602</v>
      </c>
      <c r="C1092" s="130">
        <v>35.200000000000003</v>
      </c>
      <c r="D1092" s="130">
        <v>35.39</v>
      </c>
      <c r="E1092" s="130">
        <v>32.75</v>
      </c>
      <c r="F1092" s="130">
        <v>34.04</v>
      </c>
      <c r="G1092" s="160">
        <v>9078138</v>
      </c>
      <c r="H1092" s="160">
        <f t="shared" si="16"/>
        <v>309019817.51999998</v>
      </c>
      <c r="I1092" t="s">
        <v>8877</v>
      </c>
      <c r="J1092">
        <v>2024</v>
      </c>
      <c r="K1092">
        <v>11</v>
      </c>
      <c r="L1092" t="s">
        <v>5524</v>
      </c>
      <c r="M1092" t="s">
        <v>1552</v>
      </c>
      <c r="N1092" t="s">
        <v>8979</v>
      </c>
    </row>
    <row r="1093" spans="1:14" x14ac:dyDescent="0.3">
      <c r="A1093">
        <v>2025</v>
      </c>
      <c r="B1093" s="159">
        <v>45603</v>
      </c>
      <c r="C1093" s="130">
        <v>34.94</v>
      </c>
      <c r="D1093" s="130">
        <v>34.94</v>
      </c>
      <c r="E1093" s="130">
        <v>33.090000000000003</v>
      </c>
      <c r="F1093" s="130">
        <v>33.44</v>
      </c>
      <c r="G1093" s="160">
        <v>5642812</v>
      </c>
      <c r="H1093" s="160">
        <f t="shared" si="16"/>
        <v>188695633.28</v>
      </c>
      <c r="I1093" t="s">
        <v>8877</v>
      </c>
      <c r="J1093">
        <v>2024</v>
      </c>
      <c r="K1093">
        <v>11</v>
      </c>
      <c r="L1093" t="s">
        <v>5524</v>
      </c>
      <c r="M1093" t="s">
        <v>1552</v>
      </c>
      <c r="N1093" t="s">
        <v>8979</v>
      </c>
    </row>
    <row r="1094" spans="1:14" x14ac:dyDescent="0.3">
      <c r="A1094">
        <v>2025</v>
      </c>
      <c r="B1094" s="159">
        <v>45604</v>
      </c>
      <c r="C1094" s="130">
        <v>33.6</v>
      </c>
      <c r="D1094" s="130">
        <v>34</v>
      </c>
      <c r="E1094" s="130">
        <v>33.28</v>
      </c>
      <c r="F1094" s="130">
        <v>33.93</v>
      </c>
      <c r="G1094" s="160">
        <v>5865737</v>
      </c>
      <c r="H1094" s="160">
        <f t="shared" si="16"/>
        <v>199024456.41</v>
      </c>
      <c r="I1094" t="s">
        <v>8877</v>
      </c>
      <c r="J1094">
        <v>2024</v>
      </c>
      <c r="K1094">
        <v>11</v>
      </c>
      <c r="L1094" t="s">
        <v>5524</v>
      </c>
      <c r="M1094" t="s">
        <v>1552</v>
      </c>
      <c r="N1094" t="s">
        <v>8979</v>
      </c>
    </row>
    <row r="1095" spans="1:14" x14ac:dyDescent="0.3">
      <c r="A1095">
        <v>2025</v>
      </c>
      <c r="B1095" s="159">
        <v>45607</v>
      </c>
      <c r="C1095" s="130">
        <v>34.17</v>
      </c>
      <c r="D1095" s="130">
        <v>34.17</v>
      </c>
      <c r="E1095" s="130">
        <v>33.25</v>
      </c>
      <c r="F1095" s="130">
        <v>33.39</v>
      </c>
      <c r="G1095" s="160">
        <v>5944855</v>
      </c>
      <c r="H1095" s="160">
        <f t="shared" si="16"/>
        <v>198498708.45000002</v>
      </c>
      <c r="I1095" t="s">
        <v>8877</v>
      </c>
      <c r="J1095">
        <v>2024</v>
      </c>
      <c r="K1095">
        <v>11</v>
      </c>
      <c r="L1095" t="s">
        <v>5524</v>
      </c>
      <c r="M1095" t="s">
        <v>1552</v>
      </c>
      <c r="N1095" t="s">
        <v>8979</v>
      </c>
    </row>
    <row r="1096" spans="1:14" x14ac:dyDescent="0.3">
      <c r="A1096">
        <v>2025</v>
      </c>
      <c r="B1096" s="159">
        <v>45608</v>
      </c>
      <c r="C1096" s="130">
        <v>33.299999999999997</v>
      </c>
      <c r="D1096" s="130">
        <v>33.4</v>
      </c>
      <c r="E1096" s="130">
        <v>31.79</v>
      </c>
      <c r="F1096" s="130">
        <v>32.14</v>
      </c>
      <c r="G1096" s="160">
        <v>10432174</v>
      </c>
      <c r="H1096" s="160">
        <f t="shared" si="16"/>
        <v>335290072.36000001</v>
      </c>
      <c r="I1096" t="s">
        <v>8877</v>
      </c>
      <c r="J1096">
        <v>2024</v>
      </c>
      <c r="K1096">
        <v>11</v>
      </c>
      <c r="L1096" t="s">
        <v>5524</v>
      </c>
      <c r="M1096" t="s">
        <v>1552</v>
      </c>
      <c r="N1096" t="s">
        <v>8979</v>
      </c>
    </row>
    <row r="1097" spans="1:14" x14ac:dyDescent="0.3">
      <c r="A1097">
        <v>2025</v>
      </c>
      <c r="B1097" s="159">
        <v>45609</v>
      </c>
      <c r="C1097" s="130">
        <v>32.24</v>
      </c>
      <c r="D1097" s="130">
        <v>32.92</v>
      </c>
      <c r="E1097" s="130">
        <v>31.85</v>
      </c>
      <c r="F1097" s="130">
        <v>32.28</v>
      </c>
      <c r="G1097" s="160">
        <v>7421599</v>
      </c>
      <c r="H1097" s="160">
        <f t="shared" si="16"/>
        <v>239569215.72</v>
      </c>
      <c r="I1097" t="s">
        <v>8877</v>
      </c>
      <c r="J1097">
        <v>2024</v>
      </c>
      <c r="K1097">
        <v>11</v>
      </c>
      <c r="L1097" t="s">
        <v>5524</v>
      </c>
      <c r="M1097" t="s">
        <v>1552</v>
      </c>
      <c r="N1097" t="s">
        <v>8979</v>
      </c>
    </row>
    <row r="1098" spans="1:14" x14ac:dyDescent="0.3">
      <c r="A1098">
        <v>2025</v>
      </c>
      <c r="B1098" s="159">
        <v>45610</v>
      </c>
      <c r="C1098" s="130">
        <v>32.590000000000003</v>
      </c>
      <c r="D1098" s="130">
        <v>33.44</v>
      </c>
      <c r="E1098" s="130">
        <v>32.299999999999997</v>
      </c>
      <c r="F1098" s="130">
        <v>32.49</v>
      </c>
      <c r="G1098" s="160">
        <v>8823324</v>
      </c>
      <c r="H1098" s="160">
        <f t="shared" si="16"/>
        <v>286669796.75999999</v>
      </c>
      <c r="I1098" t="s">
        <v>8877</v>
      </c>
      <c r="J1098">
        <v>2024</v>
      </c>
      <c r="K1098">
        <v>11</v>
      </c>
      <c r="L1098" t="s">
        <v>5524</v>
      </c>
      <c r="M1098" t="s">
        <v>1552</v>
      </c>
      <c r="N1098" t="s">
        <v>8979</v>
      </c>
    </row>
    <row r="1099" spans="1:14" x14ac:dyDescent="0.3">
      <c r="A1099">
        <v>2025</v>
      </c>
      <c r="B1099" s="159">
        <v>45611</v>
      </c>
      <c r="C1099" s="130">
        <v>32.799999999999997</v>
      </c>
      <c r="D1099" s="130">
        <v>32.94</v>
      </c>
      <c r="E1099" s="130">
        <v>32.39</v>
      </c>
      <c r="F1099" s="130">
        <v>32.56</v>
      </c>
      <c r="G1099" s="160">
        <v>5607498</v>
      </c>
      <c r="H1099" s="160">
        <f t="shared" si="16"/>
        <v>182580134.88000003</v>
      </c>
      <c r="I1099" t="s">
        <v>8877</v>
      </c>
      <c r="J1099">
        <v>2024</v>
      </c>
      <c r="K1099">
        <v>11</v>
      </c>
      <c r="L1099" t="s">
        <v>5524</v>
      </c>
      <c r="M1099" t="s">
        <v>1552</v>
      </c>
      <c r="N1099" t="s">
        <v>8979</v>
      </c>
    </row>
    <row r="1100" spans="1:14" x14ac:dyDescent="0.3">
      <c r="A1100">
        <v>2025</v>
      </c>
      <c r="B1100" s="159">
        <v>45614</v>
      </c>
      <c r="C1100" s="130">
        <v>32.57</v>
      </c>
      <c r="D1100" s="130">
        <v>33.369999999999997</v>
      </c>
      <c r="E1100" s="130">
        <v>32.4</v>
      </c>
      <c r="F1100" s="130">
        <v>33.11</v>
      </c>
      <c r="G1100" s="160">
        <v>9074361</v>
      </c>
      <c r="H1100" s="160">
        <f t="shared" si="16"/>
        <v>300452092.70999998</v>
      </c>
      <c r="I1100" t="s">
        <v>8877</v>
      </c>
      <c r="J1100">
        <v>2024</v>
      </c>
      <c r="K1100">
        <v>11</v>
      </c>
      <c r="L1100" t="s">
        <v>5524</v>
      </c>
      <c r="M1100" t="s">
        <v>1552</v>
      </c>
      <c r="N1100" t="s">
        <v>8979</v>
      </c>
    </row>
    <row r="1101" spans="1:14" x14ac:dyDescent="0.3">
      <c r="A1101">
        <v>2025</v>
      </c>
      <c r="B1101" s="159">
        <v>45615</v>
      </c>
      <c r="C1101" s="130">
        <v>33.15</v>
      </c>
      <c r="D1101" s="130">
        <v>33.590000000000003</v>
      </c>
      <c r="E1101" s="130">
        <v>32.799999999999997</v>
      </c>
      <c r="F1101" s="130">
        <v>33</v>
      </c>
      <c r="G1101" s="160">
        <v>5261737</v>
      </c>
      <c r="H1101" s="160">
        <f t="shared" si="16"/>
        <v>173637321</v>
      </c>
      <c r="I1101" t="s">
        <v>8877</v>
      </c>
      <c r="J1101">
        <v>2024</v>
      </c>
      <c r="K1101">
        <v>11</v>
      </c>
      <c r="L1101" t="s">
        <v>5524</v>
      </c>
      <c r="M1101" t="s">
        <v>1552</v>
      </c>
      <c r="N1101" t="s">
        <v>8979</v>
      </c>
    </row>
    <row r="1102" spans="1:14" x14ac:dyDescent="0.3">
      <c r="A1102">
        <v>2025</v>
      </c>
      <c r="B1102" s="159">
        <v>45616</v>
      </c>
      <c r="C1102" s="130">
        <v>32.83</v>
      </c>
      <c r="D1102" s="130">
        <v>33.200000000000003</v>
      </c>
      <c r="E1102" s="130">
        <v>32.200000000000003</v>
      </c>
      <c r="F1102" s="130">
        <v>32.340000000000003</v>
      </c>
      <c r="G1102" s="160">
        <v>6363684</v>
      </c>
      <c r="H1102" s="160">
        <f t="shared" si="16"/>
        <v>205801540.56000003</v>
      </c>
      <c r="I1102" t="s">
        <v>8877</v>
      </c>
      <c r="J1102">
        <v>2024</v>
      </c>
      <c r="K1102">
        <v>11</v>
      </c>
      <c r="L1102" t="s">
        <v>5524</v>
      </c>
      <c r="M1102" t="s">
        <v>1552</v>
      </c>
      <c r="N1102" t="s">
        <v>8979</v>
      </c>
    </row>
    <row r="1103" spans="1:14" x14ac:dyDescent="0.3">
      <c r="A1103">
        <v>2025</v>
      </c>
      <c r="B1103" s="159">
        <v>45617</v>
      </c>
      <c r="C1103" s="130">
        <v>32.409999999999997</v>
      </c>
      <c r="D1103" s="130">
        <v>32.979999999999997</v>
      </c>
      <c r="E1103" s="130">
        <v>31.92</v>
      </c>
      <c r="F1103" s="130">
        <v>32.770000000000003</v>
      </c>
      <c r="G1103" s="160">
        <v>3565126</v>
      </c>
      <c r="H1103" s="160">
        <f t="shared" si="16"/>
        <v>116829179.02000001</v>
      </c>
      <c r="I1103" t="s">
        <v>8877</v>
      </c>
      <c r="J1103">
        <v>2024</v>
      </c>
      <c r="K1103">
        <v>11</v>
      </c>
      <c r="L1103" t="s">
        <v>5524</v>
      </c>
      <c r="M1103" t="s">
        <v>1552</v>
      </c>
      <c r="N1103" t="s">
        <v>8979</v>
      </c>
    </row>
    <row r="1104" spans="1:14" x14ac:dyDescent="0.3">
      <c r="A1104">
        <v>2025</v>
      </c>
      <c r="B1104" s="159">
        <v>45618</v>
      </c>
      <c r="C1104" s="130">
        <v>32.979999999999997</v>
      </c>
      <c r="D1104" s="130">
        <v>33.4</v>
      </c>
      <c r="E1104" s="130">
        <v>32.51</v>
      </c>
      <c r="F1104" s="130">
        <v>32.770000000000003</v>
      </c>
      <c r="G1104" s="160">
        <v>9451848</v>
      </c>
      <c r="H1104" s="160">
        <f t="shared" ref="H1104:H1167" si="17">F1104*G1104</f>
        <v>309737058.96000004</v>
      </c>
      <c r="I1104" t="s">
        <v>8877</v>
      </c>
      <c r="J1104">
        <v>2024</v>
      </c>
      <c r="K1104">
        <v>11</v>
      </c>
      <c r="L1104" t="s">
        <v>5524</v>
      </c>
      <c r="M1104" t="s">
        <v>1552</v>
      </c>
      <c r="N1104" t="s">
        <v>8979</v>
      </c>
    </row>
    <row r="1105" spans="1:14" x14ac:dyDescent="0.3">
      <c r="A1105">
        <v>2025</v>
      </c>
      <c r="B1105" s="159">
        <v>45621</v>
      </c>
      <c r="C1105" s="130">
        <v>32.799999999999997</v>
      </c>
      <c r="D1105" s="130">
        <v>33.369999999999997</v>
      </c>
      <c r="E1105" s="130">
        <v>32.299999999999997</v>
      </c>
      <c r="F1105" s="130">
        <v>33.1</v>
      </c>
      <c r="G1105" s="160">
        <v>5176449</v>
      </c>
      <c r="H1105" s="160">
        <f t="shared" si="17"/>
        <v>171340461.90000001</v>
      </c>
      <c r="I1105" t="s">
        <v>8877</v>
      </c>
      <c r="J1105">
        <v>2024</v>
      </c>
      <c r="K1105">
        <v>11</v>
      </c>
      <c r="L1105" t="s">
        <v>5524</v>
      </c>
      <c r="M1105" t="s">
        <v>1552</v>
      </c>
      <c r="N1105" t="s">
        <v>8979</v>
      </c>
    </row>
    <row r="1106" spans="1:14" x14ac:dyDescent="0.3">
      <c r="A1106">
        <v>2025</v>
      </c>
      <c r="B1106" s="159">
        <v>45622</v>
      </c>
      <c r="C1106" s="130">
        <v>33.200000000000003</v>
      </c>
      <c r="D1106" s="130">
        <v>33.200000000000003</v>
      </c>
      <c r="E1106" s="130">
        <v>30.12</v>
      </c>
      <c r="F1106" s="130">
        <v>30.58</v>
      </c>
      <c r="G1106" s="160">
        <v>9143779</v>
      </c>
      <c r="H1106" s="160">
        <f t="shared" si="17"/>
        <v>279616761.81999999</v>
      </c>
      <c r="I1106" t="s">
        <v>8877</v>
      </c>
      <c r="J1106">
        <v>2024</v>
      </c>
      <c r="K1106">
        <v>11</v>
      </c>
      <c r="L1106" t="s">
        <v>5524</v>
      </c>
      <c r="M1106" t="s">
        <v>1552</v>
      </c>
      <c r="N1106" t="s">
        <v>8979</v>
      </c>
    </row>
    <row r="1107" spans="1:14" x14ac:dyDescent="0.3">
      <c r="A1107">
        <v>2025</v>
      </c>
      <c r="B1107" s="159">
        <v>45623</v>
      </c>
      <c r="C1107" s="130">
        <v>31.98</v>
      </c>
      <c r="D1107" s="130">
        <v>33.64</v>
      </c>
      <c r="E1107" s="130">
        <v>31.75</v>
      </c>
      <c r="F1107" s="130">
        <v>33.42</v>
      </c>
      <c r="G1107" s="160">
        <v>11368314</v>
      </c>
      <c r="H1107" s="160">
        <f t="shared" si="17"/>
        <v>379929053.88</v>
      </c>
      <c r="I1107" t="s">
        <v>8877</v>
      </c>
      <c r="J1107">
        <v>2024</v>
      </c>
      <c r="K1107">
        <v>11</v>
      </c>
      <c r="L1107" t="s">
        <v>5524</v>
      </c>
      <c r="M1107" t="s">
        <v>1552</v>
      </c>
      <c r="N1107" t="s">
        <v>8979</v>
      </c>
    </row>
    <row r="1108" spans="1:14" x14ac:dyDescent="0.3">
      <c r="A1108">
        <v>2025</v>
      </c>
      <c r="B1108" s="159">
        <v>45624</v>
      </c>
      <c r="C1108" s="130">
        <v>33.93</v>
      </c>
      <c r="D1108" s="130">
        <v>35.4</v>
      </c>
      <c r="E1108" s="130">
        <v>33.82</v>
      </c>
      <c r="F1108" s="130">
        <v>34.9</v>
      </c>
      <c r="G1108" s="160">
        <v>26132552</v>
      </c>
      <c r="H1108" s="160">
        <f t="shared" si="17"/>
        <v>912026064.79999995</v>
      </c>
      <c r="I1108" t="s">
        <v>8877</v>
      </c>
      <c r="J1108">
        <v>2024</v>
      </c>
      <c r="K1108">
        <v>11</v>
      </c>
      <c r="L1108" t="s">
        <v>5524</v>
      </c>
      <c r="M1108" t="s">
        <v>1552</v>
      </c>
      <c r="N1108" t="s">
        <v>8979</v>
      </c>
    </row>
    <row r="1109" spans="1:14" x14ac:dyDescent="0.3">
      <c r="A1109">
        <v>2025</v>
      </c>
      <c r="B1109" s="159">
        <v>45625</v>
      </c>
      <c r="C1109" s="130">
        <v>35.15</v>
      </c>
      <c r="D1109" s="130">
        <v>35.479999999999997</v>
      </c>
      <c r="E1109" s="130">
        <v>34.5</v>
      </c>
      <c r="F1109" s="130">
        <v>35.15</v>
      </c>
      <c r="G1109" s="160">
        <v>7585077</v>
      </c>
      <c r="H1109" s="160">
        <f t="shared" si="17"/>
        <v>266615456.54999998</v>
      </c>
      <c r="I1109" t="s">
        <v>8877</v>
      </c>
      <c r="J1109">
        <v>2024</v>
      </c>
      <c r="K1109">
        <v>11</v>
      </c>
      <c r="L1109" t="s">
        <v>5524</v>
      </c>
      <c r="M1109" t="s">
        <v>1552</v>
      </c>
      <c r="N1109" t="s">
        <v>8979</v>
      </c>
    </row>
    <row r="1110" spans="1:14" x14ac:dyDescent="0.3">
      <c r="A1110">
        <v>2025</v>
      </c>
      <c r="B1110" s="159">
        <v>45628</v>
      </c>
      <c r="C1110" s="130">
        <v>35.299999999999997</v>
      </c>
      <c r="D1110" s="130">
        <v>38.67</v>
      </c>
      <c r="E1110" s="130">
        <v>35.159999999999997</v>
      </c>
      <c r="F1110" s="130">
        <v>38.54</v>
      </c>
      <c r="G1110" s="160">
        <v>31910059</v>
      </c>
      <c r="H1110" s="160">
        <f t="shared" si="17"/>
        <v>1229813673.8599999</v>
      </c>
      <c r="I1110" t="s">
        <v>8878</v>
      </c>
      <c r="J1110">
        <v>2024</v>
      </c>
      <c r="K1110">
        <v>12</v>
      </c>
      <c r="L1110" t="s">
        <v>5547</v>
      </c>
      <c r="M1110" t="s">
        <v>1552</v>
      </c>
      <c r="N1110" t="s">
        <v>8980</v>
      </c>
    </row>
    <row r="1111" spans="1:14" x14ac:dyDescent="0.3">
      <c r="A1111">
        <v>2025</v>
      </c>
      <c r="B1111" s="159">
        <v>45629</v>
      </c>
      <c r="C1111" s="130">
        <v>39</v>
      </c>
      <c r="D1111" s="130">
        <v>39.5</v>
      </c>
      <c r="E1111" s="130">
        <v>37.700000000000003</v>
      </c>
      <c r="F1111" s="130">
        <v>38.380000000000003</v>
      </c>
      <c r="G1111" s="160">
        <v>22761941</v>
      </c>
      <c r="H1111" s="160">
        <f t="shared" si="17"/>
        <v>873603295.58000004</v>
      </c>
      <c r="I1111" t="s">
        <v>8878</v>
      </c>
      <c r="J1111">
        <v>2024</v>
      </c>
      <c r="K1111">
        <v>12</v>
      </c>
      <c r="L1111" t="s">
        <v>5547</v>
      </c>
      <c r="M1111" t="s">
        <v>1552</v>
      </c>
      <c r="N1111" t="s">
        <v>8980</v>
      </c>
    </row>
    <row r="1112" spans="1:14" x14ac:dyDescent="0.3">
      <c r="A1112">
        <v>2025</v>
      </c>
      <c r="B1112" s="159">
        <v>45630</v>
      </c>
      <c r="C1112" s="130">
        <v>38.909999999999997</v>
      </c>
      <c r="D1112" s="130">
        <v>38.92</v>
      </c>
      <c r="E1112" s="130">
        <v>37.72</v>
      </c>
      <c r="F1112" s="130">
        <v>37.92</v>
      </c>
      <c r="G1112" s="160">
        <v>9292648</v>
      </c>
      <c r="H1112" s="160">
        <f t="shared" si="17"/>
        <v>352377212.16000003</v>
      </c>
      <c r="I1112" t="s">
        <v>8878</v>
      </c>
      <c r="J1112">
        <v>2024</v>
      </c>
      <c r="K1112">
        <v>12</v>
      </c>
      <c r="L1112" t="s">
        <v>5547</v>
      </c>
      <c r="M1112" t="s">
        <v>1552</v>
      </c>
      <c r="N1112" t="s">
        <v>8980</v>
      </c>
    </row>
    <row r="1113" spans="1:14" x14ac:dyDescent="0.3">
      <c r="A1113">
        <v>2025</v>
      </c>
      <c r="B1113" s="159">
        <v>45631</v>
      </c>
      <c r="C1113" s="130">
        <v>37.6</v>
      </c>
      <c r="D1113" s="130">
        <v>39.49</v>
      </c>
      <c r="E1113" s="130">
        <v>37.6</v>
      </c>
      <c r="F1113" s="130">
        <v>39.31</v>
      </c>
      <c r="G1113" s="160">
        <v>17562657</v>
      </c>
      <c r="H1113" s="160">
        <f t="shared" si="17"/>
        <v>690388046.67000008</v>
      </c>
      <c r="I1113" t="s">
        <v>8878</v>
      </c>
      <c r="J1113">
        <v>2024</v>
      </c>
      <c r="K1113">
        <v>12</v>
      </c>
      <c r="L1113" t="s">
        <v>5547</v>
      </c>
      <c r="M1113" t="s">
        <v>1552</v>
      </c>
      <c r="N1113" t="s">
        <v>8980</v>
      </c>
    </row>
    <row r="1114" spans="1:14" x14ac:dyDescent="0.3">
      <c r="A1114">
        <v>2025</v>
      </c>
      <c r="B1114" s="159">
        <v>45632</v>
      </c>
      <c r="C1114" s="130">
        <v>39.49</v>
      </c>
      <c r="D1114" s="130">
        <v>39.700000000000003</v>
      </c>
      <c r="E1114" s="130">
        <v>37.799999999999997</v>
      </c>
      <c r="F1114" s="130">
        <v>38.07</v>
      </c>
      <c r="G1114" s="160">
        <v>9434859</v>
      </c>
      <c r="H1114" s="160">
        <f t="shared" si="17"/>
        <v>359185082.13</v>
      </c>
      <c r="I1114" t="s">
        <v>8878</v>
      </c>
      <c r="J1114">
        <v>2024</v>
      </c>
      <c r="K1114">
        <v>12</v>
      </c>
      <c r="L1114" t="s">
        <v>5547</v>
      </c>
      <c r="M1114" t="s">
        <v>1552</v>
      </c>
      <c r="N1114" t="s">
        <v>8980</v>
      </c>
    </row>
    <row r="1115" spans="1:14" x14ac:dyDescent="0.3">
      <c r="A1115">
        <v>2025</v>
      </c>
      <c r="B1115" s="159">
        <v>45635</v>
      </c>
      <c r="C1115" s="130">
        <v>38.1</v>
      </c>
      <c r="D1115" s="130">
        <v>40.020000000000003</v>
      </c>
      <c r="E1115" s="130">
        <v>37.51</v>
      </c>
      <c r="F1115" s="130">
        <v>39.6</v>
      </c>
      <c r="G1115" s="160">
        <v>17445156</v>
      </c>
      <c r="H1115" s="160">
        <f t="shared" si="17"/>
        <v>690828177.60000002</v>
      </c>
      <c r="I1115" t="s">
        <v>8878</v>
      </c>
      <c r="J1115">
        <v>2024</v>
      </c>
      <c r="K1115">
        <v>12</v>
      </c>
      <c r="L1115" t="s">
        <v>5547</v>
      </c>
      <c r="M1115" t="s">
        <v>1552</v>
      </c>
      <c r="N1115" t="s">
        <v>8980</v>
      </c>
    </row>
    <row r="1116" spans="1:14" x14ac:dyDescent="0.3">
      <c r="A1116">
        <v>2025</v>
      </c>
      <c r="B1116" s="159">
        <v>45636</v>
      </c>
      <c r="C1116" s="130">
        <v>39.5</v>
      </c>
      <c r="D1116" s="130">
        <v>40.729999999999997</v>
      </c>
      <c r="E1116" s="130">
        <v>38.25</v>
      </c>
      <c r="F1116" s="130">
        <v>39.03</v>
      </c>
      <c r="G1116" s="160">
        <v>20938494</v>
      </c>
      <c r="H1116" s="160">
        <f t="shared" si="17"/>
        <v>817229420.82000005</v>
      </c>
      <c r="I1116" t="s">
        <v>8878</v>
      </c>
      <c r="J1116">
        <v>2024</v>
      </c>
      <c r="K1116">
        <v>12</v>
      </c>
      <c r="L1116" t="s">
        <v>5547</v>
      </c>
      <c r="M1116" t="s">
        <v>1552</v>
      </c>
      <c r="N1116" t="s">
        <v>8980</v>
      </c>
    </row>
    <row r="1117" spans="1:14" x14ac:dyDescent="0.3">
      <c r="A1117">
        <v>2025</v>
      </c>
      <c r="B1117" s="159">
        <v>45637</v>
      </c>
      <c r="C1117" s="130">
        <v>39.200000000000003</v>
      </c>
      <c r="D1117" s="130">
        <v>39.880000000000003</v>
      </c>
      <c r="E1117" s="130">
        <v>38.78</v>
      </c>
      <c r="F1117" s="130">
        <v>39</v>
      </c>
      <c r="G1117" s="160">
        <v>7262545</v>
      </c>
      <c r="H1117" s="160">
        <f t="shared" si="17"/>
        <v>283239255</v>
      </c>
      <c r="I1117" t="s">
        <v>8878</v>
      </c>
      <c r="J1117">
        <v>2024</v>
      </c>
      <c r="K1117">
        <v>12</v>
      </c>
      <c r="L1117" t="s">
        <v>5547</v>
      </c>
      <c r="M1117" t="s">
        <v>1552</v>
      </c>
      <c r="N1117" t="s">
        <v>8980</v>
      </c>
    </row>
    <row r="1118" spans="1:14" x14ac:dyDescent="0.3">
      <c r="A1118">
        <v>2025</v>
      </c>
      <c r="B1118" s="159">
        <v>45638</v>
      </c>
      <c r="C1118" s="130">
        <v>39.21</v>
      </c>
      <c r="D1118" s="130">
        <v>39.44</v>
      </c>
      <c r="E1118" s="130">
        <v>37.26</v>
      </c>
      <c r="F1118" s="130">
        <v>38.590000000000003</v>
      </c>
      <c r="G1118" s="160">
        <v>23461133</v>
      </c>
      <c r="H1118" s="160">
        <f t="shared" si="17"/>
        <v>905365122.47000003</v>
      </c>
      <c r="I1118" t="s">
        <v>8878</v>
      </c>
      <c r="J1118">
        <v>2024</v>
      </c>
      <c r="K1118">
        <v>12</v>
      </c>
      <c r="L1118" t="s">
        <v>5547</v>
      </c>
      <c r="M1118" t="s">
        <v>1552</v>
      </c>
      <c r="N1118" t="s">
        <v>8980</v>
      </c>
    </row>
    <row r="1119" spans="1:14" x14ac:dyDescent="0.3">
      <c r="A1119">
        <v>2025</v>
      </c>
      <c r="B1119" s="159">
        <v>45639</v>
      </c>
      <c r="C1119" s="130">
        <v>38.549999999999997</v>
      </c>
      <c r="D1119" s="130">
        <v>38.85</v>
      </c>
      <c r="E1119" s="130">
        <v>37.5</v>
      </c>
      <c r="F1119" s="130">
        <v>37.72</v>
      </c>
      <c r="G1119" s="160">
        <v>10159846</v>
      </c>
      <c r="H1119" s="160">
        <f t="shared" si="17"/>
        <v>383229391.12</v>
      </c>
      <c r="I1119" t="s">
        <v>8878</v>
      </c>
      <c r="J1119">
        <v>2024</v>
      </c>
      <c r="K1119">
        <v>12</v>
      </c>
      <c r="L1119" t="s">
        <v>5547</v>
      </c>
      <c r="M1119" t="s">
        <v>1552</v>
      </c>
      <c r="N1119" t="s">
        <v>8980</v>
      </c>
    </row>
    <row r="1120" spans="1:14" x14ac:dyDescent="0.3">
      <c r="A1120">
        <v>2025</v>
      </c>
      <c r="B1120" s="159">
        <v>45642</v>
      </c>
      <c r="C1120" s="130">
        <v>38.25</v>
      </c>
      <c r="D1120" s="130">
        <v>39.200000000000003</v>
      </c>
      <c r="E1120" s="130">
        <v>37.549999999999997</v>
      </c>
      <c r="F1120" s="130">
        <v>38.159999999999997</v>
      </c>
      <c r="G1120" s="160">
        <v>20184050</v>
      </c>
      <c r="H1120" s="160">
        <f t="shared" si="17"/>
        <v>770223347.99999988</v>
      </c>
      <c r="I1120" t="s">
        <v>8878</v>
      </c>
      <c r="J1120">
        <v>2024</v>
      </c>
      <c r="K1120">
        <v>12</v>
      </c>
      <c r="L1120" t="s">
        <v>5547</v>
      </c>
      <c r="M1120" t="s">
        <v>1552</v>
      </c>
      <c r="N1120" t="s">
        <v>8980</v>
      </c>
    </row>
    <row r="1121" spans="1:14" x14ac:dyDescent="0.3">
      <c r="A1121">
        <v>2025</v>
      </c>
      <c r="B1121" s="159">
        <v>45643</v>
      </c>
      <c r="C1121" s="130">
        <v>38.5</v>
      </c>
      <c r="D1121" s="130">
        <v>38.5</v>
      </c>
      <c r="E1121" s="130">
        <v>36</v>
      </c>
      <c r="F1121" s="130">
        <v>36.35</v>
      </c>
      <c r="G1121" s="160">
        <v>11437746</v>
      </c>
      <c r="H1121" s="160">
        <f t="shared" si="17"/>
        <v>415762067.10000002</v>
      </c>
      <c r="I1121" t="s">
        <v>8878</v>
      </c>
      <c r="J1121">
        <v>2024</v>
      </c>
      <c r="K1121">
        <v>12</v>
      </c>
      <c r="L1121" t="s">
        <v>5547</v>
      </c>
      <c r="M1121" t="s">
        <v>1552</v>
      </c>
      <c r="N1121" t="s">
        <v>8980</v>
      </c>
    </row>
    <row r="1122" spans="1:14" x14ac:dyDescent="0.3">
      <c r="A1122">
        <v>2025</v>
      </c>
      <c r="B1122" s="159">
        <v>45644</v>
      </c>
      <c r="C1122" s="130">
        <v>36.5</v>
      </c>
      <c r="D1122" s="130">
        <v>37.299999999999997</v>
      </c>
      <c r="E1122" s="130">
        <v>34.6</v>
      </c>
      <c r="F1122" s="130">
        <v>34.96</v>
      </c>
      <c r="G1122" s="160">
        <v>12956402</v>
      </c>
      <c r="H1122" s="160">
        <f t="shared" si="17"/>
        <v>452955813.92000002</v>
      </c>
      <c r="I1122" t="s">
        <v>8878</v>
      </c>
      <c r="J1122">
        <v>2024</v>
      </c>
      <c r="K1122">
        <v>12</v>
      </c>
      <c r="L1122" t="s">
        <v>5547</v>
      </c>
      <c r="M1122" t="s">
        <v>1552</v>
      </c>
      <c r="N1122" t="s">
        <v>8980</v>
      </c>
    </row>
    <row r="1123" spans="1:14" x14ac:dyDescent="0.3">
      <c r="A1123">
        <v>2025</v>
      </c>
      <c r="B1123" s="159">
        <v>45645</v>
      </c>
      <c r="C1123" s="130">
        <v>34.979999999999997</v>
      </c>
      <c r="D1123" s="130">
        <v>35.9</v>
      </c>
      <c r="E1123" s="130">
        <v>33.479999999999997</v>
      </c>
      <c r="F1123" s="130">
        <v>33.97</v>
      </c>
      <c r="G1123" s="160">
        <v>14557490</v>
      </c>
      <c r="H1123" s="160">
        <f t="shared" si="17"/>
        <v>494517935.30000001</v>
      </c>
      <c r="I1123" t="s">
        <v>8878</v>
      </c>
      <c r="J1123">
        <v>2024</v>
      </c>
      <c r="K1123">
        <v>12</v>
      </c>
      <c r="L1123" t="s">
        <v>5547</v>
      </c>
      <c r="M1123" t="s">
        <v>1552</v>
      </c>
      <c r="N1123" t="s">
        <v>8980</v>
      </c>
    </row>
    <row r="1124" spans="1:14" x14ac:dyDescent="0.3">
      <c r="A1124">
        <v>2025</v>
      </c>
      <c r="B1124" s="159">
        <v>45646</v>
      </c>
      <c r="C1124" s="130">
        <v>34</v>
      </c>
      <c r="D1124" s="130">
        <v>36</v>
      </c>
      <c r="E1124" s="130">
        <v>33.450000000000003</v>
      </c>
      <c r="F1124" s="130">
        <v>35.25</v>
      </c>
      <c r="G1124" s="160">
        <v>14129184</v>
      </c>
      <c r="H1124" s="160">
        <f t="shared" si="17"/>
        <v>498053736</v>
      </c>
      <c r="I1124" t="s">
        <v>8878</v>
      </c>
      <c r="J1124">
        <v>2024</v>
      </c>
      <c r="K1124">
        <v>12</v>
      </c>
      <c r="L1124" t="s">
        <v>5547</v>
      </c>
      <c r="M1124" t="s">
        <v>1552</v>
      </c>
      <c r="N1124" t="s">
        <v>8980</v>
      </c>
    </row>
    <row r="1125" spans="1:14" x14ac:dyDescent="0.3">
      <c r="A1125">
        <v>2025</v>
      </c>
      <c r="B1125" s="159">
        <v>45649</v>
      </c>
      <c r="C1125" s="130">
        <v>35.25</v>
      </c>
      <c r="D1125" s="130">
        <v>37.5</v>
      </c>
      <c r="E1125" s="130">
        <v>34.5</v>
      </c>
      <c r="F1125" s="130">
        <v>36.700000000000003</v>
      </c>
      <c r="G1125" s="160">
        <v>24838416</v>
      </c>
      <c r="H1125" s="160">
        <f t="shared" si="17"/>
        <v>911569867.20000005</v>
      </c>
      <c r="I1125" t="s">
        <v>8878</v>
      </c>
      <c r="J1125">
        <v>2024</v>
      </c>
      <c r="K1125">
        <v>12</v>
      </c>
      <c r="L1125" t="s">
        <v>5547</v>
      </c>
      <c r="M1125" t="s">
        <v>1552</v>
      </c>
      <c r="N1125" t="s">
        <v>8980</v>
      </c>
    </row>
    <row r="1126" spans="1:14" x14ac:dyDescent="0.3">
      <c r="A1126">
        <v>2025</v>
      </c>
      <c r="B1126" s="159">
        <v>45650</v>
      </c>
      <c r="C1126" s="130">
        <v>36.89</v>
      </c>
      <c r="D1126" s="130">
        <v>38.299999999999997</v>
      </c>
      <c r="E1126" s="130">
        <v>36.08</v>
      </c>
      <c r="F1126" s="130">
        <v>36.4</v>
      </c>
      <c r="G1126" s="160">
        <v>16315345</v>
      </c>
      <c r="H1126" s="160">
        <f t="shared" si="17"/>
        <v>593878558</v>
      </c>
      <c r="I1126" t="s">
        <v>8878</v>
      </c>
      <c r="J1126">
        <v>2024</v>
      </c>
      <c r="K1126">
        <v>12</v>
      </c>
      <c r="L1126" t="s">
        <v>5547</v>
      </c>
      <c r="M1126" t="s">
        <v>1552</v>
      </c>
      <c r="N1126" t="s">
        <v>8980</v>
      </c>
    </row>
    <row r="1127" spans="1:14" x14ac:dyDescent="0.3">
      <c r="A1127">
        <v>2025</v>
      </c>
      <c r="B1127" s="159">
        <v>45652</v>
      </c>
      <c r="C1127" s="130">
        <v>36.11</v>
      </c>
      <c r="D1127" s="130">
        <v>36.299999999999997</v>
      </c>
      <c r="E1127" s="130">
        <v>34.75</v>
      </c>
      <c r="F1127" s="130">
        <v>35.19</v>
      </c>
      <c r="G1127" s="160">
        <v>16189868</v>
      </c>
      <c r="H1127" s="160">
        <f t="shared" si="17"/>
        <v>569721454.91999996</v>
      </c>
      <c r="I1127" t="s">
        <v>8878</v>
      </c>
      <c r="J1127">
        <v>2024</v>
      </c>
      <c r="K1127">
        <v>12</v>
      </c>
      <c r="L1127" t="s">
        <v>5547</v>
      </c>
      <c r="M1127" t="s">
        <v>1552</v>
      </c>
      <c r="N1127" t="s">
        <v>8980</v>
      </c>
    </row>
    <row r="1128" spans="1:14" x14ac:dyDescent="0.3">
      <c r="A1128">
        <v>2025</v>
      </c>
      <c r="B1128" s="159">
        <v>45653</v>
      </c>
      <c r="C1128" s="130">
        <v>35.22</v>
      </c>
      <c r="D1128" s="130">
        <v>36.5</v>
      </c>
      <c r="E1128" s="130">
        <v>34.770000000000003</v>
      </c>
      <c r="F1128" s="130">
        <v>36.340000000000003</v>
      </c>
      <c r="G1128" s="160">
        <v>11842530</v>
      </c>
      <c r="H1128" s="160">
        <f t="shared" si="17"/>
        <v>430357540.20000005</v>
      </c>
      <c r="I1128" t="s">
        <v>8878</v>
      </c>
      <c r="J1128">
        <v>2024</v>
      </c>
      <c r="K1128">
        <v>12</v>
      </c>
      <c r="L1128" t="s">
        <v>5547</v>
      </c>
      <c r="M1128" t="s">
        <v>1552</v>
      </c>
      <c r="N1128" t="s">
        <v>8980</v>
      </c>
    </row>
    <row r="1129" spans="1:14" x14ac:dyDescent="0.3">
      <c r="A1129">
        <v>2025</v>
      </c>
      <c r="B1129" s="159">
        <v>45656</v>
      </c>
      <c r="C1129" s="130">
        <v>36.630000000000003</v>
      </c>
      <c r="D1129" s="130">
        <v>37.83</v>
      </c>
      <c r="E1129" s="130">
        <v>36.630000000000003</v>
      </c>
      <c r="F1129" s="130">
        <v>37.520000000000003</v>
      </c>
      <c r="G1129" s="160">
        <v>15473765</v>
      </c>
      <c r="H1129" s="160">
        <f t="shared" si="17"/>
        <v>580575662.80000007</v>
      </c>
      <c r="I1129" t="s">
        <v>8878</v>
      </c>
      <c r="J1129">
        <v>2024</v>
      </c>
      <c r="K1129">
        <v>12</v>
      </c>
      <c r="L1129" t="s">
        <v>5547</v>
      </c>
      <c r="M1129" t="s">
        <v>1552</v>
      </c>
      <c r="N1129" t="s">
        <v>8980</v>
      </c>
    </row>
    <row r="1130" spans="1:14" x14ac:dyDescent="0.3">
      <c r="A1130">
        <v>2025</v>
      </c>
      <c r="B1130" s="159">
        <v>45657</v>
      </c>
      <c r="C1130" s="130">
        <v>37.520000000000003</v>
      </c>
      <c r="D1130" s="130">
        <v>37.79</v>
      </c>
      <c r="E1130" s="130">
        <v>36.35</v>
      </c>
      <c r="F1130" s="130">
        <v>36.58</v>
      </c>
      <c r="G1130" s="160">
        <v>8059089</v>
      </c>
      <c r="H1130" s="160">
        <f t="shared" si="17"/>
        <v>294801475.62</v>
      </c>
      <c r="I1130" t="s">
        <v>8878</v>
      </c>
      <c r="J1130">
        <v>2024</v>
      </c>
      <c r="K1130">
        <v>12</v>
      </c>
      <c r="L1130" t="s">
        <v>5547</v>
      </c>
      <c r="M1130" t="s">
        <v>1552</v>
      </c>
      <c r="N1130" t="s">
        <v>8980</v>
      </c>
    </row>
    <row r="1131" spans="1:14" x14ac:dyDescent="0.3">
      <c r="A1131">
        <v>2025</v>
      </c>
      <c r="B1131" s="159">
        <v>45658</v>
      </c>
      <c r="C1131" s="130">
        <v>36.4</v>
      </c>
      <c r="D1131" s="130">
        <v>38.340000000000003</v>
      </c>
      <c r="E1131" s="130">
        <v>36.04</v>
      </c>
      <c r="F1131" s="130">
        <v>38.06</v>
      </c>
      <c r="G1131" s="160">
        <v>22877376</v>
      </c>
      <c r="H1131" s="160">
        <f t="shared" si="17"/>
        <v>870712930.56000006</v>
      </c>
      <c r="I1131" t="s">
        <v>8879</v>
      </c>
      <c r="J1131">
        <v>2025</v>
      </c>
      <c r="K1131">
        <v>1</v>
      </c>
      <c r="L1131" t="s">
        <v>5570</v>
      </c>
      <c r="M1131" t="s">
        <v>1552</v>
      </c>
      <c r="N1131" t="s">
        <v>8981</v>
      </c>
    </row>
    <row r="1132" spans="1:14" x14ac:dyDescent="0.3">
      <c r="A1132">
        <v>2025</v>
      </c>
      <c r="B1132" s="159">
        <v>45659</v>
      </c>
      <c r="C1132" s="130">
        <v>38.159999999999997</v>
      </c>
      <c r="D1132" s="130">
        <v>38.200000000000003</v>
      </c>
      <c r="E1132" s="130">
        <v>36.9</v>
      </c>
      <c r="F1132" s="130">
        <v>37.07</v>
      </c>
      <c r="G1132" s="160">
        <v>10793762</v>
      </c>
      <c r="H1132" s="160">
        <f t="shared" si="17"/>
        <v>400124757.33999997</v>
      </c>
      <c r="I1132" t="s">
        <v>8879</v>
      </c>
      <c r="J1132">
        <v>2025</v>
      </c>
      <c r="K1132">
        <v>1</v>
      </c>
      <c r="L1132" t="s">
        <v>5570</v>
      </c>
      <c r="M1132" t="s">
        <v>1552</v>
      </c>
      <c r="N1132" t="s">
        <v>8981</v>
      </c>
    </row>
    <row r="1133" spans="1:14" x14ac:dyDescent="0.3">
      <c r="A1133">
        <v>2025</v>
      </c>
      <c r="B1133" s="159">
        <v>45660</v>
      </c>
      <c r="C1133" s="130">
        <v>37.07</v>
      </c>
      <c r="D1133" s="130">
        <v>37.07</v>
      </c>
      <c r="E1133" s="130">
        <v>33.6</v>
      </c>
      <c r="F1133" s="130">
        <v>34.83</v>
      </c>
      <c r="G1133" s="160">
        <v>54376196</v>
      </c>
      <c r="H1133" s="160">
        <f t="shared" si="17"/>
        <v>1893922906.6799998</v>
      </c>
      <c r="I1133" t="s">
        <v>8879</v>
      </c>
      <c r="J1133">
        <v>2025</v>
      </c>
      <c r="K1133">
        <v>1</v>
      </c>
      <c r="L1133" t="s">
        <v>5570</v>
      </c>
      <c r="M1133" t="s">
        <v>1552</v>
      </c>
      <c r="N1133" t="s">
        <v>8981</v>
      </c>
    </row>
    <row r="1134" spans="1:14" x14ac:dyDescent="0.3">
      <c r="A1134">
        <v>2025</v>
      </c>
      <c r="B1134" s="159">
        <v>45663</v>
      </c>
      <c r="C1134" s="130">
        <v>35.49</v>
      </c>
      <c r="D1134" s="130">
        <v>35.49</v>
      </c>
      <c r="E1134" s="130">
        <v>33.4</v>
      </c>
      <c r="F1134" s="130">
        <v>33.57</v>
      </c>
      <c r="G1134" s="160">
        <v>18931152</v>
      </c>
      <c r="H1134" s="160">
        <f t="shared" si="17"/>
        <v>635518772.63999999</v>
      </c>
      <c r="I1134" t="s">
        <v>8879</v>
      </c>
      <c r="J1134">
        <v>2025</v>
      </c>
      <c r="K1134">
        <v>1</v>
      </c>
      <c r="L1134" t="s">
        <v>5570</v>
      </c>
      <c r="M1134" t="s">
        <v>1552</v>
      </c>
      <c r="N1134" t="s">
        <v>8981</v>
      </c>
    </row>
    <row r="1135" spans="1:14" x14ac:dyDescent="0.3">
      <c r="A1135">
        <v>2025</v>
      </c>
      <c r="B1135" s="159">
        <v>45664</v>
      </c>
      <c r="C1135" s="130">
        <v>33.799999999999997</v>
      </c>
      <c r="D1135" s="130">
        <v>34.85</v>
      </c>
      <c r="E1135" s="130">
        <v>33.200000000000003</v>
      </c>
      <c r="F1135" s="130">
        <v>34.39</v>
      </c>
      <c r="G1135" s="160">
        <v>16236008</v>
      </c>
      <c r="H1135" s="160">
        <f t="shared" si="17"/>
        <v>558356315.12</v>
      </c>
      <c r="I1135" t="s">
        <v>8879</v>
      </c>
      <c r="J1135">
        <v>2025</v>
      </c>
      <c r="K1135">
        <v>1</v>
      </c>
      <c r="L1135" t="s">
        <v>5570</v>
      </c>
      <c r="M1135" t="s">
        <v>1552</v>
      </c>
      <c r="N1135" t="s">
        <v>8981</v>
      </c>
    </row>
    <row r="1136" spans="1:14" x14ac:dyDescent="0.3">
      <c r="A1136">
        <v>2025</v>
      </c>
      <c r="B1136" s="159">
        <v>45665</v>
      </c>
      <c r="C1136" s="130">
        <v>34.65</v>
      </c>
      <c r="D1136" s="130">
        <v>34.9</v>
      </c>
      <c r="E1136" s="130">
        <v>33.01</v>
      </c>
      <c r="F1136" s="130">
        <v>33.47</v>
      </c>
      <c r="G1136" s="160">
        <v>8102971</v>
      </c>
      <c r="H1136" s="160">
        <f t="shared" si="17"/>
        <v>271206439.37</v>
      </c>
      <c r="I1136" t="s">
        <v>8879</v>
      </c>
      <c r="J1136">
        <v>2025</v>
      </c>
      <c r="K1136">
        <v>1</v>
      </c>
      <c r="L1136" t="s">
        <v>5570</v>
      </c>
      <c r="M1136" t="s">
        <v>1552</v>
      </c>
      <c r="N1136" t="s">
        <v>8981</v>
      </c>
    </row>
    <row r="1137" spans="1:14" x14ac:dyDescent="0.3">
      <c r="A1137">
        <v>2025</v>
      </c>
      <c r="B1137" s="159">
        <v>45666</v>
      </c>
      <c r="C1137" s="130">
        <v>33.47</v>
      </c>
      <c r="D1137" s="130">
        <v>33.799999999999997</v>
      </c>
      <c r="E1137" s="130">
        <v>32.93</v>
      </c>
      <c r="F1137" s="130">
        <v>33.020000000000003</v>
      </c>
      <c r="G1137" s="160">
        <v>5258627</v>
      </c>
      <c r="H1137" s="160">
        <f t="shared" si="17"/>
        <v>173639863.54000002</v>
      </c>
      <c r="I1137" t="s">
        <v>8879</v>
      </c>
      <c r="J1137">
        <v>2025</v>
      </c>
      <c r="K1137">
        <v>1</v>
      </c>
      <c r="L1137" t="s">
        <v>5570</v>
      </c>
      <c r="M1137" t="s">
        <v>1552</v>
      </c>
      <c r="N1137" t="s">
        <v>8981</v>
      </c>
    </row>
    <row r="1138" spans="1:14" x14ac:dyDescent="0.3">
      <c r="A1138">
        <v>2025</v>
      </c>
      <c r="B1138" s="159">
        <v>45667</v>
      </c>
      <c r="C1138" s="130">
        <v>33.049999999999997</v>
      </c>
      <c r="D1138" s="130">
        <v>34.479999999999997</v>
      </c>
      <c r="E1138" s="130">
        <v>32.83</v>
      </c>
      <c r="F1138" s="130">
        <v>34.14</v>
      </c>
      <c r="G1138" s="160">
        <v>10044375</v>
      </c>
      <c r="H1138" s="160">
        <f t="shared" si="17"/>
        <v>342914962.5</v>
      </c>
      <c r="I1138" t="s">
        <v>8879</v>
      </c>
      <c r="J1138">
        <v>2025</v>
      </c>
      <c r="K1138">
        <v>1</v>
      </c>
      <c r="L1138" t="s">
        <v>5570</v>
      </c>
      <c r="M1138" t="s">
        <v>1552</v>
      </c>
      <c r="N1138" t="s">
        <v>8981</v>
      </c>
    </row>
    <row r="1139" spans="1:14" x14ac:dyDescent="0.3">
      <c r="A1139">
        <v>2025</v>
      </c>
      <c r="B1139" s="159">
        <v>45670</v>
      </c>
      <c r="C1139" s="130">
        <v>34.36</v>
      </c>
      <c r="D1139" s="130">
        <v>34.9</v>
      </c>
      <c r="E1139" s="130">
        <v>34.07</v>
      </c>
      <c r="F1139" s="130">
        <v>34.42</v>
      </c>
      <c r="G1139" s="160">
        <v>7321157</v>
      </c>
      <c r="H1139" s="160">
        <f t="shared" si="17"/>
        <v>251994223.94</v>
      </c>
      <c r="I1139" t="s">
        <v>8879</v>
      </c>
      <c r="J1139">
        <v>2025</v>
      </c>
      <c r="K1139">
        <v>1</v>
      </c>
      <c r="L1139" t="s">
        <v>5570</v>
      </c>
      <c r="M1139" t="s">
        <v>1552</v>
      </c>
      <c r="N1139" t="s">
        <v>8981</v>
      </c>
    </row>
    <row r="1140" spans="1:14" x14ac:dyDescent="0.3">
      <c r="A1140">
        <v>2025</v>
      </c>
      <c r="B1140" s="159">
        <v>45671</v>
      </c>
      <c r="C1140" s="130">
        <v>34.75</v>
      </c>
      <c r="D1140" s="130">
        <v>35.409999999999997</v>
      </c>
      <c r="E1140" s="130">
        <v>34.32</v>
      </c>
      <c r="F1140" s="130">
        <v>34.94</v>
      </c>
      <c r="G1140" s="160">
        <v>10515007</v>
      </c>
      <c r="H1140" s="160">
        <f t="shared" si="17"/>
        <v>367394344.57999998</v>
      </c>
      <c r="I1140" t="s">
        <v>8879</v>
      </c>
      <c r="J1140">
        <v>2025</v>
      </c>
      <c r="K1140">
        <v>1</v>
      </c>
      <c r="L1140" t="s">
        <v>5570</v>
      </c>
      <c r="M1140" t="s">
        <v>1552</v>
      </c>
      <c r="N1140" t="s">
        <v>8981</v>
      </c>
    </row>
    <row r="1141" spans="1:14" x14ac:dyDescent="0.3">
      <c r="A1141">
        <v>2025</v>
      </c>
      <c r="B1141" s="159">
        <v>45672</v>
      </c>
      <c r="C1141" s="130">
        <v>35.450000000000003</v>
      </c>
      <c r="D1141" s="130">
        <v>35.49</v>
      </c>
      <c r="E1141" s="130">
        <v>34.549999999999997</v>
      </c>
      <c r="F1141" s="130">
        <v>34.659999999999997</v>
      </c>
      <c r="G1141" s="160">
        <v>7102217</v>
      </c>
      <c r="H1141" s="160">
        <f t="shared" si="17"/>
        <v>246162841.21999997</v>
      </c>
      <c r="I1141" t="s">
        <v>8879</v>
      </c>
      <c r="J1141">
        <v>2025</v>
      </c>
      <c r="K1141">
        <v>1</v>
      </c>
      <c r="L1141" t="s">
        <v>5570</v>
      </c>
      <c r="M1141" t="s">
        <v>1552</v>
      </c>
      <c r="N1141" t="s">
        <v>8981</v>
      </c>
    </row>
    <row r="1142" spans="1:14" x14ac:dyDescent="0.3">
      <c r="A1142">
        <v>2025</v>
      </c>
      <c r="B1142" s="159">
        <v>45673</v>
      </c>
      <c r="C1142" s="130">
        <v>34.82</v>
      </c>
      <c r="D1142" s="130">
        <v>34.82</v>
      </c>
      <c r="E1142" s="130">
        <v>34</v>
      </c>
      <c r="F1142" s="130">
        <v>34.090000000000003</v>
      </c>
      <c r="G1142" s="160">
        <v>3481558</v>
      </c>
      <c r="H1142" s="160">
        <f t="shared" si="17"/>
        <v>118686312.22000001</v>
      </c>
      <c r="I1142" t="s">
        <v>8879</v>
      </c>
      <c r="J1142">
        <v>2025</v>
      </c>
      <c r="K1142">
        <v>1</v>
      </c>
      <c r="L1142" t="s">
        <v>5570</v>
      </c>
      <c r="M1142" t="s">
        <v>1552</v>
      </c>
      <c r="N1142" t="s">
        <v>8981</v>
      </c>
    </row>
    <row r="1143" spans="1:14" x14ac:dyDescent="0.3">
      <c r="A1143">
        <v>2025</v>
      </c>
      <c r="B1143" s="159">
        <v>45674</v>
      </c>
      <c r="C1143" s="130">
        <v>33.81</v>
      </c>
      <c r="D1143" s="130">
        <v>35.35</v>
      </c>
      <c r="E1143" s="130">
        <v>33.81</v>
      </c>
      <c r="F1143" s="130">
        <v>34.83</v>
      </c>
      <c r="G1143" s="160">
        <v>8393064</v>
      </c>
      <c r="H1143" s="160">
        <f t="shared" si="17"/>
        <v>292330419.12</v>
      </c>
      <c r="I1143" t="s">
        <v>8879</v>
      </c>
      <c r="J1143">
        <v>2025</v>
      </c>
      <c r="K1143">
        <v>1</v>
      </c>
      <c r="L1143" t="s">
        <v>5570</v>
      </c>
      <c r="M1143" t="s">
        <v>1552</v>
      </c>
      <c r="N1143" t="s">
        <v>8981</v>
      </c>
    </row>
    <row r="1144" spans="1:14" x14ac:dyDescent="0.3">
      <c r="A1144">
        <v>2025</v>
      </c>
      <c r="B1144" s="159">
        <v>45677</v>
      </c>
      <c r="C1144" s="130">
        <v>35</v>
      </c>
      <c r="D1144" s="130">
        <v>35.799999999999997</v>
      </c>
      <c r="E1144" s="130">
        <v>35</v>
      </c>
      <c r="F1144" s="130">
        <v>35.36</v>
      </c>
      <c r="G1144" s="160">
        <v>8642985</v>
      </c>
      <c r="H1144" s="160">
        <f t="shared" si="17"/>
        <v>305615949.60000002</v>
      </c>
      <c r="I1144" t="s">
        <v>8879</v>
      </c>
      <c r="J1144">
        <v>2025</v>
      </c>
      <c r="K1144">
        <v>1</v>
      </c>
      <c r="L1144" t="s">
        <v>5570</v>
      </c>
      <c r="M1144" t="s">
        <v>1552</v>
      </c>
      <c r="N1144" t="s">
        <v>8981</v>
      </c>
    </row>
    <row r="1145" spans="1:14" x14ac:dyDescent="0.3">
      <c r="A1145">
        <v>2025</v>
      </c>
      <c r="B1145" s="159">
        <v>45678</v>
      </c>
      <c r="C1145" s="130">
        <v>35.36</v>
      </c>
      <c r="D1145" s="130">
        <v>37.4</v>
      </c>
      <c r="E1145" s="130">
        <v>35.21</v>
      </c>
      <c r="F1145" s="130">
        <v>36</v>
      </c>
      <c r="G1145" s="160">
        <v>53698225</v>
      </c>
      <c r="H1145" s="160">
        <f t="shared" si="17"/>
        <v>1933136100</v>
      </c>
      <c r="I1145" t="s">
        <v>8879</v>
      </c>
      <c r="J1145">
        <v>2025</v>
      </c>
      <c r="K1145">
        <v>1</v>
      </c>
      <c r="L1145" t="s">
        <v>5570</v>
      </c>
      <c r="M1145" t="s">
        <v>1552</v>
      </c>
      <c r="N1145" t="s">
        <v>8981</v>
      </c>
    </row>
    <row r="1146" spans="1:14" x14ac:dyDescent="0.3">
      <c r="A1146">
        <v>2025</v>
      </c>
      <c r="B1146" s="159">
        <v>45679</v>
      </c>
      <c r="C1146" s="130">
        <v>36.200000000000003</v>
      </c>
      <c r="D1146" s="130">
        <v>39.58</v>
      </c>
      <c r="E1146" s="130">
        <v>36.01</v>
      </c>
      <c r="F1146" s="130">
        <v>38.58</v>
      </c>
      <c r="G1146" s="160">
        <v>83552040</v>
      </c>
      <c r="H1146" s="160">
        <f t="shared" si="17"/>
        <v>3223437703.1999998</v>
      </c>
      <c r="I1146" t="s">
        <v>8879</v>
      </c>
      <c r="J1146">
        <v>2025</v>
      </c>
      <c r="K1146">
        <v>1</v>
      </c>
      <c r="L1146" t="s">
        <v>5570</v>
      </c>
      <c r="M1146" t="s">
        <v>1552</v>
      </c>
      <c r="N1146" t="s">
        <v>8981</v>
      </c>
    </row>
    <row r="1147" spans="1:14" x14ac:dyDescent="0.3">
      <c r="A1147">
        <v>2025</v>
      </c>
      <c r="B1147" s="159">
        <v>45680</v>
      </c>
      <c r="C1147" s="130">
        <v>40</v>
      </c>
      <c r="D1147" s="130">
        <v>41.15</v>
      </c>
      <c r="E1147" s="130">
        <v>39.5</v>
      </c>
      <c r="F1147" s="130">
        <v>40.65</v>
      </c>
      <c r="G1147" s="160">
        <v>47170217</v>
      </c>
      <c r="H1147" s="160">
        <f t="shared" si="17"/>
        <v>1917469321.05</v>
      </c>
      <c r="I1147" t="s">
        <v>8879</v>
      </c>
      <c r="J1147">
        <v>2025</v>
      </c>
      <c r="K1147">
        <v>1</v>
      </c>
      <c r="L1147" t="s">
        <v>5570</v>
      </c>
      <c r="M1147" t="s">
        <v>1552</v>
      </c>
      <c r="N1147" t="s">
        <v>8981</v>
      </c>
    </row>
    <row r="1148" spans="1:14" x14ac:dyDescent="0.3">
      <c r="A1148">
        <v>2025</v>
      </c>
      <c r="B1148" s="159">
        <v>45681</v>
      </c>
      <c r="C1148" s="130">
        <v>41</v>
      </c>
      <c r="D1148" s="130">
        <v>41.65</v>
      </c>
      <c r="E1148" s="130">
        <v>39.25</v>
      </c>
      <c r="F1148" s="130">
        <v>40.06</v>
      </c>
      <c r="G1148" s="160">
        <v>20797108</v>
      </c>
      <c r="H1148" s="160">
        <f t="shared" si="17"/>
        <v>833132146.48000002</v>
      </c>
      <c r="I1148" t="s">
        <v>8879</v>
      </c>
      <c r="J1148">
        <v>2025</v>
      </c>
      <c r="K1148">
        <v>1</v>
      </c>
      <c r="L1148" t="s">
        <v>5570</v>
      </c>
      <c r="M1148" t="s">
        <v>1552</v>
      </c>
      <c r="N1148" t="s">
        <v>8981</v>
      </c>
    </row>
    <row r="1149" spans="1:14" x14ac:dyDescent="0.3">
      <c r="A1149">
        <v>2025</v>
      </c>
      <c r="B1149" s="159">
        <v>45684</v>
      </c>
      <c r="C1149" s="130">
        <v>40.69</v>
      </c>
      <c r="D1149" s="130">
        <v>40.69</v>
      </c>
      <c r="E1149" s="130">
        <v>38.82</v>
      </c>
      <c r="F1149" s="130">
        <v>39.409999999999997</v>
      </c>
      <c r="G1149" s="160">
        <v>14398992</v>
      </c>
      <c r="H1149" s="160">
        <f t="shared" si="17"/>
        <v>567464274.71999991</v>
      </c>
      <c r="I1149" t="s">
        <v>8879</v>
      </c>
      <c r="J1149">
        <v>2025</v>
      </c>
      <c r="K1149">
        <v>1</v>
      </c>
      <c r="L1149" t="s">
        <v>5570</v>
      </c>
      <c r="M1149" t="s">
        <v>1552</v>
      </c>
      <c r="N1149" t="s">
        <v>8981</v>
      </c>
    </row>
    <row r="1150" spans="1:14" x14ac:dyDescent="0.3">
      <c r="A1150">
        <v>2025</v>
      </c>
      <c r="B1150" s="159">
        <v>45685</v>
      </c>
      <c r="C1150" s="130">
        <v>39.74</v>
      </c>
      <c r="D1150" s="130">
        <v>40.200000000000003</v>
      </c>
      <c r="E1150" s="130">
        <v>38.25</v>
      </c>
      <c r="F1150" s="130">
        <v>38.770000000000003</v>
      </c>
      <c r="G1150" s="160">
        <v>18743736</v>
      </c>
      <c r="H1150" s="160">
        <f t="shared" si="17"/>
        <v>726694644.72000003</v>
      </c>
      <c r="I1150" t="s">
        <v>8879</v>
      </c>
      <c r="J1150">
        <v>2025</v>
      </c>
      <c r="K1150">
        <v>1</v>
      </c>
      <c r="L1150" t="s">
        <v>5570</v>
      </c>
      <c r="M1150" t="s">
        <v>1552</v>
      </c>
      <c r="N1150" t="s">
        <v>8981</v>
      </c>
    </row>
    <row r="1151" spans="1:14" x14ac:dyDescent="0.3">
      <c r="A1151">
        <v>2025</v>
      </c>
      <c r="B1151" s="159">
        <v>45686</v>
      </c>
      <c r="C1151" s="130">
        <v>38.5</v>
      </c>
      <c r="D1151" s="130">
        <v>39.299999999999997</v>
      </c>
      <c r="E1151" s="130">
        <v>37.5</v>
      </c>
      <c r="F1151" s="130">
        <v>37.700000000000003</v>
      </c>
      <c r="G1151" s="160">
        <v>13308955</v>
      </c>
      <c r="H1151" s="160">
        <f t="shared" si="17"/>
        <v>501747603.50000006</v>
      </c>
      <c r="I1151" t="s">
        <v>8879</v>
      </c>
      <c r="J1151">
        <v>2025</v>
      </c>
      <c r="K1151">
        <v>1</v>
      </c>
      <c r="L1151" t="s">
        <v>5570</v>
      </c>
      <c r="M1151" t="s">
        <v>1552</v>
      </c>
      <c r="N1151" t="s">
        <v>8981</v>
      </c>
    </row>
    <row r="1152" spans="1:14" x14ac:dyDescent="0.3">
      <c r="A1152">
        <v>2025</v>
      </c>
      <c r="B1152" s="159">
        <v>45687</v>
      </c>
      <c r="C1152" s="130">
        <v>37.950000000000003</v>
      </c>
      <c r="D1152" s="130">
        <v>38.299999999999997</v>
      </c>
      <c r="E1152" s="130">
        <v>36</v>
      </c>
      <c r="F1152" s="130">
        <v>37.86</v>
      </c>
      <c r="G1152" s="160">
        <v>8607638</v>
      </c>
      <c r="H1152" s="160">
        <f t="shared" si="17"/>
        <v>325885174.68000001</v>
      </c>
      <c r="I1152" t="s">
        <v>8879</v>
      </c>
      <c r="J1152">
        <v>2025</v>
      </c>
      <c r="K1152">
        <v>1</v>
      </c>
      <c r="L1152" t="s">
        <v>5570</v>
      </c>
      <c r="M1152" t="s">
        <v>1552</v>
      </c>
      <c r="N1152" t="s">
        <v>8981</v>
      </c>
    </row>
    <row r="1153" spans="1:14" x14ac:dyDescent="0.3">
      <c r="A1153">
        <v>2025</v>
      </c>
      <c r="B1153" s="159">
        <v>45688</v>
      </c>
      <c r="C1153" s="130">
        <v>37.979999999999997</v>
      </c>
      <c r="D1153" s="130">
        <v>38.65</v>
      </c>
      <c r="E1153" s="130">
        <v>37.51</v>
      </c>
      <c r="F1153" s="130">
        <v>38.1</v>
      </c>
      <c r="G1153" s="160">
        <v>7199999</v>
      </c>
      <c r="H1153" s="160">
        <f t="shared" si="17"/>
        <v>274319961.90000004</v>
      </c>
      <c r="I1153" t="s">
        <v>8879</v>
      </c>
      <c r="J1153">
        <v>2025</v>
      </c>
      <c r="K1153">
        <v>1</v>
      </c>
      <c r="L1153" t="s">
        <v>5570</v>
      </c>
      <c r="M1153" t="s">
        <v>1552</v>
      </c>
      <c r="N1153" t="s">
        <v>8981</v>
      </c>
    </row>
    <row r="1154" spans="1:14" x14ac:dyDescent="0.3">
      <c r="A1154">
        <v>2025</v>
      </c>
      <c r="B1154" s="159">
        <v>45691</v>
      </c>
      <c r="C1154" s="130">
        <v>38.51</v>
      </c>
      <c r="D1154" s="130">
        <v>39.200000000000003</v>
      </c>
      <c r="E1154" s="130">
        <v>37.799999999999997</v>
      </c>
      <c r="F1154" s="130">
        <v>38.1</v>
      </c>
      <c r="G1154" s="160">
        <v>16213883</v>
      </c>
      <c r="H1154" s="160">
        <f t="shared" si="17"/>
        <v>617748942.30000007</v>
      </c>
      <c r="I1154" t="s">
        <v>8880</v>
      </c>
      <c r="J1154">
        <v>2025</v>
      </c>
      <c r="K1154">
        <v>2</v>
      </c>
      <c r="L1154" t="s">
        <v>5595</v>
      </c>
      <c r="M1154" t="s">
        <v>1552</v>
      </c>
      <c r="N1154" t="s">
        <v>8982</v>
      </c>
    </row>
    <row r="1155" spans="1:14" x14ac:dyDescent="0.3">
      <c r="A1155">
        <v>2025</v>
      </c>
      <c r="B1155" s="159">
        <v>45692</v>
      </c>
      <c r="C1155" s="130">
        <v>38.15</v>
      </c>
      <c r="D1155" s="130">
        <v>39.200000000000003</v>
      </c>
      <c r="E1155" s="130">
        <v>37.409999999999997</v>
      </c>
      <c r="F1155" s="130">
        <v>37.64</v>
      </c>
      <c r="G1155" s="160">
        <v>12847614</v>
      </c>
      <c r="H1155" s="160">
        <f t="shared" si="17"/>
        <v>483584190.95999998</v>
      </c>
      <c r="I1155" t="s">
        <v>8880</v>
      </c>
      <c r="J1155">
        <v>2025</v>
      </c>
      <c r="K1155">
        <v>2</v>
      </c>
      <c r="L1155" t="s">
        <v>5595</v>
      </c>
      <c r="M1155" t="s">
        <v>1552</v>
      </c>
      <c r="N1155" t="s">
        <v>8982</v>
      </c>
    </row>
    <row r="1156" spans="1:14" x14ac:dyDescent="0.3">
      <c r="A1156">
        <v>2025</v>
      </c>
      <c r="B1156" s="159">
        <v>45694</v>
      </c>
      <c r="C1156" s="130">
        <v>37.9</v>
      </c>
      <c r="D1156" s="130">
        <v>38</v>
      </c>
      <c r="E1156" s="130">
        <v>36.5</v>
      </c>
      <c r="F1156" s="130">
        <v>36.64</v>
      </c>
      <c r="G1156" s="160">
        <v>6409796</v>
      </c>
      <c r="H1156" s="160">
        <f t="shared" si="17"/>
        <v>234854925.44</v>
      </c>
      <c r="I1156" t="s">
        <v>8880</v>
      </c>
      <c r="J1156">
        <v>2025</v>
      </c>
      <c r="K1156">
        <v>2</v>
      </c>
      <c r="L1156" t="s">
        <v>5595</v>
      </c>
      <c r="M1156" t="s">
        <v>1552</v>
      </c>
      <c r="N1156" t="s">
        <v>8982</v>
      </c>
    </row>
    <row r="1157" spans="1:14" x14ac:dyDescent="0.3">
      <c r="A1157">
        <v>2025</v>
      </c>
      <c r="B1157" s="159">
        <v>45695</v>
      </c>
      <c r="C1157" s="130">
        <v>36.880000000000003</v>
      </c>
      <c r="D1157" s="130">
        <v>37.049999999999997</v>
      </c>
      <c r="E1157" s="130">
        <v>36</v>
      </c>
      <c r="F1157" s="130">
        <v>36.43</v>
      </c>
      <c r="G1157" s="160">
        <v>7154487</v>
      </c>
      <c r="H1157" s="160">
        <f t="shared" si="17"/>
        <v>260637961.41</v>
      </c>
      <c r="I1157" t="s">
        <v>8880</v>
      </c>
      <c r="J1157">
        <v>2025</v>
      </c>
      <c r="K1157">
        <v>2</v>
      </c>
      <c r="L1157" t="s">
        <v>5595</v>
      </c>
      <c r="M1157" t="s">
        <v>1552</v>
      </c>
      <c r="N1157" t="s">
        <v>8982</v>
      </c>
    </row>
    <row r="1158" spans="1:14" x14ac:dyDescent="0.3">
      <c r="A1158">
        <v>2025</v>
      </c>
      <c r="B1158" s="159">
        <v>45698</v>
      </c>
      <c r="C1158" s="130">
        <v>36.43</v>
      </c>
      <c r="D1158" s="130">
        <v>37.200000000000003</v>
      </c>
      <c r="E1158" s="130">
        <v>36.01</v>
      </c>
      <c r="F1158" s="130">
        <v>37.01</v>
      </c>
      <c r="G1158" s="160">
        <v>6810172</v>
      </c>
      <c r="H1158" s="160">
        <f t="shared" si="17"/>
        <v>252044465.72</v>
      </c>
      <c r="I1158" t="s">
        <v>8880</v>
      </c>
      <c r="J1158">
        <v>2025</v>
      </c>
      <c r="K1158">
        <v>2</v>
      </c>
      <c r="L1158" t="s">
        <v>5595</v>
      </c>
      <c r="M1158" t="s">
        <v>1552</v>
      </c>
      <c r="N1158" t="s">
        <v>8982</v>
      </c>
    </row>
    <row r="1159" spans="1:14" x14ac:dyDescent="0.3">
      <c r="A1159">
        <v>2025</v>
      </c>
      <c r="B1159" s="159">
        <v>45699</v>
      </c>
      <c r="C1159" s="130">
        <v>37.119999999999997</v>
      </c>
      <c r="D1159" s="130">
        <v>38.9</v>
      </c>
      <c r="E1159" s="130">
        <v>37</v>
      </c>
      <c r="F1159" s="130">
        <v>38.700000000000003</v>
      </c>
      <c r="G1159" s="160">
        <v>16404789</v>
      </c>
      <c r="H1159" s="160">
        <f t="shared" si="17"/>
        <v>634865334.30000007</v>
      </c>
      <c r="I1159" t="s">
        <v>8880</v>
      </c>
      <c r="J1159">
        <v>2025</v>
      </c>
      <c r="K1159">
        <v>2</v>
      </c>
      <c r="L1159" t="s">
        <v>5595</v>
      </c>
      <c r="M1159" t="s">
        <v>1552</v>
      </c>
      <c r="N1159" t="s">
        <v>8982</v>
      </c>
    </row>
    <row r="1160" spans="1:14" x14ac:dyDescent="0.3">
      <c r="A1160">
        <v>2025</v>
      </c>
      <c r="B1160" s="159">
        <v>45700</v>
      </c>
      <c r="C1160" s="130">
        <v>38.79</v>
      </c>
      <c r="D1160" s="130">
        <v>39.15</v>
      </c>
      <c r="E1160" s="130">
        <v>38</v>
      </c>
      <c r="F1160" s="130">
        <v>38.43</v>
      </c>
      <c r="G1160" s="160">
        <v>10549752</v>
      </c>
      <c r="H1160" s="160">
        <f t="shared" si="17"/>
        <v>405426969.36000001</v>
      </c>
      <c r="I1160" t="s">
        <v>8880</v>
      </c>
      <c r="J1160">
        <v>2025</v>
      </c>
      <c r="K1160">
        <v>2</v>
      </c>
      <c r="L1160" t="s">
        <v>5595</v>
      </c>
      <c r="M1160" t="s">
        <v>1552</v>
      </c>
      <c r="N1160" t="s">
        <v>8982</v>
      </c>
    </row>
    <row r="1161" spans="1:14" x14ac:dyDescent="0.3">
      <c r="A1161">
        <v>2025</v>
      </c>
      <c r="B1161" s="159">
        <v>45701</v>
      </c>
      <c r="C1161" s="130">
        <v>38.479999999999997</v>
      </c>
      <c r="D1161" s="130">
        <v>38.799999999999997</v>
      </c>
      <c r="E1161" s="130">
        <v>37.700000000000003</v>
      </c>
      <c r="F1161" s="130">
        <v>37.79</v>
      </c>
      <c r="G1161" s="160">
        <v>3081599</v>
      </c>
      <c r="H1161" s="160">
        <f t="shared" si="17"/>
        <v>116453626.20999999</v>
      </c>
      <c r="I1161" t="s">
        <v>8880</v>
      </c>
      <c r="J1161">
        <v>2025</v>
      </c>
      <c r="K1161">
        <v>2</v>
      </c>
      <c r="L1161" t="s">
        <v>5595</v>
      </c>
      <c r="M1161" t="s">
        <v>1552</v>
      </c>
      <c r="N1161" t="s">
        <v>8982</v>
      </c>
    </row>
    <row r="1162" spans="1:14" x14ac:dyDescent="0.3">
      <c r="A1162">
        <v>2025</v>
      </c>
      <c r="B1162" s="159">
        <v>45702</v>
      </c>
      <c r="C1162" s="130">
        <v>37.99</v>
      </c>
      <c r="D1162" s="130">
        <v>38.85</v>
      </c>
      <c r="E1162" s="130">
        <v>36.43</v>
      </c>
      <c r="F1162" s="130">
        <v>36.65</v>
      </c>
      <c r="G1162" s="160">
        <v>17068146</v>
      </c>
      <c r="H1162" s="160">
        <f t="shared" si="17"/>
        <v>625547550.89999998</v>
      </c>
      <c r="I1162" t="s">
        <v>8880</v>
      </c>
      <c r="J1162">
        <v>2025</v>
      </c>
      <c r="K1162">
        <v>2</v>
      </c>
      <c r="L1162" t="s">
        <v>5595</v>
      </c>
      <c r="M1162" t="s">
        <v>1552</v>
      </c>
      <c r="N1162" t="s">
        <v>8982</v>
      </c>
    </row>
    <row r="1163" spans="1:14" x14ac:dyDescent="0.3">
      <c r="A1163">
        <v>2025</v>
      </c>
      <c r="B1163" s="159">
        <v>45705</v>
      </c>
      <c r="C1163" s="130">
        <v>36.049999999999997</v>
      </c>
      <c r="D1163" s="130">
        <v>37.6</v>
      </c>
      <c r="E1163" s="130">
        <v>36.049999999999997</v>
      </c>
      <c r="F1163" s="130">
        <v>37.08</v>
      </c>
      <c r="G1163" s="160">
        <v>4960195</v>
      </c>
      <c r="H1163" s="160">
        <f t="shared" si="17"/>
        <v>183924030.59999999</v>
      </c>
      <c r="I1163" t="s">
        <v>8880</v>
      </c>
      <c r="J1163">
        <v>2025</v>
      </c>
      <c r="K1163">
        <v>2</v>
      </c>
      <c r="L1163" t="s">
        <v>5595</v>
      </c>
      <c r="M1163" t="s">
        <v>1552</v>
      </c>
      <c r="N1163" t="s">
        <v>8982</v>
      </c>
    </row>
    <row r="1164" spans="1:14" x14ac:dyDescent="0.3">
      <c r="A1164">
        <v>2025</v>
      </c>
      <c r="B1164" s="159">
        <v>45706</v>
      </c>
      <c r="C1164" s="130">
        <v>37.25</v>
      </c>
      <c r="D1164" s="130">
        <v>38.85</v>
      </c>
      <c r="E1164" s="130">
        <v>36.9</v>
      </c>
      <c r="F1164" s="130">
        <v>38.71</v>
      </c>
      <c r="G1164" s="160">
        <v>9074209</v>
      </c>
      <c r="H1164" s="160">
        <f t="shared" si="17"/>
        <v>351262630.38999999</v>
      </c>
      <c r="I1164" t="s">
        <v>8880</v>
      </c>
      <c r="J1164">
        <v>2025</v>
      </c>
      <c r="K1164">
        <v>2</v>
      </c>
      <c r="L1164" t="s">
        <v>5595</v>
      </c>
      <c r="M1164" t="s">
        <v>1552</v>
      </c>
      <c r="N1164" t="s">
        <v>8982</v>
      </c>
    </row>
    <row r="1165" spans="1:14" x14ac:dyDescent="0.3">
      <c r="A1165">
        <v>2025</v>
      </c>
      <c r="B1165" s="159">
        <v>45707</v>
      </c>
      <c r="C1165" s="130">
        <v>39</v>
      </c>
      <c r="D1165" s="130">
        <v>40.909999999999997</v>
      </c>
      <c r="E1165" s="130">
        <v>38.6</v>
      </c>
      <c r="F1165" s="130">
        <v>40.549999999999997</v>
      </c>
      <c r="G1165" s="160">
        <v>38112842</v>
      </c>
      <c r="H1165" s="160">
        <f t="shared" si="17"/>
        <v>1545475743.0999999</v>
      </c>
      <c r="I1165" t="s">
        <v>8880</v>
      </c>
      <c r="J1165">
        <v>2025</v>
      </c>
      <c r="K1165">
        <v>2</v>
      </c>
      <c r="L1165" t="s">
        <v>5595</v>
      </c>
      <c r="M1165" t="s">
        <v>1552</v>
      </c>
      <c r="N1165" t="s">
        <v>8982</v>
      </c>
    </row>
    <row r="1166" spans="1:14" x14ac:dyDescent="0.3">
      <c r="A1166">
        <v>2025</v>
      </c>
      <c r="B1166" s="159">
        <v>45708</v>
      </c>
      <c r="C1166" s="130">
        <v>41.15</v>
      </c>
      <c r="D1166" s="130">
        <v>44.41</v>
      </c>
      <c r="E1166" s="130">
        <v>40.75</v>
      </c>
      <c r="F1166" s="130">
        <v>43.41</v>
      </c>
      <c r="G1166" s="160">
        <v>73707472</v>
      </c>
      <c r="H1166" s="160">
        <f t="shared" si="17"/>
        <v>3199641359.52</v>
      </c>
      <c r="I1166" t="s">
        <v>8880</v>
      </c>
      <c r="J1166">
        <v>2025</v>
      </c>
      <c r="K1166">
        <v>2</v>
      </c>
      <c r="L1166" t="s">
        <v>5595</v>
      </c>
      <c r="M1166" t="s">
        <v>1552</v>
      </c>
      <c r="N1166" t="s">
        <v>8982</v>
      </c>
    </row>
    <row r="1167" spans="1:14" x14ac:dyDescent="0.3">
      <c r="A1167">
        <v>2025</v>
      </c>
      <c r="B1167" s="159">
        <v>45709</v>
      </c>
      <c r="C1167" s="130">
        <v>43.55</v>
      </c>
      <c r="D1167" s="130">
        <v>43.9</v>
      </c>
      <c r="E1167" s="130">
        <v>41.75</v>
      </c>
      <c r="F1167" s="130">
        <v>42.12</v>
      </c>
      <c r="G1167" s="160">
        <v>18578608</v>
      </c>
      <c r="H1167" s="160">
        <f t="shared" si="17"/>
        <v>782530968.95999992</v>
      </c>
      <c r="I1167" t="s">
        <v>8880</v>
      </c>
      <c r="J1167">
        <v>2025</v>
      </c>
      <c r="K1167">
        <v>2</v>
      </c>
      <c r="L1167" t="s">
        <v>5595</v>
      </c>
      <c r="M1167" t="s">
        <v>1552</v>
      </c>
      <c r="N1167" t="s">
        <v>8982</v>
      </c>
    </row>
    <row r="1168" spans="1:14" x14ac:dyDescent="0.3">
      <c r="A1168">
        <v>2025</v>
      </c>
      <c r="B1168" s="159">
        <v>45712</v>
      </c>
      <c r="C1168" s="130">
        <v>42.34</v>
      </c>
      <c r="D1168" s="130">
        <v>43</v>
      </c>
      <c r="E1168" s="130">
        <v>41.01</v>
      </c>
      <c r="F1168" s="130">
        <v>42.47</v>
      </c>
      <c r="G1168" s="160">
        <v>25755312</v>
      </c>
      <c r="H1168" s="160">
        <f t="shared" ref="H1168:H1231" si="18">F1168*G1168</f>
        <v>1093828100.6399999</v>
      </c>
      <c r="I1168" t="s">
        <v>8880</v>
      </c>
      <c r="J1168">
        <v>2025</v>
      </c>
      <c r="K1168">
        <v>2</v>
      </c>
      <c r="L1168" t="s">
        <v>5595</v>
      </c>
      <c r="M1168" t="s">
        <v>1552</v>
      </c>
      <c r="N1168" t="s">
        <v>8982</v>
      </c>
    </row>
    <row r="1169" spans="1:14" x14ac:dyDescent="0.3">
      <c r="A1169">
        <v>2025</v>
      </c>
      <c r="B1169" s="159">
        <v>45713</v>
      </c>
      <c r="C1169" s="130">
        <v>42.94</v>
      </c>
      <c r="D1169" s="130">
        <v>43.75</v>
      </c>
      <c r="E1169" s="130">
        <v>40.700000000000003</v>
      </c>
      <c r="F1169" s="130">
        <v>41.46</v>
      </c>
      <c r="G1169" s="160">
        <v>61091991</v>
      </c>
      <c r="H1169" s="160">
        <f t="shared" si="18"/>
        <v>2532873946.8600001</v>
      </c>
      <c r="I1169" t="s">
        <v>8880</v>
      </c>
      <c r="J1169">
        <v>2025</v>
      </c>
      <c r="K1169">
        <v>2</v>
      </c>
      <c r="L1169" t="s">
        <v>5595</v>
      </c>
      <c r="M1169" t="s">
        <v>1552</v>
      </c>
      <c r="N1169" t="s">
        <v>8982</v>
      </c>
    </row>
    <row r="1170" spans="1:14" x14ac:dyDescent="0.3">
      <c r="A1170">
        <v>2025</v>
      </c>
      <c r="B1170" s="159">
        <v>45714</v>
      </c>
      <c r="C1170" s="130">
        <v>41.4</v>
      </c>
      <c r="D1170" s="130">
        <v>42.15</v>
      </c>
      <c r="E1170" s="130">
        <v>40.9</v>
      </c>
      <c r="F1170" s="130">
        <v>41.2</v>
      </c>
      <c r="G1170" s="160">
        <v>14678381</v>
      </c>
      <c r="H1170" s="160">
        <f t="shared" si="18"/>
        <v>604749297.20000005</v>
      </c>
      <c r="I1170" t="s">
        <v>8880</v>
      </c>
      <c r="J1170">
        <v>2025</v>
      </c>
      <c r="K1170">
        <v>2</v>
      </c>
      <c r="L1170" t="s">
        <v>5595</v>
      </c>
      <c r="M1170" t="s">
        <v>1552</v>
      </c>
      <c r="N1170" t="s">
        <v>8982</v>
      </c>
    </row>
    <row r="1171" spans="1:14" x14ac:dyDescent="0.3">
      <c r="A1171">
        <v>2025</v>
      </c>
      <c r="B1171" s="159">
        <v>45715</v>
      </c>
      <c r="C1171" s="130">
        <v>41.44</v>
      </c>
      <c r="D1171" s="130">
        <v>41.44</v>
      </c>
      <c r="E1171" s="130">
        <v>40.75</v>
      </c>
      <c r="F1171" s="130">
        <v>40.840000000000003</v>
      </c>
      <c r="G1171" s="160">
        <v>3388887</v>
      </c>
      <c r="H1171" s="160">
        <f t="shared" si="18"/>
        <v>138402145.08000001</v>
      </c>
      <c r="I1171" t="s">
        <v>8880</v>
      </c>
      <c r="J1171">
        <v>2025</v>
      </c>
      <c r="K1171">
        <v>2</v>
      </c>
      <c r="L1171" t="s">
        <v>5595</v>
      </c>
      <c r="M1171" t="s">
        <v>1552</v>
      </c>
      <c r="N1171" t="s">
        <v>8982</v>
      </c>
    </row>
    <row r="1172" spans="1:14" x14ac:dyDescent="0.3">
      <c r="A1172">
        <v>2025</v>
      </c>
      <c r="B1172" s="159">
        <v>45716</v>
      </c>
      <c r="C1172" s="130">
        <v>40.99</v>
      </c>
      <c r="D1172" s="130">
        <v>41</v>
      </c>
      <c r="E1172" s="130">
        <v>40</v>
      </c>
      <c r="F1172" s="130">
        <v>40.42</v>
      </c>
      <c r="G1172" s="160">
        <v>5124646</v>
      </c>
      <c r="H1172" s="160">
        <f t="shared" si="18"/>
        <v>207138191.32000002</v>
      </c>
      <c r="I1172" t="s">
        <v>8880</v>
      </c>
      <c r="J1172">
        <v>2025</v>
      </c>
      <c r="K1172">
        <v>2</v>
      </c>
      <c r="L1172" t="s">
        <v>5595</v>
      </c>
      <c r="M1172" t="s">
        <v>1552</v>
      </c>
      <c r="N1172" t="s">
        <v>8982</v>
      </c>
    </row>
    <row r="1173" spans="1:14" x14ac:dyDescent="0.3">
      <c r="A1173">
        <v>2025</v>
      </c>
      <c r="B1173" s="159">
        <v>45719</v>
      </c>
      <c r="C1173" s="130">
        <v>40.25</v>
      </c>
      <c r="D1173" s="130">
        <v>40.479999999999997</v>
      </c>
      <c r="E1173" s="130">
        <v>39.35</v>
      </c>
      <c r="F1173" s="130">
        <v>39.770000000000003</v>
      </c>
      <c r="G1173" s="160">
        <v>4361796</v>
      </c>
      <c r="H1173" s="160">
        <f t="shared" si="18"/>
        <v>173468626.92000002</v>
      </c>
      <c r="I1173" t="s">
        <v>8881</v>
      </c>
      <c r="J1173">
        <v>2025</v>
      </c>
      <c r="K1173">
        <v>3</v>
      </c>
      <c r="L1173" t="s">
        <v>5616</v>
      </c>
      <c r="M1173" t="s">
        <v>1552</v>
      </c>
      <c r="N1173" t="s">
        <v>8983</v>
      </c>
    </row>
    <row r="1174" spans="1:14" x14ac:dyDescent="0.3">
      <c r="A1174">
        <v>2025</v>
      </c>
      <c r="B1174" s="159">
        <v>45720</v>
      </c>
      <c r="C1174" s="130">
        <v>39.700000000000003</v>
      </c>
      <c r="D1174" s="130">
        <v>40.08</v>
      </c>
      <c r="E1174" s="130">
        <v>39.01</v>
      </c>
      <c r="F1174" s="130">
        <v>39.99</v>
      </c>
      <c r="G1174" s="160">
        <v>9732825</v>
      </c>
      <c r="H1174" s="160">
        <f t="shared" si="18"/>
        <v>389215671.75</v>
      </c>
      <c r="I1174" t="s">
        <v>8881</v>
      </c>
      <c r="J1174">
        <v>2025</v>
      </c>
      <c r="K1174">
        <v>3</v>
      </c>
      <c r="L1174" t="s">
        <v>5616</v>
      </c>
      <c r="M1174" t="s">
        <v>1552</v>
      </c>
      <c r="N1174" t="s">
        <v>8983</v>
      </c>
    </row>
    <row r="1175" spans="1:14" x14ac:dyDescent="0.3">
      <c r="A1175">
        <v>2025</v>
      </c>
      <c r="B1175" s="159">
        <v>45721</v>
      </c>
      <c r="C1175" s="130">
        <v>40.18</v>
      </c>
      <c r="D1175" s="130">
        <v>40.85</v>
      </c>
      <c r="E1175" s="130">
        <v>39.799999999999997</v>
      </c>
      <c r="F1175" s="130">
        <v>39.93</v>
      </c>
      <c r="G1175" s="160">
        <v>8501133</v>
      </c>
      <c r="H1175" s="160">
        <f t="shared" si="18"/>
        <v>339450240.69</v>
      </c>
      <c r="I1175" t="s">
        <v>8881</v>
      </c>
      <c r="J1175">
        <v>2025</v>
      </c>
      <c r="K1175">
        <v>3</v>
      </c>
      <c r="L1175" t="s">
        <v>5616</v>
      </c>
      <c r="M1175" t="s">
        <v>1552</v>
      </c>
      <c r="N1175" t="s">
        <v>8983</v>
      </c>
    </row>
    <row r="1176" spans="1:14" x14ac:dyDescent="0.3">
      <c r="A1176">
        <v>2025</v>
      </c>
      <c r="B1176" s="159">
        <v>45722</v>
      </c>
      <c r="C1176" s="130">
        <v>39.82</v>
      </c>
      <c r="D1176" s="130">
        <v>42.82</v>
      </c>
      <c r="E1176" s="130">
        <v>39.82</v>
      </c>
      <c r="F1176" s="130">
        <v>42.02</v>
      </c>
      <c r="G1176" s="160">
        <v>28192754</v>
      </c>
      <c r="H1176" s="160">
        <f t="shared" si="18"/>
        <v>1184659523.0800002</v>
      </c>
      <c r="I1176" t="s">
        <v>8881</v>
      </c>
      <c r="J1176">
        <v>2025</v>
      </c>
      <c r="K1176">
        <v>3</v>
      </c>
      <c r="L1176" t="s">
        <v>5616</v>
      </c>
      <c r="M1176" t="s">
        <v>1552</v>
      </c>
      <c r="N1176" t="s">
        <v>8983</v>
      </c>
    </row>
    <row r="1177" spans="1:14" x14ac:dyDescent="0.3">
      <c r="A1177">
        <v>2025</v>
      </c>
      <c r="B1177" s="159">
        <v>45723</v>
      </c>
      <c r="C1177" s="130">
        <v>42.5</v>
      </c>
      <c r="D1177" s="130">
        <v>46.22</v>
      </c>
      <c r="E1177" s="130">
        <v>42.11</v>
      </c>
      <c r="F1177" s="130">
        <v>45.99</v>
      </c>
      <c r="G1177" s="160">
        <v>57215949</v>
      </c>
      <c r="H1177" s="160">
        <f t="shared" si="18"/>
        <v>2631361494.5100002</v>
      </c>
      <c r="I1177" t="s">
        <v>8881</v>
      </c>
      <c r="J1177">
        <v>2025</v>
      </c>
      <c r="K1177">
        <v>3</v>
      </c>
      <c r="L1177" t="s">
        <v>5616</v>
      </c>
      <c r="M1177" t="s">
        <v>1552</v>
      </c>
      <c r="N1177" t="s">
        <v>8983</v>
      </c>
    </row>
    <row r="1178" spans="1:14" x14ac:dyDescent="0.3">
      <c r="A1178">
        <v>2025</v>
      </c>
      <c r="B1178" s="159">
        <v>45726</v>
      </c>
      <c r="C1178" s="130">
        <v>45.44</v>
      </c>
      <c r="D1178" s="130">
        <v>46.24</v>
      </c>
      <c r="E1178" s="130">
        <v>42.9</v>
      </c>
      <c r="F1178" s="130">
        <v>43.91</v>
      </c>
      <c r="G1178" s="160">
        <v>22194869</v>
      </c>
      <c r="H1178" s="160">
        <f t="shared" si="18"/>
        <v>974576697.78999996</v>
      </c>
      <c r="I1178" t="s">
        <v>8881</v>
      </c>
      <c r="J1178">
        <v>2025</v>
      </c>
      <c r="K1178">
        <v>3</v>
      </c>
      <c r="L1178" t="s">
        <v>5616</v>
      </c>
      <c r="M1178" t="s">
        <v>1552</v>
      </c>
      <c r="N1178" t="s">
        <v>8983</v>
      </c>
    </row>
    <row r="1179" spans="1:14" x14ac:dyDescent="0.3">
      <c r="A1179">
        <v>2025</v>
      </c>
      <c r="B1179" s="159">
        <v>45727</v>
      </c>
      <c r="C1179" s="130">
        <v>43</v>
      </c>
      <c r="D1179" s="130">
        <v>43.85</v>
      </c>
      <c r="E1179" s="130">
        <v>42.45</v>
      </c>
      <c r="F1179" s="130">
        <v>43.53</v>
      </c>
      <c r="G1179" s="160">
        <v>12170796</v>
      </c>
      <c r="H1179" s="160">
        <f t="shared" si="18"/>
        <v>529794749.88</v>
      </c>
      <c r="I1179" t="s">
        <v>8881</v>
      </c>
      <c r="J1179">
        <v>2025</v>
      </c>
      <c r="K1179">
        <v>3</v>
      </c>
      <c r="L1179" t="s">
        <v>5616</v>
      </c>
      <c r="M1179" t="s">
        <v>1552</v>
      </c>
      <c r="N1179" t="s">
        <v>8983</v>
      </c>
    </row>
    <row r="1180" spans="1:14" x14ac:dyDescent="0.3">
      <c r="A1180">
        <v>2025</v>
      </c>
      <c r="B1180" s="159">
        <v>45728</v>
      </c>
      <c r="C1180" s="130">
        <v>43.8</v>
      </c>
      <c r="D1180" s="130">
        <v>44.6</v>
      </c>
      <c r="E1180" s="130">
        <v>43.36</v>
      </c>
      <c r="F1180" s="130">
        <v>43.87</v>
      </c>
      <c r="G1180" s="160">
        <v>9505277</v>
      </c>
      <c r="H1180" s="160">
        <f t="shared" si="18"/>
        <v>416996501.98999995</v>
      </c>
      <c r="I1180" t="s">
        <v>8881</v>
      </c>
      <c r="J1180">
        <v>2025</v>
      </c>
      <c r="K1180">
        <v>3</v>
      </c>
      <c r="L1180" t="s">
        <v>5616</v>
      </c>
      <c r="M1180" t="s">
        <v>1552</v>
      </c>
      <c r="N1180" t="s">
        <v>8983</v>
      </c>
    </row>
    <row r="1181" spans="1:14" x14ac:dyDescent="0.3">
      <c r="A1181">
        <v>2025</v>
      </c>
      <c r="B1181" s="159">
        <v>45729</v>
      </c>
      <c r="C1181" s="130">
        <v>44</v>
      </c>
      <c r="D1181" s="130">
        <v>45.6</v>
      </c>
      <c r="E1181" s="130">
        <v>43.5</v>
      </c>
      <c r="F1181" s="130">
        <v>45.29</v>
      </c>
      <c r="G1181" s="160">
        <v>19660929</v>
      </c>
      <c r="H1181" s="160">
        <f t="shared" si="18"/>
        <v>890443474.40999997</v>
      </c>
      <c r="I1181" t="s">
        <v>8881</v>
      </c>
      <c r="J1181">
        <v>2025</v>
      </c>
      <c r="K1181">
        <v>3</v>
      </c>
      <c r="L1181" t="s">
        <v>5616</v>
      </c>
      <c r="M1181" t="s">
        <v>1552</v>
      </c>
      <c r="N1181" t="s">
        <v>8983</v>
      </c>
    </row>
    <row r="1182" spans="1:14" x14ac:dyDescent="0.3">
      <c r="A1182">
        <v>2025</v>
      </c>
      <c r="B1182" s="159">
        <v>45730</v>
      </c>
      <c r="C1182" s="130">
        <v>45.5</v>
      </c>
      <c r="D1182" s="130">
        <v>46.46</v>
      </c>
      <c r="E1182" s="130">
        <v>44.65</v>
      </c>
      <c r="F1182" s="130">
        <v>45.18</v>
      </c>
      <c r="G1182" s="160">
        <v>18756398</v>
      </c>
      <c r="H1182" s="160">
        <f t="shared" si="18"/>
        <v>847414061.63999999</v>
      </c>
      <c r="I1182" t="s">
        <v>8881</v>
      </c>
      <c r="J1182">
        <v>2025</v>
      </c>
      <c r="K1182">
        <v>3</v>
      </c>
      <c r="L1182" t="s">
        <v>5616</v>
      </c>
      <c r="M1182" t="s">
        <v>1552</v>
      </c>
      <c r="N1182" t="s">
        <v>8983</v>
      </c>
    </row>
    <row r="1183" spans="1:14" x14ac:dyDescent="0.3">
      <c r="A1183">
        <v>2025</v>
      </c>
      <c r="B1183" s="159">
        <v>45733</v>
      </c>
      <c r="C1183" s="130">
        <v>45.2</v>
      </c>
      <c r="D1183" s="130">
        <v>46.35</v>
      </c>
      <c r="E1183" s="130">
        <v>44.91</v>
      </c>
      <c r="F1183" s="130">
        <v>46.07</v>
      </c>
      <c r="G1183" s="160">
        <v>18478652</v>
      </c>
      <c r="H1183" s="160">
        <f t="shared" si="18"/>
        <v>851311497.63999999</v>
      </c>
      <c r="I1183" t="s">
        <v>8881</v>
      </c>
      <c r="J1183">
        <v>2025</v>
      </c>
      <c r="K1183">
        <v>3</v>
      </c>
      <c r="L1183" t="s">
        <v>5616</v>
      </c>
      <c r="M1183" t="s">
        <v>1552</v>
      </c>
      <c r="N1183" t="s">
        <v>8983</v>
      </c>
    </row>
    <row r="1184" spans="1:14" x14ac:dyDescent="0.3">
      <c r="A1184">
        <v>2025</v>
      </c>
      <c r="B1184" s="159">
        <v>45734</v>
      </c>
      <c r="C1184" s="130">
        <v>46</v>
      </c>
      <c r="D1184" s="130">
        <v>47.8</v>
      </c>
      <c r="E1184" s="130">
        <v>45.3</v>
      </c>
      <c r="F1184" s="130">
        <v>46.38</v>
      </c>
      <c r="G1184" s="160">
        <v>24985777</v>
      </c>
      <c r="H1184" s="160">
        <f t="shared" si="18"/>
        <v>1158840337.26</v>
      </c>
      <c r="I1184" t="s">
        <v>8881</v>
      </c>
      <c r="J1184">
        <v>2025</v>
      </c>
      <c r="K1184">
        <v>3</v>
      </c>
      <c r="L1184" t="s">
        <v>5616</v>
      </c>
      <c r="M1184" t="s">
        <v>1552</v>
      </c>
      <c r="N1184" t="s">
        <v>8983</v>
      </c>
    </row>
    <row r="1185" spans="1:14" x14ac:dyDescent="0.3">
      <c r="A1185">
        <v>2025</v>
      </c>
      <c r="B1185" s="159">
        <v>45735</v>
      </c>
      <c r="C1185" s="130">
        <v>46.51</v>
      </c>
      <c r="D1185" s="130">
        <v>48.85</v>
      </c>
      <c r="E1185" s="130">
        <v>46.38</v>
      </c>
      <c r="F1185" s="130">
        <v>47.52</v>
      </c>
      <c r="G1185" s="160">
        <v>29042128</v>
      </c>
      <c r="H1185" s="160">
        <f t="shared" si="18"/>
        <v>1380081922.5600002</v>
      </c>
      <c r="I1185" t="s">
        <v>8881</v>
      </c>
      <c r="J1185">
        <v>2025</v>
      </c>
      <c r="K1185">
        <v>3</v>
      </c>
      <c r="L1185" t="s">
        <v>5616</v>
      </c>
      <c r="M1185" t="s">
        <v>1552</v>
      </c>
      <c r="N1185" t="s">
        <v>8983</v>
      </c>
    </row>
    <row r="1186" spans="1:14" x14ac:dyDescent="0.3">
      <c r="A1186">
        <v>2025</v>
      </c>
      <c r="B1186" s="159">
        <v>45736</v>
      </c>
      <c r="C1186" s="130">
        <v>47.6</v>
      </c>
      <c r="D1186" s="130">
        <v>48.5</v>
      </c>
      <c r="E1186" s="130">
        <v>46.9</v>
      </c>
      <c r="F1186" s="130">
        <v>47.17</v>
      </c>
      <c r="G1186" s="160">
        <v>9735067</v>
      </c>
      <c r="H1186" s="160">
        <f t="shared" si="18"/>
        <v>459203110.39000005</v>
      </c>
      <c r="I1186" t="s">
        <v>8881</v>
      </c>
      <c r="J1186">
        <v>2025</v>
      </c>
      <c r="K1186">
        <v>3</v>
      </c>
      <c r="L1186" t="s">
        <v>5616</v>
      </c>
      <c r="M1186" t="s">
        <v>1552</v>
      </c>
      <c r="N1186" t="s">
        <v>8983</v>
      </c>
    </row>
    <row r="1187" spans="1:14" x14ac:dyDescent="0.3">
      <c r="A1187">
        <v>2025</v>
      </c>
      <c r="B1187" s="159">
        <v>45737</v>
      </c>
      <c r="C1187" s="130">
        <v>47.01</v>
      </c>
      <c r="D1187" s="130">
        <v>47.55</v>
      </c>
      <c r="E1187" s="130">
        <v>46.3</v>
      </c>
      <c r="F1187" s="130">
        <v>46.62</v>
      </c>
      <c r="G1187" s="160">
        <v>4271629</v>
      </c>
      <c r="H1187" s="160">
        <f t="shared" si="18"/>
        <v>199143343.97999999</v>
      </c>
      <c r="I1187" t="s">
        <v>8881</v>
      </c>
      <c r="J1187">
        <v>2025</v>
      </c>
      <c r="K1187">
        <v>3</v>
      </c>
      <c r="L1187" t="s">
        <v>5616</v>
      </c>
      <c r="M1187" t="s">
        <v>1552</v>
      </c>
      <c r="N1187" t="s">
        <v>8983</v>
      </c>
    </row>
    <row r="1188" spans="1:14" x14ac:dyDescent="0.3">
      <c r="A1188">
        <v>2025</v>
      </c>
      <c r="B1188" s="159">
        <v>45740</v>
      </c>
      <c r="C1188" s="130">
        <v>46.65</v>
      </c>
      <c r="D1188" s="130">
        <v>47</v>
      </c>
      <c r="E1188" s="130">
        <v>44.9</v>
      </c>
      <c r="F1188" s="130">
        <v>45.41</v>
      </c>
      <c r="G1188" s="160">
        <v>8148237</v>
      </c>
      <c r="H1188" s="160">
        <f t="shared" si="18"/>
        <v>370011442.16999996</v>
      </c>
      <c r="I1188" t="s">
        <v>8881</v>
      </c>
      <c r="J1188">
        <v>2025</v>
      </c>
      <c r="K1188">
        <v>3</v>
      </c>
      <c r="L1188" t="s">
        <v>5616</v>
      </c>
      <c r="M1188" t="s">
        <v>1552</v>
      </c>
      <c r="N1188" t="s">
        <v>8983</v>
      </c>
    </row>
    <row r="1189" spans="1:14" x14ac:dyDescent="0.3">
      <c r="A1189">
        <v>2025</v>
      </c>
      <c r="B1189" s="159">
        <v>45741</v>
      </c>
      <c r="C1189" s="130">
        <v>45</v>
      </c>
      <c r="D1189" s="130">
        <v>45.48</v>
      </c>
      <c r="E1189" s="130">
        <v>44.61</v>
      </c>
      <c r="F1189" s="130">
        <v>44.94</v>
      </c>
      <c r="G1189" s="160">
        <v>3806966</v>
      </c>
      <c r="H1189" s="160">
        <f t="shared" si="18"/>
        <v>171085052.03999999</v>
      </c>
      <c r="I1189" t="s">
        <v>8881</v>
      </c>
      <c r="J1189">
        <v>2025</v>
      </c>
      <c r="K1189">
        <v>3</v>
      </c>
      <c r="L1189" t="s">
        <v>5616</v>
      </c>
      <c r="M1189" t="s">
        <v>1552</v>
      </c>
      <c r="N1189" t="s">
        <v>8983</v>
      </c>
    </row>
    <row r="1190" spans="1:14" x14ac:dyDescent="0.3">
      <c r="A1190">
        <v>2025</v>
      </c>
      <c r="B1190" s="159">
        <v>45742</v>
      </c>
      <c r="C1190" s="130">
        <v>45.45</v>
      </c>
      <c r="D1190" s="130">
        <v>46.45</v>
      </c>
      <c r="E1190" s="130">
        <v>45</v>
      </c>
      <c r="F1190" s="130">
        <v>46.12</v>
      </c>
      <c r="G1190" s="160">
        <v>10182878</v>
      </c>
      <c r="H1190" s="160">
        <f t="shared" si="18"/>
        <v>469634333.35999995</v>
      </c>
      <c r="I1190" t="s">
        <v>8881</v>
      </c>
      <c r="J1190">
        <v>2025</v>
      </c>
      <c r="K1190">
        <v>3</v>
      </c>
      <c r="L1190" t="s">
        <v>5616</v>
      </c>
      <c r="M1190" t="s">
        <v>1552</v>
      </c>
      <c r="N1190" t="s">
        <v>8983</v>
      </c>
    </row>
    <row r="1191" spans="1:14" x14ac:dyDescent="0.3">
      <c r="A1191">
        <v>2025</v>
      </c>
      <c r="B1191" s="159">
        <v>45743</v>
      </c>
      <c r="C1191" s="130">
        <v>46.47</v>
      </c>
      <c r="D1191" s="130">
        <v>47.15</v>
      </c>
      <c r="E1191" s="130">
        <v>46.09</v>
      </c>
      <c r="F1191" s="130">
        <v>46.41</v>
      </c>
      <c r="G1191" s="160">
        <v>14246294</v>
      </c>
      <c r="H1191" s="160">
        <f t="shared" si="18"/>
        <v>661170504.53999996</v>
      </c>
      <c r="I1191" t="s">
        <v>8881</v>
      </c>
      <c r="J1191">
        <v>2025</v>
      </c>
      <c r="K1191">
        <v>3</v>
      </c>
      <c r="L1191" t="s">
        <v>5616</v>
      </c>
      <c r="M1191" t="s">
        <v>1552</v>
      </c>
      <c r="N1191" t="s">
        <v>8983</v>
      </c>
    </row>
    <row r="1192" spans="1:14" x14ac:dyDescent="0.3">
      <c r="A1192">
        <v>2025</v>
      </c>
      <c r="B1192" s="159">
        <v>45750</v>
      </c>
      <c r="C1192" s="130">
        <v>46.39</v>
      </c>
      <c r="D1192" s="130">
        <v>47.6</v>
      </c>
      <c r="E1192" s="130">
        <v>46.1</v>
      </c>
      <c r="F1192" s="130">
        <v>47.32</v>
      </c>
      <c r="G1192" s="160">
        <v>13679198</v>
      </c>
      <c r="H1192" s="160">
        <f t="shared" si="18"/>
        <v>647299649.36000001</v>
      </c>
      <c r="I1192" t="s">
        <v>8882</v>
      </c>
      <c r="J1192">
        <v>2025</v>
      </c>
      <c r="K1192">
        <v>4</v>
      </c>
      <c r="L1192" t="s">
        <v>5637</v>
      </c>
      <c r="M1192" t="s">
        <v>1552</v>
      </c>
      <c r="N1192" t="s">
        <v>8984</v>
      </c>
    </row>
    <row r="1193" spans="1:14" x14ac:dyDescent="0.3">
      <c r="A1193">
        <v>2025</v>
      </c>
      <c r="B1193" s="159">
        <v>45751</v>
      </c>
      <c r="C1193" s="130">
        <v>47.8</v>
      </c>
      <c r="D1193" s="130">
        <v>48.94</v>
      </c>
      <c r="E1193" s="130">
        <v>47</v>
      </c>
      <c r="F1193" s="130">
        <v>47.23</v>
      </c>
      <c r="G1193" s="160">
        <v>18559323</v>
      </c>
      <c r="H1193" s="160">
        <f t="shared" si="18"/>
        <v>876556825.28999996</v>
      </c>
      <c r="I1193" t="s">
        <v>8882</v>
      </c>
      <c r="J1193">
        <v>2025</v>
      </c>
      <c r="K1193">
        <v>4</v>
      </c>
      <c r="L1193" t="s">
        <v>5637</v>
      </c>
      <c r="M1193" t="s">
        <v>1552</v>
      </c>
      <c r="N1193" t="s">
        <v>8984</v>
      </c>
    </row>
    <row r="1194" spans="1:14" x14ac:dyDescent="0.3">
      <c r="A1194">
        <v>2025</v>
      </c>
      <c r="B1194" s="159">
        <v>45754</v>
      </c>
      <c r="C1194" s="130">
        <v>46</v>
      </c>
      <c r="D1194" s="130">
        <v>46.2</v>
      </c>
      <c r="E1194" s="130">
        <v>42.52</v>
      </c>
      <c r="F1194" s="130">
        <v>45.65</v>
      </c>
      <c r="G1194" s="160">
        <v>16903951</v>
      </c>
      <c r="H1194" s="160">
        <f t="shared" si="18"/>
        <v>771665363.14999998</v>
      </c>
      <c r="I1194" t="s">
        <v>8882</v>
      </c>
      <c r="J1194">
        <v>2025</v>
      </c>
      <c r="K1194">
        <v>4</v>
      </c>
      <c r="L1194" t="s">
        <v>5637</v>
      </c>
      <c r="M1194" t="s">
        <v>1552</v>
      </c>
      <c r="N1194" t="s">
        <v>8984</v>
      </c>
    </row>
    <row r="1195" spans="1:14" x14ac:dyDescent="0.3">
      <c r="A1195">
        <v>2025</v>
      </c>
      <c r="B1195" s="159">
        <v>45755</v>
      </c>
      <c r="C1195" s="130">
        <v>46.4</v>
      </c>
      <c r="D1195" s="130">
        <v>47.41</v>
      </c>
      <c r="E1195" s="130">
        <v>46</v>
      </c>
      <c r="F1195" s="130">
        <v>46.94</v>
      </c>
      <c r="G1195" s="160">
        <v>14674396</v>
      </c>
      <c r="H1195" s="160">
        <f t="shared" si="18"/>
        <v>688816148.24000001</v>
      </c>
      <c r="I1195" t="s">
        <v>8882</v>
      </c>
      <c r="J1195">
        <v>2025</v>
      </c>
      <c r="K1195">
        <v>4</v>
      </c>
      <c r="L1195" t="s">
        <v>5637</v>
      </c>
      <c r="M1195" t="s">
        <v>1552</v>
      </c>
      <c r="N1195" t="s">
        <v>8984</v>
      </c>
    </row>
    <row r="1196" spans="1:14" x14ac:dyDescent="0.3">
      <c r="A1196">
        <v>2025</v>
      </c>
      <c r="B1196" s="159">
        <v>45756</v>
      </c>
      <c r="C1196" s="130">
        <v>46.45</v>
      </c>
      <c r="D1196" s="130">
        <v>47.49</v>
      </c>
      <c r="E1196" s="130">
        <v>46.06</v>
      </c>
      <c r="F1196" s="130">
        <v>46.73</v>
      </c>
      <c r="G1196" s="160">
        <v>11129492</v>
      </c>
      <c r="H1196" s="160">
        <f t="shared" si="18"/>
        <v>520081161.15999997</v>
      </c>
      <c r="I1196" t="s">
        <v>8882</v>
      </c>
      <c r="J1196">
        <v>2025</v>
      </c>
      <c r="K1196">
        <v>4</v>
      </c>
      <c r="L1196" t="s">
        <v>5637</v>
      </c>
      <c r="M1196" t="s">
        <v>1552</v>
      </c>
      <c r="N1196" t="s">
        <v>8984</v>
      </c>
    </row>
    <row r="1197" spans="1:14" x14ac:dyDescent="0.3">
      <c r="A1197">
        <v>2025</v>
      </c>
      <c r="B1197" s="159">
        <v>45757</v>
      </c>
      <c r="C1197" s="130">
        <v>48.65</v>
      </c>
      <c r="D1197" s="130">
        <v>49</v>
      </c>
      <c r="E1197" s="130">
        <v>46.8</v>
      </c>
      <c r="F1197" s="130">
        <v>47.25</v>
      </c>
      <c r="G1197" s="160">
        <v>19242425</v>
      </c>
      <c r="H1197" s="160">
        <f t="shared" si="18"/>
        <v>909204581.25</v>
      </c>
      <c r="I1197" t="s">
        <v>8882</v>
      </c>
      <c r="J1197">
        <v>2025</v>
      </c>
      <c r="K1197">
        <v>4</v>
      </c>
      <c r="L1197" t="s">
        <v>5637</v>
      </c>
      <c r="M1197" t="s">
        <v>1552</v>
      </c>
      <c r="N1197" t="s">
        <v>8984</v>
      </c>
    </row>
    <row r="1198" spans="1:14" x14ac:dyDescent="0.3">
      <c r="A1198">
        <v>2025</v>
      </c>
      <c r="B1198" s="159">
        <v>45758</v>
      </c>
      <c r="C1198" s="130">
        <v>46.89</v>
      </c>
      <c r="D1198" s="130">
        <v>46.89</v>
      </c>
      <c r="E1198" s="130">
        <v>46.2</v>
      </c>
      <c r="F1198" s="130">
        <v>46.6</v>
      </c>
      <c r="G1198" s="160">
        <v>4969994</v>
      </c>
      <c r="H1198" s="160">
        <f t="shared" si="18"/>
        <v>231601720.40000001</v>
      </c>
      <c r="I1198" t="s">
        <v>8882</v>
      </c>
      <c r="J1198">
        <v>2025</v>
      </c>
      <c r="K1198">
        <v>4</v>
      </c>
      <c r="L1198" t="s">
        <v>5637</v>
      </c>
      <c r="M1198" t="s">
        <v>1552</v>
      </c>
      <c r="N1198" t="s">
        <v>8984</v>
      </c>
    </row>
    <row r="1199" spans="1:14" x14ac:dyDescent="0.3">
      <c r="A1199">
        <v>2025</v>
      </c>
      <c r="B1199" s="159">
        <v>45761</v>
      </c>
      <c r="C1199" s="130">
        <v>46.61</v>
      </c>
      <c r="D1199" s="130">
        <v>47.29</v>
      </c>
      <c r="E1199" s="130">
        <v>46.25</v>
      </c>
      <c r="F1199" s="130">
        <v>46.94</v>
      </c>
      <c r="G1199" s="160">
        <v>5573315</v>
      </c>
      <c r="H1199" s="160">
        <f t="shared" si="18"/>
        <v>261611406.09999999</v>
      </c>
      <c r="I1199" t="s">
        <v>8882</v>
      </c>
      <c r="J1199">
        <v>2025</v>
      </c>
      <c r="K1199">
        <v>4</v>
      </c>
      <c r="L1199" t="s">
        <v>5637</v>
      </c>
      <c r="M1199" t="s">
        <v>1552</v>
      </c>
      <c r="N1199" t="s">
        <v>8984</v>
      </c>
    </row>
    <row r="1200" spans="1:14" x14ac:dyDescent="0.3">
      <c r="A1200">
        <v>2025</v>
      </c>
      <c r="B1200" s="159">
        <v>45762</v>
      </c>
      <c r="C1200" s="130">
        <v>47</v>
      </c>
      <c r="D1200" s="130">
        <v>47.23</v>
      </c>
      <c r="E1200" s="130">
        <v>45.6</v>
      </c>
      <c r="F1200" s="130">
        <v>45.96</v>
      </c>
      <c r="G1200" s="160">
        <v>4496401</v>
      </c>
      <c r="H1200" s="160">
        <f t="shared" si="18"/>
        <v>206654589.96000001</v>
      </c>
      <c r="I1200" t="s">
        <v>8882</v>
      </c>
      <c r="J1200">
        <v>2025</v>
      </c>
      <c r="K1200">
        <v>4</v>
      </c>
      <c r="L1200" t="s">
        <v>5637</v>
      </c>
      <c r="M1200" t="s">
        <v>1552</v>
      </c>
      <c r="N1200" t="s">
        <v>8984</v>
      </c>
    </row>
    <row r="1201" spans="1:14" x14ac:dyDescent="0.3">
      <c r="A1201">
        <v>2025</v>
      </c>
      <c r="B1201" s="159">
        <v>45763</v>
      </c>
      <c r="C1201" s="130">
        <v>45.96</v>
      </c>
      <c r="D1201" s="130">
        <v>46.38</v>
      </c>
      <c r="E1201" s="130">
        <v>44.8</v>
      </c>
      <c r="F1201" s="130">
        <v>44.98</v>
      </c>
      <c r="G1201" s="160">
        <v>5223762</v>
      </c>
      <c r="H1201" s="160">
        <f t="shared" si="18"/>
        <v>234964814.75999999</v>
      </c>
      <c r="I1201" t="s">
        <v>8882</v>
      </c>
      <c r="J1201">
        <v>2025</v>
      </c>
      <c r="K1201">
        <v>4</v>
      </c>
      <c r="L1201" t="s">
        <v>5637</v>
      </c>
      <c r="M1201" t="s">
        <v>1552</v>
      </c>
      <c r="N1201" t="s">
        <v>8984</v>
      </c>
    </row>
    <row r="1202" spans="1:14" x14ac:dyDescent="0.3">
      <c r="A1202">
        <v>2025</v>
      </c>
      <c r="B1202" s="159">
        <v>45764</v>
      </c>
      <c r="C1202" s="130">
        <v>45.03</v>
      </c>
      <c r="D1202" s="130">
        <v>46.8</v>
      </c>
      <c r="E1202" s="130">
        <v>45.03</v>
      </c>
      <c r="F1202" s="130">
        <v>46.17</v>
      </c>
      <c r="G1202" s="160">
        <v>16949781</v>
      </c>
      <c r="H1202" s="160">
        <f t="shared" si="18"/>
        <v>782571388.76999998</v>
      </c>
      <c r="I1202" t="s">
        <v>8882</v>
      </c>
      <c r="J1202">
        <v>2025</v>
      </c>
      <c r="K1202">
        <v>4</v>
      </c>
      <c r="L1202" t="s">
        <v>5637</v>
      </c>
      <c r="M1202" t="s">
        <v>1552</v>
      </c>
      <c r="N1202" t="s">
        <v>8984</v>
      </c>
    </row>
    <row r="1203" spans="1:14" x14ac:dyDescent="0.3">
      <c r="A1203">
        <v>2025</v>
      </c>
      <c r="B1203" s="159">
        <v>45765</v>
      </c>
      <c r="C1203" s="130">
        <v>46.48</v>
      </c>
      <c r="D1203" s="130">
        <v>46.62</v>
      </c>
      <c r="E1203" s="130">
        <v>45.94</v>
      </c>
      <c r="F1203" s="130">
        <v>46.18</v>
      </c>
      <c r="G1203" s="160">
        <v>7881960</v>
      </c>
      <c r="H1203" s="160">
        <f t="shared" si="18"/>
        <v>363988912.80000001</v>
      </c>
      <c r="I1203" t="s">
        <v>8882</v>
      </c>
      <c r="J1203">
        <v>2025</v>
      </c>
      <c r="K1203">
        <v>4</v>
      </c>
      <c r="L1203" t="s">
        <v>5637</v>
      </c>
      <c r="M1203" t="s">
        <v>1552</v>
      </c>
      <c r="N1203" t="s">
        <v>8984</v>
      </c>
    </row>
    <row r="1204" spans="1:14" x14ac:dyDescent="0.3">
      <c r="A1204">
        <v>2025</v>
      </c>
      <c r="B1204" s="159">
        <v>45768</v>
      </c>
      <c r="C1204" s="130">
        <v>46.57</v>
      </c>
      <c r="D1204" s="130">
        <v>47.75</v>
      </c>
      <c r="E1204" s="130">
        <v>45.5</v>
      </c>
      <c r="F1204" s="130">
        <v>46.52</v>
      </c>
      <c r="G1204" s="160">
        <v>16149277</v>
      </c>
      <c r="H1204" s="160">
        <f t="shared" si="18"/>
        <v>751264366.04000008</v>
      </c>
      <c r="I1204" t="s">
        <v>8882</v>
      </c>
      <c r="J1204">
        <v>2025</v>
      </c>
      <c r="K1204">
        <v>4</v>
      </c>
      <c r="L1204" t="s">
        <v>5637</v>
      </c>
      <c r="M1204" t="s">
        <v>1552</v>
      </c>
      <c r="N1204" t="s">
        <v>8984</v>
      </c>
    </row>
    <row r="1205" spans="1:14" x14ac:dyDescent="0.3">
      <c r="A1205">
        <v>2025</v>
      </c>
      <c r="B1205" s="159">
        <v>45769</v>
      </c>
      <c r="C1205" s="130">
        <v>46.5</v>
      </c>
      <c r="D1205" s="130">
        <v>47.1</v>
      </c>
      <c r="E1205" s="130">
        <v>46.2</v>
      </c>
      <c r="F1205" s="130">
        <v>46.28</v>
      </c>
      <c r="G1205" s="160">
        <v>6397163</v>
      </c>
      <c r="H1205" s="160">
        <f t="shared" si="18"/>
        <v>296060703.63999999</v>
      </c>
      <c r="I1205" t="s">
        <v>8882</v>
      </c>
      <c r="J1205">
        <v>2025</v>
      </c>
      <c r="K1205">
        <v>4</v>
      </c>
      <c r="L1205" t="s">
        <v>5637</v>
      </c>
      <c r="M1205" t="s">
        <v>1552</v>
      </c>
      <c r="N1205" t="s">
        <v>8984</v>
      </c>
    </row>
    <row r="1206" spans="1:14" x14ac:dyDescent="0.3">
      <c r="A1206">
        <v>2025</v>
      </c>
      <c r="B1206" s="159">
        <v>45770</v>
      </c>
      <c r="C1206" s="130">
        <v>46.9</v>
      </c>
      <c r="D1206" s="130">
        <v>47.2</v>
      </c>
      <c r="E1206" s="130">
        <v>45.51</v>
      </c>
      <c r="F1206" s="130">
        <v>45.77</v>
      </c>
      <c r="G1206" s="160">
        <v>3763581</v>
      </c>
      <c r="H1206" s="160">
        <f t="shared" si="18"/>
        <v>172259102.37</v>
      </c>
      <c r="I1206" t="s">
        <v>8882</v>
      </c>
      <c r="J1206">
        <v>2025</v>
      </c>
      <c r="K1206">
        <v>4</v>
      </c>
      <c r="L1206" t="s">
        <v>5637</v>
      </c>
      <c r="M1206" t="s">
        <v>1552</v>
      </c>
      <c r="N1206" t="s">
        <v>8984</v>
      </c>
    </row>
    <row r="1207" spans="1:14" x14ac:dyDescent="0.3">
      <c r="A1207">
        <v>2025</v>
      </c>
      <c r="B1207" s="159">
        <v>45771</v>
      </c>
      <c r="C1207" s="130">
        <v>44</v>
      </c>
      <c r="D1207" s="130">
        <v>45.6</v>
      </c>
      <c r="E1207" s="130">
        <v>43.25</v>
      </c>
      <c r="F1207" s="130">
        <v>43.93</v>
      </c>
      <c r="G1207" s="160">
        <v>12426119</v>
      </c>
      <c r="H1207" s="160">
        <f t="shared" si="18"/>
        <v>545879407.66999996</v>
      </c>
      <c r="I1207" t="s">
        <v>8882</v>
      </c>
      <c r="J1207">
        <v>2025</v>
      </c>
      <c r="K1207">
        <v>4</v>
      </c>
      <c r="L1207" t="s">
        <v>5637</v>
      </c>
      <c r="M1207" t="s">
        <v>1552</v>
      </c>
      <c r="N1207" t="s">
        <v>8984</v>
      </c>
    </row>
    <row r="1208" spans="1:14" x14ac:dyDescent="0.3">
      <c r="A1208">
        <v>2025</v>
      </c>
      <c r="B1208" s="159">
        <v>45772</v>
      </c>
      <c r="C1208" s="130">
        <v>43.55</v>
      </c>
      <c r="D1208" s="130">
        <v>45</v>
      </c>
      <c r="E1208" s="130">
        <v>43</v>
      </c>
      <c r="F1208" s="130">
        <v>44.58</v>
      </c>
      <c r="G1208" s="160">
        <v>6749144</v>
      </c>
      <c r="H1208" s="160">
        <f t="shared" si="18"/>
        <v>300876839.51999998</v>
      </c>
      <c r="I1208" t="s">
        <v>8882</v>
      </c>
      <c r="J1208">
        <v>2025</v>
      </c>
      <c r="K1208">
        <v>4</v>
      </c>
      <c r="L1208" t="s">
        <v>5637</v>
      </c>
      <c r="M1208" t="s">
        <v>1552</v>
      </c>
      <c r="N1208" t="s">
        <v>8984</v>
      </c>
    </row>
    <row r="1209" spans="1:14" x14ac:dyDescent="0.3">
      <c r="A1209">
        <v>2025</v>
      </c>
      <c r="B1209" s="159">
        <v>45775</v>
      </c>
      <c r="C1209" s="130">
        <v>44.26</v>
      </c>
      <c r="D1209" s="130">
        <v>45.5</v>
      </c>
      <c r="E1209" s="130">
        <v>42.24</v>
      </c>
      <c r="F1209" s="130">
        <v>42.97</v>
      </c>
      <c r="G1209" s="160">
        <v>4730860</v>
      </c>
      <c r="H1209" s="160">
        <f t="shared" si="18"/>
        <v>203285054.19999999</v>
      </c>
      <c r="I1209" t="s">
        <v>8882</v>
      </c>
      <c r="J1209">
        <v>2025</v>
      </c>
      <c r="K1209">
        <v>4</v>
      </c>
      <c r="L1209" t="s">
        <v>5637</v>
      </c>
      <c r="M1209" t="s">
        <v>1552</v>
      </c>
      <c r="N1209" t="s">
        <v>8984</v>
      </c>
    </row>
    <row r="1210" spans="1:14" x14ac:dyDescent="0.3">
      <c r="A1210">
        <v>2025</v>
      </c>
      <c r="B1210" s="159">
        <v>45776</v>
      </c>
      <c r="C1210" s="130">
        <v>43.31</v>
      </c>
      <c r="D1210" s="130">
        <v>44.5</v>
      </c>
      <c r="E1210" s="130">
        <v>42.4</v>
      </c>
      <c r="F1210" s="130">
        <v>43.73</v>
      </c>
      <c r="G1210" s="160">
        <v>7326812</v>
      </c>
      <c r="H1210" s="160">
        <f t="shared" si="18"/>
        <v>320401488.75999999</v>
      </c>
      <c r="I1210" t="s">
        <v>8882</v>
      </c>
      <c r="J1210">
        <v>2025</v>
      </c>
      <c r="K1210">
        <v>4</v>
      </c>
      <c r="L1210" t="s">
        <v>5637</v>
      </c>
      <c r="M1210" t="s">
        <v>1552</v>
      </c>
      <c r="N1210" t="s">
        <v>8984</v>
      </c>
    </row>
    <row r="1211" spans="1:14" x14ac:dyDescent="0.3">
      <c r="A1211">
        <v>2025</v>
      </c>
      <c r="B1211" s="159">
        <v>45777</v>
      </c>
      <c r="C1211" s="130">
        <v>43.1</v>
      </c>
      <c r="D1211" s="130">
        <v>43.48</v>
      </c>
      <c r="E1211" s="130">
        <v>41.75</v>
      </c>
      <c r="F1211" s="130">
        <v>42.81</v>
      </c>
      <c r="G1211" s="160">
        <v>13723423</v>
      </c>
      <c r="H1211" s="160">
        <f t="shared" si="18"/>
        <v>587499738.63</v>
      </c>
      <c r="I1211" t="s">
        <v>8882</v>
      </c>
      <c r="J1211">
        <v>2025</v>
      </c>
      <c r="K1211">
        <v>4</v>
      </c>
      <c r="L1211" t="s">
        <v>5637</v>
      </c>
      <c r="M1211" t="s">
        <v>1552</v>
      </c>
      <c r="N1211" t="s">
        <v>8984</v>
      </c>
    </row>
    <row r="1212" spans="1:14" x14ac:dyDescent="0.3">
      <c r="A1212">
        <v>2025</v>
      </c>
      <c r="B1212" s="159">
        <v>45779</v>
      </c>
      <c r="C1212" s="130">
        <v>43.45</v>
      </c>
      <c r="D1212" s="130">
        <v>44.3</v>
      </c>
      <c r="E1212" s="130">
        <v>43.2</v>
      </c>
      <c r="F1212" s="130">
        <v>43.44</v>
      </c>
      <c r="G1212" s="160">
        <v>11208268</v>
      </c>
      <c r="H1212" s="160">
        <f t="shared" si="18"/>
        <v>486887161.91999996</v>
      </c>
      <c r="I1212" t="s">
        <v>8883</v>
      </c>
      <c r="J1212">
        <v>2025</v>
      </c>
      <c r="K1212">
        <v>5</v>
      </c>
      <c r="L1212" t="s">
        <v>5659</v>
      </c>
      <c r="M1212" t="s">
        <v>1552</v>
      </c>
      <c r="N1212" t="s">
        <v>8985</v>
      </c>
    </row>
    <row r="1213" spans="1:14" x14ac:dyDescent="0.3">
      <c r="A1213">
        <v>2025</v>
      </c>
      <c r="B1213" s="159">
        <v>45782</v>
      </c>
      <c r="C1213" s="130">
        <v>43.5</v>
      </c>
      <c r="D1213" s="130">
        <v>45.4</v>
      </c>
      <c r="E1213" s="130">
        <v>42.25</v>
      </c>
      <c r="F1213" s="130">
        <v>44.65</v>
      </c>
      <c r="G1213" s="160">
        <v>14618227</v>
      </c>
      <c r="H1213" s="160">
        <f t="shared" si="18"/>
        <v>652703835.54999995</v>
      </c>
      <c r="I1213" t="s">
        <v>8883</v>
      </c>
      <c r="J1213">
        <v>2025</v>
      </c>
      <c r="K1213">
        <v>5</v>
      </c>
      <c r="L1213" t="s">
        <v>5659</v>
      </c>
      <c r="M1213" t="s">
        <v>1552</v>
      </c>
      <c r="N1213" t="s">
        <v>8985</v>
      </c>
    </row>
    <row r="1214" spans="1:14" x14ac:dyDescent="0.3">
      <c r="A1214">
        <v>2025</v>
      </c>
      <c r="B1214" s="159">
        <v>45783</v>
      </c>
      <c r="C1214" s="130">
        <v>45.51</v>
      </c>
      <c r="D1214" s="130">
        <v>45.51</v>
      </c>
      <c r="E1214" s="130">
        <v>43.87</v>
      </c>
      <c r="F1214" s="130">
        <v>44.04</v>
      </c>
      <c r="G1214" s="160">
        <v>5827716</v>
      </c>
      <c r="H1214" s="160">
        <f t="shared" si="18"/>
        <v>256652612.63999999</v>
      </c>
      <c r="I1214" t="s">
        <v>8883</v>
      </c>
      <c r="J1214">
        <v>2025</v>
      </c>
      <c r="K1214">
        <v>5</v>
      </c>
      <c r="L1214" t="s">
        <v>5659</v>
      </c>
      <c r="M1214" t="s">
        <v>1552</v>
      </c>
      <c r="N1214" t="s">
        <v>8985</v>
      </c>
    </row>
    <row r="1215" spans="1:14" x14ac:dyDescent="0.3">
      <c r="A1215">
        <v>2025</v>
      </c>
      <c r="B1215" s="159">
        <v>45784</v>
      </c>
      <c r="C1215" s="130">
        <v>40.01</v>
      </c>
      <c r="D1215" s="130">
        <v>43.95</v>
      </c>
      <c r="E1215" s="130">
        <v>40.01</v>
      </c>
      <c r="F1215" s="130">
        <v>42.85</v>
      </c>
      <c r="G1215" s="160">
        <v>16433479</v>
      </c>
      <c r="H1215" s="160">
        <f t="shared" si="18"/>
        <v>704174575.14999998</v>
      </c>
      <c r="I1215" t="s">
        <v>8883</v>
      </c>
      <c r="J1215">
        <v>2025</v>
      </c>
      <c r="K1215">
        <v>5</v>
      </c>
      <c r="L1215" t="s">
        <v>5659</v>
      </c>
      <c r="M1215" t="s">
        <v>1552</v>
      </c>
      <c r="N1215" t="s">
        <v>8985</v>
      </c>
    </row>
    <row r="1216" spans="1:14" x14ac:dyDescent="0.3">
      <c r="A1216">
        <v>2025</v>
      </c>
      <c r="B1216" s="159">
        <v>45785</v>
      </c>
      <c r="C1216" s="130">
        <v>43.29</v>
      </c>
      <c r="D1216" s="130">
        <v>43.65</v>
      </c>
      <c r="E1216" s="130">
        <v>38.57</v>
      </c>
      <c r="F1216" s="130">
        <v>39.86</v>
      </c>
      <c r="G1216" s="160">
        <v>19664828</v>
      </c>
      <c r="H1216" s="160">
        <f t="shared" si="18"/>
        <v>783840044.08000004</v>
      </c>
      <c r="I1216" t="s">
        <v>8883</v>
      </c>
      <c r="J1216">
        <v>2025</v>
      </c>
      <c r="K1216">
        <v>5</v>
      </c>
      <c r="L1216" t="s">
        <v>5659</v>
      </c>
      <c r="M1216" t="s">
        <v>1552</v>
      </c>
      <c r="N1216" t="s">
        <v>8985</v>
      </c>
    </row>
    <row r="1217" spans="1:14" x14ac:dyDescent="0.3">
      <c r="A1217">
        <v>2025</v>
      </c>
      <c r="B1217" s="159">
        <v>45786</v>
      </c>
      <c r="C1217" s="130">
        <v>39.5</v>
      </c>
      <c r="D1217" s="130">
        <v>42.8</v>
      </c>
      <c r="E1217" s="130">
        <v>38.85</v>
      </c>
      <c r="F1217" s="130">
        <v>41.55</v>
      </c>
      <c r="G1217" s="160">
        <v>8256394</v>
      </c>
      <c r="H1217" s="160">
        <f t="shared" si="18"/>
        <v>343053170.69999999</v>
      </c>
      <c r="I1217" t="s">
        <v>8883</v>
      </c>
      <c r="J1217">
        <v>2025</v>
      </c>
      <c r="K1217">
        <v>5</v>
      </c>
      <c r="L1217" t="s">
        <v>5659</v>
      </c>
      <c r="M1217" t="s">
        <v>1552</v>
      </c>
      <c r="N1217" t="s">
        <v>8985</v>
      </c>
    </row>
    <row r="1218" spans="1:14" x14ac:dyDescent="0.3">
      <c r="A1218">
        <v>2025</v>
      </c>
      <c r="B1218" s="159">
        <v>45789</v>
      </c>
      <c r="C1218" s="130">
        <v>45.71</v>
      </c>
      <c r="D1218" s="130">
        <v>45.71</v>
      </c>
      <c r="E1218" s="130">
        <v>45</v>
      </c>
      <c r="F1218" s="130">
        <v>45.71</v>
      </c>
      <c r="G1218" s="160">
        <v>6714721</v>
      </c>
      <c r="H1218" s="160">
        <f t="shared" si="18"/>
        <v>306929896.91000003</v>
      </c>
      <c r="I1218" t="s">
        <v>8883</v>
      </c>
      <c r="J1218">
        <v>2025</v>
      </c>
      <c r="K1218">
        <v>5</v>
      </c>
      <c r="L1218" t="s">
        <v>5659</v>
      </c>
      <c r="M1218" t="s">
        <v>1552</v>
      </c>
      <c r="N1218" t="s">
        <v>8985</v>
      </c>
    </row>
    <row r="1219" spans="1:14" x14ac:dyDescent="0.3">
      <c r="A1219">
        <v>2025</v>
      </c>
      <c r="B1219" s="159">
        <v>45790</v>
      </c>
      <c r="C1219" s="130">
        <v>47.5</v>
      </c>
      <c r="D1219" s="130">
        <v>47.87</v>
      </c>
      <c r="E1219" s="130">
        <v>44.51</v>
      </c>
      <c r="F1219" s="130">
        <v>47.53</v>
      </c>
      <c r="G1219" s="160">
        <v>20681855</v>
      </c>
      <c r="H1219" s="160">
        <f t="shared" si="18"/>
        <v>983008568.14999998</v>
      </c>
      <c r="I1219" t="s">
        <v>8883</v>
      </c>
      <c r="J1219">
        <v>2025</v>
      </c>
      <c r="K1219">
        <v>5</v>
      </c>
      <c r="L1219" t="s">
        <v>5659</v>
      </c>
      <c r="M1219" t="s">
        <v>1552</v>
      </c>
      <c r="N1219" t="s">
        <v>8985</v>
      </c>
    </row>
    <row r="1220" spans="1:14" x14ac:dyDescent="0.3">
      <c r="A1220">
        <v>2025</v>
      </c>
      <c r="B1220" s="159">
        <v>45791</v>
      </c>
      <c r="C1220" s="130">
        <v>47.53</v>
      </c>
      <c r="D1220" s="130">
        <v>49.85</v>
      </c>
      <c r="E1220" s="130">
        <v>47.2</v>
      </c>
      <c r="F1220" s="130">
        <v>47.86</v>
      </c>
      <c r="G1220" s="160">
        <v>36170971</v>
      </c>
      <c r="H1220" s="160">
        <f t="shared" si="18"/>
        <v>1731142672.0599999</v>
      </c>
      <c r="I1220" t="s">
        <v>8883</v>
      </c>
      <c r="J1220">
        <v>2025</v>
      </c>
      <c r="K1220">
        <v>5</v>
      </c>
      <c r="L1220" t="s">
        <v>5659</v>
      </c>
      <c r="M1220" t="s">
        <v>1552</v>
      </c>
      <c r="N1220" t="s">
        <v>8985</v>
      </c>
    </row>
    <row r="1221" spans="1:14" x14ac:dyDescent="0.3">
      <c r="A1221">
        <v>2025</v>
      </c>
      <c r="B1221" s="159">
        <v>45792</v>
      </c>
      <c r="C1221" s="130">
        <v>47.1</v>
      </c>
      <c r="D1221" s="130">
        <v>49.1</v>
      </c>
      <c r="E1221" s="130">
        <v>47.1</v>
      </c>
      <c r="F1221" s="130">
        <v>48.54</v>
      </c>
      <c r="G1221" s="160">
        <v>15159381</v>
      </c>
      <c r="H1221" s="160">
        <f t="shared" si="18"/>
        <v>735836353.74000001</v>
      </c>
      <c r="I1221" t="s">
        <v>8883</v>
      </c>
      <c r="J1221">
        <v>2025</v>
      </c>
      <c r="K1221">
        <v>5</v>
      </c>
      <c r="L1221" t="s">
        <v>5659</v>
      </c>
      <c r="M1221" t="s">
        <v>1552</v>
      </c>
      <c r="N1221" t="s">
        <v>8985</v>
      </c>
    </row>
    <row r="1222" spans="1:14" x14ac:dyDescent="0.3">
      <c r="A1222">
        <v>2025</v>
      </c>
      <c r="B1222" s="159">
        <v>45793</v>
      </c>
      <c r="C1222" s="130">
        <v>48.85</v>
      </c>
      <c r="D1222" s="130">
        <v>49.09</v>
      </c>
      <c r="E1222" s="130">
        <v>47.8</v>
      </c>
      <c r="F1222" s="130">
        <v>47.94</v>
      </c>
      <c r="G1222" s="160">
        <v>5932968</v>
      </c>
      <c r="H1222" s="160">
        <f t="shared" si="18"/>
        <v>284426485.91999996</v>
      </c>
      <c r="I1222" t="s">
        <v>8883</v>
      </c>
      <c r="J1222">
        <v>2025</v>
      </c>
      <c r="K1222">
        <v>5</v>
      </c>
      <c r="L1222" t="s">
        <v>5659</v>
      </c>
      <c r="M1222" t="s">
        <v>1552</v>
      </c>
      <c r="N1222" t="s">
        <v>8985</v>
      </c>
    </row>
    <row r="1223" spans="1:14" x14ac:dyDescent="0.3">
      <c r="A1223">
        <v>2025</v>
      </c>
      <c r="B1223" s="159">
        <v>45796</v>
      </c>
      <c r="C1223" s="130">
        <v>48</v>
      </c>
      <c r="D1223" s="130">
        <v>48.33</v>
      </c>
      <c r="E1223" s="130">
        <v>46.7</v>
      </c>
      <c r="F1223" s="130">
        <v>47.11</v>
      </c>
      <c r="G1223" s="160">
        <v>4058330</v>
      </c>
      <c r="H1223" s="160">
        <f t="shared" si="18"/>
        <v>191187926.30000001</v>
      </c>
      <c r="I1223" t="s">
        <v>8883</v>
      </c>
      <c r="J1223">
        <v>2025</v>
      </c>
      <c r="K1223">
        <v>5</v>
      </c>
      <c r="L1223" t="s">
        <v>5659</v>
      </c>
      <c r="M1223" t="s">
        <v>1552</v>
      </c>
      <c r="N1223" t="s">
        <v>8985</v>
      </c>
    </row>
    <row r="1224" spans="1:14" x14ac:dyDescent="0.3">
      <c r="A1224">
        <v>2025</v>
      </c>
      <c r="B1224" s="159">
        <v>45797</v>
      </c>
      <c r="C1224" s="130">
        <v>47.1</v>
      </c>
      <c r="D1224" s="130">
        <v>47.99</v>
      </c>
      <c r="E1224" s="130">
        <v>46.5</v>
      </c>
      <c r="F1224" s="130">
        <v>46.99</v>
      </c>
      <c r="G1224" s="160">
        <v>8954504</v>
      </c>
      <c r="H1224" s="160">
        <f t="shared" si="18"/>
        <v>420772142.96000004</v>
      </c>
      <c r="I1224" t="s">
        <v>8883</v>
      </c>
      <c r="J1224">
        <v>2025</v>
      </c>
      <c r="K1224">
        <v>5</v>
      </c>
      <c r="L1224" t="s">
        <v>5659</v>
      </c>
      <c r="M1224" t="s">
        <v>1552</v>
      </c>
      <c r="N1224" t="s">
        <v>8985</v>
      </c>
    </row>
    <row r="1225" spans="1:14" x14ac:dyDescent="0.3">
      <c r="A1225">
        <v>2025</v>
      </c>
      <c r="B1225" s="159">
        <v>45798</v>
      </c>
      <c r="C1225" s="130">
        <v>47</v>
      </c>
      <c r="D1225" s="130">
        <v>47.51</v>
      </c>
      <c r="E1225" s="130">
        <v>46.45</v>
      </c>
      <c r="F1225" s="130">
        <v>46.96</v>
      </c>
      <c r="G1225" s="160">
        <v>11788320</v>
      </c>
      <c r="H1225" s="160">
        <f t="shared" si="18"/>
        <v>553579507.20000005</v>
      </c>
      <c r="I1225" t="s">
        <v>8883</v>
      </c>
      <c r="J1225">
        <v>2025</v>
      </c>
      <c r="K1225">
        <v>5</v>
      </c>
      <c r="L1225" t="s">
        <v>5659</v>
      </c>
      <c r="M1225" t="s">
        <v>1552</v>
      </c>
      <c r="N1225" t="s">
        <v>8985</v>
      </c>
    </row>
    <row r="1226" spans="1:14" x14ac:dyDescent="0.3">
      <c r="A1226">
        <v>2025</v>
      </c>
      <c r="B1226" s="159">
        <v>45799</v>
      </c>
      <c r="C1226" s="130">
        <v>47</v>
      </c>
      <c r="D1226" s="130">
        <v>47.4</v>
      </c>
      <c r="E1226" s="130">
        <v>46.25</v>
      </c>
      <c r="F1226" s="130">
        <v>46.49</v>
      </c>
      <c r="G1226" s="160">
        <v>15031496</v>
      </c>
      <c r="H1226" s="160">
        <f t="shared" si="18"/>
        <v>698814249.04000008</v>
      </c>
      <c r="I1226" t="s">
        <v>8883</v>
      </c>
      <c r="J1226">
        <v>2025</v>
      </c>
      <c r="K1226">
        <v>5</v>
      </c>
      <c r="L1226" t="s">
        <v>5659</v>
      </c>
      <c r="M1226" t="s">
        <v>1552</v>
      </c>
      <c r="N1226" t="s">
        <v>8985</v>
      </c>
    </row>
    <row r="1227" spans="1:14" x14ac:dyDescent="0.3">
      <c r="A1227">
        <v>2025</v>
      </c>
      <c r="B1227" s="159">
        <v>45800</v>
      </c>
      <c r="C1227" s="130">
        <v>46.49</v>
      </c>
      <c r="D1227" s="130">
        <v>46.6</v>
      </c>
      <c r="E1227" s="130">
        <v>45.52</v>
      </c>
      <c r="F1227" s="130">
        <v>46</v>
      </c>
      <c r="G1227" s="160">
        <v>3059560</v>
      </c>
      <c r="H1227" s="160">
        <f t="shared" si="18"/>
        <v>140739760</v>
      </c>
      <c r="I1227" t="s">
        <v>8883</v>
      </c>
      <c r="J1227">
        <v>2025</v>
      </c>
      <c r="K1227">
        <v>5</v>
      </c>
      <c r="L1227" t="s">
        <v>5659</v>
      </c>
      <c r="M1227" t="s">
        <v>1552</v>
      </c>
      <c r="N1227" t="s">
        <v>8985</v>
      </c>
    </row>
    <row r="1228" spans="1:14" x14ac:dyDescent="0.3">
      <c r="A1228">
        <v>2025</v>
      </c>
      <c r="B1228" s="159">
        <v>45803</v>
      </c>
      <c r="C1228" s="130">
        <v>46</v>
      </c>
      <c r="D1228" s="130">
        <v>46.19</v>
      </c>
      <c r="E1228" s="130">
        <v>45.5</v>
      </c>
      <c r="F1228" s="130">
        <v>45.63</v>
      </c>
      <c r="G1228" s="160">
        <v>1862833</v>
      </c>
      <c r="H1228" s="160">
        <f t="shared" si="18"/>
        <v>85001069.790000007</v>
      </c>
      <c r="I1228" t="s">
        <v>8883</v>
      </c>
      <c r="J1228">
        <v>2025</v>
      </c>
      <c r="K1228">
        <v>5</v>
      </c>
      <c r="L1228" t="s">
        <v>5659</v>
      </c>
      <c r="M1228" t="s">
        <v>1552</v>
      </c>
      <c r="N1228" t="s">
        <v>8985</v>
      </c>
    </row>
    <row r="1229" spans="1:14" x14ac:dyDescent="0.3">
      <c r="A1229">
        <v>2025</v>
      </c>
      <c r="B1229" s="159">
        <v>45804</v>
      </c>
      <c r="C1229" s="130">
        <v>45.63</v>
      </c>
      <c r="D1229" s="130">
        <v>46.45</v>
      </c>
      <c r="E1229" s="130">
        <v>45.6</v>
      </c>
      <c r="F1229" s="130">
        <v>45.93</v>
      </c>
      <c r="G1229" s="160">
        <v>12876337</v>
      </c>
      <c r="H1229" s="160">
        <f t="shared" si="18"/>
        <v>591410158.40999997</v>
      </c>
      <c r="I1229" t="s">
        <v>8883</v>
      </c>
      <c r="J1229">
        <v>2025</v>
      </c>
      <c r="K1229">
        <v>5</v>
      </c>
      <c r="L1229" t="s">
        <v>5659</v>
      </c>
      <c r="M1229" t="s">
        <v>1552</v>
      </c>
      <c r="N1229" t="s">
        <v>8985</v>
      </c>
    </row>
    <row r="1230" spans="1:14" x14ac:dyDescent="0.3">
      <c r="A1230">
        <v>2025</v>
      </c>
      <c r="B1230" s="159">
        <v>45806</v>
      </c>
      <c r="C1230" s="130">
        <v>46.29</v>
      </c>
      <c r="D1230" s="130">
        <v>47.24</v>
      </c>
      <c r="E1230" s="130">
        <v>46</v>
      </c>
      <c r="F1230" s="130">
        <v>46.36</v>
      </c>
      <c r="G1230" s="160">
        <v>16496094</v>
      </c>
      <c r="H1230" s="160">
        <f t="shared" si="18"/>
        <v>764758917.84000003</v>
      </c>
      <c r="I1230" t="s">
        <v>8883</v>
      </c>
      <c r="J1230">
        <v>2025</v>
      </c>
      <c r="K1230">
        <v>5</v>
      </c>
      <c r="L1230" t="s">
        <v>5659</v>
      </c>
      <c r="M1230" t="s">
        <v>1552</v>
      </c>
      <c r="N1230" t="s">
        <v>8985</v>
      </c>
    </row>
    <row r="1231" spans="1:14" x14ac:dyDescent="0.3">
      <c r="A1231">
        <v>2025</v>
      </c>
      <c r="B1231" s="159">
        <v>45807</v>
      </c>
      <c r="C1231" s="130">
        <v>46.6</v>
      </c>
      <c r="D1231" s="130">
        <v>46.65</v>
      </c>
      <c r="E1231" s="130">
        <v>46</v>
      </c>
      <c r="F1231" s="130">
        <v>46.11</v>
      </c>
      <c r="G1231" s="160">
        <v>5679803</v>
      </c>
      <c r="H1231" s="160">
        <f t="shared" si="18"/>
        <v>261895716.32999998</v>
      </c>
      <c r="I1231" t="s">
        <v>8883</v>
      </c>
      <c r="J1231">
        <v>2025</v>
      </c>
      <c r="K1231">
        <v>5</v>
      </c>
      <c r="L1231" t="s">
        <v>5659</v>
      </c>
      <c r="M1231" t="s">
        <v>1552</v>
      </c>
      <c r="N1231" t="s">
        <v>8985</v>
      </c>
    </row>
    <row r="1232" spans="1:14" x14ac:dyDescent="0.3">
      <c r="A1232">
        <v>2025</v>
      </c>
      <c r="B1232" s="159">
        <v>45810</v>
      </c>
      <c r="C1232" s="130">
        <v>46.49</v>
      </c>
      <c r="D1232" s="130">
        <v>46.5</v>
      </c>
      <c r="E1232" s="130">
        <v>45</v>
      </c>
      <c r="F1232" s="130">
        <v>45.29</v>
      </c>
      <c r="G1232" s="160">
        <v>4159799</v>
      </c>
      <c r="H1232" s="160">
        <f t="shared" ref="H1232:H1250" si="19">F1232*G1232</f>
        <v>188397296.71000001</v>
      </c>
      <c r="I1232" t="s">
        <v>8884</v>
      </c>
      <c r="J1232">
        <v>2025</v>
      </c>
      <c r="K1232">
        <v>6</v>
      </c>
      <c r="L1232" t="s">
        <v>5681</v>
      </c>
      <c r="M1232" t="s">
        <v>1552</v>
      </c>
      <c r="N1232" t="s">
        <v>8986</v>
      </c>
    </row>
    <row r="1233" spans="1:14" x14ac:dyDescent="0.3">
      <c r="A1233">
        <v>2025</v>
      </c>
      <c r="B1233" s="159">
        <v>45811</v>
      </c>
      <c r="C1233" s="130">
        <v>45.31</v>
      </c>
      <c r="D1233" s="130">
        <v>46.5</v>
      </c>
      <c r="E1233" s="130">
        <v>45.04</v>
      </c>
      <c r="F1233" s="130">
        <v>45.74</v>
      </c>
      <c r="G1233" s="160">
        <v>4752616</v>
      </c>
      <c r="H1233" s="160">
        <f t="shared" si="19"/>
        <v>217384655.84</v>
      </c>
      <c r="I1233" t="s">
        <v>8884</v>
      </c>
      <c r="J1233">
        <v>2025</v>
      </c>
      <c r="K1233">
        <v>6</v>
      </c>
      <c r="L1233" t="s">
        <v>5681</v>
      </c>
      <c r="M1233" t="s">
        <v>1552</v>
      </c>
      <c r="N1233" t="s">
        <v>8986</v>
      </c>
    </row>
    <row r="1234" spans="1:14" x14ac:dyDescent="0.3">
      <c r="A1234">
        <v>2025</v>
      </c>
      <c r="B1234" s="159">
        <v>45812</v>
      </c>
      <c r="C1234" s="130">
        <v>45.98</v>
      </c>
      <c r="D1234" s="130">
        <v>46.08</v>
      </c>
      <c r="E1234" s="130">
        <v>45.1</v>
      </c>
      <c r="F1234" s="130">
        <v>45.37</v>
      </c>
      <c r="G1234" s="160">
        <v>8043365</v>
      </c>
      <c r="H1234" s="160">
        <f t="shared" si="19"/>
        <v>364927470.04999995</v>
      </c>
      <c r="I1234" t="s">
        <v>8884</v>
      </c>
      <c r="J1234">
        <v>2025</v>
      </c>
      <c r="K1234">
        <v>6</v>
      </c>
      <c r="L1234" t="s">
        <v>5681</v>
      </c>
      <c r="M1234" t="s">
        <v>1552</v>
      </c>
      <c r="N1234" t="s">
        <v>8986</v>
      </c>
    </row>
    <row r="1235" spans="1:14" x14ac:dyDescent="0.3">
      <c r="A1235">
        <v>2025</v>
      </c>
      <c r="B1235" s="159">
        <v>45813</v>
      </c>
      <c r="C1235" s="130">
        <v>45.64</v>
      </c>
      <c r="D1235" s="130">
        <v>45.85</v>
      </c>
      <c r="E1235" s="130">
        <v>44.85</v>
      </c>
      <c r="F1235" s="130">
        <v>44.98</v>
      </c>
      <c r="G1235" s="160">
        <v>5670833</v>
      </c>
      <c r="H1235" s="160">
        <f t="shared" si="19"/>
        <v>255074068.33999997</v>
      </c>
      <c r="I1235" t="s">
        <v>8884</v>
      </c>
      <c r="J1235">
        <v>2025</v>
      </c>
      <c r="K1235">
        <v>6</v>
      </c>
      <c r="L1235" t="s">
        <v>5681</v>
      </c>
      <c r="M1235" t="s">
        <v>1552</v>
      </c>
      <c r="N1235" t="s">
        <v>8986</v>
      </c>
    </row>
    <row r="1236" spans="1:14" x14ac:dyDescent="0.3">
      <c r="A1236">
        <v>2025</v>
      </c>
      <c r="B1236" s="159">
        <v>45818</v>
      </c>
      <c r="C1236" s="130">
        <v>45.35</v>
      </c>
      <c r="D1236" s="130">
        <v>45.79</v>
      </c>
      <c r="E1236" s="130">
        <v>44.98</v>
      </c>
      <c r="F1236" s="130">
        <v>45.16</v>
      </c>
      <c r="G1236" s="160">
        <v>3535058</v>
      </c>
      <c r="H1236" s="160">
        <f t="shared" si="19"/>
        <v>159643219.28</v>
      </c>
      <c r="I1236" t="s">
        <v>8884</v>
      </c>
      <c r="J1236">
        <v>2025</v>
      </c>
      <c r="K1236">
        <v>6</v>
      </c>
      <c r="L1236" t="s">
        <v>5681</v>
      </c>
      <c r="M1236" t="s">
        <v>1552</v>
      </c>
      <c r="N1236" t="s">
        <v>8986</v>
      </c>
    </row>
    <row r="1237" spans="1:14" x14ac:dyDescent="0.3">
      <c r="A1237">
        <v>2025</v>
      </c>
      <c r="B1237" s="159">
        <v>45819</v>
      </c>
      <c r="C1237" s="130">
        <v>45.99</v>
      </c>
      <c r="D1237" s="130">
        <v>47.39</v>
      </c>
      <c r="E1237" s="130">
        <v>45.68</v>
      </c>
      <c r="F1237" s="130">
        <v>46.87</v>
      </c>
      <c r="G1237" s="160">
        <v>33471965</v>
      </c>
      <c r="H1237" s="160">
        <f t="shared" si="19"/>
        <v>1568830999.55</v>
      </c>
      <c r="I1237" t="s">
        <v>8884</v>
      </c>
      <c r="J1237">
        <v>2025</v>
      </c>
      <c r="K1237">
        <v>6</v>
      </c>
      <c r="L1237" t="s">
        <v>5681</v>
      </c>
      <c r="M1237" t="s">
        <v>1552</v>
      </c>
      <c r="N1237" t="s">
        <v>8986</v>
      </c>
    </row>
    <row r="1238" spans="1:14" x14ac:dyDescent="0.3">
      <c r="A1238">
        <v>2025</v>
      </c>
      <c r="B1238" s="159">
        <v>45820</v>
      </c>
      <c r="C1238" s="130">
        <v>47.19</v>
      </c>
      <c r="D1238" s="130">
        <v>50</v>
      </c>
      <c r="E1238" s="130">
        <v>46.71</v>
      </c>
      <c r="F1238" s="130">
        <v>47.36</v>
      </c>
      <c r="G1238" s="160">
        <v>50597576</v>
      </c>
      <c r="H1238" s="160">
        <f t="shared" si="19"/>
        <v>2396301199.3600001</v>
      </c>
      <c r="I1238" t="s">
        <v>8884</v>
      </c>
      <c r="J1238">
        <v>2025</v>
      </c>
      <c r="K1238">
        <v>6</v>
      </c>
      <c r="L1238" t="s">
        <v>5681</v>
      </c>
      <c r="M1238" t="s">
        <v>1552</v>
      </c>
      <c r="N1238" t="s">
        <v>8986</v>
      </c>
    </row>
    <row r="1239" spans="1:14" x14ac:dyDescent="0.3">
      <c r="A1239">
        <v>2025</v>
      </c>
      <c r="B1239" s="159">
        <v>45821</v>
      </c>
      <c r="C1239" s="130">
        <v>46.3</v>
      </c>
      <c r="D1239" s="130">
        <v>46.97</v>
      </c>
      <c r="E1239" s="130">
        <v>45.5</v>
      </c>
      <c r="F1239" s="130">
        <v>46.57</v>
      </c>
      <c r="G1239" s="160">
        <v>16701558</v>
      </c>
      <c r="H1239" s="160">
        <f t="shared" si="19"/>
        <v>777791556.06000006</v>
      </c>
      <c r="I1239" t="s">
        <v>8884</v>
      </c>
      <c r="J1239">
        <v>2025</v>
      </c>
      <c r="K1239">
        <v>6</v>
      </c>
      <c r="L1239" t="s">
        <v>5681</v>
      </c>
      <c r="M1239" t="s">
        <v>1552</v>
      </c>
      <c r="N1239" t="s">
        <v>8986</v>
      </c>
    </row>
    <row r="1240" spans="1:14" x14ac:dyDescent="0.3">
      <c r="A1240">
        <v>2025</v>
      </c>
      <c r="B1240" s="159">
        <v>45824</v>
      </c>
      <c r="C1240" s="130">
        <v>46.48</v>
      </c>
      <c r="D1240" s="130">
        <v>47.75</v>
      </c>
      <c r="E1240" s="130">
        <v>45.85</v>
      </c>
      <c r="F1240" s="130">
        <v>46.42</v>
      </c>
      <c r="G1240" s="160">
        <v>9229863</v>
      </c>
      <c r="H1240" s="160">
        <f t="shared" si="19"/>
        <v>428450240.46000004</v>
      </c>
      <c r="I1240" t="s">
        <v>8884</v>
      </c>
      <c r="J1240">
        <v>2025</v>
      </c>
      <c r="K1240">
        <v>6</v>
      </c>
      <c r="L1240" t="s">
        <v>5681</v>
      </c>
      <c r="M1240" t="s">
        <v>1552</v>
      </c>
      <c r="N1240" t="s">
        <v>8986</v>
      </c>
    </row>
    <row r="1241" spans="1:14" x14ac:dyDescent="0.3">
      <c r="A1241">
        <v>2025</v>
      </c>
      <c r="B1241" s="159">
        <v>45825</v>
      </c>
      <c r="C1241" s="130">
        <v>46.48</v>
      </c>
      <c r="D1241" s="130">
        <v>46.62</v>
      </c>
      <c r="E1241" s="130">
        <v>45.5</v>
      </c>
      <c r="F1241" s="130">
        <v>45.58</v>
      </c>
      <c r="G1241" s="160">
        <v>7520246</v>
      </c>
      <c r="H1241" s="160">
        <f t="shared" si="19"/>
        <v>342772812.68000001</v>
      </c>
      <c r="I1241" t="s">
        <v>8884</v>
      </c>
      <c r="J1241">
        <v>2025</v>
      </c>
      <c r="K1241">
        <v>6</v>
      </c>
      <c r="L1241" t="s">
        <v>5681</v>
      </c>
      <c r="M1241" t="s">
        <v>1552</v>
      </c>
      <c r="N1241" t="s">
        <v>8986</v>
      </c>
    </row>
    <row r="1242" spans="1:14" x14ac:dyDescent="0.3">
      <c r="A1242">
        <v>2025</v>
      </c>
      <c r="B1242" s="159">
        <v>45826</v>
      </c>
      <c r="C1242" s="130">
        <v>45.68</v>
      </c>
      <c r="D1242" s="130">
        <v>45.85</v>
      </c>
      <c r="E1242" s="130">
        <v>45</v>
      </c>
      <c r="F1242" s="130">
        <v>45.11</v>
      </c>
      <c r="G1242" s="160">
        <v>7583014</v>
      </c>
      <c r="H1242" s="160">
        <f t="shared" si="19"/>
        <v>342069761.54000002</v>
      </c>
      <c r="I1242" t="s">
        <v>8884</v>
      </c>
      <c r="J1242">
        <v>2025</v>
      </c>
      <c r="K1242">
        <v>6</v>
      </c>
      <c r="L1242" t="s">
        <v>5681</v>
      </c>
      <c r="M1242" t="s">
        <v>1552</v>
      </c>
      <c r="N1242" t="s">
        <v>8986</v>
      </c>
    </row>
    <row r="1243" spans="1:14" x14ac:dyDescent="0.3">
      <c r="A1243">
        <v>2025</v>
      </c>
      <c r="B1243" s="159">
        <v>45827</v>
      </c>
      <c r="C1243" s="130">
        <v>45.39</v>
      </c>
      <c r="D1243" s="130">
        <v>45.87</v>
      </c>
      <c r="E1243" s="130">
        <v>44.6</v>
      </c>
      <c r="F1243" s="130">
        <v>44.81</v>
      </c>
      <c r="G1243" s="160">
        <v>4332018</v>
      </c>
      <c r="H1243" s="160">
        <f t="shared" si="19"/>
        <v>194117726.58000001</v>
      </c>
      <c r="I1243" t="s">
        <v>8884</v>
      </c>
      <c r="J1243">
        <v>2025</v>
      </c>
      <c r="K1243">
        <v>6</v>
      </c>
      <c r="L1243" t="s">
        <v>5681</v>
      </c>
      <c r="M1243" t="s">
        <v>1552</v>
      </c>
      <c r="N1243" t="s">
        <v>8986</v>
      </c>
    </row>
    <row r="1244" spans="1:14" x14ac:dyDescent="0.3">
      <c r="A1244">
        <v>2025</v>
      </c>
      <c r="B1244" s="159">
        <v>45828</v>
      </c>
      <c r="C1244" s="130">
        <v>44.98</v>
      </c>
      <c r="D1244" s="130">
        <v>45.29</v>
      </c>
      <c r="E1244" s="130">
        <v>44.5</v>
      </c>
      <c r="F1244" s="130">
        <v>44.71</v>
      </c>
      <c r="G1244" s="160">
        <v>5231042</v>
      </c>
      <c r="H1244" s="160">
        <f t="shared" si="19"/>
        <v>233879887.81999999</v>
      </c>
      <c r="I1244" t="s">
        <v>8884</v>
      </c>
      <c r="J1244">
        <v>2025</v>
      </c>
      <c r="K1244">
        <v>6</v>
      </c>
      <c r="L1244" t="s">
        <v>5681</v>
      </c>
      <c r="M1244" t="s">
        <v>1552</v>
      </c>
      <c r="N1244" t="s">
        <v>8986</v>
      </c>
    </row>
    <row r="1245" spans="1:14" x14ac:dyDescent="0.3">
      <c r="A1245">
        <v>2025</v>
      </c>
      <c r="B1245" s="159">
        <v>45831</v>
      </c>
      <c r="C1245" s="130">
        <v>42.26</v>
      </c>
      <c r="D1245" s="130">
        <v>44</v>
      </c>
      <c r="E1245" s="130">
        <v>40.24</v>
      </c>
      <c r="F1245" s="130">
        <v>40.549999999999997</v>
      </c>
      <c r="G1245" s="160">
        <v>16264731</v>
      </c>
      <c r="H1245" s="160">
        <f t="shared" si="19"/>
        <v>659534842.04999995</v>
      </c>
      <c r="I1245" t="s">
        <v>8884</v>
      </c>
      <c r="J1245">
        <v>2025</v>
      </c>
      <c r="K1245">
        <v>6</v>
      </c>
      <c r="L1245" t="s">
        <v>5681</v>
      </c>
      <c r="M1245" t="s">
        <v>1552</v>
      </c>
      <c r="N1245" t="s">
        <v>8986</v>
      </c>
    </row>
    <row r="1246" spans="1:14" x14ac:dyDescent="0.3">
      <c r="A1246">
        <v>2025</v>
      </c>
      <c r="B1246" s="159">
        <v>45832</v>
      </c>
      <c r="C1246" s="130">
        <v>44</v>
      </c>
      <c r="D1246" s="130">
        <v>44.61</v>
      </c>
      <c r="E1246" s="130">
        <v>42.01</v>
      </c>
      <c r="F1246" s="130">
        <v>44.61</v>
      </c>
      <c r="G1246" s="160">
        <v>20582081</v>
      </c>
      <c r="H1246" s="160">
        <f t="shared" si="19"/>
        <v>918166633.40999997</v>
      </c>
      <c r="I1246" t="s">
        <v>8884</v>
      </c>
      <c r="J1246">
        <v>2025</v>
      </c>
      <c r="K1246">
        <v>6</v>
      </c>
      <c r="L1246" t="s">
        <v>5681</v>
      </c>
      <c r="M1246" t="s">
        <v>1552</v>
      </c>
      <c r="N1246" t="s">
        <v>8986</v>
      </c>
    </row>
    <row r="1247" spans="1:14" x14ac:dyDescent="0.3">
      <c r="A1247">
        <v>2025</v>
      </c>
      <c r="B1247" s="159">
        <v>45833</v>
      </c>
      <c r="C1247" s="130">
        <v>45</v>
      </c>
      <c r="D1247" s="130">
        <v>45.9</v>
      </c>
      <c r="E1247" s="130">
        <v>44.62</v>
      </c>
      <c r="F1247" s="130">
        <v>45.17</v>
      </c>
      <c r="G1247" s="160">
        <v>4454110</v>
      </c>
      <c r="H1247" s="160">
        <f t="shared" si="19"/>
        <v>201192148.70000002</v>
      </c>
      <c r="I1247" t="s">
        <v>8884</v>
      </c>
      <c r="J1247">
        <v>2025</v>
      </c>
      <c r="K1247">
        <v>6</v>
      </c>
      <c r="L1247" t="s">
        <v>5681</v>
      </c>
      <c r="M1247" t="s">
        <v>1552</v>
      </c>
      <c r="N1247" t="s">
        <v>8986</v>
      </c>
    </row>
    <row r="1248" spans="1:14" x14ac:dyDescent="0.3">
      <c r="A1248">
        <v>2025</v>
      </c>
      <c r="B1248" s="159">
        <v>45834</v>
      </c>
      <c r="C1248" s="130">
        <v>45.65</v>
      </c>
      <c r="D1248" s="130">
        <v>45.65</v>
      </c>
      <c r="E1248" s="130">
        <v>44.45</v>
      </c>
      <c r="F1248" s="130">
        <v>44.77</v>
      </c>
      <c r="G1248" s="160">
        <v>4724221</v>
      </c>
      <c r="H1248" s="160">
        <f t="shared" si="19"/>
        <v>211503374.17000002</v>
      </c>
      <c r="I1248" t="s">
        <v>8884</v>
      </c>
      <c r="J1248">
        <v>2025</v>
      </c>
      <c r="K1248">
        <v>6</v>
      </c>
      <c r="L1248" t="s">
        <v>5681</v>
      </c>
      <c r="M1248" t="s">
        <v>1552</v>
      </c>
      <c r="N1248" t="s">
        <v>8986</v>
      </c>
    </row>
    <row r="1249" spans="1:14" x14ac:dyDescent="0.3">
      <c r="A1249">
        <v>2025</v>
      </c>
      <c r="B1249" s="159">
        <v>45835</v>
      </c>
      <c r="C1249" s="130">
        <v>44.9</v>
      </c>
      <c r="D1249" s="130">
        <v>46.5</v>
      </c>
      <c r="E1249" s="130">
        <v>44.53</v>
      </c>
      <c r="F1249" s="130">
        <v>45.27</v>
      </c>
      <c r="G1249" s="160">
        <v>6158788</v>
      </c>
      <c r="H1249" s="160">
        <f t="shared" si="19"/>
        <v>278808332.75999999</v>
      </c>
      <c r="I1249" t="s">
        <v>8884</v>
      </c>
      <c r="J1249">
        <v>2025</v>
      </c>
      <c r="K1249">
        <v>6</v>
      </c>
      <c r="L1249" t="s">
        <v>5681</v>
      </c>
      <c r="M1249" t="s">
        <v>1552</v>
      </c>
      <c r="N1249" t="s">
        <v>8986</v>
      </c>
    </row>
    <row r="1250" spans="1:14" x14ac:dyDescent="0.3">
      <c r="A1250">
        <v>2025</v>
      </c>
      <c r="B1250" s="159">
        <v>45838</v>
      </c>
      <c r="C1250" s="130">
        <v>45.47</v>
      </c>
      <c r="D1250" s="130">
        <v>45.55</v>
      </c>
      <c r="E1250" s="130">
        <v>44.52</v>
      </c>
      <c r="F1250" s="130">
        <v>44.67</v>
      </c>
      <c r="G1250" s="160">
        <v>3494330</v>
      </c>
      <c r="H1250" s="160">
        <f t="shared" si="19"/>
        <v>156091721.09999999</v>
      </c>
      <c r="I1250" t="s">
        <v>8884</v>
      </c>
      <c r="J1250">
        <v>2025</v>
      </c>
      <c r="K1250">
        <v>6</v>
      </c>
      <c r="L1250" t="s">
        <v>5681</v>
      </c>
      <c r="M1250" t="s">
        <v>1552</v>
      </c>
      <c r="N1250" t="s">
        <v>8986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242"/>
  <sheetViews>
    <sheetView showGridLines="0" workbookViewId="0">
      <pane xSplit="3" ySplit="5" topLeftCell="D6" activePane="bottomRight" state="frozen"/>
      <selection pane="topRight"/>
      <selection pane="bottomLeft"/>
      <selection pane="bottomRight" activeCell="D6" sqref="D6"/>
    </sheetView>
  </sheetViews>
  <sheetFormatPr defaultRowHeight="14.4" x14ac:dyDescent="0.3"/>
  <cols>
    <col min="1" max="1" width="13" customWidth="1"/>
    <col min="2" max="2" width="11" customWidth="1"/>
    <col min="3" max="3" width="70" customWidth="1"/>
    <col min="4" max="4" width="28" customWidth="1"/>
    <col min="5" max="5" width="26" customWidth="1"/>
    <col min="6" max="6" width="25" customWidth="1"/>
    <col min="7" max="7" width="90" customWidth="1"/>
    <col min="8" max="8" width="125" customWidth="1"/>
  </cols>
  <sheetData>
    <row r="1" spans="1:8" ht="22.05" customHeight="1" x14ac:dyDescent="0.3">
      <c r="A1" s="151"/>
      <c r="B1" s="151"/>
      <c r="C1" s="151"/>
      <c r="D1" s="151"/>
      <c r="E1" s="151"/>
      <c r="F1" s="151"/>
      <c r="G1" s="151"/>
      <c r="H1" s="151"/>
    </row>
    <row r="2" spans="1:8" ht="22.05" customHeight="1" x14ac:dyDescent="0.3">
      <c r="A2" s="152" t="s">
        <v>8987</v>
      </c>
      <c r="B2" s="151"/>
      <c r="C2" s="151"/>
      <c r="D2" s="151"/>
      <c r="E2" s="151"/>
      <c r="F2" s="151"/>
      <c r="G2" s="151"/>
      <c r="H2" s="151"/>
    </row>
    <row r="3" spans="1:8" ht="22.05" customHeight="1" x14ac:dyDescent="0.3">
      <c r="A3" s="151" t="s">
        <v>8988</v>
      </c>
      <c r="B3" s="151"/>
      <c r="C3" s="151"/>
      <c r="D3" s="151"/>
      <c r="E3" s="151"/>
      <c r="F3" s="151"/>
      <c r="G3" s="151"/>
      <c r="H3" s="151"/>
    </row>
    <row r="4" spans="1:8" ht="22.05" customHeight="1" x14ac:dyDescent="0.3">
      <c r="A4" s="151"/>
      <c r="B4" s="151"/>
      <c r="C4" s="151"/>
      <c r="D4" s="151"/>
      <c r="E4" s="151"/>
      <c r="F4" s="151"/>
      <c r="G4" s="151"/>
      <c r="H4" s="151"/>
    </row>
    <row r="5" spans="1:8" ht="40.049999999999997" customHeight="1" x14ac:dyDescent="0.3">
      <c r="A5" s="153" t="s">
        <v>1</v>
      </c>
      <c r="B5" s="153" t="s">
        <v>3</v>
      </c>
      <c r="C5" s="153" t="s">
        <v>8989</v>
      </c>
      <c r="D5" s="153" t="s">
        <v>8990</v>
      </c>
      <c r="E5" s="153" t="s">
        <v>6043</v>
      </c>
      <c r="F5" s="153" t="s">
        <v>6044</v>
      </c>
      <c r="G5" s="153" t="s">
        <v>6048</v>
      </c>
      <c r="H5" s="153" t="s">
        <v>5729</v>
      </c>
    </row>
    <row r="6" spans="1:8" ht="52.05" customHeight="1" x14ac:dyDescent="0.3">
      <c r="A6" s="154" t="s">
        <v>18</v>
      </c>
      <c r="B6" s="154">
        <v>2020</v>
      </c>
      <c r="C6" s="154" t="s">
        <v>966</v>
      </c>
      <c r="D6" s="171">
        <f>KOHC!C37-KOHC!C41-KOHC!C62</f>
        <v>9.9999670055694878E-7</v>
      </c>
      <c r="E6" s="171">
        <v>1.0000003385357559E-6</v>
      </c>
      <c r="F6" s="171">
        <f t="shared" ref="F6:F69" si="0">D6-E6</f>
        <v>-3.637978807091713E-12</v>
      </c>
      <c r="G6" s="173" t="s">
        <v>8991</v>
      </c>
      <c r="H6" s="173" t="s">
        <v>8992</v>
      </c>
    </row>
    <row r="7" spans="1:8" ht="52.05" customHeight="1" x14ac:dyDescent="0.3">
      <c r="A7" s="151" t="s">
        <v>18</v>
      </c>
      <c r="B7" s="151">
        <v>2020</v>
      </c>
      <c r="C7" s="151" t="s">
        <v>8993</v>
      </c>
      <c r="D7" s="172">
        <f>KOHC!C37-KOHC!C75</f>
        <v>9.9999670055694878E-7</v>
      </c>
      <c r="E7" s="172">
        <v>1.0000003385357559E-6</v>
      </c>
      <c r="F7" s="172">
        <f t="shared" si="0"/>
        <v>-3.637978807091713E-12</v>
      </c>
      <c r="G7" s="174" t="s">
        <v>8991</v>
      </c>
      <c r="H7" s="174" t="s">
        <v>8992</v>
      </c>
    </row>
    <row r="8" spans="1:8" ht="52.05" customHeight="1" x14ac:dyDescent="0.3">
      <c r="A8" s="154" t="s">
        <v>18</v>
      </c>
      <c r="B8" s="154">
        <v>2020</v>
      </c>
      <c r="C8" s="154" t="s">
        <v>8994</v>
      </c>
      <c r="D8" s="171">
        <f>KOHC!C41-KOHC!C76</f>
        <v>0</v>
      </c>
      <c r="E8" s="171">
        <v>0</v>
      </c>
      <c r="F8" s="171">
        <f t="shared" si="0"/>
        <v>0</v>
      </c>
      <c r="G8" s="173" t="s">
        <v>8991</v>
      </c>
      <c r="H8" s="173" t="s">
        <v>8992</v>
      </c>
    </row>
    <row r="9" spans="1:8" ht="52.05" customHeight="1" x14ac:dyDescent="0.3">
      <c r="A9" s="151" t="s">
        <v>18</v>
      </c>
      <c r="B9" s="151">
        <v>2020</v>
      </c>
      <c r="C9" s="151" t="s">
        <v>8995</v>
      </c>
      <c r="D9" s="172">
        <f>KOHC!C36-KOHC!C77</f>
        <v>9.999994290410541E-7</v>
      </c>
      <c r="E9" s="172">
        <v>1.0000003385357559E-6</v>
      </c>
      <c r="F9" s="172">
        <f t="shared" si="0"/>
        <v>-9.0949470177292824E-13</v>
      </c>
      <c r="G9" s="174" t="s">
        <v>8991</v>
      </c>
      <c r="H9" s="174" t="s">
        <v>8992</v>
      </c>
    </row>
    <row r="10" spans="1:8" ht="52.05" customHeight="1" x14ac:dyDescent="0.3">
      <c r="A10" s="154" t="s">
        <v>18</v>
      </c>
      <c r="B10" s="154">
        <v>2020</v>
      </c>
      <c r="C10" s="154" t="s">
        <v>8996</v>
      </c>
      <c r="D10" s="171">
        <f>KOHC!C61-KOHC!C78</f>
        <v>0</v>
      </c>
      <c r="E10" s="171">
        <v>0</v>
      </c>
      <c r="F10" s="171">
        <f t="shared" si="0"/>
        <v>0</v>
      </c>
      <c r="G10" s="173" t="s">
        <v>8991</v>
      </c>
      <c r="H10" s="173" t="s">
        <v>8992</v>
      </c>
    </row>
    <row r="11" spans="1:8" ht="52.05" customHeight="1" x14ac:dyDescent="0.3">
      <c r="A11" s="151" t="s">
        <v>18</v>
      </c>
      <c r="B11" s="151">
        <v>2021</v>
      </c>
      <c r="C11" s="151" t="s">
        <v>966</v>
      </c>
      <c r="D11" s="172">
        <f>KOHC!D37-KOHC!D41-KOHC!D62</f>
        <v>0</v>
      </c>
      <c r="E11" s="172">
        <v>-1.8189894035458565E-12</v>
      </c>
      <c r="F11" s="172">
        <f t="shared" si="0"/>
        <v>1.8189894035458565E-12</v>
      </c>
      <c r="G11" s="174" t="s">
        <v>8991</v>
      </c>
      <c r="H11" s="174" t="s">
        <v>8992</v>
      </c>
    </row>
    <row r="12" spans="1:8" ht="52.05" customHeight="1" x14ac:dyDescent="0.3">
      <c r="A12" s="154" t="s">
        <v>18</v>
      </c>
      <c r="B12" s="154">
        <v>2021</v>
      </c>
      <c r="C12" s="154" t="s">
        <v>8993</v>
      </c>
      <c r="D12" s="171">
        <f>KOHC!D37-KOHC!D75</f>
        <v>0</v>
      </c>
      <c r="E12" s="171">
        <v>0</v>
      </c>
      <c r="F12" s="171">
        <f t="shared" si="0"/>
        <v>0</v>
      </c>
      <c r="G12" s="173" t="s">
        <v>8991</v>
      </c>
      <c r="H12" s="173" t="s">
        <v>8992</v>
      </c>
    </row>
    <row r="13" spans="1:8" ht="52.05" customHeight="1" x14ac:dyDescent="0.3">
      <c r="A13" s="151" t="s">
        <v>18</v>
      </c>
      <c r="B13" s="151">
        <v>2021</v>
      </c>
      <c r="C13" s="151" t="s">
        <v>8994</v>
      </c>
      <c r="D13" s="172">
        <f>KOHC!D41-KOHC!D76</f>
        <v>0</v>
      </c>
      <c r="E13" s="172">
        <v>0</v>
      </c>
      <c r="F13" s="172">
        <f t="shared" si="0"/>
        <v>0</v>
      </c>
      <c r="G13" s="174" t="s">
        <v>8991</v>
      </c>
      <c r="H13" s="174" t="s">
        <v>8992</v>
      </c>
    </row>
    <row r="14" spans="1:8" ht="52.05" customHeight="1" x14ac:dyDescent="0.3">
      <c r="A14" s="154" t="s">
        <v>18</v>
      </c>
      <c r="B14" s="154">
        <v>2021</v>
      </c>
      <c r="C14" s="154" t="s">
        <v>8995</v>
      </c>
      <c r="D14" s="171">
        <f>KOHC!D36-KOHC!D77</f>
        <v>0</v>
      </c>
      <c r="E14" s="171">
        <v>0</v>
      </c>
      <c r="F14" s="171">
        <f t="shared" si="0"/>
        <v>0</v>
      </c>
      <c r="G14" s="173" t="s">
        <v>8991</v>
      </c>
      <c r="H14" s="173" t="s">
        <v>8992</v>
      </c>
    </row>
    <row r="15" spans="1:8" ht="52.05" customHeight="1" x14ac:dyDescent="0.3">
      <c r="A15" s="151" t="s">
        <v>18</v>
      </c>
      <c r="B15" s="151">
        <v>2021</v>
      </c>
      <c r="C15" s="151" t="s">
        <v>8996</v>
      </c>
      <c r="D15" s="172">
        <f>KOHC!D61-KOHC!D78</f>
        <v>0</v>
      </c>
      <c r="E15" s="172">
        <v>0</v>
      </c>
      <c r="F15" s="172">
        <f t="shared" si="0"/>
        <v>0</v>
      </c>
      <c r="G15" s="174" t="s">
        <v>8991</v>
      </c>
      <c r="H15" s="174" t="s">
        <v>8992</v>
      </c>
    </row>
    <row r="16" spans="1:8" ht="52.05" customHeight="1" x14ac:dyDescent="0.3">
      <c r="A16" s="154" t="s">
        <v>18</v>
      </c>
      <c r="B16" s="154">
        <v>2021</v>
      </c>
      <c r="C16" s="154" t="s">
        <v>8997</v>
      </c>
      <c r="D16" s="171">
        <f>KOHC!D84+KOHC!D85-KOHC!D100</f>
        <v>0</v>
      </c>
      <c r="E16" s="171">
        <v>0</v>
      </c>
      <c r="F16" s="171">
        <f t="shared" si="0"/>
        <v>0</v>
      </c>
      <c r="G16" s="173" t="s">
        <v>8991</v>
      </c>
      <c r="H16" s="173" t="s">
        <v>8998</v>
      </c>
    </row>
    <row r="17" spans="1:8" ht="52.05" customHeight="1" x14ac:dyDescent="0.3">
      <c r="A17" s="151" t="s">
        <v>18</v>
      </c>
      <c r="B17" s="151">
        <v>2021</v>
      </c>
      <c r="C17" s="151" t="s">
        <v>8999</v>
      </c>
      <c r="D17" s="172">
        <f>KOHC!D96-KOHC!D101</f>
        <v>0</v>
      </c>
      <c r="E17" s="172">
        <v>9.0949470177292824E-13</v>
      </c>
      <c r="F17" s="172">
        <f t="shared" si="0"/>
        <v>-9.0949470177292824E-13</v>
      </c>
      <c r="G17" s="174" t="s">
        <v>8991</v>
      </c>
      <c r="H17" s="174" t="s">
        <v>8998</v>
      </c>
    </row>
    <row r="18" spans="1:8" ht="52.05" customHeight="1" x14ac:dyDescent="0.3">
      <c r="A18" s="154" t="s">
        <v>18</v>
      </c>
      <c r="B18" s="154">
        <v>2021</v>
      </c>
      <c r="C18" s="154" t="s">
        <v>9000</v>
      </c>
      <c r="D18" s="171">
        <f>KOHC!D96+KOHC!D97+KOHC!D98-KOHC!D102</f>
        <v>0</v>
      </c>
      <c r="E18" s="171">
        <v>4.5474735088646412E-13</v>
      </c>
      <c r="F18" s="171">
        <f t="shared" si="0"/>
        <v>-4.5474735088646412E-13</v>
      </c>
      <c r="G18" s="173" t="s">
        <v>8991</v>
      </c>
      <c r="H18" s="173" t="s">
        <v>8998</v>
      </c>
    </row>
    <row r="19" spans="1:8" ht="52.05" customHeight="1" x14ac:dyDescent="0.3">
      <c r="A19" s="151" t="s">
        <v>18</v>
      </c>
      <c r="B19" s="151">
        <v>2022</v>
      </c>
      <c r="C19" s="151" t="s">
        <v>966</v>
      </c>
      <c r="D19" s="172">
        <f>KOHC!E37-KOHC!E41-KOHC!E62</f>
        <v>0</v>
      </c>
      <c r="E19" s="172">
        <v>-3.637978807091713E-12</v>
      </c>
      <c r="F19" s="172">
        <f t="shared" si="0"/>
        <v>3.637978807091713E-12</v>
      </c>
      <c r="G19" s="174" t="s">
        <v>8991</v>
      </c>
      <c r="H19" s="174" t="s">
        <v>8992</v>
      </c>
    </row>
    <row r="20" spans="1:8" ht="52.05" customHeight="1" x14ac:dyDescent="0.3">
      <c r="A20" s="154" t="s">
        <v>18</v>
      </c>
      <c r="B20" s="154">
        <v>2022</v>
      </c>
      <c r="C20" s="154" t="s">
        <v>8993</v>
      </c>
      <c r="D20" s="171">
        <f>KOHC!E37-KOHC!E75</f>
        <v>0</v>
      </c>
      <c r="E20" s="171">
        <v>-7.2759576141834259E-12</v>
      </c>
      <c r="F20" s="171">
        <f t="shared" si="0"/>
        <v>7.2759576141834259E-12</v>
      </c>
      <c r="G20" s="173" t="s">
        <v>8991</v>
      </c>
      <c r="H20" s="173" t="s">
        <v>8992</v>
      </c>
    </row>
    <row r="21" spans="1:8" ht="52.05" customHeight="1" x14ac:dyDescent="0.3">
      <c r="A21" s="151" t="s">
        <v>18</v>
      </c>
      <c r="B21" s="151">
        <v>2022</v>
      </c>
      <c r="C21" s="151" t="s">
        <v>8994</v>
      </c>
      <c r="D21" s="172">
        <f>KOHC!E41-KOHC!E76</f>
        <v>0</v>
      </c>
      <c r="E21" s="172">
        <v>0</v>
      </c>
      <c r="F21" s="172">
        <f t="shared" si="0"/>
        <v>0</v>
      </c>
      <c r="G21" s="174" t="s">
        <v>8991</v>
      </c>
      <c r="H21" s="174" t="s">
        <v>8992</v>
      </c>
    </row>
    <row r="22" spans="1:8" ht="52.05" customHeight="1" x14ac:dyDescent="0.3">
      <c r="A22" s="154" t="s">
        <v>18</v>
      </c>
      <c r="B22" s="154">
        <v>2022</v>
      </c>
      <c r="C22" s="154" t="s">
        <v>8995</v>
      </c>
      <c r="D22" s="171">
        <f>KOHC!E36-KOHC!E77</f>
        <v>0</v>
      </c>
      <c r="E22" s="171">
        <v>0</v>
      </c>
      <c r="F22" s="171">
        <f t="shared" si="0"/>
        <v>0</v>
      </c>
      <c r="G22" s="173" t="s">
        <v>8991</v>
      </c>
      <c r="H22" s="173" t="s">
        <v>8992</v>
      </c>
    </row>
    <row r="23" spans="1:8" ht="52.05" customHeight="1" x14ac:dyDescent="0.3">
      <c r="A23" s="151" t="s">
        <v>18</v>
      </c>
      <c r="B23" s="151">
        <v>2022</v>
      </c>
      <c r="C23" s="151" t="s">
        <v>8996</v>
      </c>
      <c r="D23" s="172">
        <f>KOHC!E61-KOHC!E78</f>
        <v>0</v>
      </c>
      <c r="E23" s="172">
        <v>0</v>
      </c>
      <c r="F23" s="172">
        <f t="shared" si="0"/>
        <v>0</v>
      </c>
      <c r="G23" s="174" t="s">
        <v>8991</v>
      </c>
      <c r="H23" s="174" t="s">
        <v>8992</v>
      </c>
    </row>
    <row r="24" spans="1:8" ht="52.05" customHeight="1" x14ac:dyDescent="0.3">
      <c r="A24" s="154" t="s">
        <v>18</v>
      </c>
      <c r="B24" s="154">
        <v>2022</v>
      </c>
      <c r="C24" s="154" t="s">
        <v>8997</v>
      </c>
      <c r="D24" s="171">
        <f>KOHC!E84+KOHC!E85-KOHC!E100</f>
        <v>0</v>
      </c>
      <c r="E24" s="171">
        <v>1.8189894035458565E-12</v>
      </c>
      <c r="F24" s="171">
        <f t="shared" si="0"/>
        <v>-1.8189894035458565E-12</v>
      </c>
      <c r="G24" s="173" t="s">
        <v>8991</v>
      </c>
      <c r="H24" s="173" t="s">
        <v>8998</v>
      </c>
    </row>
    <row r="25" spans="1:8" ht="52.05" customHeight="1" x14ac:dyDescent="0.3">
      <c r="A25" s="151" t="s">
        <v>18</v>
      </c>
      <c r="B25" s="151">
        <v>2022</v>
      </c>
      <c r="C25" s="151" t="s">
        <v>8999</v>
      </c>
      <c r="D25" s="172">
        <f>KOHC!E96-KOHC!E101</f>
        <v>0</v>
      </c>
      <c r="E25" s="172">
        <v>0</v>
      </c>
      <c r="F25" s="172">
        <f t="shared" si="0"/>
        <v>0</v>
      </c>
      <c r="G25" s="174" t="s">
        <v>8991</v>
      </c>
      <c r="H25" s="174" t="s">
        <v>8998</v>
      </c>
    </row>
    <row r="26" spans="1:8" ht="52.05" customHeight="1" x14ac:dyDescent="0.3">
      <c r="A26" s="154" t="s">
        <v>18</v>
      </c>
      <c r="B26" s="154">
        <v>2022</v>
      </c>
      <c r="C26" s="154" t="s">
        <v>9000</v>
      </c>
      <c r="D26" s="171">
        <f>KOHC!E96+KOHC!E97+KOHC!E98-KOHC!E102</f>
        <v>0</v>
      </c>
      <c r="E26" s="171">
        <v>0</v>
      </c>
      <c r="F26" s="171">
        <f t="shared" si="0"/>
        <v>0</v>
      </c>
      <c r="G26" s="173" t="s">
        <v>8991</v>
      </c>
      <c r="H26" s="173" t="s">
        <v>8998</v>
      </c>
    </row>
    <row r="27" spans="1:8" ht="52.05" customHeight="1" x14ac:dyDescent="0.3">
      <c r="A27" s="151" t="s">
        <v>18</v>
      </c>
      <c r="B27" s="151">
        <v>2023</v>
      </c>
      <c r="C27" s="151" t="s">
        <v>966</v>
      </c>
      <c r="D27" s="172">
        <f>KOHC!F37-KOHC!F41-KOHC!F62</f>
        <v>0</v>
      </c>
      <c r="E27" s="172">
        <v>0</v>
      </c>
      <c r="F27" s="172">
        <f t="shared" si="0"/>
        <v>0</v>
      </c>
      <c r="G27" s="174" t="s">
        <v>8991</v>
      </c>
      <c r="H27" s="174" t="s">
        <v>8992</v>
      </c>
    </row>
    <row r="28" spans="1:8" ht="52.05" customHeight="1" x14ac:dyDescent="0.3">
      <c r="A28" s="154" t="s">
        <v>18</v>
      </c>
      <c r="B28" s="154">
        <v>2023</v>
      </c>
      <c r="C28" s="154" t="s">
        <v>8993</v>
      </c>
      <c r="D28" s="171">
        <f>KOHC!F37-KOHC!F75</f>
        <v>0</v>
      </c>
      <c r="E28" s="171">
        <v>0</v>
      </c>
      <c r="F28" s="171">
        <f t="shared" si="0"/>
        <v>0</v>
      </c>
      <c r="G28" s="173" t="s">
        <v>8991</v>
      </c>
      <c r="H28" s="173" t="s">
        <v>8992</v>
      </c>
    </row>
    <row r="29" spans="1:8" ht="52.05" customHeight="1" x14ac:dyDescent="0.3">
      <c r="A29" s="151" t="s">
        <v>18</v>
      </c>
      <c r="B29" s="151">
        <v>2023</v>
      </c>
      <c r="C29" s="151" t="s">
        <v>8994</v>
      </c>
      <c r="D29" s="172">
        <f>KOHC!F41-KOHC!F76</f>
        <v>0</v>
      </c>
      <c r="E29" s="172">
        <v>0</v>
      </c>
      <c r="F29" s="172">
        <f t="shared" si="0"/>
        <v>0</v>
      </c>
      <c r="G29" s="174" t="s">
        <v>8991</v>
      </c>
      <c r="H29" s="174" t="s">
        <v>8992</v>
      </c>
    </row>
    <row r="30" spans="1:8" ht="52.05" customHeight="1" x14ac:dyDescent="0.3">
      <c r="A30" s="154" t="s">
        <v>18</v>
      </c>
      <c r="B30" s="154">
        <v>2023</v>
      </c>
      <c r="C30" s="154" t="s">
        <v>8995</v>
      </c>
      <c r="D30" s="171">
        <f>KOHC!F36-KOHC!F77</f>
        <v>0</v>
      </c>
      <c r="E30" s="171">
        <v>0</v>
      </c>
      <c r="F30" s="171">
        <f t="shared" si="0"/>
        <v>0</v>
      </c>
      <c r="G30" s="173" t="s">
        <v>8991</v>
      </c>
      <c r="H30" s="173" t="s">
        <v>8992</v>
      </c>
    </row>
    <row r="31" spans="1:8" ht="52.05" customHeight="1" x14ac:dyDescent="0.3">
      <c r="A31" s="151" t="s">
        <v>18</v>
      </c>
      <c r="B31" s="151">
        <v>2023</v>
      </c>
      <c r="C31" s="151" t="s">
        <v>8996</v>
      </c>
      <c r="D31" s="172">
        <f>KOHC!F61-KOHC!F78</f>
        <v>0</v>
      </c>
      <c r="E31" s="172">
        <v>0</v>
      </c>
      <c r="F31" s="172">
        <f t="shared" si="0"/>
        <v>0</v>
      </c>
      <c r="G31" s="174" t="s">
        <v>8991</v>
      </c>
      <c r="H31" s="174" t="s">
        <v>8992</v>
      </c>
    </row>
    <row r="32" spans="1:8" ht="52.05" customHeight="1" x14ac:dyDescent="0.3">
      <c r="A32" s="154" t="s">
        <v>18</v>
      </c>
      <c r="B32" s="154">
        <v>2023</v>
      </c>
      <c r="C32" s="154" t="s">
        <v>8997</v>
      </c>
      <c r="D32" s="171">
        <f>KOHC!F84+KOHC!F85-KOHC!F100</f>
        <v>0</v>
      </c>
      <c r="E32" s="171">
        <v>-5.4569682106375694E-12</v>
      </c>
      <c r="F32" s="171">
        <f t="shared" si="0"/>
        <v>5.4569682106375694E-12</v>
      </c>
      <c r="G32" s="173" t="s">
        <v>8991</v>
      </c>
      <c r="H32" s="173" t="s">
        <v>8998</v>
      </c>
    </row>
    <row r="33" spans="1:8" ht="52.05" customHeight="1" x14ac:dyDescent="0.3">
      <c r="A33" s="151" t="s">
        <v>18</v>
      </c>
      <c r="B33" s="151">
        <v>2023</v>
      </c>
      <c r="C33" s="151" t="s">
        <v>8999</v>
      </c>
      <c r="D33" s="172">
        <f>KOHC!F96-KOHC!F101</f>
        <v>0</v>
      </c>
      <c r="E33" s="172">
        <v>-3.637978807091713E-12</v>
      </c>
      <c r="F33" s="172">
        <f t="shared" si="0"/>
        <v>3.637978807091713E-12</v>
      </c>
      <c r="G33" s="174" t="s">
        <v>8991</v>
      </c>
      <c r="H33" s="174" t="s">
        <v>8998</v>
      </c>
    </row>
    <row r="34" spans="1:8" ht="52.05" customHeight="1" x14ac:dyDescent="0.3">
      <c r="A34" s="154" t="s">
        <v>18</v>
      </c>
      <c r="B34" s="154">
        <v>2023</v>
      </c>
      <c r="C34" s="154" t="s">
        <v>9000</v>
      </c>
      <c r="D34" s="171">
        <f>KOHC!F96+KOHC!F97+KOHC!F98-KOHC!F102</f>
        <v>0</v>
      </c>
      <c r="E34" s="171">
        <v>-3.637978807091713E-12</v>
      </c>
      <c r="F34" s="171">
        <f t="shared" si="0"/>
        <v>3.637978807091713E-12</v>
      </c>
      <c r="G34" s="173" t="s">
        <v>8991</v>
      </c>
      <c r="H34" s="173" t="s">
        <v>8998</v>
      </c>
    </row>
    <row r="35" spans="1:8" ht="52.05" customHeight="1" x14ac:dyDescent="0.3">
      <c r="A35" s="151" t="s">
        <v>18</v>
      </c>
      <c r="B35" s="151">
        <v>2024</v>
      </c>
      <c r="C35" s="151" t="s">
        <v>966</v>
      </c>
      <c r="D35" s="172">
        <f>KOHC!G37-KOHC!G41-KOHC!G62</f>
        <v>0</v>
      </c>
      <c r="E35" s="172">
        <v>-7.2759576141834259E-12</v>
      </c>
      <c r="F35" s="172">
        <f t="shared" si="0"/>
        <v>7.2759576141834259E-12</v>
      </c>
      <c r="G35" s="174" t="s">
        <v>8991</v>
      </c>
      <c r="H35" s="174" t="s">
        <v>8992</v>
      </c>
    </row>
    <row r="36" spans="1:8" ht="52.05" customHeight="1" x14ac:dyDescent="0.3">
      <c r="A36" s="154" t="s">
        <v>18</v>
      </c>
      <c r="B36" s="154">
        <v>2024</v>
      </c>
      <c r="C36" s="154" t="s">
        <v>8993</v>
      </c>
      <c r="D36" s="171">
        <f>KOHC!G37-KOHC!G75</f>
        <v>0</v>
      </c>
      <c r="E36" s="171">
        <v>0</v>
      </c>
      <c r="F36" s="171">
        <f t="shared" si="0"/>
        <v>0</v>
      </c>
      <c r="G36" s="173" t="s">
        <v>8991</v>
      </c>
      <c r="H36" s="173" t="s">
        <v>8992</v>
      </c>
    </row>
    <row r="37" spans="1:8" ht="52.05" customHeight="1" x14ac:dyDescent="0.3">
      <c r="A37" s="151" t="s">
        <v>18</v>
      </c>
      <c r="B37" s="151">
        <v>2024</v>
      </c>
      <c r="C37" s="151" t="s">
        <v>8994</v>
      </c>
      <c r="D37" s="172">
        <f>KOHC!G41-KOHC!G76</f>
        <v>0</v>
      </c>
      <c r="E37" s="172">
        <v>7.2759576141834259E-12</v>
      </c>
      <c r="F37" s="172">
        <f t="shared" si="0"/>
        <v>-7.2759576141834259E-12</v>
      </c>
      <c r="G37" s="174" t="s">
        <v>8991</v>
      </c>
      <c r="H37" s="174" t="s">
        <v>8992</v>
      </c>
    </row>
    <row r="38" spans="1:8" ht="52.05" customHeight="1" x14ac:dyDescent="0.3">
      <c r="A38" s="154" t="s">
        <v>18</v>
      </c>
      <c r="B38" s="154">
        <v>2024</v>
      </c>
      <c r="C38" s="154" t="s">
        <v>8995</v>
      </c>
      <c r="D38" s="171">
        <f>KOHC!G36-KOHC!G77</f>
        <v>0</v>
      </c>
      <c r="E38" s="171">
        <v>0</v>
      </c>
      <c r="F38" s="171">
        <f t="shared" si="0"/>
        <v>0</v>
      </c>
      <c r="G38" s="173" t="s">
        <v>8991</v>
      </c>
      <c r="H38" s="173" t="s">
        <v>8992</v>
      </c>
    </row>
    <row r="39" spans="1:8" ht="52.05" customHeight="1" x14ac:dyDescent="0.3">
      <c r="A39" s="151" t="s">
        <v>18</v>
      </c>
      <c r="B39" s="151">
        <v>2024</v>
      </c>
      <c r="C39" s="151" t="s">
        <v>8996</v>
      </c>
      <c r="D39" s="172">
        <f>KOHC!G61-KOHC!G78</f>
        <v>0</v>
      </c>
      <c r="E39" s="172">
        <v>0</v>
      </c>
      <c r="F39" s="172">
        <f t="shared" si="0"/>
        <v>0</v>
      </c>
      <c r="G39" s="174" t="s">
        <v>8991</v>
      </c>
      <c r="H39" s="174" t="s">
        <v>8992</v>
      </c>
    </row>
    <row r="40" spans="1:8" ht="52.05" customHeight="1" x14ac:dyDescent="0.3">
      <c r="A40" s="154" t="s">
        <v>18</v>
      </c>
      <c r="B40" s="154">
        <v>2024</v>
      </c>
      <c r="C40" s="154" t="s">
        <v>8997</v>
      </c>
      <c r="D40" s="171">
        <f>KOHC!G84+KOHC!G85-KOHC!G100</f>
        <v>0</v>
      </c>
      <c r="E40" s="171">
        <v>1.8189894035458565E-12</v>
      </c>
      <c r="F40" s="171">
        <f t="shared" si="0"/>
        <v>-1.8189894035458565E-12</v>
      </c>
      <c r="G40" s="173" t="s">
        <v>8991</v>
      </c>
      <c r="H40" s="173" t="s">
        <v>8998</v>
      </c>
    </row>
    <row r="41" spans="1:8" ht="52.05" customHeight="1" x14ac:dyDescent="0.3">
      <c r="A41" s="151" t="s">
        <v>18</v>
      </c>
      <c r="B41" s="151">
        <v>2024</v>
      </c>
      <c r="C41" s="151" t="s">
        <v>8999</v>
      </c>
      <c r="D41" s="172">
        <f>KOHC!G96-KOHC!G101</f>
        <v>0</v>
      </c>
      <c r="E41" s="172">
        <v>3.637978807091713E-12</v>
      </c>
      <c r="F41" s="172">
        <f t="shared" si="0"/>
        <v>-3.637978807091713E-12</v>
      </c>
      <c r="G41" s="174" t="s">
        <v>8991</v>
      </c>
      <c r="H41" s="174" t="s">
        <v>8998</v>
      </c>
    </row>
    <row r="42" spans="1:8" ht="52.05" customHeight="1" x14ac:dyDescent="0.3">
      <c r="A42" s="154" t="s">
        <v>18</v>
      </c>
      <c r="B42" s="154">
        <v>2024</v>
      </c>
      <c r="C42" s="154" t="s">
        <v>9000</v>
      </c>
      <c r="D42" s="171">
        <f>KOHC!G96+KOHC!G97+KOHC!G98-KOHC!G102</f>
        <v>0</v>
      </c>
      <c r="E42" s="171">
        <v>1.8189894035458565E-12</v>
      </c>
      <c r="F42" s="171">
        <f t="shared" si="0"/>
        <v>-1.8189894035458565E-12</v>
      </c>
      <c r="G42" s="173" t="s">
        <v>8991</v>
      </c>
      <c r="H42" s="173" t="s">
        <v>8998</v>
      </c>
    </row>
    <row r="43" spans="1:8" ht="52.05" customHeight="1" x14ac:dyDescent="0.3">
      <c r="A43" s="151" t="s">
        <v>18</v>
      </c>
      <c r="B43" s="151">
        <v>2025</v>
      </c>
      <c r="C43" s="151" t="s">
        <v>966</v>
      </c>
      <c r="D43" s="172">
        <f>KOHC!H37-KOHC!H41-KOHC!H62</f>
        <v>0</v>
      </c>
      <c r="E43" s="172">
        <v>0</v>
      </c>
      <c r="F43" s="172">
        <f t="shared" si="0"/>
        <v>0</v>
      </c>
      <c r="G43" s="174" t="s">
        <v>8991</v>
      </c>
      <c r="H43" s="174" t="s">
        <v>8992</v>
      </c>
    </row>
    <row r="44" spans="1:8" ht="52.05" customHeight="1" x14ac:dyDescent="0.3">
      <c r="A44" s="154" t="s">
        <v>18</v>
      </c>
      <c r="B44" s="154">
        <v>2025</v>
      </c>
      <c r="C44" s="154" t="s">
        <v>8993</v>
      </c>
      <c r="D44" s="171">
        <f>KOHC!H37-KOHC!H75</f>
        <v>0</v>
      </c>
      <c r="E44" s="171">
        <v>0</v>
      </c>
      <c r="F44" s="171">
        <f t="shared" si="0"/>
        <v>0</v>
      </c>
      <c r="G44" s="173" t="s">
        <v>8991</v>
      </c>
      <c r="H44" s="173" t="s">
        <v>8992</v>
      </c>
    </row>
    <row r="45" spans="1:8" ht="52.05" customHeight="1" x14ac:dyDescent="0.3">
      <c r="A45" s="151" t="s">
        <v>18</v>
      </c>
      <c r="B45" s="151">
        <v>2025</v>
      </c>
      <c r="C45" s="151" t="s">
        <v>8994</v>
      </c>
      <c r="D45" s="172">
        <f>KOHC!H41-KOHC!H76</f>
        <v>0</v>
      </c>
      <c r="E45" s="172">
        <v>0</v>
      </c>
      <c r="F45" s="172">
        <f t="shared" si="0"/>
        <v>0</v>
      </c>
      <c r="G45" s="174" t="s">
        <v>8991</v>
      </c>
      <c r="H45" s="174" t="s">
        <v>8992</v>
      </c>
    </row>
    <row r="46" spans="1:8" ht="52.05" customHeight="1" x14ac:dyDescent="0.3">
      <c r="A46" s="154" t="s">
        <v>18</v>
      </c>
      <c r="B46" s="154">
        <v>2025</v>
      </c>
      <c r="C46" s="154" t="s">
        <v>8995</v>
      </c>
      <c r="D46" s="171">
        <f>KOHC!H36-KOHC!H77</f>
        <v>0</v>
      </c>
      <c r="E46" s="171">
        <v>0</v>
      </c>
      <c r="F46" s="171">
        <f t="shared" si="0"/>
        <v>0</v>
      </c>
      <c r="G46" s="173" t="s">
        <v>8991</v>
      </c>
      <c r="H46" s="173" t="s">
        <v>8992</v>
      </c>
    </row>
    <row r="47" spans="1:8" ht="52.05" customHeight="1" x14ac:dyDescent="0.3">
      <c r="A47" s="151" t="s">
        <v>18</v>
      </c>
      <c r="B47" s="151">
        <v>2025</v>
      </c>
      <c r="C47" s="151" t="s">
        <v>8996</v>
      </c>
      <c r="D47" s="172">
        <f>KOHC!H61-KOHC!H78</f>
        <v>0</v>
      </c>
      <c r="E47" s="172">
        <v>-1.8189894035458565E-12</v>
      </c>
      <c r="F47" s="172">
        <f t="shared" si="0"/>
        <v>1.8189894035458565E-12</v>
      </c>
      <c r="G47" s="174" t="s">
        <v>8991</v>
      </c>
      <c r="H47" s="174" t="s">
        <v>8992</v>
      </c>
    </row>
    <row r="48" spans="1:8" ht="52.05" customHeight="1" x14ac:dyDescent="0.3">
      <c r="A48" s="154" t="s">
        <v>18</v>
      </c>
      <c r="B48" s="154">
        <v>2025</v>
      </c>
      <c r="C48" s="154" t="s">
        <v>8997</v>
      </c>
      <c r="D48" s="171">
        <f>KOHC!H84+KOHC!H85-KOHC!H100</f>
        <v>0</v>
      </c>
      <c r="E48" s="171">
        <v>-1.8189894035458565E-12</v>
      </c>
      <c r="F48" s="171">
        <f t="shared" si="0"/>
        <v>1.8189894035458565E-12</v>
      </c>
      <c r="G48" s="173" t="s">
        <v>8991</v>
      </c>
      <c r="H48" s="173" t="s">
        <v>8998</v>
      </c>
    </row>
    <row r="49" spans="1:8" ht="52.05" customHeight="1" x14ac:dyDescent="0.3">
      <c r="A49" s="151" t="s">
        <v>18</v>
      </c>
      <c r="B49" s="151">
        <v>2025</v>
      </c>
      <c r="C49" s="151" t="s">
        <v>8999</v>
      </c>
      <c r="D49" s="172">
        <f>KOHC!H96-KOHC!H101</f>
        <v>0</v>
      </c>
      <c r="E49" s="172">
        <v>0</v>
      </c>
      <c r="F49" s="172">
        <f t="shared" si="0"/>
        <v>0</v>
      </c>
      <c r="G49" s="174" t="s">
        <v>8991</v>
      </c>
      <c r="H49" s="174" t="s">
        <v>8998</v>
      </c>
    </row>
    <row r="50" spans="1:8" ht="52.05" customHeight="1" x14ac:dyDescent="0.3">
      <c r="A50" s="154" t="s">
        <v>18</v>
      </c>
      <c r="B50" s="154">
        <v>2025</v>
      </c>
      <c r="C50" s="154" t="s">
        <v>9000</v>
      </c>
      <c r="D50" s="171">
        <f>KOHC!H96+KOHC!H97+KOHC!H98-KOHC!H102</f>
        <v>0</v>
      </c>
      <c r="E50" s="171">
        <v>0</v>
      </c>
      <c r="F50" s="171">
        <f t="shared" si="0"/>
        <v>0</v>
      </c>
      <c r="G50" s="173" t="s">
        <v>8991</v>
      </c>
      <c r="H50" s="173" t="s">
        <v>8998</v>
      </c>
    </row>
    <row r="51" spans="1:8" ht="52.05" customHeight="1" x14ac:dyDescent="0.3">
      <c r="A51" s="151" t="s">
        <v>68</v>
      </c>
      <c r="B51" s="151">
        <v>2020</v>
      </c>
      <c r="C51" s="151" t="s">
        <v>966</v>
      </c>
      <c r="D51" s="172">
        <f>LUCK!C37-LUCK!C41-LUCK!C62</f>
        <v>0.39999999997962732</v>
      </c>
      <c r="E51" s="172">
        <v>0.39999999997962732</v>
      </c>
      <c r="F51" s="172">
        <f t="shared" si="0"/>
        <v>0</v>
      </c>
      <c r="G51" s="174" t="s">
        <v>9001</v>
      </c>
      <c r="H51" s="174" t="s">
        <v>8992</v>
      </c>
    </row>
    <row r="52" spans="1:8" ht="52.05" customHeight="1" x14ac:dyDescent="0.3">
      <c r="A52" s="154" t="s">
        <v>68</v>
      </c>
      <c r="B52" s="154">
        <v>2020</v>
      </c>
      <c r="C52" s="154" t="s">
        <v>8993</v>
      </c>
      <c r="D52" s="171">
        <f>LUCK!C37-LUCK!C75</f>
        <v>0</v>
      </c>
      <c r="E52" s="171">
        <v>0</v>
      </c>
      <c r="F52" s="171">
        <f t="shared" si="0"/>
        <v>0</v>
      </c>
      <c r="G52" s="173" t="s">
        <v>8991</v>
      </c>
      <c r="H52" s="173" t="s">
        <v>8992</v>
      </c>
    </row>
    <row r="53" spans="1:8" ht="52.05" customHeight="1" x14ac:dyDescent="0.3">
      <c r="A53" s="151" t="s">
        <v>68</v>
      </c>
      <c r="B53" s="151">
        <v>2020</v>
      </c>
      <c r="C53" s="151" t="s">
        <v>8994</v>
      </c>
      <c r="D53" s="172">
        <f>LUCK!C41-LUCK!C76</f>
        <v>0</v>
      </c>
      <c r="E53" s="172">
        <v>0</v>
      </c>
      <c r="F53" s="172">
        <f t="shared" si="0"/>
        <v>0</v>
      </c>
      <c r="G53" s="174" t="s">
        <v>8991</v>
      </c>
      <c r="H53" s="174" t="s">
        <v>8992</v>
      </c>
    </row>
    <row r="54" spans="1:8" ht="52.05" customHeight="1" x14ac:dyDescent="0.3">
      <c r="A54" s="154" t="s">
        <v>68</v>
      </c>
      <c r="B54" s="154">
        <v>2020</v>
      </c>
      <c r="C54" s="154" t="s">
        <v>8995</v>
      </c>
      <c r="D54" s="171">
        <f>LUCK!C36-LUCK!C77</f>
        <v>0</v>
      </c>
      <c r="E54" s="171">
        <v>0</v>
      </c>
      <c r="F54" s="171">
        <f t="shared" si="0"/>
        <v>0</v>
      </c>
      <c r="G54" s="173" t="s">
        <v>8991</v>
      </c>
      <c r="H54" s="173" t="s">
        <v>8992</v>
      </c>
    </row>
    <row r="55" spans="1:8" ht="52.05" customHeight="1" x14ac:dyDescent="0.3">
      <c r="A55" s="151" t="s">
        <v>68</v>
      </c>
      <c r="B55" s="151">
        <v>2020</v>
      </c>
      <c r="C55" s="151" t="s">
        <v>8996</v>
      </c>
      <c r="D55" s="172">
        <f>LUCK!C61-LUCK!C78</f>
        <v>0</v>
      </c>
      <c r="E55" s="172">
        <v>3.637978807091713E-12</v>
      </c>
      <c r="F55" s="172">
        <f t="shared" si="0"/>
        <v>-3.637978807091713E-12</v>
      </c>
      <c r="G55" s="174" t="s">
        <v>8991</v>
      </c>
      <c r="H55" s="174" t="s">
        <v>8992</v>
      </c>
    </row>
    <row r="56" spans="1:8" ht="52.05" customHeight="1" x14ac:dyDescent="0.3">
      <c r="A56" s="154" t="s">
        <v>68</v>
      </c>
      <c r="B56" s="154">
        <v>2021</v>
      </c>
      <c r="C56" s="154" t="s">
        <v>966</v>
      </c>
      <c r="D56" s="171">
        <f>LUCK!D37-LUCK!D41-LUCK!D62</f>
        <v>0</v>
      </c>
      <c r="E56" s="171">
        <v>0</v>
      </c>
      <c r="F56" s="171">
        <f t="shared" si="0"/>
        <v>0</v>
      </c>
      <c r="G56" s="173" t="s">
        <v>8991</v>
      </c>
      <c r="H56" s="173" t="s">
        <v>8992</v>
      </c>
    </row>
    <row r="57" spans="1:8" ht="52.05" customHeight="1" x14ac:dyDescent="0.3">
      <c r="A57" s="151" t="s">
        <v>68</v>
      </c>
      <c r="B57" s="151">
        <v>2021</v>
      </c>
      <c r="C57" s="151" t="s">
        <v>8993</v>
      </c>
      <c r="D57" s="172">
        <f>LUCK!D37-LUCK!D75</f>
        <v>0</v>
      </c>
      <c r="E57" s="172">
        <v>0</v>
      </c>
      <c r="F57" s="172">
        <f t="shared" si="0"/>
        <v>0</v>
      </c>
      <c r="G57" s="174" t="s">
        <v>8991</v>
      </c>
      <c r="H57" s="174" t="s">
        <v>8992</v>
      </c>
    </row>
    <row r="58" spans="1:8" ht="52.05" customHeight="1" x14ac:dyDescent="0.3">
      <c r="A58" s="154" t="s">
        <v>68</v>
      </c>
      <c r="B58" s="154">
        <v>2021</v>
      </c>
      <c r="C58" s="154" t="s">
        <v>8994</v>
      </c>
      <c r="D58" s="171">
        <f>LUCK!D41-LUCK!D76</f>
        <v>0</v>
      </c>
      <c r="E58" s="171">
        <v>0</v>
      </c>
      <c r="F58" s="171">
        <f t="shared" si="0"/>
        <v>0</v>
      </c>
      <c r="G58" s="173" t="s">
        <v>8991</v>
      </c>
      <c r="H58" s="173" t="s">
        <v>8992</v>
      </c>
    </row>
    <row r="59" spans="1:8" ht="52.05" customHeight="1" x14ac:dyDescent="0.3">
      <c r="A59" s="151" t="s">
        <v>68</v>
      </c>
      <c r="B59" s="151">
        <v>2021</v>
      </c>
      <c r="C59" s="151" t="s">
        <v>8995</v>
      </c>
      <c r="D59" s="172">
        <f>LUCK!D36-LUCK!D77</f>
        <v>0</v>
      </c>
      <c r="E59" s="172">
        <v>0</v>
      </c>
      <c r="F59" s="172">
        <f t="shared" si="0"/>
        <v>0</v>
      </c>
      <c r="G59" s="174" t="s">
        <v>8991</v>
      </c>
      <c r="H59" s="174" t="s">
        <v>8992</v>
      </c>
    </row>
    <row r="60" spans="1:8" ht="52.05" customHeight="1" x14ac:dyDescent="0.3">
      <c r="A60" s="154" t="s">
        <v>68</v>
      </c>
      <c r="B60" s="154">
        <v>2021</v>
      </c>
      <c r="C60" s="154" t="s">
        <v>8996</v>
      </c>
      <c r="D60" s="171">
        <f>LUCK!D61-LUCK!D78</f>
        <v>0</v>
      </c>
      <c r="E60" s="171">
        <v>0</v>
      </c>
      <c r="F60" s="171">
        <f t="shared" si="0"/>
        <v>0</v>
      </c>
      <c r="G60" s="173" t="s">
        <v>8991</v>
      </c>
      <c r="H60" s="173" t="s">
        <v>8992</v>
      </c>
    </row>
    <row r="61" spans="1:8" ht="52.05" customHeight="1" x14ac:dyDescent="0.3">
      <c r="A61" s="151" t="s">
        <v>68</v>
      </c>
      <c r="B61" s="151">
        <v>2021</v>
      </c>
      <c r="C61" s="151" t="s">
        <v>8997</v>
      </c>
      <c r="D61" s="172">
        <f>LUCK!D84+LUCK!D85-LUCK!D100</f>
        <v>0</v>
      </c>
      <c r="E61" s="172">
        <v>0</v>
      </c>
      <c r="F61" s="172">
        <f t="shared" si="0"/>
        <v>0</v>
      </c>
      <c r="G61" s="174" t="s">
        <v>8991</v>
      </c>
      <c r="H61" s="174" t="s">
        <v>8998</v>
      </c>
    </row>
    <row r="62" spans="1:8" ht="52.05" customHeight="1" x14ac:dyDescent="0.3">
      <c r="A62" s="154" t="s">
        <v>68</v>
      </c>
      <c r="B62" s="154">
        <v>2021</v>
      </c>
      <c r="C62" s="154" t="s">
        <v>8999</v>
      </c>
      <c r="D62" s="171">
        <f>LUCK!D96-LUCK!D101</f>
        <v>0</v>
      </c>
      <c r="E62" s="171">
        <v>3.637978807091713E-12</v>
      </c>
      <c r="F62" s="171">
        <f t="shared" si="0"/>
        <v>-3.637978807091713E-12</v>
      </c>
      <c r="G62" s="173" t="s">
        <v>8991</v>
      </c>
      <c r="H62" s="173" t="s">
        <v>8998</v>
      </c>
    </row>
    <row r="63" spans="1:8" ht="52.05" customHeight="1" x14ac:dyDescent="0.3">
      <c r="A63" s="151" t="s">
        <v>68</v>
      </c>
      <c r="B63" s="151">
        <v>2021</v>
      </c>
      <c r="C63" s="151" t="s">
        <v>9000</v>
      </c>
      <c r="D63" s="172">
        <f>LUCK!D96+LUCK!D97+LUCK!D98-LUCK!D102</f>
        <v>0</v>
      </c>
      <c r="E63" s="172">
        <v>3.637978807091713E-12</v>
      </c>
      <c r="F63" s="172">
        <f t="shared" si="0"/>
        <v>-3.637978807091713E-12</v>
      </c>
      <c r="G63" s="174" t="s">
        <v>8991</v>
      </c>
      <c r="H63" s="174" t="s">
        <v>8998</v>
      </c>
    </row>
    <row r="64" spans="1:8" ht="52.05" customHeight="1" x14ac:dyDescent="0.3">
      <c r="A64" s="154" t="s">
        <v>68</v>
      </c>
      <c r="B64" s="154">
        <v>2022</v>
      </c>
      <c r="C64" s="154" t="s">
        <v>966</v>
      </c>
      <c r="D64" s="171">
        <f>LUCK!E37-LUCK!E41-LUCK!E62</f>
        <v>0</v>
      </c>
      <c r="E64" s="171">
        <v>0</v>
      </c>
      <c r="F64" s="171">
        <f t="shared" si="0"/>
        <v>0</v>
      </c>
      <c r="G64" s="173" t="s">
        <v>8991</v>
      </c>
      <c r="H64" s="173" t="s">
        <v>8992</v>
      </c>
    </row>
    <row r="65" spans="1:8" ht="52.05" customHeight="1" x14ac:dyDescent="0.3">
      <c r="A65" s="151" t="s">
        <v>68</v>
      </c>
      <c r="B65" s="151">
        <v>2022</v>
      </c>
      <c r="C65" s="151" t="s">
        <v>8993</v>
      </c>
      <c r="D65" s="172">
        <f>LUCK!E37-LUCK!E75</f>
        <v>0</v>
      </c>
      <c r="E65" s="172">
        <v>0</v>
      </c>
      <c r="F65" s="172">
        <f t="shared" si="0"/>
        <v>0</v>
      </c>
      <c r="G65" s="174" t="s">
        <v>8991</v>
      </c>
      <c r="H65" s="174" t="s">
        <v>8992</v>
      </c>
    </row>
    <row r="66" spans="1:8" ht="52.05" customHeight="1" x14ac:dyDescent="0.3">
      <c r="A66" s="154" t="s">
        <v>68</v>
      </c>
      <c r="B66" s="154">
        <v>2022</v>
      </c>
      <c r="C66" s="154" t="s">
        <v>8994</v>
      </c>
      <c r="D66" s="171">
        <f>LUCK!E41-LUCK!E76</f>
        <v>0</v>
      </c>
      <c r="E66" s="171">
        <v>0</v>
      </c>
      <c r="F66" s="171">
        <f t="shared" si="0"/>
        <v>0</v>
      </c>
      <c r="G66" s="173" t="s">
        <v>8991</v>
      </c>
      <c r="H66" s="173" t="s">
        <v>8992</v>
      </c>
    </row>
    <row r="67" spans="1:8" ht="52.05" customHeight="1" x14ac:dyDescent="0.3">
      <c r="A67" s="151" t="s">
        <v>68</v>
      </c>
      <c r="B67" s="151">
        <v>2022</v>
      </c>
      <c r="C67" s="151" t="s">
        <v>8995</v>
      </c>
      <c r="D67" s="172">
        <f>LUCK!E36-LUCK!E77</f>
        <v>0</v>
      </c>
      <c r="E67" s="172">
        <v>0</v>
      </c>
      <c r="F67" s="172">
        <f t="shared" si="0"/>
        <v>0</v>
      </c>
      <c r="G67" s="174" t="s">
        <v>8991</v>
      </c>
      <c r="H67" s="174" t="s">
        <v>8992</v>
      </c>
    </row>
    <row r="68" spans="1:8" ht="52.05" customHeight="1" x14ac:dyDescent="0.3">
      <c r="A68" s="154" t="s">
        <v>68</v>
      </c>
      <c r="B68" s="154">
        <v>2022</v>
      </c>
      <c r="C68" s="154" t="s">
        <v>8996</v>
      </c>
      <c r="D68" s="171">
        <f>LUCK!E61-LUCK!E78</f>
        <v>0</v>
      </c>
      <c r="E68" s="171">
        <v>0</v>
      </c>
      <c r="F68" s="171">
        <f t="shared" si="0"/>
        <v>0</v>
      </c>
      <c r="G68" s="173" t="s">
        <v>8991</v>
      </c>
      <c r="H68" s="173" t="s">
        <v>8992</v>
      </c>
    </row>
    <row r="69" spans="1:8" ht="52.05" customHeight="1" x14ac:dyDescent="0.3">
      <c r="A69" s="151" t="s">
        <v>68</v>
      </c>
      <c r="B69" s="151">
        <v>2022</v>
      </c>
      <c r="C69" s="151" t="s">
        <v>8997</v>
      </c>
      <c r="D69" s="172">
        <f>LUCK!E84+LUCK!E85-LUCK!E100</f>
        <v>0</v>
      </c>
      <c r="E69" s="172">
        <v>-7.2759576141834259E-12</v>
      </c>
      <c r="F69" s="172">
        <f t="shared" si="0"/>
        <v>7.2759576141834259E-12</v>
      </c>
      <c r="G69" s="174" t="s">
        <v>8991</v>
      </c>
      <c r="H69" s="174" t="s">
        <v>8998</v>
      </c>
    </row>
    <row r="70" spans="1:8" ht="52.05" customHeight="1" x14ac:dyDescent="0.3">
      <c r="A70" s="154" t="s">
        <v>68</v>
      </c>
      <c r="B70" s="154">
        <v>2022</v>
      </c>
      <c r="C70" s="154" t="s">
        <v>8999</v>
      </c>
      <c r="D70" s="171">
        <f>LUCK!E96-LUCK!E101</f>
        <v>0</v>
      </c>
      <c r="E70" s="171">
        <v>-7.2759576141834259E-12</v>
      </c>
      <c r="F70" s="171">
        <f t="shared" ref="F70:F133" si="1">D70-E70</f>
        <v>7.2759576141834259E-12</v>
      </c>
      <c r="G70" s="173" t="s">
        <v>8991</v>
      </c>
      <c r="H70" s="173" t="s">
        <v>8998</v>
      </c>
    </row>
    <row r="71" spans="1:8" ht="52.05" customHeight="1" x14ac:dyDescent="0.3">
      <c r="A71" s="151" t="s">
        <v>68</v>
      </c>
      <c r="B71" s="151">
        <v>2022</v>
      </c>
      <c r="C71" s="151" t="s">
        <v>9000</v>
      </c>
      <c r="D71" s="172">
        <f>LUCK!E96+LUCK!E97+LUCK!E98-LUCK!E102</f>
        <v>0</v>
      </c>
      <c r="E71" s="172">
        <v>-7.2759576141834259E-12</v>
      </c>
      <c r="F71" s="172">
        <f t="shared" si="1"/>
        <v>7.2759576141834259E-12</v>
      </c>
      <c r="G71" s="174" t="s">
        <v>8991</v>
      </c>
      <c r="H71" s="174" t="s">
        <v>8998</v>
      </c>
    </row>
    <row r="72" spans="1:8" ht="52.05" customHeight="1" x14ac:dyDescent="0.3">
      <c r="A72" s="154" t="s">
        <v>68</v>
      </c>
      <c r="B72" s="154">
        <v>2023</v>
      </c>
      <c r="C72" s="154" t="s">
        <v>966</v>
      </c>
      <c r="D72" s="171">
        <f>LUCK!F37-LUCK!F41-LUCK!F62</f>
        <v>0</v>
      </c>
      <c r="E72" s="171">
        <v>-2.9103830456733704E-11</v>
      </c>
      <c r="F72" s="171">
        <f t="shared" si="1"/>
        <v>2.9103830456733704E-11</v>
      </c>
      <c r="G72" s="173" t="s">
        <v>8991</v>
      </c>
      <c r="H72" s="173" t="s">
        <v>8992</v>
      </c>
    </row>
    <row r="73" spans="1:8" ht="52.05" customHeight="1" x14ac:dyDescent="0.3">
      <c r="A73" s="151" t="s">
        <v>68</v>
      </c>
      <c r="B73" s="151">
        <v>2023</v>
      </c>
      <c r="C73" s="151" t="s">
        <v>8993</v>
      </c>
      <c r="D73" s="172">
        <f>LUCK!F37-LUCK!F75</f>
        <v>0</v>
      </c>
      <c r="E73" s="172">
        <v>-2.9103830456733704E-11</v>
      </c>
      <c r="F73" s="172">
        <f t="shared" si="1"/>
        <v>2.9103830456733704E-11</v>
      </c>
      <c r="G73" s="174" t="s">
        <v>8991</v>
      </c>
      <c r="H73" s="174" t="s">
        <v>8992</v>
      </c>
    </row>
    <row r="74" spans="1:8" ht="52.05" customHeight="1" x14ac:dyDescent="0.3">
      <c r="A74" s="154" t="s">
        <v>68</v>
      </c>
      <c r="B74" s="154">
        <v>2023</v>
      </c>
      <c r="C74" s="154" t="s">
        <v>8994</v>
      </c>
      <c r="D74" s="171">
        <f>LUCK!F41-LUCK!F76</f>
        <v>0</v>
      </c>
      <c r="E74" s="171">
        <v>0</v>
      </c>
      <c r="F74" s="171">
        <f t="shared" si="1"/>
        <v>0</v>
      </c>
      <c r="G74" s="173" t="s">
        <v>8991</v>
      </c>
      <c r="H74" s="173" t="s">
        <v>8992</v>
      </c>
    </row>
    <row r="75" spans="1:8" ht="52.05" customHeight="1" x14ac:dyDescent="0.3">
      <c r="A75" s="151" t="s">
        <v>68</v>
      </c>
      <c r="B75" s="151">
        <v>2023</v>
      </c>
      <c r="C75" s="151" t="s">
        <v>8995</v>
      </c>
      <c r="D75" s="172">
        <f>LUCK!F36-LUCK!F77</f>
        <v>0</v>
      </c>
      <c r="E75" s="172">
        <v>0</v>
      </c>
      <c r="F75" s="172">
        <f t="shared" si="1"/>
        <v>0</v>
      </c>
      <c r="G75" s="174" t="s">
        <v>8991</v>
      </c>
      <c r="H75" s="174" t="s">
        <v>8992</v>
      </c>
    </row>
    <row r="76" spans="1:8" ht="52.05" customHeight="1" x14ac:dyDescent="0.3">
      <c r="A76" s="154" t="s">
        <v>68</v>
      </c>
      <c r="B76" s="154">
        <v>2023</v>
      </c>
      <c r="C76" s="154" t="s">
        <v>8996</v>
      </c>
      <c r="D76" s="171">
        <f>LUCK!F61-LUCK!F78</f>
        <v>0</v>
      </c>
      <c r="E76" s="171">
        <v>0</v>
      </c>
      <c r="F76" s="171">
        <f t="shared" si="1"/>
        <v>0</v>
      </c>
      <c r="G76" s="173" t="s">
        <v>8991</v>
      </c>
      <c r="H76" s="173" t="s">
        <v>8992</v>
      </c>
    </row>
    <row r="77" spans="1:8" ht="52.05" customHeight="1" x14ac:dyDescent="0.3">
      <c r="A77" s="151" t="s">
        <v>68</v>
      </c>
      <c r="B77" s="151">
        <v>2023</v>
      </c>
      <c r="C77" s="151" t="s">
        <v>8997</v>
      </c>
      <c r="D77" s="172">
        <f>LUCK!F84+LUCK!F85-LUCK!F100</f>
        <v>0</v>
      </c>
      <c r="E77" s="172">
        <v>0</v>
      </c>
      <c r="F77" s="172">
        <f t="shared" si="1"/>
        <v>0</v>
      </c>
      <c r="G77" s="174" t="s">
        <v>8991</v>
      </c>
      <c r="H77" s="174" t="s">
        <v>8998</v>
      </c>
    </row>
    <row r="78" spans="1:8" ht="52.05" customHeight="1" x14ac:dyDescent="0.3">
      <c r="A78" s="154" t="s">
        <v>68</v>
      </c>
      <c r="B78" s="154">
        <v>2023</v>
      </c>
      <c r="C78" s="154" t="s">
        <v>8999</v>
      </c>
      <c r="D78" s="171">
        <f>LUCK!F96-LUCK!F101</f>
        <v>0</v>
      </c>
      <c r="E78" s="171">
        <v>-3.637978807091713E-12</v>
      </c>
      <c r="F78" s="171">
        <f t="shared" si="1"/>
        <v>3.637978807091713E-12</v>
      </c>
      <c r="G78" s="173" t="s">
        <v>8991</v>
      </c>
      <c r="H78" s="173" t="s">
        <v>8998</v>
      </c>
    </row>
    <row r="79" spans="1:8" ht="52.05" customHeight="1" x14ac:dyDescent="0.3">
      <c r="A79" s="151" t="s">
        <v>68</v>
      </c>
      <c r="B79" s="151">
        <v>2023</v>
      </c>
      <c r="C79" s="151" t="s">
        <v>9000</v>
      </c>
      <c r="D79" s="172">
        <f>LUCK!F96+LUCK!F97+LUCK!F98-LUCK!F102</f>
        <v>0</v>
      </c>
      <c r="E79" s="172">
        <v>-1.8189894035458565E-12</v>
      </c>
      <c r="F79" s="172">
        <f t="shared" si="1"/>
        <v>1.8189894035458565E-12</v>
      </c>
      <c r="G79" s="174" t="s">
        <v>8991</v>
      </c>
      <c r="H79" s="174" t="s">
        <v>8998</v>
      </c>
    </row>
    <row r="80" spans="1:8" ht="52.05" customHeight="1" x14ac:dyDescent="0.3">
      <c r="A80" s="154" t="s">
        <v>68</v>
      </c>
      <c r="B80" s="154">
        <v>2024</v>
      </c>
      <c r="C80" s="154" t="s">
        <v>966</v>
      </c>
      <c r="D80" s="171">
        <f>LUCK!G37-LUCK!G41-LUCK!G62</f>
        <v>0</v>
      </c>
      <c r="E80" s="171">
        <v>0</v>
      </c>
      <c r="F80" s="171">
        <f t="shared" si="1"/>
        <v>0</v>
      </c>
      <c r="G80" s="173" t="s">
        <v>8991</v>
      </c>
      <c r="H80" s="173" t="s">
        <v>8992</v>
      </c>
    </row>
    <row r="81" spans="1:8" ht="52.05" customHeight="1" x14ac:dyDescent="0.3">
      <c r="A81" s="151" t="s">
        <v>68</v>
      </c>
      <c r="B81" s="151">
        <v>2024</v>
      </c>
      <c r="C81" s="151" t="s">
        <v>8993</v>
      </c>
      <c r="D81" s="172">
        <f>LUCK!G37-LUCK!G75</f>
        <v>0</v>
      </c>
      <c r="E81" s="172">
        <v>0</v>
      </c>
      <c r="F81" s="172">
        <f t="shared" si="1"/>
        <v>0</v>
      </c>
      <c r="G81" s="174" t="s">
        <v>8991</v>
      </c>
      <c r="H81" s="174" t="s">
        <v>8992</v>
      </c>
    </row>
    <row r="82" spans="1:8" ht="52.05" customHeight="1" x14ac:dyDescent="0.3">
      <c r="A82" s="154" t="s">
        <v>68</v>
      </c>
      <c r="B82" s="154">
        <v>2024</v>
      </c>
      <c r="C82" s="154" t="s">
        <v>8994</v>
      </c>
      <c r="D82" s="171">
        <f>LUCK!G41-LUCK!G76</f>
        <v>0</v>
      </c>
      <c r="E82" s="171">
        <v>0</v>
      </c>
      <c r="F82" s="171">
        <f t="shared" si="1"/>
        <v>0</v>
      </c>
      <c r="G82" s="173" t="s">
        <v>8991</v>
      </c>
      <c r="H82" s="173" t="s">
        <v>8992</v>
      </c>
    </row>
    <row r="83" spans="1:8" ht="52.05" customHeight="1" x14ac:dyDescent="0.3">
      <c r="A83" s="151" t="s">
        <v>68</v>
      </c>
      <c r="B83" s="151">
        <v>2024</v>
      </c>
      <c r="C83" s="151" t="s">
        <v>8995</v>
      </c>
      <c r="D83" s="172">
        <f>LUCK!G36-LUCK!G77</f>
        <v>0</v>
      </c>
      <c r="E83" s="172">
        <v>0</v>
      </c>
      <c r="F83" s="172">
        <f t="shared" si="1"/>
        <v>0</v>
      </c>
      <c r="G83" s="174" t="s">
        <v>8991</v>
      </c>
      <c r="H83" s="174" t="s">
        <v>8992</v>
      </c>
    </row>
    <row r="84" spans="1:8" ht="52.05" customHeight="1" x14ac:dyDescent="0.3">
      <c r="A84" s="154" t="s">
        <v>68</v>
      </c>
      <c r="B84" s="154">
        <v>2024</v>
      </c>
      <c r="C84" s="154" t="s">
        <v>8996</v>
      </c>
      <c r="D84" s="171">
        <f>LUCK!G61-LUCK!G78</f>
        <v>0</v>
      </c>
      <c r="E84" s="171">
        <v>0</v>
      </c>
      <c r="F84" s="171">
        <f t="shared" si="1"/>
        <v>0</v>
      </c>
      <c r="G84" s="173" t="s">
        <v>8991</v>
      </c>
      <c r="H84" s="173" t="s">
        <v>8992</v>
      </c>
    </row>
    <row r="85" spans="1:8" ht="52.05" customHeight="1" x14ac:dyDescent="0.3">
      <c r="A85" s="151" t="s">
        <v>68</v>
      </c>
      <c r="B85" s="151">
        <v>2024</v>
      </c>
      <c r="C85" s="151" t="s">
        <v>8997</v>
      </c>
      <c r="D85" s="172">
        <f>LUCK!G84+LUCK!G85-LUCK!G100</f>
        <v>0</v>
      </c>
      <c r="E85" s="172">
        <v>0</v>
      </c>
      <c r="F85" s="172">
        <f t="shared" si="1"/>
        <v>0</v>
      </c>
      <c r="G85" s="174" t="s">
        <v>8991</v>
      </c>
      <c r="H85" s="174" t="s">
        <v>8998</v>
      </c>
    </row>
    <row r="86" spans="1:8" ht="52.05" customHeight="1" x14ac:dyDescent="0.3">
      <c r="A86" s="154" t="s">
        <v>68</v>
      </c>
      <c r="B86" s="154">
        <v>2024</v>
      </c>
      <c r="C86" s="154" t="s">
        <v>8999</v>
      </c>
      <c r="D86" s="171">
        <f>LUCK!G96-LUCK!G101</f>
        <v>0</v>
      </c>
      <c r="E86" s="171">
        <v>0</v>
      </c>
      <c r="F86" s="171">
        <f t="shared" si="1"/>
        <v>0</v>
      </c>
      <c r="G86" s="173" t="s">
        <v>8991</v>
      </c>
      <c r="H86" s="173" t="s">
        <v>8998</v>
      </c>
    </row>
    <row r="87" spans="1:8" ht="52.05" customHeight="1" x14ac:dyDescent="0.3">
      <c r="A87" s="151" t="s">
        <v>68</v>
      </c>
      <c r="B87" s="151">
        <v>2024</v>
      </c>
      <c r="C87" s="151" t="s">
        <v>9000</v>
      </c>
      <c r="D87" s="172">
        <f>LUCK!G96+LUCK!G97+LUCK!G98-LUCK!G102</f>
        <v>0</v>
      </c>
      <c r="E87" s="172">
        <v>-3.637978807091713E-12</v>
      </c>
      <c r="F87" s="172">
        <f t="shared" si="1"/>
        <v>3.637978807091713E-12</v>
      </c>
      <c r="G87" s="174" t="s">
        <v>8991</v>
      </c>
      <c r="H87" s="174" t="s">
        <v>8998</v>
      </c>
    </row>
    <row r="88" spans="1:8" ht="52.05" customHeight="1" x14ac:dyDescent="0.3">
      <c r="A88" s="154" t="s">
        <v>68</v>
      </c>
      <c r="B88" s="154">
        <v>2025</v>
      </c>
      <c r="C88" s="154" t="s">
        <v>966</v>
      </c>
      <c r="D88" s="171">
        <f>LUCK!H37-LUCK!H41-LUCK!H62</f>
        <v>0</v>
      </c>
      <c r="E88" s="171">
        <v>2.9103830456733704E-11</v>
      </c>
      <c r="F88" s="171">
        <f t="shared" si="1"/>
        <v>-2.9103830456733704E-11</v>
      </c>
      <c r="G88" s="173" t="s">
        <v>8991</v>
      </c>
      <c r="H88" s="173" t="s">
        <v>8992</v>
      </c>
    </row>
    <row r="89" spans="1:8" ht="52.05" customHeight="1" x14ac:dyDescent="0.3">
      <c r="A89" s="151" t="s">
        <v>68</v>
      </c>
      <c r="B89" s="151">
        <v>2025</v>
      </c>
      <c r="C89" s="151" t="s">
        <v>8993</v>
      </c>
      <c r="D89" s="172">
        <f>LUCK!H37-LUCK!H75</f>
        <v>0</v>
      </c>
      <c r="E89" s="172">
        <v>0</v>
      </c>
      <c r="F89" s="172">
        <f t="shared" si="1"/>
        <v>0</v>
      </c>
      <c r="G89" s="174" t="s">
        <v>8991</v>
      </c>
      <c r="H89" s="174" t="s">
        <v>8992</v>
      </c>
    </row>
    <row r="90" spans="1:8" ht="52.05" customHeight="1" x14ac:dyDescent="0.3">
      <c r="A90" s="154" t="s">
        <v>68</v>
      </c>
      <c r="B90" s="154">
        <v>2025</v>
      </c>
      <c r="C90" s="154" t="s">
        <v>8994</v>
      </c>
      <c r="D90" s="171">
        <f>LUCK!H41-LUCK!H76</f>
        <v>0</v>
      </c>
      <c r="E90" s="171">
        <v>0</v>
      </c>
      <c r="F90" s="171">
        <f t="shared" si="1"/>
        <v>0</v>
      </c>
      <c r="G90" s="173" t="s">
        <v>8991</v>
      </c>
      <c r="H90" s="173" t="s">
        <v>8992</v>
      </c>
    </row>
    <row r="91" spans="1:8" ht="52.05" customHeight="1" x14ac:dyDescent="0.3">
      <c r="A91" s="151" t="s">
        <v>68</v>
      </c>
      <c r="B91" s="151">
        <v>2025</v>
      </c>
      <c r="C91" s="151" t="s">
        <v>8995</v>
      </c>
      <c r="D91" s="172">
        <f>LUCK!H36-LUCK!H77</f>
        <v>0</v>
      </c>
      <c r="E91" s="172">
        <v>1.4551915228366852E-11</v>
      </c>
      <c r="F91" s="172">
        <f t="shared" si="1"/>
        <v>-1.4551915228366852E-11</v>
      </c>
      <c r="G91" s="174" t="s">
        <v>8991</v>
      </c>
      <c r="H91" s="174" t="s">
        <v>8992</v>
      </c>
    </row>
    <row r="92" spans="1:8" ht="52.05" customHeight="1" x14ac:dyDescent="0.3">
      <c r="A92" s="154" t="s">
        <v>68</v>
      </c>
      <c r="B92" s="154">
        <v>2025</v>
      </c>
      <c r="C92" s="154" t="s">
        <v>8996</v>
      </c>
      <c r="D92" s="171">
        <f>LUCK!H61-LUCK!H78</f>
        <v>0</v>
      </c>
      <c r="E92" s="171">
        <v>0</v>
      </c>
      <c r="F92" s="171">
        <f t="shared" si="1"/>
        <v>0</v>
      </c>
      <c r="G92" s="173" t="s">
        <v>8991</v>
      </c>
      <c r="H92" s="173" t="s">
        <v>8992</v>
      </c>
    </row>
    <row r="93" spans="1:8" ht="52.05" customHeight="1" x14ac:dyDescent="0.3">
      <c r="A93" s="151" t="s">
        <v>68</v>
      </c>
      <c r="B93" s="151">
        <v>2025</v>
      </c>
      <c r="C93" s="151" t="s">
        <v>8997</v>
      </c>
      <c r="D93" s="172">
        <f>LUCK!H84+LUCK!H85-LUCK!H100</f>
        <v>0</v>
      </c>
      <c r="E93" s="172">
        <v>7.2759576141834259E-12</v>
      </c>
      <c r="F93" s="172">
        <f t="shared" si="1"/>
        <v>-7.2759576141834259E-12</v>
      </c>
      <c r="G93" s="174" t="s">
        <v>8991</v>
      </c>
      <c r="H93" s="174" t="s">
        <v>8998</v>
      </c>
    </row>
    <row r="94" spans="1:8" ht="52.05" customHeight="1" x14ac:dyDescent="0.3">
      <c r="A94" s="154" t="s">
        <v>68</v>
      </c>
      <c r="B94" s="154">
        <v>2025</v>
      </c>
      <c r="C94" s="154" t="s">
        <v>8999</v>
      </c>
      <c r="D94" s="171">
        <f>LUCK!H96-LUCK!H101</f>
        <v>0</v>
      </c>
      <c r="E94" s="171">
        <v>7.2759576141834259E-12</v>
      </c>
      <c r="F94" s="171">
        <f t="shared" si="1"/>
        <v>-7.2759576141834259E-12</v>
      </c>
      <c r="G94" s="173" t="s">
        <v>8991</v>
      </c>
      <c r="H94" s="173" t="s">
        <v>8998</v>
      </c>
    </row>
    <row r="95" spans="1:8" ht="52.05" customHeight="1" x14ac:dyDescent="0.3">
      <c r="A95" s="151" t="s">
        <v>68</v>
      </c>
      <c r="B95" s="151">
        <v>2025</v>
      </c>
      <c r="C95" s="151" t="s">
        <v>9000</v>
      </c>
      <c r="D95" s="172">
        <f>LUCK!H96+LUCK!H97+LUCK!H98-LUCK!H102</f>
        <v>0</v>
      </c>
      <c r="E95" s="172">
        <v>1.4551915228366852E-11</v>
      </c>
      <c r="F95" s="172">
        <f t="shared" si="1"/>
        <v>-1.4551915228366852E-11</v>
      </c>
      <c r="G95" s="174" t="s">
        <v>8991</v>
      </c>
      <c r="H95" s="174" t="s">
        <v>8998</v>
      </c>
    </row>
    <row r="96" spans="1:8" ht="52.05" customHeight="1" x14ac:dyDescent="0.3">
      <c r="A96" s="154" t="s">
        <v>86</v>
      </c>
      <c r="B96" s="154">
        <v>2020</v>
      </c>
      <c r="C96" s="154" t="s">
        <v>966</v>
      </c>
      <c r="D96" s="171">
        <f>DGKC!C37-DGKC!C41-DGKC!C62</f>
        <v>0</v>
      </c>
      <c r="E96" s="171">
        <v>1.4551915228366852E-11</v>
      </c>
      <c r="F96" s="171">
        <f t="shared" si="1"/>
        <v>-1.4551915228366852E-11</v>
      </c>
      <c r="G96" s="173" t="s">
        <v>8991</v>
      </c>
      <c r="H96" s="173" t="s">
        <v>8992</v>
      </c>
    </row>
    <row r="97" spans="1:8" ht="52.05" customHeight="1" x14ac:dyDescent="0.3">
      <c r="A97" s="151" t="s">
        <v>86</v>
      </c>
      <c r="B97" s="151">
        <v>2020</v>
      </c>
      <c r="C97" s="151" t="s">
        <v>8993</v>
      </c>
      <c r="D97" s="172">
        <f>DGKC!C37-DGKC!C75</f>
        <v>0</v>
      </c>
      <c r="E97" s="172">
        <v>1.4551915228366852E-11</v>
      </c>
      <c r="F97" s="172">
        <f t="shared" si="1"/>
        <v>-1.4551915228366852E-11</v>
      </c>
      <c r="G97" s="174" t="s">
        <v>8991</v>
      </c>
      <c r="H97" s="174" t="s">
        <v>8992</v>
      </c>
    </row>
    <row r="98" spans="1:8" ht="52.05" customHeight="1" x14ac:dyDescent="0.3">
      <c r="A98" s="154" t="s">
        <v>86</v>
      </c>
      <c r="B98" s="154">
        <v>2020</v>
      </c>
      <c r="C98" s="154" t="s">
        <v>8994</v>
      </c>
      <c r="D98" s="171">
        <f>DGKC!C41-DGKC!C76</f>
        <v>0</v>
      </c>
      <c r="E98" s="171">
        <v>0</v>
      </c>
      <c r="F98" s="171">
        <f t="shared" si="1"/>
        <v>0</v>
      </c>
      <c r="G98" s="173" t="s">
        <v>8991</v>
      </c>
      <c r="H98" s="173" t="s">
        <v>8992</v>
      </c>
    </row>
    <row r="99" spans="1:8" ht="52.05" customHeight="1" x14ac:dyDescent="0.3">
      <c r="A99" s="151" t="s">
        <v>86</v>
      </c>
      <c r="B99" s="151">
        <v>2020</v>
      </c>
      <c r="C99" s="151" t="s">
        <v>8995</v>
      </c>
      <c r="D99" s="172">
        <f>DGKC!C36-DGKC!C77</f>
        <v>0</v>
      </c>
      <c r="E99" s="172">
        <v>0</v>
      </c>
      <c r="F99" s="172">
        <f t="shared" si="1"/>
        <v>0</v>
      </c>
      <c r="G99" s="174" t="s">
        <v>8991</v>
      </c>
      <c r="H99" s="174" t="s">
        <v>8992</v>
      </c>
    </row>
    <row r="100" spans="1:8" ht="52.05" customHeight="1" x14ac:dyDescent="0.3">
      <c r="A100" s="154" t="s">
        <v>86</v>
      </c>
      <c r="B100" s="154">
        <v>2020</v>
      </c>
      <c r="C100" s="154" t="s">
        <v>8996</v>
      </c>
      <c r="D100" s="171">
        <f>DGKC!C61-DGKC!C78</f>
        <v>0</v>
      </c>
      <c r="E100" s="171">
        <v>0</v>
      </c>
      <c r="F100" s="171">
        <f t="shared" si="1"/>
        <v>0</v>
      </c>
      <c r="G100" s="173" t="s">
        <v>8991</v>
      </c>
      <c r="H100" s="173" t="s">
        <v>8992</v>
      </c>
    </row>
    <row r="101" spans="1:8" ht="52.05" customHeight="1" x14ac:dyDescent="0.3">
      <c r="A101" s="151" t="s">
        <v>86</v>
      </c>
      <c r="B101" s="151">
        <v>2021</v>
      </c>
      <c r="C101" s="151" t="s">
        <v>966</v>
      </c>
      <c r="D101" s="172">
        <f>DGKC!D37-DGKC!D41-DGKC!D62</f>
        <v>0</v>
      </c>
      <c r="E101" s="172">
        <v>-1.4551915228366852E-11</v>
      </c>
      <c r="F101" s="172">
        <f t="shared" si="1"/>
        <v>1.4551915228366852E-11</v>
      </c>
      <c r="G101" s="174" t="s">
        <v>8991</v>
      </c>
      <c r="H101" s="174" t="s">
        <v>8992</v>
      </c>
    </row>
    <row r="102" spans="1:8" ht="52.05" customHeight="1" x14ac:dyDescent="0.3">
      <c r="A102" s="154" t="s">
        <v>86</v>
      </c>
      <c r="B102" s="154">
        <v>2021</v>
      </c>
      <c r="C102" s="154" t="s">
        <v>8993</v>
      </c>
      <c r="D102" s="171">
        <f>DGKC!D37-DGKC!D75</f>
        <v>0</v>
      </c>
      <c r="E102" s="171">
        <v>0</v>
      </c>
      <c r="F102" s="171">
        <f t="shared" si="1"/>
        <v>0</v>
      </c>
      <c r="G102" s="173" t="s">
        <v>8991</v>
      </c>
      <c r="H102" s="173" t="s">
        <v>8992</v>
      </c>
    </row>
    <row r="103" spans="1:8" ht="52.05" customHeight="1" x14ac:dyDescent="0.3">
      <c r="A103" s="151" t="s">
        <v>86</v>
      </c>
      <c r="B103" s="151">
        <v>2021</v>
      </c>
      <c r="C103" s="151" t="s">
        <v>8994</v>
      </c>
      <c r="D103" s="172">
        <f>DGKC!D41-DGKC!D76</f>
        <v>0</v>
      </c>
      <c r="E103" s="172">
        <v>0</v>
      </c>
      <c r="F103" s="172">
        <f t="shared" si="1"/>
        <v>0</v>
      </c>
      <c r="G103" s="174" t="s">
        <v>8991</v>
      </c>
      <c r="H103" s="174" t="s">
        <v>8992</v>
      </c>
    </row>
    <row r="104" spans="1:8" ht="52.05" customHeight="1" x14ac:dyDescent="0.3">
      <c r="A104" s="154" t="s">
        <v>86</v>
      </c>
      <c r="B104" s="154">
        <v>2021</v>
      </c>
      <c r="C104" s="154" t="s">
        <v>8995</v>
      </c>
      <c r="D104" s="171">
        <f>DGKC!D36-DGKC!D77</f>
        <v>0</v>
      </c>
      <c r="E104" s="171">
        <v>0</v>
      </c>
      <c r="F104" s="171">
        <f t="shared" si="1"/>
        <v>0</v>
      </c>
      <c r="G104" s="173" t="s">
        <v>8991</v>
      </c>
      <c r="H104" s="173" t="s">
        <v>8992</v>
      </c>
    </row>
    <row r="105" spans="1:8" ht="52.05" customHeight="1" x14ac:dyDescent="0.3">
      <c r="A105" s="151" t="s">
        <v>86</v>
      </c>
      <c r="B105" s="151">
        <v>2021</v>
      </c>
      <c r="C105" s="151" t="s">
        <v>8996</v>
      </c>
      <c r="D105" s="172">
        <f>DGKC!D61-DGKC!D78</f>
        <v>0</v>
      </c>
      <c r="E105" s="172">
        <v>0</v>
      </c>
      <c r="F105" s="172">
        <f t="shared" si="1"/>
        <v>0</v>
      </c>
      <c r="G105" s="174" t="s">
        <v>8991</v>
      </c>
      <c r="H105" s="174" t="s">
        <v>8992</v>
      </c>
    </row>
    <row r="106" spans="1:8" ht="52.05" customHeight="1" x14ac:dyDescent="0.3">
      <c r="A106" s="154" t="s">
        <v>86</v>
      </c>
      <c r="B106" s="154">
        <v>2021</v>
      </c>
      <c r="C106" s="154" t="s">
        <v>8997</v>
      </c>
      <c r="D106" s="171">
        <f>DGKC!D84+DGKC!D85-DGKC!D100</f>
        <v>0</v>
      </c>
      <c r="E106" s="171">
        <v>0</v>
      </c>
      <c r="F106" s="171">
        <f t="shared" si="1"/>
        <v>0</v>
      </c>
      <c r="G106" s="173" t="s">
        <v>8991</v>
      </c>
      <c r="H106" s="173" t="s">
        <v>8998</v>
      </c>
    </row>
    <row r="107" spans="1:8" ht="52.05" customHeight="1" x14ac:dyDescent="0.3">
      <c r="A107" s="151" t="s">
        <v>86</v>
      </c>
      <c r="B107" s="151">
        <v>2021</v>
      </c>
      <c r="C107" s="151" t="s">
        <v>8999</v>
      </c>
      <c r="D107" s="172">
        <f>DGKC!D96-DGKC!D101</f>
        <v>0</v>
      </c>
      <c r="E107" s="172">
        <v>0</v>
      </c>
      <c r="F107" s="172">
        <f t="shared" si="1"/>
        <v>0</v>
      </c>
      <c r="G107" s="174" t="s">
        <v>8991</v>
      </c>
      <c r="H107" s="174" t="s">
        <v>8998</v>
      </c>
    </row>
    <row r="108" spans="1:8" ht="52.05" customHeight="1" x14ac:dyDescent="0.3">
      <c r="A108" s="154" t="s">
        <v>86</v>
      </c>
      <c r="B108" s="154">
        <v>2021</v>
      </c>
      <c r="C108" s="154" t="s">
        <v>9000</v>
      </c>
      <c r="D108" s="171">
        <f>DGKC!D96+DGKC!D97+DGKC!D98-DGKC!D102</f>
        <v>0</v>
      </c>
      <c r="E108" s="171">
        <v>-4.5474735088646412E-13</v>
      </c>
      <c r="F108" s="171">
        <f t="shared" si="1"/>
        <v>4.5474735088646412E-13</v>
      </c>
      <c r="G108" s="173" t="s">
        <v>8991</v>
      </c>
      <c r="H108" s="173" t="s">
        <v>8998</v>
      </c>
    </row>
    <row r="109" spans="1:8" ht="52.05" customHeight="1" x14ac:dyDescent="0.3">
      <c r="A109" s="151" t="s">
        <v>86</v>
      </c>
      <c r="B109" s="151">
        <v>2022</v>
      </c>
      <c r="C109" s="151" t="s">
        <v>966</v>
      </c>
      <c r="D109" s="172">
        <f>DGKC!E37-DGKC!E41-DGKC!E62</f>
        <v>0</v>
      </c>
      <c r="E109" s="172">
        <v>1.4551915228366852E-11</v>
      </c>
      <c r="F109" s="172">
        <f t="shared" si="1"/>
        <v>-1.4551915228366852E-11</v>
      </c>
      <c r="G109" s="174" t="s">
        <v>8991</v>
      </c>
      <c r="H109" s="174" t="s">
        <v>8992</v>
      </c>
    </row>
    <row r="110" spans="1:8" ht="52.05" customHeight="1" x14ac:dyDescent="0.3">
      <c r="A110" s="154" t="s">
        <v>86</v>
      </c>
      <c r="B110" s="154">
        <v>2022</v>
      </c>
      <c r="C110" s="154" t="s">
        <v>8993</v>
      </c>
      <c r="D110" s="171">
        <f>DGKC!E37-DGKC!E75</f>
        <v>0</v>
      </c>
      <c r="E110" s="171">
        <v>0</v>
      </c>
      <c r="F110" s="171">
        <f t="shared" si="1"/>
        <v>0</v>
      </c>
      <c r="G110" s="173" t="s">
        <v>8991</v>
      </c>
      <c r="H110" s="173" t="s">
        <v>8992</v>
      </c>
    </row>
    <row r="111" spans="1:8" ht="52.05" customHeight="1" x14ac:dyDescent="0.3">
      <c r="A111" s="151" t="s">
        <v>86</v>
      </c>
      <c r="B111" s="151">
        <v>2022</v>
      </c>
      <c r="C111" s="151" t="s">
        <v>8994</v>
      </c>
      <c r="D111" s="172">
        <f>DGKC!E41-DGKC!E76</f>
        <v>0</v>
      </c>
      <c r="E111" s="172">
        <v>0</v>
      </c>
      <c r="F111" s="172">
        <f t="shared" si="1"/>
        <v>0</v>
      </c>
      <c r="G111" s="174" t="s">
        <v>8991</v>
      </c>
      <c r="H111" s="174" t="s">
        <v>8992</v>
      </c>
    </row>
    <row r="112" spans="1:8" ht="52.05" customHeight="1" x14ac:dyDescent="0.3">
      <c r="A112" s="154" t="s">
        <v>86</v>
      </c>
      <c r="B112" s="154">
        <v>2022</v>
      </c>
      <c r="C112" s="154" t="s">
        <v>8995</v>
      </c>
      <c r="D112" s="171">
        <f>DGKC!E36-DGKC!E77</f>
        <v>0</v>
      </c>
      <c r="E112" s="171">
        <v>0</v>
      </c>
      <c r="F112" s="171">
        <f t="shared" si="1"/>
        <v>0</v>
      </c>
      <c r="G112" s="173" t="s">
        <v>8991</v>
      </c>
      <c r="H112" s="173" t="s">
        <v>8992</v>
      </c>
    </row>
    <row r="113" spans="1:8" ht="52.05" customHeight="1" x14ac:dyDescent="0.3">
      <c r="A113" s="151" t="s">
        <v>86</v>
      </c>
      <c r="B113" s="151">
        <v>2022</v>
      </c>
      <c r="C113" s="151" t="s">
        <v>8996</v>
      </c>
      <c r="D113" s="172">
        <f>DGKC!E61-DGKC!E78</f>
        <v>0</v>
      </c>
      <c r="E113" s="172">
        <v>0</v>
      </c>
      <c r="F113" s="172">
        <f t="shared" si="1"/>
        <v>0</v>
      </c>
      <c r="G113" s="174" t="s">
        <v>8991</v>
      </c>
      <c r="H113" s="174" t="s">
        <v>8992</v>
      </c>
    </row>
    <row r="114" spans="1:8" ht="52.05" customHeight="1" x14ac:dyDescent="0.3">
      <c r="A114" s="154" t="s">
        <v>86</v>
      </c>
      <c r="B114" s="154">
        <v>2022</v>
      </c>
      <c r="C114" s="154" t="s">
        <v>8997</v>
      </c>
      <c r="D114" s="171">
        <f>DGKC!E84+DGKC!E85-DGKC!E100</f>
        <v>0</v>
      </c>
      <c r="E114" s="171">
        <v>-1.8189894035458565E-12</v>
      </c>
      <c r="F114" s="171">
        <f t="shared" si="1"/>
        <v>1.8189894035458565E-12</v>
      </c>
      <c r="G114" s="173" t="s">
        <v>8991</v>
      </c>
      <c r="H114" s="173" t="s">
        <v>8998</v>
      </c>
    </row>
    <row r="115" spans="1:8" ht="52.05" customHeight="1" x14ac:dyDescent="0.3">
      <c r="A115" s="151" t="s">
        <v>86</v>
      </c>
      <c r="B115" s="151">
        <v>2022</v>
      </c>
      <c r="C115" s="151" t="s">
        <v>8999</v>
      </c>
      <c r="D115" s="172">
        <f>DGKC!E96-DGKC!E101</f>
        <v>0</v>
      </c>
      <c r="E115" s="172">
        <v>-1.8189894035458565E-12</v>
      </c>
      <c r="F115" s="172">
        <f t="shared" si="1"/>
        <v>1.8189894035458565E-12</v>
      </c>
      <c r="G115" s="174" t="s">
        <v>8991</v>
      </c>
      <c r="H115" s="174" t="s">
        <v>8998</v>
      </c>
    </row>
    <row r="116" spans="1:8" ht="52.05" customHeight="1" x14ac:dyDescent="0.3">
      <c r="A116" s="154" t="s">
        <v>86</v>
      </c>
      <c r="B116" s="154">
        <v>2022</v>
      </c>
      <c r="C116" s="154" t="s">
        <v>9000</v>
      </c>
      <c r="D116" s="171">
        <f>DGKC!E96+DGKC!E97+DGKC!E98-DGKC!E102</f>
        <v>0</v>
      </c>
      <c r="E116" s="171">
        <v>-1.3642420526593924E-12</v>
      </c>
      <c r="F116" s="171">
        <f t="shared" si="1"/>
        <v>1.3642420526593924E-12</v>
      </c>
      <c r="G116" s="173" t="s">
        <v>8991</v>
      </c>
      <c r="H116" s="173" t="s">
        <v>8998</v>
      </c>
    </row>
    <row r="117" spans="1:8" ht="52.05" customHeight="1" x14ac:dyDescent="0.3">
      <c r="A117" s="151" t="s">
        <v>86</v>
      </c>
      <c r="B117" s="151">
        <v>2023</v>
      </c>
      <c r="C117" s="151" t="s">
        <v>966</v>
      </c>
      <c r="D117" s="172">
        <f>DGKC!F37-DGKC!F41-DGKC!F62</f>
        <v>0</v>
      </c>
      <c r="E117" s="172">
        <v>-1.4551915228366852E-11</v>
      </c>
      <c r="F117" s="172">
        <f t="shared" si="1"/>
        <v>1.4551915228366852E-11</v>
      </c>
      <c r="G117" s="174" t="s">
        <v>8991</v>
      </c>
      <c r="H117" s="174" t="s">
        <v>8992</v>
      </c>
    </row>
    <row r="118" spans="1:8" ht="52.05" customHeight="1" x14ac:dyDescent="0.3">
      <c r="A118" s="154" t="s">
        <v>86</v>
      </c>
      <c r="B118" s="154">
        <v>2023</v>
      </c>
      <c r="C118" s="154" t="s">
        <v>8993</v>
      </c>
      <c r="D118" s="171">
        <f>DGKC!F37-DGKC!F75</f>
        <v>0</v>
      </c>
      <c r="E118" s="171">
        <v>0</v>
      </c>
      <c r="F118" s="171">
        <f t="shared" si="1"/>
        <v>0</v>
      </c>
      <c r="G118" s="173" t="s">
        <v>8991</v>
      </c>
      <c r="H118" s="173" t="s">
        <v>8992</v>
      </c>
    </row>
    <row r="119" spans="1:8" ht="52.05" customHeight="1" x14ac:dyDescent="0.3">
      <c r="A119" s="151" t="s">
        <v>86</v>
      </c>
      <c r="B119" s="151">
        <v>2023</v>
      </c>
      <c r="C119" s="151" t="s">
        <v>8994</v>
      </c>
      <c r="D119" s="172">
        <f>DGKC!F41-DGKC!F76</f>
        <v>0</v>
      </c>
      <c r="E119" s="172">
        <v>0</v>
      </c>
      <c r="F119" s="172">
        <f t="shared" si="1"/>
        <v>0</v>
      </c>
      <c r="G119" s="174" t="s">
        <v>8991</v>
      </c>
      <c r="H119" s="174" t="s">
        <v>8992</v>
      </c>
    </row>
    <row r="120" spans="1:8" ht="52.05" customHeight="1" x14ac:dyDescent="0.3">
      <c r="A120" s="154" t="s">
        <v>86</v>
      </c>
      <c r="B120" s="154">
        <v>2023</v>
      </c>
      <c r="C120" s="154" t="s">
        <v>8995</v>
      </c>
      <c r="D120" s="171">
        <f>DGKC!F36-DGKC!F77</f>
        <v>0</v>
      </c>
      <c r="E120" s="171">
        <v>0</v>
      </c>
      <c r="F120" s="171">
        <f t="shared" si="1"/>
        <v>0</v>
      </c>
      <c r="G120" s="173" t="s">
        <v>8991</v>
      </c>
      <c r="H120" s="173" t="s">
        <v>8992</v>
      </c>
    </row>
    <row r="121" spans="1:8" ht="52.05" customHeight="1" x14ac:dyDescent="0.3">
      <c r="A121" s="151" t="s">
        <v>86</v>
      </c>
      <c r="B121" s="151">
        <v>2023</v>
      </c>
      <c r="C121" s="151" t="s">
        <v>8996</v>
      </c>
      <c r="D121" s="172">
        <f>DGKC!F61-DGKC!F78</f>
        <v>0</v>
      </c>
      <c r="E121" s="172">
        <v>0</v>
      </c>
      <c r="F121" s="172">
        <f t="shared" si="1"/>
        <v>0</v>
      </c>
      <c r="G121" s="174" t="s">
        <v>8991</v>
      </c>
      <c r="H121" s="174" t="s">
        <v>8992</v>
      </c>
    </row>
    <row r="122" spans="1:8" ht="52.05" customHeight="1" x14ac:dyDescent="0.3">
      <c r="A122" s="154" t="s">
        <v>86</v>
      </c>
      <c r="B122" s="154">
        <v>2023</v>
      </c>
      <c r="C122" s="154" t="s">
        <v>8997</v>
      </c>
      <c r="D122" s="171">
        <f>DGKC!F84+DGKC!F85-DGKC!F100</f>
        <v>0</v>
      </c>
      <c r="E122" s="171">
        <v>1.8189894035458565E-12</v>
      </c>
      <c r="F122" s="171">
        <f t="shared" si="1"/>
        <v>-1.8189894035458565E-12</v>
      </c>
      <c r="G122" s="173" t="s">
        <v>8991</v>
      </c>
      <c r="H122" s="173" t="s">
        <v>8998</v>
      </c>
    </row>
    <row r="123" spans="1:8" ht="52.05" customHeight="1" x14ac:dyDescent="0.3">
      <c r="A123" s="151" t="s">
        <v>86</v>
      </c>
      <c r="B123" s="151">
        <v>2023</v>
      </c>
      <c r="C123" s="151" t="s">
        <v>8999</v>
      </c>
      <c r="D123" s="172">
        <f>DGKC!F96-DGKC!F101</f>
        <v>0</v>
      </c>
      <c r="E123" s="172">
        <v>4.5474735088646412E-13</v>
      </c>
      <c r="F123" s="172">
        <f t="shared" si="1"/>
        <v>-4.5474735088646412E-13</v>
      </c>
      <c r="G123" s="174" t="s">
        <v>8991</v>
      </c>
      <c r="H123" s="174" t="s">
        <v>8998</v>
      </c>
    </row>
    <row r="124" spans="1:8" ht="52.05" customHeight="1" x14ac:dyDescent="0.3">
      <c r="A124" s="154" t="s">
        <v>86</v>
      </c>
      <c r="B124" s="154">
        <v>2023</v>
      </c>
      <c r="C124" s="154" t="s">
        <v>9000</v>
      </c>
      <c r="D124" s="171">
        <f>DGKC!F96+DGKC!F97+DGKC!F98-DGKC!F102</f>
        <v>0</v>
      </c>
      <c r="E124" s="171">
        <v>4.5474735088646412E-13</v>
      </c>
      <c r="F124" s="171">
        <f t="shared" si="1"/>
        <v>-4.5474735088646412E-13</v>
      </c>
      <c r="G124" s="173" t="s">
        <v>8991</v>
      </c>
      <c r="H124" s="173" t="s">
        <v>8998</v>
      </c>
    </row>
    <row r="125" spans="1:8" ht="52.05" customHeight="1" x14ac:dyDescent="0.3">
      <c r="A125" s="151" t="s">
        <v>86</v>
      </c>
      <c r="B125" s="151">
        <v>2024</v>
      </c>
      <c r="C125" s="151" t="s">
        <v>966</v>
      </c>
      <c r="D125" s="172">
        <f>DGKC!G37-DGKC!G41-DGKC!G62</f>
        <v>0</v>
      </c>
      <c r="E125" s="172">
        <v>1.4551915228366852E-11</v>
      </c>
      <c r="F125" s="172">
        <f t="shared" si="1"/>
        <v>-1.4551915228366852E-11</v>
      </c>
      <c r="G125" s="174" t="s">
        <v>8991</v>
      </c>
      <c r="H125" s="174" t="s">
        <v>8992</v>
      </c>
    </row>
    <row r="126" spans="1:8" ht="52.05" customHeight="1" x14ac:dyDescent="0.3">
      <c r="A126" s="154" t="s">
        <v>86</v>
      </c>
      <c r="B126" s="154">
        <v>2024</v>
      </c>
      <c r="C126" s="154" t="s">
        <v>8993</v>
      </c>
      <c r="D126" s="171">
        <f>DGKC!G37-DGKC!G75</f>
        <v>0</v>
      </c>
      <c r="E126" s="171">
        <v>2.9103830456733704E-11</v>
      </c>
      <c r="F126" s="171">
        <f t="shared" si="1"/>
        <v>-2.9103830456733704E-11</v>
      </c>
      <c r="G126" s="173" t="s">
        <v>8991</v>
      </c>
      <c r="H126" s="173" t="s">
        <v>8992</v>
      </c>
    </row>
    <row r="127" spans="1:8" ht="52.05" customHeight="1" x14ac:dyDescent="0.3">
      <c r="A127" s="151" t="s">
        <v>86</v>
      </c>
      <c r="B127" s="151">
        <v>2024</v>
      </c>
      <c r="C127" s="151" t="s">
        <v>8994</v>
      </c>
      <c r="D127" s="172">
        <f>DGKC!G41-DGKC!G76</f>
        <v>0</v>
      </c>
      <c r="E127" s="172">
        <v>0</v>
      </c>
      <c r="F127" s="172">
        <f t="shared" si="1"/>
        <v>0</v>
      </c>
      <c r="G127" s="174" t="s">
        <v>8991</v>
      </c>
      <c r="H127" s="174" t="s">
        <v>8992</v>
      </c>
    </row>
    <row r="128" spans="1:8" ht="52.05" customHeight="1" x14ac:dyDescent="0.3">
      <c r="A128" s="154" t="s">
        <v>86</v>
      </c>
      <c r="B128" s="154">
        <v>2024</v>
      </c>
      <c r="C128" s="154" t="s">
        <v>8995</v>
      </c>
      <c r="D128" s="171">
        <f>DGKC!G36-DGKC!G77</f>
        <v>0</v>
      </c>
      <c r="E128" s="171">
        <v>0</v>
      </c>
      <c r="F128" s="171">
        <f t="shared" si="1"/>
        <v>0</v>
      </c>
      <c r="G128" s="173" t="s">
        <v>8991</v>
      </c>
      <c r="H128" s="173" t="s">
        <v>8992</v>
      </c>
    </row>
    <row r="129" spans="1:8" ht="52.05" customHeight="1" x14ac:dyDescent="0.3">
      <c r="A129" s="151" t="s">
        <v>86</v>
      </c>
      <c r="B129" s="151">
        <v>2024</v>
      </c>
      <c r="C129" s="151" t="s">
        <v>8996</v>
      </c>
      <c r="D129" s="172">
        <f>DGKC!G61-DGKC!G78</f>
        <v>0</v>
      </c>
      <c r="E129" s="172">
        <v>-3.637978807091713E-12</v>
      </c>
      <c r="F129" s="172">
        <f t="shared" si="1"/>
        <v>3.637978807091713E-12</v>
      </c>
      <c r="G129" s="174" t="s">
        <v>8991</v>
      </c>
      <c r="H129" s="174" t="s">
        <v>8992</v>
      </c>
    </row>
    <row r="130" spans="1:8" ht="52.05" customHeight="1" x14ac:dyDescent="0.3">
      <c r="A130" s="154" t="s">
        <v>86</v>
      </c>
      <c r="B130" s="154">
        <v>2024</v>
      </c>
      <c r="C130" s="154" t="s">
        <v>8997</v>
      </c>
      <c r="D130" s="171">
        <f>DGKC!G84+DGKC!G85-DGKC!G100</f>
        <v>0</v>
      </c>
      <c r="E130" s="171">
        <v>1.8189894035458565E-12</v>
      </c>
      <c r="F130" s="171">
        <f t="shared" si="1"/>
        <v>-1.8189894035458565E-12</v>
      </c>
      <c r="G130" s="173" t="s">
        <v>8991</v>
      </c>
      <c r="H130" s="173" t="s">
        <v>8998</v>
      </c>
    </row>
    <row r="131" spans="1:8" ht="52.05" customHeight="1" x14ac:dyDescent="0.3">
      <c r="A131" s="151" t="s">
        <v>86</v>
      </c>
      <c r="B131" s="151">
        <v>2024</v>
      </c>
      <c r="C131" s="151" t="s">
        <v>8999</v>
      </c>
      <c r="D131" s="172">
        <f>DGKC!G96-DGKC!G101</f>
        <v>0</v>
      </c>
      <c r="E131" s="172">
        <v>2.7284841053187847E-12</v>
      </c>
      <c r="F131" s="172">
        <f t="shared" si="1"/>
        <v>-2.7284841053187847E-12</v>
      </c>
      <c r="G131" s="174" t="s">
        <v>8991</v>
      </c>
      <c r="H131" s="174" t="s">
        <v>8998</v>
      </c>
    </row>
    <row r="132" spans="1:8" ht="52.05" customHeight="1" x14ac:dyDescent="0.3">
      <c r="A132" s="154" t="s">
        <v>86</v>
      </c>
      <c r="B132" s="154">
        <v>2024</v>
      </c>
      <c r="C132" s="154" t="s">
        <v>9000</v>
      </c>
      <c r="D132" s="171">
        <f>DGKC!G96+DGKC!G97+DGKC!G98-DGKC!G102</f>
        <v>1.8189894035458565E-12</v>
      </c>
      <c r="E132" s="171">
        <v>2.7284841053187847E-12</v>
      </c>
      <c r="F132" s="171">
        <f t="shared" si="1"/>
        <v>-9.0949470177292824E-13</v>
      </c>
      <c r="G132" s="173" t="s">
        <v>8991</v>
      </c>
      <c r="H132" s="173" t="s">
        <v>8998</v>
      </c>
    </row>
    <row r="133" spans="1:8" ht="52.05" customHeight="1" x14ac:dyDescent="0.3">
      <c r="A133" s="151" t="s">
        <v>86</v>
      </c>
      <c r="B133" s="151">
        <v>2025</v>
      </c>
      <c r="C133" s="151" t="s">
        <v>966</v>
      </c>
      <c r="D133" s="172">
        <f>DGKC!H37-DGKC!H41-DGKC!H62</f>
        <v>0</v>
      </c>
      <c r="E133" s="172">
        <v>-1.4551915228366852E-11</v>
      </c>
      <c r="F133" s="172">
        <f t="shared" si="1"/>
        <v>1.4551915228366852E-11</v>
      </c>
      <c r="G133" s="174" t="s">
        <v>8991</v>
      </c>
      <c r="H133" s="174" t="s">
        <v>8992</v>
      </c>
    </row>
    <row r="134" spans="1:8" ht="52.05" customHeight="1" x14ac:dyDescent="0.3">
      <c r="A134" s="154" t="s">
        <v>86</v>
      </c>
      <c r="B134" s="154">
        <v>2025</v>
      </c>
      <c r="C134" s="154" t="s">
        <v>8993</v>
      </c>
      <c r="D134" s="171">
        <f>DGKC!H37-DGKC!H75</f>
        <v>0</v>
      </c>
      <c r="E134" s="171">
        <v>0</v>
      </c>
      <c r="F134" s="171">
        <f t="shared" ref="F134:F197" si="2">D134-E134</f>
        <v>0</v>
      </c>
      <c r="G134" s="173" t="s">
        <v>8991</v>
      </c>
      <c r="H134" s="173" t="s">
        <v>8992</v>
      </c>
    </row>
    <row r="135" spans="1:8" ht="52.05" customHeight="1" x14ac:dyDescent="0.3">
      <c r="A135" s="151" t="s">
        <v>86</v>
      </c>
      <c r="B135" s="151">
        <v>2025</v>
      </c>
      <c r="C135" s="151" t="s">
        <v>8994</v>
      </c>
      <c r="D135" s="172">
        <f>DGKC!H41-DGKC!H76</f>
        <v>0</v>
      </c>
      <c r="E135" s="172">
        <v>0</v>
      </c>
      <c r="F135" s="172">
        <f t="shared" si="2"/>
        <v>0</v>
      </c>
      <c r="G135" s="174" t="s">
        <v>8991</v>
      </c>
      <c r="H135" s="174" t="s">
        <v>8992</v>
      </c>
    </row>
    <row r="136" spans="1:8" ht="52.05" customHeight="1" x14ac:dyDescent="0.3">
      <c r="A136" s="154" t="s">
        <v>86</v>
      </c>
      <c r="B136" s="154">
        <v>2025</v>
      </c>
      <c r="C136" s="154" t="s">
        <v>8995</v>
      </c>
      <c r="D136" s="171">
        <f>DGKC!H36-DGKC!H77</f>
        <v>0</v>
      </c>
      <c r="E136" s="171">
        <v>0</v>
      </c>
      <c r="F136" s="171">
        <f t="shared" si="2"/>
        <v>0</v>
      </c>
      <c r="G136" s="173" t="s">
        <v>8991</v>
      </c>
      <c r="H136" s="173" t="s">
        <v>8992</v>
      </c>
    </row>
    <row r="137" spans="1:8" ht="52.05" customHeight="1" x14ac:dyDescent="0.3">
      <c r="A137" s="151" t="s">
        <v>86</v>
      </c>
      <c r="B137" s="151">
        <v>2025</v>
      </c>
      <c r="C137" s="151" t="s">
        <v>8996</v>
      </c>
      <c r="D137" s="172">
        <f>DGKC!H61-DGKC!H78</f>
        <v>0</v>
      </c>
      <c r="E137" s="172">
        <v>0</v>
      </c>
      <c r="F137" s="172">
        <f t="shared" si="2"/>
        <v>0</v>
      </c>
      <c r="G137" s="174" t="s">
        <v>8991</v>
      </c>
      <c r="H137" s="174" t="s">
        <v>8992</v>
      </c>
    </row>
    <row r="138" spans="1:8" ht="52.05" customHeight="1" x14ac:dyDescent="0.3">
      <c r="A138" s="154" t="s">
        <v>86</v>
      </c>
      <c r="B138" s="154">
        <v>2025</v>
      </c>
      <c r="C138" s="154" t="s">
        <v>8997</v>
      </c>
      <c r="D138" s="171">
        <f>DGKC!H84+DGKC!H85-DGKC!H100</f>
        <v>0</v>
      </c>
      <c r="E138" s="171">
        <v>3.637978807091713E-12</v>
      </c>
      <c r="F138" s="171">
        <f t="shared" si="2"/>
        <v>-3.637978807091713E-12</v>
      </c>
      <c r="G138" s="173" t="s">
        <v>8991</v>
      </c>
      <c r="H138" s="173" t="s">
        <v>8998</v>
      </c>
    </row>
    <row r="139" spans="1:8" ht="52.05" customHeight="1" x14ac:dyDescent="0.3">
      <c r="A139" s="151" t="s">
        <v>86</v>
      </c>
      <c r="B139" s="151">
        <v>2025</v>
      </c>
      <c r="C139" s="151" t="s">
        <v>8999</v>
      </c>
      <c r="D139" s="172">
        <f>DGKC!H96-DGKC!H101</f>
        <v>0</v>
      </c>
      <c r="E139" s="172">
        <v>1.8189894035458565E-12</v>
      </c>
      <c r="F139" s="172">
        <f t="shared" si="2"/>
        <v>-1.8189894035458565E-12</v>
      </c>
      <c r="G139" s="174" t="s">
        <v>8991</v>
      </c>
      <c r="H139" s="174" t="s">
        <v>8998</v>
      </c>
    </row>
    <row r="140" spans="1:8" ht="52.05" customHeight="1" x14ac:dyDescent="0.3">
      <c r="A140" s="154" t="s">
        <v>86</v>
      </c>
      <c r="B140" s="154">
        <v>2025</v>
      </c>
      <c r="C140" s="154" t="s">
        <v>9000</v>
      </c>
      <c r="D140" s="171">
        <f>DGKC!H96+DGKC!H97+DGKC!H98-DGKC!H102</f>
        <v>0</v>
      </c>
      <c r="E140" s="171">
        <v>1.8189894035458565E-12</v>
      </c>
      <c r="F140" s="171">
        <f t="shared" si="2"/>
        <v>-1.8189894035458565E-12</v>
      </c>
      <c r="G140" s="173" t="s">
        <v>8991</v>
      </c>
      <c r="H140" s="173" t="s">
        <v>8998</v>
      </c>
    </row>
    <row r="141" spans="1:8" ht="52.05" customHeight="1" x14ac:dyDescent="0.3">
      <c r="A141" s="151" t="s">
        <v>106</v>
      </c>
      <c r="B141" s="151">
        <v>2020</v>
      </c>
      <c r="C141" s="151" t="s">
        <v>966</v>
      </c>
      <c r="D141" s="172">
        <f>MLCF!C37-MLCF!C41-MLCF!C62</f>
        <v>0</v>
      </c>
      <c r="E141" s="172">
        <v>7.2759576141834259E-12</v>
      </c>
      <c r="F141" s="172">
        <f t="shared" si="2"/>
        <v>-7.2759576141834259E-12</v>
      </c>
      <c r="G141" s="174" t="s">
        <v>8991</v>
      </c>
      <c r="H141" s="174" t="s">
        <v>8992</v>
      </c>
    </row>
    <row r="142" spans="1:8" ht="52.05" customHeight="1" x14ac:dyDescent="0.3">
      <c r="A142" s="154" t="s">
        <v>106</v>
      </c>
      <c r="B142" s="154">
        <v>2020</v>
      </c>
      <c r="C142" s="154" t="s">
        <v>8993</v>
      </c>
      <c r="D142" s="171">
        <f>MLCF!C37-MLCF!C75</f>
        <v>0</v>
      </c>
      <c r="E142" s="171">
        <v>1.4551915228366852E-11</v>
      </c>
      <c r="F142" s="171">
        <f t="shared" si="2"/>
        <v>-1.4551915228366852E-11</v>
      </c>
      <c r="G142" s="173" t="s">
        <v>8991</v>
      </c>
      <c r="H142" s="173" t="s">
        <v>8992</v>
      </c>
    </row>
    <row r="143" spans="1:8" ht="52.05" customHeight="1" x14ac:dyDescent="0.3">
      <c r="A143" s="151" t="s">
        <v>106</v>
      </c>
      <c r="B143" s="151">
        <v>2020</v>
      </c>
      <c r="C143" s="151" t="s">
        <v>8994</v>
      </c>
      <c r="D143" s="172">
        <f>MLCF!C41-MLCF!C76</f>
        <v>0</v>
      </c>
      <c r="E143" s="172">
        <v>0</v>
      </c>
      <c r="F143" s="172">
        <f t="shared" si="2"/>
        <v>0</v>
      </c>
      <c r="G143" s="174" t="s">
        <v>8991</v>
      </c>
      <c r="H143" s="174" t="s">
        <v>8992</v>
      </c>
    </row>
    <row r="144" spans="1:8" ht="52.05" customHeight="1" x14ac:dyDescent="0.3">
      <c r="A144" s="154" t="s">
        <v>106</v>
      </c>
      <c r="B144" s="154">
        <v>2020</v>
      </c>
      <c r="C144" s="154" t="s">
        <v>8995</v>
      </c>
      <c r="D144" s="171">
        <f>MLCF!C36-MLCF!C77</f>
        <v>0</v>
      </c>
      <c r="E144" s="171">
        <v>0</v>
      </c>
      <c r="F144" s="171">
        <f t="shared" si="2"/>
        <v>0</v>
      </c>
      <c r="G144" s="173" t="s">
        <v>8991</v>
      </c>
      <c r="H144" s="173" t="s">
        <v>8992</v>
      </c>
    </row>
    <row r="145" spans="1:8" ht="52.05" customHeight="1" x14ac:dyDescent="0.3">
      <c r="A145" s="151" t="s">
        <v>106</v>
      </c>
      <c r="B145" s="151">
        <v>2020</v>
      </c>
      <c r="C145" s="151" t="s">
        <v>8996</v>
      </c>
      <c r="D145" s="172">
        <f>MLCF!C61-MLCF!C78</f>
        <v>0</v>
      </c>
      <c r="E145" s="172">
        <v>0</v>
      </c>
      <c r="F145" s="172">
        <f t="shared" si="2"/>
        <v>0</v>
      </c>
      <c r="G145" s="174" t="s">
        <v>8991</v>
      </c>
      <c r="H145" s="174" t="s">
        <v>8992</v>
      </c>
    </row>
    <row r="146" spans="1:8" ht="52.05" customHeight="1" x14ac:dyDescent="0.3">
      <c r="A146" s="154" t="s">
        <v>106</v>
      </c>
      <c r="B146" s="154">
        <v>2021</v>
      </c>
      <c r="C146" s="154" t="s">
        <v>966</v>
      </c>
      <c r="D146" s="171">
        <f>MLCF!D37-MLCF!D41-MLCF!D62</f>
        <v>0</v>
      </c>
      <c r="E146" s="171">
        <v>-7.2759576141834259E-12</v>
      </c>
      <c r="F146" s="171">
        <f t="shared" si="2"/>
        <v>7.2759576141834259E-12</v>
      </c>
      <c r="G146" s="173" t="s">
        <v>8991</v>
      </c>
      <c r="H146" s="173" t="s">
        <v>8992</v>
      </c>
    </row>
    <row r="147" spans="1:8" ht="52.05" customHeight="1" x14ac:dyDescent="0.3">
      <c r="A147" s="151" t="s">
        <v>106</v>
      </c>
      <c r="B147" s="151">
        <v>2021</v>
      </c>
      <c r="C147" s="151" t="s">
        <v>8993</v>
      </c>
      <c r="D147" s="172">
        <f>MLCF!D37-MLCF!D75</f>
        <v>0</v>
      </c>
      <c r="E147" s="172">
        <v>-1.4551915228366852E-11</v>
      </c>
      <c r="F147" s="172">
        <f t="shared" si="2"/>
        <v>1.4551915228366852E-11</v>
      </c>
      <c r="G147" s="174" t="s">
        <v>8991</v>
      </c>
      <c r="H147" s="174" t="s">
        <v>8992</v>
      </c>
    </row>
    <row r="148" spans="1:8" ht="52.05" customHeight="1" x14ac:dyDescent="0.3">
      <c r="A148" s="154" t="s">
        <v>106</v>
      </c>
      <c r="B148" s="154">
        <v>2021</v>
      </c>
      <c r="C148" s="154" t="s">
        <v>8994</v>
      </c>
      <c r="D148" s="171">
        <f>MLCF!D41-MLCF!D76</f>
        <v>0</v>
      </c>
      <c r="E148" s="171">
        <v>0</v>
      </c>
      <c r="F148" s="171">
        <f t="shared" si="2"/>
        <v>0</v>
      </c>
      <c r="G148" s="173" t="s">
        <v>8991</v>
      </c>
      <c r="H148" s="173" t="s">
        <v>8992</v>
      </c>
    </row>
    <row r="149" spans="1:8" ht="52.05" customHeight="1" x14ac:dyDescent="0.3">
      <c r="A149" s="151" t="s">
        <v>106</v>
      </c>
      <c r="B149" s="151">
        <v>2021</v>
      </c>
      <c r="C149" s="151" t="s">
        <v>8995</v>
      </c>
      <c r="D149" s="172">
        <f>MLCF!D36-MLCF!D77</f>
        <v>0</v>
      </c>
      <c r="E149" s="172">
        <v>0</v>
      </c>
      <c r="F149" s="172">
        <f t="shared" si="2"/>
        <v>0</v>
      </c>
      <c r="G149" s="174" t="s">
        <v>8991</v>
      </c>
      <c r="H149" s="174" t="s">
        <v>8992</v>
      </c>
    </row>
    <row r="150" spans="1:8" ht="52.05" customHeight="1" x14ac:dyDescent="0.3">
      <c r="A150" s="154" t="s">
        <v>106</v>
      </c>
      <c r="B150" s="154">
        <v>2021</v>
      </c>
      <c r="C150" s="154" t="s">
        <v>8996</v>
      </c>
      <c r="D150" s="171">
        <f>MLCF!D61-MLCF!D78</f>
        <v>0</v>
      </c>
      <c r="E150" s="171">
        <v>0</v>
      </c>
      <c r="F150" s="171">
        <f t="shared" si="2"/>
        <v>0</v>
      </c>
      <c r="G150" s="173" t="s">
        <v>8991</v>
      </c>
      <c r="H150" s="173" t="s">
        <v>8992</v>
      </c>
    </row>
    <row r="151" spans="1:8" ht="52.05" customHeight="1" x14ac:dyDescent="0.3">
      <c r="A151" s="151" t="s">
        <v>106</v>
      </c>
      <c r="B151" s="151">
        <v>2021</v>
      </c>
      <c r="C151" s="151" t="s">
        <v>8997</v>
      </c>
      <c r="D151" s="172">
        <f>MLCF!D84+MLCF!D85-MLCF!D100</f>
        <v>0</v>
      </c>
      <c r="E151" s="172">
        <v>-1.8189894035458565E-12</v>
      </c>
      <c r="F151" s="172">
        <f t="shared" si="2"/>
        <v>1.8189894035458565E-12</v>
      </c>
      <c r="G151" s="174" t="s">
        <v>8991</v>
      </c>
      <c r="H151" s="174" t="s">
        <v>8998</v>
      </c>
    </row>
    <row r="152" spans="1:8" ht="52.05" customHeight="1" x14ac:dyDescent="0.3">
      <c r="A152" s="154" t="s">
        <v>106</v>
      </c>
      <c r="B152" s="154">
        <v>2021</v>
      </c>
      <c r="C152" s="154" t="s">
        <v>8999</v>
      </c>
      <c r="D152" s="171">
        <f>MLCF!D96-MLCF!D101</f>
        <v>0</v>
      </c>
      <c r="E152" s="171">
        <v>-1.8189894035458565E-12</v>
      </c>
      <c r="F152" s="171">
        <f t="shared" si="2"/>
        <v>1.8189894035458565E-12</v>
      </c>
      <c r="G152" s="173" t="s">
        <v>8991</v>
      </c>
      <c r="H152" s="173" t="s">
        <v>8998</v>
      </c>
    </row>
    <row r="153" spans="1:8" ht="52.05" customHeight="1" x14ac:dyDescent="0.3">
      <c r="A153" s="151" t="s">
        <v>106</v>
      </c>
      <c r="B153" s="151">
        <v>2021</v>
      </c>
      <c r="C153" s="151" t="s">
        <v>9000</v>
      </c>
      <c r="D153" s="172">
        <f>MLCF!D96+MLCF!D97+MLCF!D98-MLCF!D102</f>
        <v>0</v>
      </c>
      <c r="E153" s="172">
        <v>-2.7284841053187847E-12</v>
      </c>
      <c r="F153" s="172">
        <f t="shared" si="2"/>
        <v>2.7284841053187847E-12</v>
      </c>
      <c r="G153" s="174" t="s">
        <v>8991</v>
      </c>
      <c r="H153" s="174" t="s">
        <v>8998</v>
      </c>
    </row>
    <row r="154" spans="1:8" ht="52.05" customHeight="1" x14ac:dyDescent="0.3">
      <c r="A154" s="154" t="s">
        <v>106</v>
      </c>
      <c r="B154" s="154">
        <v>2022</v>
      </c>
      <c r="C154" s="154" t="s">
        <v>966</v>
      </c>
      <c r="D154" s="171">
        <f>MLCF!E37-MLCF!E41-MLCF!E62</f>
        <v>0</v>
      </c>
      <c r="E154" s="171">
        <v>-7.2759576141834259E-12</v>
      </c>
      <c r="F154" s="171">
        <f t="shared" si="2"/>
        <v>7.2759576141834259E-12</v>
      </c>
      <c r="G154" s="173" t="s">
        <v>8991</v>
      </c>
      <c r="H154" s="173" t="s">
        <v>8992</v>
      </c>
    </row>
    <row r="155" spans="1:8" ht="52.05" customHeight="1" x14ac:dyDescent="0.3">
      <c r="A155" s="151" t="s">
        <v>106</v>
      </c>
      <c r="B155" s="151">
        <v>2022</v>
      </c>
      <c r="C155" s="151" t="s">
        <v>8993</v>
      </c>
      <c r="D155" s="172">
        <f>MLCF!E37-MLCF!E75</f>
        <v>0</v>
      </c>
      <c r="E155" s="172">
        <v>-1.4551915228366852E-11</v>
      </c>
      <c r="F155" s="172">
        <f t="shared" si="2"/>
        <v>1.4551915228366852E-11</v>
      </c>
      <c r="G155" s="174" t="s">
        <v>8991</v>
      </c>
      <c r="H155" s="174" t="s">
        <v>8992</v>
      </c>
    </row>
    <row r="156" spans="1:8" ht="52.05" customHeight="1" x14ac:dyDescent="0.3">
      <c r="A156" s="154" t="s">
        <v>106</v>
      </c>
      <c r="B156" s="154">
        <v>2022</v>
      </c>
      <c r="C156" s="154" t="s">
        <v>8994</v>
      </c>
      <c r="D156" s="171">
        <f>MLCF!E41-MLCF!E76</f>
        <v>0</v>
      </c>
      <c r="E156" s="171">
        <v>0</v>
      </c>
      <c r="F156" s="171">
        <f t="shared" si="2"/>
        <v>0</v>
      </c>
      <c r="G156" s="173" t="s">
        <v>8991</v>
      </c>
      <c r="H156" s="173" t="s">
        <v>8992</v>
      </c>
    </row>
    <row r="157" spans="1:8" ht="52.05" customHeight="1" x14ac:dyDescent="0.3">
      <c r="A157" s="151" t="s">
        <v>106</v>
      </c>
      <c r="B157" s="151">
        <v>2022</v>
      </c>
      <c r="C157" s="151" t="s">
        <v>8995</v>
      </c>
      <c r="D157" s="172">
        <f>MLCF!E36-MLCF!E77</f>
        <v>0</v>
      </c>
      <c r="E157" s="172">
        <v>0</v>
      </c>
      <c r="F157" s="172">
        <f t="shared" si="2"/>
        <v>0</v>
      </c>
      <c r="G157" s="174" t="s">
        <v>8991</v>
      </c>
      <c r="H157" s="174" t="s">
        <v>8992</v>
      </c>
    </row>
    <row r="158" spans="1:8" ht="52.05" customHeight="1" x14ac:dyDescent="0.3">
      <c r="A158" s="154" t="s">
        <v>106</v>
      </c>
      <c r="B158" s="154">
        <v>2022</v>
      </c>
      <c r="C158" s="154" t="s">
        <v>8996</v>
      </c>
      <c r="D158" s="171">
        <f>MLCF!E61-MLCF!E78</f>
        <v>0</v>
      </c>
      <c r="E158" s="171">
        <v>0</v>
      </c>
      <c r="F158" s="171">
        <f t="shared" si="2"/>
        <v>0</v>
      </c>
      <c r="G158" s="173" t="s">
        <v>8991</v>
      </c>
      <c r="H158" s="173" t="s">
        <v>8992</v>
      </c>
    </row>
    <row r="159" spans="1:8" ht="52.05" customHeight="1" x14ac:dyDescent="0.3">
      <c r="A159" s="151" t="s">
        <v>106</v>
      </c>
      <c r="B159" s="151">
        <v>2022</v>
      </c>
      <c r="C159" s="151" t="s">
        <v>8997</v>
      </c>
      <c r="D159" s="172">
        <f>MLCF!E84+MLCF!E85-MLCF!E100</f>
        <v>0</v>
      </c>
      <c r="E159" s="172">
        <v>0</v>
      </c>
      <c r="F159" s="172">
        <f t="shared" si="2"/>
        <v>0</v>
      </c>
      <c r="G159" s="174" t="s">
        <v>8991</v>
      </c>
      <c r="H159" s="174" t="s">
        <v>8998</v>
      </c>
    </row>
    <row r="160" spans="1:8" ht="52.05" customHeight="1" x14ac:dyDescent="0.3">
      <c r="A160" s="154" t="s">
        <v>106</v>
      </c>
      <c r="B160" s="154">
        <v>2022</v>
      </c>
      <c r="C160" s="154" t="s">
        <v>8999</v>
      </c>
      <c r="D160" s="171">
        <f>MLCF!E96-MLCF!E101</f>
        <v>0</v>
      </c>
      <c r="E160" s="171">
        <v>0</v>
      </c>
      <c r="F160" s="171">
        <f t="shared" si="2"/>
        <v>0</v>
      </c>
      <c r="G160" s="173" t="s">
        <v>8991</v>
      </c>
      <c r="H160" s="173" t="s">
        <v>8998</v>
      </c>
    </row>
    <row r="161" spans="1:8" ht="52.05" customHeight="1" x14ac:dyDescent="0.3">
      <c r="A161" s="151" t="s">
        <v>106</v>
      </c>
      <c r="B161" s="151">
        <v>2022</v>
      </c>
      <c r="C161" s="151" t="s">
        <v>9000</v>
      </c>
      <c r="D161" s="172">
        <f>MLCF!E96+MLCF!E97+MLCF!E98-MLCF!E102</f>
        <v>0</v>
      </c>
      <c r="E161" s="172">
        <v>-4.5474735088646412E-13</v>
      </c>
      <c r="F161" s="172">
        <f t="shared" si="2"/>
        <v>4.5474735088646412E-13</v>
      </c>
      <c r="G161" s="174" t="s">
        <v>8991</v>
      </c>
      <c r="H161" s="174" t="s">
        <v>8998</v>
      </c>
    </row>
    <row r="162" spans="1:8" ht="52.05" customHeight="1" x14ac:dyDescent="0.3">
      <c r="A162" s="154" t="s">
        <v>106</v>
      </c>
      <c r="B162" s="154">
        <v>2023</v>
      </c>
      <c r="C162" s="154" t="s">
        <v>966</v>
      </c>
      <c r="D162" s="171">
        <f>MLCF!F37-MLCF!F41-MLCF!F62</f>
        <v>0</v>
      </c>
      <c r="E162" s="171">
        <v>0</v>
      </c>
      <c r="F162" s="171">
        <f t="shared" si="2"/>
        <v>0</v>
      </c>
      <c r="G162" s="173" t="s">
        <v>8991</v>
      </c>
      <c r="H162" s="173" t="s">
        <v>8992</v>
      </c>
    </row>
    <row r="163" spans="1:8" ht="52.05" customHeight="1" x14ac:dyDescent="0.3">
      <c r="A163" s="151" t="s">
        <v>106</v>
      </c>
      <c r="B163" s="151">
        <v>2023</v>
      </c>
      <c r="C163" s="151" t="s">
        <v>8993</v>
      </c>
      <c r="D163" s="172">
        <f>MLCF!F37-MLCF!F75</f>
        <v>0</v>
      </c>
      <c r="E163" s="172">
        <v>0</v>
      </c>
      <c r="F163" s="172">
        <f t="shared" si="2"/>
        <v>0</v>
      </c>
      <c r="G163" s="174" t="s">
        <v>8991</v>
      </c>
      <c r="H163" s="174" t="s">
        <v>8992</v>
      </c>
    </row>
    <row r="164" spans="1:8" ht="52.05" customHeight="1" x14ac:dyDescent="0.3">
      <c r="A164" s="154" t="s">
        <v>106</v>
      </c>
      <c r="B164" s="154">
        <v>2023</v>
      </c>
      <c r="C164" s="154" t="s">
        <v>8994</v>
      </c>
      <c r="D164" s="171">
        <f>MLCF!F41-MLCF!F76</f>
        <v>0</v>
      </c>
      <c r="E164" s="171">
        <v>0</v>
      </c>
      <c r="F164" s="171">
        <f t="shared" si="2"/>
        <v>0</v>
      </c>
      <c r="G164" s="173" t="s">
        <v>8991</v>
      </c>
      <c r="H164" s="173" t="s">
        <v>8992</v>
      </c>
    </row>
    <row r="165" spans="1:8" ht="52.05" customHeight="1" x14ac:dyDescent="0.3">
      <c r="A165" s="151" t="s">
        <v>106</v>
      </c>
      <c r="B165" s="151">
        <v>2023</v>
      </c>
      <c r="C165" s="151" t="s">
        <v>8995</v>
      </c>
      <c r="D165" s="172">
        <f>MLCF!F36-MLCF!F77</f>
        <v>0</v>
      </c>
      <c r="E165" s="172">
        <v>0</v>
      </c>
      <c r="F165" s="172">
        <f t="shared" si="2"/>
        <v>0</v>
      </c>
      <c r="G165" s="174" t="s">
        <v>8991</v>
      </c>
      <c r="H165" s="174" t="s">
        <v>8992</v>
      </c>
    </row>
    <row r="166" spans="1:8" ht="52.05" customHeight="1" x14ac:dyDescent="0.3">
      <c r="A166" s="154" t="s">
        <v>106</v>
      </c>
      <c r="B166" s="154">
        <v>2023</v>
      </c>
      <c r="C166" s="154" t="s">
        <v>8996</v>
      </c>
      <c r="D166" s="171">
        <f>MLCF!F61-MLCF!F78</f>
        <v>0</v>
      </c>
      <c r="E166" s="171">
        <v>0</v>
      </c>
      <c r="F166" s="171">
        <f t="shared" si="2"/>
        <v>0</v>
      </c>
      <c r="G166" s="173" t="s">
        <v>8991</v>
      </c>
      <c r="H166" s="173" t="s">
        <v>8992</v>
      </c>
    </row>
    <row r="167" spans="1:8" ht="52.05" customHeight="1" x14ac:dyDescent="0.3">
      <c r="A167" s="151" t="s">
        <v>106</v>
      </c>
      <c r="B167" s="151">
        <v>2023</v>
      </c>
      <c r="C167" s="151" t="s">
        <v>8997</v>
      </c>
      <c r="D167" s="172">
        <f>MLCF!F84+MLCF!F85-MLCF!F100</f>
        <v>0</v>
      </c>
      <c r="E167" s="172">
        <v>-3.637978807091713E-12</v>
      </c>
      <c r="F167" s="172">
        <f t="shared" si="2"/>
        <v>3.637978807091713E-12</v>
      </c>
      <c r="G167" s="174" t="s">
        <v>8991</v>
      </c>
      <c r="H167" s="174" t="s">
        <v>8998</v>
      </c>
    </row>
    <row r="168" spans="1:8" ht="52.05" customHeight="1" x14ac:dyDescent="0.3">
      <c r="A168" s="154" t="s">
        <v>106</v>
      </c>
      <c r="B168" s="154">
        <v>2023</v>
      </c>
      <c r="C168" s="154" t="s">
        <v>8999</v>
      </c>
      <c r="D168" s="171">
        <f>MLCF!F96-MLCF!F101</f>
        <v>0</v>
      </c>
      <c r="E168" s="171">
        <v>-5.4569682106375694E-12</v>
      </c>
      <c r="F168" s="171">
        <f t="shared" si="2"/>
        <v>5.4569682106375694E-12</v>
      </c>
      <c r="G168" s="173" t="s">
        <v>8991</v>
      </c>
      <c r="H168" s="173" t="s">
        <v>8998</v>
      </c>
    </row>
    <row r="169" spans="1:8" ht="52.05" customHeight="1" x14ac:dyDescent="0.3">
      <c r="A169" s="151" t="s">
        <v>106</v>
      </c>
      <c r="B169" s="151">
        <v>2023</v>
      </c>
      <c r="C169" s="151" t="s">
        <v>9000</v>
      </c>
      <c r="D169" s="172">
        <f>MLCF!F96+MLCF!F97+MLCF!F98-MLCF!F102</f>
        <v>0</v>
      </c>
      <c r="E169" s="172">
        <v>-4.5474735088646412E-12</v>
      </c>
      <c r="F169" s="172">
        <f t="shared" si="2"/>
        <v>4.5474735088646412E-12</v>
      </c>
      <c r="G169" s="174" t="s">
        <v>8991</v>
      </c>
      <c r="H169" s="174" t="s">
        <v>8998</v>
      </c>
    </row>
    <row r="170" spans="1:8" ht="52.05" customHeight="1" x14ac:dyDescent="0.3">
      <c r="A170" s="154" t="s">
        <v>106</v>
      </c>
      <c r="B170" s="154">
        <v>2024</v>
      </c>
      <c r="C170" s="154" t="s">
        <v>966</v>
      </c>
      <c r="D170" s="171">
        <f>MLCF!G37-MLCF!G41-MLCF!G62</f>
        <v>0</v>
      </c>
      <c r="E170" s="171">
        <v>0</v>
      </c>
      <c r="F170" s="171">
        <f t="shared" si="2"/>
        <v>0</v>
      </c>
      <c r="G170" s="173" t="s">
        <v>8991</v>
      </c>
      <c r="H170" s="173" t="s">
        <v>8992</v>
      </c>
    </row>
    <row r="171" spans="1:8" ht="52.05" customHeight="1" x14ac:dyDescent="0.3">
      <c r="A171" s="151" t="s">
        <v>106</v>
      </c>
      <c r="B171" s="151">
        <v>2024</v>
      </c>
      <c r="C171" s="151" t="s">
        <v>8993</v>
      </c>
      <c r="D171" s="172">
        <f>MLCF!G37-MLCF!G75</f>
        <v>0</v>
      </c>
      <c r="E171" s="172">
        <v>0</v>
      </c>
      <c r="F171" s="172">
        <f t="shared" si="2"/>
        <v>0</v>
      </c>
      <c r="G171" s="174" t="s">
        <v>8991</v>
      </c>
      <c r="H171" s="174" t="s">
        <v>8992</v>
      </c>
    </row>
    <row r="172" spans="1:8" ht="52.05" customHeight="1" x14ac:dyDescent="0.3">
      <c r="A172" s="154" t="s">
        <v>106</v>
      </c>
      <c r="B172" s="154">
        <v>2024</v>
      </c>
      <c r="C172" s="154" t="s">
        <v>8994</v>
      </c>
      <c r="D172" s="171">
        <f>MLCF!G41-MLCF!G76</f>
        <v>0</v>
      </c>
      <c r="E172" s="171">
        <v>-7.2759576141834259E-12</v>
      </c>
      <c r="F172" s="171">
        <f t="shared" si="2"/>
        <v>7.2759576141834259E-12</v>
      </c>
      <c r="G172" s="173" t="s">
        <v>8991</v>
      </c>
      <c r="H172" s="173" t="s">
        <v>8992</v>
      </c>
    </row>
    <row r="173" spans="1:8" ht="52.05" customHeight="1" x14ac:dyDescent="0.3">
      <c r="A173" s="151" t="s">
        <v>106</v>
      </c>
      <c r="B173" s="151">
        <v>2024</v>
      </c>
      <c r="C173" s="151" t="s">
        <v>8995</v>
      </c>
      <c r="D173" s="172">
        <f>MLCF!G36-MLCF!G77</f>
        <v>0</v>
      </c>
      <c r="E173" s="172">
        <v>0</v>
      </c>
      <c r="F173" s="172">
        <f t="shared" si="2"/>
        <v>0</v>
      </c>
      <c r="G173" s="174" t="s">
        <v>8991</v>
      </c>
      <c r="H173" s="174" t="s">
        <v>8992</v>
      </c>
    </row>
    <row r="174" spans="1:8" ht="52.05" customHeight="1" x14ac:dyDescent="0.3">
      <c r="A174" s="154" t="s">
        <v>106</v>
      </c>
      <c r="B174" s="154">
        <v>2024</v>
      </c>
      <c r="C174" s="154" t="s">
        <v>8996</v>
      </c>
      <c r="D174" s="171">
        <f>MLCF!G61-MLCF!G78</f>
        <v>0</v>
      </c>
      <c r="E174" s="171">
        <v>0</v>
      </c>
      <c r="F174" s="171">
        <f t="shared" si="2"/>
        <v>0</v>
      </c>
      <c r="G174" s="173" t="s">
        <v>8991</v>
      </c>
      <c r="H174" s="173" t="s">
        <v>8992</v>
      </c>
    </row>
    <row r="175" spans="1:8" ht="52.05" customHeight="1" x14ac:dyDescent="0.3">
      <c r="A175" s="151" t="s">
        <v>106</v>
      </c>
      <c r="B175" s="151">
        <v>2024</v>
      </c>
      <c r="C175" s="151" t="s">
        <v>8997</v>
      </c>
      <c r="D175" s="172">
        <f>MLCF!G84+MLCF!G85-MLCF!G100</f>
        <v>0</v>
      </c>
      <c r="E175" s="172">
        <v>0</v>
      </c>
      <c r="F175" s="172">
        <f t="shared" si="2"/>
        <v>0</v>
      </c>
      <c r="G175" s="174" t="s">
        <v>8991</v>
      </c>
      <c r="H175" s="174" t="s">
        <v>8998</v>
      </c>
    </row>
    <row r="176" spans="1:8" ht="52.05" customHeight="1" x14ac:dyDescent="0.3">
      <c r="A176" s="154" t="s">
        <v>106</v>
      </c>
      <c r="B176" s="154">
        <v>2024</v>
      </c>
      <c r="C176" s="154" t="s">
        <v>8999</v>
      </c>
      <c r="D176" s="171">
        <f>MLCF!G96-MLCF!G101</f>
        <v>0</v>
      </c>
      <c r="E176" s="171">
        <v>0</v>
      </c>
      <c r="F176" s="171">
        <f t="shared" si="2"/>
        <v>0</v>
      </c>
      <c r="G176" s="173" t="s">
        <v>8991</v>
      </c>
      <c r="H176" s="173" t="s">
        <v>8998</v>
      </c>
    </row>
    <row r="177" spans="1:8" ht="52.05" customHeight="1" x14ac:dyDescent="0.3">
      <c r="A177" s="151" t="s">
        <v>106</v>
      </c>
      <c r="B177" s="151">
        <v>2024</v>
      </c>
      <c r="C177" s="151" t="s">
        <v>9000</v>
      </c>
      <c r="D177" s="172">
        <f>MLCF!G96+MLCF!G97+MLCF!G98-MLCF!G102</f>
        <v>0</v>
      </c>
      <c r="E177" s="172">
        <v>0</v>
      </c>
      <c r="F177" s="172">
        <f t="shared" si="2"/>
        <v>0</v>
      </c>
      <c r="G177" s="174" t="s">
        <v>8991</v>
      </c>
      <c r="H177" s="174" t="s">
        <v>8998</v>
      </c>
    </row>
    <row r="178" spans="1:8" ht="52.05" customHeight="1" x14ac:dyDescent="0.3">
      <c r="A178" s="154" t="s">
        <v>106</v>
      </c>
      <c r="B178" s="154">
        <v>2025</v>
      </c>
      <c r="C178" s="154" t="s">
        <v>966</v>
      </c>
      <c r="D178" s="171">
        <f>MLCF!H37-MLCF!H41-MLCF!H62</f>
        <v>0</v>
      </c>
      <c r="E178" s="171">
        <v>0</v>
      </c>
      <c r="F178" s="171">
        <f t="shared" si="2"/>
        <v>0</v>
      </c>
      <c r="G178" s="173" t="s">
        <v>8991</v>
      </c>
      <c r="H178" s="173" t="s">
        <v>8992</v>
      </c>
    </row>
    <row r="179" spans="1:8" ht="52.05" customHeight="1" x14ac:dyDescent="0.3">
      <c r="A179" s="151" t="s">
        <v>106</v>
      </c>
      <c r="B179" s="151">
        <v>2025</v>
      </c>
      <c r="C179" s="151" t="s">
        <v>8993</v>
      </c>
      <c r="D179" s="172">
        <f>MLCF!H37-MLCF!H75</f>
        <v>0</v>
      </c>
      <c r="E179" s="172">
        <v>1.4551915228366852E-11</v>
      </c>
      <c r="F179" s="172">
        <f t="shared" si="2"/>
        <v>-1.4551915228366852E-11</v>
      </c>
      <c r="G179" s="174" t="s">
        <v>8991</v>
      </c>
      <c r="H179" s="174" t="s">
        <v>8992</v>
      </c>
    </row>
    <row r="180" spans="1:8" ht="52.05" customHeight="1" x14ac:dyDescent="0.3">
      <c r="A180" s="154" t="s">
        <v>106</v>
      </c>
      <c r="B180" s="154">
        <v>2025</v>
      </c>
      <c r="C180" s="154" t="s">
        <v>8994</v>
      </c>
      <c r="D180" s="171">
        <f>MLCF!H41-MLCF!H76</f>
        <v>0</v>
      </c>
      <c r="E180" s="171">
        <v>0</v>
      </c>
      <c r="F180" s="171">
        <f t="shared" si="2"/>
        <v>0</v>
      </c>
      <c r="G180" s="173" t="s">
        <v>8991</v>
      </c>
      <c r="H180" s="173" t="s">
        <v>8992</v>
      </c>
    </row>
    <row r="181" spans="1:8" ht="52.05" customHeight="1" x14ac:dyDescent="0.3">
      <c r="A181" s="151" t="s">
        <v>106</v>
      </c>
      <c r="B181" s="151">
        <v>2025</v>
      </c>
      <c r="C181" s="151" t="s">
        <v>8995</v>
      </c>
      <c r="D181" s="172">
        <f>MLCF!H36-MLCF!H77</f>
        <v>0</v>
      </c>
      <c r="E181" s="172">
        <v>0</v>
      </c>
      <c r="F181" s="172">
        <f t="shared" si="2"/>
        <v>0</v>
      </c>
      <c r="G181" s="174" t="s">
        <v>8991</v>
      </c>
      <c r="H181" s="174" t="s">
        <v>8992</v>
      </c>
    </row>
    <row r="182" spans="1:8" ht="52.05" customHeight="1" x14ac:dyDescent="0.3">
      <c r="A182" s="154" t="s">
        <v>106</v>
      </c>
      <c r="B182" s="154">
        <v>2025</v>
      </c>
      <c r="C182" s="154" t="s">
        <v>8996</v>
      </c>
      <c r="D182" s="171">
        <f>MLCF!H61-MLCF!H78</f>
        <v>0</v>
      </c>
      <c r="E182" s="171">
        <v>0</v>
      </c>
      <c r="F182" s="171">
        <f t="shared" si="2"/>
        <v>0</v>
      </c>
      <c r="G182" s="173" t="s">
        <v>8991</v>
      </c>
      <c r="H182" s="173" t="s">
        <v>8992</v>
      </c>
    </row>
    <row r="183" spans="1:8" ht="52.05" customHeight="1" x14ac:dyDescent="0.3">
      <c r="A183" s="151" t="s">
        <v>106</v>
      </c>
      <c r="B183" s="151">
        <v>2025</v>
      </c>
      <c r="C183" s="151" t="s">
        <v>8997</v>
      </c>
      <c r="D183" s="172">
        <f>MLCF!H84+MLCF!H85-MLCF!H100</f>
        <v>0</v>
      </c>
      <c r="E183" s="172">
        <v>0</v>
      </c>
      <c r="F183" s="172">
        <f t="shared" si="2"/>
        <v>0</v>
      </c>
      <c r="G183" s="174" t="s">
        <v>8991</v>
      </c>
      <c r="H183" s="174" t="s">
        <v>8998</v>
      </c>
    </row>
    <row r="184" spans="1:8" ht="52.05" customHeight="1" x14ac:dyDescent="0.3">
      <c r="A184" s="154" t="s">
        <v>106</v>
      </c>
      <c r="B184" s="154">
        <v>2025</v>
      </c>
      <c r="C184" s="154" t="s">
        <v>8999</v>
      </c>
      <c r="D184" s="171">
        <f>MLCF!H96-MLCF!H101</f>
        <v>0</v>
      </c>
      <c r="E184" s="171">
        <v>-3.637978807091713E-12</v>
      </c>
      <c r="F184" s="171">
        <f t="shared" si="2"/>
        <v>3.637978807091713E-12</v>
      </c>
      <c r="G184" s="173" t="s">
        <v>8991</v>
      </c>
      <c r="H184" s="173" t="s">
        <v>8998</v>
      </c>
    </row>
    <row r="185" spans="1:8" ht="52.05" customHeight="1" x14ac:dyDescent="0.3">
      <c r="A185" s="151" t="s">
        <v>106</v>
      </c>
      <c r="B185" s="151">
        <v>2025</v>
      </c>
      <c r="C185" s="151" t="s">
        <v>9000</v>
      </c>
      <c r="D185" s="172">
        <f>MLCF!H96+MLCF!H97+MLCF!H98-MLCF!H102</f>
        <v>0</v>
      </c>
      <c r="E185" s="172">
        <v>-3.637978807091713E-12</v>
      </c>
      <c r="F185" s="172">
        <f t="shared" si="2"/>
        <v>3.637978807091713E-12</v>
      </c>
      <c r="G185" s="174" t="s">
        <v>8991</v>
      </c>
      <c r="H185" s="174" t="s">
        <v>8998</v>
      </c>
    </row>
    <row r="186" spans="1:8" ht="52.05" customHeight="1" x14ac:dyDescent="0.3">
      <c r="A186" s="154" t="s">
        <v>114</v>
      </c>
      <c r="B186" s="154">
        <v>2020</v>
      </c>
      <c r="C186" s="154" t="s">
        <v>966</v>
      </c>
      <c r="D186" s="171">
        <f>FCCL!C37-FCCL!C41-FCCL!C62</f>
        <v>0</v>
      </c>
      <c r="E186" s="171">
        <v>-3.637978807091713E-12</v>
      </c>
      <c r="F186" s="171">
        <f t="shared" si="2"/>
        <v>3.637978807091713E-12</v>
      </c>
      <c r="G186" s="173" t="s">
        <v>8991</v>
      </c>
      <c r="H186" s="173" t="s">
        <v>8992</v>
      </c>
    </row>
    <row r="187" spans="1:8" ht="52.05" customHeight="1" x14ac:dyDescent="0.3">
      <c r="A187" s="151" t="s">
        <v>114</v>
      </c>
      <c r="B187" s="151">
        <v>2020</v>
      </c>
      <c r="C187" s="151" t="s">
        <v>8993</v>
      </c>
      <c r="D187" s="172">
        <f>FCCL!C37-FCCL!C75</f>
        <v>0</v>
      </c>
      <c r="E187" s="172">
        <v>-3.637978807091713E-12</v>
      </c>
      <c r="F187" s="172">
        <f t="shared" si="2"/>
        <v>3.637978807091713E-12</v>
      </c>
      <c r="G187" s="174" t="s">
        <v>8991</v>
      </c>
      <c r="H187" s="174" t="s">
        <v>8992</v>
      </c>
    </row>
    <row r="188" spans="1:8" ht="52.05" customHeight="1" x14ac:dyDescent="0.3">
      <c r="A188" s="154" t="s">
        <v>114</v>
      </c>
      <c r="B188" s="154">
        <v>2020</v>
      </c>
      <c r="C188" s="154" t="s">
        <v>8994</v>
      </c>
      <c r="D188" s="171">
        <f>FCCL!C41-FCCL!C76</f>
        <v>0</v>
      </c>
      <c r="E188" s="171">
        <v>0</v>
      </c>
      <c r="F188" s="171">
        <f t="shared" si="2"/>
        <v>0</v>
      </c>
      <c r="G188" s="173" t="s">
        <v>8991</v>
      </c>
      <c r="H188" s="173" t="s">
        <v>8992</v>
      </c>
    </row>
    <row r="189" spans="1:8" ht="52.05" customHeight="1" x14ac:dyDescent="0.3">
      <c r="A189" s="151" t="s">
        <v>114</v>
      </c>
      <c r="B189" s="151">
        <v>2020</v>
      </c>
      <c r="C189" s="151" t="s">
        <v>8995</v>
      </c>
      <c r="D189" s="172">
        <f>FCCL!C36-FCCL!C77</f>
        <v>0</v>
      </c>
      <c r="E189" s="172">
        <v>0</v>
      </c>
      <c r="F189" s="172">
        <f t="shared" si="2"/>
        <v>0</v>
      </c>
      <c r="G189" s="174" t="s">
        <v>8991</v>
      </c>
      <c r="H189" s="174" t="s">
        <v>8992</v>
      </c>
    </row>
    <row r="190" spans="1:8" ht="52.05" customHeight="1" x14ac:dyDescent="0.3">
      <c r="A190" s="154" t="s">
        <v>114</v>
      </c>
      <c r="B190" s="154">
        <v>2020</v>
      </c>
      <c r="C190" s="154" t="s">
        <v>8996</v>
      </c>
      <c r="D190" s="171">
        <f>FCCL!C61-FCCL!C78</f>
        <v>0</v>
      </c>
      <c r="E190" s="171">
        <v>9.0949470177292824E-13</v>
      </c>
      <c r="F190" s="171">
        <f t="shared" si="2"/>
        <v>-9.0949470177292824E-13</v>
      </c>
      <c r="G190" s="173" t="s">
        <v>8991</v>
      </c>
      <c r="H190" s="173" t="s">
        <v>8992</v>
      </c>
    </row>
    <row r="191" spans="1:8" ht="52.05" customHeight="1" x14ac:dyDescent="0.3">
      <c r="A191" s="151" t="s">
        <v>114</v>
      </c>
      <c r="B191" s="151">
        <v>2021</v>
      </c>
      <c r="C191" s="151" t="s">
        <v>966</v>
      </c>
      <c r="D191" s="172">
        <f>FCCL!D37-FCCL!D41-FCCL!D62</f>
        <v>0</v>
      </c>
      <c r="E191" s="172">
        <v>-1.8189894035458565E-12</v>
      </c>
      <c r="F191" s="172">
        <f t="shared" si="2"/>
        <v>1.8189894035458565E-12</v>
      </c>
      <c r="G191" s="174" t="s">
        <v>8991</v>
      </c>
      <c r="H191" s="174" t="s">
        <v>8992</v>
      </c>
    </row>
    <row r="192" spans="1:8" ht="52.05" customHeight="1" x14ac:dyDescent="0.3">
      <c r="A192" s="154" t="s">
        <v>114</v>
      </c>
      <c r="B192" s="154">
        <v>2021</v>
      </c>
      <c r="C192" s="154" t="s">
        <v>8993</v>
      </c>
      <c r="D192" s="171">
        <f>FCCL!D37-FCCL!D75</f>
        <v>0</v>
      </c>
      <c r="E192" s="171">
        <v>0</v>
      </c>
      <c r="F192" s="171">
        <f t="shared" si="2"/>
        <v>0</v>
      </c>
      <c r="G192" s="173" t="s">
        <v>8991</v>
      </c>
      <c r="H192" s="173" t="s">
        <v>8992</v>
      </c>
    </row>
    <row r="193" spans="1:8" ht="52.05" customHeight="1" x14ac:dyDescent="0.3">
      <c r="A193" s="151" t="s">
        <v>114</v>
      </c>
      <c r="B193" s="151">
        <v>2021</v>
      </c>
      <c r="C193" s="151" t="s">
        <v>8994</v>
      </c>
      <c r="D193" s="172">
        <f>FCCL!D41-FCCL!D76</f>
        <v>0</v>
      </c>
      <c r="E193" s="172">
        <v>3.637978807091713E-12</v>
      </c>
      <c r="F193" s="172">
        <f t="shared" si="2"/>
        <v>-3.637978807091713E-12</v>
      </c>
      <c r="G193" s="174" t="s">
        <v>8991</v>
      </c>
      <c r="H193" s="174" t="s">
        <v>8992</v>
      </c>
    </row>
    <row r="194" spans="1:8" ht="52.05" customHeight="1" x14ac:dyDescent="0.3">
      <c r="A194" s="154" t="s">
        <v>114</v>
      </c>
      <c r="B194" s="154">
        <v>2021</v>
      </c>
      <c r="C194" s="154" t="s">
        <v>8995</v>
      </c>
      <c r="D194" s="171">
        <f>FCCL!D36-FCCL!D77</f>
        <v>0</v>
      </c>
      <c r="E194" s="171">
        <v>0</v>
      </c>
      <c r="F194" s="171">
        <f t="shared" si="2"/>
        <v>0</v>
      </c>
      <c r="G194" s="173" t="s">
        <v>8991</v>
      </c>
      <c r="H194" s="173" t="s">
        <v>8992</v>
      </c>
    </row>
    <row r="195" spans="1:8" ht="52.05" customHeight="1" x14ac:dyDescent="0.3">
      <c r="A195" s="151" t="s">
        <v>114</v>
      </c>
      <c r="B195" s="151">
        <v>2021</v>
      </c>
      <c r="C195" s="151" t="s">
        <v>8996</v>
      </c>
      <c r="D195" s="172">
        <f>FCCL!D61-FCCL!D78</f>
        <v>0</v>
      </c>
      <c r="E195" s="172">
        <v>0</v>
      </c>
      <c r="F195" s="172">
        <f t="shared" si="2"/>
        <v>0</v>
      </c>
      <c r="G195" s="174" t="s">
        <v>8991</v>
      </c>
      <c r="H195" s="174" t="s">
        <v>8992</v>
      </c>
    </row>
    <row r="196" spans="1:8" ht="52.05" customHeight="1" x14ac:dyDescent="0.3">
      <c r="A196" s="154" t="s">
        <v>114</v>
      </c>
      <c r="B196" s="154">
        <v>2021</v>
      </c>
      <c r="C196" s="154" t="s">
        <v>8997</v>
      </c>
      <c r="D196" s="171">
        <f>FCCL!D84+FCCL!D85-FCCL!D100</f>
        <v>0</v>
      </c>
      <c r="E196" s="171">
        <v>-9.0949470177292824E-13</v>
      </c>
      <c r="F196" s="171">
        <f t="shared" si="2"/>
        <v>9.0949470177292824E-13</v>
      </c>
      <c r="G196" s="173" t="s">
        <v>8991</v>
      </c>
      <c r="H196" s="173" t="s">
        <v>8998</v>
      </c>
    </row>
    <row r="197" spans="1:8" ht="52.05" customHeight="1" x14ac:dyDescent="0.3">
      <c r="A197" s="151" t="s">
        <v>114</v>
      </c>
      <c r="B197" s="151">
        <v>2021</v>
      </c>
      <c r="C197" s="151" t="s">
        <v>8999</v>
      </c>
      <c r="D197" s="172">
        <f>FCCL!D96-FCCL!D101</f>
        <v>0</v>
      </c>
      <c r="E197" s="172">
        <v>-9.0949470177292824E-13</v>
      </c>
      <c r="F197" s="172">
        <f t="shared" si="2"/>
        <v>9.0949470177292824E-13</v>
      </c>
      <c r="G197" s="174" t="s">
        <v>8991</v>
      </c>
      <c r="H197" s="174" t="s">
        <v>8998</v>
      </c>
    </row>
    <row r="198" spans="1:8" ht="52.05" customHeight="1" x14ac:dyDescent="0.3">
      <c r="A198" s="154" t="s">
        <v>114</v>
      </c>
      <c r="B198" s="154">
        <v>2021</v>
      </c>
      <c r="C198" s="154" t="s">
        <v>9000</v>
      </c>
      <c r="D198" s="171">
        <f>FCCL!D96+FCCL!D97+FCCL!D98-FCCL!D102</f>
        <v>0</v>
      </c>
      <c r="E198" s="171">
        <v>-9.0949470177292824E-13</v>
      </c>
      <c r="F198" s="171">
        <f t="shared" ref="F198:F242" si="3">D198-E198</f>
        <v>9.0949470177292824E-13</v>
      </c>
      <c r="G198" s="173" t="s">
        <v>8991</v>
      </c>
      <c r="H198" s="173" t="s">
        <v>8998</v>
      </c>
    </row>
    <row r="199" spans="1:8" ht="52.05" customHeight="1" x14ac:dyDescent="0.3">
      <c r="A199" s="151" t="s">
        <v>114</v>
      </c>
      <c r="B199" s="151">
        <v>2022</v>
      </c>
      <c r="C199" s="151" t="s">
        <v>966</v>
      </c>
      <c r="D199" s="172">
        <f>FCCL!E37-FCCL!E41-FCCL!E62</f>
        <v>0</v>
      </c>
      <c r="E199" s="172">
        <v>7.2759576141834259E-12</v>
      </c>
      <c r="F199" s="172">
        <f t="shared" si="3"/>
        <v>-7.2759576141834259E-12</v>
      </c>
      <c r="G199" s="174" t="s">
        <v>8991</v>
      </c>
      <c r="H199" s="174" t="s">
        <v>8992</v>
      </c>
    </row>
    <row r="200" spans="1:8" ht="52.05" customHeight="1" x14ac:dyDescent="0.3">
      <c r="A200" s="154" t="s">
        <v>114</v>
      </c>
      <c r="B200" s="154">
        <v>2022</v>
      </c>
      <c r="C200" s="154" t="s">
        <v>8993</v>
      </c>
      <c r="D200" s="171">
        <f>FCCL!E37-FCCL!E75</f>
        <v>0</v>
      </c>
      <c r="E200" s="171">
        <v>0</v>
      </c>
      <c r="F200" s="171">
        <f t="shared" si="3"/>
        <v>0</v>
      </c>
      <c r="G200" s="173" t="s">
        <v>8991</v>
      </c>
      <c r="H200" s="173" t="s">
        <v>8992</v>
      </c>
    </row>
    <row r="201" spans="1:8" ht="52.05" customHeight="1" x14ac:dyDescent="0.3">
      <c r="A201" s="151" t="s">
        <v>114</v>
      </c>
      <c r="B201" s="151">
        <v>2022</v>
      </c>
      <c r="C201" s="151" t="s">
        <v>8994</v>
      </c>
      <c r="D201" s="172">
        <f>FCCL!E41-FCCL!E76</f>
        <v>0</v>
      </c>
      <c r="E201" s="172">
        <v>0</v>
      </c>
      <c r="F201" s="172">
        <f t="shared" si="3"/>
        <v>0</v>
      </c>
      <c r="G201" s="174" t="s">
        <v>8991</v>
      </c>
      <c r="H201" s="174" t="s">
        <v>8992</v>
      </c>
    </row>
    <row r="202" spans="1:8" ht="52.05" customHeight="1" x14ac:dyDescent="0.3">
      <c r="A202" s="154" t="s">
        <v>114</v>
      </c>
      <c r="B202" s="154">
        <v>2022</v>
      </c>
      <c r="C202" s="154" t="s">
        <v>8995</v>
      </c>
      <c r="D202" s="171">
        <f>FCCL!E36-FCCL!E77</f>
        <v>0</v>
      </c>
      <c r="E202" s="171">
        <v>0</v>
      </c>
      <c r="F202" s="171">
        <f t="shared" si="3"/>
        <v>0</v>
      </c>
      <c r="G202" s="173" t="s">
        <v>8991</v>
      </c>
      <c r="H202" s="173" t="s">
        <v>8992</v>
      </c>
    </row>
    <row r="203" spans="1:8" ht="52.05" customHeight="1" x14ac:dyDescent="0.3">
      <c r="A203" s="151" t="s">
        <v>114</v>
      </c>
      <c r="B203" s="151">
        <v>2022</v>
      </c>
      <c r="C203" s="151" t="s">
        <v>8996</v>
      </c>
      <c r="D203" s="172">
        <f>FCCL!E61-FCCL!E78</f>
        <v>0</v>
      </c>
      <c r="E203" s="172">
        <v>0</v>
      </c>
      <c r="F203" s="172">
        <f t="shared" si="3"/>
        <v>0</v>
      </c>
      <c r="G203" s="174" t="s">
        <v>8991</v>
      </c>
      <c r="H203" s="174" t="s">
        <v>8992</v>
      </c>
    </row>
    <row r="204" spans="1:8" ht="52.05" customHeight="1" x14ac:dyDescent="0.3">
      <c r="A204" s="154" t="s">
        <v>114</v>
      </c>
      <c r="B204" s="154">
        <v>2022</v>
      </c>
      <c r="C204" s="154" t="s">
        <v>8997</v>
      </c>
      <c r="D204" s="171">
        <f>FCCL!E84+FCCL!E85-FCCL!E100</f>
        <v>0</v>
      </c>
      <c r="E204" s="171">
        <v>1.8189894035458565E-12</v>
      </c>
      <c r="F204" s="171">
        <f t="shared" si="3"/>
        <v>-1.8189894035458565E-12</v>
      </c>
      <c r="G204" s="173" t="s">
        <v>8991</v>
      </c>
      <c r="H204" s="173" t="s">
        <v>8998</v>
      </c>
    </row>
    <row r="205" spans="1:8" ht="52.05" customHeight="1" x14ac:dyDescent="0.3">
      <c r="A205" s="151" t="s">
        <v>114</v>
      </c>
      <c r="B205" s="151">
        <v>2022</v>
      </c>
      <c r="C205" s="151" t="s">
        <v>8999</v>
      </c>
      <c r="D205" s="172">
        <f>FCCL!E96-FCCL!E101</f>
        <v>0</v>
      </c>
      <c r="E205" s="172">
        <v>0</v>
      </c>
      <c r="F205" s="172">
        <f t="shared" si="3"/>
        <v>0</v>
      </c>
      <c r="G205" s="174" t="s">
        <v>8991</v>
      </c>
      <c r="H205" s="174" t="s">
        <v>8998</v>
      </c>
    </row>
    <row r="206" spans="1:8" ht="52.05" customHeight="1" x14ac:dyDescent="0.3">
      <c r="A206" s="154" t="s">
        <v>114</v>
      </c>
      <c r="B206" s="154">
        <v>2022</v>
      </c>
      <c r="C206" s="154" t="s">
        <v>9000</v>
      </c>
      <c r="D206" s="171">
        <f>FCCL!E96+FCCL!E97+FCCL!E98-FCCL!E102</f>
        <v>0</v>
      </c>
      <c r="E206" s="171">
        <v>9.0949470177292824E-13</v>
      </c>
      <c r="F206" s="171">
        <f t="shared" si="3"/>
        <v>-9.0949470177292824E-13</v>
      </c>
      <c r="G206" s="173" t="s">
        <v>8991</v>
      </c>
      <c r="H206" s="173" t="s">
        <v>8998</v>
      </c>
    </row>
    <row r="207" spans="1:8" ht="52.05" customHeight="1" x14ac:dyDescent="0.3">
      <c r="A207" s="151" t="s">
        <v>114</v>
      </c>
      <c r="B207" s="151">
        <v>2023</v>
      </c>
      <c r="C207" s="151" t="s">
        <v>966</v>
      </c>
      <c r="D207" s="172">
        <f>FCCL!F37-FCCL!F41-FCCL!F62</f>
        <v>0</v>
      </c>
      <c r="E207" s="172">
        <v>1.4551915228366852E-11</v>
      </c>
      <c r="F207" s="172">
        <f t="shared" si="3"/>
        <v>-1.4551915228366852E-11</v>
      </c>
      <c r="G207" s="174" t="s">
        <v>8991</v>
      </c>
      <c r="H207" s="174" t="s">
        <v>8992</v>
      </c>
    </row>
    <row r="208" spans="1:8" ht="52.05" customHeight="1" x14ac:dyDescent="0.3">
      <c r="A208" s="154" t="s">
        <v>114</v>
      </c>
      <c r="B208" s="154">
        <v>2023</v>
      </c>
      <c r="C208" s="154" t="s">
        <v>8993</v>
      </c>
      <c r="D208" s="171">
        <f>FCCL!F37-FCCL!F75</f>
        <v>0</v>
      </c>
      <c r="E208" s="171">
        <v>0</v>
      </c>
      <c r="F208" s="171">
        <f t="shared" si="3"/>
        <v>0</v>
      </c>
      <c r="G208" s="173" t="s">
        <v>8991</v>
      </c>
      <c r="H208" s="173" t="s">
        <v>8992</v>
      </c>
    </row>
    <row r="209" spans="1:8" ht="52.05" customHeight="1" x14ac:dyDescent="0.3">
      <c r="A209" s="151" t="s">
        <v>114</v>
      </c>
      <c r="B209" s="151">
        <v>2023</v>
      </c>
      <c r="C209" s="151" t="s">
        <v>8994</v>
      </c>
      <c r="D209" s="172">
        <f>FCCL!F41-FCCL!F76</f>
        <v>0</v>
      </c>
      <c r="E209" s="172">
        <v>-7.2759576141834259E-12</v>
      </c>
      <c r="F209" s="172">
        <f t="shared" si="3"/>
        <v>7.2759576141834259E-12</v>
      </c>
      <c r="G209" s="174" t="s">
        <v>8991</v>
      </c>
      <c r="H209" s="174" t="s">
        <v>8992</v>
      </c>
    </row>
    <row r="210" spans="1:8" ht="52.05" customHeight="1" x14ac:dyDescent="0.3">
      <c r="A210" s="154" t="s">
        <v>114</v>
      </c>
      <c r="B210" s="154">
        <v>2023</v>
      </c>
      <c r="C210" s="154" t="s">
        <v>8995</v>
      </c>
      <c r="D210" s="171">
        <f>FCCL!F36-FCCL!F77</f>
        <v>0</v>
      </c>
      <c r="E210" s="171">
        <v>0</v>
      </c>
      <c r="F210" s="171">
        <f t="shared" si="3"/>
        <v>0</v>
      </c>
      <c r="G210" s="173" t="s">
        <v>8991</v>
      </c>
      <c r="H210" s="173" t="s">
        <v>8992</v>
      </c>
    </row>
    <row r="211" spans="1:8" ht="52.05" customHeight="1" x14ac:dyDescent="0.3">
      <c r="A211" s="151" t="s">
        <v>114</v>
      </c>
      <c r="B211" s="151">
        <v>2023</v>
      </c>
      <c r="C211" s="151" t="s">
        <v>8996</v>
      </c>
      <c r="D211" s="172">
        <f>FCCL!F61-FCCL!F78</f>
        <v>0</v>
      </c>
      <c r="E211" s="172">
        <v>0</v>
      </c>
      <c r="F211" s="172">
        <f t="shared" si="3"/>
        <v>0</v>
      </c>
      <c r="G211" s="174" t="s">
        <v>8991</v>
      </c>
      <c r="H211" s="174" t="s">
        <v>8992</v>
      </c>
    </row>
    <row r="212" spans="1:8" ht="52.05" customHeight="1" x14ac:dyDescent="0.3">
      <c r="A212" s="154" t="s">
        <v>114</v>
      </c>
      <c r="B212" s="154">
        <v>2023</v>
      </c>
      <c r="C212" s="154" t="s">
        <v>8997</v>
      </c>
      <c r="D212" s="171">
        <f>FCCL!F84+FCCL!F85-FCCL!F100</f>
        <v>0</v>
      </c>
      <c r="E212" s="171">
        <v>3.637978807091713E-12</v>
      </c>
      <c r="F212" s="171">
        <f t="shared" si="3"/>
        <v>-3.637978807091713E-12</v>
      </c>
      <c r="G212" s="173" t="s">
        <v>8991</v>
      </c>
      <c r="H212" s="173" t="s">
        <v>8998</v>
      </c>
    </row>
    <row r="213" spans="1:8" ht="52.05" customHeight="1" x14ac:dyDescent="0.3">
      <c r="A213" s="151" t="s">
        <v>114</v>
      </c>
      <c r="B213" s="151">
        <v>2023</v>
      </c>
      <c r="C213" s="151" t="s">
        <v>8999</v>
      </c>
      <c r="D213" s="172">
        <f>FCCL!F96-FCCL!F101</f>
        <v>0</v>
      </c>
      <c r="E213" s="172">
        <v>5.4569682106375694E-12</v>
      </c>
      <c r="F213" s="172">
        <f t="shared" si="3"/>
        <v>-5.4569682106375694E-12</v>
      </c>
      <c r="G213" s="174" t="s">
        <v>8991</v>
      </c>
      <c r="H213" s="174" t="s">
        <v>8998</v>
      </c>
    </row>
    <row r="214" spans="1:8" ht="52.05" customHeight="1" x14ac:dyDescent="0.3">
      <c r="A214" s="154" t="s">
        <v>114</v>
      </c>
      <c r="B214" s="154">
        <v>2023</v>
      </c>
      <c r="C214" s="154" t="s">
        <v>9000</v>
      </c>
      <c r="D214" s="171">
        <f>FCCL!F96+FCCL!F97+FCCL!F98-FCCL!F102</f>
        <v>8.1854523159563541E-12</v>
      </c>
      <c r="E214" s="171">
        <v>6.3664629124104977E-12</v>
      </c>
      <c r="F214" s="171">
        <f t="shared" si="3"/>
        <v>1.8189894035458565E-12</v>
      </c>
      <c r="G214" s="173" t="s">
        <v>8991</v>
      </c>
      <c r="H214" s="173" t="s">
        <v>8998</v>
      </c>
    </row>
    <row r="215" spans="1:8" ht="52.05" customHeight="1" x14ac:dyDescent="0.3">
      <c r="A215" s="151" t="s">
        <v>114</v>
      </c>
      <c r="B215" s="151">
        <v>2024</v>
      </c>
      <c r="C215" s="151" t="s">
        <v>966</v>
      </c>
      <c r="D215" s="172">
        <f>FCCL!G37-FCCL!G41-FCCL!G62</f>
        <v>0</v>
      </c>
      <c r="E215" s="172">
        <v>0</v>
      </c>
      <c r="F215" s="172">
        <f t="shared" si="3"/>
        <v>0</v>
      </c>
      <c r="G215" s="174" t="s">
        <v>8991</v>
      </c>
      <c r="H215" s="174" t="s">
        <v>8992</v>
      </c>
    </row>
    <row r="216" spans="1:8" ht="52.05" customHeight="1" x14ac:dyDescent="0.3">
      <c r="A216" s="154" t="s">
        <v>114</v>
      </c>
      <c r="B216" s="154">
        <v>2024</v>
      </c>
      <c r="C216" s="154" t="s">
        <v>8993</v>
      </c>
      <c r="D216" s="171">
        <f>FCCL!G37-FCCL!G75</f>
        <v>0</v>
      </c>
      <c r="E216" s="171">
        <v>0</v>
      </c>
      <c r="F216" s="171">
        <f t="shared" si="3"/>
        <v>0</v>
      </c>
      <c r="G216" s="173" t="s">
        <v>8991</v>
      </c>
      <c r="H216" s="173" t="s">
        <v>8992</v>
      </c>
    </row>
    <row r="217" spans="1:8" ht="52.05" customHeight="1" x14ac:dyDescent="0.3">
      <c r="A217" s="151" t="s">
        <v>114</v>
      </c>
      <c r="B217" s="151">
        <v>2024</v>
      </c>
      <c r="C217" s="151" t="s">
        <v>8994</v>
      </c>
      <c r="D217" s="172">
        <f>FCCL!G41-FCCL!G76</f>
        <v>0</v>
      </c>
      <c r="E217" s="172">
        <v>0</v>
      </c>
      <c r="F217" s="172">
        <f t="shared" si="3"/>
        <v>0</v>
      </c>
      <c r="G217" s="174" t="s">
        <v>8991</v>
      </c>
      <c r="H217" s="174" t="s">
        <v>8992</v>
      </c>
    </row>
    <row r="218" spans="1:8" ht="52.05" customHeight="1" x14ac:dyDescent="0.3">
      <c r="A218" s="154" t="s">
        <v>114</v>
      </c>
      <c r="B218" s="154">
        <v>2024</v>
      </c>
      <c r="C218" s="154" t="s">
        <v>8995</v>
      </c>
      <c r="D218" s="171">
        <f>FCCL!G36-FCCL!G77</f>
        <v>0</v>
      </c>
      <c r="E218" s="171">
        <v>0</v>
      </c>
      <c r="F218" s="171">
        <f t="shared" si="3"/>
        <v>0</v>
      </c>
      <c r="G218" s="173" t="s">
        <v>8991</v>
      </c>
      <c r="H218" s="173" t="s">
        <v>8992</v>
      </c>
    </row>
    <row r="219" spans="1:8" ht="52.05" customHeight="1" x14ac:dyDescent="0.3">
      <c r="A219" s="151" t="s">
        <v>114</v>
      </c>
      <c r="B219" s="151">
        <v>2024</v>
      </c>
      <c r="C219" s="151" t="s">
        <v>8996</v>
      </c>
      <c r="D219" s="172">
        <f>FCCL!G61-FCCL!G78</f>
        <v>0</v>
      </c>
      <c r="E219" s="172">
        <v>0</v>
      </c>
      <c r="F219" s="172">
        <f t="shared" si="3"/>
        <v>0</v>
      </c>
      <c r="G219" s="174" t="s">
        <v>8991</v>
      </c>
      <c r="H219" s="174" t="s">
        <v>8992</v>
      </c>
    </row>
    <row r="220" spans="1:8" ht="52.05" customHeight="1" x14ac:dyDescent="0.3">
      <c r="A220" s="154" t="s">
        <v>114</v>
      </c>
      <c r="B220" s="154">
        <v>2024</v>
      </c>
      <c r="C220" s="154" t="s">
        <v>8997</v>
      </c>
      <c r="D220" s="171">
        <f>FCCL!G84+FCCL!G85-FCCL!G100</f>
        <v>0</v>
      </c>
      <c r="E220" s="171">
        <v>-7.2759576141834259E-12</v>
      </c>
      <c r="F220" s="171">
        <f t="shared" si="3"/>
        <v>7.2759576141834259E-12</v>
      </c>
      <c r="G220" s="173" t="s">
        <v>8991</v>
      </c>
      <c r="H220" s="173" t="s">
        <v>8998</v>
      </c>
    </row>
    <row r="221" spans="1:8" ht="52.05" customHeight="1" x14ac:dyDescent="0.3">
      <c r="A221" s="151" t="s">
        <v>114</v>
      </c>
      <c r="B221" s="151">
        <v>2024</v>
      </c>
      <c r="C221" s="151" t="s">
        <v>8999</v>
      </c>
      <c r="D221" s="172">
        <f>FCCL!G96-FCCL!G101</f>
        <v>0</v>
      </c>
      <c r="E221" s="172">
        <v>-9.0949470177292824E-12</v>
      </c>
      <c r="F221" s="172">
        <f t="shared" si="3"/>
        <v>9.0949470177292824E-12</v>
      </c>
      <c r="G221" s="174" t="s">
        <v>8991</v>
      </c>
      <c r="H221" s="174" t="s">
        <v>8998</v>
      </c>
    </row>
    <row r="222" spans="1:8" ht="52.05" customHeight="1" x14ac:dyDescent="0.3">
      <c r="A222" s="154" t="s">
        <v>114</v>
      </c>
      <c r="B222" s="154">
        <v>2024</v>
      </c>
      <c r="C222" s="154" t="s">
        <v>9000</v>
      </c>
      <c r="D222" s="171">
        <f>FCCL!G96+FCCL!G97+FCCL!G98-FCCL!G102</f>
        <v>0</v>
      </c>
      <c r="E222" s="171">
        <v>-9.0949470177292824E-12</v>
      </c>
      <c r="F222" s="171">
        <f t="shared" si="3"/>
        <v>9.0949470177292824E-12</v>
      </c>
      <c r="G222" s="173" t="s">
        <v>8991</v>
      </c>
      <c r="H222" s="173" t="s">
        <v>8998</v>
      </c>
    </row>
    <row r="223" spans="1:8" ht="52.05" customHeight="1" x14ac:dyDescent="0.3">
      <c r="A223" s="151" t="s">
        <v>114</v>
      </c>
      <c r="B223" s="151">
        <v>2025</v>
      </c>
      <c r="C223" s="151" t="s">
        <v>966</v>
      </c>
      <c r="D223" s="172">
        <f>FCCL!H37-FCCL!H41-FCCL!H62</f>
        <v>0</v>
      </c>
      <c r="E223" s="172">
        <v>0</v>
      </c>
      <c r="F223" s="172">
        <f t="shared" si="3"/>
        <v>0</v>
      </c>
      <c r="G223" s="174" t="s">
        <v>8991</v>
      </c>
      <c r="H223" s="174" t="s">
        <v>8992</v>
      </c>
    </row>
    <row r="224" spans="1:8" ht="52.05" customHeight="1" x14ac:dyDescent="0.3">
      <c r="A224" s="154" t="s">
        <v>114</v>
      </c>
      <c r="B224" s="154">
        <v>2025</v>
      </c>
      <c r="C224" s="154" t="s">
        <v>8993</v>
      </c>
      <c r="D224" s="171">
        <f>FCCL!H37-FCCL!H75</f>
        <v>0</v>
      </c>
      <c r="E224" s="171">
        <v>0</v>
      </c>
      <c r="F224" s="171">
        <f t="shared" si="3"/>
        <v>0</v>
      </c>
      <c r="G224" s="173" t="s">
        <v>8991</v>
      </c>
      <c r="H224" s="173" t="s">
        <v>8992</v>
      </c>
    </row>
    <row r="225" spans="1:8" ht="52.05" customHeight="1" x14ac:dyDescent="0.3">
      <c r="A225" s="151" t="s">
        <v>114</v>
      </c>
      <c r="B225" s="151">
        <v>2025</v>
      </c>
      <c r="C225" s="151" t="s">
        <v>8994</v>
      </c>
      <c r="D225" s="172">
        <f>FCCL!H41-FCCL!H76</f>
        <v>0</v>
      </c>
      <c r="E225" s="172">
        <v>0</v>
      </c>
      <c r="F225" s="172">
        <f t="shared" si="3"/>
        <v>0</v>
      </c>
      <c r="G225" s="174" t="s">
        <v>8991</v>
      </c>
      <c r="H225" s="174" t="s">
        <v>8992</v>
      </c>
    </row>
    <row r="226" spans="1:8" ht="52.05" customHeight="1" x14ac:dyDescent="0.3">
      <c r="A226" s="154" t="s">
        <v>114</v>
      </c>
      <c r="B226" s="154">
        <v>2025</v>
      </c>
      <c r="C226" s="154" t="s">
        <v>8995</v>
      </c>
      <c r="D226" s="171">
        <f>FCCL!H36-FCCL!H77</f>
        <v>0</v>
      </c>
      <c r="E226" s="171">
        <v>0</v>
      </c>
      <c r="F226" s="171">
        <f t="shared" si="3"/>
        <v>0</v>
      </c>
      <c r="G226" s="173" t="s">
        <v>8991</v>
      </c>
      <c r="H226" s="173" t="s">
        <v>8992</v>
      </c>
    </row>
    <row r="227" spans="1:8" ht="52.05" customHeight="1" x14ac:dyDescent="0.3">
      <c r="A227" s="151" t="s">
        <v>114</v>
      </c>
      <c r="B227" s="151">
        <v>2025</v>
      </c>
      <c r="C227" s="151" t="s">
        <v>8996</v>
      </c>
      <c r="D227" s="172">
        <f>FCCL!H61-FCCL!H78</f>
        <v>0</v>
      </c>
      <c r="E227" s="172">
        <v>-3.637978807091713E-12</v>
      </c>
      <c r="F227" s="172">
        <f t="shared" si="3"/>
        <v>3.637978807091713E-12</v>
      </c>
      <c r="G227" s="174" t="s">
        <v>8991</v>
      </c>
      <c r="H227" s="174" t="s">
        <v>8992</v>
      </c>
    </row>
    <row r="228" spans="1:8" ht="52.05" customHeight="1" x14ac:dyDescent="0.3">
      <c r="A228" s="154" t="s">
        <v>114</v>
      </c>
      <c r="B228" s="154">
        <v>2025</v>
      </c>
      <c r="C228" s="154" t="s">
        <v>8997</v>
      </c>
      <c r="D228" s="171">
        <f>FCCL!H84+FCCL!H85-FCCL!H100</f>
        <v>0</v>
      </c>
      <c r="E228" s="171">
        <v>-7.2759576141834259E-12</v>
      </c>
      <c r="F228" s="171">
        <f t="shared" si="3"/>
        <v>7.2759576141834259E-12</v>
      </c>
      <c r="G228" s="173" t="s">
        <v>8991</v>
      </c>
      <c r="H228" s="173" t="s">
        <v>8998</v>
      </c>
    </row>
    <row r="229" spans="1:8" ht="52.05" customHeight="1" x14ac:dyDescent="0.3">
      <c r="A229" s="151" t="s">
        <v>114</v>
      </c>
      <c r="B229" s="151">
        <v>2025</v>
      </c>
      <c r="C229" s="151" t="s">
        <v>8999</v>
      </c>
      <c r="D229" s="172">
        <f>FCCL!H96-FCCL!H101</f>
        <v>0</v>
      </c>
      <c r="E229" s="172">
        <v>-7.2759576141834259E-12</v>
      </c>
      <c r="F229" s="172">
        <f t="shared" si="3"/>
        <v>7.2759576141834259E-12</v>
      </c>
      <c r="G229" s="174" t="s">
        <v>8991</v>
      </c>
      <c r="H229" s="174" t="s">
        <v>8998</v>
      </c>
    </row>
    <row r="230" spans="1:8" ht="52.05" customHeight="1" x14ac:dyDescent="0.3">
      <c r="A230" s="154" t="s">
        <v>114</v>
      </c>
      <c r="B230" s="154">
        <v>2025</v>
      </c>
      <c r="C230" s="154" t="s">
        <v>9000</v>
      </c>
      <c r="D230" s="171">
        <f>FCCL!H96+FCCL!H97+FCCL!H98-FCCL!H102</f>
        <v>0</v>
      </c>
      <c r="E230" s="171">
        <v>-5.4569682106375694E-12</v>
      </c>
      <c r="F230" s="171">
        <f t="shared" si="3"/>
        <v>5.4569682106375694E-12</v>
      </c>
      <c r="G230" s="173" t="s">
        <v>8991</v>
      </c>
      <c r="H230" s="173" t="s">
        <v>8998</v>
      </c>
    </row>
    <row r="231" spans="1:8" ht="52.05" customHeight="1" x14ac:dyDescent="0.3">
      <c r="A231" s="151" t="s">
        <v>114</v>
      </c>
      <c r="B231" s="151">
        <v>2021</v>
      </c>
      <c r="C231" s="151" t="s">
        <v>9002</v>
      </c>
      <c r="D231" s="172">
        <f>'Forensic Inputs'!$G$98-'Forensic Inputs'!$G$99-FCCL!D20</f>
        <v>0</v>
      </c>
      <c r="E231" s="172">
        <v>0</v>
      </c>
      <c r="F231" s="172">
        <f t="shared" si="3"/>
        <v>0</v>
      </c>
      <c r="G231" s="174" t="s">
        <v>8991</v>
      </c>
      <c r="H231" s="174" t="s">
        <v>9003</v>
      </c>
    </row>
    <row r="232" spans="1:8" ht="52.05" customHeight="1" x14ac:dyDescent="0.3">
      <c r="A232" s="154" t="s">
        <v>114</v>
      </c>
      <c r="B232" s="154">
        <v>2022</v>
      </c>
      <c r="C232" s="154" t="s">
        <v>9002</v>
      </c>
      <c r="D232" s="171">
        <f>'Forensic Inputs'!$G$100-'Forensic Inputs'!$G$101-FCCL!E20</f>
        <v>0</v>
      </c>
      <c r="E232" s="171">
        <v>0</v>
      </c>
      <c r="F232" s="171">
        <f t="shared" si="3"/>
        <v>0</v>
      </c>
      <c r="G232" s="173" t="s">
        <v>8991</v>
      </c>
      <c r="H232" s="173" t="s">
        <v>9003</v>
      </c>
    </row>
    <row r="233" spans="1:8" ht="52.05" customHeight="1" x14ac:dyDescent="0.3">
      <c r="A233" s="151" t="s">
        <v>114</v>
      </c>
      <c r="B233" s="151">
        <v>2023</v>
      </c>
      <c r="C233" s="151" t="s">
        <v>9002</v>
      </c>
      <c r="D233" s="172">
        <f>'Forensic Inputs'!$G$102-'Forensic Inputs'!$G$103-FCCL!F20</f>
        <v>0</v>
      </c>
      <c r="E233" s="172">
        <v>1.4551915228366852E-11</v>
      </c>
      <c r="F233" s="172">
        <f t="shared" si="3"/>
        <v>-1.4551915228366852E-11</v>
      </c>
      <c r="G233" s="174" t="s">
        <v>8991</v>
      </c>
      <c r="H233" s="174" t="s">
        <v>9004</v>
      </c>
    </row>
    <row r="234" spans="1:8" ht="52.05" customHeight="1" x14ac:dyDescent="0.3">
      <c r="A234" s="154" t="s">
        <v>114</v>
      </c>
      <c r="B234" s="154">
        <v>2024</v>
      </c>
      <c r="C234" s="154" t="s">
        <v>9002</v>
      </c>
      <c r="D234" s="171">
        <f>'Forensic Inputs'!$G$104-'Forensic Inputs'!$G$105-FCCL!G20</f>
        <v>0</v>
      </c>
      <c r="E234" s="171">
        <v>1.4551915228366852E-11</v>
      </c>
      <c r="F234" s="171">
        <f t="shared" si="3"/>
        <v>-1.4551915228366852E-11</v>
      </c>
      <c r="G234" s="173" t="s">
        <v>8991</v>
      </c>
      <c r="H234" s="173" t="s">
        <v>9004</v>
      </c>
    </row>
    <row r="235" spans="1:8" ht="52.05" customHeight="1" x14ac:dyDescent="0.3">
      <c r="A235" s="151" t="s">
        <v>114</v>
      </c>
      <c r="B235" s="151">
        <v>2025</v>
      </c>
      <c r="C235" s="151" t="s">
        <v>9002</v>
      </c>
      <c r="D235" s="172">
        <f>'Forensic Inputs'!$G$106-'Forensic Inputs'!$G$107-FCCL!H20</f>
        <v>0</v>
      </c>
      <c r="E235" s="172">
        <v>0</v>
      </c>
      <c r="F235" s="172">
        <f t="shared" si="3"/>
        <v>0</v>
      </c>
      <c r="G235" s="174" t="s">
        <v>8991</v>
      </c>
      <c r="H235" s="174" t="s">
        <v>9005</v>
      </c>
    </row>
    <row r="236" spans="1:8" ht="52.05" customHeight="1" x14ac:dyDescent="0.3">
      <c r="A236" s="154" t="s">
        <v>106</v>
      </c>
      <c r="B236" s="154">
        <v>2021</v>
      </c>
      <c r="C236" s="154" t="s">
        <v>9006</v>
      </c>
      <c r="D236" s="171">
        <f>(-MLCF!D85)-'Forensic Inputs'!$G$11-'Forensic Inputs'!$G$24</f>
        <v>0</v>
      </c>
      <c r="E236" s="171">
        <v>3.637978807091713E-12</v>
      </c>
      <c r="F236" s="171">
        <f t="shared" si="3"/>
        <v>-3.637978807091713E-12</v>
      </c>
      <c r="G236" s="173" t="s">
        <v>8991</v>
      </c>
      <c r="H236" s="173" t="s">
        <v>9007</v>
      </c>
    </row>
    <row r="237" spans="1:8" ht="52.05" customHeight="1" x14ac:dyDescent="0.3">
      <c r="A237" s="151" t="s">
        <v>106</v>
      </c>
      <c r="B237" s="151">
        <v>2021</v>
      </c>
      <c r="C237" s="151" t="s">
        <v>9008</v>
      </c>
      <c r="D237" s="172">
        <f>(-MLCF!D87)+'Forensic Inputs'!$G$11-'Forensic Inputs'!$G$25</f>
        <v>0</v>
      </c>
      <c r="E237" s="172">
        <v>0</v>
      </c>
      <c r="F237" s="172">
        <f t="shared" si="3"/>
        <v>0</v>
      </c>
      <c r="G237" s="174" t="s">
        <v>8991</v>
      </c>
      <c r="H237" s="174" t="s">
        <v>9009</v>
      </c>
    </row>
    <row r="238" spans="1:8" ht="52.05" customHeight="1" x14ac:dyDescent="0.3">
      <c r="A238" s="154" t="s">
        <v>106</v>
      </c>
      <c r="B238" s="154">
        <v>2022</v>
      </c>
      <c r="C238" s="154" t="s">
        <v>9006</v>
      </c>
      <c r="D238" s="171">
        <f>(-MLCF!E85)-'Forensic Inputs'!$G$12-'Forensic Inputs'!$G$26</f>
        <v>0</v>
      </c>
      <c r="E238" s="171">
        <v>7.2759576141834259E-12</v>
      </c>
      <c r="F238" s="171">
        <f t="shared" si="3"/>
        <v>-7.2759576141834259E-12</v>
      </c>
      <c r="G238" s="173" t="s">
        <v>8991</v>
      </c>
      <c r="H238" s="173" t="s">
        <v>9007</v>
      </c>
    </row>
    <row r="239" spans="1:8" ht="52.05" customHeight="1" x14ac:dyDescent="0.3">
      <c r="A239" s="151" t="s">
        <v>106</v>
      </c>
      <c r="B239" s="151">
        <v>2022</v>
      </c>
      <c r="C239" s="151" t="s">
        <v>9008</v>
      </c>
      <c r="D239" s="172">
        <f>(-MLCF!E87)+'Forensic Inputs'!$G$12-'Forensic Inputs'!$G$27</f>
        <v>0</v>
      </c>
      <c r="E239" s="172">
        <v>0</v>
      </c>
      <c r="F239" s="172">
        <f t="shared" si="3"/>
        <v>0</v>
      </c>
      <c r="G239" s="174" t="s">
        <v>8991</v>
      </c>
      <c r="H239" s="174" t="s">
        <v>9009</v>
      </c>
    </row>
    <row r="240" spans="1:8" ht="52.05" customHeight="1" x14ac:dyDescent="0.3">
      <c r="A240" s="154" t="s">
        <v>106</v>
      </c>
      <c r="B240" s="154">
        <v>2023</v>
      </c>
      <c r="C240" s="154" t="s">
        <v>9006</v>
      </c>
      <c r="D240" s="171">
        <f>'Forensic Inputs'!$G$13-'Forensic Inputs'!$G$15-(-MLCF!F85)</f>
        <v>0</v>
      </c>
      <c r="E240" s="171">
        <v>-7.2759576141834259E-12</v>
      </c>
      <c r="F240" s="171">
        <f t="shared" si="3"/>
        <v>7.2759576141834259E-12</v>
      </c>
      <c r="G240" s="173" t="s">
        <v>8991</v>
      </c>
      <c r="H240" s="173" t="s">
        <v>9007</v>
      </c>
    </row>
    <row r="241" spans="1:8" ht="52.05" customHeight="1" x14ac:dyDescent="0.3">
      <c r="A241" s="151" t="s">
        <v>106</v>
      </c>
      <c r="B241" s="151">
        <v>2023</v>
      </c>
      <c r="C241" s="151" t="s">
        <v>9008</v>
      </c>
      <c r="D241" s="172">
        <f>'Forensic Inputs'!$G$14+'Forensic Inputs'!$G$15-(-MLCF!F87)</f>
        <v>0</v>
      </c>
      <c r="E241" s="172">
        <v>0</v>
      </c>
      <c r="F241" s="172">
        <f t="shared" si="3"/>
        <v>0</v>
      </c>
      <c r="G241" s="174" t="s">
        <v>8991</v>
      </c>
      <c r="H241" s="174" t="s">
        <v>9009</v>
      </c>
    </row>
    <row r="242" spans="1:8" ht="52.05" customHeight="1" x14ac:dyDescent="0.3">
      <c r="A242" s="154" t="s">
        <v>68</v>
      </c>
      <c r="B242" s="154">
        <v>2020</v>
      </c>
      <c r="C242" s="154" t="s">
        <v>9010</v>
      </c>
      <c r="D242" s="171">
        <f>LUCK!C37-LUCK!C41-LUCK!C62-('Forensic Inputs'!$G$22-'Forensic Inputs'!$G$23)</f>
        <v>-2.0008883439004421E-11</v>
      </c>
      <c r="E242" s="171">
        <v>-2.0008883439004421E-11</v>
      </c>
      <c r="F242" s="171">
        <f t="shared" si="3"/>
        <v>0</v>
      </c>
      <c r="G242" s="173" t="s">
        <v>8991</v>
      </c>
      <c r="H242" s="173" t="s">
        <v>9011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41"/>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1" width="9" customWidth="1"/>
    <col min="2" max="2" width="24" customWidth="1"/>
    <col min="3" max="3" width="40" customWidth="1"/>
    <col min="4" max="4" width="23" customWidth="1"/>
    <col min="5" max="5" width="24" customWidth="1"/>
    <col min="6" max="7" width="50" customWidth="1"/>
    <col min="8" max="8" width="125" customWidth="1"/>
  </cols>
  <sheetData>
    <row r="1" spans="1:8" ht="27" customHeight="1" x14ac:dyDescent="0.3">
      <c r="A1" s="177"/>
      <c r="B1" s="177"/>
      <c r="C1" s="177"/>
      <c r="D1" s="177"/>
      <c r="E1" s="177"/>
      <c r="F1" s="177"/>
      <c r="G1" s="177"/>
      <c r="H1" s="177"/>
    </row>
    <row r="2" spans="1:8" ht="27" customHeight="1" x14ac:dyDescent="0.3">
      <c r="A2" s="178" t="s">
        <v>9361</v>
      </c>
      <c r="B2" s="177"/>
      <c r="C2" s="177"/>
      <c r="D2" s="177"/>
      <c r="E2" s="177"/>
      <c r="F2" s="177"/>
      <c r="G2" s="177"/>
      <c r="H2" s="177"/>
    </row>
    <row r="3" spans="1:8" ht="27" customHeight="1" x14ac:dyDescent="0.3">
      <c r="A3" s="177" t="s">
        <v>9362</v>
      </c>
      <c r="B3" s="177"/>
      <c r="C3" s="177"/>
      <c r="D3" s="177"/>
      <c r="E3" s="177"/>
      <c r="F3" s="177"/>
      <c r="G3" s="177"/>
      <c r="H3" s="177"/>
    </row>
    <row r="4" spans="1:8" ht="27" customHeight="1" x14ac:dyDescent="0.3">
      <c r="A4" s="177"/>
      <c r="B4" s="177"/>
      <c r="C4" s="177"/>
      <c r="D4" s="177"/>
      <c r="E4" s="177"/>
      <c r="F4" s="177"/>
      <c r="G4" s="177"/>
      <c r="H4" s="177"/>
    </row>
    <row r="5" spans="1:8" ht="40.049999999999997" customHeight="1" x14ac:dyDescent="0.3">
      <c r="A5" s="179" t="s">
        <v>9012</v>
      </c>
      <c r="B5" s="179" t="s">
        <v>906</v>
      </c>
      <c r="C5" s="179" t="s">
        <v>908</v>
      </c>
      <c r="D5" s="179" t="s">
        <v>9013</v>
      </c>
      <c r="E5" s="179" t="s">
        <v>9014</v>
      </c>
      <c r="F5" s="179" t="s">
        <v>9015</v>
      </c>
      <c r="G5" s="179" t="s">
        <v>9016</v>
      </c>
      <c r="H5" s="179" t="s">
        <v>9017</v>
      </c>
    </row>
    <row r="6" spans="1:8" ht="64.05" customHeight="1" x14ac:dyDescent="0.3">
      <c r="A6" s="180">
        <v>1</v>
      </c>
      <c r="B6" s="180" t="s">
        <v>459</v>
      </c>
      <c r="C6" s="180" t="s">
        <v>9018</v>
      </c>
      <c r="D6" s="180" t="s">
        <v>9019</v>
      </c>
      <c r="E6" s="180" t="s">
        <v>9020</v>
      </c>
      <c r="F6" s="183" t="s">
        <v>9021</v>
      </c>
      <c r="G6" s="183" t="s">
        <v>9022</v>
      </c>
      <c r="H6" s="183" t="s">
        <v>9023</v>
      </c>
    </row>
    <row r="7" spans="1:8" ht="64.05" customHeight="1" x14ac:dyDescent="0.3">
      <c r="A7" s="177">
        <v>2</v>
      </c>
      <c r="B7" s="177" t="s">
        <v>459</v>
      </c>
      <c r="C7" s="177" t="s">
        <v>9024</v>
      </c>
      <c r="D7" s="177" t="s">
        <v>9019</v>
      </c>
      <c r="E7" s="177" t="s">
        <v>9020</v>
      </c>
      <c r="F7" s="184" t="s">
        <v>9025</v>
      </c>
      <c r="G7" s="184" t="s">
        <v>9026</v>
      </c>
      <c r="H7" s="184" t="s">
        <v>9023</v>
      </c>
    </row>
    <row r="8" spans="1:8" ht="64.05" customHeight="1" x14ac:dyDescent="0.3">
      <c r="A8" s="180">
        <v>3</v>
      </c>
      <c r="B8" s="180" t="s">
        <v>459</v>
      </c>
      <c r="C8" s="180" t="s">
        <v>9027</v>
      </c>
      <c r="D8" s="180" t="s">
        <v>9019</v>
      </c>
      <c r="E8" s="180" t="s">
        <v>9028</v>
      </c>
      <c r="F8" s="183" t="s">
        <v>9029</v>
      </c>
      <c r="G8" s="183" t="s">
        <v>9030</v>
      </c>
      <c r="H8" s="183" t="s">
        <v>9031</v>
      </c>
    </row>
    <row r="9" spans="1:8" ht="64.05" customHeight="1" x14ac:dyDescent="0.3">
      <c r="A9" s="177">
        <v>4</v>
      </c>
      <c r="B9" s="177" t="s">
        <v>459</v>
      </c>
      <c r="C9" s="177" t="s">
        <v>9032</v>
      </c>
      <c r="D9" s="177" t="s">
        <v>3545</v>
      </c>
      <c r="E9" s="177" t="s">
        <v>9033</v>
      </c>
      <c r="F9" s="184" t="s">
        <v>9034</v>
      </c>
      <c r="G9" s="184" t="s">
        <v>9035</v>
      </c>
      <c r="H9" s="184" t="s">
        <v>9023</v>
      </c>
    </row>
    <row r="10" spans="1:8" ht="64.05" customHeight="1" x14ac:dyDescent="0.3">
      <c r="A10" s="180">
        <v>5</v>
      </c>
      <c r="B10" s="180" t="s">
        <v>471</v>
      </c>
      <c r="C10" s="180" t="s">
        <v>9036</v>
      </c>
      <c r="D10" s="180" t="s">
        <v>9019</v>
      </c>
      <c r="E10" s="180" t="s">
        <v>9020</v>
      </c>
      <c r="F10" s="183" t="s">
        <v>9037</v>
      </c>
      <c r="G10" s="183" t="s">
        <v>9038</v>
      </c>
      <c r="H10" s="183" t="s">
        <v>9023</v>
      </c>
    </row>
    <row r="11" spans="1:8" ht="64.05" customHeight="1" x14ac:dyDescent="0.3">
      <c r="A11" s="177">
        <v>6</v>
      </c>
      <c r="B11" s="177" t="s">
        <v>471</v>
      </c>
      <c r="C11" s="177" t="s">
        <v>9039</v>
      </c>
      <c r="D11" s="177" t="s">
        <v>3545</v>
      </c>
      <c r="E11" s="177" t="s">
        <v>9033</v>
      </c>
      <c r="F11" s="184" t="s">
        <v>9040</v>
      </c>
      <c r="G11" s="184" t="s">
        <v>9041</v>
      </c>
      <c r="H11" s="184" t="s">
        <v>9023</v>
      </c>
    </row>
    <row r="12" spans="1:8" ht="64.05" customHeight="1" x14ac:dyDescent="0.3">
      <c r="A12" s="180">
        <v>7</v>
      </c>
      <c r="B12" s="180" t="s">
        <v>471</v>
      </c>
      <c r="C12" s="180" t="s">
        <v>9042</v>
      </c>
      <c r="D12" s="180" t="s">
        <v>3545</v>
      </c>
      <c r="E12" s="180" t="s">
        <v>9033</v>
      </c>
      <c r="F12" s="183" t="s">
        <v>9043</v>
      </c>
      <c r="G12" s="183" t="s">
        <v>9044</v>
      </c>
      <c r="H12" s="183" t="s">
        <v>9023</v>
      </c>
    </row>
    <row r="13" spans="1:8" ht="64.05" customHeight="1" x14ac:dyDescent="0.3">
      <c r="A13" s="177">
        <v>8</v>
      </c>
      <c r="B13" s="177" t="s">
        <v>471</v>
      </c>
      <c r="C13" s="177" t="s">
        <v>9045</v>
      </c>
      <c r="D13" s="177" t="s">
        <v>9019</v>
      </c>
      <c r="E13" s="177" t="s">
        <v>9020</v>
      </c>
      <c r="F13" s="184" t="s">
        <v>9046</v>
      </c>
      <c r="G13" s="184" t="s">
        <v>9047</v>
      </c>
      <c r="H13" s="184" t="s">
        <v>9023</v>
      </c>
    </row>
    <row r="14" spans="1:8" ht="64.05" customHeight="1" x14ac:dyDescent="0.3">
      <c r="A14" s="180">
        <v>9</v>
      </c>
      <c r="B14" s="180" t="s">
        <v>471</v>
      </c>
      <c r="C14" s="180" t="s">
        <v>9048</v>
      </c>
      <c r="D14" s="180" t="s">
        <v>9019</v>
      </c>
      <c r="E14" s="180" t="s">
        <v>9020</v>
      </c>
      <c r="F14" s="183" t="s">
        <v>9049</v>
      </c>
      <c r="G14" s="183" t="s">
        <v>9050</v>
      </c>
      <c r="H14" s="183" t="s">
        <v>9051</v>
      </c>
    </row>
    <row r="15" spans="1:8" ht="64.05" customHeight="1" x14ac:dyDescent="0.3">
      <c r="A15" s="177">
        <v>10</v>
      </c>
      <c r="B15" s="177" t="s">
        <v>471</v>
      </c>
      <c r="C15" s="177" t="s">
        <v>9052</v>
      </c>
      <c r="D15" s="177" t="s">
        <v>9019</v>
      </c>
      <c r="E15" s="177" t="s">
        <v>9020</v>
      </c>
      <c r="F15" s="184" t="s">
        <v>9053</v>
      </c>
      <c r="G15" s="184" t="s">
        <v>9054</v>
      </c>
      <c r="H15" s="184" t="s">
        <v>9023</v>
      </c>
    </row>
    <row r="16" spans="1:8" ht="64.05" customHeight="1" x14ac:dyDescent="0.3">
      <c r="A16" s="180">
        <v>11</v>
      </c>
      <c r="B16" s="180" t="s">
        <v>493</v>
      </c>
      <c r="C16" s="180" t="s">
        <v>9055</v>
      </c>
      <c r="D16" s="180" t="s">
        <v>9019</v>
      </c>
      <c r="E16" s="180" t="s">
        <v>9028</v>
      </c>
      <c r="F16" s="183" t="s">
        <v>9056</v>
      </c>
      <c r="G16" s="183" t="s">
        <v>9057</v>
      </c>
      <c r="H16" s="183" t="s">
        <v>9023</v>
      </c>
    </row>
    <row r="17" spans="1:8" ht="64.05" customHeight="1" x14ac:dyDescent="0.3">
      <c r="A17" s="177">
        <v>12</v>
      </c>
      <c r="B17" s="177" t="s">
        <v>493</v>
      </c>
      <c r="C17" s="177" t="s">
        <v>9058</v>
      </c>
      <c r="D17" s="177" t="s">
        <v>9019</v>
      </c>
      <c r="E17" s="177" t="s">
        <v>9028</v>
      </c>
      <c r="F17" s="184" t="s">
        <v>9059</v>
      </c>
      <c r="G17" s="184" t="s">
        <v>9060</v>
      </c>
      <c r="H17" s="184" t="s">
        <v>9061</v>
      </c>
    </row>
    <row r="18" spans="1:8" ht="64.05" customHeight="1" x14ac:dyDescent="0.3">
      <c r="A18" s="180">
        <v>13</v>
      </c>
      <c r="B18" s="180" t="s">
        <v>493</v>
      </c>
      <c r="C18" s="180" t="s">
        <v>9062</v>
      </c>
      <c r="D18" s="180" t="s">
        <v>3545</v>
      </c>
      <c r="E18" s="180" t="s">
        <v>9020</v>
      </c>
      <c r="F18" s="183" t="s">
        <v>9063</v>
      </c>
      <c r="G18" s="183" t="s">
        <v>9060</v>
      </c>
      <c r="H18" s="183" t="s">
        <v>9023</v>
      </c>
    </row>
    <row r="19" spans="1:8" ht="64.05" customHeight="1" x14ac:dyDescent="0.3">
      <c r="A19" s="177">
        <v>14</v>
      </c>
      <c r="B19" s="177" t="s">
        <v>493</v>
      </c>
      <c r="C19" s="177" t="s">
        <v>9064</v>
      </c>
      <c r="D19" s="177" t="s">
        <v>9019</v>
      </c>
      <c r="E19" s="177" t="s">
        <v>9020</v>
      </c>
      <c r="F19" s="184" t="s">
        <v>9065</v>
      </c>
      <c r="G19" s="184" t="s">
        <v>9066</v>
      </c>
      <c r="H19" s="184" t="s">
        <v>9023</v>
      </c>
    </row>
    <row r="20" spans="1:8" ht="64.05" customHeight="1" x14ac:dyDescent="0.3">
      <c r="A20" s="180">
        <v>15</v>
      </c>
      <c r="B20" s="180" t="s">
        <v>504</v>
      </c>
      <c r="C20" s="180" t="s">
        <v>9067</v>
      </c>
      <c r="D20" s="180" t="s">
        <v>9019</v>
      </c>
      <c r="E20" s="180" t="s">
        <v>9028</v>
      </c>
      <c r="F20" s="183" t="s">
        <v>9068</v>
      </c>
      <c r="G20" s="183" t="s">
        <v>9069</v>
      </c>
      <c r="H20" s="183" t="s">
        <v>9023</v>
      </c>
    </row>
    <row r="21" spans="1:8" ht="64.05" customHeight="1" x14ac:dyDescent="0.3">
      <c r="A21" s="177">
        <v>16</v>
      </c>
      <c r="B21" s="177" t="s">
        <v>504</v>
      </c>
      <c r="C21" s="177" t="s">
        <v>9070</v>
      </c>
      <c r="D21" s="177" t="s">
        <v>9019</v>
      </c>
      <c r="E21" s="177" t="s">
        <v>9020</v>
      </c>
      <c r="F21" s="184" t="s">
        <v>9071</v>
      </c>
      <c r="G21" s="184" t="s">
        <v>9072</v>
      </c>
      <c r="H21" s="184" t="s">
        <v>9073</v>
      </c>
    </row>
    <row r="22" spans="1:8" ht="64.05" customHeight="1" x14ac:dyDescent="0.3">
      <c r="A22" s="180">
        <v>17</v>
      </c>
      <c r="B22" s="180" t="s">
        <v>504</v>
      </c>
      <c r="C22" s="180" t="s">
        <v>9074</v>
      </c>
      <c r="D22" s="180" t="s">
        <v>9019</v>
      </c>
      <c r="E22" s="180" t="s">
        <v>9020</v>
      </c>
      <c r="F22" s="183" t="s">
        <v>9075</v>
      </c>
      <c r="G22" s="183" t="s">
        <v>9076</v>
      </c>
      <c r="H22" s="183" t="s">
        <v>9023</v>
      </c>
    </row>
    <row r="23" spans="1:8" ht="64.05" customHeight="1" x14ac:dyDescent="0.3">
      <c r="A23" s="177">
        <v>18</v>
      </c>
      <c r="B23" s="177" t="s">
        <v>504</v>
      </c>
      <c r="C23" s="177" t="s">
        <v>9077</v>
      </c>
      <c r="D23" s="177" t="s">
        <v>9019</v>
      </c>
      <c r="E23" s="177" t="s">
        <v>9020</v>
      </c>
      <c r="F23" s="184" t="s">
        <v>9078</v>
      </c>
      <c r="G23" s="184" t="s">
        <v>9054</v>
      </c>
      <c r="H23" s="184" t="s">
        <v>9023</v>
      </c>
    </row>
    <row r="24" spans="1:8" ht="64.05" customHeight="1" x14ac:dyDescent="0.3">
      <c r="A24" s="180">
        <v>19</v>
      </c>
      <c r="B24" s="180" t="s">
        <v>504</v>
      </c>
      <c r="C24" s="180" t="s">
        <v>9079</v>
      </c>
      <c r="D24" s="180" t="s">
        <v>9019</v>
      </c>
      <c r="E24" s="180" t="s">
        <v>9020</v>
      </c>
      <c r="F24" s="183" t="s">
        <v>9080</v>
      </c>
      <c r="G24" s="183" t="s">
        <v>9081</v>
      </c>
      <c r="H24" s="183" t="s">
        <v>9023</v>
      </c>
    </row>
    <row r="25" spans="1:8" ht="64.05" customHeight="1" x14ac:dyDescent="0.3">
      <c r="A25" s="177">
        <v>20</v>
      </c>
      <c r="B25" s="177" t="s">
        <v>504</v>
      </c>
      <c r="C25" s="177" t="s">
        <v>9082</v>
      </c>
      <c r="D25" s="177" t="s">
        <v>3545</v>
      </c>
      <c r="E25" s="177" t="s">
        <v>9020</v>
      </c>
      <c r="F25" s="184" t="s">
        <v>9083</v>
      </c>
      <c r="G25" s="184" t="s">
        <v>9084</v>
      </c>
      <c r="H25" s="184" t="s">
        <v>9085</v>
      </c>
    </row>
    <row r="26" spans="1:8" ht="64.05" customHeight="1" x14ac:dyDescent="0.3">
      <c r="A26" s="180">
        <v>21</v>
      </c>
      <c r="B26" s="180" t="s">
        <v>504</v>
      </c>
      <c r="C26" s="180" t="s">
        <v>9086</v>
      </c>
      <c r="D26" s="180" t="s">
        <v>3545</v>
      </c>
      <c r="E26" s="180" t="s">
        <v>9020</v>
      </c>
      <c r="F26" s="183" t="s">
        <v>9087</v>
      </c>
      <c r="G26" s="183" t="s">
        <v>9054</v>
      </c>
      <c r="H26" s="183" t="s">
        <v>9023</v>
      </c>
    </row>
    <row r="27" spans="1:8" ht="64.05" customHeight="1" x14ac:dyDescent="0.3">
      <c r="A27" s="177">
        <v>22</v>
      </c>
      <c r="B27" s="177" t="s">
        <v>519</v>
      </c>
      <c r="C27" s="177" t="s">
        <v>9088</v>
      </c>
      <c r="D27" s="177" t="s">
        <v>9019</v>
      </c>
      <c r="E27" s="177" t="s">
        <v>9028</v>
      </c>
      <c r="F27" s="184" t="s">
        <v>9089</v>
      </c>
      <c r="G27" s="184" t="s">
        <v>9090</v>
      </c>
      <c r="H27" s="184" t="s">
        <v>9023</v>
      </c>
    </row>
    <row r="28" spans="1:8" ht="64.05" customHeight="1" x14ac:dyDescent="0.3">
      <c r="A28" s="180">
        <v>23</v>
      </c>
      <c r="B28" s="180" t="s">
        <v>519</v>
      </c>
      <c r="C28" s="180" t="s">
        <v>9091</v>
      </c>
      <c r="D28" s="180" t="s">
        <v>3545</v>
      </c>
      <c r="E28" s="180" t="s">
        <v>9033</v>
      </c>
      <c r="F28" s="183" t="s">
        <v>9092</v>
      </c>
      <c r="G28" s="183" t="s">
        <v>9093</v>
      </c>
      <c r="H28" s="183" t="s">
        <v>9023</v>
      </c>
    </row>
    <row r="29" spans="1:8" ht="64.05" customHeight="1" x14ac:dyDescent="0.3">
      <c r="A29" s="177">
        <v>24</v>
      </c>
      <c r="B29" s="177" t="s">
        <v>519</v>
      </c>
      <c r="C29" s="177" t="s">
        <v>9094</v>
      </c>
      <c r="D29" s="177" t="s">
        <v>9019</v>
      </c>
      <c r="E29" s="177" t="s">
        <v>9020</v>
      </c>
      <c r="F29" s="184" t="s">
        <v>9095</v>
      </c>
      <c r="G29" s="184" t="s">
        <v>9096</v>
      </c>
      <c r="H29" s="184" t="s">
        <v>9023</v>
      </c>
    </row>
    <row r="30" spans="1:8" ht="64.05" customHeight="1" x14ac:dyDescent="0.3">
      <c r="A30" s="180">
        <v>25</v>
      </c>
      <c r="B30" s="180" t="s">
        <v>519</v>
      </c>
      <c r="C30" s="180" t="s">
        <v>9097</v>
      </c>
      <c r="D30" s="180" t="s">
        <v>9019</v>
      </c>
      <c r="E30" s="180" t="s">
        <v>9020</v>
      </c>
      <c r="F30" s="183" t="s">
        <v>9098</v>
      </c>
      <c r="G30" s="183" t="s">
        <v>9096</v>
      </c>
      <c r="H30" s="183" t="s">
        <v>9023</v>
      </c>
    </row>
    <row r="31" spans="1:8" ht="64.05" customHeight="1" x14ac:dyDescent="0.3">
      <c r="A31" s="177">
        <v>26</v>
      </c>
      <c r="B31" s="177" t="s">
        <v>519</v>
      </c>
      <c r="C31" s="177" t="s">
        <v>9099</v>
      </c>
      <c r="D31" s="177" t="s">
        <v>9019</v>
      </c>
      <c r="E31" s="177" t="s">
        <v>9028</v>
      </c>
      <c r="F31" s="184" t="s">
        <v>9100</v>
      </c>
      <c r="G31" s="184" t="s">
        <v>9101</v>
      </c>
      <c r="H31" s="184" t="s">
        <v>9023</v>
      </c>
    </row>
    <row r="32" spans="1:8" ht="64.05" customHeight="1" x14ac:dyDescent="0.3">
      <c r="A32" s="180">
        <v>27</v>
      </c>
      <c r="B32" s="180" t="s">
        <v>519</v>
      </c>
      <c r="C32" s="180" t="s">
        <v>9102</v>
      </c>
      <c r="D32" s="180" t="s">
        <v>3545</v>
      </c>
      <c r="E32" s="180" t="s">
        <v>9020</v>
      </c>
      <c r="F32" s="183" t="s">
        <v>9103</v>
      </c>
      <c r="G32" s="183" t="s">
        <v>9104</v>
      </c>
      <c r="H32" s="183" t="s">
        <v>9023</v>
      </c>
    </row>
    <row r="35" spans="1:8" x14ac:dyDescent="0.3">
      <c r="A35" t="s">
        <v>9105</v>
      </c>
    </row>
    <row r="36" spans="1:8" ht="60" customHeight="1" x14ac:dyDescent="0.3">
      <c r="A36" t="s">
        <v>9106</v>
      </c>
      <c r="B36" s="214" t="s">
        <v>9107</v>
      </c>
      <c r="C36" s="214"/>
      <c r="D36" s="214"/>
      <c r="E36" s="214"/>
      <c r="F36" s="214"/>
      <c r="G36" s="214"/>
      <c r="H36" s="214"/>
    </row>
    <row r="37" spans="1:8" ht="60" customHeight="1" x14ac:dyDescent="0.3">
      <c r="A37" t="s">
        <v>151</v>
      </c>
      <c r="B37" s="214" t="s">
        <v>9108</v>
      </c>
      <c r="C37" s="214"/>
      <c r="D37" s="214"/>
      <c r="E37" s="214"/>
      <c r="F37" s="214"/>
      <c r="G37" s="214"/>
      <c r="H37" s="214"/>
    </row>
    <row r="38" spans="1:8" ht="60" customHeight="1" x14ac:dyDescent="0.3">
      <c r="A38" t="s">
        <v>9109</v>
      </c>
      <c r="B38" s="214" t="s">
        <v>9110</v>
      </c>
      <c r="C38" s="214"/>
      <c r="D38" s="214"/>
      <c r="E38" s="214"/>
      <c r="F38" s="214"/>
      <c r="G38" s="214"/>
      <c r="H38" s="214"/>
    </row>
    <row r="39" spans="1:8" ht="60" customHeight="1" x14ac:dyDescent="0.3">
      <c r="A39" t="s">
        <v>9111</v>
      </c>
      <c r="B39" s="214" t="s">
        <v>9112</v>
      </c>
      <c r="C39" s="214"/>
      <c r="D39" s="214"/>
      <c r="E39" s="214"/>
      <c r="F39" s="214"/>
      <c r="G39" s="214"/>
      <c r="H39" s="214"/>
    </row>
    <row r="40" spans="1:8" ht="60" customHeight="1" x14ac:dyDescent="0.3">
      <c r="A40" t="s">
        <v>9113</v>
      </c>
      <c r="B40" s="214" t="s">
        <v>9114</v>
      </c>
      <c r="C40" s="214"/>
      <c r="D40" s="214"/>
      <c r="E40" s="214"/>
      <c r="F40" s="214"/>
      <c r="G40" s="214"/>
      <c r="H40" s="214"/>
    </row>
    <row r="41" spans="1:8" ht="60" customHeight="1" x14ac:dyDescent="0.3">
      <c r="A41" t="s">
        <v>9115</v>
      </c>
      <c r="B41" s="214" t="s">
        <v>9116</v>
      </c>
      <c r="C41" s="214"/>
      <c r="D41" s="214"/>
      <c r="E41" s="214"/>
      <c r="F41" s="214"/>
      <c r="G41" s="214"/>
      <c r="H41" s="214"/>
    </row>
  </sheetData>
  <mergeCells count="6">
    <mergeCell ref="B41:H41"/>
    <mergeCell ref="B36:H36"/>
    <mergeCell ref="B37:H37"/>
    <mergeCell ref="B38:H38"/>
    <mergeCell ref="B39:H39"/>
    <mergeCell ref="B40:H40"/>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680"/>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1" width="14" customWidth="1"/>
    <col min="2" max="2" width="12" customWidth="1"/>
    <col min="3" max="3" width="9" customWidth="1"/>
    <col min="4" max="4" width="43" customWidth="1"/>
    <col min="5" max="6" width="26" customWidth="1"/>
    <col min="7" max="10" width="25" customWidth="1"/>
    <col min="11" max="11" width="46" customWidth="1"/>
  </cols>
  <sheetData>
    <row r="1" spans="1:11" ht="27" customHeight="1" x14ac:dyDescent="0.3">
      <c r="A1" s="177"/>
      <c r="B1" s="177"/>
      <c r="C1" s="177"/>
      <c r="D1" s="177"/>
      <c r="E1" s="177"/>
      <c r="F1" s="177"/>
      <c r="G1" s="177"/>
      <c r="H1" s="177"/>
      <c r="I1" s="177"/>
      <c r="J1" s="177"/>
      <c r="K1" s="177"/>
    </row>
    <row r="2" spans="1:11" ht="27" customHeight="1" x14ac:dyDescent="0.3">
      <c r="A2" s="178" t="s">
        <v>9117</v>
      </c>
      <c r="B2" s="177"/>
      <c r="C2" s="177"/>
      <c r="D2" s="177"/>
      <c r="E2" s="177"/>
      <c r="F2" s="177"/>
      <c r="G2" s="177"/>
      <c r="H2" s="177"/>
      <c r="I2" s="177"/>
      <c r="J2" s="177"/>
      <c r="K2" s="177"/>
    </row>
    <row r="3" spans="1:11" ht="27" customHeight="1" x14ac:dyDescent="0.3">
      <c r="A3" s="177"/>
      <c r="B3" s="177"/>
      <c r="C3" s="177"/>
      <c r="D3" s="177"/>
      <c r="E3" s="177"/>
      <c r="F3" s="177"/>
      <c r="G3" s="177"/>
      <c r="H3" s="177"/>
      <c r="I3" s="177"/>
      <c r="J3" s="177"/>
      <c r="K3" s="177"/>
    </row>
    <row r="4" spans="1:11" ht="27" customHeight="1" x14ac:dyDescent="0.3">
      <c r="A4" s="177"/>
      <c r="B4" s="177"/>
      <c r="C4" s="177"/>
      <c r="D4" s="177"/>
      <c r="E4" s="177"/>
      <c r="F4" s="177"/>
      <c r="G4" s="177"/>
      <c r="H4" s="177"/>
      <c r="I4" s="177"/>
      <c r="J4" s="177"/>
      <c r="K4" s="177"/>
    </row>
    <row r="5" spans="1:11" ht="40.049999999999997" customHeight="1" x14ac:dyDescent="0.3">
      <c r="A5" s="179" t="s">
        <v>1</v>
      </c>
      <c r="B5" s="179" t="s">
        <v>3</v>
      </c>
      <c r="C5" s="179" t="s">
        <v>9012</v>
      </c>
      <c r="D5" s="179" t="s">
        <v>908</v>
      </c>
      <c r="E5" s="179" t="s">
        <v>6040</v>
      </c>
      <c r="F5" s="179" t="s">
        <v>6041</v>
      </c>
      <c r="G5" s="179" t="s">
        <v>9118</v>
      </c>
      <c r="H5" s="179" t="s">
        <v>9119</v>
      </c>
      <c r="I5" s="179" t="s">
        <v>9120</v>
      </c>
      <c r="J5" s="179" t="s">
        <v>6044</v>
      </c>
      <c r="K5" s="179" t="s">
        <v>9121</v>
      </c>
    </row>
    <row r="6" spans="1:11" ht="27" customHeight="1" x14ac:dyDescent="0.3">
      <c r="A6" s="180" t="s">
        <v>18</v>
      </c>
      <c r="B6" s="180">
        <v>2021</v>
      </c>
      <c r="C6" s="180">
        <v>1</v>
      </c>
      <c r="D6" s="180" t="s">
        <v>9018</v>
      </c>
      <c r="E6" s="187">
        <f>KOHC!D36</f>
        <v>9848.7987139999987</v>
      </c>
      <c r="F6" s="187">
        <f>KOHC!D61</f>
        <v>7572.2439400000003</v>
      </c>
      <c r="G6" s="185">
        <f t="shared" ref="G6:G69" si="0">IF(OR(NOT(ISNUMBER(E6)),NOT(ISNUMBER(F6)),F6=0),"n/m",E6/F6)</f>
        <v>1.3006446691414961</v>
      </c>
      <c r="H6" s="185">
        <f t="shared" ref="H6:H69" si="1">IF(OR(NOT(ISNUMBER(E6)),NOT(ISNUMBER(F6))),"n/m",IF(OR((F6)&lt;=0,(E6)&lt;0),"n/m",(E6)/(F6)))</f>
        <v>1.3006446691414961</v>
      </c>
      <c r="I6" s="185">
        <v>1.3006446691414963</v>
      </c>
      <c r="J6" s="185">
        <f t="shared" ref="J6:J69" si="2">IF(AND(ISNUMBER(G6),ISNUMBER(I6)),G6-I6,IF(G6=I6,0,"Review"))</f>
        <v>-2.2204460492503131E-16</v>
      </c>
      <c r="K6" s="180" t="s">
        <v>9022</v>
      </c>
    </row>
    <row r="7" spans="1:11" ht="27" customHeight="1" x14ac:dyDescent="0.3">
      <c r="A7" s="177" t="s">
        <v>18</v>
      </c>
      <c r="B7" s="177">
        <v>2022</v>
      </c>
      <c r="C7" s="177">
        <v>1</v>
      </c>
      <c r="D7" s="177" t="s">
        <v>9018</v>
      </c>
      <c r="E7" s="188">
        <f>KOHC!E36</f>
        <v>17775.831446999997</v>
      </c>
      <c r="F7" s="188">
        <f>KOHC!E61</f>
        <v>9487.9906790000005</v>
      </c>
      <c r="G7" s="186">
        <f t="shared" si="0"/>
        <v>1.8735085276109804</v>
      </c>
      <c r="H7" s="186">
        <f t="shared" si="1"/>
        <v>1.8735085276109804</v>
      </c>
      <c r="I7" s="186">
        <v>1.8735085276109809</v>
      </c>
      <c r="J7" s="186">
        <f t="shared" si="2"/>
        <v>-4.4408920985006262E-16</v>
      </c>
      <c r="K7" s="177" t="s">
        <v>9022</v>
      </c>
    </row>
    <row r="8" spans="1:11" ht="27" customHeight="1" x14ac:dyDescent="0.3">
      <c r="A8" s="180" t="s">
        <v>18</v>
      </c>
      <c r="B8" s="180">
        <v>2023</v>
      </c>
      <c r="C8" s="180">
        <v>1</v>
      </c>
      <c r="D8" s="180" t="s">
        <v>9018</v>
      </c>
      <c r="E8" s="187">
        <f>KOHC!F36</f>
        <v>22913.376649000002</v>
      </c>
      <c r="F8" s="187">
        <f>KOHC!F61</f>
        <v>9912.4714110000004</v>
      </c>
      <c r="G8" s="185">
        <f t="shared" si="0"/>
        <v>2.311570515459215</v>
      </c>
      <c r="H8" s="185">
        <f t="shared" si="1"/>
        <v>2.311570515459215</v>
      </c>
      <c r="I8" s="185">
        <v>2.311570515459215</v>
      </c>
      <c r="J8" s="185">
        <f t="shared" si="2"/>
        <v>0</v>
      </c>
      <c r="K8" s="180" t="s">
        <v>9022</v>
      </c>
    </row>
    <row r="9" spans="1:11" ht="27" customHeight="1" x14ac:dyDescent="0.3">
      <c r="A9" s="177" t="s">
        <v>18</v>
      </c>
      <c r="B9" s="177">
        <v>2024</v>
      </c>
      <c r="C9" s="177">
        <v>1</v>
      </c>
      <c r="D9" s="177" t="s">
        <v>9018</v>
      </c>
      <c r="E9" s="188">
        <f>KOHC!G36</f>
        <v>32212.396773</v>
      </c>
      <c r="F9" s="188">
        <f>KOHC!G61</f>
        <v>11095.636231</v>
      </c>
      <c r="G9" s="186">
        <f t="shared" si="0"/>
        <v>2.9031590530160019</v>
      </c>
      <c r="H9" s="186">
        <f t="shared" si="1"/>
        <v>2.9031590530160019</v>
      </c>
      <c r="I9" s="186">
        <v>2.9031590530160019</v>
      </c>
      <c r="J9" s="186">
        <f t="shared" si="2"/>
        <v>0</v>
      </c>
      <c r="K9" s="177" t="s">
        <v>9022</v>
      </c>
    </row>
    <row r="10" spans="1:11" ht="27" customHeight="1" x14ac:dyDescent="0.3">
      <c r="A10" s="180" t="s">
        <v>18</v>
      </c>
      <c r="B10" s="180">
        <v>2025</v>
      </c>
      <c r="C10" s="180">
        <v>1</v>
      </c>
      <c r="D10" s="180" t="s">
        <v>9018</v>
      </c>
      <c r="E10" s="187">
        <f>KOHC!H36</f>
        <v>38614.792494000001</v>
      </c>
      <c r="F10" s="187">
        <f>KOHC!H61</f>
        <v>11661.701110999998</v>
      </c>
      <c r="G10" s="185">
        <f t="shared" si="0"/>
        <v>3.311248687172772</v>
      </c>
      <c r="H10" s="185">
        <f t="shared" si="1"/>
        <v>3.311248687172772</v>
      </c>
      <c r="I10" s="185">
        <v>3.311248687172772</v>
      </c>
      <c r="J10" s="185">
        <f t="shared" si="2"/>
        <v>0</v>
      </c>
      <c r="K10" s="180" t="s">
        <v>9022</v>
      </c>
    </row>
    <row r="11" spans="1:11" ht="27" customHeight="1" x14ac:dyDescent="0.3">
      <c r="A11" s="177" t="s">
        <v>18</v>
      </c>
      <c r="B11" s="177">
        <v>2021</v>
      </c>
      <c r="C11" s="177">
        <v>2</v>
      </c>
      <c r="D11" s="177" t="s">
        <v>9024</v>
      </c>
      <c r="E11" s="188">
        <f>KOHC!D36-KOHC!D65</f>
        <v>5665.2533469999989</v>
      </c>
      <c r="F11" s="188">
        <f>KOHC!D61</f>
        <v>7572.2439400000003</v>
      </c>
      <c r="G11" s="186">
        <f t="shared" si="0"/>
        <v>0.74816043855554903</v>
      </c>
      <c r="H11" s="186">
        <f t="shared" si="1"/>
        <v>0.74816043855554903</v>
      </c>
      <c r="I11" s="186">
        <v>0.74816043855554926</v>
      </c>
      <c r="J11" s="186">
        <f t="shared" si="2"/>
        <v>-2.2204460492503131E-16</v>
      </c>
      <c r="K11" s="177" t="s">
        <v>9026</v>
      </c>
    </row>
    <row r="12" spans="1:11" ht="27" customHeight="1" x14ac:dyDescent="0.3">
      <c r="A12" s="180" t="s">
        <v>18</v>
      </c>
      <c r="B12" s="180">
        <v>2022</v>
      </c>
      <c r="C12" s="180">
        <v>2</v>
      </c>
      <c r="D12" s="180" t="s">
        <v>9024</v>
      </c>
      <c r="E12" s="187">
        <f>KOHC!E36-KOHC!E65</f>
        <v>12104.845028999996</v>
      </c>
      <c r="F12" s="187">
        <f>KOHC!E61</f>
        <v>9487.9906790000005</v>
      </c>
      <c r="G12" s="185">
        <f t="shared" si="0"/>
        <v>1.2758070110452304</v>
      </c>
      <c r="H12" s="185">
        <f t="shared" si="1"/>
        <v>1.2758070110452304</v>
      </c>
      <c r="I12" s="185">
        <v>1.2758070110452309</v>
      </c>
      <c r="J12" s="185">
        <f t="shared" si="2"/>
        <v>-4.4408920985006262E-16</v>
      </c>
      <c r="K12" s="180" t="s">
        <v>9026</v>
      </c>
    </row>
    <row r="13" spans="1:11" ht="27" customHeight="1" x14ac:dyDescent="0.3">
      <c r="A13" s="177" t="s">
        <v>18</v>
      </c>
      <c r="B13" s="177">
        <v>2023</v>
      </c>
      <c r="C13" s="177">
        <v>2</v>
      </c>
      <c r="D13" s="177" t="s">
        <v>9024</v>
      </c>
      <c r="E13" s="188">
        <f>KOHC!F36-KOHC!F65</f>
        <v>15257.385331000001</v>
      </c>
      <c r="F13" s="188">
        <f>KOHC!F61</f>
        <v>9912.4714110000004</v>
      </c>
      <c r="G13" s="186">
        <f t="shared" si="0"/>
        <v>1.5392110300634694</v>
      </c>
      <c r="H13" s="186">
        <f t="shared" si="1"/>
        <v>1.5392110300634694</v>
      </c>
      <c r="I13" s="186">
        <v>1.5392110300634694</v>
      </c>
      <c r="J13" s="186">
        <f t="shared" si="2"/>
        <v>0</v>
      </c>
      <c r="K13" s="177" t="s">
        <v>9026</v>
      </c>
    </row>
    <row r="14" spans="1:11" ht="27" customHeight="1" x14ac:dyDescent="0.3">
      <c r="A14" s="180" t="s">
        <v>18</v>
      </c>
      <c r="B14" s="180">
        <v>2024</v>
      </c>
      <c r="C14" s="180">
        <v>2</v>
      </c>
      <c r="D14" s="180" t="s">
        <v>9024</v>
      </c>
      <c r="E14" s="187">
        <f>KOHC!G36-KOHC!G65</f>
        <v>24632.970847000001</v>
      </c>
      <c r="F14" s="187">
        <f>KOHC!G61</f>
        <v>11095.636231</v>
      </c>
      <c r="G14" s="185">
        <f t="shared" si="0"/>
        <v>2.2200593399212352</v>
      </c>
      <c r="H14" s="185">
        <f t="shared" si="1"/>
        <v>2.2200593399212352</v>
      </c>
      <c r="I14" s="185">
        <v>2.2200593399212352</v>
      </c>
      <c r="J14" s="185">
        <f t="shared" si="2"/>
        <v>0</v>
      </c>
      <c r="K14" s="180" t="s">
        <v>9026</v>
      </c>
    </row>
    <row r="15" spans="1:11" ht="27" customHeight="1" x14ac:dyDescent="0.3">
      <c r="A15" s="177" t="s">
        <v>18</v>
      </c>
      <c r="B15" s="177">
        <v>2025</v>
      </c>
      <c r="C15" s="177">
        <v>2</v>
      </c>
      <c r="D15" s="177" t="s">
        <v>9024</v>
      </c>
      <c r="E15" s="188">
        <f>KOHC!H36-KOHC!H65</f>
        <v>31109.924467000001</v>
      </c>
      <c r="F15" s="188">
        <f>KOHC!H61</f>
        <v>11661.701110999998</v>
      </c>
      <c r="G15" s="186">
        <f t="shared" si="0"/>
        <v>2.6677003784340947</v>
      </c>
      <c r="H15" s="186">
        <f t="shared" si="1"/>
        <v>2.6677003784340947</v>
      </c>
      <c r="I15" s="186">
        <v>2.6677003784340947</v>
      </c>
      <c r="J15" s="186">
        <f t="shared" si="2"/>
        <v>0</v>
      </c>
      <c r="K15" s="177" t="s">
        <v>9026</v>
      </c>
    </row>
    <row r="16" spans="1:11" ht="27" customHeight="1" x14ac:dyDescent="0.3">
      <c r="A16" s="180" t="s">
        <v>18</v>
      </c>
      <c r="B16" s="180">
        <v>2021</v>
      </c>
      <c r="C16" s="180">
        <v>3</v>
      </c>
      <c r="D16" s="180" t="s">
        <v>9027</v>
      </c>
      <c r="E16" s="187">
        <f>'EV Inputs'!J6</f>
        <v>1197.729351</v>
      </c>
      <c r="F16" s="187">
        <f>KOHC!D61</f>
        <v>7572.2439400000003</v>
      </c>
      <c r="G16" s="185">
        <f t="shared" si="0"/>
        <v>0.15817363525137568</v>
      </c>
      <c r="H16" s="185">
        <f t="shared" si="1"/>
        <v>0.15817363525137568</v>
      </c>
      <c r="I16" s="185">
        <v>0.15817363525137568</v>
      </c>
      <c r="J16" s="185">
        <f t="shared" si="2"/>
        <v>0</v>
      </c>
      <c r="K16" s="180" t="s">
        <v>9030</v>
      </c>
    </row>
    <row r="17" spans="1:11" ht="27" customHeight="1" x14ac:dyDescent="0.3">
      <c r="A17" s="177" t="s">
        <v>18</v>
      </c>
      <c r="B17" s="177">
        <v>2022</v>
      </c>
      <c r="C17" s="177">
        <v>3</v>
      </c>
      <c r="D17" s="177" t="s">
        <v>9027</v>
      </c>
      <c r="E17" s="188">
        <f>'EV Inputs'!J7</f>
        <v>480.76563199999998</v>
      </c>
      <c r="F17" s="188">
        <f>KOHC!E61</f>
        <v>9487.9906790000005</v>
      </c>
      <c r="G17" s="186">
        <f t="shared" si="0"/>
        <v>5.0670963775722312E-2</v>
      </c>
      <c r="H17" s="186">
        <f t="shared" si="1"/>
        <v>5.0670963775722312E-2</v>
      </c>
      <c r="I17" s="186">
        <v>5.0670963775722312E-2</v>
      </c>
      <c r="J17" s="186">
        <f t="shared" si="2"/>
        <v>0</v>
      </c>
      <c r="K17" s="177" t="s">
        <v>9030</v>
      </c>
    </row>
    <row r="18" spans="1:11" ht="27" customHeight="1" x14ac:dyDescent="0.3">
      <c r="A18" s="180" t="s">
        <v>18</v>
      </c>
      <c r="B18" s="180">
        <v>2023</v>
      </c>
      <c r="C18" s="180">
        <v>3</v>
      </c>
      <c r="D18" s="180" t="s">
        <v>9027</v>
      </c>
      <c r="E18" s="187">
        <f>'EV Inputs'!J8</f>
        <v>933.537193</v>
      </c>
      <c r="F18" s="187">
        <f>KOHC!F61</f>
        <v>9912.4714110000004</v>
      </c>
      <c r="G18" s="185">
        <f t="shared" si="0"/>
        <v>9.4178046452072631E-2</v>
      </c>
      <c r="H18" s="185">
        <f t="shared" si="1"/>
        <v>9.4178046452072631E-2</v>
      </c>
      <c r="I18" s="185">
        <v>9.4178046452072631E-2</v>
      </c>
      <c r="J18" s="185">
        <f t="shared" si="2"/>
        <v>0</v>
      </c>
      <c r="K18" s="180" t="s">
        <v>9030</v>
      </c>
    </row>
    <row r="19" spans="1:11" ht="27" customHeight="1" x14ac:dyDescent="0.3">
      <c r="A19" s="177" t="s">
        <v>18</v>
      </c>
      <c r="B19" s="177">
        <v>2024</v>
      </c>
      <c r="C19" s="177">
        <v>3</v>
      </c>
      <c r="D19" s="177" t="s">
        <v>9027</v>
      </c>
      <c r="E19" s="188">
        <f>'EV Inputs'!J9</f>
        <v>1102.6491719999999</v>
      </c>
      <c r="F19" s="188">
        <f>KOHC!G61</f>
        <v>11095.636231</v>
      </c>
      <c r="G19" s="186">
        <f t="shared" si="0"/>
        <v>9.9376831489781367E-2</v>
      </c>
      <c r="H19" s="186">
        <f t="shared" si="1"/>
        <v>9.9376831489781367E-2</v>
      </c>
      <c r="I19" s="186">
        <v>9.9376831489781367E-2</v>
      </c>
      <c r="J19" s="186">
        <f t="shared" si="2"/>
        <v>0</v>
      </c>
      <c r="K19" s="177" t="s">
        <v>9030</v>
      </c>
    </row>
    <row r="20" spans="1:11" ht="27" customHeight="1" x14ac:dyDescent="0.3">
      <c r="A20" s="180" t="s">
        <v>18</v>
      </c>
      <c r="B20" s="180">
        <v>2025</v>
      </c>
      <c r="C20" s="180">
        <v>3</v>
      </c>
      <c r="D20" s="180" t="s">
        <v>9027</v>
      </c>
      <c r="E20" s="187">
        <f>'EV Inputs'!J10</f>
        <v>1450.7027230000001</v>
      </c>
      <c r="F20" s="187">
        <f>KOHC!H61</f>
        <v>11661.701110999998</v>
      </c>
      <c r="G20" s="185">
        <f t="shared" si="0"/>
        <v>0.1243988942257843</v>
      </c>
      <c r="H20" s="185">
        <f t="shared" si="1"/>
        <v>0.1243988942257843</v>
      </c>
      <c r="I20" s="185">
        <v>0.1243988942257843</v>
      </c>
      <c r="J20" s="185">
        <f t="shared" si="2"/>
        <v>0</v>
      </c>
      <c r="K20" s="180" t="s">
        <v>9030</v>
      </c>
    </row>
    <row r="21" spans="1:11" ht="27" customHeight="1" x14ac:dyDescent="0.3">
      <c r="A21" s="177" t="s">
        <v>18</v>
      </c>
      <c r="B21" s="177">
        <v>2021</v>
      </c>
      <c r="C21" s="177">
        <v>4</v>
      </c>
      <c r="D21" s="177" t="s">
        <v>9032</v>
      </c>
      <c r="E21" s="188">
        <f>KOHC!D36-KOHC!D61</f>
        <v>2276.5547739999984</v>
      </c>
      <c r="F21" s="188">
        <f>1</f>
        <v>1</v>
      </c>
      <c r="G21" s="186">
        <f t="shared" si="0"/>
        <v>2276.5547739999984</v>
      </c>
      <c r="H21" s="186">
        <f t="shared" si="1"/>
        <v>2276.5547739999984</v>
      </c>
      <c r="I21" s="186">
        <v>2276.5547740000002</v>
      </c>
      <c r="J21" s="186">
        <f t="shared" si="2"/>
        <v>-1.8189894035458565E-12</v>
      </c>
      <c r="K21" s="177" t="s">
        <v>9035</v>
      </c>
    </row>
    <row r="22" spans="1:11" ht="27" customHeight="1" x14ac:dyDescent="0.3">
      <c r="A22" s="180" t="s">
        <v>18</v>
      </c>
      <c r="B22" s="180">
        <v>2022</v>
      </c>
      <c r="C22" s="180">
        <v>4</v>
      </c>
      <c r="D22" s="180" t="s">
        <v>9032</v>
      </c>
      <c r="E22" s="187">
        <f>KOHC!E36-KOHC!E61</f>
        <v>8287.8407679999964</v>
      </c>
      <c r="F22" s="187">
        <f>1</f>
        <v>1</v>
      </c>
      <c r="G22" s="185">
        <f t="shared" si="0"/>
        <v>8287.8407679999964</v>
      </c>
      <c r="H22" s="185">
        <f t="shared" si="1"/>
        <v>8287.8407679999964</v>
      </c>
      <c r="I22" s="185">
        <v>8287.840768</v>
      </c>
      <c r="J22" s="185">
        <f t="shared" si="2"/>
        <v>-3.637978807091713E-12</v>
      </c>
      <c r="K22" s="180" t="s">
        <v>9035</v>
      </c>
    </row>
    <row r="23" spans="1:11" ht="27" customHeight="1" x14ac:dyDescent="0.3">
      <c r="A23" s="177" t="s">
        <v>18</v>
      </c>
      <c r="B23" s="177">
        <v>2023</v>
      </c>
      <c r="C23" s="177">
        <v>4</v>
      </c>
      <c r="D23" s="177" t="s">
        <v>9032</v>
      </c>
      <c r="E23" s="188">
        <f>KOHC!F36-KOHC!F61</f>
        <v>13000.905238000001</v>
      </c>
      <c r="F23" s="188">
        <f>1</f>
        <v>1</v>
      </c>
      <c r="G23" s="186">
        <f t="shared" si="0"/>
        <v>13000.905238000001</v>
      </c>
      <c r="H23" s="186">
        <f t="shared" si="1"/>
        <v>13000.905238000001</v>
      </c>
      <c r="I23" s="186">
        <v>13000.905238000001</v>
      </c>
      <c r="J23" s="186">
        <f t="shared" si="2"/>
        <v>0</v>
      </c>
      <c r="K23" s="177" t="s">
        <v>9035</v>
      </c>
    </row>
    <row r="24" spans="1:11" ht="27" customHeight="1" x14ac:dyDescent="0.3">
      <c r="A24" s="180" t="s">
        <v>18</v>
      </c>
      <c r="B24" s="180">
        <v>2024</v>
      </c>
      <c r="C24" s="180">
        <v>4</v>
      </c>
      <c r="D24" s="180" t="s">
        <v>9032</v>
      </c>
      <c r="E24" s="187">
        <f>KOHC!G36-KOHC!G61</f>
        <v>21116.760542</v>
      </c>
      <c r="F24" s="187">
        <f>1</f>
        <v>1</v>
      </c>
      <c r="G24" s="185">
        <f t="shared" si="0"/>
        <v>21116.760542</v>
      </c>
      <c r="H24" s="185">
        <f t="shared" si="1"/>
        <v>21116.760542</v>
      </c>
      <c r="I24" s="185">
        <v>21116.760542</v>
      </c>
      <c r="J24" s="185">
        <f t="shared" si="2"/>
        <v>0</v>
      </c>
      <c r="K24" s="180" t="s">
        <v>9035</v>
      </c>
    </row>
    <row r="25" spans="1:11" ht="27" customHeight="1" x14ac:dyDescent="0.3">
      <c r="A25" s="177" t="s">
        <v>18</v>
      </c>
      <c r="B25" s="177">
        <v>2025</v>
      </c>
      <c r="C25" s="177">
        <v>4</v>
      </c>
      <c r="D25" s="177" t="s">
        <v>9032</v>
      </c>
      <c r="E25" s="188">
        <f>KOHC!H36-KOHC!H61</f>
        <v>26953.091383000003</v>
      </c>
      <c r="F25" s="188">
        <f>1</f>
        <v>1</v>
      </c>
      <c r="G25" s="186">
        <f t="shared" si="0"/>
        <v>26953.091383000003</v>
      </c>
      <c r="H25" s="186">
        <f t="shared" si="1"/>
        <v>26953.091383000003</v>
      </c>
      <c r="I25" s="186">
        <v>26953.091383000003</v>
      </c>
      <c r="J25" s="186">
        <f t="shared" si="2"/>
        <v>0</v>
      </c>
      <c r="K25" s="177" t="s">
        <v>9035</v>
      </c>
    </row>
    <row r="26" spans="1:11" ht="27" customHeight="1" x14ac:dyDescent="0.3">
      <c r="A26" s="180" t="s">
        <v>18</v>
      </c>
      <c r="B26" s="180">
        <v>2021</v>
      </c>
      <c r="C26" s="180">
        <v>5</v>
      </c>
      <c r="D26" s="180" t="s">
        <v>9036</v>
      </c>
      <c r="E26" s="187">
        <f>-KOHC!D85</f>
        <v>18092.026933000001</v>
      </c>
      <c r="F26" s="187">
        <f>AVERAGE(KOHC!C65,KOHC!D65)</f>
        <v>3724.8630134999999</v>
      </c>
      <c r="G26" s="185">
        <f t="shared" si="0"/>
        <v>4.8570986013255171</v>
      </c>
      <c r="H26" s="185">
        <f t="shared" si="1"/>
        <v>4.8570986013255171</v>
      </c>
      <c r="I26" s="185">
        <v>4.8570986013255171</v>
      </c>
      <c r="J26" s="185">
        <f t="shared" si="2"/>
        <v>0</v>
      </c>
      <c r="K26" s="180" t="s">
        <v>9038</v>
      </c>
    </row>
    <row r="27" spans="1:11" ht="27" customHeight="1" x14ac:dyDescent="0.3">
      <c r="A27" s="177" t="s">
        <v>18</v>
      </c>
      <c r="B27" s="177">
        <v>2022</v>
      </c>
      <c r="C27" s="177">
        <v>5</v>
      </c>
      <c r="D27" s="177" t="s">
        <v>9036</v>
      </c>
      <c r="E27" s="188">
        <f>-KOHC!E85</f>
        <v>23065.180670000002</v>
      </c>
      <c r="F27" s="188">
        <f>AVERAGE(KOHC!D65,KOHC!E65)</f>
        <v>4927.2658924999996</v>
      </c>
      <c r="G27" s="186">
        <f t="shared" si="0"/>
        <v>4.6811317215716919</v>
      </c>
      <c r="H27" s="186">
        <f t="shared" si="1"/>
        <v>4.6811317215716919</v>
      </c>
      <c r="I27" s="186">
        <v>4.6811317215716919</v>
      </c>
      <c r="J27" s="186">
        <f t="shared" si="2"/>
        <v>0</v>
      </c>
      <c r="K27" s="177" t="s">
        <v>9038</v>
      </c>
    </row>
    <row r="28" spans="1:11" ht="27" customHeight="1" x14ac:dyDescent="0.3">
      <c r="A28" s="180" t="s">
        <v>18</v>
      </c>
      <c r="B28" s="180">
        <v>2023</v>
      </c>
      <c r="C28" s="180">
        <v>5</v>
      </c>
      <c r="D28" s="180" t="s">
        <v>9036</v>
      </c>
      <c r="E28" s="187">
        <f>-KOHC!F85</f>
        <v>28488.941331000002</v>
      </c>
      <c r="F28" s="187">
        <f>AVERAGE(KOHC!E65,KOHC!F65)</f>
        <v>6663.4888680000004</v>
      </c>
      <c r="G28" s="185">
        <f t="shared" si="0"/>
        <v>4.2753791437713859</v>
      </c>
      <c r="H28" s="185">
        <f t="shared" si="1"/>
        <v>4.2753791437713859</v>
      </c>
      <c r="I28" s="185">
        <v>4.2753791437713859</v>
      </c>
      <c r="J28" s="185">
        <f t="shared" si="2"/>
        <v>0</v>
      </c>
      <c r="K28" s="180" t="s">
        <v>9038</v>
      </c>
    </row>
    <row r="29" spans="1:11" ht="27" customHeight="1" x14ac:dyDescent="0.3">
      <c r="A29" s="177" t="s">
        <v>18</v>
      </c>
      <c r="B29" s="177">
        <v>2024</v>
      </c>
      <c r="C29" s="177">
        <v>5</v>
      </c>
      <c r="D29" s="177" t="s">
        <v>9036</v>
      </c>
      <c r="E29" s="188">
        <f>-KOHC!G85</f>
        <v>27391.276476999999</v>
      </c>
      <c r="F29" s="188">
        <f>AVERAGE(KOHC!F65,KOHC!G65)</f>
        <v>7617.7086220000001</v>
      </c>
      <c r="G29" s="186">
        <f t="shared" si="0"/>
        <v>3.5957369645110586</v>
      </c>
      <c r="H29" s="186">
        <f t="shared" si="1"/>
        <v>3.5957369645110586</v>
      </c>
      <c r="I29" s="186">
        <v>3.5957369645110586</v>
      </c>
      <c r="J29" s="186">
        <f t="shared" si="2"/>
        <v>0</v>
      </c>
      <c r="K29" s="177" t="s">
        <v>9038</v>
      </c>
    </row>
    <row r="30" spans="1:11" ht="27" customHeight="1" x14ac:dyDescent="0.3">
      <c r="A30" s="180" t="s">
        <v>18</v>
      </c>
      <c r="B30" s="180">
        <v>2025</v>
      </c>
      <c r="C30" s="180">
        <v>5</v>
      </c>
      <c r="D30" s="180" t="s">
        <v>9036</v>
      </c>
      <c r="E30" s="187">
        <f>-KOHC!H85</f>
        <v>22814.094271000002</v>
      </c>
      <c r="F30" s="187">
        <f>AVERAGE(KOHC!G65,KOHC!H65)</f>
        <v>7542.1469765000002</v>
      </c>
      <c r="G30" s="185">
        <f t="shared" si="0"/>
        <v>3.024880626442934</v>
      </c>
      <c r="H30" s="185">
        <f t="shared" si="1"/>
        <v>3.024880626442934</v>
      </c>
      <c r="I30" s="185">
        <v>3.024880626442934</v>
      </c>
      <c r="J30" s="185">
        <f t="shared" si="2"/>
        <v>0</v>
      </c>
      <c r="K30" s="180" t="s">
        <v>9038</v>
      </c>
    </row>
    <row r="31" spans="1:11" ht="27" customHeight="1" x14ac:dyDescent="0.3">
      <c r="A31" s="177" t="s">
        <v>18</v>
      </c>
      <c r="B31" s="177">
        <v>2021</v>
      </c>
      <c r="C31" s="177">
        <v>6</v>
      </c>
      <c r="D31" s="177" t="s">
        <v>9039</v>
      </c>
      <c r="E31" s="188">
        <f>KOHC!D84</f>
        <v>24057.375992000001</v>
      </c>
      <c r="F31" s="188">
        <f>AVERAGE(KOHC!C32,KOHC!D32)</f>
        <v>738.94171449999999</v>
      </c>
      <c r="G31" s="186">
        <f t="shared" si="0"/>
        <v>32.556527152183129</v>
      </c>
      <c r="H31" s="186">
        <f t="shared" si="1"/>
        <v>32.556527152183129</v>
      </c>
      <c r="I31" s="186">
        <v>32.556527152183129</v>
      </c>
      <c r="J31" s="186">
        <f t="shared" si="2"/>
        <v>0</v>
      </c>
      <c r="K31" s="177" t="s">
        <v>9041</v>
      </c>
    </row>
    <row r="32" spans="1:11" ht="27" customHeight="1" x14ac:dyDescent="0.3">
      <c r="A32" s="180" t="s">
        <v>18</v>
      </c>
      <c r="B32" s="180">
        <v>2022</v>
      </c>
      <c r="C32" s="180">
        <v>6</v>
      </c>
      <c r="D32" s="180" t="s">
        <v>9039</v>
      </c>
      <c r="E32" s="187">
        <f>KOHC!E84</f>
        <v>32876.949179000003</v>
      </c>
      <c r="F32" s="187">
        <f>AVERAGE(KOHC!D32,KOHC!E32)</f>
        <v>949.80384600000002</v>
      </c>
      <c r="G32" s="185">
        <f t="shared" si="0"/>
        <v>34.614462046513971</v>
      </c>
      <c r="H32" s="185">
        <f t="shared" si="1"/>
        <v>34.614462046513971</v>
      </c>
      <c r="I32" s="185">
        <v>34.614462046513971</v>
      </c>
      <c r="J32" s="185">
        <f t="shared" si="2"/>
        <v>0</v>
      </c>
      <c r="K32" s="180" t="s">
        <v>9041</v>
      </c>
    </row>
    <row r="33" spans="1:11" ht="27" customHeight="1" x14ac:dyDescent="0.3">
      <c r="A33" s="177" t="s">
        <v>18</v>
      </c>
      <c r="B33" s="177">
        <v>2023</v>
      </c>
      <c r="C33" s="177">
        <v>6</v>
      </c>
      <c r="D33" s="177" t="s">
        <v>9039</v>
      </c>
      <c r="E33" s="188">
        <f>KOHC!F84</f>
        <v>38921.635349999997</v>
      </c>
      <c r="F33" s="188">
        <f>AVERAGE(KOHC!E32,KOHC!F32)</f>
        <v>1060.7964219999999</v>
      </c>
      <c r="G33" s="186">
        <f t="shared" si="0"/>
        <v>36.690956476472735</v>
      </c>
      <c r="H33" s="186">
        <f t="shared" si="1"/>
        <v>36.690956476472735</v>
      </c>
      <c r="I33" s="186">
        <v>36.690956476472735</v>
      </c>
      <c r="J33" s="186">
        <f t="shared" si="2"/>
        <v>0</v>
      </c>
      <c r="K33" s="177" t="s">
        <v>9041</v>
      </c>
    </row>
    <row r="34" spans="1:11" ht="27" customHeight="1" x14ac:dyDescent="0.3">
      <c r="A34" s="180" t="s">
        <v>18</v>
      </c>
      <c r="B34" s="180">
        <v>2024</v>
      </c>
      <c r="C34" s="180">
        <v>6</v>
      </c>
      <c r="D34" s="180" t="s">
        <v>9039</v>
      </c>
      <c r="E34" s="187">
        <f>KOHC!G84</f>
        <v>38647.767972000001</v>
      </c>
      <c r="F34" s="187">
        <f>AVERAGE(KOHC!F32,KOHC!G32)</f>
        <v>1657.9006385</v>
      </c>
      <c r="G34" s="185">
        <f t="shared" si="0"/>
        <v>23.311269128267483</v>
      </c>
      <c r="H34" s="185">
        <f t="shared" si="1"/>
        <v>23.311269128267483</v>
      </c>
      <c r="I34" s="185">
        <v>23.311269128267483</v>
      </c>
      <c r="J34" s="185">
        <f t="shared" si="2"/>
        <v>0</v>
      </c>
      <c r="K34" s="180" t="s">
        <v>9041</v>
      </c>
    </row>
    <row r="35" spans="1:11" ht="27" customHeight="1" x14ac:dyDescent="0.3">
      <c r="A35" s="177" t="s">
        <v>18</v>
      </c>
      <c r="B35" s="177">
        <v>2025</v>
      </c>
      <c r="C35" s="177">
        <v>6</v>
      </c>
      <c r="D35" s="177" t="s">
        <v>9039</v>
      </c>
      <c r="E35" s="188">
        <f>KOHC!H84</f>
        <v>37535.700371999999</v>
      </c>
      <c r="F35" s="188">
        <f>AVERAGE(KOHC!G32,KOHC!H32)</f>
        <v>1901.2328670000002</v>
      </c>
      <c r="G35" s="186">
        <f t="shared" si="0"/>
        <v>19.742821104933064</v>
      </c>
      <c r="H35" s="186">
        <f t="shared" si="1"/>
        <v>19.742821104933064</v>
      </c>
      <c r="I35" s="186">
        <v>19.742821104933064</v>
      </c>
      <c r="J35" s="186">
        <f t="shared" si="2"/>
        <v>0</v>
      </c>
      <c r="K35" s="177" t="s">
        <v>9041</v>
      </c>
    </row>
    <row r="36" spans="1:11" ht="27" customHeight="1" x14ac:dyDescent="0.3">
      <c r="A36" s="180" t="s">
        <v>18</v>
      </c>
      <c r="B36" s="180">
        <v>2021</v>
      </c>
      <c r="C36" s="180">
        <v>7</v>
      </c>
      <c r="D36" s="180" t="s">
        <v>9042</v>
      </c>
      <c r="E36" s="187">
        <f>365*AVERAGE(KOHC!C65,KOHC!D65)</f>
        <v>1359574.9999275</v>
      </c>
      <c r="F36" s="187">
        <f>-KOHC!D85</f>
        <v>18092.026933000001</v>
      </c>
      <c r="G36" s="185">
        <f t="shared" si="0"/>
        <v>75.147743531578783</v>
      </c>
      <c r="H36" s="185">
        <f t="shared" si="1"/>
        <v>75.147743531578783</v>
      </c>
      <c r="I36" s="185">
        <v>75.147743531578783</v>
      </c>
      <c r="J36" s="185">
        <f t="shared" si="2"/>
        <v>0</v>
      </c>
      <c r="K36" s="180" t="s">
        <v>9044</v>
      </c>
    </row>
    <row r="37" spans="1:11" ht="27" customHeight="1" x14ac:dyDescent="0.3">
      <c r="A37" s="177" t="s">
        <v>18</v>
      </c>
      <c r="B37" s="177">
        <v>2022</v>
      </c>
      <c r="C37" s="177">
        <v>7</v>
      </c>
      <c r="D37" s="177" t="s">
        <v>9042</v>
      </c>
      <c r="E37" s="188">
        <f>365*AVERAGE(KOHC!D65,KOHC!E65)</f>
        <v>1798452.0507624999</v>
      </c>
      <c r="F37" s="188">
        <f>-KOHC!E85</f>
        <v>23065.180670000002</v>
      </c>
      <c r="G37" s="186">
        <f t="shared" si="0"/>
        <v>77.972597591731756</v>
      </c>
      <c r="H37" s="186">
        <f t="shared" si="1"/>
        <v>77.972597591731756</v>
      </c>
      <c r="I37" s="186">
        <v>77.972597591731756</v>
      </c>
      <c r="J37" s="186">
        <f t="shared" si="2"/>
        <v>0</v>
      </c>
      <c r="K37" s="177" t="s">
        <v>9044</v>
      </c>
    </row>
    <row r="38" spans="1:11" ht="27" customHeight="1" x14ac:dyDescent="0.3">
      <c r="A38" s="180" t="s">
        <v>18</v>
      </c>
      <c r="B38" s="180">
        <v>2023</v>
      </c>
      <c r="C38" s="180">
        <v>7</v>
      </c>
      <c r="D38" s="180" t="s">
        <v>9042</v>
      </c>
      <c r="E38" s="187">
        <f>365*AVERAGE(KOHC!E65,KOHC!F65)</f>
        <v>2432173.4368199999</v>
      </c>
      <c r="F38" s="187">
        <f>-KOHC!F85</f>
        <v>28488.941331000002</v>
      </c>
      <c r="G38" s="185">
        <f t="shared" si="0"/>
        <v>85.372545387407953</v>
      </c>
      <c r="H38" s="185">
        <f t="shared" si="1"/>
        <v>85.372545387407953</v>
      </c>
      <c r="I38" s="185">
        <v>85.372545387407953</v>
      </c>
      <c r="J38" s="185">
        <f t="shared" si="2"/>
        <v>0</v>
      </c>
      <c r="K38" s="180" t="s">
        <v>9044</v>
      </c>
    </row>
    <row r="39" spans="1:11" ht="27" customHeight="1" x14ac:dyDescent="0.3">
      <c r="A39" s="177" t="s">
        <v>18</v>
      </c>
      <c r="B39" s="177">
        <v>2024</v>
      </c>
      <c r="C39" s="177">
        <v>7</v>
      </c>
      <c r="D39" s="177" t="s">
        <v>9042</v>
      </c>
      <c r="E39" s="188">
        <f>365*AVERAGE(KOHC!F65,KOHC!G65)</f>
        <v>2780463.6470300001</v>
      </c>
      <c r="F39" s="188">
        <f>-KOHC!G85</f>
        <v>27391.276476999999</v>
      </c>
      <c r="G39" s="186">
        <f t="shared" si="0"/>
        <v>101.50909357454404</v>
      </c>
      <c r="H39" s="186">
        <f t="shared" si="1"/>
        <v>101.50909357454404</v>
      </c>
      <c r="I39" s="186">
        <v>101.50909357454404</v>
      </c>
      <c r="J39" s="186">
        <f t="shared" si="2"/>
        <v>0</v>
      </c>
      <c r="K39" s="177" t="s">
        <v>9044</v>
      </c>
    </row>
    <row r="40" spans="1:11" ht="27" customHeight="1" x14ac:dyDescent="0.3">
      <c r="A40" s="180" t="s">
        <v>18</v>
      </c>
      <c r="B40" s="180">
        <v>2025</v>
      </c>
      <c r="C40" s="180">
        <v>7</v>
      </c>
      <c r="D40" s="180" t="s">
        <v>9042</v>
      </c>
      <c r="E40" s="187">
        <f>365*AVERAGE(KOHC!G65,KOHC!H65)</f>
        <v>2752883.6464225003</v>
      </c>
      <c r="F40" s="187">
        <f>-KOHC!H85</f>
        <v>22814.094271000002</v>
      </c>
      <c r="G40" s="185">
        <f t="shared" si="0"/>
        <v>120.66591878345184</v>
      </c>
      <c r="H40" s="185">
        <f t="shared" si="1"/>
        <v>120.66591878345184</v>
      </c>
      <c r="I40" s="185">
        <v>120.66591878345184</v>
      </c>
      <c r="J40" s="185">
        <f t="shared" si="2"/>
        <v>0</v>
      </c>
      <c r="K40" s="180" t="s">
        <v>9044</v>
      </c>
    </row>
    <row r="41" spans="1:11" ht="27" customHeight="1" x14ac:dyDescent="0.3">
      <c r="A41" s="177" t="s">
        <v>18</v>
      </c>
      <c r="B41" s="177">
        <v>2021</v>
      </c>
      <c r="C41" s="177">
        <v>8</v>
      </c>
      <c r="D41" s="177" t="s">
        <v>9045</v>
      </c>
      <c r="E41" s="188">
        <f>365*AVERAGE(KOHC!C32,KOHC!D32)</f>
        <v>269713.72579250002</v>
      </c>
      <c r="F41" s="188">
        <f>KOHC!D84</f>
        <v>24057.375992000001</v>
      </c>
      <c r="G41" s="186">
        <f t="shared" si="0"/>
        <v>11.211269503464973</v>
      </c>
      <c r="H41" s="186">
        <f t="shared" si="1"/>
        <v>11.211269503464973</v>
      </c>
      <c r="I41" s="186">
        <v>11.211269503464973</v>
      </c>
      <c r="J41" s="186">
        <f t="shared" si="2"/>
        <v>0</v>
      </c>
      <c r="K41" s="177" t="s">
        <v>9047</v>
      </c>
    </row>
    <row r="42" spans="1:11" ht="27" customHeight="1" x14ac:dyDescent="0.3">
      <c r="A42" s="180" t="s">
        <v>18</v>
      </c>
      <c r="B42" s="180">
        <v>2022</v>
      </c>
      <c r="C42" s="180">
        <v>8</v>
      </c>
      <c r="D42" s="180" t="s">
        <v>9045</v>
      </c>
      <c r="E42" s="187">
        <f>365*AVERAGE(KOHC!D32,KOHC!E32)</f>
        <v>346678.40379000001</v>
      </c>
      <c r="F42" s="187">
        <f>KOHC!E84</f>
        <v>32876.949179000003</v>
      </c>
      <c r="G42" s="185">
        <f t="shared" si="0"/>
        <v>10.544725482358297</v>
      </c>
      <c r="H42" s="185">
        <f t="shared" si="1"/>
        <v>10.544725482358297</v>
      </c>
      <c r="I42" s="185">
        <v>10.544725482358297</v>
      </c>
      <c r="J42" s="185">
        <f t="shared" si="2"/>
        <v>0</v>
      </c>
      <c r="K42" s="180" t="s">
        <v>9047</v>
      </c>
    </row>
    <row r="43" spans="1:11" ht="27" customHeight="1" x14ac:dyDescent="0.3">
      <c r="A43" s="177" t="s">
        <v>18</v>
      </c>
      <c r="B43" s="177">
        <v>2023</v>
      </c>
      <c r="C43" s="177">
        <v>8</v>
      </c>
      <c r="D43" s="177" t="s">
        <v>9045</v>
      </c>
      <c r="E43" s="188">
        <f>365*AVERAGE(KOHC!E32,KOHC!F32)</f>
        <v>387190.69402999996</v>
      </c>
      <c r="F43" s="188">
        <f>KOHC!F84</f>
        <v>38921.635349999997</v>
      </c>
      <c r="G43" s="186">
        <f t="shared" si="0"/>
        <v>9.9479554378487851</v>
      </c>
      <c r="H43" s="186">
        <f t="shared" si="1"/>
        <v>9.9479554378487851</v>
      </c>
      <c r="I43" s="186">
        <v>9.9479554378487851</v>
      </c>
      <c r="J43" s="186">
        <f t="shared" si="2"/>
        <v>0</v>
      </c>
      <c r="K43" s="177" t="s">
        <v>9047</v>
      </c>
    </row>
    <row r="44" spans="1:11" ht="27" customHeight="1" x14ac:dyDescent="0.3">
      <c r="A44" s="180" t="s">
        <v>18</v>
      </c>
      <c r="B44" s="180">
        <v>2024</v>
      </c>
      <c r="C44" s="180">
        <v>8</v>
      </c>
      <c r="D44" s="180" t="s">
        <v>9045</v>
      </c>
      <c r="E44" s="187">
        <f>365*AVERAGE(KOHC!F32,KOHC!G32)</f>
        <v>605133.73305250006</v>
      </c>
      <c r="F44" s="187">
        <f>KOHC!G84</f>
        <v>38647.767972000001</v>
      </c>
      <c r="G44" s="185">
        <f t="shared" si="0"/>
        <v>15.657663166755571</v>
      </c>
      <c r="H44" s="185">
        <f t="shared" si="1"/>
        <v>15.657663166755571</v>
      </c>
      <c r="I44" s="185">
        <v>15.657663166755571</v>
      </c>
      <c r="J44" s="185">
        <f t="shared" si="2"/>
        <v>0</v>
      </c>
      <c r="K44" s="180" t="s">
        <v>9047</v>
      </c>
    </row>
    <row r="45" spans="1:11" ht="27" customHeight="1" x14ac:dyDescent="0.3">
      <c r="A45" s="177" t="s">
        <v>18</v>
      </c>
      <c r="B45" s="177">
        <v>2025</v>
      </c>
      <c r="C45" s="177">
        <v>8</v>
      </c>
      <c r="D45" s="177" t="s">
        <v>9045</v>
      </c>
      <c r="E45" s="188">
        <f>365*AVERAGE(KOHC!G32,KOHC!H32)</f>
        <v>693949.99645500001</v>
      </c>
      <c r="F45" s="188">
        <f>KOHC!H84</f>
        <v>37535.700371999999</v>
      </c>
      <c r="G45" s="186">
        <f t="shared" si="0"/>
        <v>18.487732733839078</v>
      </c>
      <c r="H45" s="186">
        <f t="shared" si="1"/>
        <v>18.487732733839078</v>
      </c>
      <c r="I45" s="186">
        <v>18.487732733839078</v>
      </c>
      <c r="J45" s="186">
        <f t="shared" si="2"/>
        <v>0</v>
      </c>
      <c r="K45" s="177" t="s">
        <v>9047</v>
      </c>
    </row>
    <row r="46" spans="1:11" ht="27" customHeight="1" x14ac:dyDescent="0.3">
      <c r="A46" s="180" t="s">
        <v>18</v>
      </c>
      <c r="B46" s="180">
        <v>2021</v>
      </c>
      <c r="C46" s="180">
        <v>9</v>
      </c>
      <c r="D46" s="180" t="s">
        <v>9048</v>
      </c>
      <c r="E46" s="187">
        <f>KOHC!D84</f>
        <v>24057.375992000001</v>
      </c>
      <c r="F46" s="187">
        <f>KOHC!D20</f>
        <v>22027.544913000002</v>
      </c>
      <c r="G46" s="185">
        <f t="shared" si="0"/>
        <v>1.0921496738296084</v>
      </c>
      <c r="H46" s="185">
        <f t="shared" si="1"/>
        <v>1.0921496738296084</v>
      </c>
      <c r="I46" s="185">
        <v>1.0921496738296084</v>
      </c>
      <c r="J46" s="185">
        <f t="shared" si="2"/>
        <v>0</v>
      </c>
      <c r="K46" s="180" t="s">
        <v>9050</v>
      </c>
    </row>
    <row r="47" spans="1:11" ht="27" customHeight="1" x14ac:dyDescent="0.3">
      <c r="A47" s="177" t="s">
        <v>18</v>
      </c>
      <c r="B47" s="177">
        <v>2022</v>
      </c>
      <c r="C47" s="177">
        <v>9</v>
      </c>
      <c r="D47" s="177" t="s">
        <v>9048</v>
      </c>
      <c r="E47" s="188">
        <f>KOHC!E84</f>
        <v>32876.949179000003</v>
      </c>
      <c r="F47" s="188">
        <f>KOHC!E20</f>
        <v>21331.296362000001</v>
      </c>
      <c r="G47" s="186">
        <f t="shared" si="0"/>
        <v>1.5412541563844033</v>
      </c>
      <c r="H47" s="186">
        <f t="shared" si="1"/>
        <v>1.5412541563844033</v>
      </c>
      <c r="I47" s="186">
        <v>1.5412541563844033</v>
      </c>
      <c r="J47" s="186">
        <f t="shared" si="2"/>
        <v>0</v>
      </c>
      <c r="K47" s="177" t="s">
        <v>9050</v>
      </c>
    </row>
    <row r="48" spans="1:11" ht="27" customHeight="1" x14ac:dyDescent="0.3">
      <c r="A48" s="180" t="s">
        <v>18</v>
      </c>
      <c r="B48" s="180">
        <v>2023</v>
      </c>
      <c r="C48" s="180">
        <v>9</v>
      </c>
      <c r="D48" s="180" t="s">
        <v>9048</v>
      </c>
      <c r="E48" s="187">
        <f>KOHC!F84</f>
        <v>38921.635349999997</v>
      </c>
      <c r="F48" s="187">
        <f>KOHC!F20</f>
        <v>22229.434463000001</v>
      </c>
      <c r="G48" s="185">
        <f t="shared" si="0"/>
        <v>1.7509053329621809</v>
      </c>
      <c r="H48" s="185">
        <f t="shared" si="1"/>
        <v>1.7509053329621809</v>
      </c>
      <c r="I48" s="185">
        <v>1.7509053329621809</v>
      </c>
      <c r="J48" s="185">
        <f t="shared" si="2"/>
        <v>0</v>
      </c>
      <c r="K48" s="180" t="s">
        <v>9050</v>
      </c>
    </row>
    <row r="49" spans="1:11" ht="27" customHeight="1" x14ac:dyDescent="0.3">
      <c r="A49" s="177" t="s">
        <v>18</v>
      </c>
      <c r="B49" s="177">
        <v>2024</v>
      </c>
      <c r="C49" s="177">
        <v>9</v>
      </c>
      <c r="D49" s="177" t="s">
        <v>9048</v>
      </c>
      <c r="E49" s="188">
        <f>KOHC!G84</f>
        <v>38647.767972000001</v>
      </c>
      <c r="F49" s="188">
        <f>KOHC!G20</f>
        <v>22156.640533000002</v>
      </c>
      <c r="G49" s="186">
        <f t="shared" si="0"/>
        <v>1.7442972870565909</v>
      </c>
      <c r="H49" s="186">
        <f t="shared" si="1"/>
        <v>1.7442972870565909</v>
      </c>
      <c r="I49" s="186">
        <v>1.7442972870565909</v>
      </c>
      <c r="J49" s="186">
        <f t="shared" si="2"/>
        <v>0</v>
      </c>
      <c r="K49" s="177" t="s">
        <v>9050</v>
      </c>
    </row>
    <row r="50" spans="1:11" ht="27" customHeight="1" x14ac:dyDescent="0.3">
      <c r="A50" s="180" t="s">
        <v>18</v>
      </c>
      <c r="B50" s="180">
        <v>2025</v>
      </c>
      <c r="C50" s="180">
        <v>9</v>
      </c>
      <c r="D50" s="180" t="s">
        <v>9048</v>
      </c>
      <c r="E50" s="187">
        <f>KOHC!H84</f>
        <v>37535.700371999999</v>
      </c>
      <c r="F50" s="187">
        <f>KOHC!H20</f>
        <v>23359.980509000001</v>
      </c>
      <c r="G50" s="185">
        <f t="shared" si="0"/>
        <v>1.606837829232711</v>
      </c>
      <c r="H50" s="185">
        <f t="shared" si="1"/>
        <v>1.606837829232711</v>
      </c>
      <c r="I50" s="185">
        <v>1.606837829232711</v>
      </c>
      <c r="J50" s="185">
        <f t="shared" si="2"/>
        <v>0</v>
      </c>
      <c r="K50" s="180" t="s">
        <v>9050</v>
      </c>
    </row>
    <row r="51" spans="1:11" ht="27" customHeight="1" x14ac:dyDescent="0.3">
      <c r="A51" s="177" t="s">
        <v>18</v>
      </c>
      <c r="B51" s="177">
        <v>2021</v>
      </c>
      <c r="C51" s="177">
        <v>10</v>
      </c>
      <c r="D51" s="177" t="s">
        <v>9052</v>
      </c>
      <c r="E51" s="188">
        <f>KOHC!D84</f>
        <v>24057.375992000001</v>
      </c>
      <c r="F51" s="188">
        <f>KOHC!D37</f>
        <v>36086.921437000005</v>
      </c>
      <c r="G51" s="186">
        <f t="shared" si="0"/>
        <v>0.66665082622797289</v>
      </c>
      <c r="H51" s="186">
        <f t="shared" si="1"/>
        <v>0.66665082622797289</v>
      </c>
      <c r="I51" s="186">
        <v>0.66665082622797311</v>
      </c>
      <c r="J51" s="186">
        <f t="shared" si="2"/>
        <v>-2.2204460492503131E-16</v>
      </c>
      <c r="K51" s="177" t="s">
        <v>9054</v>
      </c>
    </row>
    <row r="52" spans="1:11" ht="27" customHeight="1" x14ac:dyDescent="0.3">
      <c r="A52" s="180" t="s">
        <v>18</v>
      </c>
      <c r="B52" s="180">
        <v>2022</v>
      </c>
      <c r="C52" s="180">
        <v>10</v>
      </c>
      <c r="D52" s="180" t="s">
        <v>9052</v>
      </c>
      <c r="E52" s="187">
        <f>KOHC!E84</f>
        <v>32876.949179000003</v>
      </c>
      <c r="F52" s="187">
        <f>KOHC!E37</f>
        <v>43350.667843999996</v>
      </c>
      <c r="G52" s="185">
        <f t="shared" si="0"/>
        <v>0.7583954484233022</v>
      </c>
      <c r="H52" s="185">
        <f t="shared" si="1"/>
        <v>0.7583954484233022</v>
      </c>
      <c r="I52" s="185">
        <v>0.7583954484233022</v>
      </c>
      <c r="J52" s="185">
        <f t="shared" si="2"/>
        <v>0</v>
      </c>
      <c r="K52" s="180" t="s">
        <v>9054</v>
      </c>
    </row>
    <row r="53" spans="1:11" ht="27" customHeight="1" x14ac:dyDescent="0.3">
      <c r="A53" s="177" t="s">
        <v>18</v>
      </c>
      <c r="B53" s="177">
        <v>2023</v>
      </c>
      <c r="C53" s="177">
        <v>10</v>
      </c>
      <c r="D53" s="177" t="s">
        <v>9052</v>
      </c>
      <c r="E53" s="188">
        <f>KOHC!F84</f>
        <v>38921.635349999997</v>
      </c>
      <c r="F53" s="188">
        <f>KOHC!F37</f>
        <v>49530.075545</v>
      </c>
      <c r="G53" s="186">
        <f t="shared" si="0"/>
        <v>0.78581821088962756</v>
      </c>
      <c r="H53" s="186">
        <f t="shared" si="1"/>
        <v>0.78581821088962756</v>
      </c>
      <c r="I53" s="186">
        <v>0.78581821088962756</v>
      </c>
      <c r="J53" s="186">
        <f t="shared" si="2"/>
        <v>0</v>
      </c>
      <c r="K53" s="177" t="s">
        <v>9054</v>
      </c>
    </row>
    <row r="54" spans="1:11" ht="27" customHeight="1" x14ac:dyDescent="0.3">
      <c r="A54" s="180" t="s">
        <v>18</v>
      </c>
      <c r="B54" s="180">
        <v>2024</v>
      </c>
      <c r="C54" s="180">
        <v>10</v>
      </c>
      <c r="D54" s="180" t="s">
        <v>9052</v>
      </c>
      <c r="E54" s="187">
        <f>KOHC!G84</f>
        <v>38647.767972000001</v>
      </c>
      <c r="F54" s="187">
        <f>KOHC!G37</f>
        <v>58843.295196999999</v>
      </c>
      <c r="G54" s="185">
        <f t="shared" si="0"/>
        <v>0.65679136157504614</v>
      </c>
      <c r="H54" s="185">
        <f t="shared" si="1"/>
        <v>0.65679136157504614</v>
      </c>
      <c r="I54" s="185">
        <v>0.65679136157504614</v>
      </c>
      <c r="J54" s="185">
        <f t="shared" si="2"/>
        <v>0</v>
      </c>
      <c r="K54" s="180" t="s">
        <v>9054</v>
      </c>
    </row>
    <row r="55" spans="1:11" ht="27" customHeight="1" x14ac:dyDescent="0.3">
      <c r="A55" s="177" t="s">
        <v>18</v>
      </c>
      <c r="B55" s="177">
        <v>2025</v>
      </c>
      <c r="C55" s="177">
        <v>10</v>
      </c>
      <c r="D55" s="177" t="s">
        <v>9052</v>
      </c>
      <c r="E55" s="188">
        <f>KOHC!H84</f>
        <v>37535.700371999999</v>
      </c>
      <c r="F55" s="188">
        <f>KOHC!H37</f>
        <v>66794.311768</v>
      </c>
      <c r="G55" s="186">
        <f t="shared" si="0"/>
        <v>0.56195953485342598</v>
      </c>
      <c r="H55" s="186">
        <f t="shared" si="1"/>
        <v>0.56195953485342598</v>
      </c>
      <c r="I55" s="186">
        <v>0.56195953485342598</v>
      </c>
      <c r="J55" s="186">
        <f t="shared" si="2"/>
        <v>0</v>
      </c>
      <c r="K55" s="177" t="s">
        <v>9054</v>
      </c>
    </row>
    <row r="56" spans="1:11" ht="27" customHeight="1" x14ac:dyDescent="0.3">
      <c r="A56" s="180" t="s">
        <v>18</v>
      </c>
      <c r="B56" s="180">
        <v>2021</v>
      </c>
      <c r="C56" s="180">
        <v>11</v>
      </c>
      <c r="D56" s="180" t="s">
        <v>9055</v>
      </c>
      <c r="E56" s="187">
        <f>KOHC!D62</f>
        <v>13863.382066</v>
      </c>
      <c r="F56" s="187">
        <f>KOHC!D37</f>
        <v>36086.921437000005</v>
      </c>
      <c r="G56" s="185">
        <f t="shared" si="0"/>
        <v>0.38416638255503399</v>
      </c>
      <c r="H56" s="185">
        <f t="shared" si="1"/>
        <v>0.38416638255503399</v>
      </c>
      <c r="I56" s="185">
        <v>0.38416638255503405</v>
      </c>
      <c r="J56" s="185">
        <f t="shared" si="2"/>
        <v>-5.5511151231257827E-17</v>
      </c>
      <c r="K56" s="180" t="s">
        <v>9057</v>
      </c>
    </row>
    <row r="57" spans="1:11" ht="27" customHeight="1" x14ac:dyDescent="0.3">
      <c r="A57" s="177" t="s">
        <v>18</v>
      </c>
      <c r="B57" s="177">
        <v>2022</v>
      </c>
      <c r="C57" s="177">
        <v>11</v>
      </c>
      <c r="D57" s="177" t="s">
        <v>9055</v>
      </c>
      <c r="E57" s="188">
        <f>KOHC!E62</f>
        <v>16104.447613</v>
      </c>
      <c r="F57" s="188">
        <f>KOHC!E37</f>
        <v>43350.667843999996</v>
      </c>
      <c r="G57" s="186">
        <f t="shared" si="0"/>
        <v>0.37149249167170456</v>
      </c>
      <c r="H57" s="186">
        <f t="shared" si="1"/>
        <v>0.37149249167170456</v>
      </c>
      <c r="I57" s="186">
        <v>0.37149249167170456</v>
      </c>
      <c r="J57" s="186">
        <f t="shared" si="2"/>
        <v>0</v>
      </c>
      <c r="K57" s="177" t="s">
        <v>9057</v>
      </c>
    </row>
    <row r="58" spans="1:11" ht="27" customHeight="1" x14ac:dyDescent="0.3">
      <c r="A58" s="180" t="s">
        <v>18</v>
      </c>
      <c r="B58" s="180">
        <v>2023</v>
      </c>
      <c r="C58" s="180">
        <v>11</v>
      </c>
      <c r="D58" s="180" t="s">
        <v>9055</v>
      </c>
      <c r="E58" s="187">
        <f>KOHC!F62</f>
        <v>16920.030573</v>
      </c>
      <c r="F58" s="187">
        <f>KOHC!F37</f>
        <v>49530.075545</v>
      </c>
      <c r="G58" s="185">
        <f t="shared" si="0"/>
        <v>0.34161124098483342</v>
      </c>
      <c r="H58" s="185">
        <f t="shared" si="1"/>
        <v>0.34161124098483342</v>
      </c>
      <c r="I58" s="185">
        <v>0.34161124098483342</v>
      </c>
      <c r="J58" s="185">
        <f t="shared" si="2"/>
        <v>0</v>
      </c>
      <c r="K58" s="180" t="s">
        <v>9057</v>
      </c>
    </row>
    <row r="59" spans="1:11" ht="27" customHeight="1" x14ac:dyDescent="0.3">
      <c r="A59" s="177" t="s">
        <v>18</v>
      </c>
      <c r="B59" s="177">
        <v>2024</v>
      </c>
      <c r="C59" s="177">
        <v>11</v>
      </c>
      <c r="D59" s="177" t="s">
        <v>9055</v>
      </c>
      <c r="E59" s="188">
        <f>KOHC!G62</f>
        <v>17752.989906000003</v>
      </c>
      <c r="F59" s="188">
        <f>KOHC!G37</f>
        <v>58843.295196999999</v>
      </c>
      <c r="G59" s="186">
        <f t="shared" si="0"/>
        <v>0.30169945185029512</v>
      </c>
      <c r="H59" s="186">
        <f t="shared" si="1"/>
        <v>0.30169945185029512</v>
      </c>
      <c r="I59" s="186">
        <v>0.30169945185029512</v>
      </c>
      <c r="J59" s="186">
        <f t="shared" si="2"/>
        <v>0</v>
      </c>
      <c r="K59" s="177" t="s">
        <v>9057</v>
      </c>
    </row>
    <row r="60" spans="1:11" ht="27" customHeight="1" x14ac:dyDescent="0.3">
      <c r="A60" s="180" t="s">
        <v>18</v>
      </c>
      <c r="B60" s="180">
        <v>2025</v>
      </c>
      <c r="C60" s="180">
        <v>11</v>
      </c>
      <c r="D60" s="180" t="s">
        <v>9055</v>
      </c>
      <c r="E60" s="187">
        <f>KOHC!H62</f>
        <v>18839.116980999999</v>
      </c>
      <c r="F60" s="187">
        <f>KOHC!H37</f>
        <v>66794.311768</v>
      </c>
      <c r="G60" s="185">
        <f t="shared" si="0"/>
        <v>0.28204672647028445</v>
      </c>
      <c r="H60" s="185">
        <f t="shared" si="1"/>
        <v>0.28204672647028445</v>
      </c>
      <c r="I60" s="185">
        <v>0.28204672647028445</v>
      </c>
      <c r="J60" s="185">
        <f t="shared" si="2"/>
        <v>0</v>
      </c>
      <c r="K60" s="180" t="s">
        <v>9057</v>
      </c>
    </row>
    <row r="61" spans="1:11" ht="27" customHeight="1" x14ac:dyDescent="0.3">
      <c r="A61" s="177" t="s">
        <v>18</v>
      </c>
      <c r="B61" s="177">
        <v>2021</v>
      </c>
      <c r="C61" s="177">
        <v>12</v>
      </c>
      <c r="D61" s="177" t="s">
        <v>9058</v>
      </c>
      <c r="E61" s="188">
        <f>KOHC!D66</f>
        <v>6050.7861490000005</v>
      </c>
      <c r="F61" s="188">
        <f>KOHC!D41</f>
        <v>22223.539370999999</v>
      </c>
      <c r="G61" s="186">
        <f t="shared" si="0"/>
        <v>0.2722692388457173</v>
      </c>
      <c r="H61" s="186">
        <f t="shared" si="1"/>
        <v>0.2722692388457173</v>
      </c>
      <c r="I61" s="186">
        <v>0.2722692388457173</v>
      </c>
      <c r="J61" s="186">
        <f t="shared" si="2"/>
        <v>0</v>
      </c>
      <c r="K61" s="177" t="s">
        <v>9060</v>
      </c>
    </row>
    <row r="62" spans="1:11" ht="27" customHeight="1" x14ac:dyDescent="0.3">
      <c r="A62" s="180" t="s">
        <v>18</v>
      </c>
      <c r="B62" s="180">
        <v>2022</v>
      </c>
      <c r="C62" s="180">
        <v>12</v>
      </c>
      <c r="D62" s="180" t="s">
        <v>9058</v>
      </c>
      <c r="E62" s="187">
        <f>KOHC!E66</f>
        <v>4251.3124740000003</v>
      </c>
      <c r="F62" s="187">
        <f>KOHC!E41</f>
        <v>27246.220230999999</v>
      </c>
      <c r="G62" s="185">
        <f t="shared" si="0"/>
        <v>0.15603310983895571</v>
      </c>
      <c r="H62" s="185">
        <f t="shared" si="1"/>
        <v>0.15603310983895571</v>
      </c>
      <c r="I62" s="185">
        <v>0.15603310983895571</v>
      </c>
      <c r="J62" s="185">
        <f t="shared" si="2"/>
        <v>0</v>
      </c>
      <c r="K62" s="180" t="s">
        <v>9060</v>
      </c>
    </row>
    <row r="63" spans="1:11" ht="27" customHeight="1" x14ac:dyDescent="0.3">
      <c r="A63" s="177" t="s">
        <v>18</v>
      </c>
      <c r="B63" s="177">
        <v>2023</v>
      </c>
      <c r="C63" s="177">
        <v>12</v>
      </c>
      <c r="D63" s="177" t="s">
        <v>9058</v>
      </c>
      <c r="E63" s="188">
        <f>KOHC!F66</f>
        <v>3183.3732479999999</v>
      </c>
      <c r="F63" s="188">
        <f>KOHC!F41</f>
        <v>32610.044972</v>
      </c>
      <c r="G63" s="186">
        <f t="shared" si="0"/>
        <v>9.7619406864766459E-2</v>
      </c>
      <c r="H63" s="186">
        <f t="shared" si="1"/>
        <v>9.7619406864766459E-2</v>
      </c>
      <c r="I63" s="186">
        <v>9.7619406864766459E-2</v>
      </c>
      <c r="J63" s="186">
        <f t="shared" si="2"/>
        <v>0</v>
      </c>
      <c r="K63" s="177" t="s">
        <v>9060</v>
      </c>
    </row>
    <row r="64" spans="1:11" ht="27" customHeight="1" x14ac:dyDescent="0.3">
      <c r="A64" s="180" t="s">
        <v>18</v>
      </c>
      <c r="B64" s="180">
        <v>2024</v>
      </c>
      <c r="C64" s="180">
        <v>12</v>
      </c>
      <c r="D64" s="180" t="s">
        <v>9058</v>
      </c>
      <c r="E64" s="187">
        <f>KOHC!G66</f>
        <v>2153.059604</v>
      </c>
      <c r="F64" s="187">
        <f>KOHC!G41</f>
        <v>41090.305291000004</v>
      </c>
      <c r="G64" s="185">
        <f t="shared" si="0"/>
        <v>5.2398238191517746E-2</v>
      </c>
      <c r="H64" s="185">
        <f t="shared" si="1"/>
        <v>5.2398238191517746E-2</v>
      </c>
      <c r="I64" s="185">
        <v>5.2398238191517746E-2</v>
      </c>
      <c r="J64" s="185">
        <f t="shared" si="2"/>
        <v>0</v>
      </c>
      <c r="K64" s="180" t="s">
        <v>9060</v>
      </c>
    </row>
    <row r="65" spans="1:11" ht="27" customHeight="1" x14ac:dyDescent="0.3">
      <c r="A65" s="177" t="s">
        <v>18</v>
      </c>
      <c r="B65" s="177">
        <v>2025</v>
      </c>
      <c r="C65" s="177">
        <v>12</v>
      </c>
      <c r="D65" s="177" t="s">
        <v>9058</v>
      </c>
      <c r="E65" s="188">
        <f>KOHC!H66</f>
        <v>2242.6215440000001</v>
      </c>
      <c r="F65" s="188">
        <f>KOHC!H41</f>
        <v>47955.194787</v>
      </c>
      <c r="G65" s="186">
        <f t="shared" si="0"/>
        <v>4.6764934517749976E-2</v>
      </c>
      <c r="H65" s="186">
        <f t="shared" si="1"/>
        <v>4.6764934517749976E-2</v>
      </c>
      <c r="I65" s="186">
        <v>4.6764934517749976E-2</v>
      </c>
      <c r="J65" s="186">
        <f t="shared" si="2"/>
        <v>0</v>
      </c>
      <c r="K65" s="177" t="s">
        <v>9060</v>
      </c>
    </row>
    <row r="66" spans="1:11" ht="27" customHeight="1" x14ac:dyDescent="0.3">
      <c r="A66" s="180" t="s">
        <v>18</v>
      </c>
      <c r="B66" s="180">
        <v>2021</v>
      </c>
      <c r="C66" s="180">
        <v>13</v>
      </c>
      <c r="D66" s="180" t="s">
        <v>9062</v>
      </c>
      <c r="E66" s="187">
        <f>KOHC!D66</f>
        <v>6050.7861490000005</v>
      </c>
      <c r="F66" s="187">
        <f>KOHC!D66+KOHC!D41</f>
        <v>28274.325519999999</v>
      </c>
      <c r="G66" s="185">
        <f t="shared" si="0"/>
        <v>0.21400284667161887</v>
      </c>
      <c r="H66" s="185">
        <f t="shared" si="1"/>
        <v>0.21400284667161887</v>
      </c>
      <c r="I66" s="185">
        <v>0.21400284667161887</v>
      </c>
      <c r="J66" s="185">
        <f t="shared" si="2"/>
        <v>0</v>
      </c>
      <c r="K66" s="180" t="s">
        <v>9060</v>
      </c>
    </row>
    <row r="67" spans="1:11" ht="27" customHeight="1" x14ac:dyDescent="0.3">
      <c r="A67" s="177" t="s">
        <v>18</v>
      </c>
      <c r="B67" s="177">
        <v>2022</v>
      </c>
      <c r="C67" s="177">
        <v>13</v>
      </c>
      <c r="D67" s="177" t="s">
        <v>9062</v>
      </c>
      <c r="E67" s="188">
        <f>KOHC!E66</f>
        <v>4251.3124740000003</v>
      </c>
      <c r="F67" s="188">
        <f>KOHC!E66+KOHC!E41</f>
        <v>31497.532704999998</v>
      </c>
      <c r="G67" s="186">
        <f t="shared" si="0"/>
        <v>0.13497287275854264</v>
      </c>
      <c r="H67" s="186">
        <f t="shared" si="1"/>
        <v>0.13497287275854264</v>
      </c>
      <c r="I67" s="186">
        <v>0.13497287275854264</v>
      </c>
      <c r="J67" s="186">
        <f t="shared" si="2"/>
        <v>0</v>
      </c>
      <c r="K67" s="177" t="s">
        <v>9060</v>
      </c>
    </row>
    <row r="68" spans="1:11" ht="27" customHeight="1" x14ac:dyDescent="0.3">
      <c r="A68" s="180" t="s">
        <v>18</v>
      </c>
      <c r="B68" s="180">
        <v>2023</v>
      </c>
      <c r="C68" s="180">
        <v>13</v>
      </c>
      <c r="D68" s="180" t="s">
        <v>9062</v>
      </c>
      <c r="E68" s="187">
        <f>KOHC!F66</f>
        <v>3183.3732479999999</v>
      </c>
      <c r="F68" s="187">
        <f>KOHC!F66+KOHC!F41</f>
        <v>35793.41822</v>
      </c>
      <c r="G68" s="185">
        <f t="shared" si="0"/>
        <v>8.8937391462133447E-2</v>
      </c>
      <c r="H68" s="185">
        <f t="shared" si="1"/>
        <v>8.8937391462133447E-2</v>
      </c>
      <c r="I68" s="185">
        <v>8.8937391462133447E-2</v>
      </c>
      <c r="J68" s="185">
        <f t="shared" si="2"/>
        <v>0</v>
      </c>
      <c r="K68" s="180" t="s">
        <v>9060</v>
      </c>
    </row>
    <row r="69" spans="1:11" ht="27" customHeight="1" x14ac:dyDescent="0.3">
      <c r="A69" s="177" t="s">
        <v>18</v>
      </c>
      <c r="B69" s="177">
        <v>2024</v>
      </c>
      <c r="C69" s="177">
        <v>13</v>
      </c>
      <c r="D69" s="177" t="s">
        <v>9062</v>
      </c>
      <c r="E69" s="188">
        <f>KOHC!G66</f>
        <v>2153.059604</v>
      </c>
      <c r="F69" s="188">
        <f>KOHC!G66+KOHC!G41</f>
        <v>43243.364895000006</v>
      </c>
      <c r="G69" s="186">
        <f t="shared" si="0"/>
        <v>4.9789363275218823E-2</v>
      </c>
      <c r="H69" s="186">
        <f t="shared" si="1"/>
        <v>4.9789363275218823E-2</v>
      </c>
      <c r="I69" s="186">
        <v>4.9789363275218823E-2</v>
      </c>
      <c r="J69" s="186">
        <f t="shared" si="2"/>
        <v>0</v>
      </c>
      <c r="K69" s="177" t="s">
        <v>9060</v>
      </c>
    </row>
    <row r="70" spans="1:11" ht="27" customHeight="1" x14ac:dyDescent="0.3">
      <c r="A70" s="180" t="s">
        <v>18</v>
      </c>
      <c r="B70" s="180">
        <v>2025</v>
      </c>
      <c r="C70" s="180">
        <v>13</v>
      </c>
      <c r="D70" s="180" t="s">
        <v>9062</v>
      </c>
      <c r="E70" s="187">
        <f>KOHC!H66</f>
        <v>2242.6215440000001</v>
      </c>
      <c r="F70" s="187">
        <f>KOHC!H66+KOHC!H41</f>
        <v>50197.816331000002</v>
      </c>
      <c r="G70" s="185">
        <f t="shared" ref="G70:G133" si="3">IF(OR(NOT(ISNUMBER(E70)),NOT(ISNUMBER(F70)),F70=0),"n/m",E70/F70)</f>
        <v>4.4675679300715997E-2</v>
      </c>
      <c r="H70" s="185">
        <f t="shared" ref="H70:H133" si="4">IF(OR(NOT(ISNUMBER(E70)),NOT(ISNUMBER(F70))),"n/m",IF(OR((F70)&lt;=0,(E70)&lt;0),"n/m",(E70)/(F70)))</f>
        <v>4.4675679300715997E-2</v>
      </c>
      <c r="I70" s="185">
        <v>4.4675679300715997E-2</v>
      </c>
      <c r="J70" s="185">
        <f t="shared" ref="J70:J133" si="5">IF(AND(ISNUMBER(G70),ISNUMBER(I70)),G70-I70,IF(G70=I70,0,"Review"))</f>
        <v>0</v>
      </c>
      <c r="K70" s="180" t="s">
        <v>9060</v>
      </c>
    </row>
    <row r="71" spans="1:11" ht="27" customHeight="1" x14ac:dyDescent="0.3">
      <c r="A71" s="177" t="s">
        <v>18</v>
      </c>
      <c r="B71" s="177">
        <v>2021</v>
      </c>
      <c r="C71" s="177">
        <v>14</v>
      </c>
      <c r="D71" s="177" t="s">
        <v>9064</v>
      </c>
      <c r="E71" s="188">
        <f>(KOHC!D96+KOHC!D106)</f>
        <v>5376.2589380000009</v>
      </c>
      <c r="F71" s="188">
        <f>KOHC!D106</f>
        <v>490.30433100000005</v>
      </c>
      <c r="G71" s="186">
        <f t="shared" si="3"/>
        <v>10.965146742707439</v>
      </c>
      <c r="H71" s="186">
        <f t="shared" si="4"/>
        <v>10.965146742707439</v>
      </c>
      <c r="I71" s="186">
        <v>10.965146742707439</v>
      </c>
      <c r="J71" s="186">
        <f t="shared" si="5"/>
        <v>0</v>
      </c>
      <c r="K71" s="177" t="s">
        <v>9066</v>
      </c>
    </row>
    <row r="72" spans="1:11" ht="27" customHeight="1" x14ac:dyDescent="0.3">
      <c r="A72" s="180" t="s">
        <v>18</v>
      </c>
      <c r="B72" s="180">
        <v>2022</v>
      </c>
      <c r="C72" s="180">
        <v>14</v>
      </c>
      <c r="D72" s="180" t="s">
        <v>9064</v>
      </c>
      <c r="E72" s="187">
        <f>(KOHC!E96+KOHC!E106)</f>
        <v>9440.8254749999996</v>
      </c>
      <c r="F72" s="187">
        <f>KOHC!E106</f>
        <v>515.33634900000004</v>
      </c>
      <c r="G72" s="185">
        <f t="shared" si="3"/>
        <v>18.319735243438064</v>
      </c>
      <c r="H72" s="185">
        <f t="shared" si="4"/>
        <v>18.319735243438064</v>
      </c>
      <c r="I72" s="185">
        <v>18.319735243438064</v>
      </c>
      <c r="J72" s="185">
        <f t="shared" si="5"/>
        <v>0</v>
      </c>
      <c r="K72" s="180" t="s">
        <v>9066</v>
      </c>
    </row>
    <row r="73" spans="1:11" ht="27" customHeight="1" x14ac:dyDescent="0.3">
      <c r="A73" s="177" t="s">
        <v>18</v>
      </c>
      <c r="B73" s="177">
        <v>2023</v>
      </c>
      <c r="C73" s="177">
        <v>14</v>
      </c>
      <c r="D73" s="177" t="s">
        <v>9064</v>
      </c>
      <c r="E73" s="188">
        <f>(KOHC!F96+KOHC!F106)</f>
        <v>11152.891156999996</v>
      </c>
      <c r="F73" s="188">
        <f>KOHC!F106</f>
        <v>683.56332899999995</v>
      </c>
      <c r="G73" s="186">
        <f t="shared" si="3"/>
        <v>16.315812571917526</v>
      </c>
      <c r="H73" s="186">
        <f t="shared" si="4"/>
        <v>16.315812571917526</v>
      </c>
      <c r="I73" s="186">
        <v>16.315812571917526</v>
      </c>
      <c r="J73" s="186">
        <f t="shared" si="5"/>
        <v>0</v>
      </c>
      <c r="K73" s="177" t="s">
        <v>9066</v>
      </c>
    </row>
    <row r="74" spans="1:11" ht="27" customHeight="1" x14ac:dyDescent="0.3">
      <c r="A74" s="180" t="s">
        <v>18</v>
      </c>
      <c r="B74" s="180">
        <v>2024</v>
      </c>
      <c r="C74" s="180">
        <v>14</v>
      </c>
      <c r="D74" s="180" t="s">
        <v>9064</v>
      </c>
      <c r="E74" s="187">
        <f>(KOHC!G96+KOHC!G106)</f>
        <v>14422.469235000002</v>
      </c>
      <c r="F74" s="187">
        <f>KOHC!G106</f>
        <v>646.18413499999997</v>
      </c>
      <c r="G74" s="185">
        <f t="shared" si="3"/>
        <v>22.319441864662931</v>
      </c>
      <c r="H74" s="185">
        <f t="shared" si="4"/>
        <v>22.319441864662931</v>
      </c>
      <c r="I74" s="185">
        <v>22.319441864662931</v>
      </c>
      <c r="J74" s="185">
        <f t="shared" si="5"/>
        <v>0</v>
      </c>
      <c r="K74" s="180" t="s">
        <v>9066</v>
      </c>
    </row>
    <row r="75" spans="1:11" ht="27" customHeight="1" x14ac:dyDescent="0.3">
      <c r="A75" s="177" t="s">
        <v>18</v>
      </c>
      <c r="B75" s="177">
        <v>2025</v>
      </c>
      <c r="C75" s="177">
        <v>14</v>
      </c>
      <c r="D75" s="177" t="s">
        <v>9064</v>
      </c>
      <c r="E75" s="188">
        <f>(KOHC!H96+KOHC!H106)</f>
        <v>18053.034155999998</v>
      </c>
      <c r="F75" s="188">
        <f>KOHC!H106</f>
        <v>306.21073899999999</v>
      </c>
      <c r="G75" s="186">
        <f t="shared" si="3"/>
        <v>58.956241100348862</v>
      </c>
      <c r="H75" s="186">
        <f t="shared" si="4"/>
        <v>58.956241100348862</v>
      </c>
      <c r="I75" s="186">
        <v>58.956241100348862</v>
      </c>
      <c r="J75" s="186">
        <f t="shared" si="5"/>
        <v>0</v>
      </c>
      <c r="K75" s="177" t="s">
        <v>9066</v>
      </c>
    </row>
    <row r="76" spans="1:11" ht="27" customHeight="1" x14ac:dyDescent="0.3">
      <c r="A76" s="180" t="s">
        <v>18</v>
      </c>
      <c r="B76" s="180">
        <v>2021</v>
      </c>
      <c r="C76" s="180">
        <v>15</v>
      </c>
      <c r="D76" s="180" t="s">
        <v>9067</v>
      </c>
      <c r="E76" s="187">
        <f>KOHC!D86</f>
        <v>5965.3490590000001</v>
      </c>
      <c r="F76" s="187">
        <f>KOHC!D84</f>
        <v>24057.375992000001</v>
      </c>
      <c r="G76" s="185">
        <f t="shared" si="3"/>
        <v>0.24796341300828931</v>
      </c>
      <c r="H76" s="185">
        <f t="shared" si="4"/>
        <v>0.24796341300828931</v>
      </c>
      <c r="I76" s="185">
        <v>0.24796341300828931</v>
      </c>
      <c r="J76" s="185">
        <f t="shared" si="5"/>
        <v>0</v>
      </c>
      <c r="K76" s="180" t="s">
        <v>9069</v>
      </c>
    </row>
    <row r="77" spans="1:11" ht="27" customHeight="1" x14ac:dyDescent="0.3">
      <c r="A77" s="177" t="s">
        <v>18</v>
      </c>
      <c r="B77" s="177">
        <v>2022</v>
      </c>
      <c r="C77" s="177">
        <v>15</v>
      </c>
      <c r="D77" s="177" t="s">
        <v>9067</v>
      </c>
      <c r="E77" s="188">
        <f>KOHC!E86</f>
        <v>9811.7685090000014</v>
      </c>
      <c r="F77" s="188">
        <f>KOHC!E84</f>
        <v>32876.949179000003</v>
      </c>
      <c r="G77" s="186">
        <f t="shared" si="3"/>
        <v>0.29843914213509881</v>
      </c>
      <c r="H77" s="186">
        <f t="shared" si="4"/>
        <v>0.29843914213509881</v>
      </c>
      <c r="I77" s="186">
        <v>0.29843914213509881</v>
      </c>
      <c r="J77" s="186">
        <f t="shared" si="5"/>
        <v>0</v>
      </c>
      <c r="K77" s="177" t="s">
        <v>9069</v>
      </c>
    </row>
    <row r="78" spans="1:11" ht="27" customHeight="1" x14ac:dyDescent="0.3">
      <c r="A78" s="180" t="s">
        <v>18</v>
      </c>
      <c r="B78" s="180">
        <v>2023</v>
      </c>
      <c r="C78" s="180">
        <v>15</v>
      </c>
      <c r="D78" s="180" t="s">
        <v>9067</v>
      </c>
      <c r="E78" s="187">
        <f>KOHC!F86</f>
        <v>10432.694018999995</v>
      </c>
      <c r="F78" s="187">
        <f>KOHC!F84</f>
        <v>38921.635349999997</v>
      </c>
      <c r="G78" s="185">
        <f t="shared" si="3"/>
        <v>0.26804356818989611</v>
      </c>
      <c r="H78" s="185">
        <f t="shared" si="4"/>
        <v>0.26804356818989611</v>
      </c>
      <c r="I78" s="185">
        <v>0.26804356818989611</v>
      </c>
      <c r="J78" s="185">
        <f t="shared" si="5"/>
        <v>0</v>
      </c>
      <c r="K78" s="180" t="s">
        <v>9069</v>
      </c>
    </row>
    <row r="79" spans="1:11" ht="27" customHeight="1" x14ac:dyDescent="0.3">
      <c r="A79" s="177" t="s">
        <v>18</v>
      </c>
      <c r="B79" s="177">
        <v>2024</v>
      </c>
      <c r="C79" s="177">
        <v>15</v>
      </c>
      <c r="D79" s="177" t="s">
        <v>9067</v>
      </c>
      <c r="E79" s="188">
        <f>KOHC!G86</f>
        <v>11256.491495000002</v>
      </c>
      <c r="F79" s="188">
        <f>KOHC!G84</f>
        <v>38647.767972000001</v>
      </c>
      <c r="G79" s="186">
        <f t="shared" si="3"/>
        <v>0.29125851467425595</v>
      </c>
      <c r="H79" s="186">
        <f t="shared" si="4"/>
        <v>0.29125851467425595</v>
      </c>
      <c r="I79" s="186">
        <v>0.29125851467425595</v>
      </c>
      <c r="J79" s="186">
        <f t="shared" si="5"/>
        <v>0</v>
      </c>
      <c r="K79" s="177" t="s">
        <v>9069</v>
      </c>
    </row>
    <row r="80" spans="1:11" ht="27" customHeight="1" x14ac:dyDescent="0.3">
      <c r="A80" s="180" t="s">
        <v>18</v>
      </c>
      <c r="B80" s="180">
        <v>2025</v>
      </c>
      <c r="C80" s="180">
        <v>15</v>
      </c>
      <c r="D80" s="180" t="s">
        <v>9067</v>
      </c>
      <c r="E80" s="187">
        <f>KOHC!H86</f>
        <v>14721.606100999998</v>
      </c>
      <c r="F80" s="187">
        <f>KOHC!H84</f>
        <v>37535.700371999999</v>
      </c>
      <c r="G80" s="185">
        <f t="shared" si="3"/>
        <v>0.39220278175445145</v>
      </c>
      <c r="H80" s="185">
        <f t="shared" si="4"/>
        <v>0.39220278175445145</v>
      </c>
      <c r="I80" s="185">
        <v>0.39220278175445145</v>
      </c>
      <c r="J80" s="185">
        <f t="shared" si="5"/>
        <v>0</v>
      </c>
      <c r="K80" s="180" t="s">
        <v>9069</v>
      </c>
    </row>
    <row r="81" spans="1:11" ht="27" customHeight="1" x14ac:dyDescent="0.3">
      <c r="A81" s="177" t="s">
        <v>18</v>
      </c>
      <c r="B81" s="177">
        <v>2021</v>
      </c>
      <c r="C81" s="177">
        <v>16</v>
      </c>
      <c r="D81" s="177" t="s">
        <v>9070</v>
      </c>
      <c r="E81" s="188">
        <f>(KOHC!D96+KOHC!D106)</f>
        <v>5376.2589380000009</v>
      </c>
      <c r="F81" s="188">
        <f>KOHC!D84</f>
        <v>24057.375992000001</v>
      </c>
      <c r="G81" s="186">
        <f t="shared" si="3"/>
        <v>0.223476531263751</v>
      </c>
      <c r="H81" s="186">
        <f t="shared" si="4"/>
        <v>0.223476531263751</v>
      </c>
      <c r="I81" s="186">
        <v>0.223476531263751</v>
      </c>
      <c r="J81" s="186">
        <f t="shared" si="5"/>
        <v>0</v>
      </c>
      <c r="K81" s="177" t="s">
        <v>9072</v>
      </c>
    </row>
    <row r="82" spans="1:11" ht="27" customHeight="1" x14ac:dyDescent="0.3">
      <c r="A82" s="180" t="s">
        <v>18</v>
      </c>
      <c r="B82" s="180">
        <v>2022</v>
      </c>
      <c r="C82" s="180">
        <v>16</v>
      </c>
      <c r="D82" s="180" t="s">
        <v>9070</v>
      </c>
      <c r="E82" s="187">
        <f>(KOHC!E96+KOHC!E106)</f>
        <v>9440.8254749999996</v>
      </c>
      <c r="F82" s="187">
        <f>KOHC!E84</f>
        <v>32876.949179000003</v>
      </c>
      <c r="G82" s="185">
        <f t="shared" si="3"/>
        <v>0.28715637280086448</v>
      </c>
      <c r="H82" s="185">
        <f t="shared" si="4"/>
        <v>0.28715637280086448</v>
      </c>
      <c r="I82" s="185">
        <v>0.28715637280086448</v>
      </c>
      <c r="J82" s="185">
        <f t="shared" si="5"/>
        <v>0</v>
      </c>
      <c r="K82" s="180" t="s">
        <v>9072</v>
      </c>
    </row>
    <row r="83" spans="1:11" ht="27" customHeight="1" x14ac:dyDescent="0.3">
      <c r="A83" s="177" t="s">
        <v>18</v>
      </c>
      <c r="B83" s="177">
        <v>2023</v>
      </c>
      <c r="C83" s="177">
        <v>16</v>
      </c>
      <c r="D83" s="177" t="s">
        <v>9070</v>
      </c>
      <c r="E83" s="188">
        <f>(KOHC!F96+KOHC!F106)</f>
        <v>11152.891156999996</v>
      </c>
      <c r="F83" s="188">
        <f>KOHC!F84</f>
        <v>38921.635349999997</v>
      </c>
      <c r="G83" s="186">
        <f t="shared" si="3"/>
        <v>0.28654734202991289</v>
      </c>
      <c r="H83" s="186">
        <f t="shared" si="4"/>
        <v>0.28654734202991289</v>
      </c>
      <c r="I83" s="186">
        <v>0.28654734202991289</v>
      </c>
      <c r="J83" s="186">
        <f t="shared" si="5"/>
        <v>0</v>
      </c>
      <c r="K83" s="177" t="s">
        <v>9072</v>
      </c>
    </row>
    <row r="84" spans="1:11" ht="27" customHeight="1" x14ac:dyDescent="0.3">
      <c r="A84" s="180" t="s">
        <v>18</v>
      </c>
      <c r="B84" s="180">
        <v>2024</v>
      </c>
      <c r="C84" s="180">
        <v>16</v>
      </c>
      <c r="D84" s="180" t="s">
        <v>9070</v>
      </c>
      <c r="E84" s="187">
        <f>(KOHC!G96+KOHC!G106)</f>
        <v>14422.469235000002</v>
      </c>
      <c r="F84" s="187">
        <f>KOHC!G84</f>
        <v>38647.767972000001</v>
      </c>
      <c r="G84" s="185">
        <f t="shared" si="3"/>
        <v>0.37317728789535698</v>
      </c>
      <c r="H84" s="185">
        <f t="shared" si="4"/>
        <v>0.37317728789535698</v>
      </c>
      <c r="I84" s="185">
        <v>0.37317728789535698</v>
      </c>
      <c r="J84" s="185">
        <f t="shared" si="5"/>
        <v>0</v>
      </c>
      <c r="K84" s="180" t="s">
        <v>9072</v>
      </c>
    </row>
    <row r="85" spans="1:11" ht="27" customHeight="1" x14ac:dyDescent="0.3">
      <c r="A85" s="177" t="s">
        <v>18</v>
      </c>
      <c r="B85" s="177">
        <v>2025</v>
      </c>
      <c r="C85" s="177">
        <v>16</v>
      </c>
      <c r="D85" s="177" t="s">
        <v>9070</v>
      </c>
      <c r="E85" s="188">
        <f>(KOHC!H96+KOHC!H106)</f>
        <v>18053.034155999998</v>
      </c>
      <c r="F85" s="188">
        <f>KOHC!H84</f>
        <v>37535.700371999999</v>
      </c>
      <c r="G85" s="186">
        <f t="shared" si="3"/>
        <v>0.48095636892569549</v>
      </c>
      <c r="H85" s="186">
        <f t="shared" si="4"/>
        <v>0.48095636892569549</v>
      </c>
      <c r="I85" s="186">
        <v>0.48095636892569549</v>
      </c>
      <c r="J85" s="186">
        <f t="shared" si="5"/>
        <v>0</v>
      </c>
      <c r="K85" s="177" t="s">
        <v>9072</v>
      </c>
    </row>
    <row r="86" spans="1:11" ht="27" customHeight="1" x14ac:dyDescent="0.3">
      <c r="A86" s="180" t="s">
        <v>18</v>
      </c>
      <c r="B86" s="180">
        <v>2021</v>
      </c>
      <c r="C86" s="180">
        <v>17</v>
      </c>
      <c r="D86" s="180" t="s">
        <v>9074</v>
      </c>
      <c r="E86" s="187">
        <f>KOHC!D99</f>
        <v>3497.5072470000005</v>
      </c>
      <c r="F86" s="187">
        <f>KOHC!D84</f>
        <v>24057.375992000001</v>
      </c>
      <c r="G86" s="185">
        <f t="shared" si="3"/>
        <v>0.1453819089897026</v>
      </c>
      <c r="H86" s="185">
        <f t="shared" si="4"/>
        <v>0.1453819089897026</v>
      </c>
      <c r="I86" s="185">
        <v>0.1453819089897026</v>
      </c>
      <c r="J86" s="185">
        <f t="shared" si="5"/>
        <v>0</v>
      </c>
      <c r="K86" s="180" t="s">
        <v>9076</v>
      </c>
    </row>
    <row r="87" spans="1:11" ht="27" customHeight="1" x14ac:dyDescent="0.3">
      <c r="A87" s="177" t="s">
        <v>18</v>
      </c>
      <c r="B87" s="177">
        <v>2022</v>
      </c>
      <c r="C87" s="177">
        <v>17</v>
      </c>
      <c r="D87" s="177" t="s">
        <v>9074</v>
      </c>
      <c r="E87" s="188">
        <f>KOHC!E99</f>
        <v>5024.2802600000005</v>
      </c>
      <c r="F87" s="188">
        <f>KOHC!E84</f>
        <v>32876.949179000003</v>
      </c>
      <c r="G87" s="186">
        <f t="shared" si="3"/>
        <v>0.15282075695786385</v>
      </c>
      <c r="H87" s="186">
        <f t="shared" si="4"/>
        <v>0.15282075695786385</v>
      </c>
      <c r="I87" s="186">
        <v>0.15282075695786385</v>
      </c>
      <c r="J87" s="186">
        <f t="shared" si="5"/>
        <v>0</v>
      </c>
      <c r="K87" s="177" t="s">
        <v>9076</v>
      </c>
    </row>
    <row r="88" spans="1:11" ht="27" customHeight="1" x14ac:dyDescent="0.3">
      <c r="A88" s="180" t="s">
        <v>18</v>
      </c>
      <c r="B88" s="180">
        <v>2023</v>
      </c>
      <c r="C88" s="180">
        <v>17</v>
      </c>
      <c r="D88" s="180" t="s">
        <v>9074</v>
      </c>
      <c r="E88" s="187">
        <f>KOHC!F99</f>
        <v>5820.7511449999965</v>
      </c>
      <c r="F88" s="187">
        <f>KOHC!F84</f>
        <v>38921.635349999997</v>
      </c>
      <c r="G88" s="185">
        <f t="shared" si="3"/>
        <v>0.14955052871384544</v>
      </c>
      <c r="H88" s="185">
        <f t="shared" si="4"/>
        <v>0.14955052871384544</v>
      </c>
      <c r="I88" s="185">
        <v>0.14955052871384544</v>
      </c>
      <c r="J88" s="185">
        <f t="shared" si="5"/>
        <v>0</v>
      </c>
      <c r="K88" s="180" t="s">
        <v>9076</v>
      </c>
    </row>
    <row r="89" spans="1:11" ht="27" customHeight="1" x14ac:dyDescent="0.3">
      <c r="A89" s="177" t="s">
        <v>18</v>
      </c>
      <c r="B89" s="177">
        <v>2024</v>
      </c>
      <c r="C89" s="177">
        <v>17</v>
      </c>
      <c r="D89" s="177" t="s">
        <v>9074</v>
      </c>
      <c r="E89" s="188">
        <f>KOHC!G99</f>
        <v>8893.4547870000024</v>
      </c>
      <c r="F89" s="188">
        <f>KOHC!G84</f>
        <v>38647.767972000001</v>
      </c>
      <c r="G89" s="186">
        <f t="shared" si="3"/>
        <v>0.23011561219895646</v>
      </c>
      <c r="H89" s="186">
        <f t="shared" si="4"/>
        <v>0.23011561219895646</v>
      </c>
      <c r="I89" s="186">
        <v>0.23011561219895646</v>
      </c>
      <c r="J89" s="186">
        <f t="shared" si="5"/>
        <v>0</v>
      </c>
      <c r="K89" s="177" t="s">
        <v>9076</v>
      </c>
    </row>
    <row r="90" spans="1:11" ht="27" customHeight="1" x14ac:dyDescent="0.3">
      <c r="A90" s="180" t="s">
        <v>18</v>
      </c>
      <c r="B90" s="180">
        <v>2025</v>
      </c>
      <c r="C90" s="180">
        <v>17</v>
      </c>
      <c r="D90" s="180" t="s">
        <v>9074</v>
      </c>
      <c r="E90" s="187">
        <f>KOHC!H99</f>
        <v>11575.154071000001</v>
      </c>
      <c r="F90" s="187">
        <f>KOHC!H84</f>
        <v>37535.700371999999</v>
      </c>
      <c r="G90" s="185">
        <f t="shared" si="3"/>
        <v>0.30837719707594857</v>
      </c>
      <c r="H90" s="185">
        <f t="shared" si="4"/>
        <v>0.30837719707594857</v>
      </c>
      <c r="I90" s="185">
        <v>0.30837719707594857</v>
      </c>
      <c r="J90" s="185">
        <f t="shared" si="5"/>
        <v>0</v>
      </c>
      <c r="K90" s="180" t="s">
        <v>9076</v>
      </c>
    </row>
    <row r="91" spans="1:11" ht="27" customHeight="1" x14ac:dyDescent="0.3">
      <c r="A91" s="177" t="s">
        <v>18</v>
      </c>
      <c r="B91" s="177">
        <v>2021</v>
      </c>
      <c r="C91" s="177">
        <v>18</v>
      </c>
      <c r="D91" s="177" t="s">
        <v>9077</v>
      </c>
      <c r="E91" s="188">
        <f>KOHC!D99</f>
        <v>3497.5072470000005</v>
      </c>
      <c r="F91" s="188">
        <f>KOHC!D37</f>
        <v>36086.921437000005</v>
      </c>
      <c r="G91" s="186">
        <f t="shared" si="3"/>
        <v>9.6918969746585204E-2</v>
      </c>
      <c r="H91" s="186">
        <f t="shared" si="4"/>
        <v>9.6918969746585204E-2</v>
      </c>
      <c r="I91" s="186">
        <v>9.6918969746585218E-2</v>
      </c>
      <c r="J91" s="186">
        <f t="shared" si="5"/>
        <v>-1.3877787807814457E-17</v>
      </c>
      <c r="K91" s="177" t="s">
        <v>9054</v>
      </c>
    </row>
    <row r="92" spans="1:11" ht="27" customHeight="1" x14ac:dyDescent="0.3">
      <c r="A92" s="180" t="s">
        <v>18</v>
      </c>
      <c r="B92" s="180">
        <v>2022</v>
      </c>
      <c r="C92" s="180">
        <v>18</v>
      </c>
      <c r="D92" s="180" t="s">
        <v>9077</v>
      </c>
      <c r="E92" s="187">
        <f>KOHC!E99</f>
        <v>5024.2802600000005</v>
      </c>
      <c r="F92" s="187">
        <f>KOHC!E37</f>
        <v>43350.667843999996</v>
      </c>
      <c r="G92" s="185">
        <f t="shared" si="3"/>
        <v>0.11589856650144761</v>
      </c>
      <c r="H92" s="185">
        <f t="shared" si="4"/>
        <v>0.11589856650144761</v>
      </c>
      <c r="I92" s="185">
        <v>0.11589856650144761</v>
      </c>
      <c r="J92" s="185">
        <f t="shared" si="5"/>
        <v>0</v>
      </c>
      <c r="K92" s="180" t="s">
        <v>9054</v>
      </c>
    </row>
    <row r="93" spans="1:11" ht="27" customHeight="1" x14ac:dyDescent="0.3">
      <c r="A93" s="177" t="s">
        <v>18</v>
      </c>
      <c r="B93" s="177">
        <v>2023</v>
      </c>
      <c r="C93" s="177">
        <v>18</v>
      </c>
      <c r="D93" s="177" t="s">
        <v>9077</v>
      </c>
      <c r="E93" s="188">
        <f>KOHC!F99</f>
        <v>5820.7511449999965</v>
      </c>
      <c r="F93" s="188">
        <f>KOHC!F37</f>
        <v>49530.075545</v>
      </c>
      <c r="G93" s="186">
        <f t="shared" si="3"/>
        <v>0.11751952891151191</v>
      </c>
      <c r="H93" s="186">
        <f t="shared" si="4"/>
        <v>0.11751952891151191</v>
      </c>
      <c r="I93" s="186">
        <v>0.11751952891151191</v>
      </c>
      <c r="J93" s="186">
        <f t="shared" si="5"/>
        <v>0</v>
      </c>
      <c r="K93" s="177" t="s">
        <v>9054</v>
      </c>
    </row>
    <row r="94" spans="1:11" ht="27" customHeight="1" x14ac:dyDescent="0.3">
      <c r="A94" s="180" t="s">
        <v>18</v>
      </c>
      <c r="B94" s="180">
        <v>2024</v>
      </c>
      <c r="C94" s="180">
        <v>18</v>
      </c>
      <c r="D94" s="180" t="s">
        <v>9077</v>
      </c>
      <c r="E94" s="187">
        <f>KOHC!G99</f>
        <v>8893.4547870000024</v>
      </c>
      <c r="F94" s="187">
        <f>KOHC!G37</f>
        <v>58843.295196999999</v>
      </c>
      <c r="G94" s="185">
        <f t="shared" si="3"/>
        <v>0.15113794625582791</v>
      </c>
      <c r="H94" s="185">
        <f t="shared" si="4"/>
        <v>0.15113794625582791</v>
      </c>
      <c r="I94" s="185">
        <v>0.15113794625582791</v>
      </c>
      <c r="J94" s="185">
        <f t="shared" si="5"/>
        <v>0</v>
      </c>
      <c r="K94" s="180" t="s">
        <v>9054</v>
      </c>
    </row>
    <row r="95" spans="1:11" ht="27" customHeight="1" x14ac:dyDescent="0.3">
      <c r="A95" s="177" t="s">
        <v>18</v>
      </c>
      <c r="B95" s="177">
        <v>2025</v>
      </c>
      <c r="C95" s="177">
        <v>18</v>
      </c>
      <c r="D95" s="177" t="s">
        <v>9077</v>
      </c>
      <c r="E95" s="188">
        <f>KOHC!H99</f>
        <v>11575.154071000001</v>
      </c>
      <c r="F95" s="188">
        <f>KOHC!H37</f>
        <v>66794.311768</v>
      </c>
      <c r="G95" s="186">
        <f t="shared" si="3"/>
        <v>0.17329550622820336</v>
      </c>
      <c r="H95" s="186">
        <f t="shared" si="4"/>
        <v>0.17329550622820336</v>
      </c>
      <c r="I95" s="186">
        <v>0.17329550622820336</v>
      </c>
      <c r="J95" s="186">
        <f t="shared" si="5"/>
        <v>0</v>
      </c>
      <c r="K95" s="177" t="s">
        <v>9054</v>
      </c>
    </row>
    <row r="96" spans="1:11" ht="27" customHeight="1" x14ac:dyDescent="0.3">
      <c r="A96" s="180" t="s">
        <v>18</v>
      </c>
      <c r="B96" s="180">
        <v>2021</v>
      </c>
      <c r="C96" s="180">
        <v>19</v>
      </c>
      <c r="D96" s="180" t="s">
        <v>9079</v>
      </c>
      <c r="E96" s="187">
        <f>KOHC!D99</f>
        <v>3497.5072470000005</v>
      </c>
      <c r="F96" s="187">
        <f>KOHC!D41</f>
        <v>22223.539370999999</v>
      </c>
      <c r="G96" s="185">
        <f t="shared" si="3"/>
        <v>0.15737849802466555</v>
      </c>
      <c r="H96" s="185">
        <f t="shared" si="4"/>
        <v>0.15737849802466555</v>
      </c>
      <c r="I96" s="185">
        <v>0.15737849802466555</v>
      </c>
      <c r="J96" s="185">
        <f t="shared" si="5"/>
        <v>0</v>
      </c>
      <c r="K96" s="180" t="s">
        <v>9081</v>
      </c>
    </row>
    <row r="97" spans="1:11" ht="27" customHeight="1" x14ac:dyDescent="0.3">
      <c r="A97" s="177" t="s">
        <v>18</v>
      </c>
      <c r="B97" s="177">
        <v>2022</v>
      </c>
      <c r="C97" s="177">
        <v>19</v>
      </c>
      <c r="D97" s="177" t="s">
        <v>9079</v>
      </c>
      <c r="E97" s="188">
        <f>KOHC!E99</f>
        <v>5024.2802600000005</v>
      </c>
      <c r="F97" s="188">
        <f>KOHC!E41</f>
        <v>27246.220230999999</v>
      </c>
      <c r="G97" s="186">
        <f t="shared" si="3"/>
        <v>0.18440283523376622</v>
      </c>
      <c r="H97" s="186">
        <f t="shared" si="4"/>
        <v>0.18440283523376622</v>
      </c>
      <c r="I97" s="186">
        <v>0.18440283523376622</v>
      </c>
      <c r="J97" s="186">
        <f t="shared" si="5"/>
        <v>0</v>
      </c>
      <c r="K97" s="177" t="s">
        <v>9081</v>
      </c>
    </row>
    <row r="98" spans="1:11" ht="27" customHeight="1" x14ac:dyDescent="0.3">
      <c r="A98" s="180" t="s">
        <v>18</v>
      </c>
      <c r="B98" s="180">
        <v>2023</v>
      </c>
      <c r="C98" s="180">
        <v>19</v>
      </c>
      <c r="D98" s="180" t="s">
        <v>9079</v>
      </c>
      <c r="E98" s="187">
        <f>KOHC!F99</f>
        <v>5820.7511449999965</v>
      </c>
      <c r="F98" s="187">
        <f>KOHC!F41</f>
        <v>32610.044972</v>
      </c>
      <c r="G98" s="185">
        <f t="shared" si="3"/>
        <v>0.17849564911664104</v>
      </c>
      <c r="H98" s="185">
        <f t="shared" si="4"/>
        <v>0.17849564911664104</v>
      </c>
      <c r="I98" s="185">
        <v>0.17849564911664104</v>
      </c>
      <c r="J98" s="185">
        <f t="shared" si="5"/>
        <v>0</v>
      </c>
      <c r="K98" s="180" t="s">
        <v>9081</v>
      </c>
    </row>
    <row r="99" spans="1:11" ht="27" customHeight="1" x14ac:dyDescent="0.3">
      <c r="A99" s="177" t="s">
        <v>18</v>
      </c>
      <c r="B99" s="177">
        <v>2024</v>
      </c>
      <c r="C99" s="177">
        <v>19</v>
      </c>
      <c r="D99" s="177" t="s">
        <v>9079</v>
      </c>
      <c r="E99" s="188">
        <f>KOHC!G99</f>
        <v>8893.4547870000024</v>
      </c>
      <c r="F99" s="188">
        <f>KOHC!G41</f>
        <v>41090.305291000004</v>
      </c>
      <c r="G99" s="186">
        <f t="shared" si="3"/>
        <v>0.21643681457260755</v>
      </c>
      <c r="H99" s="186">
        <f t="shared" si="4"/>
        <v>0.21643681457260755</v>
      </c>
      <c r="I99" s="186">
        <v>0.21643681457260755</v>
      </c>
      <c r="J99" s="186">
        <f t="shared" si="5"/>
        <v>0</v>
      </c>
      <c r="K99" s="177" t="s">
        <v>9081</v>
      </c>
    </row>
    <row r="100" spans="1:11" ht="27" customHeight="1" x14ac:dyDescent="0.3">
      <c r="A100" s="180" t="s">
        <v>18</v>
      </c>
      <c r="B100" s="180">
        <v>2025</v>
      </c>
      <c r="C100" s="180">
        <v>19</v>
      </c>
      <c r="D100" s="180" t="s">
        <v>9079</v>
      </c>
      <c r="E100" s="187">
        <f>KOHC!H99</f>
        <v>11575.154071000001</v>
      </c>
      <c r="F100" s="187">
        <f>KOHC!H41</f>
        <v>47955.194787</v>
      </c>
      <c r="G100" s="185">
        <f t="shared" si="3"/>
        <v>0.24137435208870983</v>
      </c>
      <c r="H100" s="185">
        <f t="shared" si="4"/>
        <v>0.24137435208870983</v>
      </c>
      <c r="I100" s="185">
        <v>0.24137435208870983</v>
      </c>
      <c r="J100" s="185">
        <f t="shared" si="5"/>
        <v>0</v>
      </c>
      <c r="K100" s="180" t="s">
        <v>9081</v>
      </c>
    </row>
    <row r="101" spans="1:11" ht="27" customHeight="1" x14ac:dyDescent="0.3">
      <c r="A101" s="177" t="s">
        <v>18</v>
      </c>
      <c r="B101" s="177">
        <v>2021</v>
      </c>
      <c r="C101" s="177">
        <v>20</v>
      </c>
      <c r="D101" s="177" t="s">
        <v>9082</v>
      </c>
      <c r="E101" s="188">
        <f>((KOHC!D96+KOHC!D106)*(1-(-KOHC!D97-KOHC!D98)/KOHC!D96))</f>
        <v>3848.4812303544859</v>
      </c>
      <c r="F101" s="188">
        <f>KOHC!D70</f>
        <v>28274.325519999999</v>
      </c>
      <c r="G101" s="186">
        <f t="shared" si="3"/>
        <v>0.13611222052431424</v>
      </c>
      <c r="H101" s="186">
        <f t="shared" si="4"/>
        <v>0.13611222052431424</v>
      </c>
      <c r="I101" s="186">
        <v>0.13611222052431424</v>
      </c>
      <c r="J101" s="186">
        <f t="shared" si="5"/>
        <v>0</v>
      </c>
      <c r="K101" s="177" t="s">
        <v>9084</v>
      </c>
    </row>
    <row r="102" spans="1:11" ht="27" customHeight="1" x14ac:dyDescent="0.3">
      <c r="A102" s="180" t="s">
        <v>18</v>
      </c>
      <c r="B102" s="180">
        <v>2022</v>
      </c>
      <c r="C102" s="180">
        <v>20</v>
      </c>
      <c r="D102" s="180" t="s">
        <v>9082</v>
      </c>
      <c r="E102" s="187">
        <f>((KOHC!E96+KOHC!E106)*(1-(-KOHC!E97-KOHC!E98)/KOHC!E96))</f>
        <v>5314.3701597231238</v>
      </c>
      <c r="F102" s="187">
        <f>KOHC!E70</f>
        <v>31497.532704999998</v>
      </c>
      <c r="G102" s="185">
        <f t="shared" si="3"/>
        <v>0.16872337936741016</v>
      </c>
      <c r="H102" s="185">
        <f t="shared" si="4"/>
        <v>0.16872337936741016</v>
      </c>
      <c r="I102" s="185">
        <v>0.16872337936741016</v>
      </c>
      <c r="J102" s="185">
        <f t="shared" si="5"/>
        <v>0</v>
      </c>
      <c r="K102" s="180" t="s">
        <v>9084</v>
      </c>
    </row>
    <row r="103" spans="1:11" ht="27" customHeight="1" x14ac:dyDescent="0.3">
      <c r="A103" s="177" t="s">
        <v>18</v>
      </c>
      <c r="B103" s="177">
        <v>2023</v>
      </c>
      <c r="C103" s="177">
        <v>20</v>
      </c>
      <c r="D103" s="177" t="s">
        <v>9082</v>
      </c>
      <c r="E103" s="188">
        <f>((KOHC!F96+KOHC!F106)*(1-(-KOHC!F97-KOHC!F98)/KOHC!F96))</f>
        <v>6200.7996156683239</v>
      </c>
      <c r="F103" s="188">
        <f>KOHC!F70</f>
        <v>35793.41822</v>
      </c>
      <c r="G103" s="186">
        <f t="shared" si="3"/>
        <v>0.17323854283924056</v>
      </c>
      <c r="H103" s="186">
        <f t="shared" si="4"/>
        <v>0.17323854283924056</v>
      </c>
      <c r="I103" s="186">
        <v>0.17323854283924056</v>
      </c>
      <c r="J103" s="186">
        <f t="shared" si="5"/>
        <v>0</v>
      </c>
      <c r="K103" s="177" t="s">
        <v>9084</v>
      </c>
    </row>
    <row r="104" spans="1:11" ht="27" customHeight="1" x14ac:dyDescent="0.3">
      <c r="A104" s="180" t="s">
        <v>18</v>
      </c>
      <c r="B104" s="180">
        <v>2024</v>
      </c>
      <c r="C104" s="180">
        <v>20</v>
      </c>
      <c r="D104" s="180" t="s">
        <v>9082</v>
      </c>
      <c r="E104" s="187">
        <f>((KOHC!G96+KOHC!G106)*(1-(-KOHC!G97-KOHC!G98)/KOHC!G96))</f>
        <v>9310.6071141320244</v>
      </c>
      <c r="F104" s="187">
        <f>KOHC!G70</f>
        <v>43243.364895000006</v>
      </c>
      <c r="G104" s="185">
        <f t="shared" si="3"/>
        <v>0.21530718381280636</v>
      </c>
      <c r="H104" s="185">
        <f t="shared" si="4"/>
        <v>0.21530718381280636</v>
      </c>
      <c r="I104" s="185">
        <v>0.21530718381280636</v>
      </c>
      <c r="J104" s="185">
        <f t="shared" si="5"/>
        <v>0</v>
      </c>
      <c r="K104" s="180" t="s">
        <v>9084</v>
      </c>
    </row>
    <row r="105" spans="1:11" ht="27" customHeight="1" x14ac:dyDescent="0.3">
      <c r="A105" s="177" t="s">
        <v>18</v>
      </c>
      <c r="B105" s="177">
        <v>2025</v>
      </c>
      <c r="C105" s="177">
        <v>20</v>
      </c>
      <c r="D105" s="177" t="s">
        <v>9082</v>
      </c>
      <c r="E105" s="188">
        <f>((KOHC!H96+KOHC!H106)*(1-(-KOHC!H97-KOHC!H98)/KOHC!H96))</f>
        <v>11774.87637616051</v>
      </c>
      <c r="F105" s="188">
        <f>KOHC!H70</f>
        <v>50197.816331000002</v>
      </c>
      <c r="G105" s="186">
        <f t="shared" si="3"/>
        <v>0.23456949398989801</v>
      </c>
      <c r="H105" s="186">
        <f t="shared" si="4"/>
        <v>0.23456949398989801</v>
      </c>
      <c r="I105" s="186">
        <v>0.23456949398989801</v>
      </c>
      <c r="J105" s="186">
        <f t="shared" si="5"/>
        <v>0</v>
      </c>
      <c r="K105" s="177" t="s">
        <v>9084</v>
      </c>
    </row>
    <row r="106" spans="1:11" ht="27" customHeight="1" x14ac:dyDescent="0.3">
      <c r="A106" s="180" t="s">
        <v>18</v>
      </c>
      <c r="B106" s="180">
        <v>2021</v>
      </c>
      <c r="C106" s="180">
        <v>21</v>
      </c>
      <c r="D106" s="180" t="s">
        <v>9086</v>
      </c>
      <c r="E106" s="187">
        <f>(KOHC!D96+KOHC!D106)</f>
        <v>5376.2589380000009</v>
      </c>
      <c r="F106" s="187">
        <f>KOHC!D37</f>
        <v>36086.921437000005</v>
      </c>
      <c r="G106" s="185">
        <f t="shared" si="3"/>
        <v>0.14898081420954101</v>
      </c>
      <c r="H106" s="185">
        <f t="shared" si="4"/>
        <v>0.14898081420954101</v>
      </c>
      <c r="I106" s="185">
        <v>0.14898081420954104</v>
      </c>
      <c r="J106" s="185">
        <f t="shared" si="5"/>
        <v>-2.7755575615628914E-17</v>
      </c>
      <c r="K106" s="180" t="s">
        <v>9054</v>
      </c>
    </row>
    <row r="107" spans="1:11" ht="27" customHeight="1" x14ac:dyDescent="0.3">
      <c r="A107" s="177" t="s">
        <v>18</v>
      </c>
      <c r="B107" s="177">
        <v>2022</v>
      </c>
      <c r="C107" s="177">
        <v>21</v>
      </c>
      <c r="D107" s="177" t="s">
        <v>9086</v>
      </c>
      <c r="E107" s="188">
        <f>(KOHC!E96+KOHC!E106)</f>
        <v>9440.8254749999996</v>
      </c>
      <c r="F107" s="188">
        <f>KOHC!E37</f>
        <v>43350.667843999996</v>
      </c>
      <c r="G107" s="186">
        <f t="shared" si="3"/>
        <v>0.21777808611792054</v>
      </c>
      <c r="H107" s="186">
        <f t="shared" si="4"/>
        <v>0.21777808611792054</v>
      </c>
      <c r="I107" s="186">
        <v>0.21777808611792054</v>
      </c>
      <c r="J107" s="186">
        <f t="shared" si="5"/>
        <v>0</v>
      </c>
      <c r="K107" s="177" t="s">
        <v>9054</v>
      </c>
    </row>
    <row r="108" spans="1:11" ht="27" customHeight="1" x14ac:dyDescent="0.3">
      <c r="A108" s="180" t="s">
        <v>18</v>
      </c>
      <c r="B108" s="180">
        <v>2023</v>
      </c>
      <c r="C108" s="180">
        <v>21</v>
      </c>
      <c r="D108" s="180" t="s">
        <v>9086</v>
      </c>
      <c r="E108" s="187">
        <f>(KOHC!F96+KOHC!F106)</f>
        <v>11152.891156999996</v>
      </c>
      <c r="F108" s="187">
        <f>KOHC!F37</f>
        <v>49530.075545</v>
      </c>
      <c r="G108" s="185">
        <f t="shared" si="3"/>
        <v>0.22517411964912432</v>
      </c>
      <c r="H108" s="185">
        <f t="shared" si="4"/>
        <v>0.22517411964912432</v>
      </c>
      <c r="I108" s="185">
        <v>0.22517411964912432</v>
      </c>
      <c r="J108" s="185">
        <f t="shared" si="5"/>
        <v>0</v>
      </c>
      <c r="K108" s="180" t="s">
        <v>9054</v>
      </c>
    </row>
    <row r="109" spans="1:11" ht="27" customHeight="1" x14ac:dyDescent="0.3">
      <c r="A109" s="177" t="s">
        <v>18</v>
      </c>
      <c r="B109" s="177">
        <v>2024</v>
      </c>
      <c r="C109" s="177">
        <v>21</v>
      </c>
      <c r="D109" s="177" t="s">
        <v>9086</v>
      </c>
      <c r="E109" s="188">
        <f>(KOHC!G96+KOHC!G106)</f>
        <v>14422.469235000002</v>
      </c>
      <c r="F109" s="188">
        <f>KOHC!G37</f>
        <v>58843.295196999999</v>
      </c>
      <c r="G109" s="186">
        <f t="shared" si="3"/>
        <v>0.24509961902567451</v>
      </c>
      <c r="H109" s="186">
        <f t="shared" si="4"/>
        <v>0.24509961902567451</v>
      </c>
      <c r="I109" s="186">
        <v>0.24509961902567451</v>
      </c>
      <c r="J109" s="186">
        <f t="shared" si="5"/>
        <v>0</v>
      </c>
      <c r="K109" s="177" t="s">
        <v>9054</v>
      </c>
    </row>
    <row r="110" spans="1:11" ht="27" customHeight="1" x14ac:dyDescent="0.3">
      <c r="A110" s="180" t="s">
        <v>18</v>
      </c>
      <c r="B110" s="180">
        <v>2025</v>
      </c>
      <c r="C110" s="180">
        <v>21</v>
      </c>
      <c r="D110" s="180" t="s">
        <v>9086</v>
      </c>
      <c r="E110" s="187">
        <f>(KOHC!H96+KOHC!H106)</f>
        <v>18053.034155999998</v>
      </c>
      <c r="F110" s="187">
        <f>KOHC!H37</f>
        <v>66794.311768</v>
      </c>
      <c r="G110" s="185">
        <f t="shared" si="3"/>
        <v>0.2702780173662766</v>
      </c>
      <c r="H110" s="185">
        <f t="shared" si="4"/>
        <v>0.2702780173662766</v>
      </c>
      <c r="I110" s="185">
        <v>0.2702780173662766</v>
      </c>
      <c r="J110" s="185">
        <f t="shared" si="5"/>
        <v>0</v>
      </c>
      <c r="K110" s="180" t="s">
        <v>9054</v>
      </c>
    </row>
    <row r="111" spans="1:11" ht="27" customHeight="1" x14ac:dyDescent="0.3">
      <c r="A111" s="177" t="s">
        <v>18</v>
      </c>
      <c r="B111" s="177">
        <v>2021</v>
      </c>
      <c r="C111" s="177">
        <v>22</v>
      </c>
      <c r="D111" s="177" t="s">
        <v>9088</v>
      </c>
      <c r="E111" s="188">
        <f>KOHC!D99</f>
        <v>3497.5072470000005</v>
      </c>
      <c r="F111" s="188">
        <f>KOHC!D129</f>
        <v>200.86129700000001</v>
      </c>
      <c r="G111" s="186">
        <f t="shared" si="3"/>
        <v>17.412549352402124</v>
      </c>
      <c r="H111" s="186">
        <f t="shared" si="4"/>
        <v>17.412549352402124</v>
      </c>
      <c r="I111" s="186">
        <v>17.412549352402124</v>
      </c>
      <c r="J111" s="186">
        <f t="shared" si="5"/>
        <v>0</v>
      </c>
      <c r="K111" s="177" t="s">
        <v>9090</v>
      </c>
    </row>
    <row r="112" spans="1:11" ht="27" customHeight="1" x14ac:dyDescent="0.3">
      <c r="A112" s="180" t="s">
        <v>18</v>
      </c>
      <c r="B112" s="180">
        <v>2022</v>
      </c>
      <c r="C112" s="180">
        <v>22</v>
      </c>
      <c r="D112" s="180" t="s">
        <v>9088</v>
      </c>
      <c r="E112" s="187">
        <f>KOHC!E99</f>
        <v>5024.2802600000005</v>
      </c>
      <c r="F112" s="187">
        <f>KOHC!E129</f>
        <v>200.86129700000001</v>
      </c>
      <c r="G112" s="185">
        <f t="shared" si="3"/>
        <v>25.013680261160516</v>
      </c>
      <c r="H112" s="185">
        <f t="shared" si="4"/>
        <v>25.013680261160516</v>
      </c>
      <c r="I112" s="185">
        <v>25.013680261160516</v>
      </c>
      <c r="J112" s="185">
        <f t="shared" si="5"/>
        <v>0</v>
      </c>
      <c r="K112" s="180" t="s">
        <v>9090</v>
      </c>
    </row>
    <row r="113" spans="1:11" ht="27" customHeight="1" x14ac:dyDescent="0.3">
      <c r="A113" s="177" t="s">
        <v>18</v>
      </c>
      <c r="B113" s="177">
        <v>2023</v>
      </c>
      <c r="C113" s="177">
        <v>22</v>
      </c>
      <c r="D113" s="177" t="s">
        <v>9088</v>
      </c>
      <c r="E113" s="188">
        <f>KOHC!F99</f>
        <v>5820.7511449999965</v>
      </c>
      <c r="F113" s="188">
        <f>KOHC!F129</f>
        <v>200.86129700000001</v>
      </c>
      <c r="G113" s="186">
        <f t="shared" si="3"/>
        <v>28.978958275869324</v>
      </c>
      <c r="H113" s="186">
        <f t="shared" si="4"/>
        <v>28.978958275869324</v>
      </c>
      <c r="I113" s="186">
        <v>28.978958275869324</v>
      </c>
      <c r="J113" s="186">
        <f t="shared" si="5"/>
        <v>0</v>
      </c>
      <c r="K113" s="177" t="s">
        <v>9090</v>
      </c>
    </row>
    <row r="114" spans="1:11" ht="27" customHeight="1" x14ac:dyDescent="0.3">
      <c r="A114" s="180" t="s">
        <v>18</v>
      </c>
      <c r="B114" s="180">
        <v>2024</v>
      </c>
      <c r="C114" s="180">
        <v>22</v>
      </c>
      <c r="D114" s="180" t="s">
        <v>9088</v>
      </c>
      <c r="E114" s="187">
        <f>KOHC!G99</f>
        <v>8893.4547870000024</v>
      </c>
      <c r="F114" s="187">
        <f>KOHC!G129</f>
        <v>196.435067</v>
      </c>
      <c r="G114" s="185">
        <f t="shared" si="3"/>
        <v>45.274272678614977</v>
      </c>
      <c r="H114" s="185">
        <f t="shared" si="4"/>
        <v>45.274272678614977</v>
      </c>
      <c r="I114" s="185">
        <v>45.274272678614977</v>
      </c>
      <c r="J114" s="185">
        <f t="shared" si="5"/>
        <v>0</v>
      </c>
      <c r="K114" s="180" t="s">
        <v>9090</v>
      </c>
    </row>
    <row r="115" spans="1:11" ht="27" customHeight="1" x14ac:dyDescent="0.3">
      <c r="A115" s="177" t="s">
        <v>18</v>
      </c>
      <c r="B115" s="177">
        <v>2025</v>
      </c>
      <c r="C115" s="177">
        <v>22</v>
      </c>
      <c r="D115" s="177" t="s">
        <v>9088</v>
      </c>
      <c r="E115" s="188">
        <f>KOHC!H99</f>
        <v>11575.154071000001</v>
      </c>
      <c r="F115" s="188">
        <f>KOHC!H129</f>
        <v>193.42841999999999</v>
      </c>
      <c r="G115" s="186">
        <f t="shared" si="3"/>
        <v>59.842054600869929</v>
      </c>
      <c r="H115" s="186">
        <f t="shared" si="4"/>
        <v>59.842054600869929</v>
      </c>
      <c r="I115" s="186">
        <v>59.842054600869929</v>
      </c>
      <c r="J115" s="186">
        <f t="shared" si="5"/>
        <v>0</v>
      </c>
      <c r="K115" s="177" t="s">
        <v>9090</v>
      </c>
    </row>
    <row r="116" spans="1:11" ht="27" customHeight="1" x14ac:dyDescent="0.3">
      <c r="A116" s="180" t="s">
        <v>18</v>
      </c>
      <c r="B116" s="180">
        <v>2021</v>
      </c>
      <c r="C116" s="180">
        <v>23</v>
      </c>
      <c r="D116" s="180" t="s">
        <v>9091</v>
      </c>
      <c r="E116" s="187">
        <f>KOHC!D41</f>
        <v>22223.539370999999</v>
      </c>
      <c r="F116" s="187">
        <f>KOHC!D128</f>
        <v>200.86129699999998</v>
      </c>
      <c r="G116" s="185">
        <f t="shared" si="3"/>
        <v>110.64122209168052</v>
      </c>
      <c r="H116" s="185">
        <f t="shared" si="4"/>
        <v>110.64122209168052</v>
      </c>
      <c r="I116" s="185">
        <v>110.64122209168052</v>
      </c>
      <c r="J116" s="185">
        <f t="shared" si="5"/>
        <v>0</v>
      </c>
      <c r="K116" s="180" t="s">
        <v>9093</v>
      </c>
    </row>
    <row r="117" spans="1:11" ht="27" customHeight="1" x14ac:dyDescent="0.3">
      <c r="A117" s="177" t="s">
        <v>18</v>
      </c>
      <c r="B117" s="177">
        <v>2022</v>
      </c>
      <c r="C117" s="177">
        <v>23</v>
      </c>
      <c r="D117" s="177" t="s">
        <v>9091</v>
      </c>
      <c r="E117" s="188">
        <f>KOHC!E41</f>
        <v>27246.220230999999</v>
      </c>
      <c r="F117" s="188">
        <f>KOHC!E128</f>
        <v>200.86129699999998</v>
      </c>
      <c r="G117" s="186">
        <f t="shared" si="3"/>
        <v>135.64693964412666</v>
      </c>
      <c r="H117" s="186">
        <f t="shared" si="4"/>
        <v>135.64693964412666</v>
      </c>
      <c r="I117" s="186">
        <v>135.64693964412666</v>
      </c>
      <c r="J117" s="186">
        <f t="shared" si="5"/>
        <v>0</v>
      </c>
      <c r="K117" s="177" t="s">
        <v>9093</v>
      </c>
    </row>
    <row r="118" spans="1:11" ht="27" customHeight="1" x14ac:dyDescent="0.3">
      <c r="A118" s="180" t="s">
        <v>18</v>
      </c>
      <c r="B118" s="180">
        <v>2023</v>
      </c>
      <c r="C118" s="180">
        <v>23</v>
      </c>
      <c r="D118" s="180" t="s">
        <v>9091</v>
      </c>
      <c r="E118" s="187">
        <f>KOHC!F41</f>
        <v>32610.044972</v>
      </c>
      <c r="F118" s="187">
        <f>KOHC!F128</f>
        <v>200.86129699999998</v>
      </c>
      <c r="G118" s="185">
        <f t="shared" si="3"/>
        <v>162.35106244484723</v>
      </c>
      <c r="H118" s="185">
        <f t="shared" si="4"/>
        <v>162.35106244484723</v>
      </c>
      <c r="I118" s="185">
        <v>162.35106244484723</v>
      </c>
      <c r="J118" s="185">
        <f t="shared" si="5"/>
        <v>0</v>
      </c>
      <c r="K118" s="180" t="s">
        <v>9093</v>
      </c>
    </row>
    <row r="119" spans="1:11" ht="27" customHeight="1" x14ac:dyDescent="0.3">
      <c r="A119" s="177" t="s">
        <v>18</v>
      </c>
      <c r="B119" s="177">
        <v>2024</v>
      </c>
      <c r="C119" s="177">
        <v>23</v>
      </c>
      <c r="D119" s="177" t="s">
        <v>9091</v>
      </c>
      <c r="E119" s="188">
        <f>KOHC!G41</f>
        <v>41090.305291000004</v>
      </c>
      <c r="F119" s="188">
        <f>KOHC!G128</f>
        <v>195.86129699999998</v>
      </c>
      <c r="G119" s="186">
        <f t="shared" si="3"/>
        <v>209.79287853383309</v>
      </c>
      <c r="H119" s="186">
        <f t="shared" si="4"/>
        <v>209.79287853383309</v>
      </c>
      <c r="I119" s="186">
        <v>209.79287853383309</v>
      </c>
      <c r="J119" s="186">
        <f t="shared" si="5"/>
        <v>0</v>
      </c>
      <c r="K119" s="177" t="s">
        <v>9093</v>
      </c>
    </row>
    <row r="120" spans="1:11" ht="27" customHeight="1" x14ac:dyDescent="0.3">
      <c r="A120" s="180" t="s">
        <v>18</v>
      </c>
      <c r="B120" s="180">
        <v>2025</v>
      </c>
      <c r="C120" s="180">
        <v>23</v>
      </c>
      <c r="D120" s="180" t="s">
        <v>9091</v>
      </c>
      <c r="E120" s="187">
        <f>KOHC!H41</f>
        <v>47955.194787</v>
      </c>
      <c r="F120" s="187">
        <f>KOHC!H128</f>
        <v>183.86129699999998</v>
      </c>
      <c r="G120" s="185">
        <f t="shared" si="3"/>
        <v>260.8226721418157</v>
      </c>
      <c r="H120" s="185">
        <f t="shared" si="4"/>
        <v>260.8226721418157</v>
      </c>
      <c r="I120" s="185">
        <v>260.8226721418157</v>
      </c>
      <c r="J120" s="185">
        <f t="shared" si="5"/>
        <v>0</v>
      </c>
      <c r="K120" s="180" t="s">
        <v>9093</v>
      </c>
    </row>
    <row r="121" spans="1:11" ht="27" customHeight="1" x14ac:dyDescent="0.3">
      <c r="A121" s="177" t="s">
        <v>18</v>
      </c>
      <c r="B121" s="177">
        <v>2021</v>
      </c>
      <c r="C121" s="177">
        <v>24</v>
      </c>
      <c r="D121" s="177" t="s">
        <v>9094</v>
      </c>
      <c r="E121" s="188">
        <f>KOHC!D130</f>
        <v>206.49</v>
      </c>
      <c r="F121" s="188">
        <f>KOHC!D99/KOHC!D129</f>
        <v>17.412549352402124</v>
      </c>
      <c r="G121" s="186">
        <f t="shared" si="3"/>
        <v>11.858688571154802</v>
      </c>
      <c r="H121" s="186">
        <f t="shared" si="4"/>
        <v>11.858688571154802</v>
      </c>
      <c r="I121" s="186">
        <v>11.858688571154802</v>
      </c>
      <c r="J121" s="186">
        <f t="shared" si="5"/>
        <v>0</v>
      </c>
      <c r="K121" s="177" t="s">
        <v>9096</v>
      </c>
    </row>
    <row r="122" spans="1:11" ht="27" customHeight="1" x14ac:dyDescent="0.3">
      <c r="A122" s="180" t="s">
        <v>18</v>
      </c>
      <c r="B122" s="180">
        <v>2022</v>
      </c>
      <c r="C122" s="180">
        <v>24</v>
      </c>
      <c r="D122" s="180" t="s">
        <v>9094</v>
      </c>
      <c r="E122" s="187">
        <f>KOHC!E130</f>
        <v>130.13</v>
      </c>
      <c r="F122" s="187">
        <f>KOHC!E99/KOHC!E129</f>
        <v>25.013680261160516</v>
      </c>
      <c r="G122" s="185">
        <f t="shared" si="3"/>
        <v>5.2023532179731546</v>
      </c>
      <c r="H122" s="185">
        <f t="shared" si="4"/>
        <v>5.2023532179731546</v>
      </c>
      <c r="I122" s="185">
        <v>5.2023532179731546</v>
      </c>
      <c r="J122" s="185">
        <f t="shared" si="5"/>
        <v>0</v>
      </c>
      <c r="K122" s="180" t="s">
        <v>9096</v>
      </c>
    </row>
    <row r="123" spans="1:11" ht="27" customHeight="1" x14ac:dyDescent="0.3">
      <c r="A123" s="177" t="s">
        <v>18</v>
      </c>
      <c r="B123" s="177">
        <v>2023</v>
      </c>
      <c r="C123" s="177">
        <v>24</v>
      </c>
      <c r="D123" s="177" t="s">
        <v>9094</v>
      </c>
      <c r="E123" s="188">
        <f>KOHC!F130</f>
        <v>173.47</v>
      </c>
      <c r="F123" s="188">
        <f>KOHC!F99/KOHC!F129</f>
        <v>28.978958275869324</v>
      </c>
      <c r="G123" s="186">
        <f t="shared" si="3"/>
        <v>5.9860674889907219</v>
      </c>
      <c r="H123" s="186">
        <f t="shared" si="4"/>
        <v>5.9860674889907219</v>
      </c>
      <c r="I123" s="186">
        <v>5.9860674889907219</v>
      </c>
      <c r="J123" s="186">
        <f t="shared" si="5"/>
        <v>0</v>
      </c>
      <c r="K123" s="177" t="s">
        <v>9096</v>
      </c>
    </row>
    <row r="124" spans="1:11" ht="27" customHeight="1" x14ac:dyDescent="0.3">
      <c r="A124" s="180" t="s">
        <v>18</v>
      </c>
      <c r="B124" s="180">
        <v>2024</v>
      </c>
      <c r="C124" s="180">
        <v>24</v>
      </c>
      <c r="D124" s="180" t="s">
        <v>9094</v>
      </c>
      <c r="E124" s="187">
        <f>KOHC!G130</f>
        <v>250.43</v>
      </c>
      <c r="F124" s="187">
        <f>KOHC!G99/KOHC!G129</f>
        <v>45.274272678614977</v>
      </c>
      <c r="G124" s="185">
        <f t="shared" si="3"/>
        <v>5.5313975285193058</v>
      </c>
      <c r="H124" s="185">
        <f t="shared" si="4"/>
        <v>5.5313975285193058</v>
      </c>
      <c r="I124" s="185">
        <v>5.5313975285193058</v>
      </c>
      <c r="J124" s="185">
        <f t="shared" si="5"/>
        <v>0</v>
      </c>
      <c r="K124" s="180" t="s">
        <v>9096</v>
      </c>
    </row>
    <row r="125" spans="1:11" ht="27" customHeight="1" x14ac:dyDescent="0.3">
      <c r="A125" s="177" t="s">
        <v>18</v>
      </c>
      <c r="B125" s="177">
        <v>2025</v>
      </c>
      <c r="C125" s="177">
        <v>24</v>
      </c>
      <c r="D125" s="177" t="s">
        <v>9094</v>
      </c>
      <c r="E125" s="188">
        <f>KOHC!H130</f>
        <v>379.36</v>
      </c>
      <c r="F125" s="188">
        <f>KOHC!H99/KOHC!H129</f>
        <v>59.842054600869929</v>
      </c>
      <c r="G125" s="186">
        <f t="shared" si="3"/>
        <v>6.3393545313613817</v>
      </c>
      <c r="H125" s="186">
        <f t="shared" si="4"/>
        <v>6.3393545313613817</v>
      </c>
      <c r="I125" s="186">
        <v>6.3393545313613817</v>
      </c>
      <c r="J125" s="186">
        <f t="shared" si="5"/>
        <v>0</v>
      </c>
      <c r="K125" s="177" t="s">
        <v>9096</v>
      </c>
    </row>
    <row r="126" spans="1:11" ht="27" customHeight="1" x14ac:dyDescent="0.3">
      <c r="A126" s="180" t="s">
        <v>18</v>
      </c>
      <c r="B126" s="180">
        <v>2021</v>
      </c>
      <c r="C126" s="180">
        <v>25</v>
      </c>
      <c r="D126" s="180" t="s">
        <v>9097</v>
      </c>
      <c r="E126" s="187">
        <f>KOHC!D130</f>
        <v>206.49</v>
      </c>
      <c r="F126" s="187">
        <f>KOHC!D41/KOHC!D128</f>
        <v>110.64122209168052</v>
      </c>
      <c r="G126" s="185">
        <f t="shared" si="3"/>
        <v>1.8663025958706099</v>
      </c>
      <c r="H126" s="185">
        <f t="shared" si="4"/>
        <v>1.8663025958706099</v>
      </c>
      <c r="I126" s="185">
        <v>1.8663025958706099</v>
      </c>
      <c r="J126" s="185">
        <f t="shared" si="5"/>
        <v>0</v>
      </c>
      <c r="K126" s="180" t="s">
        <v>9096</v>
      </c>
    </row>
    <row r="127" spans="1:11" ht="27" customHeight="1" x14ac:dyDescent="0.3">
      <c r="A127" s="177" t="s">
        <v>18</v>
      </c>
      <c r="B127" s="177">
        <v>2022</v>
      </c>
      <c r="C127" s="177">
        <v>25</v>
      </c>
      <c r="D127" s="177" t="s">
        <v>9097</v>
      </c>
      <c r="E127" s="188">
        <f>KOHC!E130</f>
        <v>130.13</v>
      </c>
      <c r="F127" s="188">
        <f>KOHC!E41/KOHC!E128</f>
        <v>135.64693964412666</v>
      </c>
      <c r="G127" s="186">
        <f t="shared" si="3"/>
        <v>0.95932868328175702</v>
      </c>
      <c r="H127" s="186">
        <f t="shared" si="4"/>
        <v>0.95932868328175702</v>
      </c>
      <c r="I127" s="186">
        <v>0.95932868328175702</v>
      </c>
      <c r="J127" s="186">
        <f t="shared" si="5"/>
        <v>0</v>
      </c>
      <c r="K127" s="177" t="s">
        <v>9096</v>
      </c>
    </row>
    <row r="128" spans="1:11" ht="27" customHeight="1" x14ac:dyDescent="0.3">
      <c r="A128" s="180" t="s">
        <v>18</v>
      </c>
      <c r="B128" s="180">
        <v>2023</v>
      </c>
      <c r="C128" s="180">
        <v>25</v>
      </c>
      <c r="D128" s="180" t="s">
        <v>9097</v>
      </c>
      <c r="E128" s="187">
        <f>KOHC!F130</f>
        <v>173.47</v>
      </c>
      <c r="F128" s="187">
        <f>KOHC!F41/KOHC!F128</f>
        <v>162.35106244484723</v>
      </c>
      <c r="G128" s="185">
        <f t="shared" si="3"/>
        <v>1.0684870021034203</v>
      </c>
      <c r="H128" s="185">
        <f t="shared" si="4"/>
        <v>1.0684870021034203</v>
      </c>
      <c r="I128" s="185">
        <v>1.0684870021034203</v>
      </c>
      <c r="J128" s="185">
        <f t="shared" si="5"/>
        <v>0</v>
      </c>
      <c r="K128" s="180" t="s">
        <v>9096</v>
      </c>
    </row>
    <row r="129" spans="1:11" ht="27" customHeight="1" x14ac:dyDescent="0.3">
      <c r="A129" s="177" t="s">
        <v>18</v>
      </c>
      <c r="B129" s="177">
        <v>2024</v>
      </c>
      <c r="C129" s="177">
        <v>25</v>
      </c>
      <c r="D129" s="177" t="s">
        <v>9097</v>
      </c>
      <c r="E129" s="188">
        <f>KOHC!G130</f>
        <v>250.43</v>
      </c>
      <c r="F129" s="188">
        <f>KOHC!G41/KOHC!G128</f>
        <v>209.79287853383309</v>
      </c>
      <c r="G129" s="186">
        <f t="shared" si="3"/>
        <v>1.1937011482475723</v>
      </c>
      <c r="H129" s="186">
        <f t="shared" si="4"/>
        <v>1.1937011482475723</v>
      </c>
      <c r="I129" s="186">
        <v>1.1937011482475721</v>
      </c>
      <c r="J129" s="186">
        <f t="shared" si="5"/>
        <v>2.2204460492503131E-16</v>
      </c>
      <c r="K129" s="177" t="s">
        <v>9096</v>
      </c>
    </row>
    <row r="130" spans="1:11" ht="27" customHeight="1" x14ac:dyDescent="0.3">
      <c r="A130" s="180" t="s">
        <v>18</v>
      </c>
      <c r="B130" s="180">
        <v>2025</v>
      </c>
      <c r="C130" s="180">
        <v>25</v>
      </c>
      <c r="D130" s="180" t="s">
        <v>9097</v>
      </c>
      <c r="E130" s="187">
        <f>KOHC!H130</f>
        <v>379.36</v>
      </c>
      <c r="F130" s="187">
        <f>KOHC!H41/KOHC!H128</f>
        <v>260.8226721418157</v>
      </c>
      <c r="G130" s="185">
        <f t="shared" si="3"/>
        <v>1.4544747850514033</v>
      </c>
      <c r="H130" s="185">
        <f t="shared" si="4"/>
        <v>1.4544747850514033</v>
      </c>
      <c r="I130" s="185">
        <v>1.4544747850514033</v>
      </c>
      <c r="J130" s="185">
        <f t="shared" si="5"/>
        <v>0</v>
      </c>
      <c r="K130" s="180" t="s">
        <v>9096</v>
      </c>
    </row>
    <row r="131" spans="1:11" ht="27" customHeight="1" x14ac:dyDescent="0.3">
      <c r="A131" s="177" t="s">
        <v>18</v>
      </c>
      <c r="B131" s="177">
        <v>2021</v>
      </c>
      <c r="C131" s="177">
        <v>26</v>
      </c>
      <c r="D131" s="177" t="s">
        <v>9099</v>
      </c>
      <c r="E131" s="188">
        <f>KOHC!D131</f>
        <v>0</v>
      </c>
      <c r="F131" s="188">
        <f>KOHC!D130</f>
        <v>206.49</v>
      </c>
      <c r="G131" s="186">
        <f t="shared" si="3"/>
        <v>0</v>
      </c>
      <c r="H131" s="186">
        <f t="shared" si="4"/>
        <v>0</v>
      </c>
      <c r="I131" s="186">
        <v>0</v>
      </c>
      <c r="J131" s="186">
        <f t="shared" si="5"/>
        <v>0</v>
      </c>
      <c r="K131" s="177" t="s">
        <v>9101</v>
      </c>
    </row>
    <row r="132" spans="1:11" ht="27" customHeight="1" x14ac:dyDescent="0.3">
      <c r="A132" s="180" t="s">
        <v>18</v>
      </c>
      <c r="B132" s="180">
        <v>2022</v>
      </c>
      <c r="C132" s="180">
        <v>26</v>
      </c>
      <c r="D132" s="180" t="s">
        <v>9099</v>
      </c>
      <c r="E132" s="187">
        <f>KOHC!E131</f>
        <v>0</v>
      </c>
      <c r="F132" s="187">
        <f>KOHC!E130</f>
        <v>130.13</v>
      </c>
      <c r="G132" s="185">
        <f t="shared" si="3"/>
        <v>0</v>
      </c>
      <c r="H132" s="185">
        <f t="shared" si="4"/>
        <v>0</v>
      </c>
      <c r="I132" s="185">
        <v>0</v>
      </c>
      <c r="J132" s="185">
        <f t="shared" si="5"/>
        <v>0</v>
      </c>
      <c r="K132" s="180" t="s">
        <v>9101</v>
      </c>
    </row>
    <row r="133" spans="1:11" ht="27" customHeight="1" x14ac:dyDescent="0.3">
      <c r="A133" s="177" t="s">
        <v>18</v>
      </c>
      <c r="B133" s="177">
        <v>2023</v>
      </c>
      <c r="C133" s="177">
        <v>26</v>
      </c>
      <c r="D133" s="177" t="s">
        <v>9099</v>
      </c>
      <c r="E133" s="188">
        <f>KOHC!F131</f>
        <v>0</v>
      </c>
      <c r="F133" s="188">
        <f>KOHC!F130</f>
        <v>173.47</v>
      </c>
      <c r="G133" s="186">
        <f t="shared" si="3"/>
        <v>0</v>
      </c>
      <c r="H133" s="186">
        <f t="shared" si="4"/>
        <v>0</v>
      </c>
      <c r="I133" s="186">
        <v>0</v>
      </c>
      <c r="J133" s="186">
        <f t="shared" si="5"/>
        <v>0</v>
      </c>
      <c r="K133" s="177" t="s">
        <v>9101</v>
      </c>
    </row>
    <row r="134" spans="1:11" ht="27" customHeight="1" x14ac:dyDescent="0.3">
      <c r="A134" s="180" t="s">
        <v>18</v>
      </c>
      <c r="B134" s="180">
        <v>2024</v>
      </c>
      <c r="C134" s="180">
        <v>26</v>
      </c>
      <c r="D134" s="180" t="s">
        <v>9099</v>
      </c>
      <c r="E134" s="187">
        <f>KOHC!G131</f>
        <v>0</v>
      </c>
      <c r="F134" s="187">
        <f>KOHC!G130</f>
        <v>250.43</v>
      </c>
      <c r="G134" s="185">
        <f t="shared" ref="G134:G197" si="6">IF(OR(NOT(ISNUMBER(E134)),NOT(ISNUMBER(F134)),F134=0),"n/m",E134/F134)</f>
        <v>0</v>
      </c>
      <c r="H134" s="185">
        <f t="shared" ref="H134:H197" si="7">IF(OR(NOT(ISNUMBER(E134)),NOT(ISNUMBER(F134))),"n/m",IF(OR((F134)&lt;=0,(E134)&lt;0),"n/m",(E134)/(F134)))</f>
        <v>0</v>
      </c>
      <c r="I134" s="185">
        <v>0</v>
      </c>
      <c r="J134" s="185">
        <f t="shared" ref="J134:J197" si="8">IF(AND(ISNUMBER(G134),ISNUMBER(I134)),G134-I134,IF(G134=I134,0,"Review"))</f>
        <v>0</v>
      </c>
      <c r="K134" s="180" t="s">
        <v>9101</v>
      </c>
    </row>
    <row r="135" spans="1:11" ht="27" customHeight="1" x14ac:dyDescent="0.3">
      <c r="A135" s="177" t="s">
        <v>18</v>
      </c>
      <c r="B135" s="177">
        <v>2025</v>
      </c>
      <c r="C135" s="177">
        <v>26</v>
      </c>
      <c r="D135" s="177" t="s">
        <v>9099</v>
      </c>
      <c r="E135" s="188">
        <f>KOHC!H131</f>
        <v>0</v>
      </c>
      <c r="F135" s="188">
        <f>KOHC!H130</f>
        <v>379.36</v>
      </c>
      <c r="G135" s="186">
        <f t="shared" si="6"/>
        <v>0</v>
      </c>
      <c r="H135" s="186">
        <f t="shared" si="7"/>
        <v>0</v>
      </c>
      <c r="I135" s="186">
        <v>0</v>
      </c>
      <c r="J135" s="186">
        <f t="shared" si="8"/>
        <v>0</v>
      </c>
      <c r="K135" s="177" t="s">
        <v>9101</v>
      </c>
    </row>
    <row r="136" spans="1:11" ht="27" customHeight="1" x14ac:dyDescent="0.3">
      <c r="A136" s="180" t="s">
        <v>18</v>
      </c>
      <c r="B136" s="180">
        <v>2021</v>
      </c>
      <c r="C136" s="180">
        <v>27</v>
      </c>
      <c r="D136" s="180" t="s">
        <v>9102</v>
      </c>
      <c r="E136" s="187">
        <f>'EV Inputs'!Z6</f>
        <v>46451.519988529995</v>
      </c>
      <c r="F136" s="187">
        <f>'EV Inputs'!AB6</f>
        <v>6606.9516390000008</v>
      </c>
      <c r="G136" s="185">
        <f t="shared" si="6"/>
        <v>7.030703799061059</v>
      </c>
      <c r="H136" s="185">
        <f t="shared" si="7"/>
        <v>7.030703799061059</v>
      </c>
      <c r="I136" s="185">
        <v>7.030703799061059</v>
      </c>
      <c r="J136" s="185">
        <f t="shared" si="8"/>
        <v>0</v>
      </c>
      <c r="K136" s="180" t="s">
        <v>9104</v>
      </c>
    </row>
    <row r="137" spans="1:11" ht="27" customHeight="1" x14ac:dyDescent="0.3">
      <c r="A137" s="177" t="s">
        <v>18</v>
      </c>
      <c r="B137" s="177">
        <v>2022</v>
      </c>
      <c r="C137" s="177">
        <v>27</v>
      </c>
      <c r="D137" s="177" t="s">
        <v>9102</v>
      </c>
      <c r="E137" s="188">
        <f>'EV Inputs'!Z7</f>
        <v>30050.799413609995</v>
      </c>
      <c r="F137" s="188">
        <f>'EV Inputs'!AB7</f>
        <v>10558.935291</v>
      </c>
      <c r="G137" s="186">
        <f t="shared" si="6"/>
        <v>2.8460065892461768</v>
      </c>
      <c r="H137" s="186">
        <f t="shared" si="7"/>
        <v>2.8460065892461768</v>
      </c>
      <c r="I137" s="186">
        <v>2.8460065892461768</v>
      </c>
      <c r="J137" s="186">
        <f t="shared" si="8"/>
        <v>0</v>
      </c>
      <c r="K137" s="177" t="s">
        <v>9104</v>
      </c>
    </row>
    <row r="138" spans="1:11" ht="27" customHeight="1" x14ac:dyDescent="0.3">
      <c r="A138" s="180" t="s">
        <v>18</v>
      </c>
      <c r="B138" s="180">
        <v>2023</v>
      </c>
      <c r="C138" s="180">
        <v>27</v>
      </c>
      <c r="D138" s="180" t="s">
        <v>9102</v>
      </c>
      <c r="E138" s="187">
        <f>'EV Inputs'!Z8</f>
        <v>37285.920035590003</v>
      </c>
      <c r="F138" s="187">
        <f>'EV Inputs'!AB8</f>
        <v>12268.904546999996</v>
      </c>
      <c r="G138" s="185">
        <f t="shared" si="6"/>
        <v>3.0390586129963157</v>
      </c>
      <c r="H138" s="185">
        <f t="shared" si="7"/>
        <v>3.0390586129963157</v>
      </c>
      <c r="I138" s="185">
        <v>3.0390586129963157</v>
      </c>
      <c r="J138" s="185">
        <f t="shared" si="8"/>
        <v>0</v>
      </c>
      <c r="K138" s="180" t="s">
        <v>9104</v>
      </c>
    </row>
    <row r="139" spans="1:11" ht="27" customHeight="1" x14ac:dyDescent="0.3">
      <c r="A139" s="177" t="s">
        <v>18</v>
      </c>
      <c r="B139" s="177">
        <v>2024</v>
      </c>
      <c r="C139" s="177">
        <v>27</v>
      </c>
      <c r="D139" s="177" t="s">
        <v>9102</v>
      </c>
      <c r="E139" s="188">
        <f>'EV Inputs'!Z9</f>
        <v>50234.89480971</v>
      </c>
      <c r="F139" s="188">
        <f>'EV Inputs'!AB9</f>
        <v>15605.256409000001</v>
      </c>
      <c r="G139" s="186">
        <f t="shared" si="6"/>
        <v>3.2191008909496732</v>
      </c>
      <c r="H139" s="186">
        <f t="shared" si="7"/>
        <v>3.2191008909496732</v>
      </c>
      <c r="I139" s="186">
        <v>3.2191008909496732</v>
      </c>
      <c r="J139" s="186">
        <f t="shared" si="8"/>
        <v>0</v>
      </c>
      <c r="K139" s="177" t="s">
        <v>9104</v>
      </c>
    </row>
    <row r="140" spans="1:11" ht="27" customHeight="1" x14ac:dyDescent="0.3">
      <c r="A140" s="180" t="s">
        <v>18</v>
      </c>
      <c r="B140" s="180">
        <v>2025</v>
      </c>
      <c r="C140" s="180">
        <v>27</v>
      </c>
      <c r="D140" s="180" t="s">
        <v>9102</v>
      </c>
      <c r="E140" s="187">
        <f>'EV Inputs'!Z10</f>
        <v>70588.960847919981</v>
      </c>
      <c r="F140" s="187">
        <f>'EV Inputs'!AB10</f>
        <v>19318.028902999999</v>
      </c>
      <c r="G140" s="185">
        <f t="shared" si="6"/>
        <v>3.6540457208322041</v>
      </c>
      <c r="H140" s="185">
        <f t="shared" si="7"/>
        <v>3.6540457208322041</v>
      </c>
      <c r="I140" s="185">
        <v>3.6540457208322041</v>
      </c>
      <c r="J140" s="185">
        <f t="shared" si="8"/>
        <v>0</v>
      </c>
      <c r="K140" s="180" t="s">
        <v>9104</v>
      </c>
    </row>
    <row r="141" spans="1:11" ht="27" customHeight="1" x14ac:dyDescent="0.3">
      <c r="A141" s="177" t="s">
        <v>68</v>
      </c>
      <c r="B141" s="177">
        <v>2021</v>
      </c>
      <c r="C141" s="177">
        <v>1</v>
      </c>
      <c r="D141" s="177" t="s">
        <v>9018</v>
      </c>
      <c r="E141" s="188">
        <f>LUCK!D36</f>
        <v>40676.368000000002</v>
      </c>
      <c r="F141" s="188">
        <f>LUCK!D61</f>
        <v>30387.065999999995</v>
      </c>
      <c r="G141" s="186">
        <f t="shared" si="6"/>
        <v>1.3386079458938223</v>
      </c>
      <c r="H141" s="186">
        <f t="shared" si="7"/>
        <v>1.3386079458938223</v>
      </c>
      <c r="I141" s="186">
        <v>1.3386079458938223</v>
      </c>
      <c r="J141" s="186">
        <f t="shared" si="8"/>
        <v>0</v>
      </c>
      <c r="K141" s="177" t="s">
        <v>9022</v>
      </c>
    </row>
    <row r="142" spans="1:11" ht="27" customHeight="1" x14ac:dyDescent="0.3">
      <c r="A142" s="180" t="s">
        <v>68</v>
      </c>
      <c r="B142" s="180">
        <v>2022</v>
      </c>
      <c r="C142" s="180">
        <v>1</v>
      </c>
      <c r="D142" s="180" t="s">
        <v>9018</v>
      </c>
      <c r="E142" s="187">
        <f>LUCK!E36</f>
        <v>44815.691000000006</v>
      </c>
      <c r="F142" s="187">
        <f>LUCK!E61</f>
        <v>30361.358</v>
      </c>
      <c r="G142" s="185">
        <f t="shared" si="6"/>
        <v>1.4760766300374313</v>
      </c>
      <c r="H142" s="185">
        <f t="shared" si="7"/>
        <v>1.4760766300374313</v>
      </c>
      <c r="I142" s="185">
        <v>1.4760766300374311</v>
      </c>
      <c r="J142" s="185">
        <f t="shared" si="8"/>
        <v>2.2204460492503131E-16</v>
      </c>
      <c r="K142" s="180" t="s">
        <v>9022</v>
      </c>
    </row>
    <row r="143" spans="1:11" ht="27" customHeight="1" x14ac:dyDescent="0.3">
      <c r="A143" s="177" t="s">
        <v>68</v>
      </c>
      <c r="B143" s="177">
        <v>2023</v>
      </c>
      <c r="C143" s="177">
        <v>1</v>
      </c>
      <c r="D143" s="177" t="s">
        <v>9018</v>
      </c>
      <c r="E143" s="188">
        <f>LUCK!F36</f>
        <v>59576.642</v>
      </c>
      <c r="F143" s="188">
        <f>LUCK!F61</f>
        <v>46180.879000000001</v>
      </c>
      <c r="G143" s="186">
        <f t="shared" si="6"/>
        <v>1.290071633326858</v>
      </c>
      <c r="H143" s="186">
        <f t="shared" si="7"/>
        <v>1.290071633326858</v>
      </c>
      <c r="I143" s="186">
        <v>1.290071633326858</v>
      </c>
      <c r="J143" s="186">
        <f t="shared" si="8"/>
        <v>0</v>
      </c>
      <c r="K143" s="177" t="s">
        <v>9022</v>
      </c>
    </row>
    <row r="144" spans="1:11" ht="27" customHeight="1" x14ac:dyDescent="0.3">
      <c r="A144" s="180" t="s">
        <v>68</v>
      </c>
      <c r="B144" s="180">
        <v>2024</v>
      </c>
      <c r="C144" s="180">
        <v>1</v>
      </c>
      <c r="D144" s="180" t="s">
        <v>9018</v>
      </c>
      <c r="E144" s="187">
        <f>LUCK!G36</f>
        <v>68452.084000000003</v>
      </c>
      <c r="F144" s="187">
        <f>LUCK!G61</f>
        <v>54188.472999999998</v>
      </c>
      <c r="G144" s="185">
        <f t="shared" si="6"/>
        <v>1.2632222354743232</v>
      </c>
      <c r="H144" s="185">
        <f t="shared" si="7"/>
        <v>1.2632222354743232</v>
      </c>
      <c r="I144" s="185">
        <v>1.2632222354743232</v>
      </c>
      <c r="J144" s="185">
        <f t="shared" si="8"/>
        <v>0</v>
      </c>
      <c r="K144" s="180" t="s">
        <v>9022</v>
      </c>
    </row>
    <row r="145" spans="1:11" ht="27" customHeight="1" x14ac:dyDescent="0.3">
      <c r="A145" s="177" t="s">
        <v>68</v>
      </c>
      <c r="B145" s="177">
        <v>2025</v>
      </c>
      <c r="C145" s="177">
        <v>1</v>
      </c>
      <c r="D145" s="177" t="s">
        <v>9018</v>
      </c>
      <c r="E145" s="188">
        <f>LUCK!H36</f>
        <v>100547.35900000001</v>
      </c>
      <c r="F145" s="188">
        <f>LUCK!H61</f>
        <v>58641.383000000002</v>
      </c>
      <c r="G145" s="186">
        <f t="shared" si="6"/>
        <v>1.7146143875904156</v>
      </c>
      <c r="H145" s="186">
        <f t="shared" si="7"/>
        <v>1.7146143875904156</v>
      </c>
      <c r="I145" s="186">
        <v>1.7146143875904156</v>
      </c>
      <c r="J145" s="186">
        <f t="shared" si="8"/>
        <v>0</v>
      </c>
      <c r="K145" s="177" t="s">
        <v>9022</v>
      </c>
    </row>
    <row r="146" spans="1:11" ht="27" customHeight="1" x14ac:dyDescent="0.3">
      <c r="A146" s="180" t="s">
        <v>68</v>
      </c>
      <c r="B146" s="180">
        <v>2021</v>
      </c>
      <c r="C146" s="180">
        <v>2</v>
      </c>
      <c r="D146" s="180" t="s">
        <v>9024</v>
      </c>
      <c r="E146" s="187">
        <f>LUCK!D36-LUCK!D65</f>
        <v>27044.758000000002</v>
      </c>
      <c r="F146" s="187">
        <f>LUCK!D61</f>
        <v>30387.065999999995</v>
      </c>
      <c r="G146" s="185">
        <f t="shared" si="6"/>
        <v>0.89000886100685095</v>
      </c>
      <c r="H146" s="185">
        <f t="shared" si="7"/>
        <v>0.89000886100685095</v>
      </c>
      <c r="I146" s="185">
        <v>0.89000886100685084</v>
      </c>
      <c r="J146" s="185">
        <f t="shared" si="8"/>
        <v>1.1102230246251565E-16</v>
      </c>
      <c r="K146" s="180" t="s">
        <v>9026</v>
      </c>
    </row>
    <row r="147" spans="1:11" ht="27" customHeight="1" x14ac:dyDescent="0.3">
      <c r="A147" s="177" t="s">
        <v>68</v>
      </c>
      <c r="B147" s="177">
        <v>2022</v>
      </c>
      <c r="C147" s="177">
        <v>2</v>
      </c>
      <c r="D147" s="177" t="s">
        <v>9024</v>
      </c>
      <c r="E147" s="188">
        <f>LUCK!E36-LUCK!E65</f>
        <v>26437.484000000004</v>
      </c>
      <c r="F147" s="188">
        <f>LUCK!E61</f>
        <v>30361.358</v>
      </c>
      <c r="G147" s="186">
        <f t="shared" si="6"/>
        <v>0.87076091919208631</v>
      </c>
      <c r="H147" s="186">
        <f t="shared" si="7"/>
        <v>0.87076091919208631</v>
      </c>
      <c r="I147" s="186">
        <v>0.87076091919208609</v>
      </c>
      <c r="J147" s="186">
        <f t="shared" si="8"/>
        <v>2.2204460492503131E-16</v>
      </c>
      <c r="K147" s="177" t="s">
        <v>9026</v>
      </c>
    </row>
    <row r="148" spans="1:11" ht="27" customHeight="1" x14ac:dyDescent="0.3">
      <c r="A148" s="180" t="s">
        <v>68</v>
      </c>
      <c r="B148" s="180">
        <v>2023</v>
      </c>
      <c r="C148" s="180">
        <v>2</v>
      </c>
      <c r="D148" s="180" t="s">
        <v>9024</v>
      </c>
      <c r="E148" s="187">
        <f>LUCK!F36-LUCK!F65</f>
        <v>39444.116999999998</v>
      </c>
      <c r="F148" s="187">
        <f>LUCK!F61</f>
        <v>46180.879000000001</v>
      </c>
      <c r="G148" s="185">
        <f t="shared" si="6"/>
        <v>0.85412226562426408</v>
      </c>
      <c r="H148" s="185">
        <f t="shared" si="7"/>
        <v>0.85412226562426408</v>
      </c>
      <c r="I148" s="185">
        <v>0.85412226562426408</v>
      </c>
      <c r="J148" s="185">
        <f t="shared" si="8"/>
        <v>0</v>
      </c>
      <c r="K148" s="180" t="s">
        <v>9026</v>
      </c>
    </row>
    <row r="149" spans="1:11" ht="27" customHeight="1" x14ac:dyDescent="0.3">
      <c r="A149" s="177" t="s">
        <v>68</v>
      </c>
      <c r="B149" s="177">
        <v>2024</v>
      </c>
      <c r="C149" s="177">
        <v>2</v>
      </c>
      <c r="D149" s="177" t="s">
        <v>9024</v>
      </c>
      <c r="E149" s="188">
        <f>LUCK!G36-LUCK!G65</f>
        <v>45354.837</v>
      </c>
      <c r="F149" s="188">
        <f>LUCK!G61</f>
        <v>54188.472999999998</v>
      </c>
      <c r="G149" s="186">
        <f t="shared" si="6"/>
        <v>0.83698311631700717</v>
      </c>
      <c r="H149" s="186">
        <f t="shared" si="7"/>
        <v>0.83698311631700717</v>
      </c>
      <c r="I149" s="186">
        <v>0.83698311631700717</v>
      </c>
      <c r="J149" s="186">
        <f t="shared" si="8"/>
        <v>0</v>
      </c>
      <c r="K149" s="177" t="s">
        <v>9026</v>
      </c>
    </row>
    <row r="150" spans="1:11" ht="27" customHeight="1" x14ac:dyDescent="0.3">
      <c r="A150" s="180" t="s">
        <v>68</v>
      </c>
      <c r="B150" s="180">
        <v>2025</v>
      </c>
      <c r="C150" s="180">
        <v>2</v>
      </c>
      <c r="D150" s="180" t="s">
        <v>9024</v>
      </c>
      <c r="E150" s="187">
        <f>LUCK!H36-LUCK!H65</f>
        <v>75877.652000000002</v>
      </c>
      <c r="F150" s="187">
        <f>LUCK!H61</f>
        <v>58641.383000000002</v>
      </c>
      <c r="G150" s="185">
        <f t="shared" si="6"/>
        <v>1.2939267138361998</v>
      </c>
      <c r="H150" s="185">
        <f t="shared" si="7"/>
        <v>1.2939267138361998</v>
      </c>
      <c r="I150" s="185">
        <v>1.2939267138361998</v>
      </c>
      <c r="J150" s="185">
        <f t="shared" si="8"/>
        <v>0</v>
      </c>
      <c r="K150" s="180" t="s">
        <v>9026</v>
      </c>
    </row>
    <row r="151" spans="1:11" ht="27" customHeight="1" x14ac:dyDescent="0.3">
      <c r="A151" s="177" t="s">
        <v>68</v>
      </c>
      <c r="B151" s="177">
        <v>2021</v>
      </c>
      <c r="C151" s="177">
        <v>3</v>
      </c>
      <c r="D151" s="177" t="s">
        <v>9027</v>
      </c>
      <c r="E151" s="188">
        <f>'EV Inputs'!J11</f>
        <v>18691.039000000001</v>
      </c>
      <c r="F151" s="188">
        <f>LUCK!D61</f>
        <v>30387.065999999995</v>
      </c>
      <c r="G151" s="186">
        <f t="shared" si="6"/>
        <v>0.61509850934604882</v>
      </c>
      <c r="H151" s="186">
        <f t="shared" si="7"/>
        <v>0.61509850934604882</v>
      </c>
      <c r="I151" s="186">
        <v>0.61509850934604882</v>
      </c>
      <c r="J151" s="186">
        <f t="shared" si="8"/>
        <v>0</v>
      </c>
      <c r="K151" s="177" t="s">
        <v>9030</v>
      </c>
    </row>
    <row r="152" spans="1:11" ht="27" customHeight="1" x14ac:dyDescent="0.3">
      <c r="A152" s="180" t="s">
        <v>68</v>
      </c>
      <c r="B152" s="180">
        <v>2022</v>
      </c>
      <c r="C152" s="180">
        <v>3</v>
      </c>
      <c r="D152" s="180" t="s">
        <v>9027</v>
      </c>
      <c r="E152" s="187">
        <f>'EV Inputs'!J12</f>
        <v>15493.016</v>
      </c>
      <c r="F152" s="187">
        <f>LUCK!E61</f>
        <v>30361.358</v>
      </c>
      <c r="G152" s="185">
        <f t="shared" si="6"/>
        <v>0.51028731982278264</v>
      </c>
      <c r="H152" s="185">
        <f t="shared" si="7"/>
        <v>0.51028731982278264</v>
      </c>
      <c r="I152" s="185">
        <v>0.51028731982278264</v>
      </c>
      <c r="J152" s="185">
        <f t="shared" si="8"/>
        <v>0</v>
      </c>
      <c r="K152" s="180" t="s">
        <v>9030</v>
      </c>
    </row>
    <row r="153" spans="1:11" ht="27" customHeight="1" x14ac:dyDescent="0.3">
      <c r="A153" s="177" t="s">
        <v>68</v>
      </c>
      <c r="B153" s="177">
        <v>2023</v>
      </c>
      <c r="C153" s="177">
        <v>3</v>
      </c>
      <c r="D153" s="177" t="s">
        <v>9027</v>
      </c>
      <c r="E153" s="188">
        <f>'EV Inputs'!J13</f>
        <v>26001.579000000002</v>
      </c>
      <c r="F153" s="188">
        <f>LUCK!F61</f>
        <v>46180.879000000001</v>
      </c>
      <c r="G153" s="186">
        <f t="shared" si="6"/>
        <v>0.56303776721097065</v>
      </c>
      <c r="H153" s="186">
        <f t="shared" si="7"/>
        <v>0.56303776721097065</v>
      </c>
      <c r="I153" s="186">
        <v>0.56303776721097065</v>
      </c>
      <c r="J153" s="186">
        <f t="shared" si="8"/>
        <v>0</v>
      </c>
      <c r="K153" s="177" t="s">
        <v>9030</v>
      </c>
    </row>
    <row r="154" spans="1:11" ht="27" customHeight="1" x14ac:dyDescent="0.3">
      <c r="A154" s="180" t="s">
        <v>68</v>
      </c>
      <c r="B154" s="180">
        <v>2024</v>
      </c>
      <c r="C154" s="180">
        <v>3</v>
      </c>
      <c r="D154" s="180" t="s">
        <v>9027</v>
      </c>
      <c r="E154" s="187">
        <f>'EV Inputs'!J14</f>
        <v>32382.131000000001</v>
      </c>
      <c r="F154" s="187">
        <f>LUCK!G61</f>
        <v>54188.472999999998</v>
      </c>
      <c r="G154" s="185">
        <f t="shared" si="6"/>
        <v>0.59758338272421885</v>
      </c>
      <c r="H154" s="185">
        <f t="shared" si="7"/>
        <v>0.59758338272421885</v>
      </c>
      <c r="I154" s="185">
        <v>0.59758338272421885</v>
      </c>
      <c r="J154" s="185">
        <f t="shared" si="8"/>
        <v>0</v>
      </c>
      <c r="K154" s="180" t="s">
        <v>9030</v>
      </c>
    </row>
    <row r="155" spans="1:11" ht="27" customHeight="1" x14ac:dyDescent="0.3">
      <c r="A155" s="177" t="s">
        <v>68</v>
      </c>
      <c r="B155" s="177">
        <v>2025</v>
      </c>
      <c r="C155" s="177">
        <v>3</v>
      </c>
      <c r="D155" s="177" t="s">
        <v>9027</v>
      </c>
      <c r="E155" s="188">
        <f>'EV Inputs'!J15</f>
        <v>64088.375</v>
      </c>
      <c r="F155" s="188">
        <f>LUCK!H61</f>
        <v>58641.383000000002</v>
      </c>
      <c r="G155" s="186">
        <f t="shared" si="6"/>
        <v>1.0928864859820921</v>
      </c>
      <c r="H155" s="186">
        <f t="shared" si="7"/>
        <v>1.0928864859820921</v>
      </c>
      <c r="I155" s="186">
        <v>1.0928864859820921</v>
      </c>
      <c r="J155" s="186">
        <f t="shared" si="8"/>
        <v>0</v>
      </c>
      <c r="K155" s="177" t="s">
        <v>9030</v>
      </c>
    </row>
    <row r="156" spans="1:11" ht="27" customHeight="1" x14ac:dyDescent="0.3">
      <c r="A156" s="180" t="s">
        <v>68</v>
      </c>
      <c r="B156" s="180">
        <v>2021</v>
      </c>
      <c r="C156" s="180">
        <v>4</v>
      </c>
      <c r="D156" s="180" t="s">
        <v>9032</v>
      </c>
      <c r="E156" s="187">
        <f>LUCK!D36-LUCK!D61</f>
        <v>10289.302000000007</v>
      </c>
      <c r="F156" s="187">
        <f>1</f>
        <v>1</v>
      </c>
      <c r="G156" s="185">
        <f t="shared" si="6"/>
        <v>10289.302000000007</v>
      </c>
      <c r="H156" s="185">
        <f t="shared" si="7"/>
        <v>10289.302000000007</v>
      </c>
      <c r="I156" s="185">
        <v>10289.302000000003</v>
      </c>
      <c r="J156" s="185">
        <f t="shared" si="8"/>
        <v>3.637978807091713E-12</v>
      </c>
      <c r="K156" s="180" t="s">
        <v>9035</v>
      </c>
    </row>
    <row r="157" spans="1:11" ht="27" customHeight="1" x14ac:dyDescent="0.3">
      <c r="A157" s="177" t="s">
        <v>68</v>
      </c>
      <c r="B157" s="177">
        <v>2022</v>
      </c>
      <c r="C157" s="177">
        <v>4</v>
      </c>
      <c r="D157" s="177" t="s">
        <v>9032</v>
      </c>
      <c r="E157" s="188">
        <f>LUCK!E36-LUCK!E61</f>
        <v>14454.333000000006</v>
      </c>
      <c r="F157" s="188">
        <f>1</f>
        <v>1</v>
      </c>
      <c r="G157" s="186">
        <f t="shared" si="6"/>
        <v>14454.333000000006</v>
      </c>
      <c r="H157" s="186">
        <f t="shared" si="7"/>
        <v>14454.333000000006</v>
      </c>
      <c r="I157" s="186">
        <v>14454.332999999999</v>
      </c>
      <c r="J157" s="186">
        <f t="shared" si="8"/>
        <v>7.2759576141834259E-12</v>
      </c>
      <c r="K157" s="177" t="s">
        <v>9035</v>
      </c>
    </row>
    <row r="158" spans="1:11" ht="27" customHeight="1" x14ac:dyDescent="0.3">
      <c r="A158" s="180" t="s">
        <v>68</v>
      </c>
      <c r="B158" s="180">
        <v>2023</v>
      </c>
      <c r="C158" s="180">
        <v>4</v>
      </c>
      <c r="D158" s="180" t="s">
        <v>9032</v>
      </c>
      <c r="E158" s="187">
        <f>LUCK!F36-LUCK!F61</f>
        <v>13395.762999999999</v>
      </c>
      <c r="F158" s="187">
        <f>1</f>
        <v>1</v>
      </c>
      <c r="G158" s="185">
        <f t="shared" si="6"/>
        <v>13395.762999999999</v>
      </c>
      <c r="H158" s="185">
        <f t="shared" si="7"/>
        <v>13395.762999999999</v>
      </c>
      <c r="I158" s="185">
        <v>13395.762999999999</v>
      </c>
      <c r="J158" s="185">
        <f t="shared" si="8"/>
        <v>0</v>
      </c>
      <c r="K158" s="180" t="s">
        <v>9035</v>
      </c>
    </row>
    <row r="159" spans="1:11" ht="27" customHeight="1" x14ac:dyDescent="0.3">
      <c r="A159" s="177" t="s">
        <v>68</v>
      </c>
      <c r="B159" s="177">
        <v>2024</v>
      </c>
      <c r="C159" s="177">
        <v>4</v>
      </c>
      <c r="D159" s="177" t="s">
        <v>9032</v>
      </c>
      <c r="E159" s="188">
        <f>LUCK!G36-LUCK!G61</f>
        <v>14263.611000000004</v>
      </c>
      <c r="F159" s="188">
        <f>1</f>
        <v>1</v>
      </c>
      <c r="G159" s="186">
        <f t="shared" si="6"/>
        <v>14263.611000000004</v>
      </c>
      <c r="H159" s="186">
        <f t="shared" si="7"/>
        <v>14263.611000000004</v>
      </c>
      <c r="I159" s="186">
        <v>14263.611000000004</v>
      </c>
      <c r="J159" s="186">
        <f t="shared" si="8"/>
        <v>0</v>
      </c>
      <c r="K159" s="177" t="s">
        <v>9035</v>
      </c>
    </row>
    <row r="160" spans="1:11" ht="27" customHeight="1" x14ac:dyDescent="0.3">
      <c r="A160" s="180" t="s">
        <v>68</v>
      </c>
      <c r="B160" s="180">
        <v>2025</v>
      </c>
      <c r="C160" s="180">
        <v>4</v>
      </c>
      <c r="D160" s="180" t="s">
        <v>9032</v>
      </c>
      <c r="E160" s="187">
        <f>LUCK!H36-LUCK!H61</f>
        <v>41905.97600000001</v>
      </c>
      <c r="F160" s="187">
        <f>1</f>
        <v>1</v>
      </c>
      <c r="G160" s="185">
        <f t="shared" si="6"/>
        <v>41905.97600000001</v>
      </c>
      <c r="H160" s="185">
        <f t="shared" si="7"/>
        <v>41905.97600000001</v>
      </c>
      <c r="I160" s="185">
        <v>41905.97600000001</v>
      </c>
      <c r="J160" s="185">
        <f t="shared" si="8"/>
        <v>0</v>
      </c>
      <c r="K160" s="180" t="s">
        <v>9035</v>
      </c>
    </row>
    <row r="161" spans="1:11" ht="27" customHeight="1" x14ac:dyDescent="0.3">
      <c r="A161" s="177" t="s">
        <v>68</v>
      </c>
      <c r="B161" s="177">
        <v>2021</v>
      </c>
      <c r="C161" s="177">
        <v>5</v>
      </c>
      <c r="D161" s="177" t="s">
        <v>9036</v>
      </c>
      <c r="E161" s="188">
        <f>-LUCK!D85</f>
        <v>43984.873</v>
      </c>
      <c r="F161" s="188">
        <f>AVERAGE(LUCK!C65,LUCK!D65)</f>
        <v>11533.666000000001</v>
      </c>
      <c r="G161" s="186">
        <f t="shared" si="6"/>
        <v>3.8136073127139278</v>
      </c>
      <c r="H161" s="186">
        <f t="shared" si="7"/>
        <v>3.8136073127139278</v>
      </c>
      <c r="I161" s="186">
        <v>3.8136073127139278</v>
      </c>
      <c r="J161" s="186">
        <f t="shared" si="8"/>
        <v>0</v>
      </c>
      <c r="K161" s="177" t="s">
        <v>9038</v>
      </c>
    </row>
    <row r="162" spans="1:11" ht="27" customHeight="1" x14ac:dyDescent="0.3">
      <c r="A162" s="180" t="s">
        <v>68</v>
      </c>
      <c r="B162" s="180">
        <v>2022</v>
      </c>
      <c r="C162" s="180">
        <v>5</v>
      </c>
      <c r="D162" s="180" t="s">
        <v>9036</v>
      </c>
      <c r="E162" s="187">
        <f>-LUCK!E85</f>
        <v>58541.684000000001</v>
      </c>
      <c r="F162" s="187">
        <f>AVERAGE(LUCK!D65,LUCK!E65)</f>
        <v>16004.908500000001</v>
      </c>
      <c r="G162" s="185">
        <f t="shared" si="6"/>
        <v>3.657733126059421</v>
      </c>
      <c r="H162" s="185">
        <f t="shared" si="7"/>
        <v>3.657733126059421</v>
      </c>
      <c r="I162" s="185">
        <v>3.657733126059421</v>
      </c>
      <c r="J162" s="185">
        <f t="shared" si="8"/>
        <v>0</v>
      </c>
      <c r="K162" s="180" t="s">
        <v>9038</v>
      </c>
    </row>
    <row r="163" spans="1:11" ht="27" customHeight="1" x14ac:dyDescent="0.3">
      <c r="A163" s="177" t="s">
        <v>68</v>
      </c>
      <c r="B163" s="177">
        <v>2023</v>
      </c>
      <c r="C163" s="177">
        <v>5</v>
      </c>
      <c r="D163" s="177" t="s">
        <v>9036</v>
      </c>
      <c r="E163" s="188">
        <f>-LUCK!F85</f>
        <v>69771.468999999997</v>
      </c>
      <c r="F163" s="188">
        <f>AVERAGE(LUCK!E65,LUCK!F65)</f>
        <v>19255.366000000002</v>
      </c>
      <c r="G163" s="186">
        <f t="shared" si="6"/>
        <v>3.6234818387767853</v>
      </c>
      <c r="H163" s="186">
        <f t="shared" si="7"/>
        <v>3.6234818387767853</v>
      </c>
      <c r="I163" s="186">
        <v>3.6234818387767853</v>
      </c>
      <c r="J163" s="186">
        <f t="shared" si="8"/>
        <v>0</v>
      </c>
      <c r="K163" s="177" t="s">
        <v>9038</v>
      </c>
    </row>
    <row r="164" spans="1:11" ht="27" customHeight="1" x14ac:dyDescent="0.3">
      <c r="A164" s="180" t="s">
        <v>68</v>
      </c>
      <c r="B164" s="180">
        <v>2024</v>
      </c>
      <c r="C164" s="180">
        <v>5</v>
      </c>
      <c r="D164" s="180" t="s">
        <v>9036</v>
      </c>
      <c r="E164" s="187">
        <f>-LUCK!G85</f>
        <v>76520.37</v>
      </c>
      <c r="F164" s="187">
        <f>AVERAGE(LUCK!F65,LUCK!G65)</f>
        <v>21614.885999999999</v>
      </c>
      <c r="G164" s="185">
        <f t="shared" si="6"/>
        <v>3.5401699550948362</v>
      </c>
      <c r="H164" s="185">
        <f t="shared" si="7"/>
        <v>3.5401699550948362</v>
      </c>
      <c r="I164" s="185">
        <v>3.5401699550948362</v>
      </c>
      <c r="J164" s="185">
        <f t="shared" si="8"/>
        <v>0</v>
      </c>
      <c r="K164" s="180" t="s">
        <v>9038</v>
      </c>
    </row>
    <row r="165" spans="1:11" ht="27" customHeight="1" x14ac:dyDescent="0.3">
      <c r="A165" s="177" t="s">
        <v>68</v>
      </c>
      <c r="B165" s="177">
        <v>2025</v>
      </c>
      <c r="C165" s="177">
        <v>5</v>
      </c>
      <c r="D165" s="177" t="s">
        <v>9036</v>
      </c>
      <c r="E165" s="188">
        <f>-LUCK!H85</f>
        <v>81827.06</v>
      </c>
      <c r="F165" s="188">
        <f>AVERAGE(LUCK!G65,LUCK!H65)</f>
        <v>23883.476999999999</v>
      </c>
      <c r="G165" s="186">
        <f t="shared" si="6"/>
        <v>3.4260949525900268</v>
      </c>
      <c r="H165" s="186">
        <f t="shared" si="7"/>
        <v>3.4260949525900268</v>
      </c>
      <c r="I165" s="186">
        <v>3.4260949525900268</v>
      </c>
      <c r="J165" s="186">
        <f t="shared" si="8"/>
        <v>0</v>
      </c>
      <c r="K165" s="177" t="s">
        <v>9038</v>
      </c>
    </row>
    <row r="166" spans="1:11" ht="27" customHeight="1" x14ac:dyDescent="0.3">
      <c r="A166" s="180" t="s">
        <v>68</v>
      </c>
      <c r="B166" s="180">
        <v>2021</v>
      </c>
      <c r="C166" s="180">
        <v>6</v>
      </c>
      <c r="D166" s="180" t="s">
        <v>9039</v>
      </c>
      <c r="E166" s="187">
        <f>LUCK!D84</f>
        <v>62940.805</v>
      </c>
      <c r="F166" s="187">
        <f>AVERAGE(LUCK!C32,LUCK!D32)</f>
        <v>3066.424</v>
      </c>
      <c r="G166" s="185">
        <f t="shared" si="6"/>
        <v>20.525799758937445</v>
      </c>
      <c r="H166" s="185">
        <f t="shared" si="7"/>
        <v>20.525799758937445</v>
      </c>
      <c r="I166" s="185">
        <v>20.525799758937445</v>
      </c>
      <c r="J166" s="185">
        <f t="shared" si="8"/>
        <v>0</v>
      </c>
      <c r="K166" s="180" t="s">
        <v>9041</v>
      </c>
    </row>
    <row r="167" spans="1:11" ht="27" customHeight="1" x14ac:dyDescent="0.3">
      <c r="A167" s="177" t="s">
        <v>68</v>
      </c>
      <c r="B167" s="177">
        <v>2022</v>
      </c>
      <c r="C167" s="177">
        <v>6</v>
      </c>
      <c r="D167" s="177" t="s">
        <v>9039</v>
      </c>
      <c r="E167" s="188">
        <f>LUCK!E84</f>
        <v>81093.524999999994</v>
      </c>
      <c r="F167" s="188">
        <f>AVERAGE(LUCK!D32,LUCK!E32)</f>
        <v>3116.5060000000003</v>
      </c>
      <c r="G167" s="186">
        <f t="shared" si="6"/>
        <v>26.020654219821807</v>
      </c>
      <c r="H167" s="186">
        <f t="shared" si="7"/>
        <v>26.020654219821807</v>
      </c>
      <c r="I167" s="186">
        <v>26.020654219821807</v>
      </c>
      <c r="J167" s="186">
        <f t="shared" si="8"/>
        <v>0</v>
      </c>
      <c r="K167" s="177" t="s">
        <v>9041</v>
      </c>
    </row>
    <row r="168" spans="1:11" ht="27" customHeight="1" x14ac:dyDescent="0.3">
      <c r="A168" s="180" t="s">
        <v>68</v>
      </c>
      <c r="B168" s="180">
        <v>2023</v>
      </c>
      <c r="C168" s="180">
        <v>6</v>
      </c>
      <c r="D168" s="180" t="s">
        <v>9039</v>
      </c>
      <c r="E168" s="187">
        <f>LUCK!F84</f>
        <v>95832.146999999997</v>
      </c>
      <c r="F168" s="187">
        <f>AVERAGE(LUCK!E32,LUCK!F32)</f>
        <v>4306.299</v>
      </c>
      <c r="G168" s="185">
        <f t="shared" si="6"/>
        <v>22.253946370189343</v>
      </c>
      <c r="H168" s="185">
        <f t="shared" si="7"/>
        <v>22.253946370189343</v>
      </c>
      <c r="I168" s="185">
        <v>22.253946370189343</v>
      </c>
      <c r="J168" s="185">
        <f t="shared" si="8"/>
        <v>0</v>
      </c>
      <c r="K168" s="180" t="s">
        <v>9041</v>
      </c>
    </row>
    <row r="169" spans="1:11" ht="27" customHeight="1" x14ac:dyDescent="0.3">
      <c r="A169" s="177" t="s">
        <v>68</v>
      </c>
      <c r="B169" s="177">
        <v>2024</v>
      </c>
      <c r="C169" s="177">
        <v>6</v>
      </c>
      <c r="D169" s="177" t="s">
        <v>9039</v>
      </c>
      <c r="E169" s="188">
        <f>LUCK!G84</f>
        <v>115324.942</v>
      </c>
      <c r="F169" s="188">
        <f>AVERAGE(LUCK!F32,LUCK!G32)</f>
        <v>6011.0730000000003</v>
      </c>
      <c r="G169" s="186">
        <f t="shared" si="6"/>
        <v>19.185416979630755</v>
      </c>
      <c r="H169" s="186">
        <f t="shared" si="7"/>
        <v>19.185416979630755</v>
      </c>
      <c r="I169" s="186">
        <v>19.185416979630755</v>
      </c>
      <c r="J169" s="186">
        <f t="shared" si="8"/>
        <v>0</v>
      </c>
      <c r="K169" s="177" t="s">
        <v>9041</v>
      </c>
    </row>
    <row r="170" spans="1:11" ht="27" customHeight="1" x14ac:dyDescent="0.3">
      <c r="A170" s="180" t="s">
        <v>68</v>
      </c>
      <c r="B170" s="180">
        <v>2025</v>
      </c>
      <c r="C170" s="180">
        <v>6</v>
      </c>
      <c r="D170" s="180" t="s">
        <v>9039</v>
      </c>
      <c r="E170" s="187">
        <f>LUCK!H84</f>
        <v>124511.74400000001</v>
      </c>
      <c r="F170" s="187">
        <f>AVERAGE(LUCK!G32,LUCK!H32)</f>
        <v>6642.8365000000003</v>
      </c>
      <c r="G170" s="185">
        <f t="shared" si="6"/>
        <v>18.743761644592638</v>
      </c>
      <c r="H170" s="185">
        <f t="shared" si="7"/>
        <v>18.743761644592638</v>
      </c>
      <c r="I170" s="185">
        <v>18.743761644592638</v>
      </c>
      <c r="J170" s="185">
        <f t="shared" si="8"/>
        <v>0</v>
      </c>
      <c r="K170" s="180" t="s">
        <v>9041</v>
      </c>
    </row>
    <row r="171" spans="1:11" ht="27" customHeight="1" x14ac:dyDescent="0.3">
      <c r="A171" s="177" t="s">
        <v>68</v>
      </c>
      <c r="B171" s="177">
        <v>2021</v>
      </c>
      <c r="C171" s="177">
        <v>7</v>
      </c>
      <c r="D171" s="177" t="s">
        <v>9042</v>
      </c>
      <c r="E171" s="188">
        <f>365*AVERAGE(LUCK!C65,LUCK!D65)</f>
        <v>4209788.0900000008</v>
      </c>
      <c r="F171" s="188">
        <f>-LUCK!D85</f>
        <v>43984.873</v>
      </c>
      <c r="G171" s="186">
        <f t="shared" si="6"/>
        <v>95.709906676324849</v>
      </c>
      <c r="H171" s="186">
        <f t="shared" si="7"/>
        <v>95.709906676324849</v>
      </c>
      <c r="I171" s="186">
        <v>95.709906676324849</v>
      </c>
      <c r="J171" s="186">
        <f t="shared" si="8"/>
        <v>0</v>
      </c>
      <c r="K171" s="177" t="s">
        <v>9044</v>
      </c>
    </row>
    <row r="172" spans="1:11" ht="27" customHeight="1" x14ac:dyDescent="0.3">
      <c r="A172" s="180" t="s">
        <v>68</v>
      </c>
      <c r="B172" s="180">
        <v>2022</v>
      </c>
      <c r="C172" s="180">
        <v>7</v>
      </c>
      <c r="D172" s="180" t="s">
        <v>9042</v>
      </c>
      <c r="E172" s="187">
        <f>365*AVERAGE(LUCK!D65,LUCK!E65)</f>
        <v>5841791.6025</v>
      </c>
      <c r="F172" s="187">
        <f>-LUCK!E85</f>
        <v>58541.684000000001</v>
      </c>
      <c r="G172" s="185">
        <f t="shared" si="6"/>
        <v>99.788581457615734</v>
      </c>
      <c r="H172" s="185">
        <f t="shared" si="7"/>
        <v>99.788581457615734</v>
      </c>
      <c r="I172" s="185">
        <v>99.788581457615734</v>
      </c>
      <c r="J172" s="185">
        <f t="shared" si="8"/>
        <v>0</v>
      </c>
      <c r="K172" s="180" t="s">
        <v>9044</v>
      </c>
    </row>
    <row r="173" spans="1:11" ht="27" customHeight="1" x14ac:dyDescent="0.3">
      <c r="A173" s="177" t="s">
        <v>68</v>
      </c>
      <c r="B173" s="177">
        <v>2023</v>
      </c>
      <c r="C173" s="177">
        <v>7</v>
      </c>
      <c r="D173" s="177" t="s">
        <v>9042</v>
      </c>
      <c r="E173" s="188">
        <f>365*AVERAGE(LUCK!E65,LUCK!F65)</f>
        <v>7028208.5900000008</v>
      </c>
      <c r="F173" s="188">
        <f>-LUCK!F85</f>
        <v>69771.468999999997</v>
      </c>
      <c r="G173" s="186">
        <f t="shared" si="6"/>
        <v>100.73184197970664</v>
      </c>
      <c r="H173" s="186">
        <f t="shared" si="7"/>
        <v>100.73184197970664</v>
      </c>
      <c r="I173" s="186">
        <v>100.73184197970664</v>
      </c>
      <c r="J173" s="186">
        <f t="shared" si="8"/>
        <v>0</v>
      </c>
      <c r="K173" s="177" t="s">
        <v>9044</v>
      </c>
    </row>
    <row r="174" spans="1:11" ht="27" customHeight="1" x14ac:dyDescent="0.3">
      <c r="A174" s="180" t="s">
        <v>68</v>
      </c>
      <c r="B174" s="180">
        <v>2024</v>
      </c>
      <c r="C174" s="180">
        <v>7</v>
      </c>
      <c r="D174" s="180" t="s">
        <v>9042</v>
      </c>
      <c r="E174" s="187">
        <f>365*AVERAGE(LUCK!F65,LUCK!G65)</f>
        <v>7889433.3899999997</v>
      </c>
      <c r="F174" s="187">
        <f>-LUCK!G85</f>
        <v>76520.37</v>
      </c>
      <c r="G174" s="185">
        <f t="shared" si="6"/>
        <v>103.10239469568691</v>
      </c>
      <c r="H174" s="185">
        <f t="shared" si="7"/>
        <v>103.10239469568691</v>
      </c>
      <c r="I174" s="185">
        <v>103.10239469568691</v>
      </c>
      <c r="J174" s="185">
        <f t="shared" si="8"/>
        <v>0</v>
      </c>
      <c r="K174" s="180" t="s">
        <v>9044</v>
      </c>
    </row>
    <row r="175" spans="1:11" ht="27" customHeight="1" x14ac:dyDescent="0.3">
      <c r="A175" s="177" t="s">
        <v>68</v>
      </c>
      <c r="B175" s="177">
        <v>2025</v>
      </c>
      <c r="C175" s="177">
        <v>7</v>
      </c>
      <c r="D175" s="177" t="s">
        <v>9042</v>
      </c>
      <c r="E175" s="188">
        <f>365*AVERAGE(LUCK!G65,LUCK!H65)</f>
        <v>8717469.1050000004</v>
      </c>
      <c r="F175" s="188">
        <f>-LUCK!H85</f>
        <v>81827.06</v>
      </c>
      <c r="G175" s="186">
        <f t="shared" si="6"/>
        <v>106.53528435458882</v>
      </c>
      <c r="H175" s="186">
        <f t="shared" si="7"/>
        <v>106.53528435458882</v>
      </c>
      <c r="I175" s="186">
        <v>106.53528435458882</v>
      </c>
      <c r="J175" s="186">
        <f t="shared" si="8"/>
        <v>0</v>
      </c>
      <c r="K175" s="177" t="s">
        <v>9044</v>
      </c>
    </row>
    <row r="176" spans="1:11" ht="27" customHeight="1" x14ac:dyDescent="0.3">
      <c r="A176" s="180" t="s">
        <v>68</v>
      </c>
      <c r="B176" s="180">
        <v>2021</v>
      </c>
      <c r="C176" s="180">
        <v>8</v>
      </c>
      <c r="D176" s="180" t="s">
        <v>9045</v>
      </c>
      <c r="E176" s="187">
        <f>365*AVERAGE(LUCK!C32,LUCK!D32)</f>
        <v>1119244.76</v>
      </c>
      <c r="F176" s="187">
        <f>LUCK!D84</f>
        <v>62940.805</v>
      </c>
      <c r="G176" s="185">
        <f t="shared" si="6"/>
        <v>17.782498333156049</v>
      </c>
      <c r="H176" s="185">
        <f t="shared" si="7"/>
        <v>17.782498333156049</v>
      </c>
      <c r="I176" s="185">
        <v>17.782498333156049</v>
      </c>
      <c r="J176" s="185">
        <f t="shared" si="8"/>
        <v>0</v>
      </c>
      <c r="K176" s="180" t="s">
        <v>9047</v>
      </c>
    </row>
    <row r="177" spans="1:11" ht="27" customHeight="1" x14ac:dyDescent="0.3">
      <c r="A177" s="177" t="s">
        <v>68</v>
      </c>
      <c r="B177" s="177">
        <v>2022</v>
      </c>
      <c r="C177" s="177">
        <v>8</v>
      </c>
      <c r="D177" s="177" t="s">
        <v>9045</v>
      </c>
      <c r="E177" s="188">
        <f>365*AVERAGE(LUCK!D32,LUCK!E32)</f>
        <v>1137524.6900000002</v>
      </c>
      <c r="F177" s="188">
        <f>LUCK!E84</f>
        <v>81093.524999999994</v>
      </c>
      <c r="G177" s="186">
        <f t="shared" si="6"/>
        <v>14.027318333985361</v>
      </c>
      <c r="H177" s="186">
        <f t="shared" si="7"/>
        <v>14.027318333985361</v>
      </c>
      <c r="I177" s="186">
        <v>14.027318333985361</v>
      </c>
      <c r="J177" s="186">
        <f t="shared" si="8"/>
        <v>0</v>
      </c>
      <c r="K177" s="177" t="s">
        <v>9047</v>
      </c>
    </row>
    <row r="178" spans="1:11" ht="27" customHeight="1" x14ac:dyDescent="0.3">
      <c r="A178" s="180" t="s">
        <v>68</v>
      </c>
      <c r="B178" s="180">
        <v>2023</v>
      </c>
      <c r="C178" s="180">
        <v>8</v>
      </c>
      <c r="D178" s="180" t="s">
        <v>9045</v>
      </c>
      <c r="E178" s="187">
        <f>365*AVERAGE(LUCK!E32,LUCK!F32)</f>
        <v>1571799.135</v>
      </c>
      <c r="F178" s="187">
        <f>LUCK!F84</f>
        <v>95832.146999999997</v>
      </c>
      <c r="G178" s="185">
        <f t="shared" si="6"/>
        <v>16.401585315624828</v>
      </c>
      <c r="H178" s="185">
        <f t="shared" si="7"/>
        <v>16.401585315624828</v>
      </c>
      <c r="I178" s="185">
        <v>16.401585315624828</v>
      </c>
      <c r="J178" s="185">
        <f t="shared" si="8"/>
        <v>0</v>
      </c>
      <c r="K178" s="180" t="s">
        <v>9047</v>
      </c>
    </row>
    <row r="179" spans="1:11" ht="27" customHeight="1" x14ac:dyDescent="0.3">
      <c r="A179" s="177" t="s">
        <v>68</v>
      </c>
      <c r="B179" s="177">
        <v>2024</v>
      </c>
      <c r="C179" s="177">
        <v>8</v>
      </c>
      <c r="D179" s="177" t="s">
        <v>9045</v>
      </c>
      <c r="E179" s="188">
        <f>365*AVERAGE(LUCK!F32,LUCK!G32)</f>
        <v>2194041.645</v>
      </c>
      <c r="F179" s="188">
        <f>LUCK!G84</f>
        <v>115324.942</v>
      </c>
      <c r="G179" s="186">
        <f t="shared" si="6"/>
        <v>19.024866667611246</v>
      </c>
      <c r="H179" s="186">
        <f t="shared" si="7"/>
        <v>19.024866667611246</v>
      </c>
      <c r="I179" s="186">
        <v>19.024866667611246</v>
      </c>
      <c r="J179" s="186">
        <f t="shared" si="8"/>
        <v>0</v>
      </c>
      <c r="K179" s="177" t="s">
        <v>9047</v>
      </c>
    </row>
    <row r="180" spans="1:11" ht="27" customHeight="1" x14ac:dyDescent="0.3">
      <c r="A180" s="180" t="s">
        <v>68</v>
      </c>
      <c r="B180" s="180">
        <v>2025</v>
      </c>
      <c r="C180" s="180">
        <v>8</v>
      </c>
      <c r="D180" s="180" t="s">
        <v>9045</v>
      </c>
      <c r="E180" s="187">
        <f>365*AVERAGE(LUCK!G32,LUCK!H32)</f>
        <v>2424635.3225000002</v>
      </c>
      <c r="F180" s="187">
        <f>LUCK!H84</f>
        <v>124511.74400000001</v>
      </c>
      <c r="G180" s="185">
        <f t="shared" si="6"/>
        <v>19.473145621508603</v>
      </c>
      <c r="H180" s="185">
        <f t="shared" si="7"/>
        <v>19.473145621508603</v>
      </c>
      <c r="I180" s="185">
        <v>19.473145621508603</v>
      </c>
      <c r="J180" s="185">
        <f t="shared" si="8"/>
        <v>0</v>
      </c>
      <c r="K180" s="180" t="s">
        <v>9047</v>
      </c>
    </row>
    <row r="181" spans="1:11" ht="27" customHeight="1" x14ac:dyDescent="0.3">
      <c r="A181" s="177" t="s">
        <v>68</v>
      </c>
      <c r="B181" s="177">
        <v>2021</v>
      </c>
      <c r="C181" s="177">
        <v>9</v>
      </c>
      <c r="D181" s="177" t="s">
        <v>9048</v>
      </c>
      <c r="E181" s="188">
        <f>LUCK!D84</f>
        <v>62940.805</v>
      </c>
      <c r="F181" s="188">
        <f>LUCK!D20</f>
        <v>62389.947</v>
      </c>
      <c r="G181" s="186">
        <f t="shared" si="6"/>
        <v>1.0088292750112451</v>
      </c>
      <c r="H181" s="186">
        <f t="shared" si="7"/>
        <v>1.0088292750112451</v>
      </c>
      <c r="I181" s="186">
        <v>1.0088292750112451</v>
      </c>
      <c r="J181" s="186">
        <f t="shared" si="8"/>
        <v>0</v>
      </c>
      <c r="K181" s="177" t="s">
        <v>9050</v>
      </c>
    </row>
    <row r="182" spans="1:11" ht="27" customHeight="1" x14ac:dyDescent="0.3">
      <c r="A182" s="180" t="s">
        <v>68</v>
      </c>
      <c r="B182" s="180">
        <v>2022</v>
      </c>
      <c r="C182" s="180">
        <v>9</v>
      </c>
      <c r="D182" s="180" t="s">
        <v>9048</v>
      </c>
      <c r="E182" s="187">
        <f>LUCK!E84</f>
        <v>81093.524999999994</v>
      </c>
      <c r="F182" s="187">
        <f>LUCK!E20</f>
        <v>82301.05</v>
      </c>
      <c r="G182" s="185">
        <f t="shared" si="6"/>
        <v>0.98532795146598973</v>
      </c>
      <c r="H182" s="185">
        <f t="shared" si="7"/>
        <v>0.98532795146598973</v>
      </c>
      <c r="I182" s="185">
        <v>0.98532795146598973</v>
      </c>
      <c r="J182" s="185">
        <f t="shared" si="8"/>
        <v>0</v>
      </c>
      <c r="K182" s="180" t="s">
        <v>9050</v>
      </c>
    </row>
    <row r="183" spans="1:11" ht="27" customHeight="1" x14ac:dyDescent="0.3">
      <c r="A183" s="177" t="s">
        <v>68</v>
      </c>
      <c r="B183" s="177">
        <v>2023</v>
      </c>
      <c r="C183" s="177">
        <v>9</v>
      </c>
      <c r="D183" s="177" t="s">
        <v>9048</v>
      </c>
      <c r="E183" s="188">
        <f>LUCK!F84</f>
        <v>95832.146999999997</v>
      </c>
      <c r="F183" s="188">
        <f>LUCK!F20</f>
        <v>95620.305999999997</v>
      </c>
      <c r="G183" s="186">
        <f t="shared" si="6"/>
        <v>1.0022154394695202</v>
      </c>
      <c r="H183" s="186">
        <f t="shared" si="7"/>
        <v>1.0022154394695202</v>
      </c>
      <c r="I183" s="186">
        <v>1.0022154394695202</v>
      </c>
      <c r="J183" s="186">
        <f t="shared" si="8"/>
        <v>0</v>
      </c>
      <c r="K183" s="177" t="s">
        <v>9050</v>
      </c>
    </row>
    <row r="184" spans="1:11" ht="27" customHeight="1" x14ac:dyDescent="0.3">
      <c r="A184" s="180" t="s">
        <v>68</v>
      </c>
      <c r="B184" s="180">
        <v>2024</v>
      </c>
      <c r="C184" s="180">
        <v>9</v>
      </c>
      <c r="D184" s="180" t="s">
        <v>9048</v>
      </c>
      <c r="E184" s="187">
        <f>LUCK!G84</f>
        <v>115324.942</v>
      </c>
      <c r="F184" s="187">
        <f>LUCK!G20</f>
        <v>107258.973</v>
      </c>
      <c r="G184" s="185">
        <f t="shared" si="6"/>
        <v>1.0752008785316265</v>
      </c>
      <c r="H184" s="185">
        <f t="shared" si="7"/>
        <v>1.0752008785316265</v>
      </c>
      <c r="I184" s="185">
        <v>1.0752008785316265</v>
      </c>
      <c r="J184" s="185">
        <f t="shared" si="8"/>
        <v>0</v>
      </c>
      <c r="K184" s="180" t="s">
        <v>9050</v>
      </c>
    </row>
    <row r="185" spans="1:11" ht="27" customHeight="1" x14ac:dyDescent="0.3">
      <c r="A185" s="177" t="s">
        <v>68</v>
      </c>
      <c r="B185" s="177">
        <v>2025</v>
      </c>
      <c r="C185" s="177">
        <v>9</v>
      </c>
      <c r="D185" s="177" t="s">
        <v>9048</v>
      </c>
      <c r="E185" s="188">
        <f>LUCK!H84</f>
        <v>124511.74400000001</v>
      </c>
      <c r="F185" s="188">
        <f>LUCK!H20</f>
        <v>107409.588</v>
      </c>
      <c r="G185" s="186">
        <f t="shared" si="6"/>
        <v>1.1592237370838812</v>
      </c>
      <c r="H185" s="186">
        <f t="shared" si="7"/>
        <v>1.1592237370838812</v>
      </c>
      <c r="I185" s="186">
        <v>1.1592237370838812</v>
      </c>
      <c r="J185" s="186">
        <f t="shared" si="8"/>
        <v>0</v>
      </c>
      <c r="K185" s="177" t="s">
        <v>9050</v>
      </c>
    </row>
    <row r="186" spans="1:11" ht="27" customHeight="1" x14ac:dyDescent="0.3">
      <c r="A186" s="180" t="s">
        <v>68</v>
      </c>
      <c r="B186" s="180">
        <v>2021</v>
      </c>
      <c r="C186" s="180">
        <v>10</v>
      </c>
      <c r="D186" s="180" t="s">
        <v>9052</v>
      </c>
      <c r="E186" s="187">
        <f>LUCK!D84</f>
        <v>62940.805</v>
      </c>
      <c r="F186" s="187">
        <f>LUCK!D37</f>
        <v>156368.06200000001</v>
      </c>
      <c r="G186" s="185">
        <f t="shared" si="6"/>
        <v>0.40251701143421476</v>
      </c>
      <c r="H186" s="185">
        <f t="shared" si="7"/>
        <v>0.40251701143421476</v>
      </c>
      <c r="I186" s="185">
        <v>0.40251701143421476</v>
      </c>
      <c r="J186" s="185">
        <f t="shared" si="8"/>
        <v>0</v>
      </c>
      <c r="K186" s="180" t="s">
        <v>9054</v>
      </c>
    </row>
    <row r="187" spans="1:11" ht="27" customHeight="1" x14ac:dyDescent="0.3">
      <c r="A187" s="177" t="s">
        <v>68</v>
      </c>
      <c r="B187" s="177">
        <v>2022</v>
      </c>
      <c r="C187" s="177">
        <v>10</v>
      </c>
      <c r="D187" s="177" t="s">
        <v>9052</v>
      </c>
      <c r="E187" s="188">
        <f>LUCK!E84</f>
        <v>81093.524999999994</v>
      </c>
      <c r="F187" s="188">
        <f>LUCK!E37</f>
        <v>184962.36800000002</v>
      </c>
      <c r="G187" s="186">
        <f t="shared" si="6"/>
        <v>0.4384325626713429</v>
      </c>
      <c r="H187" s="186">
        <f t="shared" si="7"/>
        <v>0.4384325626713429</v>
      </c>
      <c r="I187" s="186">
        <v>0.43843256267134295</v>
      </c>
      <c r="J187" s="186">
        <f t="shared" si="8"/>
        <v>-5.5511151231257827E-17</v>
      </c>
      <c r="K187" s="177" t="s">
        <v>9054</v>
      </c>
    </row>
    <row r="188" spans="1:11" ht="27" customHeight="1" x14ac:dyDescent="0.3">
      <c r="A188" s="180" t="s">
        <v>68</v>
      </c>
      <c r="B188" s="180">
        <v>2023</v>
      </c>
      <c r="C188" s="180">
        <v>10</v>
      </c>
      <c r="D188" s="180" t="s">
        <v>9052</v>
      </c>
      <c r="E188" s="187">
        <f>LUCK!F84</f>
        <v>95832.146999999997</v>
      </c>
      <c r="F188" s="187">
        <f>LUCK!F37</f>
        <v>213079.06700000001</v>
      </c>
      <c r="G188" s="185">
        <f t="shared" si="6"/>
        <v>0.44974923322711935</v>
      </c>
      <c r="H188" s="185">
        <f t="shared" si="7"/>
        <v>0.44974923322711935</v>
      </c>
      <c r="I188" s="185">
        <v>0.4497492332271194</v>
      </c>
      <c r="J188" s="185">
        <f t="shared" si="8"/>
        <v>-5.5511151231257827E-17</v>
      </c>
      <c r="K188" s="180" t="s">
        <v>9054</v>
      </c>
    </row>
    <row r="189" spans="1:11" ht="27" customHeight="1" x14ac:dyDescent="0.3">
      <c r="A189" s="177" t="s">
        <v>68</v>
      </c>
      <c r="B189" s="177">
        <v>2024</v>
      </c>
      <c r="C189" s="177">
        <v>10</v>
      </c>
      <c r="D189" s="177" t="s">
        <v>9052</v>
      </c>
      <c r="E189" s="188">
        <f>LUCK!G84</f>
        <v>115324.942</v>
      </c>
      <c r="F189" s="188">
        <f>LUCK!G37</f>
        <v>234018.09</v>
      </c>
      <c r="G189" s="186">
        <f t="shared" si="6"/>
        <v>0.49280353497458251</v>
      </c>
      <c r="H189" s="186">
        <f t="shared" si="7"/>
        <v>0.49280353497458251</v>
      </c>
      <c r="I189" s="186">
        <v>0.49280353497458251</v>
      </c>
      <c r="J189" s="186">
        <f t="shared" si="8"/>
        <v>0</v>
      </c>
      <c r="K189" s="177" t="s">
        <v>9054</v>
      </c>
    </row>
    <row r="190" spans="1:11" ht="27" customHeight="1" x14ac:dyDescent="0.3">
      <c r="A190" s="180" t="s">
        <v>68</v>
      </c>
      <c r="B190" s="180">
        <v>2025</v>
      </c>
      <c r="C190" s="180">
        <v>10</v>
      </c>
      <c r="D190" s="180" t="s">
        <v>9052</v>
      </c>
      <c r="E190" s="187">
        <f>LUCK!H84</f>
        <v>124511.74400000001</v>
      </c>
      <c r="F190" s="187">
        <f>LUCK!H37</f>
        <v>266748.03000000003</v>
      </c>
      <c r="G190" s="185">
        <f t="shared" si="6"/>
        <v>0.46677662061834158</v>
      </c>
      <c r="H190" s="185">
        <f t="shared" si="7"/>
        <v>0.46677662061834158</v>
      </c>
      <c r="I190" s="185">
        <v>0.46677662061834158</v>
      </c>
      <c r="J190" s="185">
        <f t="shared" si="8"/>
        <v>0</v>
      </c>
      <c r="K190" s="180" t="s">
        <v>9054</v>
      </c>
    </row>
    <row r="191" spans="1:11" ht="27" customHeight="1" x14ac:dyDescent="0.3">
      <c r="A191" s="177" t="s">
        <v>68</v>
      </c>
      <c r="B191" s="177">
        <v>2021</v>
      </c>
      <c r="C191" s="177">
        <v>11</v>
      </c>
      <c r="D191" s="177" t="s">
        <v>9055</v>
      </c>
      <c r="E191" s="188">
        <f>LUCK!D62</f>
        <v>43167.803999999996</v>
      </c>
      <c r="F191" s="188">
        <f>LUCK!D37</f>
        <v>156368.06200000001</v>
      </c>
      <c r="G191" s="186">
        <f t="shared" si="6"/>
        <v>0.27606535150381284</v>
      </c>
      <c r="H191" s="186">
        <f t="shared" si="7"/>
        <v>0.27606535150381284</v>
      </c>
      <c r="I191" s="186">
        <v>0.27606535150381284</v>
      </c>
      <c r="J191" s="186">
        <f t="shared" si="8"/>
        <v>0</v>
      </c>
      <c r="K191" s="177" t="s">
        <v>9057</v>
      </c>
    </row>
    <row r="192" spans="1:11" ht="27" customHeight="1" x14ac:dyDescent="0.3">
      <c r="A192" s="180" t="s">
        <v>68</v>
      </c>
      <c r="B192" s="180">
        <v>2022</v>
      </c>
      <c r="C192" s="180">
        <v>11</v>
      </c>
      <c r="D192" s="180" t="s">
        <v>9055</v>
      </c>
      <c r="E192" s="187">
        <f>LUCK!E62</f>
        <v>56422.044000000002</v>
      </c>
      <c r="F192" s="187">
        <f>LUCK!E37</f>
        <v>184962.36800000002</v>
      </c>
      <c r="G192" s="185">
        <f t="shared" si="6"/>
        <v>0.30504607293955061</v>
      </c>
      <c r="H192" s="185">
        <f t="shared" si="7"/>
        <v>0.30504607293955061</v>
      </c>
      <c r="I192" s="185">
        <v>0.30504607293955061</v>
      </c>
      <c r="J192" s="185">
        <f t="shared" si="8"/>
        <v>0</v>
      </c>
      <c r="K192" s="180" t="s">
        <v>9057</v>
      </c>
    </row>
    <row r="193" spans="1:11" ht="27" customHeight="1" x14ac:dyDescent="0.3">
      <c r="A193" s="177" t="s">
        <v>68</v>
      </c>
      <c r="B193" s="177">
        <v>2023</v>
      </c>
      <c r="C193" s="177">
        <v>11</v>
      </c>
      <c r="D193" s="177" t="s">
        <v>9055</v>
      </c>
      <c r="E193" s="188">
        <f>LUCK!F62</f>
        <v>75712.740999999995</v>
      </c>
      <c r="F193" s="188">
        <f>LUCK!F37</f>
        <v>213079.06700000001</v>
      </c>
      <c r="G193" s="186">
        <f t="shared" si="6"/>
        <v>0.35532697822447284</v>
      </c>
      <c r="H193" s="186">
        <f t="shared" si="7"/>
        <v>0.35532697822447284</v>
      </c>
      <c r="I193" s="186">
        <v>0.35532697822447296</v>
      </c>
      <c r="J193" s="186">
        <f t="shared" si="8"/>
        <v>-1.1102230246251565E-16</v>
      </c>
      <c r="K193" s="177" t="s">
        <v>9057</v>
      </c>
    </row>
    <row r="194" spans="1:11" ht="27" customHeight="1" x14ac:dyDescent="0.3">
      <c r="A194" s="180" t="s">
        <v>68</v>
      </c>
      <c r="B194" s="180">
        <v>2024</v>
      </c>
      <c r="C194" s="180">
        <v>11</v>
      </c>
      <c r="D194" s="180" t="s">
        <v>9055</v>
      </c>
      <c r="E194" s="187">
        <f>LUCK!G62</f>
        <v>86256.812999999995</v>
      </c>
      <c r="F194" s="187">
        <f>LUCK!G37</f>
        <v>234018.09</v>
      </c>
      <c r="G194" s="185">
        <f t="shared" si="6"/>
        <v>0.36859036410390322</v>
      </c>
      <c r="H194" s="185">
        <f t="shared" si="7"/>
        <v>0.36859036410390322</v>
      </c>
      <c r="I194" s="185">
        <v>0.36859036410390322</v>
      </c>
      <c r="J194" s="185">
        <f t="shared" si="8"/>
        <v>0</v>
      </c>
      <c r="K194" s="180" t="s">
        <v>9057</v>
      </c>
    </row>
    <row r="195" spans="1:11" ht="27" customHeight="1" x14ac:dyDescent="0.3">
      <c r="A195" s="177" t="s">
        <v>68</v>
      </c>
      <c r="B195" s="177">
        <v>2025</v>
      </c>
      <c r="C195" s="177">
        <v>11</v>
      </c>
      <c r="D195" s="177" t="s">
        <v>9055</v>
      </c>
      <c r="E195" s="188">
        <f>LUCK!H62</f>
        <v>90837.63</v>
      </c>
      <c r="F195" s="188">
        <f>LUCK!H37</f>
        <v>266748.03000000003</v>
      </c>
      <c r="G195" s="186">
        <f t="shared" si="6"/>
        <v>0.34053721034041001</v>
      </c>
      <c r="H195" s="186">
        <f t="shared" si="7"/>
        <v>0.34053721034041001</v>
      </c>
      <c r="I195" s="186">
        <v>0.34053721034041001</v>
      </c>
      <c r="J195" s="186">
        <f t="shared" si="8"/>
        <v>0</v>
      </c>
      <c r="K195" s="177" t="s">
        <v>9057</v>
      </c>
    </row>
    <row r="196" spans="1:11" ht="27" customHeight="1" x14ac:dyDescent="0.3">
      <c r="A196" s="180" t="s">
        <v>68</v>
      </c>
      <c r="B196" s="180">
        <v>2021</v>
      </c>
      <c r="C196" s="180">
        <v>12</v>
      </c>
      <c r="D196" s="180" t="s">
        <v>9058</v>
      </c>
      <c r="E196" s="187">
        <f>LUCK!D66</f>
        <v>10490.951999999999</v>
      </c>
      <c r="F196" s="187">
        <f>LUCK!D41</f>
        <v>113200.258</v>
      </c>
      <c r="G196" s="185">
        <f t="shared" si="6"/>
        <v>9.267604319417716E-2</v>
      </c>
      <c r="H196" s="185">
        <f t="shared" si="7"/>
        <v>9.267604319417716E-2</v>
      </c>
      <c r="I196" s="185">
        <v>9.267604319417716E-2</v>
      </c>
      <c r="J196" s="185">
        <f t="shared" si="8"/>
        <v>0</v>
      </c>
      <c r="K196" s="180" t="s">
        <v>9060</v>
      </c>
    </row>
    <row r="197" spans="1:11" ht="27" customHeight="1" x14ac:dyDescent="0.3">
      <c r="A197" s="177" t="s">
        <v>68</v>
      </c>
      <c r="B197" s="177">
        <v>2022</v>
      </c>
      <c r="C197" s="177">
        <v>12</v>
      </c>
      <c r="D197" s="177" t="s">
        <v>9058</v>
      </c>
      <c r="E197" s="188">
        <f>LUCK!E66</f>
        <v>15595.647999999999</v>
      </c>
      <c r="F197" s="188">
        <f>LUCK!E41</f>
        <v>128540.32399999999</v>
      </c>
      <c r="G197" s="186">
        <f t="shared" si="6"/>
        <v>0.12132883685589589</v>
      </c>
      <c r="H197" s="186">
        <f t="shared" si="7"/>
        <v>0.12132883685589589</v>
      </c>
      <c r="I197" s="186">
        <v>0.12132883685589589</v>
      </c>
      <c r="J197" s="186">
        <f t="shared" si="8"/>
        <v>0</v>
      </c>
      <c r="K197" s="177" t="s">
        <v>9060</v>
      </c>
    </row>
    <row r="198" spans="1:11" ht="27" customHeight="1" x14ac:dyDescent="0.3">
      <c r="A198" s="180" t="s">
        <v>68</v>
      </c>
      <c r="B198" s="180">
        <v>2023</v>
      </c>
      <c r="C198" s="180">
        <v>12</v>
      </c>
      <c r="D198" s="180" t="s">
        <v>9058</v>
      </c>
      <c r="E198" s="187">
        <f>LUCK!F66</f>
        <v>21041.947</v>
      </c>
      <c r="F198" s="187">
        <f>LUCK!F41</f>
        <v>137366.326</v>
      </c>
      <c r="G198" s="185">
        <f t="shared" ref="G198:G261" si="9">IF(OR(NOT(ISNUMBER(E198)),NOT(ISNUMBER(F198)),F198=0),"n/m",E198/F198)</f>
        <v>0.15318126074071459</v>
      </c>
      <c r="H198" s="185">
        <f t="shared" ref="H198:H261" si="10">IF(OR(NOT(ISNUMBER(E198)),NOT(ISNUMBER(F198))),"n/m",IF(OR((F198)&lt;=0,(E198)&lt;0),"n/m",(E198)/(F198)))</f>
        <v>0.15318126074071459</v>
      </c>
      <c r="I198" s="185">
        <v>0.15318126074071459</v>
      </c>
      <c r="J198" s="185">
        <f t="shared" ref="J198:J261" si="11">IF(AND(ISNUMBER(G198),ISNUMBER(I198)),G198-I198,IF(G198=I198,0,"Review"))</f>
        <v>0</v>
      </c>
      <c r="K198" s="180" t="s">
        <v>9060</v>
      </c>
    </row>
    <row r="199" spans="1:11" ht="27" customHeight="1" x14ac:dyDescent="0.3">
      <c r="A199" s="177" t="s">
        <v>68</v>
      </c>
      <c r="B199" s="177">
        <v>2024</v>
      </c>
      <c r="C199" s="177">
        <v>12</v>
      </c>
      <c r="D199" s="177" t="s">
        <v>9058</v>
      </c>
      <c r="E199" s="188">
        <f>LUCK!G66</f>
        <v>20344.784000000003</v>
      </c>
      <c r="F199" s="188">
        <f>LUCK!G41</f>
        <v>147761.277</v>
      </c>
      <c r="G199" s="186">
        <f t="shared" si="9"/>
        <v>0.13768684470695258</v>
      </c>
      <c r="H199" s="186">
        <f t="shared" si="10"/>
        <v>0.13768684470695258</v>
      </c>
      <c r="I199" s="186">
        <v>0.13768684470695255</v>
      </c>
      <c r="J199" s="186">
        <f t="shared" si="11"/>
        <v>2.7755575615628914E-17</v>
      </c>
      <c r="K199" s="177" t="s">
        <v>9060</v>
      </c>
    </row>
    <row r="200" spans="1:11" ht="27" customHeight="1" x14ac:dyDescent="0.3">
      <c r="A200" s="180" t="s">
        <v>68</v>
      </c>
      <c r="B200" s="180">
        <v>2025</v>
      </c>
      <c r="C200" s="180">
        <v>12</v>
      </c>
      <c r="D200" s="180" t="s">
        <v>9058</v>
      </c>
      <c r="E200" s="187">
        <f>LUCK!H66</f>
        <v>17535.607</v>
      </c>
      <c r="F200" s="187">
        <f>LUCK!H41</f>
        <v>175910.39999999999</v>
      </c>
      <c r="G200" s="185">
        <f t="shared" si="9"/>
        <v>9.9684879347667912E-2</v>
      </c>
      <c r="H200" s="185">
        <f t="shared" si="10"/>
        <v>9.9684879347667912E-2</v>
      </c>
      <c r="I200" s="185">
        <v>9.9684879347667912E-2</v>
      </c>
      <c r="J200" s="185">
        <f t="shared" si="11"/>
        <v>0</v>
      </c>
      <c r="K200" s="180" t="s">
        <v>9060</v>
      </c>
    </row>
    <row r="201" spans="1:11" ht="27" customHeight="1" x14ac:dyDescent="0.3">
      <c r="A201" s="177" t="s">
        <v>68</v>
      </c>
      <c r="B201" s="177">
        <v>2021</v>
      </c>
      <c r="C201" s="177">
        <v>13</v>
      </c>
      <c r="D201" s="177" t="s">
        <v>9062</v>
      </c>
      <c r="E201" s="188">
        <f>LUCK!D66</f>
        <v>10490.951999999999</v>
      </c>
      <c r="F201" s="188">
        <f>LUCK!D66+LUCK!D41</f>
        <v>123691.21</v>
      </c>
      <c r="G201" s="186">
        <f t="shared" si="9"/>
        <v>8.4815663134025443E-2</v>
      </c>
      <c r="H201" s="186">
        <f t="shared" si="10"/>
        <v>8.4815663134025443E-2</v>
      </c>
      <c r="I201" s="186">
        <v>8.4815663134025443E-2</v>
      </c>
      <c r="J201" s="186">
        <f t="shared" si="11"/>
        <v>0</v>
      </c>
      <c r="K201" s="177" t="s">
        <v>9060</v>
      </c>
    </row>
    <row r="202" spans="1:11" ht="27" customHeight="1" x14ac:dyDescent="0.3">
      <c r="A202" s="180" t="s">
        <v>68</v>
      </c>
      <c r="B202" s="180">
        <v>2022</v>
      </c>
      <c r="C202" s="180">
        <v>13</v>
      </c>
      <c r="D202" s="180" t="s">
        <v>9062</v>
      </c>
      <c r="E202" s="187">
        <f>LUCK!E66</f>
        <v>15595.647999999999</v>
      </c>
      <c r="F202" s="187">
        <f>LUCK!E66+LUCK!E41</f>
        <v>144135.97199999998</v>
      </c>
      <c r="G202" s="185">
        <f t="shared" si="9"/>
        <v>0.10820094237127705</v>
      </c>
      <c r="H202" s="185">
        <f t="shared" si="10"/>
        <v>0.10820094237127705</v>
      </c>
      <c r="I202" s="185">
        <v>0.10820094237127705</v>
      </c>
      <c r="J202" s="185">
        <f t="shared" si="11"/>
        <v>0</v>
      </c>
      <c r="K202" s="180" t="s">
        <v>9060</v>
      </c>
    </row>
    <row r="203" spans="1:11" ht="27" customHeight="1" x14ac:dyDescent="0.3">
      <c r="A203" s="177" t="s">
        <v>68</v>
      </c>
      <c r="B203" s="177">
        <v>2023</v>
      </c>
      <c r="C203" s="177">
        <v>13</v>
      </c>
      <c r="D203" s="177" t="s">
        <v>9062</v>
      </c>
      <c r="E203" s="188">
        <f>LUCK!F66</f>
        <v>21041.947</v>
      </c>
      <c r="F203" s="188">
        <f>LUCK!F66+LUCK!F41</f>
        <v>158408.27299999999</v>
      </c>
      <c r="G203" s="186">
        <f t="shared" si="9"/>
        <v>0.13283363678865434</v>
      </c>
      <c r="H203" s="186">
        <f t="shared" si="10"/>
        <v>0.13283363678865434</v>
      </c>
      <c r="I203" s="186">
        <v>0.13283363678865434</v>
      </c>
      <c r="J203" s="186">
        <f t="shared" si="11"/>
        <v>0</v>
      </c>
      <c r="K203" s="177" t="s">
        <v>9060</v>
      </c>
    </row>
    <row r="204" spans="1:11" ht="27" customHeight="1" x14ac:dyDescent="0.3">
      <c r="A204" s="180" t="s">
        <v>68</v>
      </c>
      <c r="B204" s="180">
        <v>2024</v>
      </c>
      <c r="C204" s="180">
        <v>13</v>
      </c>
      <c r="D204" s="180" t="s">
        <v>9062</v>
      </c>
      <c r="E204" s="187">
        <f>LUCK!G66</f>
        <v>20344.784000000003</v>
      </c>
      <c r="F204" s="187">
        <f>LUCK!G66+LUCK!G41</f>
        <v>168106.06100000002</v>
      </c>
      <c r="G204" s="185">
        <f t="shared" si="9"/>
        <v>0.12102350075289672</v>
      </c>
      <c r="H204" s="185">
        <f t="shared" si="10"/>
        <v>0.12102350075289672</v>
      </c>
      <c r="I204" s="185">
        <v>0.12102350075289671</v>
      </c>
      <c r="J204" s="185">
        <f t="shared" si="11"/>
        <v>1.3877787807814457E-17</v>
      </c>
      <c r="K204" s="180" t="s">
        <v>9060</v>
      </c>
    </row>
    <row r="205" spans="1:11" ht="27" customHeight="1" x14ac:dyDescent="0.3">
      <c r="A205" s="177" t="s">
        <v>68</v>
      </c>
      <c r="B205" s="177">
        <v>2025</v>
      </c>
      <c r="C205" s="177">
        <v>13</v>
      </c>
      <c r="D205" s="177" t="s">
        <v>9062</v>
      </c>
      <c r="E205" s="188">
        <f>LUCK!H66</f>
        <v>17535.607</v>
      </c>
      <c r="F205" s="188">
        <f>LUCK!H66+LUCK!H41</f>
        <v>193446.00699999998</v>
      </c>
      <c r="G205" s="186">
        <f t="shared" si="9"/>
        <v>9.0648585990198302E-2</v>
      </c>
      <c r="H205" s="186">
        <f t="shared" si="10"/>
        <v>9.0648585990198302E-2</v>
      </c>
      <c r="I205" s="186">
        <v>9.0648585990198302E-2</v>
      </c>
      <c r="J205" s="186">
        <f t="shared" si="11"/>
        <v>0</v>
      </c>
      <c r="K205" s="177" t="s">
        <v>9060</v>
      </c>
    </row>
    <row r="206" spans="1:11" ht="27" customHeight="1" x14ac:dyDescent="0.3">
      <c r="A206" s="180" t="s">
        <v>68</v>
      </c>
      <c r="B206" s="180">
        <v>2021</v>
      </c>
      <c r="C206" s="180">
        <v>14</v>
      </c>
      <c r="D206" s="180" t="s">
        <v>9064</v>
      </c>
      <c r="E206" s="187">
        <f>(LUCK!D96+LUCK!D106)</f>
        <v>17325.118000000002</v>
      </c>
      <c r="F206" s="187">
        <f>LUCK!D106</f>
        <v>332.90499999999997</v>
      </c>
      <c r="G206" s="185">
        <f t="shared" si="9"/>
        <v>52.042228263318378</v>
      </c>
      <c r="H206" s="185">
        <f t="shared" si="10"/>
        <v>52.042228263318378</v>
      </c>
      <c r="I206" s="185">
        <v>52.042228263318378</v>
      </c>
      <c r="J206" s="185">
        <f t="shared" si="11"/>
        <v>0</v>
      </c>
      <c r="K206" s="180" t="s">
        <v>9066</v>
      </c>
    </row>
    <row r="207" spans="1:11" ht="27" customHeight="1" x14ac:dyDescent="0.3">
      <c r="A207" s="177" t="s">
        <v>68</v>
      </c>
      <c r="B207" s="177">
        <v>2022</v>
      </c>
      <c r="C207" s="177">
        <v>14</v>
      </c>
      <c r="D207" s="177" t="s">
        <v>9064</v>
      </c>
      <c r="E207" s="188">
        <f>(LUCK!E96+LUCK!E106)</f>
        <v>21815.748999999993</v>
      </c>
      <c r="F207" s="188">
        <f>LUCK!E106</f>
        <v>394.517</v>
      </c>
      <c r="G207" s="186">
        <f t="shared" si="9"/>
        <v>55.297361076962446</v>
      </c>
      <c r="H207" s="186">
        <f t="shared" si="10"/>
        <v>55.297361076962446</v>
      </c>
      <c r="I207" s="186">
        <v>55.297361076962446</v>
      </c>
      <c r="J207" s="186">
        <f t="shared" si="11"/>
        <v>0</v>
      </c>
      <c r="K207" s="177" t="s">
        <v>9066</v>
      </c>
    </row>
    <row r="208" spans="1:11" ht="27" customHeight="1" x14ac:dyDescent="0.3">
      <c r="A208" s="180" t="s">
        <v>68</v>
      </c>
      <c r="B208" s="180">
        <v>2023</v>
      </c>
      <c r="C208" s="180">
        <v>14</v>
      </c>
      <c r="D208" s="180" t="s">
        <v>9064</v>
      </c>
      <c r="E208" s="187">
        <f>(LUCK!F96+LUCK!F106)</f>
        <v>22502.069999999996</v>
      </c>
      <c r="F208" s="187">
        <f>LUCK!F106</f>
        <v>1158.796</v>
      </c>
      <c r="G208" s="185">
        <f t="shared" si="9"/>
        <v>19.418491261619813</v>
      </c>
      <c r="H208" s="185">
        <f t="shared" si="10"/>
        <v>19.418491261619813</v>
      </c>
      <c r="I208" s="185">
        <v>19.418491261619813</v>
      </c>
      <c r="J208" s="185">
        <f t="shared" si="11"/>
        <v>0</v>
      </c>
      <c r="K208" s="180" t="s">
        <v>9066</v>
      </c>
    </row>
    <row r="209" spans="1:11" ht="27" customHeight="1" x14ac:dyDescent="0.3">
      <c r="A209" s="177" t="s">
        <v>68</v>
      </c>
      <c r="B209" s="177">
        <v>2024</v>
      </c>
      <c r="C209" s="177">
        <v>14</v>
      </c>
      <c r="D209" s="177" t="s">
        <v>9064</v>
      </c>
      <c r="E209" s="188">
        <f>(LUCK!G96+LUCK!G106)</f>
        <v>42948.099000000002</v>
      </c>
      <c r="F209" s="188">
        <f>LUCK!G106</f>
        <v>1560.5349999999999</v>
      </c>
      <c r="G209" s="186">
        <f t="shared" si="9"/>
        <v>27.521394265428206</v>
      </c>
      <c r="H209" s="186">
        <f t="shared" si="10"/>
        <v>27.521394265428206</v>
      </c>
      <c r="I209" s="186">
        <v>27.521394265428206</v>
      </c>
      <c r="J209" s="186">
        <f t="shared" si="11"/>
        <v>0</v>
      </c>
      <c r="K209" s="177" t="s">
        <v>9066</v>
      </c>
    </row>
    <row r="210" spans="1:11" ht="27" customHeight="1" x14ac:dyDescent="0.3">
      <c r="A210" s="180" t="s">
        <v>68</v>
      </c>
      <c r="B210" s="180">
        <v>2025</v>
      </c>
      <c r="C210" s="180">
        <v>14</v>
      </c>
      <c r="D210" s="180" t="s">
        <v>9064</v>
      </c>
      <c r="E210" s="187">
        <f>(LUCK!H96+LUCK!H106)</f>
        <v>48649.106</v>
      </c>
      <c r="F210" s="187">
        <f>LUCK!H106</f>
        <v>1326.047</v>
      </c>
      <c r="G210" s="185">
        <f t="shared" si="9"/>
        <v>36.687316512913945</v>
      </c>
      <c r="H210" s="185">
        <f t="shared" si="10"/>
        <v>36.687316512913945</v>
      </c>
      <c r="I210" s="185">
        <v>36.687316512913952</v>
      </c>
      <c r="J210" s="185">
        <f t="shared" si="11"/>
        <v>-7.1054273576010019E-15</v>
      </c>
      <c r="K210" s="180" t="s">
        <v>9066</v>
      </c>
    </row>
    <row r="211" spans="1:11" ht="27" customHeight="1" x14ac:dyDescent="0.3">
      <c r="A211" s="177" t="s">
        <v>68</v>
      </c>
      <c r="B211" s="177">
        <v>2021</v>
      </c>
      <c r="C211" s="177">
        <v>15</v>
      </c>
      <c r="D211" s="177" t="s">
        <v>9067</v>
      </c>
      <c r="E211" s="188">
        <f>LUCK!D86</f>
        <v>18955.932000000001</v>
      </c>
      <c r="F211" s="188">
        <f>LUCK!D84</f>
        <v>62940.805</v>
      </c>
      <c r="G211" s="186">
        <f t="shared" si="9"/>
        <v>0.30117079055471246</v>
      </c>
      <c r="H211" s="186">
        <f t="shared" si="10"/>
        <v>0.30117079055471246</v>
      </c>
      <c r="I211" s="186">
        <v>0.30117079055471246</v>
      </c>
      <c r="J211" s="186">
        <f t="shared" si="11"/>
        <v>0</v>
      </c>
      <c r="K211" s="177" t="s">
        <v>9069</v>
      </c>
    </row>
    <row r="212" spans="1:11" ht="27" customHeight="1" x14ac:dyDescent="0.3">
      <c r="A212" s="180" t="s">
        <v>68</v>
      </c>
      <c r="B212" s="180">
        <v>2022</v>
      </c>
      <c r="C212" s="180">
        <v>15</v>
      </c>
      <c r="D212" s="180" t="s">
        <v>9067</v>
      </c>
      <c r="E212" s="187">
        <f>LUCK!E86</f>
        <v>22551.840999999993</v>
      </c>
      <c r="F212" s="187">
        <f>LUCK!E84</f>
        <v>81093.524999999994</v>
      </c>
      <c r="G212" s="185">
        <f t="shared" si="9"/>
        <v>0.27809669144361399</v>
      </c>
      <c r="H212" s="185">
        <f t="shared" si="10"/>
        <v>0.27809669144361399</v>
      </c>
      <c r="I212" s="185">
        <v>0.27809669144361399</v>
      </c>
      <c r="J212" s="185">
        <f t="shared" si="11"/>
        <v>0</v>
      </c>
      <c r="K212" s="180" t="s">
        <v>9069</v>
      </c>
    </row>
    <row r="213" spans="1:11" ht="27" customHeight="1" x14ac:dyDescent="0.3">
      <c r="A213" s="177" t="s">
        <v>68</v>
      </c>
      <c r="B213" s="177">
        <v>2023</v>
      </c>
      <c r="C213" s="177">
        <v>15</v>
      </c>
      <c r="D213" s="177" t="s">
        <v>9067</v>
      </c>
      <c r="E213" s="188">
        <f>LUCK!F86</f>
        <v>26060.678</v>
      </c>
      <c r="F213" s="188">
        <f>LUCK!F84</f>
        <v>95832.146999999997</v>
      </c>
      <c r="G213" s="186">
        <f t="shared" si="9"/>
        <v>0.27194087595679139</v>
      </c>
      <c r="H213" s="186">
        <f t="shared" si="10"/>
        <v>0.27194087595679139</v>
      </c>
      <c r="I213" s="186">
        <v>0.27194087595679139</v>
      </c>
      <c r="J213" s="186">
        <f t="shared" si="11"/>
        <v>0</v>
      </c>
      <c r="K213" s="177" t="s">
        <v>9069</v>
      </c>
    </row>
    <row r="214" spans="1:11" ht="27" customHeight="1" x14ac:dyDescent="0.3">
      <c r="A214" s="180" t="s">
        <v>68</v>
      </c>
      <c r="B214" s="180">
        <v>2024</v>
      </c>
      <c r="C214" s="180">
        <v>15</v>
      </c>
      <c r="D214" s="180" t="s">
        <v>9067</v>
      </c>
      <c r="E214" s="187">
        <f>LUCK!G86</f>
        <v>38804.572</v>
      </c>
      <c r="F214" s="187">
        <f>LUCK!G84</f>
        <v>115324.942</v>
      </c>
      <c r="G214" s="185">
        <f t="shared" si="9"/>
        <v>0.33648030796321582</v>
      </c>
      <c r="H214" s="185">
        <f t="shared" si="10"/>
        <v>0.33648030796321582</v>
      </c>
      <c r="I214" s="185">
        <v>0.33648030796321582</v>
      </c>
      <c r="J214" s="185">
        <f t="shared" si="11"/>
        <v>0</v>
      </c>
      <c r="K214" s="180" t="s">
        <v>9069</v>
      </c>
    </row>
    <row r="215" spans="1:11" ht="27" customHeight="1" x14ac:dyDescent="0.3">
      <c r="A215" s="177" t="s">
        <v>68</v>
      </c>
      <c r="B215" s="177">
        <v>2025</v>
      </c>
      <c r="C215" s="177">
        <v>15</v>
      </c>
      <c r="D215" s="177" t="s">
        <v>9067</v>
      </c>
      <c r="E215" s="188">
        <f>LUCK!H86</f>
        <v>42684.684000000008</v>
      </c>
      <c r="F215" s="188">
        <f>LUCK!H84</f>
        <v>124511.74400000001</v>
      </c>
      <c r="G215" s="186">
        <f t="shared" si="9"/>
        <v>0.34281652982067301</v>
      </c>
      <c r="H215" s="186">
        <f t="shared" si="10"/>
        <v>0.34281652982067301</v>
      </c>
      <c r="I215" s="186">
        <v>0.34281652982067301</v>
      </c>
      <c r="J215" s="186">
        <f t="shared" si="11"/>
        <v>0</v>
      </c>
      <c r="K215" s="177" t="s">
        <v>9069</v>
      </c>
    </row>
    <row r="216" spans="1:11" ht="27" customHeight="1" x14ac:dyDescent="0.3">
      <c r="A216" s="180" t="s">
        <v>68</v>
      </c>
      <c r="B216" s="180">
        <v>2021</v>
      </c>
      <c r="C216" s="180">
        <v>16</v>
      </c>
      <c r="D216" s="180" t="s">
        <v>9070</v>
      </c>
      <c r="E216" s="187">
        <f>(LUCK!D96+LUCK!D106)</f>
        <v>17325.118000000002</v>
      </c>
      <c r="F216" s="187">
        <f>LUCK!D84</f>
        <v>62940.805</v>
      </c>
      <c r="G216" s="185">
        <f t="shared" si="9"/>
        <v>0.27526050866365631</v>
      </c>
      <c r="H216" s="185">
        <f t="shared" si="10"/>
        <v>0.27526050866365631</v>
      </c>
      <c r="I216" s="185">
        <v>0.27526050866365631</v>
      </c>
      <c r="J216" s="185">
        <f t="shared" si="11"/>
        <v>0</v>
      </c>
      <c r="K216" s="180" t="s">
        <v>9072</v>
      </c>
    </row>
    <row r="217" spans="1:11" ht="27" customHeight="1" x14ac:dyDescent="0.3">
      <c r="A217" s="177" t="s">
        <v>68</v>
      </c>
      <c r="B217" s="177">
        <v>2022</v>
      </c>
      <c r="C217" s="177">
        <v>16</v>
      </c>
      <c r="D217" s="177" t="s">
        <v>9070</v>
      </c>
      <c r="E217" s="188">
        <f>(LUCK!E96+LUCK!E106)</f>
        <v>21815.748999999993</v>
      </c>
      <c r="F217" s="188">
        <f>LUCK!E84</f>
        <v>81093.524999999994</v>
      </c>
      <c r="G217" s="186">
        <f t="shared" si="9"/>
        <v>0.26901961654768358</v>
      </c>
      <c r="H217" s="186">
        <f t="shared" si="10"/>
        <v>0.26901961654768358</v>
      </c>
      <c r="I217" s="186">
        <v>0.26901961654768358</v>
      </c>
      <c r="J217" s="186">
        <f t="shared" si="11"/>
        <v>0</v>
      </c>
      <c r="K217" s="177" t="s">
        <v>9072</v>
      </c>
    </row>
    <row r="218" spans="1:11" ht="27" customHeight="1" x14ac:dyDescent="0.3">
      <c r="A218" s="180" t="s">
        <v>68</v>
      </c>
      <c r="B218" s="180">
        <v>2023</v>
      </c>
      <c r="C218" s="180">
        <v>16</v>
      </c>
      <c r="D218" s="180" t="s">
        <v>9070</v>
      </c>
      <c r="E218" s="187">
        <f>(LUCK!F96+LUCK!F106)</f>
        <v>22502.069999999996</v>
      </c>
      <c r="F218" s="187">
        <f>LUCK!F84</f>
        <v>95832.146999999997</v>
      </c>
      <c r="G218" s="185">
        <f t="shared" si="9"/>
        <v>0.23480711540356072</v>
      </c>
      <c r="H218" s="185">
        <f t="shared" si="10"/>
        <v>0.23480711540356072</v>
      </c>
      <c r="I218" s="185">
        <v>0.23480711540356072</v>
      </c>
      <c r="J218" s="185">
        <f t="shared" si="11"/>
        <v>0</v>
      </c>
      <c r="K218" s="180" t="s">
        <v>9072</v>
      </c>
    </row>
    <row r="219" spans="1:11" ht="27" customHeight="1" x14ac:dyDescent="0.3">
      <c r="A219" s="177" t="s">
        <v>68</v>
      </c>
      <c r="B219" s="177">
        <v>2024</v>
      </c>
      <c r="C219" s="177">
        <v>16</v>
      </c>
      <c r="D219" s="177" t="s">
        <v>9070</v>
      </c>
      <c r="E219" s="188">
        <f>(LUCK!G96+LUCK!G106)</f>
        <v>42948.099000000002</v>
      </c>
      <c r="F219" s="188">
        <f>LUCK!G84</f>
        <v>115324.942</v>
      </c>
      <c r="G219" s="186">
        <f t="shared" si="9"/>
        <v>0.37240945675047471</v>
      </c>
      <c r="H219" s="186">
        <f t="shared" si="10"/>
        <v>0.37240945675047471</v>
      </c>
      <c r="I219" s="186">
        <v>0.37240945675047471</v>
      </c>
      <c r="J219" s="186">
        <f t="shared" si="11"/>
        <v>0</v>
      </c>
      <c r="K219" s="177" t="s">
        <v>9072</v>
      </c>
    </row>
    <row r="220" spans="1:11" ht="27" customHeight="1" x14ac:dyDescent="0.3">
      <c r="A220" s="180" t="s">
        <v>68</v>
      </c>
      <c r="B220" s="180">
        <v>2025</v>
      </c>
      <c r="C220" s="180">
        <v>16</v>
      </c>
      <c r="D220" s="180" t="s">
        <v>9070</v>
      </c>
      <c r="E220" s="187">
        <f>(LUCK!H96+LUCK!H106)</f>
        <v>48649.106</v>
      </c>
      <c r="F220" s="187">
        <f>LUCK!H84</f>
        <v>124511.74400000001</v>
      </c>
      <c r="G220" s="185">
        <f t="shared" si="9"/>
        <v>0.39071901522799324</v>
      </c>
      <c r="H220" s="185">
        <f t="shared" si="10"/>
        <v>0.39071901522799324</v>
      </c>
      <c r="I220" s="185">
        <v>0.39071901522799329</v>
      </c>
      <c r="J220" s="185">
        <f t="shared" si="11"/>
        <v>-5.5511151231257827E-17</v>
      </c>
      <c r="K220" s="180" t="s">
        <v>9072</v>
      </c>
    </row>
    <row r="221" spans="1:11" ht="27" customHeight="1" x14ac:dyDescent="0.3">
      <c r="A221" s="177" t="s">
        <v>68</v>
      </c>
      <c r="B221" s="177">
        <v>2021</v>
      </c>
      <c r="C221" s="177">
        <v>17</v>
      </c>
      <c r="D221" s="177" t="s">
        <v>9074</v>
      </c>
      <c r="E221" s="188">
        <f>LUCK!D99</f>
        <v>14070.189000000004</v>
      </c>
      <c r="F221" s="188">
        <f>LUCK!D84</f>
        <v>62940.805</v>
      </c>
      <c r="G221" s="186">
        <f t="shared" si="9"/>
        <v>0.22354637821997994</v>
      </c>
      <c r="H221" s="186">
        <f t="shared" si="10"/>
        <v>0.22354637821997994</v>
      </c>
      <c r="I221" s="186">
        <v>0.22354637821997994</v>
      </c>
      <c r="J221" s="186">
        <f t="shared" si="11"/>
        <v>0</v>
      </c>
      <c r="K221" s="177" t="s">
        <v>9076</v>
      </c>
    </row>
    <row r="222" spans="1:11" ht="27" customHeight="1" x14ac:dyDescent="0.3">
      <c r="A222" s="180" t="s">
        <v>68</v>
      </c>
      <c r="B222" s="180">
        <v>2022</v>
      </c>
      <c r="C222" s="180">
        <v>17</v>
      </c>
      <c r="D222" s="180" t="s">
        <v>9074</v>
      </c>
      <c r="E222" s="187">
        <f>LUCK!E99</f>
        <v>15298.617999999993</v>
      </c>
      <c r="F222" s="187">
        <f>LUCK!E84</f>
        <v>81093.524999999994</v>
      </c>
      <c r="G222" s="185">
        <f t="shared" si="9"/>
        <v>0.18865400166042842</v>
      </c>
      <c r="H222" s="185">
        <f t="shared" si="10"/>
        <v>0.18865400166042842</v>
      </c>
      <c r="I222" s="185">
        <v>0.18865400166042842</v>
      </c>
      <c r="J222" s="185">
        <f t="shared" si="11"/>
        <v>0</v>
      </c>
      <c r="K222" s="180" t="s">
        <v>9076</v>
      </c>
    </row>
    <row r="223" spans="1:11" ht="27" customHeight="1" x14ac:dyDescent="0.3">
      <c r="A223" s="177" t="s">
        <v>68</v>
      </c>
      <c r="B223" s="177">
        <v>2023</v>
      </c>
      <c r="C223" s="177">
        <v>17</v>
      </c>
      <c r="D223" s="177" t="s">
        <v>9074</v>
      </c>
      <c r="E223" s="188">
        <f>LUCK!F99</f>
        <v>13725.813999999998</v>
      </c>
      <c r="F223" s="188">
        <f>LUCK!F84</f>
        <v>95832.146999999997</v>
      </c>
      <c r="G223" s="186">
        <f t="shared" si="9"/>
        <v>0.14322765825125466</v>
      </c>
      <c r="H223" s="186">
        <f t="shared" si="10"/>
        <v>0.14322765825125466</v>
      </c>
      <c r="I223" s="186">
        <v>0.14322765825125466</v>
      </c>
      <c r="J223" s="186">
        <f t="shared" si="11"/>
        <v>0</v>
      </c>
      <c r="K223" s="177" t="s">
        <v>9076</v>
      </c>
    </row>
    <row r="224" spans="1:11" ht="27" customHeight="1" x14ac:dyDescent="0.3">
      <c r="A224" s="180" t="s">
        <v>68</v>
      </c>
      <c r="B224" s="180">
        <v>2024</v>
      </c>
      <c r="C224" s="180">
        <v>17</v>
      </c>
      <c r="D224" s="180" t="s">
        <v>9074</v>
      </c>
      <c r="E224" s="187">
        <f>LUCK!G99</f>
        <v>28106.539000000004</v>
      </c>
      <c r="F224" s="187">
        <f>LUCK!G84</f>
        <v>115324.942</v>
      </c>
      <c r="G224" s="185">
        <f t="shared" si="9"/>
        <v>0.24371604713228476</v>
      </c>
      <c r="H224" s="185">
        <f t="shared" si="10"/>
        <v>0.24371604713228476</v>
      </c>
      <c r="I224" s="185">
        <v>0.2437160471322847</v>
      </c>
      <c r="J224" s="185">
        <f t="shared" si="11"/>
        <v>5.5511151231257827E-17</v>
      </c>
      <c r="K224" s="180" t="s">
        <v>9076</v>
      </c>
    </row>
    <row r="225" spans="1:11" ht="27" customHeight="1" x14ac:dyDescent="0.3">
      <c r="A225" s="177" t="s">
        <v>68</v>
      </c>
      <c r="B225" s="177">
        <v>2025</v>
      </c>
      <c r="C225" s="177">
        <v>17</v>
      </c>
      <c r="D225" s="177" t="s">
        <v>9074</v>
      </c>
      <c r="E225" s="188">
        <f>LUCK!H99</f>
        <v>33092.162000000004</v>
      </c>
      <c r="F225" s="188">
        <f>LUCK!H84</f>
        <v>124511.74400000001</v>
      </c>
      <c r="G225" s="186">
        <f t="shared" si="9"/>
        <v>0.26577542757733763</v>
      </c>
      <c r="H225" s="186">
        <f t="shared" si="10"/>
        <v>0.26577542757733763</v>
      </c>
      <c r="I225" s="186">
        <v>0.26577542757733769</v>
      </c>
      <c r="J225" s="186">
        <f t="shared" si="11"/>
        <v>-5.5511151231257827E-17</v>
      </c>
      <c r="K225" s="177" t="s">
        <v>9076</v>
      </c>
    </row>
    <row r="226" spans="1:11" ht="27" customHeight="1" x14ac:dyDescent="0.3">
      <c r="A226" s="180" t="s">
        <v>68</v>
      </c>
      <c r="B226" s="180">
        <v>2021</v>
      </c>
      <c r="C226" s="180">
        <v>18</v>
      </c>
      <c r="D226" s="180" t="s">
        <v>9077</v>
      </c>
      <c r="E226" s="187">
        <f>LUCK!D99</f>
        <v>14070.189000000004</v>
      </c>
      <c r="F226" s="187">
        <f>LUCK!D37</f>
        <v>156368.06200000001</v>
      </c>
      <c r="G226" s="185">
        <f t="shared" si="9"/>
        <v>8.9981220078048957E-2</v>
      </c>
      <c r="H226" s="185">
        <f t="shared" si="10"/>
        <v>8.9981220078048957E-2</v>
      </c>
      <c r="I226" s="185">
        <v>8.9981220078048957E-2</v>
      </c>
      <c r="J226" s="185">
        <f t="shared" si="11"/>
        <v>0</v>
      </c>
      <c r="K226" s="180" t="s">
        <v>9054</v>
      </c>
    </row>
    <row r="227" spans="1:11" ht="27" customHeight="1" x14ac:dyDescent="0.3">
      <c r="A227" s="177" t="s">
        <v>68</v>
      </c>
      <c r="B227" s="177">
        <v>2022</v>
      </c>
      <c r="C227" s="177">
        <v>18</v>
      </c>
      <c r="D227" s="177" t="s">
        <v>9077</v>
      </c>
      <c r="E227" s="188">
        <f>LUCK!E99</f>
        <v>15298.617999999993</v>
      </c>
      <c r="F227" s="188">
        <f>LUCK!E37</f>
        <v>184962.36800000002</v>
      </c>
      <c r="G227" s="186">
        <f t="shared" si="9"/>
        <v>8.271205740618541E-2</v>
      </c>
      <c r="H227" s="186">
        <f t="shared" si="10"/>
        <v>8.271205740618541E-2</v>
      </c>
      <c r="I227" s="186">
        <v>8.2712057406185424E-2</v>
      </c>
      <c r="J227" s="186">
        <f t="shared" si="11"/>
        <v>-1.3877787807814457E-17</v>
      </c>
      <c r="K227" s="177" t="s">
        <v>9054</v>
      </c>
    </row>
    <row r="228" spans="1:11" ht="27" customHeight="1" x14ac:dyDescent="0.3">
      <c r="A228" s="180" t="s">
        <v>68</v>
      </c>
      <c r="B228" s="180">
        <v>2023</v>
      </c>
      <c r="C228" s="180">
        <v>18</v>
      </c>
      <c r="D228" s="180" t="s">
        <v>9077</v>
      </c>
      <c r="E228" s="187">
        <f>LUCK!F99</f>
        <v>13725.813999999998</v>
      </c>
      <c r="F228" s="187">
        <f>LUCK!F37</f>
        <v>213079.06700000001</v>
      </c>
      <c r="G228" s="185">
        <f t="shared" si="9"/>
        <v>6.4416529475417678E-2</v>
      </c>
      <c r="H228" s="185">
        <f t="shared" si="10"/>
        <v>6.4416529475417678E-2</v>
      </c>
      <c r="I228" s="185">
        <v>6.4416529475417691E-2</v>
      </c>
      <c r="J228" s="185">
        <f t="shared" si="11"/>
        <v>-1.3877787807814457E-17</v>
      </c>
      <c r="K228" s="180" t="s">
        <v>9054</v>
      </c>
    </row>
    <row r="229" spans="1:11" ht="27" customHeight="1" x14ac:dyDescent="0.3">
      <c r="A229" s="177" t="s">
        <v>68</v>
      </c>
      <c r="B229" s="177">
        <v>2024</v>
      </c>
      <c r="C229" s="177">
        <v>18</v>
      </c>
      <c r="D229" s="177" t="s">
        <v>9077</v>
      </c>
      <c r="E229" s="188">
        <f>LUCK!G99</f>
        <v>28106.539000000004</v>
      </c>
      <c r="F229" s="188">
        <f>LUCK!G37</f>
        <v>234018.09</v>
      </c>
      <c r="G229" s="186">
        <f t="shared" si="9"/>
        <v>0.12010412955682188</v>
      </c>
      <c r="H229" s="186">
        <f t="shared" si="10"/>
        <v>0.12010412955682188</v>
      </c>
      <c r="I229" s="186">
        <v>0.12010412955682186</v>
      </c>
      <c r="J229" s="186">
        <f t="shared" si="11"/>
        <v>2.7755575615628914E-17</v>
      </c>
      <c r="K229" s="177" t="s">
        <v>9054</v>
      </c>
    </row>
    <row r="230" spans="1:11" ht="27" customHeight="1" x14ac:dyDescent="0.3">
      <c r="A230" s="180" t="s">
        <v>68</v>
      </c>
      <c r="B230" s="180">
        <v>2025</v>
      </c>
      <c r="C230" s="180">
        <v>18</v>
      </c>
      <c r="D230" s="180" t="s">
        <v>9077</v>
      </c>
      <c r="E230" s="187">
        <f>LUCK!H99</f>
        <v>33092.162000000004</v>
      </c>
      <c r="F230" s="187">
        <f>LUCK!H37</f>
        <v>266748.03000000003</v>
      </c>
      <c r="G230" s="185">
        <f t="shared" si="9"/>
        <v>0.12405775592794444</v>
      </c>
      <c r="H230" s="185">
        <f t="shared" si="10"/>
        <v>0.12405775592794444</v>
      </c>
      <c r="I230" s="185">
        <v>0.12405775592794446</v>
      </c>
      <c r="J230" s="185">
        <f t="shared" si="11"/>
        <v>-2.7755575615628914E-17</v>
      </c>
      <c r="K230" s="180" t="s">
        <v>9054</v>
      </c>
    </row>
    <row r="231" spans="1:11" ht="27" customHeight="1" x14ac:dyDescent="0.3">
      <c r="A231" s="177" t="s">
        <v>68</v>
      </c>
      <c r="B231" s="177">
        <v>2021</v>
      </c>
      <c r="C231" s="177">
        <v>19</v>
      </c>
      <c r="D231" s="177" t="s">
        <v>9079</v>
      </c>
      <c r="E231" s="188">
        <f>LUCK!D99</f>
        <v>14070.189000000004</v>
      </c>
      <c r="F231" s="188">
        <f>LUCK!D41</f>
        <v>113200.258</v>
      </c>
      <c r="G231" s="186">
        <f t="shared" si="9"/>
        <v>0.12429467254394423</v>
      </c>
      <c r="H231" s="186">
        <f t="shared" si="10"/>
        <v>0.12429467254394423</v>
      </c>
      <c r="I231" s="186">
        <v>0.12429467254394423</v>
      </c>
      <c r="J231" s="186">
        <f t="shared" si="11"/>
        <v>0</v>
      </c>
      <c r="K231" s="177" t="s">
        <v>9081</v>
      </c>
    </row>
    <row r="232" spans="1:11" ht="27" customHeight="1" x14ac:dyDescent="0.3">
      <c r="A232" s="180" t="s">
        <v>68</v>
      </c>
      <c r="B232" s="180">
        <v>2022</v>
      </c>
      <c r="C232" s="180">
        <v>19</v>
      </c>
      <c r="D232" s="180" t="s">
        <v>9079</v>
      </c>
      <c r="E232" s="187">
        <f>LUCK!E99</f>
        <v>15298.617999999993</v>
      </c>
      <c r="F232" s="187">
        <f>LUCK!E41</f>
        <v>128540.32399999999</v>
      </c>
      <c r="G232" s="185">
        <f t="shared" si="9"/>
        <v>0.11901804448540206</v>
      </c>
      <c r="H232" s="185">
        <f t="shared" si="10"/>
        <v>0.11901804448540206</v>
      </c>
      <c r="I232" s="185">
        <v>0.11901804448540206</v>
      </c>
      <c r="J232" s="185">
        <f t="shared" si="11"/>
        <v>0</v>
      </c>
      <c r="K232" s="180" t="s">
        <v>9081</v>
      </c>
    </row>
    <row r="233" spans="1:11" ht="27" customHeight="1" x14ac:dyDescent="0.3">
      <c r="A233" s="177" t="s">
        <v>68</v>
      </c>
      <c r="B233" s="177">
        <v>2023</v>
      </c>
      <c r="C233" s="177">
        <v>19</v>
      </c>
      <c r="D233" s="177" t="s">
        <v>9079</v>
      </c>
      <c r="E233" s="188">
        <f>LUCK!F99</f>
        <v>13725.813999999998</v>
      </c>
      <c r="F233" s="188">
        <f>LUCK!F41</f>
        <v>137366.326</v>
      </c>
      <c r="G233" s="186">
        <f t="shared" si="9"/>
        <v>9.9921242706891636E-2</v>
      </c>
      <c r="H233" s="186">
        <f t="shared" si="10"/>
        <v>9.9921242706891636E-2</v>
      </c>
      <c r="I233" s="186">
        <v>9.9921242706891636E-2</v>
      </c>
      <c r="J233" s="186">
        <f t="shared" si="11"/>
        <v>0</v>
      </c>
      <c r="K233" s="177" t="s">
        <v>9081</v>
      </c>
    </row>
    <row r="234" spans="1:11" ht="27" customHeight="1" x14ac:dyDescent="0.3">
      <c r="A234" s="180" t="s">
        <v>68</v>
      </c>
      <c r="B234" s="180">
        <v>2024</v>
      </c>
      <c r="C234" s="180">
        <v>19</v>
      </c>
      <c r="D234" s="180" t="s">
        <v>9079</v>
      </c>
      <c r="E234" s="187">
        <f>LUCK!G99</f>
        <v>28106.539000000004</v>
      </c>
      <c r="F234" s="187">
        <f>LUCK!G41</f>
        <v>147761.277</v>
      </c>
      <c r="G234" s="185">
        <f t="shared" si="9"/>
        <v>0.19021586420101122</v>
      </c>
      <c r="H234" s="185">
        <f t="shared" si="10"/>
        <v>0.19021586420101122</v>
      </c>
      <c r="I234" s="185">
        <v>0.19021586420101119</v>
      </c>
      <c r="J234" s="185">
        <f t="shared" si="11"/>
        <v>2.7755575615628914E-17</v>
      </c>
      <c r="K234" s="180" t="s">
        <v>9081</v>
      </c>
    </row>
    <row r="235" spans="1:11" ht="27" customHeight="1" x14ac:dyDescent="0.3">
      <c r="A235" s="177" t="s">
        <v>68</v>
      </c>
      <c r="B235" s="177">
        <v>2025</v>
      </c>
      <c r="C235" s="177">
        <v>19</v>
      </c>
      <c r="D235" s="177" t="s">
        <v>9079</v>
      </c>
      <c r="E235" s="188">
        <f>LUCK!H99</f>
        <v>33092.162000000004</v>
      </c>
      <c r="F235" s="188">
        <f>LUCK!H41</f>
        <v>175910.39999999999</v>
      </c>
      <c r="G235" s="186">
        <f t="shared" si="9"/>
        <v>0.18811941761260281</v>
      </c>
      <c r="H235" s="186">
        <f t="shared" si="10"/>
        <v>0.18811941761260281</v>
      </c>
      <c r="I235" s="186">
        <v>0.18811941761260284</v>
      </c>
      <c r="J235" s="186">
        <f t="shared" si="11"/>
        <v>-2.7755575615628914E-17</v>
      </c>
      <c r="K235" s="177" t="s">
        <v>9081</v>
      </c>
    </row>
    <row r="236" spans="1:11" ht="27" customHeight="1" x14ac:dyDescent="0.3">
      <c r="A236" s="180" t="s">
        <v>68</v>
      </c>
      <c r="B236" s="180">
        <v>2021</v>
      </c>
      <c r="C236" s="180">
        <v>20</v>
      </c>
      <c r="D236" s="180" t="s">
        <v>9082</v>
      </c>
      <c r="E236" s="187">
        <f>((LUCK!D96+LUCK!D106)*(1-(-LUCK!D97-LUCK!D98)/LUCK!D96))</f>
        <v>14345.846812731341</v>
      </c>
      <c r="F236" s="187">
        <f>LUCK!D70</f>
        <v>123691.21</v>
      </c>
      <c r="G236" s="185">
        <f t="shared" si="9"/>
        <v>0.11598113408973314</v>
      </c>
      <c r="H236" s="185">
        <f t="shared" si="10"/>
        <v>0.11598113408973314</v>
      </c>
      <c r="I236" s="185">
        <v>0.11598113408973314</v>
      </c>
      <c r="J236" s="185">
        <f t="shared" si="11"/>
        <v>0</v>
      </c>
      <c r="K236" s="180" t="s">
        <v>9084</v>
      </c>
    </row>
    <row r="237" spans="1:11" ht="27" customHeight="1" x14ac:dyDescent="0.3">
      <c r="A237" s="177" t="s">
        <v>68</v>
      </c>
      <c r="B237" s="177">
        <v>2022</v>
      </c>
      <c r="C237" s="177">
        <v>20</v>
      </c>
      <c r="D237" s="177" t="s">
        <v>9082</v>
      </c>
      <c r="E237" s="188">
        <f>((LUCK!E96+LUCK!E106)*(1-(-LUCK!E97-LUCK!E98)/LUCK!E96))</f>
        <v>15580.374197659679</v>
      </c>
      <c r="F237" s="188">
        <f>LUCK!E70</f>
        <v>144135.97199999998</v>
      </c>
      <c r="G237" s="186">
        <f t="shared" si="9"/>
        <v>0.10809497435976413</v>
      </c>
      <c r="H237" s="186">
        <f t="shared" si="10"/>
        <v>0.10809497435976413</v>
      </c>
      <c r="I237" s="186">
        <v>0.10809497435976413</v>
      </c>
      <c r="J237" s="186">
        <f t="shared" si="11"/>
        <v>0</v>
      </c>
      <c r="K237" s="177" t="s">
        <v>9084</v>
      </c>
    </row>
    <row r="238" spans="1:11" ht="27" customHeight="1" x14ac:dyDescent="0.3">
      <c r="A238" s="180" t="s">
        <v>68</v>
      </c>
      <c r="B238" s="180">
        <v>2023</v>
      </c>
      <c r="C238" s="180">
        <v>20</v>
      </c>
      <c r="D238" s="180" t="s">
        <v>9082</v>
      </c>
      <c r="E238" s="187">
        <f>((LUCK!F96+LUCK!F106)*(1-(-LUCK!F97-LUCK!F98)/LUCK!F96))</f>
        <v>14471.033236746149</v>
      </c>
      <c r="F238" s="187">
        <f>LUCK!F70</f>
        <v>158408.27299999999</v>
      </c>
      <c r="G238" s="185">
        <f t="shared" si="9"/>
        <v>9.1352761839314733E-2</v>
      </c>
      <c r="H238" s="185">
        <f t="shared" si="10"/>
        <v>9.1352761839314733E-2</v>
      </c>
      <c r="I238" s="185">
        <v>9.1352761839314733E-2</v>
      </c>
      <c r="J238" s="185">
        <f t="shared" si="11"/>
        <v>0</v>
      </c>
      <c r="K238" s="180" t="s">
        <v>9084</v>
      </c>
    </row>
    <row r="239" spans="1:11" ht="27" customHeight="1" x14ac:dyDescent="0.3">
      <c r="A239" s="177" t="s">
        <v>68</v>
      </c>
      <c r="B239" s="177">
        <v>2024</v>
      </c>
      <c r="C239" s="177">
        <v>20</v>
      </c>
      <c r="D239" s="177" t="s">
        <v>9082</v>
      </c>
      <c r="E239" s="188">
        <f>((LUCK!G96+LUCK!G106)*(1-(-LUCK!G97-LUCK!G98)/LUCK!G96))</f>
        <v>29166.307529463709</v>
      </c>
      <c r="F239" s="188">
        <f>LUCK!G70</f>
        <v>168106.06100000002</v>
      </c>
      <c r="G239" s="186">
        <f t="shared" si="9"/>
        <v>0.17349944050776198</v>
      </c>
      <c r="H239" s="186">
        <f t="shared" si="10"/>
        <v>0.17349944050776198</v>
      </c>
      <c r="I239" s="186">
        <v>0.173499440507762</v>
      </c>
      <c r="J239" s="186">
        <f t="shared" si="11"/>
        <v>-2.7755575615628914E-17</v>
      </c>
      <c r="K239" s="177" t="s">
        <v>9084</v>
      </c>
    </row>
    <row r="240" spans="1:11" ht="27" customHeight="1" x14ac:dyDescent="0.3">
      <c r="A240" s="180" t="s">
        <v>68</v>
      </c>
      <c r="B240" s="180">
        <v>2025</v>
      </c>
      <c r="C240" s="180">
        <v>20</v>
      </c>
      <c r="D240" s="180" t="s">
        <v>9082</v>
      </c>
      <c r="E240" s="187">
        <f>((LUCK!H96+LUCK!H106)*(1-(-LUCK!H97-LUCK!H98)/LUCK!H96))</f>
        <v>34019.442760603699</v>
      </c>
      <c r="F240" s="187">
        <f>LUCK!H70</f>
        <v>193446.00699999998</v>
      </c>
      <c r="G240" s="185">
        <f t="shared" si="9"/>
        <v>0.17586014458599655</v>
      </c>
      <c r="H240" s="185">
        <f t="shared" si="10"/>
        <v>0.17586014458599655</v>
      </c>
      <c r="I240" s="185">
        <v>0.17586014458599664</v>
      </c>
      <c r="J240" s="185">
        <f t="shared" si="11"/>
        <v>-8.3266726846886741E-17</v>
      </c>
      <c r="K240" s="180" t="s">
        <v>9084</v>
      </c>
    </row>
    <row r="241" spans="1:11" ht="27" customHeight="1" x14ac:dyDescent="0.3">
      <c r="A241" s="177" t="s">
        <v>68</v>
      </c>
      <c r="B241" s="177">
        <v>2021</v>
      </c>
      <c r="C241" s="177">
        <v>21</v>
      </c>
      <c r="D241" s="177" t="s">
        <v>9086</v>
      </c>
      <c r="E241" s="188">
        <f>(LUCK!D96+LUCK!D106)</f>
        <v>17325.118000000002</v>
      </c>
      <c r="F241" s="188">
        <f>LUCK!D37</f>
        <v>156368.06200000001</v>
      </c>
      <c r="G241" s="186">
        <f t="shared" si="9"/>
        <v>0.11079703731315671</v>
      </c>
      <c r="H241" s="186">
        <f t="shared" si="10"/>
        <v>0.11079703731315671</v>
      </c>
      <c r="I241" s="186">
        <v>0.11079703731315671</v>
      </c>
      <c r="J241" s="186">
        <f t="shared" si="11"/>
        <v>0</v>
      </c>
      <c r="K241" s="177" t="s">
        <v>9054</v>
      </c>
    </row>
    <row r="242" spans="1:11" ht="27" customHeight="1" x14ac:dyDescent="0.3">
      <c r="A242" s="180" t="s">
        <v>68</v>
      </c>
      <c r="B242" s="180">
        <v>2022</v>
      </c>
      <c r="C242" s="180">
        <v>21</v>
      </c>
      <c r="D242" s="180" t="s">
        <v>9086</v>
      </c>
      <c r="E242" s="187">
        <f>(LUCK!E96+LUCK!E106)</f>
        <v>21815.748999999993</v>
      </c>
      <c r="F242" s="187">
        <f>LUCK!E37</f>
        <v>184962.36800000002</v>
      </c>
      <c r="G242" s="185">
        <f t="shared" si="9"/>
        <v>0.11794695989186292</v>
      </c>
      <c r="H242" s="185">
        <f t="shared" si="10"/>
        <v>0.11794695989186292</v>
      </c>
      <c r="I242" s="185">
        <v>0.11794695989186295</v>
      </c>
      <c r="J242" s="185">
        <f t="shared" si="11"/>
        <v>-2.7755575615628914E-17</v>
      </c>
      <c r="K242" s="180" t="s">
        <v>9054</v>
      </c>
    </row>
    <row r="243" spans="1:11" ht="27" customHeight="1" x14ac:dyDescent="0.3">
      <c r="A243" s="177" t="s">
        <v>68</v>
      </c>
      <c r="B243" s="177">
        <v>2023</v>
      </c>
      <c r="C243" s="177">
        <v>21</v>
      </c>
      <c r="D243" s="177" t="s">
        <v>9086</v>
      </c>
      <c r="E243" s="188">
        <f>(LUCK!F96+LUCK!F106)</f>
        <v>22502.069999999996</v>
      </c>
      <c r="F243" s="188">
        <f>LUCK!F37</f>
        <v>213079.06700000001</v>
      </c>
      <c r="G243" s="186">
        <f t="shared" si="9"/>
        <v>0.10560432010902317</v>
      </c>
      <c r="H243" s="186">
        <f t="shared" si="10"/>
        <v>0.10560432010902317</v>
      </c>
      <c r="I243" s="186">
        <v>0.10560432010902318</v>
      </c>
      <c r="J243" s="186">
        <f t="shared" si="11"/>
        <v>-1.3877787807814457E-17</v>
      </c>
      <c r="K243" s="177" t="s">
        <v>9054</v>
      </c>
    </row>
    <row r="244" spans="1:11" ht="27" customHeight="1" x14ac:dyDescent="0.3">
      <c r="A244" s="180" t="s">
        <v>68</v>
      </c>
      <c r="B244" s="180">
        <v>2024</v>
      </c>
      <c r="C244" s="180">
        <v>21</v>
      </c>
      <c r="D244" s="180" t="s">
        <v>9086</v>
      </c>
      <c r="E244" s="187">
        <f>(LUCK!G96+LUCK!G106)</f>
        <v>42948.099000000002</v>
      </c>
      <c r="F244" s="187">
        <f>LUCK!G37</f>
        <v>234018.09</v>
      </c>
      <c r="G244" s="185">
        <f t="shared" si="9"/>
        <v>0.18352469674459784</v>
      </c>
      <c r="H244" s="185">
        <f t="shared" si="10"/>
        <v>0.18352469674459784</v>
      </c>
      <c r="I244" s="185">
        <v>0.18352469674459784</v>
      </c>
      <c r="J244" s="185">
        <f t="shared" si="11"/>
        <v>0</v>
      </c>
      <c r="K244" s="180" t="s">
        <v>9054</v>
      </c>
    </row>
    <row r="245" spans="1:11" ht="27" customHeight="1" x14ac:dyDescent="0.3">
      <c r="A245" s="177" t="s">
        <v>68</v>
      </c>
      <c r="B245" s="177">
        <v>2025</v>
      </c>
      <c r="C245" s="177">
        <v>21</v>
      </c>
      <c r="D245" s="177" t="s">
        <v>9086</v>
      </c>
      <c r="E245" s="188">
        <f>(LUCK!H96+LUCK!H106)</f>
        <v>48649.106</v>
      </c>
      <c r="F245" s="188">
        <f>LUCK!H37</f>
        <v>266748.03000000003</v>
      </c>
      <c r="G245" s="186">
        <f t="shared" si="9"/>
        <v>0.18237850153944901</v>
      </c>
      <c r="H245" s="186">
        <f t="shared" si="10"/>
        <v>0.18237850153944901</v>
      </c>
      <c r="I245" s="186">
        <v>0.18237850153944904</v>
      </c>
      <c r="J245" s="186">
        <f t="shared" si="11"/>
        <v>-2.7755575615628914E-17</v>
      </c>
      <c r="K245" s="177" t="s">
        <v>9054</v>
      </c>
    </row>
    <row r="246" spans="1:11" ht="27" customHeight="1" x14ac:dyDescent="0.3">
      <c r="A246" s="180" t="s">
        <v>68</v>
      </c>
      <c r="B246" s="180">
        <v>2021</v>
      </c>
      <c r="C246" s="180">
        <v>22</v>
      </c>
      <c r="D246" s="180" t="s">
        <v>9088</v>
      </c>
      <c r="E246" s="187">
        <f>LUCK!D99</f>
        <v>14070.189000000004</v>
      </c>
      <c r="F246" s="187">
        <f>LUCK!D129</f>
        <v>323.375</v>
      </c>
      <c r="G246" s="185">
        <f t="shared" si="9"/>
        <v>43.510441437959038</v>
      </c>
      <c r="H246" s="185">
        <f t="shared" si="10"/>
        <v>43.510441437959038</v>
      </c>
      <c r="I246" s="185">
        <v>43.510441437959038</v>
      </c>
      <c r="J246" s="185">
        <f t="shared" si="11"/>
        <v>0</v>
      </c>
      <c r="K246" s="180" t="s">
        <v>9090</v>
      </c>
    </row>
    <row r="247" spans="1:11" ht="27" customHeight="1" x14ac:dyDescent="0.3">
      <c r="A247" s="177" t="s">
        <v>68</v>
      </c>
      <c r="B247" s="177">
        <v>2022</v>
      </c>
      <c r="C247" s="177">
        <v>22</v>
      </c>
      <c r="D247" s="177" t="s">
        <v>9088</v>
      </c>
      <c r="E247" s="188">
        <f>LUCK!E99</f>
        <v>15298.617999999993</v>
      </c>
      <c r="F247" s="188">
        <f>LUCK!E129</f>
        <v>323.375</v>
      </c>
      <c r="G247" s="186">
        <f t="shared" si="9"/>
        <v>47.309216853498242</v>
      </c>
      <c r="H247" s="186">
        <f t="shared" si="10"/>
        <v>47.309216853498242</v>
      </c>
      <c r="I247" s="186">
        <v>47.309216853498242</v>
      </c>
      <c r="J247" s="186">
        <f t="shared" si="11"/>
        <v>0</v>
      </c>
      <c r="K247" s="177" t="s">
        <v>9090</v>
      </c>
    </row>
    <row r="248" spans="1:11" ht="27" customHeight="1" x14ac:dyDescent="0.3">
      <c r="A248" s="180" t="s">
        <v>68</v>
      </c>
      <c r="B248" s="180">
        <v>2023</v>
      </c>
      <c r="C248" s="180">
        <v>22</v>
      </c>
      <c r="D248" s="180" t="s">
        <v>9088</v>
      </c>
      <c r="E248" s="187">
        <f>LUCK!F99</f>
        <v>13725.813999999998</v>
      </c>
      <c r="F248" s="187">
        <f>LUCK!F129</f>
        <v>318.74900000000002</v>
      </c>
      <c r="G248" s="185">
        <f t="shared" si="9"/>
        <v>43.061512349842658</v>
      </c>
      <c r="H248" s="185">
        <f t="shared" si="10"/>
        <v>43.061512349842658</v>
      </c>
      <c r="I248" s="185">
        <v>43.061512349842658</v>
      </c>
      <c r="J248" s="185">
        <f t="shared" si="11"/>
        <v>0</v>
      </c>
      <c r="K248" s="180" t="s">
        <v>9090</v>
      </c>
    </row>
    <row r="249" spans="1:11" ht="27" customHeight="1" x14ac:dyDescent="0.3">
      <c r="A249" s="177" t="s">
        <v>68</v>
      </c>
      <c r="B249" s="177">
        <v>2024</v>
      </c>
      <c r="C249" s="177">
        <v>22</v>
      </c>
      <c r="D249" s="177" t="s">
        <v>9088</v>
      </c>
      <c r="E249" s="188">
        <f>LUCK!G99</f>
        <v>28106.539000000004</v>
      </c>
      <c r="F249" s="188">
        <f>LUCK!G129</f>
        <v>297.29599999999999</v>
      </c>
      <c r="G249" s="186">
        <f t="shared" si="9"/>
        <v>94.540589177116431</v>
      </c>
      <c r="H249" s="186">
        <f t="shared" si="10"/>
        <v>94.540589177116431</v>
      </c>
      <c r="I249" s="186">
        <v>94.540589177116402</v>
      </c>
      <c r="J249" s="186">
        <f t="shared" si="11"/>
        <v>2.8421709430404007E-14</v>
      </c>
      <c r="K249" s="177" t="s">
        <v>9090</v>
      </c>
    </row>
    <row r="250" spans="1:11" ht="27" customHeight="1" x14ac:dyDescent="0.3">
      <c r="A250" s="180" t="s">
        <v>68</v>
      </c>
      <c r="B250" s="180">
        <v>2025</v>
      </c>
      <c r="C250" s="180">
        <v>22</v>
      </c>
      <c r="D250" s="180" t="s">
        <v>9088</v>
      </c>
      <c r="E250" s="187">
        <f>LUCK!H99</f>
        <v>33092.162000000004</v>
      </c>
      <c r="F250" s="187">
        <f>LUCK!H129</f>
        <v>1465</v>
      </c>
      <c r="G250" s="185">
        <f t="shared" si="9"/>
        <v>22.588506484641641</v>
      </c>
      <c r="H250" s="185">
        <f t="shared" si="10"/>
        <v>22.588506484641641</v>
      </c>
      <c r="I250" s="185">
        <v>22.588506484641645</v>
      </c>
      <c r="J250" s="185">
        <f t="shared" si="11"/>
        <v>-3.5527136788005009E-15</v>
      </c>
      <c r="K250" s="180" t="s">
        <v>9090</v>
      </c>
    </row>
    <row r="251" spans="1:11" ht="27" customHeight="1" x14ac:dyDescent="0.3">
      <c r="A251" s="177" t="s">
        <v>68</v>
      </c>
      <c r="B251" s="177">
        <v>2021</v>
      </c>
      <c r="C251" s="177">
        <v>23</v>
      </c>
      <c r="D251" s="177" t="s">
        <v>9091</v>
      </c>
      <c r="E251" s="188">
        <f>LUCK!D41</f>
        <v>113200.258</v>
      </c>
      <c r="F251" s="188">
        <f>LUCK!D128</f>
        <v>323.375</v>
      </c>
      <c r="G251" s="186">
        <f t="shared" si="9"/>
        <v>350.05878005411677</v>
      </c>
      <c r="H251" s="186">
        <f t="shared" si="10"/>
        <v>350.05878005411677</v>
      </c>
      <c r="I251" s="186">
        <v>350.05878005411677</v>
      </c>
      <c r="J251" s="186">
        <f t="shared" si="11"/>
        <v>0</v>
      </c>
      <c r="K251" s="177" t="s">
        <v>9093</v>
      </c>
    </row>
    <row r="252" spans="1:11" ht="27" customHeight="1" x14ac:dyDescent="0.3">
      <c r="A252" s="180" t="s">
        <v>68</v>
      </c>
      <c r="B252" s="180">
        <v>2022</v>
      </c>
      <c r="C252" s="180">
        <v>23</v>
      </c>
      <c r="D252" s="180" t="s">
        <v>9091</v>
      </c>
      <c r="E252" s="187">
        <f>LUCK!E41</f>
        <v>128540.32399999999</v>
      </c>
      <c r="F252" s="187">
        <f>LUCK!E128</f>
        <v>323.375</v>
      </c>
      <c r="G252" s="185">
        <f t="shared" si="9"/>
        <v>397.49617008117508</v>
      </c>
      <c r="H252" s="185">
        <f t="shared" si="10"/>
        <v>397.49617008117508</v>
      </c>
      <c r="I252" s="185">
        <v>397.49617008117508</v>
      </c>
      <c r="J252" s="185">
        <f t="shared" si="11"/>
        <v>0</v>
      </c>
      <c r="K252" s="180" t="s">
        <v>9093</v>
      </c>
    </row>
    <row r="253" spans="1:11" ht="27" customHeight="1" x14ac:dyDescent="0.3">
      <c r="A253" s="177" t="s">
        <v>68</v>
      </c>
      <c r="B253" s="177">
        <v>2023</v>
      </c>
      <c r="C253" s="177">
        <v>23</v>
      </c>
      <c r="D253" s="177" t="s">
        <v>9091</v>
      </c>
      <c r="E253" s="188">
        <f>LUCK!F41</f>
        <v>137366.326</v>
      </c>
      <c r="F253" s="188">
        <f>LUCK!F128</f>
        <v>311.83859999999999</v>
      </c>
      <c r="G253" s="186">
        <f t="shared" si="9"/>
        <v>440.50456229600826</v>
      </c>
      <c r="H253" s="186">
        <f t="shared" si="10"/>
        <v>440.50456229600826</v>
      </c>
      <c r="I253" s="186">
        <v>440.50456229600826</v>
      </c>
      <c r="J253" s="186">
        <f t="shared" si="11"/>
        <v>0</v>
      </c>
      <c r="K253" s="177" t="s">
        <v>9093</v>
      </c>
    </row>
    <row r="254" spans="1:11" ht="27" customHeight="1" x14ac:dyDescent="0.3">
      <c r="A254" s="180" t="s">
        <v>68</v>
      </c>
      <c r="B254" s="180">
        <v>2024</v>
      </c>
      <c r="C254" s="180">
        <v>23</v>
      </c>
      <c r="D254" s="180" t="s">
        <v>9091</v>
      </c>
      <c r="E254" s="187">
        <f>LUCK!G41</f>
        <v>147761.277</v>
      </c>
      <c r="F254" s="187">
        <f>LUCK!G128</f>
        <v>293</v>
      </c>
      <c r="G254" s="185">
        <f t="shared" si="9"/>
        <v>504.3046996587031</v>
      </c>
      <c r="H254" s="185">
        <f t="shared" si="10"/>
        <v>504.3046996587031</v>
      </c>
      <c r="I254" s="185">
        <v>504.3046996587031</v>
      </c>
      <c r="J254" s="185">
        <f t="shared" si="11"/>
        <v>0</v>
      </c>
      <c r="K254" s="180" t="s">
        <v>9093</v>
      </c>
    </row>
    <row r="255" spans="1:11" ht="27" customHeight="1" x14ac:dyDescent="0.3">
      <c r="A255" s="177" t="s">
        <v>68</v>
      </c>
      <c r="B255" s="177">
        <v>2025</v>
      </c>
      <c r="C255" s="177">
        <v>23</v>
      </c>
      <c r="D255" s="177" t="s">
        <v>9091</v>
      </c>
      <c r="E255" s="188">
        <f>LUCK!H41</f>
        <v>175910.39999999999</v>
      </c>
      <c r="F255" s="188">
        <f>LUCK!H128</f>
        <v>1465</v>
      </c>
      <c r="G255" s="186">
        <f t="shared" si="9"/>
        <v>120.07535836177475</v>
      </c>
      <c r="H255" s="186">
        <f t="shared" si="10"/>
        <v>120.07535836177475</v>
      </c>
      <c r="I255" s="186">
        <v>120.07535836177475</v>
      </c>
      <c r="J255" s="186">
        <f t="shared" si="11"/>
        <v>0</v>
      </c>
      <c r="K255" s="177" t="s">
        <v>9093</v>
      </c>
    </row>
    <row r="256" spans="1:11" ht="27" customHeight="1" x14ac:dyDescent="0.3">
      <c r="A256" s="180" t="s">
        <v>68</v>
      </c>
      <c r="B256" s="180">
        <v>2021</v>
      </c>
      <c r="C256" s="180">
        <v>24</v>
      </c>
      <c r="D256" s="180" t="s">
        <v>9094</v>
      </c>
      <c r="E256" s="187">
        <f>LUCK!D130</f>
        <v>863.44</v>
      </c>
      <c r="F256" s="187">
        <f>LUCK!D99/LUCK!D129</f>
        <v>43.510441437959038</v>
      </c>
      <c r="G256" s="185">
        <f t="shared" si="9"/>
        <v>19.844432082610968</v>
      </c>
      <c r="H256" s="185">
        <f t="shared" si="10"/>
        <v>19.844432082610968</v>
      </c>
      <c r="I256" s="185">
        <v>19.844432082610968</v>
      </c>
      <c r="J256" s="185">
        <f t="shared" si="11"/>
        <v>0</v>
      </c>
      <c r="K256" s="180" t="s">
        <v>9096</v>
      </c>
    </row>
    <row r="257" spans="1:11" ht="27" customHeight="1" x14ac:dyDescent="0.3">
      <c r="A257" s="177" t="s">
        <v>68</v>
      </c>
      <c r="B257" s="177">
        <v>2022</v>
      </c>
      <c r="C257" s="177">
        <v>24</v>
      </c>
      <c r="D257" s="177" t="s">
        <v>9094</v>
      </c>
      <c r="E257" s="188">
        <f>LUCK!E130</f>
        <v>459.04</v>
      </c>
      <c r="F257" s="188">
        <f>LUCK!E99/LUCK!E129</f>
        <v>47.309216853498242</v>
      </c>
      <c r="G257" s="186">
        <f t="shared" si="9"/>
        <v>9.7029718632101325</v>
      </c>
      <c r="H257" s="186">
        <f t="shared" si="10"/>
        <v>9.7029718632101325</v>
      </c>
      <c r="I257" s="186">
        <v>9.7029718632101325</v>
      </c>
      <c r="J257" s="186">
        <f t="shared" si="11"/>
        <v>0</v>
      </c>
      <c r="K257" s="177" t="s">
        <v>9096</v>
      </c>
    </row>
    <row r="258" spans="1:11" ht="27" customHeight="1" x14ac:dyDescent="0.3">
      <c r="A258" s="180" t="s">
        <v>68</v>
      </c>
      <c r="B258" s="180">
        <v>2023</v>
      </c>
      <c r="C258" s="180">
        <v>24</v>
      </c>
      <c r="D258" s="180" t="s">
        <v>9094</v>
      </c>
      <c r="E258" s="187">
        <f>LUCK!F130</f>
        <v>522.09</v>
      </c>
      <c r="F258" s="187">
        <f>LUCK!F99/LUCK!F129</f>
        <v>43.061512349842658</v>
      </c>
      <c r="G258" s="185">
        <f t="shared" si="9"/>
        <v>12.124283879265743</v>
      </c>
      <c r="H258" s="185">
        <f t="shared" si="10"/>
        <v>12.124283879265743</v>
      </c>
      <c r="I258" s="185">
        <v>12.124283879265743</v>
      </c>
      <c r="J258" s="185">
        <f t="shared" si="11"/>
        <v>0</v>
      </c>
      <c r="K258" s="180" t="s">
        <v>9096</v>
      </c>
    </row>
    <row r="259" spans="1:11" ht="27" customHeight="1" x14ac:dyDescent="0.3">
      <c r="A259" s="177" t="s">
        <v>68</v>
      </c>
      <c r="B259" s="177">
        <v>2024</v>
      </c>
      <c r="C259" s="177">
        <v>24</v>
      </c>
      <c r="D259" s="177" t="s">
        <v>9094</v>
      </c>
      <c r="E259" s="188">
        <f>LUCK!G130</f>
        <v>906.73</v>
      </c>
      <c r="F259" s="188">
        <f>LUCK!G99/LUCK!G129</f>
        <v>94.540589177116431</v>
      </c>
      <c r="G259" s="186">
        <f t="shared" si="9"/>
        <v>9.5909070156236584</v>
      </c>
      <c r="H259" s="186">
        <f t="shared" si="10"/>
        <v>9.5909070156236584</v>
      </c>
      <c r="I259" s="186">
        <v>9.5909070156236602</v>
      </c>
      <c r="J259" s="186">
        <f t="shared" si="11"/>
        <v>-1.7763568394002505E-15</v>
      </c>
      <c r="K259" s="177" t="s">
        <v>9096</v>
      </c>
    </row>
    <row r="260" spans="1:11" ht="27" customHeight="1" x14ac:dyDescent="0.3">
      <c r="A260" s="180" t="s">
        <v>68</v>
      </c>
      <c r="B260" s="180">
        <v>2025</v>
      </c>
      <c r="C260" s="180">
        <v>24</v>
      </c>
      <c r="D260" s="180" t="s">
        <v>9094</v>
      </c>
      <c r="E260" s="187">
        <f>LUCK!H130</f>
        <v>355.24</v>
      </c>
      <c r="F260" s="187">
        <f>LUCK!H99/LUCK!H129</f>
        <v>22.588506484641641</v>
      </c>
      <c r="G260" s="185">
        <f t="shared" si="9"/>
        <v>15.726582022655393</v>
      </c>
      <c r="H260" s="185">
        <f t="shared" si="10"/>
        <v>15.726582022655393</v>
      </c>
      <c r="I260" s="185">
        <v>15.726582022655391</v>
      </c>
      <c r="J260" s="185">
        <f t="shared" si="11"/>
        <v>1.7763568394002505E-15</v>
      </c>
      <c r="K260" s="180" t="s">
        <v>9096</v>
      </c>
    </row>
    <row r="261" spans="1:11" ht="27" customHeight="1" x14ac:dyDescent="0.3">
      <c r="A261" s="177" t="s">
        <v>68</v>
      </c>
      <c r="B261" s="177">
        <v>2021</v>
      </c>
      <c r="C261" s="177">
        <v>25</v>
      </c>
      <c r="D261" s="177" t="s">
        <v>9097</v>
      </c>
      <c r="E261" s="188">
        <f>LUCK!D130</f>
        <v>863.44</v>
      </c>
      <c r="F261" s="188">
        <f>LUCK!D41/LUCK!D128</f>
        <v>350.05878005411677</v>
      </c>
      <c r="G261" s="186">
        <f t="shared" si="9"/>
        <v>2.4665571875286716</v>
      </c>
      <c r="H261" s="186">
        <f t="shared" si="10"/>
        <v>2.4665571875286716</v>
      </c>
      <c r="I261" s="186">
        <v>2.4665571875286716</v>
      </c>
      <c r="J261" s="186">
        <f t="shared" si="11"/>
        <v>0</v>
      </c>
      <c r="K261" s="177" t="s">
        <v>9096</v>
      </c>
    </row>
    <row r="262" spans="1:11" ht="27" customHeight="1" x14ac:dyDescent="0.3">
      <c r="A262" s="180" t="s">
        <v>68</v>
      </c>
      <c r="B262" s="180">
        <v>2022</v>
      </c>
      <c r="C262" s="180">
        <v>25</v>
      </c>
      <c r="D262" s="180" t="s">
        <v>9097</v>
      </c>
      <c r="E262" s="187">
        <f>LUCK!E130</f>
        <v>459.04</v>
      </c>
      <c r="F262" s="187">
        <f>LUCK!E41/LUCK!E128</f>
        <v>397.49617008117508</v>
      </c>
      <c r="G262" s="185">
        <f t="shared" ref="G262:G325" si="12">IF(OR(NOT(ISNUMBER(E262)),NOT(ISNUMBER(F262)),F262=0),"n/m",E262/F262)</f>
        <v>1.1548287368561481</v>
      </c>
      <c r="H262" s="185">
        <f t="shared" ref="H262:H325" si="13">IF(OR(NOT(ISNUMBER(E262)),NOT(ISNUMBER(F262))),"n/m",IF(OR((F262)&lt;=0,(E262)&lt;0),"n/m",(E262)/(F262)))</f>
        <v>1.1548287368561481</v>
      </c>
      <c r="I262" s="185">
        <v>1.1548287368561481</v>
      </c>
      <c r="J262" s="185">
        <f t="shared" ref="J262:J325" si="14">IF(AND(ISNUMBER(G262),ISNUMBER(I262)),G262-I262,IF(G262=I262,0,"Review"))</f>
        <v>0</v>
      </c>
      <c r="K262" s="180" t="s">
        <v>9096</v>
      </c>
    </row>
    <row r="263" spans="1:11" ht="27" customHeight="1" x14ac:dyDescent="0.3">
      <c r="A263" s="177" t="s">
        <v>68</v>
      </c>
      <c r="B263" s="177">
        <v>2023</v>
      </c>
      <c r="C263" s="177">
        <v>25</v>
      </c>
      <c r="D263" s="177" t="s">
        <v>9097</v>
      </c>
      <c r="E263" s="188">
        <f>LUCK!F130</f>
        <v>522.09</v>
      </c>
      <c r="F263" s="188">
        <f>LUCK!F41/LUCK!F128</f>
        <v>440.50456229600826</v>
      </c>
      <c r="G263" s="186">
        <f t="shared" si="12"/>
        <v>1.1852090640758639</v>
      </c>
      <c r="H263" s="186">
        <f t="shared" si="13"/>
        <v>1.1852090640758639</v>
      </c>
      <c r="I263" s="186">
        <v>1.1852090640758639</v>
      </c>
      <c r="J263" s="186">
        <f t="shared" si="14"/>
        <v>0</v>
      </c>
      <c r="K263" s="177" t="s">
        <v>9096</v>
      </c>
    </row>
    <row r="264" spans="1:11" ht="27" customHeight="1" x14ac:dyDescent="0.3">
      <c r="A264" s="180" t="s">
        <v>68</v>
      </c>
      <c r="B264" s="180">
        <v>2024</v>
      </c>
      <c r="C264" s="180">
        <v>25</v>
      </c>
      <c r="D264" s="180" t="s">
        <v>9097</v>
      </c>
      <c r="E264" s="187">
        <f>LUCK!G130</f>
        <v>906.73</v>
      </c>
      <c r="F264" s="187">
        <f>LUCK!G41/LUCK!G128</f>
        <v>504.3046996587031</v>
      </c>
      <c r="G264" s="185">
        <f t="shared" si="12"/>
        <v>1.7979804681845026</v>
      </c>
      <c r="H264" s="185">
        <f t="shared" si="13"/>
        <v>1.7979804681845026</v>
      </c>
      <c r="I264" s="185">
        <v>1.7979804681845026</v>
      </c>
      <c r="J264" s="185">
        <f t="shared" si="14"/>
        <v>0</v>
      </c>
      <c r="K264" s="180" t="s">
        <v>9096</v>
      </c>
    </row>
    <row r="265" spans="1:11" ht="27" customHeight="1" x14ac:dyDescent="0.3">
      <c r="A265" s="177" t="s">
        <v>68</v>
      </c>
      <c r="B265" s="177">
        <v>2025</v>
      </c>
      <c r="C265" s="177">
        <v>25</v>
      </c>
      <c r="D265" s="177" t="s">
        <v>9097</v>
      </c>
      <c r="E265" s="188">
        <f>LUCK!H130</f>
        <v>355.24</v>
      </c>
      <c r="F265" s="188">
        <f>LUCK!H41/LUCK!H128</f>
        <v>120.07535836177475</v>
      </c>
      <c r="G265" s="186">
        <f t="shared" si="12"/>
        <v>2.9584754511387614</v>
      </c>
      <c r="H265" s="186">
        <f t="shared" si="13"/>
        <v>2.9584754511387614</v>
      </c>
      <c r="I265" s="186">
        <v>2.9584754511387614</v>
      </c>
      <c r="J265" s="186">
        <f t="shared" si="14"/>
        <v>0</v>
      </c>
      <c r="K265" s="177" t="s">
        <v>9096</v>
      </c>
    </row>
    <row r="266" spans="1:11" ht="27" customHeight="1" x14ac:dyDescent="0.3">
      <c r="A266" s="180" t="s">
        <v>68</v>
      </c>
      <c r="B266" s="180">
        <v>2021</v>
      </c>
      <c r="C266" s="180">
        <v>26</v>
      </c>
      <c r="D266" s="180" t="s">
        <v>9099</v>
      </c>
      <c r="E266" s="187">
        <f>LUCK!D131</f>
        <v>0</v>
      </c>
      <c r="F266" s="187">
        <f>LUCK!D130</f>
        <v>863.44</v>
      </c>
      <c r="G266" s="185">
        <f t="shared" si="12"/>
        <v>0</v>
      </c>
      <c r="H266" s="185">
        <f t="shared" si="13"/>
        <v>0</v>
      </c>
      <c r="I266" s="185">
        <v>0</v>
      </c>
      <c r="J266" s="185">
        <f t="shared" si="14"/>
        <v>0</v>
      </c>
      <c r="K266" s="180" t="s">
        <v>9101</v>
      </c>
    </row>
    <row r="267" spans="1:11" ht="27" customHeight="1" x14ac:dyDescent="0.3">
      <c r="A267" s="177" t="s">
        <v>68</v>
      </c>
      <c r="B267" s="177">
        <v>2022</v>
      </c>
      <c r="C267" s="177">
        <v>26</v>
      </c>
      <c r="D267" s="177" t="s">
        <v>9099</v>
      </c>
      <c r="E267" s="188">
        <f>LUCK!E131</f>
        <v>0</v>
      </c>
      <c r="F267" s="188">
        <f>LUCK!E130</f>
        <v>459.04</v>
      </c>
      <c r="G267" s="186">
        <f t="shared" si="12"/>
        <v>0</v>
      </c>
      <c r="H267" s="186">
        <f t="shared" si="13"/>
        <v>0</v>
      </c>
      <c r="I267" s="186">
        <v>0</v>
      </c>
      <c r="J267" s="186">
        <f t="shared" si="14"/>
        <v>0</v>
      </c>
      <c r="K267" s="177" t="s">
        <v>9101</v>
      </c>
    </row>
    <row r="268" spans="1:11" ht="27" customHeight="1" x14ac:dyDescent="0.3">
      <c r="A268" s="180" t="s">
        <v>68</v>
      </c>
      <c r="B268" s="180">
        <v>2023</v>
      </c>
      <c r="C268" s="180">
        <v>26</v>
      </c>
      <c r="D268" s="180" t="s">
        <v>9099</v>
      </c>
      <c r="E268" s="187">
        <f>LUCK!F131</f>
        <v>18</v>
      </c>
      <c r="F268" s="187">
        <f>LUCK!F130</f>
        <v>522.09</v>
      </c>
      <c r="G268" s="185">
        <f t="shared" si="12"/>
        <v>3.4476814342354764E-2</v>
      </c>
      <c r="H268" s="185">
        <f t="shared" si="13"/>
        <v>3.4476814342354764E-2</v>
      </c>
      <c r="I268" s="185">
        <v>3.4476814342354764E-2</v>
      </c>
      <c r="J268" s="185">
        <f t="shared" si="14"/>
        <v>0</v>
      </c>
      <c r="K268" s="180" t="s">
        <v>9101</v>
      </c>
    </row>
    <row r="269" spans="1:11" ht="27" customHeight="1" x14ac:dyDescent="0.3">
      <c r="A269" s="177" t="s">
        <v>68</v>
      </c>
      <c r="B269" s="177">
        <v>2024</v>
      </c>
      <c r="C269" s="177">
        <v>26</v>
      </c>
      <c r="D269" s="177" t="s">
        <v>9099</v>
      </c>
      <c r="E269" s="188">
        <f>LUCK!G131</f>
        <v>15</v>
      </c>
      <c r="F269" s="188">
        <f>LUCK!G130</f>
        <v>906.73</v>
      </c>
      <c r="G269" s="186">
        <f t="shared" si="12"/>
        <v>1.6542962072502287E-2</v>
      </c>
      <c r="H269" s="186">
        <f t="shared" si="13"/>
        <v>1.6542962072502287E-2</v>
      </c>
      <c r="I269" s="186">
        <v>1.6542962072502287E-2</v>
      </c>
      <c r="J269" s="186">
        <f t="shared" si="14"/>
        <v>0</v>
      </c>
      <c r="K269" s="177" t="s">
        <v>9101</v>
      </c>
    </row>
    <row r="270" spans="1:11" ht="27" customHeight="1" x14ac:dyDescent="0.3">
      <c r="A270" s="180" t="s">
        <v>68</v>
      </c>
      <c r="B270" s="180">
        <v>2025</v>
      </c>
      <c r="C270" s="180">
        <v>26</v>
      </c>
      <c r="D270" s="180" t="s">
        <v>9099</v>
      </c>
      <c r="E270" s="187">
        <f>LUCK!H131</f>
        <v>4</v>
      </c>
      <c r="F270" s="187">
        <f>LUCK!H130</f>
        <v>355.24</v>
      </c>
      <c r="G270" s="185">
        <f t="shared" si="12"/>
        <v>1.1259993244004052E-2</v>
      </c>
      <c r="H270" s="185">
        <f t="shared" si="13"/>
        <v>1.1259993244004052E-2</v>
      </c>
      <c r="I270" s="185">
        <v>1.1259993244004052E-2</v>
      </c>
      <c r="J270" s="185">
        <f t="shared" si="14"/>
        <v>0</v>
      </c>
      <c r="K270" s="180" t="s">
        <v>9101</v>
      </c>
    </row>
    <row r="271" spans="1:11" ht="27" customHeight="1" x14ac:dyDescent="0.3">
      <c r="A271" s="177" t="s">
        <v>68</v>
      </c>
      <c r="B271" s="177">
        <v>2021</v>
      </c>
      <c r="C271" s="177">
        <v>27</v>
      </c>
      <c r="D271" s="177" t="s">
        <v>9102</v>
      </c>
      <c r="E271" s="188">
        <f>'EV Inputs'!Z11</f>
        <v>271085.69100000005</v>
      </c>
      <c r="F271" s="188">
        <f>'EV Inputs'!AB11</f>
        <v>21634.531000000003</v>
      </c>
      <c r="G271" s="186">
        <f t="shared" si="12"/>
        <v>12.530231924140164</v>
      </c>
      <c r="H271" s="186">
        <f t="shared" si="13"/>
        <v>12.530231924140164</v>
      </c>
      <c r="I271" s="186">
        <v>12.530231924140164</v>
      </c>
      <c r="J271" s="186">
        <f t="shared" si="14"/>
        <v>0</v>
      </c>
      <c r="K271" s="177" t="s">
        <v>9104</v>
      </c>
    </row>
    <row r="272" spans="1:11" ht="27" customHeight="1" x14ac:dyDescent="0.3">
      <c r="A272" s="180" t="s">
        <v>68</v>
      </c>
      <c r="B272" s="180">
        <v>2022</v>
      </c>
      <c r="C272" s="180">
        <v>27</v>
      </c>
      <c r="D272" s="180" t="s">
        <v>9102</v>
      </c>
      <c r="E272" s="187">
        <f>'EV Inputs'!Z12</f>
        <v>148680.14399999997</v>
      </c>
      <c r="F272" s="187">
        <f>'EV Inputs'!AB12</f>
        <v>26343.509999999995</v>
      </c>
      <c r="G272" s="185">
        <f t="shared" si="12"/>
        <v>5.6439003003016683</v>
      </c>
      <c r="H272" s="185">
        <f t="shared" si="13"/>
        <v>5.6439003003016683</v>
      </c>
      <c r="I272" s="185">
        <v>5.6439003003016683</v>
      </c>
      <c r="J272" s="185">
        <f t="shared" si="14"/>
        <v>0</v>
      </c>
      <c r="K272" s="180" t="s">
        <v>9104</v>
      </c>
    </row>
    <row r="273" spans="1:11" ht="27" customHeight="1" x14ac:dyDescent="0.3">
      <c r="A273" s="177" t="s">
        <v>68</v>
      </c>
      <c r="B273" s="177">
        <v>2023</v>
      </c>
      <c r="C273" s="177">
        <v>27</v>
      </c>
      <c r="D273" s="177" t="s">
        <v>9102</v>
      </c>
      <c r="E273" s="188">
        <f>'EV Inputs'!Z13</f>
        <v>158345.92767400001</v>
      </c>
      <c r="F273" s="188">
        <f>'EV Inputs'!AB13</f>
        <v>27816.831999999995</v>
      </c>
      <c r="G273" s="186">
        <f t="shared" si="12"/>
        <v>5.6924500846825419</v>
      </c>
      <c r="H273" s="186">
        <f t="shared" si="13"/>
        <v>5.6924500846825419</v>
      </c>
      <c r="I273" s="186">
        <v>5.6924500846825419</v>
      </c>
      <c r="J273" s="186">
        <f t="shared" si="14"/>
        <v>0</v>
      </c>
      <c r="K273" s="177" t="s">
        <v>9104</v>
      </c>
    </row>
    <row r="274" spans="1:11" ht="27" customHeight="1" x14ac:dyDescent="0.3">
      <c r="A274" s="180" t="s">
        <v>68</v>
      </c>
      <c r="B274" s="180">
        <v>2024</v>
      </c>
      <c r="C274" s="180">
        <v>27</v>
      </c>
      <c r="D274" s="180" t="s">
        <v>9102</v>
      </c>
      <c r="E274" s="187">
        <f>'EV Inputs'!Z14</f>
        <v>253977.478</v>
      </c>
      <c r="F274" s="187">
        <f>'EV Inputs'!AB14</f>
        <v>49045.521000000001</v>
      </c>
      <c r="G274" s="185">
        <f t="shared" si="12"/>
        <v>5.178403100254557</v>
      </c>
      <c r="H274" s="185">
        <f t="shared" si="13"/>
        <v>5.178403100254557</v>
      </c>
      <c r="I274" s="185">
        <v>5.178403100254557</v>
      </c>
      <c r="J274" s="185">
        <f t="shared" si="14"/>
        <v>0</v>
      </c>
      <c r="K274" s="180" t="s">
        <v>9104</v>
      </c>
    </row>
    <row r="275" spans="1:11" ht="27" customHeight="1" x14ac:dyDescent="0.3">
      <c r="A275" s="177" t="s">
        <v>68</v>
      </c>
      <c r="B275" s="177">
        <v>2025</v>
      </c>
      <c r="C275" s="177">
        <v>27</v>
      </c>
      <c r="D275" s="177" t="s">
        <v>9102</v>
      </c>
      <c r="E275" s="188">
        <f>'EV Inputs'!Z15</f>
        <v>474059.44800000009</v>
      </c>
      <c r="F275" s="188">
        <f>'EV Inputs'!AB15</f>
        <v>55586.838000000003</v>
      </c>
      <c r="G275" s="186">
        <f t="shared" si="12"/>
        <v>8.5282679327793396</v>
      </c>
      <c r="H275" s="186">
        <f t="shared" si="13"/>
        <v>8.5282679327793396</v>
      </c>
      <c r="I275" s="186">
        <v>8.5282679327793396</v>
      </c>
      <c r="J275" s="186">
        <f t="shared" si="14"/>
        <v>0</v>
      </c>
      <c r="K275" s="177" t="s">
        <v>9104</v>
      </c>
    </row>
    <row r="276" spans="1:11" ht="27" customHeight="1" x14ac:dyDescent="0.3">
      <c r="A276" s="180" t="s">
        <v>86</v>
      </c>
      <c r="B276" s="180">
        <v>2021</v>
      </c>
      <c r="C276" s="180">
        <v>1</v>
      </c>
      <c r="D276" s="180" t="s">
        <v>9018</v>
      </c>
      <c r="E276" s="187">
        <f>DGKC!D36</f>
        <v>36851.264000000003</v>
      </c>
      <c r="F276" s="187">
        <f>DGKC!D61</f>
        <v>40295.519999999997</v>
      </c>
      <c r="G276" s="185">
        <f t="shared" si="12"/>
        <v>0.91452508864509019</v>
      </c>
      <c r="H276" s="185">
        <f t="shared" si="13"/>
        <v>0.91452508864509019</v>
      </c>
      <c r="I276" s="185">
        <v>0.91452508864509019</v>
      </c>
      <c r="J276" s="185">
        <f t="shared" si="14"/>
        <v>0</v>
      </c>
      <c r="K276" s="180" t="s">
        <v>9022</v>
      </c>
    </row>
    <row r="277" spans="1:11" ht="27" customHeight="1" x14ac:dyDescent="0.3">
      <c r="A277" s="177" t="s">
        <v>86</v>
      </c>
      <c r="B277" s="177">
        <v>2022</v>
      </c>
      <c r="C277" s="177">
        <v>1</v>
      </c>
      <c r="D277" s="177" t="s">
        <v>9018</v>
      </c>
      <c r="E277" s="188">
        <f>DGKC!E36</f>
        <v>40813.163</v>
      </c>
      <c r="F277" s="188">
        <f>DGKC!E61</f>
        <v>46089.031000000003</v>
      </c>
      <c r="G277" s="186">
        <f t="shared" si="12"/>
        <v>0.88552877147710041</v>
      </c>
      <c r="H277" s="186">
        <f t="shared" si="13"/>
        <v>0.88552877147710041</v>
      </c>
      <c r="I277" s="186">
        <v>0.88552877147710041</v>
      </c>
      <c r="J277" s="186">
        <f t="shared" si="14"/>
        <v>0</v>
      </c>
      <c r="K277" s="177" t="s">
        <v>9022</v>
      </c>
    </row>
    <row r="278" spans="1:11" ht="27" customHeight="1" x14ac:dyDescent="0.3">
      <c r="A278" s="180" t="s">
        <v>86</v>
      </c>
      <c r="B278" s="180">
        <v>2023</v>
      </c>
      <c r="C278" s="180">
        <v>1</v>
      </c>
      <c r="D278" s="180" t="s">
        <v>9018</v>
      </c>
      <c r="E278" s="187">
        <f>DGKC!F36</f>
        <v>39026.665999999997</v>
      </c>
      <c r="F278" s="187">
        <f>DGKC!F61</f>
        <v>48675.789999999994</v>
      </c>
      <c r="G278" s="185">
        <f t="shared" si="12"/>
        <v>0.80176749057385621</v>
      </c>
      <c r="H278" s="185">
        <f t="shared" si="13"/>
        <v>0.80176749057385621</v>
      </c>
      <c r="I278" s="185">
        <v>0.8017674905738561</v>
      </c>
      <c r="J278" s="185">
        <f t="shared" si="14"/>
        <v>1.1102230246251565E-16</v>
      </c>
      <c r="K278" s="180" t="s">
        <v>9022</v>
      </c>
    </row>
    <row r="279" spans="1:11" ht="27" customHeight="1" x14ac:dyDescent="0.3">
      <c r="A279" s="177" t="s">
        <v>86</v>
      </c>
      <c r="B279" s="177">
        <v>2024</v>
      </c>
      <c r="C279" s="177">
        <v>1</v>
      </c>
      <c r="D279" s="177" t="s">
        <v>9018</v>
      </c>
      <c r="E279" s="188">
        <f>DGKC!G36</f>
        <v>41770.520999999993</v>
      </c>
      <c r="F279" s="188">
        <f>DGKC!G61</f>
        <v>32225.717000000001</v>
      </c>
      <c r="G279" s="186">
        <f t="shared" si="12"/>
        <v>1.296185931254842</v>
      </c>
      <c r="H279" s="186">
        <f t="shared" si="13"/>
        <v>1.296185931254842</v>
      </c>
      <c r="I279" s="186">
        <v>1.2961859312548423</v>
      </c>
      <c r="J279" s="186">
        <f t="shared" si="14"/>
        <v>-2.2204460492503131E-16</v>
      </c>
      <c r="K279" s="177" t="s">
        <v>9022</v>
      </c>
    </row>
    <row r="280" spans="1:11" ht="27" customHeight="1" x14ac:dyDescent="0.3">
      <c r="A280" s="180" t="s">
        <v>86</v>
      </c>
      <c r="B280" s="180">
        <v>2025</v>
      </c>
      <c r="C280" s="180">
        <v>1</v>
      </c>
      <c r="D280" s="180" t="s">
        <v>9018</v>
      </c>
      <c r="E280" s="187">
        <f>DGKC!H36</f>
        <v>47908.042000000001</v>
      </c>
      <c r="F280" s="187">
        <f>DGKC!H61</f>
        <v>25910.920000000002</v>
      </c>
      <c r="G280" s="185">
        <f t="shared" si="12"/>
        <v>1.8489517932979607</v>
      </c>
      <c r="H280" s="185">
        <f t="shared" si="13"/>
        <v>1.8489517932979607</v>
      </c>
      <c r="I280" s="185">
        <v>1.8489517932979611</v>
      </c>
      <c r="J280" s="185">
        <f t="shared" si="14"/>
        <v>-4.4408920985006262E-16</v>
      </c>
      <c r="K280" s="180" t="s">
        <v>9022</v>
      </c>
    </row>
    <row r="281" spans="1:11" ht="27" customHeight="1" x14ac:dyDescent="0.3">
      <c r="A281" s="177" t="s">
        <v>86</v>
      </c>
      <c r="B281" s="177">
        <v>2021</v>
      </c>
      <c r="C281" s="177">
        <v>2</v>
      </c>
      <c r="D281" s="177" t="s">
        <v>9024</v>
      </c>
      <c r="E281" s="188">
        <f>DGKC!D36-DGKC!D65</f>
        <v>21243.327000000005</v>
      </c>
      <c r="F281" s="188">
        <f>DGKC!D61</f>
        <v>40295.519999999997</v>
      </c>
      <c r="G281" s="186">
        <f t="shared" si="12"/>
        <v>0.52718830778210601</v>
      </c>
      <c r="H281" s="186">
        <f t="shared" si="13"/>
        <v>0.52718830778210601</v>
      </c>
      <c r="I281" s="186">
        <v>0.52718830778210601</v>
      </c>
      <c r="J281" s="186">
        <f t="shared" si="14"/>
        <v>0</v>
      </c>
      <c r="K281" s="177" t="s">
        <v>9026</v>
      </c>
    </row>
    <row r="282" spans="1:11" ht="27" customHeight="1" x14ac:dyDescent="0.3">
      <c r="A282" s="180" t="s">
        <v>86</v>
      </c>
      <c r="B282" s="180">
        <v>2022</v>
      </c>
      <c r="C282" s="180">
        <v>2</v>
      </c>
      <c r="D282" s="180" t="s">
        <v>9024</v>
      </c>
      <c r="E282" s="187">
        <f>DGKC!E36-DGKC!E65</f>
        <v>18017.764999999999</v>
      </c>
      <c r="F282" s="187">
        <f>DGKC!E61</f>
        <v>46089.031000000003</v>
      </c>
      <c r="G282" s="185">
        <f t="shared" si="12"/>
        <v>0.39093390789665328</v>
      </c>
      <c r="H282" s="185">
        <f t="shared" si="13"/>
        <v>0.39093390789665328</v>
      </c>
      <c r="I282" s="185">
        <v>0.39093390789665328</v>
      </c>
      <c r="J282" s="185">
        <f t="shared" si="14"/>
        <v>0</v>
      </c>
      <c r="K282" s="180" t="s">
        <v>9026</v>
      </c>
    </row>
    <row r="283" spans="1:11" ht="27" customHeight="1" x14ac:dyDescent="0.3">
      <c r="A283" s="177" t="s">
        <v>86</v>
      </c>
      <c r="B283" s="177">
        <v>2023</v>
      </c>
      <c r="C283" s="177">
        <v>2</v>
      </c>
      <c r="D283" s="177" t="s">
        <v>9024</v>
      </c>
      <c r="E283" s="188">
        <f>DGKC!F36-DGKC!F65</f>
        <v>16301.490999999998</v>
      </c>
      <c r="F283" s="188">
        <f>DGKC!F61</f>
        <v>48675.789999999994</v>
      </c>
      <c r="G283" s="186">
        <f t="shared" si="12"/>
        <v>0.33489936167445872</v>
      </c>
      <c r="H283" s="186">
        <f t="shared" si="13"/>
        <v>0.33489936167445872</v>
      </c>
      <c r="I283" s="186">
        <v>0.33489936167445866</v>
      </c>
      <c r="J283" s="186">
        <f t="shared" si="14"/>
        <v>5.5511151231257827E-17</v>
      </c>
      <c r="K283" s="177" t="s">
        <v>9026</v>
      </c>
    </row>
    <row r="284" spans="1:11" ht="27" customHeight="1" x14ac:dyDescent="0.3">
      <c r="A284" s="180" t="s">
        <v>86</v>
      </c>
      <c r="B284" s="180">
        <v>2024</v>
      </c>
      <c r="C284" s="180">
        <v>2</v>
      </c>
      <c r="D284" s="180" t="s">
        <v>9024</v>
      </c>
      <c r="E284" s="187">
        <f>DGKC!G36-DGKC!G65</f>
        <v>21517.679999999993</v>
      </c>
      <c r="F284" s="187">
        <f>DGKC!G61</f>
        <v>32225.717000000001</v>
      </c>
      <c r="G284" s="185">
        <f t="shared" si="12"/>
        <v>0.66771764923027133</v>
      </c>
      <c r="H284" s="185">
        <f t="shared" si="13"/>
        <v>0.66771764923027133</v>
      </c>
      <c r="I284" s="185">
        <v>0.66771764923027166</v>
      </c>
      <c r="J284" s="185">
        <f t="shared" si="14"/>
        <v>-3.3306690738754696E-16</v>
      </c>
      <c r="K284" s="180" t="s">
        <v>9026</v>
      </c>
    </row>
    <row r="285" spans="1:11" ht="27" customHeight="1" x14ac:dyDescent="0.3">
      <c r="A285" s="177" t="s">
        <v>86</v>
      </c>
      <c r="B285" s="177">
        <v>2025</v>
      </c>
      <c r="C285" s="177">
        <v>2</v>
      </c>
      <c r="D285" s="177" t="s">
        <v>9024</v>
      </c>
      <c r="E285" s="188">
        <f>DGKC!H36-DGKC!H65</f>
        <v>27412.685000000001</v>
      </c>
      <c r="F285" s="188">
        <f>DGKC!H61</f>
        <v>25910.920000000002</v>
      </c>
      <c r="G285" s="186">
        <f t="shared" si="12"/>
        <v>1.0579587679634685</v>
      </c>
      <c r="H285" s="186">
        <f t="shared" si="13"/>
        <v>1.0579587679634685</v>
      </c>
      <c r="I285" s="186">
        <v>1.0579587679634688</v>
      </c>
      <c r="J285" s="186">
        <f t="shared" si="14"/>
        <v>-2.2204460492503131E-16</v>
      </c>
      <c r="K285" s="177" t="s">
        <v>9026</v>
      </c>
    </row>
    <row r="286" spans="1:11" ht="27" customHeight="1" x14ac:dyDescent="0.3">
      <c r="A286" s="180" t="s">
        <v>86</v>
      </c>
      <c r="B286" s="180">
        <v>2021</v>
      </c>
      <c r="C286" s="180">
        <v>3</v>
      </c>
      <c r="D286" s="180" t="s">
        <v>9027</v>
      </c>
      <c r="E286" s="187">
        <f>'EV Inputs'!J16</f>
        <v>806.37300000000005</v>
      </c>
      <c r="F286" s="187">
        <f>DGKC!D61</f>
        <v>40295.519999999997</v>
      </c>
      <c r="G286" s="185">
        <f t="shared" si="12"/>
        <v>2.0011480184397672E-2</v>
      </c>
      <c r="H286" s="185">
        <f t="shared" si="13"/>
        <v>2.0011480184397672E-2</v>
      </c>
      <c r="I286" s="185">
        <v>2.0011480184397672E-2</v>
      </c>
      <c r="J286" s="185">
        <f t="shared" si="14"/>
        <v>0</v>
      </c>
      <c r="K286" s="180" t="s">
        <v>9030</v>
      </c>
    </row>
    <row r="287" spans="1:11" ht="27" customHeight="1" x14ac:dyDescent="0.3">
      <c r="A287" s="177" t="s">
        <v>86</v>
      </c>
      <c r="B287" s="177">
        <v>2022</v>
      </c>
      <c r="C287" s="177">
        <v>3</v>
      </c>
      <c r="D287" s="177" t="s">
        <v>9027</v>
      </c>
      <c r="E287" s="188">
        <f>'EV Inputs'!J17</f>
        <v>410.803</v>
      </c>
      <c r="F287" s="188">
        <f>DGKC!E61</f>
        <v>46089.031000000003</v>
      </c>
      <c r="G287" s="186">
        <f t="shared" si="12"/>
        <v>8.913248794490819E-3</v>
      </c>
      <c r="H287" s="186">
        <f t="shared" si="13"/>
        <v>8.913248794490819E-3</v>
      </c>
      <c r="I287" s="186">
        <v>8.913248794490819E-3</v>
      </c>
      <c r="J287" s="186">
        <f t="shared" si="14"/>
        <v>0</v>
      </c>
      <c r="K287" s="177" t="s">
        <v>9030</v>
      </c>
    </row>
    <row r="288" spans="1:11" ht="27" customHeight="1" x14ac:dyDescent="0.3">
      <c r="A288" s="180" t="s">
        <v>86</v>
      </c>
      <c r="B288" s="180">
        <v>2023</v>
      </c>
      <c r="C288" s="180">
        <v>3</v>
      </c>
      <c r="D288" s="180" t="s">
        <v>9027</v>
      </c>
      <c r="E288" s="187">
        <f>'EV Inputs'!J18</f>
        <v>674.97199999999998</v>
      </c>
      <c r="F288" s="187">
        <f>DGKC!F61</f>
        <v>48675.789999999994</v>
      </c>
      <c r="G288" s="185">
        <f t="shared" si="12"/>
        <v>1.3866688142092815E-2</v>
      </c>
      <c r="H288" s="185">
        <f t="shared" si="13"/>
        <v>1.3866688142092815E-2</v>
      </c>
      <c r="I288" s="185">
        <v>1.3866688142092813E-2</v>
      </c>
      <c r="J288" s="185">
        <f t="shared" si="14"/>
        <v>1.7347234759768071E-18</v>
      </c>
      <c r="K288" s="180" t="s">
        <v>9030</v>
      </c>
    </row>
    <row r="289" spans="1:11" ht="27" customHeight="1" x14ac:dyDescent="0.3">
      <c r="A289" s="177" t="s">
        <v>86</v>
      </c>
      <c r="B289" s="177">
        <v>2024</v>
      </c>
      <c r="C289" s="177">
        <v>3</v>
      </c>
      <c r="D289" s="177" t="s">
        <v>9027</v>
      </c>
      <c r="E289" s="188">
        <f>'EV Inputs'!J19</f>
        <v>732.16800000000001</v>
      </c>
      <c r="F289" s="188">
        <f>DGKC!G61</f>
        <v>32225.717000000001</v>
      </c>
      <c r="G289" s="186">
        <f t="shared" si="12"/>
        <v>2.2719990993528554E-2</v>
      </c>
      <c r="H289" s="186">
        <f t="shared" si="13"/>
        <v>2.2719990993528554E-2</v>
      </c>
      <c r="I289" s="186">
        <v>2.2719990993528557E-2</v>
      </c>
      <c r="J289" s="186">
        <f t="shared" si="14"/>
        <v>-3.4694469519536142E-18</v>
      </c>
      <c r="K289" s="177" t="s">
        <v>9030</v>
      </c>
    </row>
    <row r="290" spans="1:11" ht="27" customHeight="1" x14ac:dyDescent="0.3">
      <c r="A290" s="180" t="s">
        <v>86</v>
      </c>
      <c r="B290" s="180">
        <v>2025</v>
      </c>
      <c r="C290" s="180">
        <v>3</v>
      </c>
      <c r="D290" s="180" t="s">
        <v>9027</v>
      </c>
      <c r="E290" s="187">
        <f>'EV Inputs'!J20</f>
        <v>1222.3519999999999</v>
      </c>
      <c r="F290" s="187">
        <f>DGKC!H61</f>
        <v>25910.920000000002</v>
      </c>
      <c r="G290" s="185">
        <f t="shared" si="12"/>
        <v>4.7175167844291127E-2</v>
      </c>
      <c r="H290" s="185">
        <f t="shared" si="13"/>
        <v>4.7175167844291127E-2</v>
      </c>
      <c r="I290" s="185">
        <v>4.7175167844291134E-2</v>
      </c>
      <c r="J290" s="185">
        <f t="shared" si="14"/>
        <v>-6.9388939039072284E-18</v>
      </c>
      <c r="K290" s="180" t="s">
        <v>9030</v>
      </c>
    </row>
    <row r="291" spans="1:11" ht="27" customHeight="1" x14ac:dyDescent="0.3">
      <c r="A291" s="177" t="s">
        <v>86</v>
      </c>
      <c r="B291" s="177">
        <v>2021</v>
      </c>
      <c r="C291" s="177">
        <v>4</v>
      </c>
      <c r="D291" s="177" t="s">
        <v>9032</v>
      </c>
      <c r="E291" s="188">
        <f>DGKC!D36-DGKC!D61</f>
        <v>-3444.2559999999939</v>
      </c>
      <c r="F291" s="188">
        <f>1</f>
        <v>1</v>
      </c>
      <c r="G291" s="186">
        <f t="shared" si="12"/>
        <v>-3444.2559999999939</v>
      </c>
      <c r="H291" s="186" t="str">
        <f t="shared" si="13"/>
        <v>n/m</v>
      </c>
      <c r="I291" s="186">
        <v>-3444.2559999999939</v>
      </c>
      <c r="J291" s="186">
        <f t="shared" si="14"/>
        <v>0</v>
      </c>
      <c r="K291" s="177" t="s">
        <v>9035</v>
      </c>
    </row>
    <row r="292" spans="1:11" ht="27" customHeight="1" x14ac:dyDescent="0.3">
      <c r="A292" s="180" t="s">
        <v>86</v>
      </c>
      <c r="B292" s="180">
        <v>2022</v>
      </c>
      <c r="C292" s="180">
        <v>4</v>
      </c>
      <c r="D292" s="180" t="s">
        <v>9032</v>
      </c>
      <c r="E292" s="187">
        <f>DGKC!E36-DGKC!E61</f>
        <v>-5275.8680000000022</v>
      </c>
      <c r="F292" s="187">
        <f>1</f>
        <v>1</v>
      </c>
      <c r="G292" s="185">
        <f t="shared" si="12"/>
        <v>-5275.8680000000022</v>
      </c>
      <c r="H292" s="185" t="str">
        <f t="shared" si="13"/>
        <v>n/m</v>
      </c>
      <c r="I292" s="185">
        <v>-5275.8680000000022</v>
      </c>
      <c r="J292" s="185">
        <f t="shared" si="14"/>
        <v>0</v>
      </c>
      <c r="K292" s="180" t="s">
        <v>9035</v>
      </c>
    </row>
    <row r="293" spans="1:11" ht="27" customHeight="1" x14ac:dyDescent="0.3">
      <c r="A293" s="177" t="s">
        <v>86</v>
      </c>
      <c r="B293" s="177">
        <v>2023</v>
      </c>
      <c r="C293" s="177">
        <v>4</v>
      </c>
      <c r="D293" s="177" t="s">
        <v>9032</v>
      </c>
      <c r="E293" s="188">
        <f>DGKC!F36-DGKC!F61</f>
        <v>-9649.1239999999962</v>
      </c>
      <c r="F293" s="188">
        <f>1</f>
        <v>1</v>
      </c>
      <c r="G293" s="186">
        <f t="shared" si="12"/>
        <v>-9649.1239999999962</v>
      </c>
      <c r="H293" s="186" t="str">
        <f t="shared" si="13"/>
        <v>n/m</v>
      </c>
      <c r="I293" s="186">
        <v>-9649.1240000000034</v>
      </c>
      <c r="J293" s="186">
        <f t="shared" si="14"/>
        <v>7.2759576141834259E-12</v>
      </c>
      <c r="K293" s="177" t="s">
        <v>9035</v>
      </c>
    </row>
    <row r="294" spans="1:11" ht="27" customHeight="1" x14ac:dyDescent="0.3">
      <c r="A294" s="180" t="s">
        <v>86</v>
      </c>
      <c r="B294" s="180">
        <v>2024</v>
      </c>
      <c r="C294" s="180">
        <v>4</v>
      </c>
      <c r="D294" s="180" t="s">
        <v>9032</v>
      </c>
      <c r="E294" s="187">
        <f>DGKC!G36-DGKC!G61</f>
        <v>9544.8039999999928</v>
      </c>
      <c r="F294" s="187">
        <f>1</f>
        <v>1</v>
      </c>
      <c r="G294" s="185">
        <f t="shared" si="12"/>
        <v>9544.8039999999928</v>
      </c>
      <c r="H294" s="185">
        <f t="shared" si="13"/>
        <v>9544.8039999999928</v>
      </c>
      <c r="I294" s="185">
        <v>9544.8040000000037</v>
      </c>
      <c r="J294" s="185">
        <f t="shared" si="14"/>
        <v>-1.0913936421275139E-11</v>
      </c>
      <c r="K294" s="180" t="s">
        <v>9035</v>
      </c>
    </row>
    <row r="295" spans="1:11" ht="27" customHeight="1" x14ac:dyDescent="0.3">
      <c r="A295" s="177" t="s">
        <v>86</v>
      </c>
      <c r="B295" s="177">
        <v>2025</v>
      </c>
      <c r="C295" s="177">
        <v>4</v>
      </c>
      <c r="D295" s="177" t="s">
        <v>9032</v>
      </c>
      <c r="E295" s="188">
        <f>DGKC!H36-DGKC!H61</f>
        <v>21997.121999999999</v>
      </c>
      <c r="F295" s="188">
        <f>1</f>
        <v>1</v>
      </c>
      <c r="G295" s="186">
        <f t="shared" si="12"/>
        <v>21997.121999999999</v>
      </c>
      <c r="H295" s="186">
        <f t="shared" si="13"/>
        <v>21997.121999999999</v>
      </c>
      <c r="I295" s="186">
        <v>21997.122000000003</v>
      </c>
      <c r="J295" s="186">
        <f t="shared" si="14"/>
        <v>-3.637978807091713E-12</v>
      </c>
      <c r="K295" s="177" t="s">
        <v>9035</v>
      </c>
    </row>
    <row r="296" spans="1:11" ht="27" customHeight="1" x14ac:dyDescent="0.3">
      <c r="A296" s="180" t="s">
        <v>86</v>
      </c>
      <c r="B296" s="180">
        <v>2021</v>
      </c>
      <c r="C296" s="180">
        <v>5</v>
      </c>
      <c r="D296" s="180" t="s">
        <v>9036</v>
      </c>
      <c r="E296" s="187">
        <f>-DGKC!D85</f>
        <v>37035.798000000003</v>
      </c>
      <c r="F296" s="187">
        <f>AVERAGE(DGKC!C65,DGKC!D65)</f>
        <v>14099.460999999999</v>
      </c>
      <c r="G296" s="185">
        <f t="shared" si="12"/>
        <v>2.6267527531726218</v>
      </c>
      <c r="H296" s="185">
        <f t="shared" si="13"/>
        <v>2.6267527531726218</v>
      </c>
      <c r="I296" s="185">
        <v>2.6267527531726218</v>
      </c>
      <c r="J296" s="185">
        <f t="shared" si="14"/>
        <v>0</v>
      </c>
      <c r="K296" s="180" t="s">
        <v>9038</v>
      </c>
    </row>
    <row r="297" spans="1:11" ht="27" customHeight="1" x14ac:dyDescent="0.3">
      <c r="A297" s="177" t="s">
        <v>86</v>
      </c>
      <c r="B297" s="177">
        <v>2022</v>
      </c>
      <c r="C297" s="177">
        <v>5</v>
      </c>
      <c r="D297" s="177" t="s">
        <v>9036</v>
      </c>
      <c r="E297" s="188">
        <f>-DGKC!E85</f>
        <v>47615.550999999999</v>
      </c>
      <c r="F297" s="188">
        <f>AVERAGE(DGKC!D65,DGKC!E65)</f>
        <v>19201.6675</v>
      </c>
      <c r="G297" s="186">
        <f t="shared" si="12"/>
        <v>2.479761249901864</v>
      </c>
      <c r="H297" s="186">
        <f t="shared" si="13"/>
        <v>2.479761249901864</v>
      </c>
      <c r="I297" s="186">
        <v>2.479761249901864</v>
      </c>
      <c r="J297" s="186">
        <f t="shared" si="14"/>
        <v>0</v>
      </c>
      <c r="K297" s="177" t="s">
        <v>9038</v>
      </c>
    </row>
    <row r="298" spans="1:11" ht="27" customHeight="1" x14ac:dyDescent="0.3">
      <c r="A298" s="180" t="s">
        <v>86</v>
      </c>
      <c r="B298" s="180">
        <v>2023</v>
      </c>
      <c r="C298" s="180">
        <v>5</v>
      </c>
      <c r="D298" s="180" t="s">
        <v>9036</v>
      </c>
      <c r="E298" s="187">
        <f>-DGKC!F85</f>
        <v>55428.046000000002</v>
      </c>
      <c r="F298" s="187">
        <f>AVERAGE(DGKC!E65,DGKC!F65)</f>
        <v>22760.286500000002</v>
      </c>
      <c r="G298" s="185">
        <f t="shared" si="12"/>
        <v>2.4352964976956684</v>
      </c>
      <c r="H298" s="185">
        <f t="shared" si="13"/>
        <v>2.4352964976956684</v>
      </c>
      <c r="I298" s="185">
        <v>2.4352964976956684</v>
      </c>
      <c r="J298" s="185">
        <f t="shared" si="14"/>
        <v>0</v>
      </c>
      <c r="K298" s="180" t="s">
        <v>9038</v>
      </c>
    </row>
    <row r="299" spans="1:11" ht="27" customHeight="1" x14ac:dyDescent="0.3">
      <c r="A299" s="177" t="s">
        <v>86</v>
      </c>
      <c r="B299" s="177">
        <v>2024</v>
      </c>
      <c r="C299" s="177">
        <v>5</v>
      </c>
      <c r="D299" s="177" t="s">
        <v>9036</v>
      </c>
      <c r="E299" s="188">
        <f>-DGKC!G85</f>
        <v>55510.428999999996</v>
      </c>
      <c r="F299" s="188">
        <f>AVERAGE(DGKC!F65,DGKC!G65)</f>
        <v>21489.008000000002</v>
      </c>
      <c r="G299" s="186">
        <f t="shared" si="12"/>
        <v>2.5832010951831741</v>
      </c>
      <c r="H299" s="186">
        <f t="shared" si="13"/>
        <v>2.5832010951831741</v>
      </c>
      <c r="I299" s="186">
        <v>2.5832010951831741</v>
      </c>
      <c r="J299" s="186">
        <f t="shared" si="14"/>
        <v>0</v>
      </c>
      <c r="K299" s="177" t="s">
        <v>9038</v>
      </c>
    </row>
    <row r="300" spans="1:11" ht="27" customHeight="1" x14ac:dyDescent="0.3">
      <c r="A300" s="180" t="s">
        <v>86</v>
      </c>
      <c r="B300" s="180">
        <v>2025</v>
      </c>
      <c r="C300" s="180">
        <v>5</v>
      </c>
      <c r="D300" s="180" t="s">
        <v>9036</v>
      </c>
      <c r="E300" s="187">
        <f>-DGKC!H85</f>
        <v>53387.165999999997</v>
      </c>
      <c r="F300" s="187">
        <f>AVERAGE(DGKC!G65,DGKC!H65)</f>
        <v>20374.099000000002</v>
      </c>
      <c r="G300" s="185">
        <f t="shared" si="12"/>
        <v>2.6203448800361673</v>
      </c>
      <c r="H300" s="185">
        <f t="shared" si="13"/>
        <v>2.6203448800361673</v>
      </c>
      <c r="I300" s="185">
        <v>2.6203448800361673</v>
      </c>
      <c r="J300" s="185">
        <f t="shared" si="14"/>
        <v>0</v>
      </c>
      <c r="K300" s="180" t="s">
        <v>9038</v>
      </c>
    </row>
    <row r="301" spans="1:11" ht="27" customHeight="1" x14ac:dyDescent="0.3">
      <c r="A301" s="177" t="s">
        <v>86</v>
      </c>
      <c r="B301" s="177">
        <v>2021</v>
      </c>
      <c r="C301" s="177">
        <v>6</v>
      </c>
      <c r="D301" s="177" t="s">
        <v>9039</v>
      </c>
      <c r="E301" s="188">
        <f>DGKC!D84</f>
        <v>45107.69</v>
      </c>
      <c r="F301" s="188">
        <f>AVERAGE(DGKC!C32,DGKC!D32)</f>
        <v>1981.1644999999999</v>
      </c>
      <c r="G301" s="186">
        <f t="shared" si="12"/>
        <v>22.768270883109405</v>
      </c>
      <c r="H301" s="186">
        <f t="shared" si="13"/>
        <v>22.768270883109405</v>
      </c>
      <c r="I301" s="186">
        <v>22.768270883109405</v>
      </c>
      <c r="J301" s="186">
        <f t="shared" si="14"/>
        <v>0</v>
      </c>
      <c r="K301" s="177" t="s">
        <v>9041</v>
      </c>
    </row>
    <row r="302" spans="1:11" ht="27" customHeight="1" x14ac:dyDescent="0.3">
      <c r="A302" s="180" t="s">
        <v>86</v>
      </c>
      <c r="B302" s="180">
        <v>2022</v>
      </c>
      <c r="C302" s="180">
        <v>6</v>
      </c>
      <c r="D302" s="180" t="s">
        <v>9039</v>
      </c>
      <c r="E302" s="187">
        <f>DGKC!E84</f>
        <v>58043.862999999998</v>
      </c>
      <c r="F302" s="187">
        <f>AVERAGE(DGKC!D32,DGKC!E32)</f>
        <v>1572.0535</v>
      </c>
      <c r="G302" s="185">
        <f t="shared" si="12"/>
        <v>36.922320391767833</v>
      </c>
      <c r="H302" s="185">
        <f t="shared" si="13"/>
        <v>36.922320391767833</v>
      </c>
      <c r="I302" s="185">
        <v>36.922320391767833</v>
      </c>
      <c r="J302" s="185">
        <f t="shared" si="14"/>
        <v>0</v>
      </c>
      <c r="K302" s="180" t="s">
        <v>9041</v>
      </c>
    </row>
    <row r="303" spans="1:11" ht="27" customHeight="1" x14ac:dyDescent="0.3">
      <c r="A303" s="177" t="s">
        <v>86</v>
      </c>
      <c r="B303" s="177">
        <v>2023</v>
      </c>
      <c r="C303" s="177">
        <v>6</v>
      </c>
      <c r="D303" s="177" t="s">
        <v>9039</v>
      </c>
      <c r="E303" s="188">
        <f>DGKC!F84</f>
        <v>64983.821000000004</v>
      </c>
      <c r="F303" s="188">
        <f>AVERAGE(DGKC!E32,DGKC!F32)</f>
        <v>1330.6510000000001</v>
      </c>
      <c r="G303" s="186">
        <f t="shared" si="12"/>
        <v>48.836111797909446</v>
      </c>
      <c r="H303" s="186">
        <f t="shared" si="13"/>
        <v>48.836111797909446</v>
      </c>
      <c r="I303" s="186">
        <v>48.836111797909446</v>
      </c>
      <c r="J303" s="186">
        <f t="shared" si="14"/>
        <v>0</v>
      </c>
      <c r="K303" s="177" t="s">
        <v>9041</v>
      </c>
    </row>
    <row r="304" spans="1:11" ht="27" customHeight="1" x14ac:dyDescent="0.3">
      <c r="A304" s="180" t="s">
        <v>86</v>
      </c>
      <c r="B304" s="180">
        <v>2024</v>
      </c>
      <c r="C304" s="180">
        <v>6</v>
      </c>
      <c r="D304" s="180" t="s">
        <v>9039</v>
      </c>
      <c r="E304" s="187">
        <f>DGKC!G84</f>
        <v>66038.688999999998</v>
      </c>
      <c r="F304" s="187">
        <f>AVERAGE(DGKC!F32,DGKC!G32)</f>
        <v>1024.5909999999999</v>
      </c>
      <c r="G304" s="185">
        <f t="shared" si="12"/>
        <v>64.453707869774377</v>
      </c>
      <c r="H304" s="185">
        <f t="shared" si="13"/>
        <v>64.453707869774377</v>
      </c>
      <c r="I304" s="185">
        <v>64.453707869774377</v>
      </c>
      <c r="J304" s="185">
        <f t="shared" si="14"/>
        <v>0</v>
      </c>
      <c r="K304" s="180" t="s">
        <v>9041</v>
      </c>
    </row>
    <row r="305" spans="1:11" ht="27" customHeight="1" x14ac:dyDescent="0.3">
      <c r="A305" s="177" t="s">
        <v>86</v>
      </c>
      <c r="B305" s="177">
        <v>2025</v>
      </c>
      <c r="C305" s="177">
        <v>6</v>
      </c>
      <c r="D305" s="177" t="s">
        <v>9039</v>
      </c>
      <c r="E305" s="188">
        <f>DGKC!H84</f>
        <v>71892.837</v>
      </c>
      <c r="F305" s="188">
        <f>AVERAGE(DGKC!G32,DGKC!H32)</f>
        <v>1174.4110000000001</v>
      </c>
      <c r="G305" s="186">
        <f t="shared" si="12"/>
        <v>61.216079379365482</v>
      </c>
      <c r="H305" s="186">
        <f t="shared" si="13"/>
        <v>61.216079379365482</v>
      </c>
      <c r="I305" s="186">
        <v>61.216079379365482</v>
      </c>
      <c r="J305" s="186">
        <f t="shared" si="14"/>
        <v>0</v>
      </c>
      <c r="K305" s="177" t="s">
        <v>9041</v>
      </c>
    </row>
    <row r="306" spans="1:11" ht="27" customHeight="1" x14ac:dyDescent="0.3">
      <c r="A306" s="180" t="s">
        <v>86</v>
      </c>
      <c r="B306" s="180">
        <v>2021</v>
      </c>
      <c r="C306" s="180">
        <v>7</v>
      </c>
      <c r="D306" s="180" t="s">
        <v>9042</v>
      </c>
      <c r="E306" s="187">
        <f>365*AVERAGE(DGKC!C65,DGKC!D65)</f>
        <v>5146303.2649999997</v>
      </c>
      <c r="F306" s="187">
        <f>-DGKC!D85</f>
        <v>37035.798000000003</v>
      </c>
      <c r="G306" s="185">
        <f t="shared" si="12"/>
        <v>138.95483675010863</v>
      </c>
      <c r="H306" s="185">
        <f t="shared" si="13"/>
        <v>138.95483675010863</v>
      </c>
      <c r="I306" s="185">
        <v>138.95483675010863</v>
      </c>
      <c r="J306" s="185">
        <f t="shared" si="14"/>
        <v>0</v>
      </c>
      <c r="K306" s="180" t="s">
        <v>9044</v>
      </c>
    </row>
    <row r="307" spans="1:11" ht="27" customHeight="1" x14ac:dyDescent="0.3">
      <c r="A307" s="177" t="s">
        <v>86</v>
      </c>
      <c r="B307" s="177">
        <v>2022</v>
      </c>
      <c r="C307" s="177">
        <v>7</v>
      </c>
      <c r="D307" s="177" t="s">
        <v>9042</v>
      </c>
      <c r="E307" s="188">
        <f>365*AVERAGE(DGKC!D65,DGKC!E65)</f>
        <v>7008608.6375000002</v>
      </c>
      <c r="F307" s="188">
        <f>-DGKC!E85</f>
        <v>47615.550999999999</v>
      </c>
      <c r="G307" s="186">
        <f t="shared" si="12"/>
        <v>147.19158951872677</v>
      </c>
      <c r="H307" s="186">
        <f t="shared" si="13"/>
        <v>147.19158951872677</v>
      </c>
      <c r="I307" s="186">
        <v>147.19158951872677</v>
      </c>
      <c r="J307" s="186">
        <f t="shared" si="14"/>
        <v>0</v>
      </c>
      <c r="K307" s="177" t="s">
        <v>9044</v>
      </c>
    </row>
    <row r="308" spans="1:11" ht="27" customHeight="1" x14ac:dyDescent="0.3">
      <c r="A308" s="180" t="s">
        <v>86</v>
      </c>
      <c r="B308" s="180">
        <v>2023</v>
      </c>
      <c r="C308" s="180">
        <v>7</v>
      </c>
      <c r="D308" s="180" t="s">
        <v>9042</v>
      </c>
      <c r="E308" s="187">
        <f>365*AVERAGE(DGKC!E65,DGKC!F65)</f>
        <v>8307504.5725000007</v>
      </c>
      <c r="F308" s="187">
        <f>-DGKC!F85</f>
        <v>55428.046000000002</v>
      </c>
      <c r="G308" s="185">
        <f t="shared" si="12"/>
        <v>149.87908057411946</v>
      </c>
      <c r="H308" s="185">
        <f t="shared" si="13"/>
        <v>149.87908057411946</v>
      </c>
      <c r="I308" s="185">
        <v>149.87908057411946</v>
      </c>
      <c r="J308" s="185">
        <f t="shared" si="14"/>
        <v>0</v>
      </c>
      <c r="K308" s="180" t="s">
        <v>9044</v>
      </c>
    </row>
    <row r="309" spans="1:11" ht="27" customHeight="1" x14ac:dyDescent="0.3">
      <c r="A309" s="177" t="s">
        <v>86</v>
      </c>
      <c r="B309" s="177">
        <v>2024</v>
      </c>
      <c r="C309" s="177">
        <v>7</v>
      </c>
      <c r="D309" s="177" t="s">
        <v>9042</v>
      </c>
      <c r="E309" s="188">
        <f>365*AVERAGE(DGKC!F65,DGKC!G65)</f>
        <v>7843487.9200000009</v>
      </c>
      <c r="F309" s="188">
        <f>-DGKC!G85</f>
        <v>55510.428999999996</v>
      </c>
      <c r="G309" s="186">
        <f t="shared" si="12"/>
        <v>141.29755545575051</v>
      </c>
      <c r="H309" s="186">
        <f t="shared" si="13"/>
        <v>141.29755545575051</v>
      </c>
      <c r="I309" s="186">
        <v>141.29755545575051</v>
      </c>
      <c r="J309" s="186">
        <f t="shared" si="14"/>
        <v>0</v>
      </c>
      <c r="K309" s="177" t="s">
        <v>9044</v>
      </c>
    </row>
    <row r="310" spans="1:11" ht="27" customHeight="1" x14ac:dyDescent="0.3">
      <c r="A310" s="180" t="s">
        <v>86</v>
      </c>
      <c r="B310" s="180">
        <v>2025</v>
      </c>
      <c r="C310" s="180">
        <v>7</v>
      </c>
      <c r="D310" s="180" t="s">
        <v>9042</v>
      </c>
      <c r="E310" s="187">
        <f>365*AVERAGE(DGKC!G65,DGKC!H65)</f>
        <v>7436546.1350000007</v>
      </c>
      <c r="F310" s="187">
        <f>-DGKC!H85</f>
        <v>53387.165999999997</v>
      </c>
      <c r="G310" s="185">
        <f t="shared" si="12"/>
        <v>139.29464124392746</v>
      </c>
      <c r="H310" s="185">
        <f t="shared" si="13"/>
        <v>139.29464124392746</v>
      </c>
      <c r="I310" s="185">
        <v>139.29464124392746</v>
      </c>
      <c r="J310" s="185">
        <f t="shared" si="14"/>
        <v>0</v>
      </c>
      <c r="K310" s="180" t="s">
        <v>9044</v>
      </c>
    </row>
    <row r="311" spans="1:11" ht="27" customHeight="1" x14ac:dyDescent="0.3">
      <c r="A311" s="177" t="s">
        <v>86</v>
      </c>
      <c r="B311" s="177">
        <v>2021</v>
      </c>
      <c r="C311" s="177">
        <v>8</v>
      </c>
      <c r="D311" s="177" t="s">
        <v>9045</v>
      </c>
      <c r="E311" s="188">
        <f>365*AVERAGE(DGKC!C32,DGKC!D32)</f>
        <v>723125.04249999998</v>
      </c>
      <c r="F311" s="188">
        <f>DGKC!D84</f>
        <v>45107.69</v>
      </c>
      <c r="G311" s="186">
        <f t="shared" si="12"/>
        <v>16.031081230273596</v>
      </c>
      <c r="H311" s="186">
        <f t="shared" si="13"/>
        <v>16.031081230273596</v>
      </c>
      <c r="I311" s="186">
        <v>16.031081230273596</v>
      </c>
      <c r="J311" s="186">
        <f t="shared" si="14"/>
        <v>0</v>
      </c>
      <c r="K311" s="177" t="s">
        <v>9047</v>
      </c>
    </row>
    <row r="312" spans="1:11" ht="27" customHeight="1" x14ac:dyDescent="0.3">
      <c r="A312" s="180" t="s">
        <v>86</v>
      </c>
      <c r="B312" s="180">
        <v>2022</v>
      </c>
      <c r="C312" s="180">
        <v>8</v>
      </c>
      <c r="D312" s="180" t="s">
        <v>9045</v>
      </c>
      <c r="E312" s="187">
        <f>365*AVERAGE(DGKC!D32,DGKC!E32)</f>
        <v>573799.52749999997</v>
      </c>
      <c r="F312" s="187">
        <f>DGKC!E84</f>
        <v>58043.862999999998</v>
      </c>
      <c r="G312" s="185">
        <f t="shared" si="12"/>
        <v>9.8856192169704489</v>
      </c>
      <c r="H312" s="185">
        <f t="shared" si="13"/>
        <v>9.8856192169704489</v>
      </c>
      <c r="I312" s="185">
        <v>9.8856192169704489</v>
      </c>
      <c r="J312" s="185">
        <f t="shared" si="14"/>
        <v>0</v>
      </c>
      <c r="K312" s="180" t="s">
        <v>9047</v>
      </c>
    </row>
    <row r="313" spans="1:11" ht="27" customHeight="1" x14ac:dyDescent="0.3">
      <c r="A313" s="177" t="s">
        <v>86</v>
      </c>
      <c r="B313" s="177">
        <v>2023</v>
      </c>
      <c r="C313" s="177">
        <v>8</v>
      </c>
      <c r="D313" s="177" t="s">
        <v>9045</v>
      </c>
      <c r="E313" s="188">
        <f>365*AVERAGE(DGKC!E32,DGKC!F32)</f>
        <v>485687.61500000005</v>
      </c>
      <c r="F313" s="188">
        <f>DGKC!F84</f>
        <v>64983.821000000004</v>
      </c>
      <c r="G313" s="186">
        <f t="shared" si="12"/>
        <v>7.4739774843341396</v>
      </c>
      <c r="H313" s="186">
        <f t="shared" si="13"/>
        <v>7.4739774843341396</v>
      </c>
      <c r="I313" s="186">
        <v>7.4739774843341396</v>
      </c>
      <c r="J313" s="186">
        <f t="shared" si="14"/>
        <v>0</v>
      </c>
      <c r="K313" s="177" t="s">
        <v>9047</v>
      </c>
    </row>
    <row r="314" spans="1:11" ht="27" customHeight="1" x14ac:dyDescent="0.3">
      <c r="A314" s="180" t="s">
        <v>86</v>
      </c>
      <c r="B314" s="180">
        <v>2024</v>
      </c>
      <c r="C314" s="180">
        <v>8</v>
      </c>
      <c r="D314" s="180" t="s">
        <v>9045</v>
      </c>
      <c r="E314" s="187">
        <f>365*AVERAGE(DGKC!F32,DGKC!G32)</f>
        <v>373975.71499999997</v>
      </c>
      <c r="F314" s="187">
        <f>DGKC!G84</f>
        <v>66038.688999999998</v>
      </c>
      <c r="G314" s="185">
        <f t="shared" si="12"/>
        <v>5.6629790909386459</v>
      </c>
      <c r="H314" s="185">
        <f t="shared" si="13"/>
        <v>5.6629790909386459</v>
      </c>
      <c r="I314" s="185">
        <v>5.6629790909386459</v>
      </c>
      <c r="J314" s="185">
        <f t="shared" si="14"/>
        <v>0</v>
      </c>
      <c r="K314" s="180" t="s">
        <v>9047</v>
      </c>
    </row>
    <row r="315" spans="1:11" ht="27" customHeight="1" x14ac:dyDescent="0.3">
      <c r="A315" s="177" t="s">
        <v>86</v>
      </c>
      <c r="B315" s="177">
        <v>2025</v>
      </c>
      <c r="C315" s="177">
        <v>8</v>
      </c>
      <c r="D315" s="177" t="s">
        <v>9045</v>
      </c>
      <c r="E315" s="188">
        <f>365*AVERAGE(DGKC!G32,DGKC!H32)</f>
        <v>428660.01500000001</v>
      </c>
      <c r="F315" s="188">
        <f>DGKC!H84</f>
        <v>71892.837</v>
      </c>
      <c r="G315" s="186">
        <f t="shared" si="12"/>
        <v>5.9624857341490083</v>
      </c>
      <c r="H315" s="186">
        <f t="shared" si="13"/>
        <v>5.9624857341490083</v>
      </c>
      <c r="I315" s="186">
        <v>5.9624857341490083</v>
      </c>
      <c r="J315" s="186">
        <f t="shared" si="14"/>
        <v>0</v>
      </c>
      <c r="K315" s="177" t="s">
        <v>9047</v>
      </c>
    </row>
    <row r="316" spans="1:11" ht="27" customHeight="1" x14ac:dyDescent="0.3">
      <c r="A316" s="180" t="s">
        <v>86</v>
      </c>
      <c r="B316" s="180">
        <v>2021</v>
      </c>
      <c r="C316" s="180">
        <v>9</v>
      </c>
      <c r="D316" s="180" t="s">
        <v>9048</v>
      </c>
      <c r="E316" s="187">
        <f>DGKC!D84</f>
        <v>45107.69</v>
      </c>
      <c r="F316" s="187">
        <f>DGKC!D20</f>
        <v>85020.108999999997</v>
      </c>
      <c r="G316" s="185">
        <f t="shared" si="12"/>
        <v>0.53055318948132613</v>
      </c>
      <c r="H316" s="185">
        <f t="shared" si="13"/>
        <v>0.53055318948132613</v>
      </c>
      <c r="I316" s="185">
        <v>0.53055318948132613</v>
      </c>
      <c r="J316" s="185">
        <f t="shared" si="14"/>
        <v>0</v>
      </c>
      <c r="K316" s="180" t="s">
        <v>9050</v>
      </c>
    </row>
    <row r="317" spans="1:11" ht="27" customHeight="1" x14ac:dyDescent="0.3">
      <c r="A317" s="177" t="s">
        <v>86</v>
      </c>
      <c r="B317" s="177">
        <v>2022</v>
      </c>
      <c r="C317" s="177">
        <v>9</v>
      </c>
      <c r="D317" s="177" t="s">
        <v>9048</v>
      </c>
      <c r="E317" s="188">
        <f>DGKC!E84</f>
        <v>58043.862999999998</v>
      </c>
      <c r="F317" s="188">
        <f>DGKC!E20</f>
        <v>82803.86</v>
      </c>
      <c r="G317" s="186">
        <f t="shared" si="12"/>
        <v>0.70098015962057802</v>
      </c>
      <c r="H317" s="186">
        <f t="shared" si="13"/>
        <v>0.70098015962057802</v>
      </c>
      <c r="I317" s="186">
        <v>0.70098015962057802</v>
      </c>
      <c r="J317" s="186">
        <f t="shared" si="14"/>
        <v>0</v>
      </c>
      <c r="K317" s="177" t="s">
        <v>9050</v>
      </c>
    </row>
    <row r="318" spans="1:11" ht="27" customHeight="1" x14ac:dyDescent="0.3">
      <c r="A318" s="180" t="s">
        <v>86</v>
      </c>
      <c r="B318" s="180">
        <v>2023</v>
      </c>
      <c r="C318" s="180">
        <v>9</v>
      </c>
      <c r="D318" s="180" t="s">
        <v>9048</v>
      </c>
      <c r="E318" s="187">
        <f>DGKC!F84</f>
        <v>64983.821000000004</v>
      </c>
      <c r="F318" s="187">
        <f>DGKC!F20</f>
        <v>82245.649999999994</v>
      </c>
      <c r="G318" s="185">
        <f t="shared" si="12"/>
        <v>0.79011863849334296</v>
      </c>
      <c r="H318" s="185">
        <f t="shared" si="13"/>
        <v>0.79011863849334296</v>
      </c>
      <c r="I318" s="185">
        <v>0.79011863849334296</v>
      </c>
      <c r="J318" s="185">
        <f t="shared" si="14"/>
        <v>0</v>
      </c>
      <c r="K318" s="180" t="s">
        <v>9050</v>
      </c>
    </row>
    <row r="319" spans="1:11" ht="27" customHeight="1" x14ac:dyDescent="0.3">
      <c r="A319" s="177" t="s">
        <v>86</v>
      </c>
      <c r="B319" s="177">
        <v>2024</v>
      </c>
      <c r="C319" s="177">
        <v>9</v>
      </c>
      <c r="D319" s="177" t="s">
        <v>9048</v>
      </c>
      <c r="E319" s="188">
        <f>DGKC!G84</f>
        <v>66038.688999999998</v>
      </c>
      <c r="F319" s="188">
        <f>DGKC!G20</f>
        <v>79877.839000000007</v>
      </c>
      <c r="G319" s="186">
        <f t="shared" si="12"/>
        <v>0.82674606407416695</v>
      </c>
      <c r="H319" s="186">
        <f t="shared" si="13"/>
        <v>0.82674606407416695</v>
      </c>
      <c r="I319" s="186">
        <v>0.82674606407416695</v>
      </c>
      <c r="J319" s="186">
        <f t="shared" si="14"/>
        <v>0</v>
      </c>
      <c r="K319" s="177" t="s">
        <v>9050</v>
      </c>
    </row>
    <row r="320" spans="1:11" ht="27" customHeight="1" x14ac:dyDescent="0.3">
      <c r="A320" s="180" t="s">
        <v>86</v>
      </c>
      <c r="B320" s="180">
        <v>2025</v>
      </c>
      <c r="C320" s="180">
        <v>9</v>
      </c>
      <c r="D320" s="180" t="s">
        <v>9048</v>
      </c>
      <c r="E320" s="187">
        <f>DGKC!H84</f>
        <v>71892.837</v>
      </c>
      <c r="F320" s="187">
        <f>DGKC!H20</f>
        <v>77252.558999999994</v>
      </c>
      <c r="G320" s="185">
        <f t="shared" si="12"/>
        <v>0.93062078370763102</v>
      </c>
      <c r="H320" s="185">
        <f t="shared" si="13"/>
        <v>0.93062078370763102</v>
      </c>
      <c r="I320" s="185">
        <v>0.93062078370763102</v>
      </c>
      <c r="J320" s="185">
        <f t="shared" si="14"/>
        <v>0</v>
      </c>
      <c r="K320" s="180" t="s">
        <v>9050</v>
      </c>
    </row>
    <row r="321" spans="1:11" ht="27" customHeight="1" x14ac:dyDescent="0.3">
      <c r="A321" s="177" t="s">
        <v>86</v>
      </c>
      <c r="B321" s="177">
        <v>2021</v>
      </c>
      <c r="C321" s="177">
        <v>10</v>
      </c>
      <c r="D321" s="177" t="s">
        <v>9052</v>
      </c>
      <c r="E321" s="188">
        <f>DGKC!D84</f>
        <v>45107.69</v>
      </c>
      <c r="F321" s="188">
        <f>DGKC!D37</f>
        <v>137894.69700000001</v>
      </c>
      <c r="G321" s="186">
        <f t="shared" si="12"/>
        <v>0.32711693039218176</v>
      </c>
      <c r="H321" s="186">
        <f t="shared" si="13"/>
        <v>0.32711693039218176</v>
      </c>
      <c r="I321" s="186">
        <v>0.32711693039218187</v>
      </c>
      <c r="J321" s="186">
        <f t="shared" si="14"/>
        <v>-1.1102230246251565E-16</v>
      </c>
      <c r="K321" s="177" t="s">
        <v>9054</v>
      </c>
    </row>
    <row r="322" spans="1:11" ht="27" customHeight="1" x14ac:dyDescent="0.3">
      <c r="A322" s="180" t="s">
        <v>86</v>
      </c>
      <c r="B322" s="180">
        <v>2022</v>
      </c>
      <c r="C322" s="180">
        <v>10</v>
      </c>
      <c r="D322" s="180" t="s">
        <v>9052</v>
      </c>
      <c r="E322" s="187">
        <f>DGKC!E84</f>
        <v>58043.862999999998</v>
      </c>
      <c r="F322" s="187">
        <f>DGKC!E37</f>
        <v>136562.01300000001</v>
      </c>
      <c r="G322" s="185">
        <f t="shared" si="12"/>
        <v>0.42503666813991675</v>
      </c>
      <c r="H322" s="185">
        <f t="shared" si="13"/>
        <v>0.42503666813991675</v>
      </c>
      <c r="I322" s="185">
        <v>0.42503666813991675</v>
      </c>
      <c r="J322" s="185">
        <f t="shared" si="14"/>
        <v>0</v>
      </c>
      <c r="K322" s="180" t="s">
        <v>9054</v>
      </c>
    </row>
    <row r="323" spans="1:11" ht="27" customHeight="1" x14ac:dyDescent="0.3">
      <c r="A323" s="177" t="s">
        <v>86</v>
      </c>
      <c r="B323" s="177">
        <v>2023</v>
      </c>
      <c r="C323" s="177">
        <v>10</v>
      </c>
      <c r="D323" s="177" t="s">
        <v>9052</v>
      </c>
      <c r="E323" s="188">
        <f>DGKC!F84</f>
        <v>64983.821000000004</v>
      </c>
      <c r="F323" s="188">
        <f>DGKC!F37</f>
        <v>134713.25400000002</v>
      </c>
      <c r="G323" s="186">
        <f t="shared" si="12"/>
        <v>0.4823862468647665</v>
      </c>
      <c r="H323" s="186">
        <f t="shared" si="13"/>
        <v>0.4823862468647665</v>
      </c>
      <c r="I323" s="186">
        <v>0.48238624686476661</v>
      </c>
      <c r="J323" s="186">
        <f t="shared" si="14"/>
        <v>-1.1102230246251565E-16</v>
      </c>
      <c r="K323" s="177" t="s">
        <v>9054</v>
      </c>
    </row>
    <row r="324" spans="1:11" ht="27" customHeight="1" x14ac:dyDescent="0.3">
      <c r="A324" s="180" t="s">
        <v>86</v>
      </c>
      <c r="B324" s="180">
        <v>2024</v>
      </c>
      <c r="C324" s="180">
        <v>10</v>
      </c>
      <c r="D324" s="180" t="s">
        <v>9052</v>
      </c>
      <c r="E324" s="187">
        <f>DGKC!G84</f>
        <v>66038.688999999998</v>
      </c>
      <c r="F324" s="187">
        <f>DGKC!G37</f>
        <v>138385.75400000002</v>
      </c>
      <c r="G324" s="185">
        <f t="shared" si="12"/>
        <v>0.47720727814222835</v>
      </c>
      <c r="H324" s="185">
        <f t="shared" si="13"/>
        <v>0.47720727814222835</v>
      </c>
      <c r="I324" s="185">
        <v>0.47720727814222835</v>
      </c>
      <c r="J324" s="185">
        <f t="shared" si="14"/>
        <v>0</v>
      </c>
      <c r="K324" s="180" t="s">
        <v>9054</v>
      </c>
    </row>
    <row r="325" spans="1:11" ht="27" customHeight="1" x14ac:dyDescent="0.3">
      <c r="A325" s="177" t="s">
        <v>86</v>
      </c>
      <c r="B325" s="177">
        <v>2025</v>
      </c>
      <c r="C325" s="177">
        <v>10</v>
      </c>
      <c r="D325" s="177" t="s">
        <v>9052</v>
      </c>
      <c r="E325" s="188">
        <f>DGKC!H84</f>
        <v>71892.837</v>
      </c>
      <c r="F325" s="188">
        <f>DGKC!H37</f>
        <v>145924.23499999999</v>
      </c>
      <c r="G325" s="186">
        <f t="shared" si="12"/>
        <v>0.49267235836459933</v>
      </c>
      <c r="H325" s="186">
        <f t="shared" si="13"/>
        <v>0.49267235836459933</v>
      </c>
      <c r="I325" s="186">
        <v>0.49267235836459933</v>
      </c>
      <c r="J325" s="186">
        <f t="shared" si="14"/>
        <v>0</v>
      </c>
      <c r="K325" s="177" t="s">
        <v>9054</v>
      </c>
    </row>
    <row r="326" spans="1:11" ht="27" customHeight="1" x14ac:dyDescent="0.3">
      <c r="A326" s="180" t="s">
        <v>86</v>
      </c>
      <c r="B326" s="180">
        <v>2021</v>
      </c>
      <c r="C326" s="180">
        <v>11</v>
      </c>
      <c r="D326" s="180" t="s">
        <v>9055</v>
      </c>
      <c r="E326" s="187">
        <f>DGKC!D62</f>
        <v>64416.823999999993</v>
      </c>
      <c r="F326" s="187">
        <f>DGKC!D37</f>
        <v>137894.69700000001</v>
      </c>
      <c r="G326" s="185">
        <f t="shared" ref="G326:G389" si="15">IF(OR(NOT(ISNUMBER(E326)),NOT(ISNUMBER(F326)),F326=0),"n/m",E326/F326)</f>
        <v>0.46714504184305206</v>
      </c>
      <c r="H326" s="185">
        <f t="shared" ref="H326:H389" si="16">IF(OR(NOT(ISNUMBER(E326)),NOT(ISNUMBER(F326))),"n/m",IF(OR((F326)&lt;=0,(E326)&lt;0),"n/m",(E326)/(F326)))</f>
        <v>0.46714504184305206</v>
      </c>
      <c r="I326" s="185">
        <v>0.46714504184305217</v>
      </c>
      <c r="J326" s="185">
        <f t="shared" ref="J326:J389" si="17">IF(AND(ISNUMBER(G326),ISNUMBER(I326)),G326-I326,IF(G326=I326,0,"Review"))</f>
        <v>-1.1102230246251565E-16</v>
      </c>
      <c r="K326" s="180" t="s">
        <v>9057</v>
      </c>
    </row>
    <row r="327" spans="1:11" ht="27" customHeight="1" x14ac:dyDescent="0.3">
      <c r="A327" s="177" t="s">
        <v>86</v>
      </c>
      <c r="B327" s="177">
        <v>2022</v>
      </c>
      <c r="C327" s="177">
        <v>11</v>
      </c>
      <c r="D327" s="177" t="s">
        <v>9055</v>
      </c>
      <c r="E327" s="188">
        <f>DGKC!E62</f>
        <v>66643.910999999993</v>
      </c>
      <c r="F327" s="188">
        <f>DGKC!E37</f>
        <v>136562.01300000001</v>
      </c>
      <c r="G327" s="186">
        <f t="shared" si="15"/>
        <v>0.48801207258126744</v>
      </c>
      <c r="H327" s="186">
        <f t="shared" si="16"/>
        <v>0.48801207258126744</v>
      </c>
      <c r="I327" s="186">
        <v>0.48801207258126744</v>
      </c>
      <c r="J327" s="186">
        <f t="shared" si="17"/>
        <v>0</v>
      </c>
      <c r="K327" s="177" t="s">
        <v>9057</v>
      </c>
    </row>
    <row r="328" spans="1:11" ht="27" customHeight="1" x14ac:dyDescent="0.3">
      <c r="A328" s="180" t="s">
        <v>86</v>
      </c>
      <c r="B328" s="180">
        <v>2023</v>
      </c>
      <c r="C328" s="180">
        <v>11</v>
      </c>
      <c r="D328" s="180" t="s">
        <v>9055</v>
      </c>
      <c r="E328" s="187">
        <f>DGKC!F62</f>
        <v>70520.976999999984</v>
      </c>
      <c r="F328" s="187">
        <f>DGKC!F37</f>
        <v>134713.25400000002</v>
      </c>
      <c r="G328" s="185">
        <f t="shared" si="15"/>
        <v>0.52348952241922664</v>
      </c>
      <c r="H328" s="185">
        <f t="shared" si="16"/>
        <v>0.52348952241922664</v>
      </c>
      <c r="I328" s="185">
        <v>0.52348952241922686</v>
      </c>
      <c r="J328" s="185">
        <f t="shared" si="17"/>
        <v>-2.2204460492503131E-16</v>
      </c>
      <c r="K328" s="180" t="s">
        <v>9057</v>
      </c>
    </row>
    <row r="329" spans="1:11" ht="27" customHeight="1" x14ac:dyDescent="0.3">
      <c r="A329" s="177" t="s">
        <v>86</v>
      </c>
      <c r="B329" s="177">
        <v>2024</v>
      </c>
      <c r="C329" s="177">
        <v>11</v>
      </c>
      <c r="D329" s="177" t="s">
        <v>9055</v>
      </c>
      <c r="E329" s="188">
        <f>DGKC!G62</f>
        <v>62538.216</v>
      </c>
      <c r="F329" s="188">
        <f>DGKC!G37</f>
        <v>138385.75400000002</v>
      </c>
      <c r="G329" s="186">
        <f t="shared" si="15"/>
        <v>0.45191223946360831</v>
      </c>
      <c r="H329" s="186">
        <f t="shared" si="16"/>
        <v>0.45191223946360831</v>
      </c>
      <c r="I329" s="186">
        <v>0.45191223946360831</v>
      </c>
      <c r="J329" s="186">
        <f t="shared" si="17"/>
        <v>0</v>
      </c>
      <c r="K329" s="177" t="s">
        <v>9057</v>
      </c>
    </row>
    <row r="330" spans="1:11" ht="27" customHeight="1" x14ac:dyDescent="0.3">
      <c r="A330" s="180" t="s">
        <v>86</v>
      </c>
      <c r="B330" s="180">
        <v>2025</v>
      </c>
      <c r="C330" s="180">
        <v>11</v>
      </c>
      <c r="D330" s="180" t="s">
        <v>9055</v>
      </c>
      <c r="E330" s="187">
        <f>DGKC!H62</f>
        <v>51256.756999999998</v>
      </c>
      <c r="F330" s="187">
        <f>DGKC!H37</f>
        <v>145924.23499999999</v>
      </c>
      <c r="G330" s="185">
        <f t="shared" si="15"/>
        <v>0.35125595827177031</v>
      </c>
      <c r="H330" s="185">
        <f t="shared" si="16"/>
        <v>0.35125595827177031</v>
      </c>
      <c r="I330" s="185">
        <v>0.35125595827177031</v>
      </c>
      <c r="J330" s="185">
        <f t="shared" si="17"/>
        <v>0</v>
      </c>
      <c r="K330" s="180" t="s">
        <v>9057</v>
      </c>
    </row>
    <row r="331" spans="1:11" ht="27" customHeight="1" x14ac:dyDescent="0.3">
      <c r="A331" s="177" t="s">
        <v>86</v>
      </c>
      <c r="B331" s="177">
        <v>2021</v>
      </c>
      <c r="C331" s="177">
        <v>12</v>
      </c>
      <c r="D331" s="177" t="s">
        <v>9058</v>
      </c>
      <c r="E331" s="188">
        <f>DGKC!D66</f>
        <v>43792.817000000003</v>
      </c>
      <c r="F331" s="188">
        <f>DGKC!D41</f>
        <v>73477.873000000007</v>
      </c>
      <c r="G331" s="186">
        <f t="shared" si="15"/>
        <v>0.59600006385595838</v>
      </c>
      <c r="H331" s="186">
        <f t="shared" si="16"/>
        <v>0.59600006385595838</v>
      </c>
      <c r="I331" s="186">
        <v>0.59600006385595827</v>
      </c>
      <c r="J331" s="186">
        <f t="shared" si="17"/>
        <v>1.1102230246251565E-16</v>
      </c>
      <c r="K331" s="177" t="s">
        <v>9060</v>
      </c>
    </row>
    <row r="332" spans="1:11" ht="27" customHeight="1" x14ac:dyDescent="0.3">
      <c r="A332" s="180" t="s">
        <v>86</v>
      </c>
      <c r="B332" s="180">
        <v>2022</v>
      </c>
      <c r="C332" s="180">
        <v>12</v>
      </c>
      <c r="D332" s="180" t="s">
        <v>9058</v>
      </c>
      <c r="E332" s="187">
        <f>DGKC!E66</f>
        <v>46475.900999999998</v>
      </c>
      <c r="F332" s="187">
        <f>DGKC!E41</f>
        <v>69918.101999999999</v>
      </c>
      <c r="G332" s="185">
        <f t="shared" si="15"/>
        <v>0.66471914526512743</v>
      </c>
      <c r="H332" s="185">
        <f t="shared" si="16"/>
        <v>0.66471914526512743</v>
      </c>
      <c r="I332" s="185">
        <v>0.66471914526512743</v>
      </c>
      <c r="J332" s="185">
        <f t="shared" si="17"/>
        <v>0</v>
      </c>
      <c r="K332" s="180" t="s">
        <v>9060</v>
      </c>
    </row>
    <row r="333" spans="1:11" ht="27" customHeight="1" x14ac:dyDescent="0.3">
      <c r="A333" s="177" t="s">
        <v>86</v>
      </c>
      <c r="B333" s="177">
        <v>2023</v>
      </c>
      <c r="C333" s="177">
        <v>12</v>
      </c>
      <c r="D333" s="177" t="s">
        <v>9058</v>
      </c>
      <c r="E333" s="188">
        <f>DGKC!F66</f>
        <v>42528.276000000005</v>
      </c>
      <c r="F333" s="188">
        <f>DGKC!F41</f>
        <v>64192.277000000002</v>
      </c>
      <c r="G333" s="186">
        <f t="shared" si="15"/>
        <v>0.66251390334697124</v>
      </c>
      <c r="H333" s="186">
        <f t="shared" si="16"/>
        <v>0.66251390334697124</v>
      </c>
      <c r="I333" s="186">
        <v>0.66251390334697113</v>
      </c>
      <c r="J333" s="186">
        <f t="shared" si="17"/>
        <v>1.1102230246251565E-16</v>
      </c>
      <c r="K333" s="177" t="s">
        <v>9060</v>
      </c>
    </row>
    <row r="334" spans="1:11" ht="27" customHeight="1" x14ac:dyDescent="0.3">
      <c r="A334" s="180" t="s">
        <v>86</v>
      </c>
      <c r="B334" s="180">
        <v>2024</v>
      </c>
      <c r="C334" s="180">
        <v>12</v>
      </c>
      <c r="D334" s="180" t="s">
        <v>9058</v>
      </c>
      <c r="E334" s="187">
        <f>DGKC!G66</f>
        <v>34321.806000000004</v>
      </c>
      <c r="F334" s="187">
        <f>DGKC!G41</f>
        <v>75847.538</v>
      </c>
      <c r="G334" s="185">
        <f t="shared" si="15"/>
        <v>0.45251048227827784</v>
      </c>
      <c r="H334" s="185">
        <f t="shared" si="16"/>
        <v>0.45251048227827784</v>
      </c>
      <c r="I334" s="185">
        <v>0.45251048227827773</v>
      </c>
      <c r="J334" s="185">
        <f t="shared" si="17"/>
        <v>1.1102230246251565E-16</v>
      </c>
      <c r="K334" s="180" t="s">
        <v>9060</v>
      </c>
    </row>
    <row r="335" spans="1:11" ht="27" customHeight="1" x14ac:dyDescent="0.3">
      <c r="A335" s="177" t="s">
        <v>86</v>
      </c>
      <c r="B335" s="177">
        <v>2025</v>
      </c>
      <c r="C335" s="177">
        <v>12</v>
      </c>
      <c r="D335" s="177" t="s">
        <v>9058</v>
      </c>
      <c r="E335" s="188">
        <f>DGKC!H66</f>
        <v>21907.100000000002</v>
      </c>
      <c r="F335" s="188">
        <f>DGKC!H41</f>
        <v>94667.478000000003</v>
      </c>
      <c r="G335" s="186">
        <f t="shared" si="15"/>
        <v>0.23141104487858016</v>
      </c>
      <c r="H335" s="186">
        <f t="shared" si="16"/>
        <v>0.23141104487858016</v>
      </c>
      <c r="I335" s="186">
        <v>0.23141104487858014</v>
      </c>
      <c r="J335" s="186">
        <f t="shared" si="17"/>
        <v>2.7755575615628914E-17</v>
      </c>
      <c r="K335" s="177" t="s">
        <v>9060</v>
      </c>
    </row>
    <row r="336" spans="1:11" ht="27" customHeight="1" x14ac:dyDescent="0.3">
      <c r="A336" s="180" t="s">
        <v>86</v>
      </c>
      <c r="B336" s="180">
        <v>2021</v>
      </c>
      <c r="C336" s="180">
        <v>13</v>
      </c>
      <c r="D336" s="180" t="s">
        <v>9062</v>
      </c>
      <c r="E336" s="187">
        <f>DGKC!D66</f>
        <v>43792.817000000003</v>
      </c>
      <c r="F336" s="187">
        <f>DGKC!D66+DGKC!D41</f>
        <v>117270.69</v>
      </c>
      <c r="G336" s="185">
        <f t="shared" si="15"/>
        <v>0.37343360902882045</v>
      </c>
      <c r="H336" s="185">
        <f t="shared" si="16"/>
        <v>0.37343360902882045</v>
      </c>
      <c r="I336" s="185">
        <v>0.37343360902882039</v>
      </c>
      <c r="J336" s="185">
        <f t="shared" si="17"/>
        <v>5.5511151231257827E-17</v>
      </c>
      <c r="K336" s="180" t="s">
        <v>9060</v>
      </c>
    </row>
    <row r="337" spans="1:11" ht="27" customHeight="1" x14ac:dyDescent="0.3">
      <c r="A337" s="177" t="s">
        <v>86</v>
      </c>
      <c r="B337" s="177">
        <v>2022</v>
      </c>
      <c r="C337" s="177">
        <v>13</v>
      </c>
      <c r="D337" s="177" t="s">
        <v>9062</v>
      </c>
      <c r="E337" s="188">
        <f>DGKC!E66</f>
        <v>46475.900999999998</v>
      </c>
      <c r="F337" s="188">
        <f>DGKC!E66+DGKC!E41</f>
        <v>116394.003</v>
      </c>
      <c r="G337" s="186">
        <f t="shared" si="15"/>
        <v>0.39929807208366225</v>
      </c>
      <c r="H337" s="186">
        <f t="shared" si="16"/>
        <v>0.39929807208366225</v>
      </c>
      <c r="I337" s="186">
        <v>0.39929807208366225</v>
      </c>
      <c r="J337" s="186">
        <f t="shared" si="17"/>
        <v>0</v>
      </c>
      <c r="K337" s="177" t="s">
        <v>9060</v>
      </c>
    </row>
    <row r="338" spans="1:11" ht="27" customHeight="1" x14ac:dyDescent="0.3">
      <c r="A338" s="180" t="s">
        <v>86</v>
      </c>
      <c r="B338" s="180">
        <v>2023</v>
      </c>
      <c r="C338" s="180">
        <v>13</v>
      </c>
      <c r="D338" s="180" t="s">
        <v>9062</v>
      </c>
      <c r="E338" s="187">
        <f>DGKC!F66</f>
        <v>42528.276000000005</v>
      </c>
      <c r="F338" s="187">
        <f>DGKC!F66+DGKC!F41</f>
        <v>106720.55300000001</v>
      </c>
      <c r="G338" s="185">
        <f t="shared" si="15"/>
        <v>0.39850127088453147</v>
      </c>
      <c r="H338" s="185">
        <f t="shared" si="16"/>
        <v>0.39850127088453147</v>
      </c>
      <c r="I338" s="185">
        <v>0.39850127088453147</v>
      </c>
      <c r="J338" s="185">
        <f t="shared" si="17"/>
        <v>0</v>
      </c>
      <c r="K338" s="180" t="s">
        <v>9060</v>
      </c>
    </row>
    <row r="339" spans="1:11" ht="27" customHeight="1" x14ac:dyDescent="0.3">
      <c r="A339" s="177" t="s">
        <v>86</v>
      </c>
      <c r="B339" s="177">
        <v>2024</v>
      </c>
      <c r="C339" s="177">
        <v>13</v>
      </c>
      <c r="D339" s="177" t="s">
        <v>9062</v>
      </c>
      <c r="E339" s="188">
        <f>DGKC!G66</f>
        <v>34321.806000000004</v>
      </c>
      <c r="F339" s="188">
        <f>DGKC!G66+DGKC!G41</f>
        <v>110169.34400000001</v>
      </c>
      <c r="G339" s="186">
        <f t="shared" si="15"/>
        <v>0.31153681009483003</v>
      </c>
      <c r="H339" s="186">
        <f t="shared" si="16"/>
        <v>0.31153681009483003</v>
      </c>
      <c r="I339" s="186">
        <v>0.31153681009482997</v>
      </c>
      <c r="J339" s="186">
        <f t="shared" si="17"/>
        <v>5.5511151231257827E-17</v>
      </c>
      <c r="K339" s="177" t="s">
        <v>9060</v>
      </c>
    </row>
    <row r="340" spans="1:11" ht="27" customHeight="1" x14ac:dyDescent="0.3">
      <c r="A340" s="180" t="s">
        <v>86</v>
      </c>
      <c r="B340" s="180">
        <v>2025</v>
      </c>
      <c r="C340" s="180">
        <v>13</v>
      </c>
      <c r="D340" s="180" t="s">
        <v>9062</v>
      </c>
      <c r="E340" s="187">
        <f>DGKC!H66</f>
        <v>21907.100000000002</v>
      </c>
      <c r="F340" s="187">
        <f>DGKC!H66+DGKC!H41</f>
        <v>116574.57800000001</v>
      </c>
      <c r="G340" s="185">
        <f t="shared" si="15"/>
        <v>0.18792347676351873</v>
      </c>
      <c r="H340" s="185">
        <f t="shared" si="16"/>
        <v>0.18792347676351873</v>
      </c>
      <c r="I340" s="185">
        <v>0.1879234767635187</v>
      </c>
      <c r="J340" s="185">
        <f t="shared" si="17"/>
        <v>2.7755575615628914E-17</v>
      </c>
      <c r="K340" s="180" t="s">
        <v>9060</v>
      </c>
    </row>
    <row r="341" spans="1:11" ht="27" customHeight="1" x14ac:dyDescent="0.3">
      <c r="A341" s="177" t="s">
        <v>86</v>
      </c>
      <c r="B341" s="177">
        <v>2021</v>
      </c>
      <c r="C341" s="177">
        <v>14</v>
      </c>
      <c r="D341" s="177" t="s">
        <v>9064</v>
      </c>
      <c r="E341" s="188">
        <f>(DGKC!D96+DGKC!D106)</f>
        <v>7657.514000000001</v>
      </c>
      <c r="F341" s="188">
        <f>DGKC!D106</f>
        <v>2886.1089999999999</v>
      </c>
      <c r="G341" s="186">
        <f t="shared" si="15"/>
        <v>2.6532310456742976</v>
      </c>
      <c r="H341" s="186">
        <f t="shared" si="16"/>
        <v>2.6532310456742976</v>
      </c>
      <c r="I341" s="186">
        <v>2.6532310456742971</v>
      </c>
      <c r="J341" s="186">
        <f t="shared" si="17"/>
        <v>4.4408920985006262E-16</v>
      </c>
      <c r="K341" s="177" t="s">
        <v>9066</v>
      </c>
    </row>
    <row r="342" spans="1:11" ht="27" customHeight="1" x14ac:dyDescent="0.3">
      <c r="A342" s="180" t="s">
        <v>86</v>
      </c>
      <c r="B342" s="180">
        <v>2022</v>
      </c>
      <c r="C342" s="180">
        <v>14</v>
      </c>
      <c r="D342" s="180" t="s">
        <v>9064</v>
      </c>
      <c r="E342" s="187">
        <f>(DGKC!E96+DGKC!E106)</f>
        <v>9564.4179999999978</v>
      </c>
      <c r="F342" s="187">
        <f>DGKC!E106</f>
        <v>3544.6569999999997</v>
      </c>
      <c r="G342" s="185">
        <f t="shared" si="15"/>
        <v>2.6982633298510965</v>
      </c>
      <c r="H342" s="185">
        <f t="shared" si="16"/>
        <v>2.6982633298510965</v>
      </c>
      <c r="I342" s="185">
        <v>2.6982633298510965</v>
      </c>
      <c r="J342" s="185">
        <f t="shared" si="17"/>
        <v>0</v>
      </c>
      <c r="K342" s="180" t="s">
        <v>9066</v>
      </c>
    </row>
    <row r="343" spans="1:11" ht="27" customHeight="1" x14ac:dyDescent="0.3">
      <c r="A343" s="177" t="s">
        <v>86</v>
      </c>
      <c r="B343" s="177">
        <v>2023</v>
      </c>
      <c r="C343" s="177">
        <v>14</v>
      </c>
      <c r="D343" s="177" t="s">
        <v>9064</v>
      </c>
      <c r="E343" s="188">
        <f>(DGKC!F96+DGKC!F106)</f>
        <v>9866.3420000000006</v>
      </c>
      <c r="F343" s="188">
        <f>DGKC!F106</f>
        <v>6703.799</v>
      </c>
      <c r="G343" s="186">
        <f t="shared" si="15"/>
        <v>1.4717538518085045</v>
      </c>
      <c r="H343" s="186">
        <f t="shared" si="16"/>
        <v>1.4717538518085045</v>
      </c>
      <c r="I343" s="186">
        <v>1.4717538518085045</v>
      </c>
      <c r="J343" s="186">
        <f t="shared" si="17"/>
        <v>0</v>
      </c>
      <c r="K343" s="177" t="s">
        <v>9066</v>
      </c>
    </row>
    <row r="344" spans="1:11" ht="27" customHeight="1" x14ac:dyDescent="0.3">
      <c r="A344" s="180" t="s">
        <v>86</v>
      </c>
      <c r="B344" s="180">
        <v>2024</v>
      </c>
      <c r="C344" s="180">
        <v>14</v>
      </c>
      <c r="D344" s="180" t="s">
        <v>9064</v>
      </c>
      <c r="E344" s="187">
        <f>(DGKC!G96+DGKC!G106)</f>
        <v>10763.888000000001</v>
      </c>
      <c r="F344" s="187">
        <f>DGKC!G106</f>
        <v>7924.9779999999992</v>
      </c>
      <c r="G344" s="185">
        <f t="shared" si="15"/>
        <v>1.3582230764552283</v>
      </c>
      <c r="H344" s="185">
        <f t="shared" si="16"/>
        <v>1.3582230764552283</v>
      </c>
      <c r="I344" s="185">
        <v>1.3582230764552286</v>
      </c>
      <c r="J344" s="185">
        <f t="shared" si="17"/>
        <v>-2.2204460492503131E-16</v>
      </c>
      <c r="K344" s="180" t="s">
        <v>9066</v>
      </c>
    </row>
    <row r="345" spans="1:11" ht="27" customHeight="1" x14ac:dyDescent="0.3">
      <c r="A345" s="177" t="s">
        <v>86</v>
      </c>
      <c r="B345" s="177">
        <v>2025</v>
      </c>
      <c r="C345" s="177">
        <v>14</v>
      </c>
      <c r="D345" s="177" t="s">
        <v>9064</v>
      </c>
      <c r="E345" s="188">
        <f>(DGKC!H96+DGKC!H106)</f>
        <v>16821.347999999998</v>
      </c>
      <c r="F345" s="188">
        <f>DGKC!H106</f>
        <v>3816.7360000000003</v>
      </c>
      <c r="G345" s="186">
        <f t="shared" si="15"/>
        <v>4.4072600253200633</v>
      </c>
      <c r="H345" s="186">
        <f t="shared" si="16"/>
        <v>4.4072600253200633</v>
      </c>
      <c r="I345" s="186">
        <v>4.4072600253200642</v>
      </c>
      <c r="J345" s="186">
        <f t="shared" si="17"/>
        <v>-8.8817841970012523E-16</v>
      </c>
      <c r="K345" s="177" t="s">
        <v>9066</v>
      </c>
    </row>
    <row r="346" spans="1:11" ht="27" customHeight="1" x14ac:dyDescent="0.3">
      <c r="A346" s="180" t="s">
        <v>86</v>
      </c>
      <c r="B346" s="180">
        <v>2021</v>
      </c>
      <c r="C346" s="180">
        <v>15</v>
      </c>
      <c r="D346" s="180" t="s">
        <v>9067</v>
      </c>
      <c r="E346" s="187">
        <f>DGKC!D86</f>
        <v>8071.8919999999998</v>
      </c>
      <c r="F346" s="187">
        <f>DGKC!D84</f>
        <v>45107.69</v>
      </c>
      <c r="G346" s="185">
        <f t="shared" si="15"/>
        <v>0.17894713739497631</v>
      </c>
      <c r="H346" s="185">
        <f t="shared" si="16"/>
        <v>0.17894713739497631</v>
      </c>
      <c r="I346" s="185">
        <v>0.17894713739497631</v>
      </c>
      <c r="J346" s="185">
        <f t="shared" si="17"/>
        <v>0</v>
      </c>
      <c r="K346" s="180" t="s">
        <v>9069</v>
      </c>
    </row>
    <row r="347" spans="1:11" ht="27" customHeight="1" x14ac:dyDescent="0.3">
      <c r="A347" s="177" t="s">
        <v>86</v>
      </c>
      <c r="B347" s="177">
        <v>2022</v>
      </c>
      <c r="C347" s="177">
        <v>15</v>
      </c>
      <c r="D347" s="177" t="s">
        <v>9067</v>
      </c>
      <c r="E347" s="188">
        <f>DGKC!E86</f>
        <v>10428.311999999998</v>
      </c>
      <c r="F347" s="188">
        <f>DGKC!E84</f>
        <v>58043.862999999998</v>
      </c>
      <c r="G347" s="186">
        <f t="shared" si="15"/>
        <v>0.17966261135996409</v>
      </c>
      <c r="H347" s="186">
        <f t="shared" si="16"/>
        <v>0.17966261135996409</v>
      </c>
      <c r="I347" s="186">
        <v>0.17966261135996409</v>
      </c>
      <c r="J347" s="186">
        <f t="shared" si="17"/>
        <v>0</v>
      </c>
      <c r="K347" s="177" t="s">
        <v>9069</v>
      </c>
    </row>
    <row r="348" spans="1:11" ht="27" customHeight="1" x14ac:dyDescent="0.3">
      <c r="A348" s="180" t="s">
        <v>86</v>
      </c>
      <c r="B348" s="180">
        <v>2023</v>
      </c>
      <c r="C348" s="180">
        <v>15</v>
      </c>
      <c r="D348" s="180" t="s">
        <v>9067</v>
      </c>
      <c r="E348" s="187">
        <f>DGKC!F86</f>
        <v>9555.7750000000015</v>
      </c>
      <c r="F348" s="187">
        <f>DGKC!F84</f>
        <v>64983.821000000004</v>
      </c>
      <c r="G348" s="185">
        <f t="shared" si="15"/>
        <v>0.14704852458583501</v>
      </c>
      <c r="H348" s="185">
        <f t="shared" si="16"/>
        <v>0.14704852458583501</v>
      </c>
      <c r="I348" s="185">
        <v>0.14704852458583501</v>
      </c>
      <c r="J348" s="185">
        <f t="shared" si="17"/>
        <v>0</v>
      </c>
      <c r="K348" s="180" t="s">
        <v>9069</v>
      </c>
    </row>
    <row r="349" spans="1:11" ht="27" customHeight="1" x14ac:dyDescent="0.3">
      <c r="A349" s="177" t="s">
        <v>86</v>
      </c>
      <c r="B349" s="177">
        <v>2024</v>
      </c>
      <c r="C349" s="177">
        <v>15</v>
      </c>
      <c r="D349" s="177" t="s">
        <v>9067</v>
      </c>
      <c r="E349" s="188">
        <f>DGKC!G86</f>
        <v>10528.260000000002</v>
      </c>
      <c r="F349" s="188">
        <f>DGKC!G84</f>
        <v>66038.688999999998</v>
      </c>
      <c r="G349" s="186">
        <f t="shared" si="15"/>
        <v>0.15942563608432631</v>
      </c>
      <c r="H349" s="186">
        <f t="shared" si="16"/>
        <v>0.15942563608432631</v>
      </c>
      <c r="I349" s="186">
        <v>0.15942563608432631</v>
      </c>
      <c r="J349" s="186">
        <f t="shared" si="17"/>
        <v>0</v>
      </c>
      <c r="K349" s="177" t="s">
        <v>9069</v>
      </c>
    </row>
    <row r="350" spans="1:11" ht="27" customHeight="1" x14ac:dyDescent="0.3">
      <c r="A350" s="180" t="s">
        <v>86</v>
      </c>
      <c r="B350" s="180">
        <v>2025</v>
      </c>
      <c r="C350" s="180">
        <v>15</v>
      </c>
      <c r="D350" s="180" t="s">
        <v>9067</v>
      </c>
      <c r="E350" s="187">
        <f>DGKC!H86</f>
        <v>18505.671000000002</v>
      </c>
      <c r="F350" s="187">
        <f>DGKC!H84</f>
        <v>71892.837</v>
      </c>
      <c r="G350" s="185">
        <f t="shared" si="15"/>
        <v>0.25740632547300923</v>
      </c>
      <c r="H350" s="185">
        <f t="shared" si="16"/>
        <v>0.25740632547300923</v>
      </c>
      <c r="I350" s="185">
        <v>0.25740632547300923</v>
      </c>
      <c r="J350" s="185">
        <f t="shared" si="17"/>
        <v>0</v>
      </c>
      <c r="K350" s="180" t="s">
        <v>9069</v>
      </c>
    </row>
    <row r="351" spans="1:11" ht="27" customHeight="1" x14ac:dyDescent="0.3">
      <c r="A351" s="177" t="s">
        <v>86</v>
      </c>
      <c r="B351" s="177">
        <v>2021</v>
      </c>
      <c r="C351" s="177">
        <v>16</v>
      </c>
      <c r="D351" s="177" t="s">
        <v>9070</v>
      </c>
      <c r="E351" s="188">
        <f>(DGKC!D96+DGKC!D106)</f>
        <v>7657.514000000001</v>
      </c>
      <c r="F351" s="188">
        <f>DGKC!D84</f>
        <v>45107.69</v>
      </c>
      <c r="G351" s="186">
        <f t="shared" si="15"/>
        <v>0.16976072150890459</v>
      </c>
      <c r="H351" s="186">
        <f t="shared" si="16"/>
        <v>0.16976072150890459</v>
      </c>
      <c r="I351" s="186">
        <v>0.16976072150890456</v>
      </c>
      <c r="J351" s="186">
        <f t="shared" si="17"/>
        <v>2.7755575615628914E-17</v>
      </c>
      <c r="K351" s="177" t="s">
        <v>9072</v>
      </c>
    </row>
    <row r="352" spans="1:11" ht="27" customHeight="1" x14ac:dyDescent="0.3">
      <c r="A352" s="180" t="s">
        <v>86</v>
      </c>
      <c r="B352" s="180">
        <v>2022</v>
      </c>
      <c r="C352" s="180">
        <v>16</v>
      </c>
      <c r="D352" s="180" t="s">
        <v>9070</v>
      </c>
      <c r="E352" s="187">
        <f>(DGKC!E96+DGKC!E106)</f>
        <v>9564.4179999999978</v>
      </c>
      <c r="F352" s="187">
        <f>DGKC!E84</f>
        <v>58043.862999999998</v>
      </c>
      <c r="G352" s="185">
        <f t="shared" si="15"/>
        <v>0.1647791429733062</v>
      </c>
      <c r="H352" s="185">
        <f t="shared" si="16"/>
        <v>0.1647791429733062</v>
      </c>
      <c r="I352" s="185">
        <v>0.1647791429733062</v>
      </c>
      <c r="J352" s="185">
        <f t="shared" si="17"/>
        <v>0</v>
      </c>
      <c r="K352" s="180" t="s">
        <v>9072</v>
      </c>
    </row>
    <row r="353" spans="1:11" ht="27" customHeight="1" x14ac:dyDescent="0.3">
      <c r="A353" s="177" t="s">
        <v>86</v>
      </c>
      <c r="B353" s="177">
        <v>2023</v>
      </c>
      <c r="C353" s="177">
        <v>16</v>
      </c>
      <c r="D353" s="177" t="s">
        <v>9070</v>
      </c>
      <c r="E353" s="188">
        <f>(DGKC!F96+DGKC!F106)</f>
        <v>9866.3420000000006</v>
      </c>
      <c r="F353" s="188">
        <f>DGKC!F84</f>
        <v>64983.821000000004</v>
      </c>
      <c r="G353" s="186">
        <f t="shared" si="15"/>
        <v>0.15182766799754666</v>
      </c>
      <c r="H353" s="186">
        <f t="shared" si="16"/>
        <v>0.15182766799754666</v>
      </c>
      <c r="I353" s="186">
        <v>0.15182766799754666</v>
      </c>
      <c r="J353" s="186">
        <f t="shared" si="17"/>
        <v>0</v>
      </c>
      <c r="K353" s="177" t="s">
        <v>9072</v>
      </c>
    </row>
    <row r="354" spans="1:11" ht="27" customHeight="1" x14ac:dyDescent="0.3">
      <c r="A354" s="180" t="s">
        <v>86</v>
      </c>
      <c r="B354" s="180">
        <v>2024</v>
      </c>
      <c r="C354" s="180">
        <v>16</v>
      </c>
      <c r="D354" s="180" t="s">
        <v>9070</v>
      </c>
      <c r="E354" s="187">
        <f>(DGKC!G96+DGKC!G106)</f>
        <v>10763.888000000001</v>
      </c>
      <c r="F354" s="187">
        <f>DGKC!G84</f>
        <v>66038.688999999998</v>
      </c>
      <c r="G354" s="185">
        <f t="shared" si="15"/>
        <v>0.16299366572828242</v>
      </c>
      <c r="H354" s="185">
        <f t="shared" si="16"/>
        <v>0.16299366572828242</v>
      </c>
      <c r="I354" s="185">
        <v>0.16299366572828244</v>
      </c>
      <c r="J354" s="185">
        <f t="shared" si="17"/>
        <v>-2.7755575615628914E-17</v>
      </c>
      <c r="K354" s="180" t="s">
        <v>9072</v>
      </c>
    </row>
    <row r="355" spans="1:11" ht="27" customHeight="1" x14ac:dyDescent="0.3">
      <c r="A355" s="177" t="s">
        <v>86</v>
      </c>
      <c r="B355" s="177">
        <v>2025</v>
      </c>
      <c r="C355" s="177">
        <v>16</v>
      </c>
      <c r="D355" s="177" t="s">
        <v>9070</v>
      </c>
      <c r="E355" s="188">
        <f>(DGKC!H96+DGKC!H106)</f>
        <v>16821.347999999998</v>
      </c>
      <c r="F355" s="188">
        <f>DGKC!H84</f>
        <v>71892.837</v>
      </c>
      <c r="G355" s="186">
        <f t="shared" si="15"/>
        <v>0.23397808045883622</v>
      </c>
      <c r="H355" s="186">
        <f t="shared" si="16"/>
        <v>0.23397808045883622</v>
      </c>
      <c r="I355" s="186">
        <v>0.23397808045883628</v>
      </c>
      <c r="J355" s="186">
        <f t="shared" si="17"/>
        <v>-5.5511151231257827E-17</v>
      </c>
      <c r="K355" s="177" t="s">
        <v>9072</v>
      </c>
    </row>
    <row r="356" spans="1:11" ht="27" customHeight="1" x14ac:dyDescent="0.3">
      <c r="A356" s="180" t="s">
        <v>86</v>
      </c>
      <c r="B356" s="180">
        <v>2021</v>
      </c>
      <c r="C356" s="180">
        <v>17</v>
      </c>
      <c r="D356" s="180" t="s">
        <v>9074</v>
      </c>
      <c r="E356" s="187">
        <f>DGKC!D99</f>
        <v>3721.2730000000006</v>
      </c>
      <c r="F356" s="187">
        <f>DGKC!D84</f>
        <v>45107.69</v>
      </c>
      <c r="G356" s="185">
        <f t="shared" si="15"/>
        <v>8.2497529800351119E-2</v>
      </c>
      <c r="H356" s="185">
        <f t="shared" si="16"/>
        <v>8.2497529800351119E-2</v>
      </c>
      <c r="I356" s="185">
        <v>8.2497529800351105E-2</v>
      </c>
      <c r="J356" s="185">
        <f t="shared" si="17"/>
        <v>1.3877787807814457E-17</v>
      </c>
      <c r="K356" s="180" t="s">
        <v>9076</v>
      </c>
    </row>
    <row r="357" spans="1:11" ht="27" customHeight="1" x14ac:dyDescent="0.3">
      <c r="A357" s="177" t="s">
        <v>86</v>
      </c>
      <c r="B357" s="177">
        <v>2022</v>
      </c>
      <c r="C357" s="177">
        <v>17</v>
      </c>
      <c r="D357" s="177" t="s">
        <v>9074</v>
      </c>
      <c r="E357" s="188">
        <f>DGKC!E99</f>
        <v>2972.1319999999987</v>
      </c>
      <c r="F357" s="188">
        <f>DGKC!E84</f>
        <v>58043.862999999998</v>
      </c>
      <c r="G357" s="186">
        <f t="shared" si="15"/>
        <v>5.120493100192175E-2</v>
      </c>
      <c r="H357" s="186">
        <f t="shared" si="16"/>
        <v>5.120493100192175E-2</v>
      </c>
      <c r="I357" s="186">
        <v>5.120493100192175E-2</v>
      </c>
      <c r="J357" s="186">
        <f t="shared" si="17"/>
        <v>0</v>
      </c>
      <c r="K357" s="177" t="s">
        <v>9076</v>
      </c>
    </row>
    <row r="358" spans="1:11" ht="27" customHeight="1" x14ac:dyDescent="0.3">
      <c r="A358" s="180" t="s">
        <v>86</v>
      </c>
      <c r="B358" s="180">
        <v>2023</v>
      </c>
      <c r="C358" s="180">
        <v>17</v>
      </c>
      <c r="D358" s="180" t="s">
        <v>9074</v>
      </c>
      <c r="E358" s="187">
        <f>DGKC!F99</f>
        <v>-3635.9759999999997</v>
      </c>
      <c r="F358" s="187">
        <f>DGKC!F84</f>
        <v>64983.821000000004</v>
      </c>
      <c r="G358" s="185">
        <f t="shared" si="15"/>
        <v>-5.595201919567025E-2</v>
      </c>
      <c r="H358" s="185" t="str">
        <f t="shared" si="16"/>
        <v>n/m</v>
      </c>
      <c r="I358" s="185">
        <v>-5.595201919567025E-2</v>
      </c>
      <c r="J358" s="185">
        <f t="shared" si="17"/>
        <v>0</v>
      </c>
      <c r="K358" s="180" t="s">
        <v>9076</v>
      </c>
    </row>
    <row r="359" spans="1:11" ht="27" customHeight="1" x14ac:dyDescent="0.3">
      <c r="A359" s="177" t="s">
        <v>86</v>
      </c>
      <c r="B359" s="177">
        <v>2024</v>
      </c>
      <c r="C359" s="177">
        <v>17</v>
      </c>
      <c r="D359" s="177" t="s">
        <v>9074</v>
      </c>
      <c r="E359" s="188">
        <f>DGKC!G99</f>
        <v>542.39600000000178</v>
      </c>
      <c r="F359" s="188">
        <f>DGKC!G84</f>
        <v>66038.688999999998</v>
      </c>
      <c r="G359" s="186">
        <f t="shared" si="15"/>
        <v>8.2133065966830711E-3</v>
      </c>
      <c r="H359" s="186">
        <f t="shared" si="16"/>
        <v>8.2133065966830711E-3</v>
      </c>
      <c r="I359" s="186">
        <v>8.213306596683085E-3</v>
      </c>
      <c r="J359" s="186">
        <f t="shared" si="17"/>
        <v>-1.3877787807814457E-17</v>
      </c>
      <c r="K359" s="177" t="s">
        <v>9076</v>
      </c>
    </row>
    <row r="360" spans="1:11" ht="27" customHeight="1" x14ac:dyDescent="0.3">
      <c r="A360" s="180" t="s">
        <v>86</v>
      </c>
      <c r="B360" s="180">
        <v>2025</v>
      </c>
      <c r="C360" s="180">
        <v>17</v>
      </c>
      <c r="D360" s="180" t="s">
        <v>9074</v>
      </c>
      <c r="E360" s="187">
        <f>DGKC!H99</f>
        <v>8675.0589999999993</v>
      </c>
      <c r="F360" s="187">
        <f>DGKC!H84</f>
        <v>71892.837</v>
      </c>
      <c r="G360" s="185">
        <f t="shared" si="15"/>
        <v>0.12066652759857006</v>
      </c>
      <c r="H360" s="185">
        <f t="shared" si="16"/>
        <v>0.12066652759857006</v>
      </c>
      <c r="I360" s="185">
        <v>0.12066652759857009</v>
      </c>
      <c r="J360" s="185">
        <f t="shared" si="17"/>
        <v>-2.7755575615628914E-17</v>
      </c>
      <c r="K360" s="180" t="s">
        <v>9076</v>
      </c>
    </row>
    <row r="361" spans="1:11" ht="27" customHeight="1" x14ac:dyDescent="0.3">
      <c r="A361" s="177" t="s">
        <v>86</v>
      </c>
      <c r="B361" s="177">
        <v>2021</v>
      </c>
      <c r="C361" s="177">
        <v>18</v>
      </c>
      <c r="D361" s="177" t="s">
        <v>9077</v>
      </c>
      <c r="E361" s="188">
        <f>DGKC!D99</f>
        <v>3721.2730000000006</v>
      </c>
      <c r="F361" s="188">
        <f>DGKC!D37</f>
        <v>137894.69700000001</v>
      </c>
      <c r="G361" s="186">
        <f t="shared" si="15"/>
        <v>2.6986338713228402E-2</v>
      </c>
      <c r="H361" s="186">
        <f t="shared" si="16"/>
        <v>2.6986338713228402E-2</v>
      </c>
      <c r="I361" s="186">
        <v>2.6986338713228399E-2</v>
      </c>
      <c r="J361" s="186">
        <f t="shared" si="17"/>
        <v>3.4694469519536142E-18</v>
      </c>
      <c r="K361" s="177" t="s">
        <v>9054</v>
      </c>
    </row>
    <row r="362" spans="1:11" ht="27" customHeight="1" x14ac:dyDescent="0.3">
      <c r="A362" s="180" t="s">
        <v>86</v>
      </c>
      <c r="B362" s="180">
        <v>2022</v>
      </c>
      <c r="C362" s="180">
        <v>18</v>
      </c>
      <c r="D362" s="180" t="s">
        <v>9077</v>
      </c>
      <c r="E362" s="187">
        <f>DGKC!E99</f>
        <v>2972.1319999999987</v>
      </c>
      <c r="F362" s="187">
        <f>DGKC!E37</f>
        <v>136562.01300000001</v>
      </c>
      <c r="G362" s="185">
        <f t="shared" si="15"/>
        <v>2.1763973265391149E-2</v>
      </c>
      <c r="H362" s="185">
        <f t="shared" si="16"/>
        <v>2.1763973265391149E-2</v>
      </c>
      <c r="I362" s="185">
        <v>2.1763973265391149E-2</v>
      </c>
      <c r="J362" s="185">
        <f t="shared" si="17"/>
        <v>0</v>
      </c>
      <c r="K362" s="180" t="s">
        <v>9054</v>
      </c>
    </row>
    <row r="363" spans="1:11" ht="27" customHeight="1" x14ac:dyDescent="0.3">
      <c r="A363" s="177" t="s">
        <v>86</v>
      </c>
      <c r="B363" s="177">
        <v>2023</v>
      </c>
      <c r="C363" s="177">
        <v>18</v>
      </c>
      <c r="D363" s="177" t="s">
        <v>9077</v>
      </c>
      <c r="E363" s="188">
        <f>DGKC!F99</f>
        <v>-3635.9759999999997</v>
      </c>
      <c r="F363" s="188">
        <f>DGKC!F37</f>
        <v>134713.25400000002</v>
      </c>
      <c r="G363" s="186">
        <f t="shared" si="15"/>
        <v>-2.6990484544304746E-2</v>
      </c>
      <c r="H363" s="186" t="str">
        <f t="shared" si="16"/>
        <v>n/m</v>
      </c>
      <c r="I363" s="186">
        <v>-2.6990484544304749E-2</v>
      </c>
      <c r="J363" s="186">
        <f t="shared" si="17"/>
        <v>3.4694469519536142E-18</v>
      </c>
      <c r="K363" s="177" t="s">
        <v>9054</v>
      </c>
    </row>
    <row r="364" spans="1:11" ht="27" customHeight="1" x14ac:dyDescent="0.3">
      <c r="A364" s="180" t="s">
        <v>86</v>
      </c>
      <c r="B364" s="180">
        <v>2024</v>
      </c>
      <c r="C364" s="180">
        <v>18</v>
      </c>
      <c r="D364" s="180" t="s">
        <v>9077</v>
      </c>
      <c r="E364" s="187">
        <f>DGKC!G99</f>
        <v>542.39600000000178</v>
      </c>
      <c r="F364" s="187">
        <f>DGKC!G37</f>
        <v>138385.75400000002</v>
      </c>
      <c r="G364" s="185">
        <f t="shared" si="15"/>
        <v>3.9194496855507379E-3</v>
      </c>
      <c r="H364" s="185">
        <f t="shared" si="16"/>
        <v>3.9194496855507379E-3</v>
      </c>
      <c r="I364" s="185">
        <v>3.919449685550744E-3</v>
      </c>
      <c r="J364" s="185">
        <f t="shared" si="17"/>
        <v>-6.0715321659188248E-18</v>
      </c>
      <c r="K364" s="180" t="s">
        <v>9054</v>
      </c>
    </row>
    <row r="365" spans="1:11" ht="27" customHeight="1" x14ac:dyDescent="0.3">
      <c r="A365" s="177" t="s">
        <v>86</v>
      </c>
      <c r="B365" s="177">
        <v>2025</v>
      </c>
      <c r="C365" s="177">
        <v>18</v>
      </c>
      <c r="D365" s="177" t="s">
        <v>9077</v>
      </c>
      <c r="E365" s="188">
        <f>DGKC!H99</f>
        <v>8675.0589999999993</v>
      </c>
      <c r="F365" s="188">
        <f>DGKC!H37</f>
        <v>145924.23499999999</v>
      </c>
      <c r="G365" s="186">
        <f t="shared" si="15"/>
        <v>5.9449062727654524E-2</v>
      </c>
      <c r="H365" s="186">
        <f t="shared" si="16"/>
        <v>5.9449062727654524E-2</v>
      </c>
      <c r="I365" s="186">
        <v>5.9449062727654538E-2</v>
      </c>
      <c r="J365" s="186">
        <f t="shared" si="17"/>
        <v>-1.3877787807814457E-17</v>
      </c>
      <c r="K365" s="177" t="s">
        <v>9054</v>
      </c>
    </row>
    <row r="366" spans="1:11" ht="27" customHeight="1" x14ac:dyDescent="0.3">
      <c r="A366" s="180" t="s">
        <v>86</v>
      </c>
      <c r="B366" s="180">
        <v>2021</v>
      </c>
      <c r="C366" s="180">
        <v>19</v>
      </c>
      <c r="D366" s="180" t="s">
        <v>9079</v>
      </c>
      <c r="E366" s="187">
        <f>DGKC!D99</f>
        <v>3721.2730000000006</v>
      </c>
      <c r="F366" s="187">
        <f>DGKC!D41</f>
        <v>73477.873000000007</v>
      </c>
      <c r="G366" s="185">
        <f t="shared" si="15"/>
        <v>5.0644811125656837E-2</v>
      </c>
      <c r="H366" s="185">
        <f t="shared" si="16"/>
        <v>5.0644811125656837E-2</v>
      </c>
      <c r="I366" s="185">
        <v>5.0644811125656823E-2</v>
      </c>
      <c r="J366" s="185">
        <f t="shared" si="17"/>
        <v>1.3877787807814457E-17</v>
      </c>
      <c r="K366" s="180" t="s">
        <v>9081</v>
      </c>
    </row>
    <row r="367" spans="1:11" ht="27" customHeight="1" x14ac:dyDescent="0.3">
      <c r="A367" s="177" t="s">
        <v>86</v>
      </c>
      <c r="B367" s="177">
        <v>2022</v>
      </c>
      <c r="C367" s="177">
        <v>19</v>
      </c>
      <c r="D367" s="177" t="s">
        <v>9079</v>
      </c>
      <c r="E367" s="188">
        <f>DGKC!E99</f>
        <v>2972.1319999999987</v>
      </c>
      <c r="F367" s="188">
        <f>DGKC!E41</f>
        <v>69918.101999999999</v>
      </c>
      <c r="G367" s="186">
        <f t="shared" si="15"/>
        <v>4.2508762609145177E-2</v>
      </c>
      <c r="H367" s="186">
        <f t="shared" si="16"/>
        <v>4.2508762609145177E-2</v>
      </c>
      <c r="I367" s="186">
        <v>4.2508762609145177E-2</v>
      </c>
      <c r="J367" s="186">
        <f t="shared" si="17"/>
        <v>0</v>
      </c>
      <c r="K367" s="177" t="s">
        <v>9081</v>
      </c>
    </row>
    <row r="368" spans="1:11" ht="27" customHeight="1" x14ac:dyDescent="0.3">
      <c r="A368" s="180" t="s">
        <v>86</v>
      </c>
      <c r="B368" s="180">
        <v>2023</v>
      </c>
      <c r="C368" s="180">
        <v>19</v>
      </c>
      <c r="D368" s="180" t="s">
        <v>9079</v>
      </c>
      <c r="E368" s="187">
        <f>DGKC!F99</f>
        <v>-3635.9759999999997</v>
      </c>
      <c r="F368" s="187">
        <f>DGKC!F41</f>
        <v>64192.277000000002</v>
      </c>
      <c r="G368" s="185">
        <f t="shared" si="15"/>
        <v>-5.6641953984589134E-2</v>
      </c>
      <c r="H368" s="185" t="str">
        <f t="shared" si="16"/>
        <v>n/m</v>
      </c>
      <c r="I368" s="185">
        <v>-5.6641953984589134E-2</v>
      </c>
      <c r="J368" s="185">
        <f t="shared" si="17"/>
        <v>0</v>
      </c>
      <c r="K368" s="180" t="s">
        <v>9081</v>
      </c>
    </row>
    <row r="369" spans="1:11" ht="27" customHeight="1" x14ac:dyDescent="0.3">
      <c r="A369" s="177" t="s">
        <v>86</v>
      </c>
      <c r="B369" s="177">
        <v>2024</v>
      </c>
      <c r="C369" s="177">
        <v>19</v>
      </c>
      <c r="D369" s="177" t="s">
        <v>9079</v>
      </c>
      <c r="E369" s="188">
        <f>DGKC!G99</f>
        <v>542.39600000000178</v>
      </c>
      <c r="F369" s="188">
        <f>DGKC!G41</f>
        <v>75847.538</v>
      </c>
      <c r="G369" s="186">
        <f t="shared" si="15"/>
        <v>7.1511352154898129E-3</v>
      </c>
      <c r="H369" s="186">
        <f t="shared" si="16"/>
        <v>7.1511352154898129E-3</v>
      </c>
      <c r="I369" s="186">
        <v>7.1511352154898251E-3</v>
      </c>
      <c r="J369" s="186">
        <f t="shared" si="17"/>
        <v>-1.214306433183765E-17</v>
      </c>
      <c r="K369" s="177" t="s">
        <v>9081</v>
      </c>
    </row>
    <row r="370" spans="1:11" ht="27" customHeight="1" x14ac:dyDescent="0.3">
      <c r="A370" s="180" t="s">
        <v>86</v>
      </c>
      <c r="B370" s="180">
        <v>2025</v>
      </c>
      <c r="C370" s="180">
        <v>19</v>
      </c>
      <c r="D370" s="180" t="s">
        <v>9079</v>
      </c>
      <c r="E370" s="187">
        <f>DGKC!H99</f>
        <v>8675.0589999999993</v>
      </c>
      <c r="F370" s="187">
        <f>DGKC!H41</f>
        <v>94667.478000000003</v>
      </c>
      <c r="G370" s="185">
        <f t="shared" si="15"/>
        <v>9.1637161813901913E-2</v>
      </c>
      <c r="H370" s="185">
        <f t="shared" si="16"/>
        <v>9.1637161813901913E-2</v>
      </c>
      <c r="I370" s="185">
        <v>9.1637161813901927E-2</v>
      </c>
      <c r="J370" s="185">
        <f t="shared" si="17"/>
        <v>-1.3877787807814457E-17</v>
      </c>
      <c r="K370" s="180" t="s">
        <v>9081</v>
      </c>
    </row>
    <row r="371" spans="1:11" ht="27" customHeight="1" x14ac:dyDescent="0.3">
      <c r="A371" s="177" t="s">
        <v>86</v>
      </c>
      <c r="B371" s="177">
        <v>2021</v>
      </c>
      <c r="C371" s="177">
        <v>20</v>
      </c>
      <c r="D371" s="177" t="s">
        <v>9082</v>
      </c>
      <c r="E371" s="188">
        <f>((DGKC!D96+DGKC!D106)*(1-(-DGKC!D97-DGKC!D98)/DGKC!D96))</f>
        <v>5972.182217883832</v>
      </c>
      <c r="F371" s="188">
        <f>DGKC!D70</f>
        <v>117270.69</v>
      </c>
      <c r="G371" s="186">
        <f t="shared" si="15"/>
        <v>5.0926469503026137E-2</v>
      </c>
      <c r="H371" s="186">
        <f t="shared" si="16"/>
        <v>5.0926469503026137E-2</v>
      </c>
      <c r="I371" s="186">
        <v>5.0926469503026116E-2</v>
      </c>
      <c r="J371" s="186">
        <f t="shared" si="17"/>
        <v>2.0816681711721685E-17</v>
      </c>
      <c r="K371" s="177" t="s">
        <v>9084</v>
      </c>
    </row>
    <row r="372" spans="1:11" ht="27" customHeight="1" x14ac:dyDescent="0.3">
      <c r="A372" s="180" t="s">
        <v>86</v>
      </c>
      <c r="B372" s="180">
        <v>2022</v>
      </c>
      <c r="C372" s="180">
        <v>20</v>
      </c>
      <c r="D372" s="180" t="s">
        <v>9082</v>
      </c>
      <c r="E372" s="187">
        <f>((DGKC!E96+DGKC!E106)*(1-(-DGKC!E97-DGKC!E98)/DGKC!E96))</f>
        <v>4722.2327928261584</v>
      </c>
      <c r="F372" s="187">
        <f>DGKC!E70</f>
        <v>116394.003</v>
      </c>
      <c r="G372" s="185">
        <f t="shared" si="15"/>
        <v>4.0571100495840479E-2</v>
      </c>
      <c r="H372" s="185">
        <f t="shared" si="16"/>
        <v>4.0571100495840479E-2</v>
      </c>
      <c r="I372" s="185">
        <v>4.0571100495840479E-2</v>
      </c>
      <c r="J372" s="185">
        <f t="shared" si="17"/>
        <v>0</v>
      </c>
      <c r="K372" s="180" t="s">
        <v>9084</v>
      </c>
    </row>
    <row r="373" spans="1:11" ht="27" customHeight="1" x14ac:dyDescent="0.3">
      <c r="A373" s="177" t="s">
        <v>86</v>
      </c>
      <c r="B373" s="177">
        <v>2023</v>
      </c>
      <c r="C373" s="177">
        <v>20</v>
      </c>
      <c r="D373" s="177" t="s">
        <v>9082</v>
      </c>
      <c r="E373" s="188">
        <f>((DGKC!F96+DGKC!F106)*(1-(-DGKC!F97-DGKC!F98)/DGKC!F96))</f>
        <v>-11343.33437356962</v>
      </c>
      <c r="F373" s="188">
        <f>DGKC!F70</f>
        <v>106720.55300000001</v>
      </c>
      <c r="G373" s="186">
        <f t="shared" si="15"/>
        <v>-0.10629006367282991</v>
      </c>
      <c r="H373" s="186" t="str">
        <f t="shared" si="16"/>
        <v>n/m</v>
      </c>
      <c r="I373" s="186">
        <v>-0.10629006367282992</v>
      </c>
      <c r="J373" s="186">
        <f t="shared" si="17"/>
        <v>1.3877787807814457E-17</v>
      </c>
      <c r="K373" s="177" t="s">
        <v>9084</v>
      </c>
    </row>
    <row r="374" spans="1:11" ht="27" customHeight="1" x14ac:dyDescent="0.3">
      <c r="A374" s="180" t="s">
        <v>86</v>
      </c>
      <c r="B374" s="180">
        <v>2024</v>
      </c>
      <c r="C374" s="180">
        <v>20</v>
      </c>
      <c r="D374" s="180" t="s">
        <v>9082</v>
      </c>
      <c r="E374" s="187">
        <f>((DGKC!G96+DGKC!G106)*(1-(-DGKC!G97-DGKC!G98)/DGKC!G96))</f>
        <v>2056.5251436812068</v>
      </c>
      <c r="F374" s="187">
        <f>DGKC!G70</f>
        <v>110169.34400000001</v>
      </c>
      <c r="G374" s="185">
        <f t="shared" si="15"/>
        <v>1.8666945531428475E-2</v>
      </c>
      <c r="H374" s="185">
        <f t="shared" si="16"/>
        <v>1.8666945531428475E-2</v>
      </c>
      <c r="I374" s="185">
        <v>1.8666945531428503E-2</v>
      </c>
      <c r="J374" s="185">
        <f t="shared" si="17"/>
        <v>-2.7755575615628914E-17</v>
      </c>
      <c r="K374" s="180" t="s">
        <v>9084</v>
      </c>
    </row>
    <row r="375" spans="1:11" ht="27" customHeight="1" x14ac:dyDescent="0.3">
      <c r="A375" s="177" t="s">
        <v>86</v>
      </c>
      <c r="B375" s="177">
        <v>2025</v>
      </c>
      <c r="C375" s="177">
        <v>20</v>
      </c>
      <c r="D375" s="177" t="s">
        <v>9082</v>
      </c>
      <c r="E375" s="188">
        <f>((DGKC!H96+DGKC!H106)*(1-(-DGKC!H97-DGKC!H98)/DGKC!H96))</f>
        <v>11221.110353736964</v>
      </c>
      <c r="F375" s="188">
        <f>DGKC!H70</f>
        <v>116574.57800000001</v>
      </c>
      <c r="G375" s="186">
        <f t="shared" si="15"/>
        <v>9.6256924504903307E-2</v>
      </c>
      <c r="H375" s="186">
        <f t="shared" si="16"/>
        <v>9.6256924504903307E-2</v>
      </c>
      <c r="I375" s="186">
        <v>9.6256924504903363E-2</v>
      </c>
      <c r="J375" s="186">
        <f t="shared" si="17"/>
        <v>-5.5511151231257827E-17</v>
      </c>
      <c r="K375" s="177" t="s">
        <v>9084</v>
      </c>
    </row>
    <row r="376" spans="1:11" ht="27" customHeight="1" x14ac:dyDescent="0.3">
      <c r="A376" s="180" t="s">
        <v>86</v>
      </c>
      <c r="B376" s="180">
        <v>2021</v>
      </c>
      <c r="C376" s="180">
        <v>21</v>
      </c>
      <c r="D376" s="180" t="s">
        <v>9086</v>
      </c>
      <c r="E376" s="187">
        <f>(DGKC!D96+DGKC!D106)</f>
        <v>7657.514000000001</v>
      </c>
      <c r="F376" s="187">
        <f>DGKC!D37</f>
        <v>137894.69700000001</v>
      </c>
      <c r="G376" s="185">
        <f t="shared" si="15"/>
        <v>5.5531606121154903E-2</v>
      </c>
      <c r="H376" s="185">
        <f t="shared" si="16"/>
        <v>5.5531606121154903E-2</v>
      </c>
      <c r="I376" s="185">
        <v>5.5531606121154896E-2</v>
      </c>
      <c r="J376" s="185">
        <f t="shared" si="17"/>
        <v>6.9388939039072284E-18</v>
      </c>
      <c r="K376" s="180" t="s">
        <v>9054</v>
      </c>
    </row>
    <row r="377" spans="1:11" ht="27" customHeight="1" x14ac:dyDescent="0.3">
      <c r="A377" s="177" t="s">
        <v>86</v>
      </c>
      <c r="B377" s="177">
        <v>2022</v>
      </c>
      <c r="C377" s="177">
        <v>21</v>
      </c>
      <c r="D377" s="177" t="s">
        <v>9086</v>
      </c>
      <c r="E377" s="188">
        <f>(DGKC!E96+DGKC!E106)</f>
        <v>9564.4179999999978</v>
      </c>
      <c r="F377" s="188">
        <f>DGKC!E37</f>
        <v>136562.01300000001</v>
      </c>
      <c r="G377" s="186">
        <f t="shared" si="15"/>
        <v>7.0037177908325046E-2</v>
      </c>
      <c r="H377" s="186">
        <f t="shared" si="16"/>
        <v>7.0037177908325046E-2</v>
      </c>
      <c r="I377" s="186">
        <v>7.0037177908325046E-2</v>
      </c>
      <c r="J377" s="186">
        <f t="shared" si="17"/>
        <v>0</v>
      </c>
      <c r="K377" s="177" t="s">
        <v>9054</v>
      </c>
    </row>
    <row r="378" spans="1:11" ht="27" customHeight="1" x14ac:dyDescent="0.3">
      <c r="A378" s="180" t="s">
        <v>86</v>
      </c>
      <c r="B378" s="180">
        <v>2023</v>
      </c>
      <c r="C378" s="180">
        <v>21</v>
      </c>
      <c r="D378" s="180" t="s">
        <v>9086</v>
      </c>
      <c r="E378" s="187">
        <f>(DGKC!F96+DGKC!F106)</f>
        <v>9866.3420000000006</v>
      </c>
      <c r="F378" s="187">
        <f>DGKC!F37</f>
        <v>134713.25400000002</v>
      </c>
      <c r="G378" s="185">
        <f t="shared" si="15"/>
        <v>7.3239578935566346E-2</v>
      </c>
      <c r="H378" s="185">
        <f t="shared" si="16"/>
        <v>7.3239578935566346E-2</v>
      </c>
      <c r="I378" s="185">
        <v>7.323957893556636E-2</v>
      </c>
      <c r="J378" s="185">
        <f t="shared" si="17"/>
        <v>-1.3877787807814457E-17</v>
      </c>
      <c r="K378" s="180" t="s">
        <v>9054</v>
      </c>
    </row>
    <row r="379" spans="1:11" ht="27" customHeight="1" x14ac:dyDescent="0.3">
      <c r="A379" s="177" t="s">
        <v>86</v>
      </c>
      <c r="B379" s="177">
        <v>2024</v>
      </c>
      <c r="C379" s="177">
        <v>21</v>
      </c>
      <c r="D379" s="177" t="s">
        <v>9086</v>
      </c>
      <c r="E379" s="188">
        <f>(DGKC!G96+DGKC!G106)</f>
        <v>10763.888000000001</v>
      </c>
      <c r="F379" s="188">
        <f>DGKC!G37</f>
        <v>138385.75400000002</v>
      </c>
      <c r="G379" s="186">
        <f t="shared" si="15"/>
        <v>7.7781763576617868E-2</v>
      </c>
      <c r="H379" s="186">
        <f t="shared" si="16"/>
        <v>7.7781763576617868E-2</v>
      </c>
      <c r="I379" s="186">
        <v>7.7781763576617882E-2</v>
      </c>
      <c r="J379" s="186">
        <f t="shared" si="17"/>
        <v>-1.3877787807814457E-17</v>
      </c>
      <c r="K379" s="177" t="s">
        <v>9054</v>
      </c>
    </row>
    <row r="380" spans="1:11" ht="27" customHeight="1" x14ac:dyDescent="0.3">
      <c r="A380" s="180" t="s">
        <v>86</v>
      </c>
      <c r="B380" s="180">
        <v>2025</v>
      </c>
      <c r="C380" s="180">
        <v>21</v>
      </c>
      <c r="D380" s="180" t="s">
        <v>9086</v>
      </c>
      <c r="E380" s="187">
        <f>(DGKC!H96+DGKC!H106)</f>
        <v>16821.347999999998</v>
      </c>
      <c r="F380" s="187">
        <f>DGKC!H37</f>
        <v>145924.23499999999</v>
      </c>
      <c r="G380" s="185">
        <f t="shared" si="15"/>
        <v>0.11527453270527682</v>
      </c>
      <c r="H380" s="185">
        <f t="shared" si="16"/>
        <v>0.11527453270527682</v>
      </c>
      <c r="I380" s="185">
        <v>0.11527453270527684</v>
      </c>
      <c r="J380" s="185">
        <f t="shared" si="17"/>
        <v>-1.3877787807814457E-17</v>
      </c>
      <c r="K380" s="180" t="s">
        <v>9054</v>
      </c>
    </row>
    <row r="381" spans="1:11" ht="27" customHeight="1" x14ac:dyDescent="0.3">
      <c r="A381" s="177" t="s">
        <v>86</v>
      </c>
      <c r="B381" s="177">
        <v>2021</v>
      </c>
      <c r="C381" s="177">
        <v>22</v>
      </c>
      <c r="D381" s="177" t="s">
        <v>9088</v>
      </c>
      <c r="E381" s="188">
        <f>DGKC!D99</f>
        <v>3721.2730000000006</v>
      </c>
      <c r="F381" s="188">
        <f>DGKC!D129</f>
        <v>438.11911800000001</v>
      </c>
      <c r="G381" s="186">
        <f t="shared" si="15"/>
        <v>8.4937471274650029</v>
      </c>
      <c r="H381" s="186">
        <f t="shared" si="16"/>
        <v>8.4937471274650029</v>
      </c>
      <c r="I381" s="186">
        <v>8.4937471274650012</v>
      </c>
      <c r="J381" s="186">
        <f t="shared" si="17"/>
        <v>1.7763568394002505E-15</v>
      </c>
      <c r="K381" s="177" t="s">
        <v>9090</v>
      </c>
    </row>
    <row r="382" spans="1:11" ht="27" customHeight="1" x14ac:dyDescent="0.3">
      <c r="A382" s="180" t="s">
        <v>86</v>
      </c>
      <c r="B382" s="180">
        <v>2022</v>
      </c>
      <c r="C382" s="180">
        <v>22</v>
      </c>
      <c r="D382" s="180" t="s">
        <v>9088</v>
      </c>
      <c r="E382" s="187">
        <f>DGKC!E99</f>
        <v>2972.1319999999987</v>
      </c>
      <c r="F382" s="187">
        <f>DGKC!E129</f>
        <v>438.11911800000001</v>
      </c>
      <c r="G382" s="185">
        <f t="shared" si="15"/>
        <v>6.7838445707817723</v>
      </c>
      <c r="H382" s="185">
        <f t="shared" si="16"/>
        <v>6.7838445707817723</v>
      </c>
      <c r="I382" s="185">
        <v>6.7838445707817723</v>
      </c>
      <c r="J382" s="185">
        <f t="shared" si="17"/>
        <v>0</v>
      </c>
      <c r="K382" s="180" t="s">
        <v>9090</v>
      </c>
    </row>
    <row r="383" spans="1:11" ht="27" customHeight="1" x14ac:dyDescent="0.3">
      <c r="A383" s="177" t="s">
        <v>86</v>
      </c>
      <c r="B383" s="177">
        <v>2023</v>
      </c>
      <c r="C383" s="177">
        <v>22</v>
      </c>
      <c r="D383" s="177" t="s">
        <v>9088</v>
      </c>
      <c r="E383" s="188">
        <f>DGKC!F99</f>
        <v>-3635.9759999999997</v>
      </c>
      <c r="F383" s="188">
        <f>DGKC!F129</f>
        <v>438.11911800000001</v>
      </c>
      <c r="G383" s="186">
        <f t="shared" si="15"/>
        <v>-8.2990580657564443</v>
      </c>
      <c r="H383" s="186" t="str">
        <f t="shared" si="16"/>
        <v>n/m</v>
      </c>
      <c r="I383" s="186">
        <v>-8.2990580657564443</v>
      </c>
      <c r="J383" s="186">
        <f t="shared" si="17"/>
        <v>0</v>
      </c>
      <c r="K383" s="177" t="s">
        <v>9090</v>
      </c>
    </row>
    <row r="384" spans="1:11" ht="27" customHeight="1" x14ac:dyDescent="0.3">
      <c r="A384" s="180" t="s">
        <v>86</v>
      </c>
      <c r="B384" s="180">
        <v>2024</v>
      </c>
      <c r="C384" s="180">
        <v>22</v>
      </c>
      <c r="D384" s="180" t="s">
        <v>9088</v>
      </c>
      <c r="E384" s="187">
        <f>DGKC!G99</f>
        <v>542.39600000000178</v>
      </c>
      <c r="F384" s="187">
        <f>DGKC!G129</f>
        <v>438.11911800000001</v>
      </c>
      <c r="G384" s="185">
        <f t="shared" si="15"/>
        <v>1.2380103440270365</v>
      </c>
      <c r="H384" s="185">
        <f t="shared" si="16"/>
        <v>1.2380103440270365</v>
      </c>
      <c r="I384" s="185">
        <v>1.2380103440270385</v>
      </c>
      <c r="J384" s="185">
        <f t="shared" si="17"/>
        <v>-1.9984014443252818E-15</v>
      </c>
      <c r="K384" s="180" t="s">
        <v>9090</v>
      </c>
    </row>
    <row r="385" spans="1:11" ht="27" customHeight="1" x14ac:dyDescent="0.3">
      <c r="A385" s="177" t="s">
        <v>86</v>
      </c>
      <c r="B385" s="177">
        <v>2025</v>
      </c>
      <c r="C385" s="177">
        <v>22</v>
      </c>
      <c r="D385" s="177" t="s">
        <v>9088</v>
      </c>
      <c r="E385" s="188">
        <f>DGKC!H99</f>
        <v>8675.0589999999993</v>
      </c>
      <c r="F385" s="188">
        <f>DGKC!H129</f>
        <v>438.11911800000001</v>
      </c>
      <c r="G385" s="186">
        <f t="shared" si="15"/>
        <v>19.800685803443983</v>
      </c>
      <c r="H385" s="186">
        <f t="shared" si="16"/>
        <v>19.800685803443983</v>
      </c>
      <c r="I385" s="186">
        <v>19.800685803443987</v>
      </c>
      <c r="J385" s="186">
        <f t="shared" si="17"/>
        <v>-3.5527136788005009E-15</v>
      </c>
      <c r="K385" s="177" t="s">
        <v>9090</v>
      </c>
    </row>
    <row r="386" spans="1:11" ht="27" customHeight="1" x14ac:dyDescent="0.3">
      <c r="A386" s="180" t="s">
        <v>86</v>
      </c>
      <c r="B386" s="180">
        <v>2021</v>
      </c>
      <c r="C386" s="180">
        <v>23</v>
      </c>
      <c r="D386" s="180" t="s">
        <v>9091</v>
      </c>
      <c r="E386" s="187">
        <f>DGKC!D41</f>
        <v>73477.873000000007</v>
      </c>
      <c r="F386" s="187">
        <f>DGKC!D128</f>
        <v>438.1191</v>
      </c>
      <c r="G386" s="185">
        <f t="shared" si="15"/>
        <v>167.71209700741193</v>
      </c>
      <c r="H386" s="185">
        <f t="shared" si="16"/>
        <v>167.71209700741193</v>
      </c>
      <c r="I386" s="185">
        <v>167.71209700741193</v>
      </c>
      <c r="J386" s="185">
        <f t="shared" si="17"/>
        <v>0</v>
      </c>
      <c r="K386" s="180" t="s">
        <v>9093</v>
      </c>
    </row>
    <row r="387" spans="1:11" ht="27" customHeight="1" x14ac:dyDescent="0.3">
      <c r="A387" s="177" t="s">
        <v>86</v>
      </c>
      <c r="B387" s="177">
        <v>2022</v>
      </c>
      <c r="C387" s="177">
        <v>23</v>
      </c>
      <c r="D387" s="177" t="s">
        <v>9091</v>
      </c>
      <c r="E387" s="188">
        <f>DGKC!E41</f>
        <v>69918.101999999999</v>
      </c>
      <c r="F387" s="188">
        <f>DGKC!E128</f>
        <v>438.1191</v>
      </c>
      <c r="G387" s="186">
        <f t="shared" si="15"/>
        <v>159.58697532246367</v>
      </c>
      <c r="H387" s="186">
        <f t="shared" si="16"/>
        <v>159.58697532246367</v>
      </c>
      <c r="I387" s="186">
        <v>159.58697532246367</v>
      </c>
      <c r="J387" s="186">
        <f t="shared" si="17"/>
        <v>0</v>
      </c>
      <c r="K387" s="177" t="s">
        <v>9093</v>
      </c>
    </row>
    <row r="388" spans="1:11" ht="27" customHeight="1" x14ac:dyDescent="0.3">
      <c r="A388" s="180" t="s">
        <v>86</v>
      </c>
      <c r="B388" s="180">
        <v>2023</v>
      </c>
      <c r="C388" s="180">
        <v>23</v>
      </c>
      <c r="D388" s="180" t="s">
        <v>9091</v>
      </c>
      <c r="E388" s="187">
        <f>DGKC!F41</f>
        <v>64192.277000000002</v>
      </c>
      <c r="F388" s="187">
        <f>DGKC!F128</f>
        <v>438.1191</v>
      </c>
      <c r="G388" s="185">
        <f t="shared" si="15"/>
        <v>146.51786922779672</v>
      </c>
      <c r="H388" s="185">
        <f t="shared" si="16"/>
        <v>146.51786922779672</v>
      </c>
      <c r="I388" s="185">
        <v>146.51786922779672</v>
      </c>
      <c r="J388" s="185">
        <f t="shared" si="17"/>
        <v>0</v>
      </c>
      <c r="K388" s="180" t="s">
        <v>9093</v>
      </c>
    </row>
    <row r="389" spans="1:11" ht="27" customHeight="1" x14ac:dyDescent="0.3">
      <c r="A389" s="177" t="s">
        <v>86</v>
      </c>
      <c r="B389" s="177">
        <v>2024</v>
      </c>
      <c r="C389" s="177">
        <v>23</v>
      </c>
      <c r="D389" s="177" t="s">
        <v>9091</v>
      </c>
      <c r="E389" s="188">
        <f>DGKC!G41</f>
        <v>75847.538</v>
      </c>
      <c r="F389" s="188">
        <f>DGKC!G128</f>
        <v>438.1191</v>
      </c>
      <c r="G389" s="186">
        <f t="shared" si="15"/>
        <v>173.12082034314415</v>
      </c>
      <c r="H389" s="186">
        <f t="shared" si="16"/>
        <v>173.12082034314415</v>
      </c>
      <c r="I389" s="186">
        <v>173.12082034314415</v>
      </c>
      <c r="J389" s="186">
        <f t="shared" si="17"/>
        <v>0</v>
      </c>
      <c r="K389" s="177" t="s">
        <v>9093</v>
      </c>
    </row>
    <row r="390" spans="1:11" ht="27" customHeight="1" x14ac:dyDescent="0.3">
      <c r="A390" s="180" t="s">
        <v>86</v>
      </c>
      <c r="B390" s="180">
        <v>2025</v>
      </c>
      <c r="C390" s="180">
        <v>23</v>
      </c>
      <c r="D390" s="180" t="s">
        <v>9091</v>
      </c>
      <c r="E390" s="187">
        <f>DGKC!H41</f>
        <v>94667.478000000003</v>
      </c>
      <c r="F390" s="187">
        <f>DGKC!H128</f>
        <v>438.1191</v>
      </c>
      <c r="G390" s="185">
        <f t="shared" ref="G390:G453" si="18">IF(OR(NOT(ISNUMBER(E390)),NOT(ISNUMBER(F390)),F390=0),"n/m",E390/F390)</f>
        <v>216.07703932560804</v>
      </c>
      <c r="H390" s="185">
        <f t="shared" ref="H390:H453" si="19">IF(OR(NOT(ISNUMBER(E390)),NOT(ISNUMBER(F390))),"n/m",IF(OR((F390)&lt;=0,(E390)&lt;0),"n/m",(E390)/(F390)))</f>
        <v>216.07703932560804</v>
      </c>
      <c r="I390" s="185">
        <v>216.07703932560804</v>
      </c>
      <c r="J390" s="185">
        <f t="shared" ref="J390:J453" si="20">IF(AND(ISNUMBER(G390),ISNUMBER(I390)),G390-I390,IF(G390=I390,0,"Review"))</f>
        <v>0</v>
      </c>
      <c r="K390" s="180" t="s">
        <v>9093</v>
      </c>
    </row>
    <row r="391" spans="1:11" ht="27" customHeight="1" x14ac:dyDescent="0.3">
      <c r="A391" s="177" t="s">
        <v>86</v>
      </c>
      <c r="B391" s="177">
        <v>2021</v>
      </c>
      <c r="C391" s="177">
        <v>24</v>
      </c>
      <c r="D391" s="177" t="s">
        <v>9094</v>
      </c>
      <c r="E391" s="188">
        <f>DGKC!D130</f>
        <v>117.92</v>
      </c>
      <c r="F391" s="188">
        <f>DGKC!D99/DGKC!D129</f>
        <v>8.4937471274650029</v>
      </c>
      <c r="G391" s="186">
        <f t="shared" si="18"/>
        <v>13.883154069739035</v>
      </c>
      <c r="H391" s="186">
        <f t="shared" si="19"/>
        <v>13.883154069739035</v>
      </c>
      <c r="I391" s="186">
        <v>13.883154069739039</v>
      </c>
      <c r="J391" s="186">
        <f t="shared" si="20"/>
        <v>-3.5527136788005009E-15</v>
      </c>
      <c r="K391" s="177" t="s">
        <v>9096</v>
      </c>
    </row>
    <row r="392" spans="1:11" ht="27" customHeight="1" x14ac:dyDescent="0.3">
      <c r="A392" s="180" t="s">
        <v>86</v>
      </c>
      <c r="B392" s="180">
        <v>2022</v>
      </c>
      <c r="C392" s="180">
        <v>24</v>
      </c>
      <c r="D392" s="180" t="s">
        <v>9094</v>
      </c>
      <c r="E392" s="187">
        <f>DGKC!E130</f>
        <v>62.5</v>
      </c>
      <c r="F392" s="187">
        <f>DGKC!E99/DGKC!E129</f>
        <v>6.7838445707817723</v>
      </c>
      <c r="G392" s="185">
        <f t="shared" si="18"/>
        <v>9.2130648554640278</v>
      </c>
      <c r="H392" s="185">
        <f t="shared" si="19"/>
        <v>9.2130648554640278</v>
      </c>
      <c r="I392" s="185">
        <v>9.2130648554640278</v>
      </c>
      <c r="J392" s="185">
        <f t="shared" si="20"/>
        <v>0</v>
      </c>
      <c r="K392" s="180" t="s">
        <v>9096</v>
      </c>
    </row>
    <row r="393" spans="1:11" ht="27" customHeight="1" x14ac:dyDescent="0.3">
      <c r="A393" s="177" t="s">
        <v>86</v>
      </c>
      <c r="B393" s="177">
        <v>2023</v>
      </c>
      <c r="C393" s="177">
        <v>24</v>
      </c>
      <c r="D393" s="177" t="s">
        <v>9094</v>
      </c>
      <c r="E393" s="188">
        <f>DGKC!F130</f>
        <v>51.3</v>
      </c>
      <c r="F393" s="188">
        <f>DGKC!F99/DGKC!F129</f>
        <v>-8.2990580657564443</v>
      </c>
      <c r="G393" s="186">
        <f t="shared" si="18"/>
        <v>-6.1814243970257232</v>
      </c>
      <c r="H393" s="186" t="str">
        <f t="shared" si="19"/>
        <v>n/m</v>
      </c>
      <c r="I393" s="186">
        <v>-6.1814243970257232</v>
      </c>
      <c r="J393" s="186">
        <f t="shared" si="20"/>
        <v>0</v>
      </c>
      <c r="K393" s="177" t="s">
        <v>9096</v>
      </c>
    </row>
    <row r="394" spans="1:11" ht="27" customHeight="1" x14ac:dyDescent="0.3">
      <c r="A394" s="180" t="s">
        <v>86</v>
      </c>
      <c r="B394" s="180">
        <v>2024</v>
      </c>
      <c r="C394" s="180">
        <v>24</v>
      </c>
      <c r="D394" s="180" t="s">
        <v>9094</v>
      </c>
      <c r="E394" s="187">
        <f>DGKC!G130</f>
        <v>90.27</v>
      </c>
      <c r="F394" s="187">
        <f>DGKC!G99/DGKC!G129</f>
        <v>1.2380103440270365</v>
      </c>
      <c r="G394" s="185">
        <f t="shared" si="18"/>
        <v>72.91538429829842</v>
      </c>
      <c r="H394" s="185">
        <f t="shared" si="19"/>
        <v>72.91538429829842</v>
      </c>
      <c r="I394" s="185">
        <v>72.915384298298292</v>
      </c>
      <c r="J394" s="185">
        <f t="shared" si="20"/>
        <v>1.2789769243681803E-13</v>
      </c>
      <c r="K394" s="180" t="s">
        <v>9096</v>
      </c>
    </row>
    <row r="395" spans="1:11" ht="27" customHeight="1" x14ac:dyDescent="0.3">
      <c r="A395" s="177" t="s">
        <v>86</v>
      </c>
      <c r="B395" s="177">
        <v>2025</v>
      </c>
      <c r="C395" s="177">
        <v>24</v>
      </c>
      <c r="D395" s="177" t="s">
        <v>9094</v>
      </c>
      <c r="E395" s="188">
        <f>DGKC!H130</f>
        <v>165.56</v>
      </c>
      <c r="F395" s="188">
        <f>DGKC!H99/DGKC!H129</f>
        <v>19.800685803443983</v>
      </c>
      <c r="G395" s="186">
        <f t="shared" si="18"/>
        <v>8.3613265542147914</v>
      </c>
      <c r="H395" s="186">
        <f t="shared" si="19"/>
        <v>8.3613265542147914</v>
      </c>
      <c r="I395" s="186">
        <v>8.3613265542147897</v>
      </c>
      <c r="J395" s="186">
        <f t="shared" si="20"/>
        <v>1.7763568394002505E-15</v>
      </c>
      <c r="K395" s="177" t="s">
        <v>9096</v>
      </c>
    </row>
    <row r="396" spans="1:11" ht="27" customHeight="1" x14ac:dyDescent="0.3">
      <c r="A396" s="180" t="s">
        <v>86</v>
      </c>
      <c r="B396" s="180">
        <v>2021</v>
      </c>
      <c r="C396" s="180">
        <v>25</v>
      </c>
      <c r="D396" s="180" t="s">
        <v>9097</v>
      </c>
      <c r="E396" s="187">
        <f>DGKC!D130</f>
        <v>117.92</v>
      </c>
      <c r="F396" s="187">
        <f>DGKC!D41/DGKC!D128</f>
        <v>167.71209700741193</v>
      </c>
      <c r="G396" s="185">
        <f t="shared" si="18"/>
        <v>0.7031096868032638</v>
      </c>
      <c r="H396" s="185">
        <f t="shared" si="19"/>
        <v>0.7031096868032638</v>
      </c>
      <c r="I396" s="185">
        <v>0.7031096868032638</v>
      </c>
      <c r="J396" s="185">
        <f t="shared" si="20"/>
        <v>0</v>
      </c>
      <c r="K396" s="180" t="s">
        <v>9096</v>
      </c>
    </row>
    <row r="397" spans="1:11" ht="27" customHeight="1" x14ac:dyDescent="0.3">
      <c r="A397" s="177" t="s">
        <v>86</v>
      </c>
      <c r="B397" s="177">
        <v>2022</v>
      </c>
      <c r="C397" s="177">
        <v>25</v>
      </c>
      <c r="D397" s="177" t="s">
        <v>9097</v>
      </c>
      <c r="E397" s="188">
        <f>DGKC!E130</f>
        <v>62.5</v>
      </c>
      <c r="F397" s="188">
        <f>DGKC!E41/DGKC!E128</f>
        <v>159.58697532246367</v>
      </c>
      <c r="G397" s="186">
        <f t="shared" si="18"/>
        <v>0.39163597075332512</v>
      </c>
      <c r="H397" s="186">
        <f t="shared" si="19"/>
        <v>0.39163597075332512</v>
      </c>
      <c r="I397" s="186">
        <v>0.39163597075332512</v>
      </c>
      <c r="J397" s="186">
        <f t="shared" si="20"/>
        <v>0</v>
      </c>
      <c r="K397" s="177" t="s">
        <v>9096</v>
      </c>
    </row>
    <row r="398" spans="1:11" ht="27" customHeight="1" x14ac:dyDescent="0.3">
      <c r="A398" s="180" t="s">
        <v>86</v>
      </c>
      <c r="B398" s="180">
        <v>2023</v>
      </c>
      <c r="C398" s="180">
        <v>25</v>
      </c>
      <c r="D398" s="180" t="s">
        <v>9097</v>
      </c>
      <c r="E398" s="187">
        <f>DGKC!F130</f>
        <v>51.3</v>
      </c>
      <c r="F398" s="187">
        <f>DGKC!F41/DGKC!F128</f>
        <v>146.51786922779672</v>
      </c>
      <c r="G398" s="185">
        <f t="shared" si="18"/>
        <v>0.35012794187063967</v>
      </c>
      <c r="H398" s="185">
        <f t="shared" si="19"/>
        <v>0.35012794187063967</v>
      </c>
      <c r="I398" s="185">
        <v>0.35012794187063967</v>
      </c>
      <c r="J398" s="185">
        <f t="shared" si="20"/>
        <v>0</v>
      </c>
      <c r="K398" s="180" t="s">
        <v>9096</v>
      </c>
    </row>
    <row r="399" spans="1:11" ht="27" customHeight="1" x14ac:dyDescent="0.3">
      <c r="A399" s="177" t="s">
        <v>86</v>
      </c>
      <c r="B399" s="177">
        <v>2024</v>
      </c>
      <c r="C399" s="177">
        <v>25</v>
      </c>
      <c r="D399" s="177" t="s">
        <v>9097</v>
      </c>
      <c r="E399" s="188">
        <f>DGKC!G130</f>
        <v>90.27</v>
      </c>
      <c r="F399" s="188">
        <f>DGKC!G41/DGKC!G128</f>
        <v>173.12082034314415</v>
      </c>
      <c r="G399" s="186">
        <f t="shared" si="18"/>
        <v>0.52142775098382221</v>
      </c>
      <c r="H399" s="186">
        <f t="shared" si="19"/>
        <v>0.52142775098382221</v>
      </c>
      <c r="I399" s="186">
        <v>0.52142775098382221</v>
      </c>
      <c r="J399" s="186">
        <f t="shared" si="20"/>
        <v>0</v>
      </c>
      <c r="K399" s="177" t="s">
        <v>9096</v>
      </c>
    </row>
    <row r="400" spans="1:11" ht="27" customHeight="1" x14ac:dyDescent="0.3">
      <c r="A400" s="180" t="s">
        <v>86</v>
      </c>
      <c r="B400" s="180">
        <v>2025</v>
      </c>
      <c r="C400" s="180">
        <v>25</v>
      </c>
      <c r="D400" s="180" t="s">
        <v>9097</v>
      </c>
      <c r="E400" s="187">
        <f>DGKC!H130</f>
        <v>165.56</v>
      </c>
      <c r="F400" s="187">
        <f>DGKC!H41/DGKC!H128</f>
        <v>216.07703932560804</v>
      </c>
      <c r="G400" s="185">
        <f t="shared" si="18"/>
        <v>0.76620820294800718</v>
      </c>
      <c r="H400" s="185">
        <f t="shared" si="19"/>
        <v>0.76620820294800718</v>
      </c>
      <c r="I400" s="185">
        <v>0.76620820294800718</v>
      </c>
      <c r="J400" s="185">
        <f t="shared" si="20"/>
        <v>0</v>
      </c>
      <c r="K400" s="180" t="s">
        <v>9096</v>
      </c>
    </row>
    <row r="401" spans="1:11" ht="27" customHeight="1" x14ac:dyDescent="0.3">
      <c r="A401" s="177" t="s">
        <v>86</v>
      </c>
      <c r="B401" s="177">
        <v>2021</v>
      </c>
      <c r="C401" s="177">
        <v>26</v>
      </c>
      <c r="D401" s="177" t="s">
        <v>9099</v>
      </c>
      <c r="E401" s="188">
        <f>DGKC!D131</f>
        <v>1</v>
      </c>
      <c r="F401" s="188">
        <f>DGKC!D130</f>
        <v>117.92</v>
      </c>
      <c r="G401" s="186">
        <f t="shared" si="18"/>
        <v>8.4803256445047485E-3</v>
      </c>
      <c r="H401" s="186">
        <f t="shared" si="19"/>
        <v>8.4803256445047485E-3</v>
      </c>
      <c r="I401" s="186">
        <v>8.4803256445047485E-3</v>
      </c>
      <c r="J401" s="186">
        <f t="shared" si="20"/>
        <v>0</v>
      </c>
      <c r="K401" s="177" t="s">
        <v>9101</v>
      </c>
    </row>
    <row r="402" spans="1:11" ht="27" customHeight="1" x14ac:dyDescent="0.3">
      <c r="A402" s="180" t="s">
        <v>86</v>
      </c>
      <c r="B402" s="180">
        <v>2022</v>
      </c>
      <c r="C402" s="180">
        <v>26</v>
      </c>
      <c r="D402" s="180" t="s">
        <v>9099</v>
      </c>
      <c r="E402" s="187">
        <f>DGKC!E131</f>
        <v>1</v>
      </c>
      <c r="F402" s="187">
        <f>DGKC!E130</f>
        <v>62.5</v>
      </c>
      <c r="G402" s="185">
        <f t="shared" si="18"/>
        <v>1.6E-2</v>
      </c>
      <c r="H402" s="185">
        <f t="shared" si="19"/>
        <v>1.6E-2</v>
      </c>
      <c r="I402" s="185">
        <v>1.6E-2</v>
      </c>
      <c r="J402" s="185">
        <f t="shared" si="20"/>
        <v>0</v>
      </c>
      <c r="K402" s="180" t="s">
        <v>9101</v>
      </c>
    </row>
    <row r="403" spans="1:11" ht="27" customHeight="1" x14ac:dyDescent="0.3">
      <c r="A403" s="177" t="s">
        <v>86</v>
      </c>
      <c r="B403" s="177">
        <v>2023</v>
      </c>
      <c r="C403" s="177">
        <v>26</v>
      </c>
      <c r="D403" s="177" t="s">
        <v>9099</v>
      </c>
      <c r="E403" s="188">
        <f>DGKC!F131</f>
        <v>0</v>
      </c>
      <c r="F403" s="188">
        <f>DGKC!F130</f>
        <v>51.3</v>
      </c>
      <c r="G403" s="186">
        <f t="shared" si="18"/>
        <v>0</v>
      </c>
      <c r="H403" s="186">
        <f t="shared" si="19"/>
        <v>0</v>
      </c>
      <c r="I403" s="186">
        <v>0</v>
      </c>
      <c r="J403" s="186">
        <f t="shared" si="20"/>
        <v>0</v>
      </c>
      <c r="K403" s="177" t="s">
        <v>9101</v>
      </c>
    </row>
    <row r="404" spans="1:11" ht="27" customHeight="1" x14ac:dyDescent="0.3">
      <c r="A404" s="180" t="s">
        <v>86</v>
      </c>
      <c r="B404" s="180">
        <v>2024</v>
      </c>
      <c r="C404" s="180">
        <v>26</v>
      </c>
      <c r="D404" s="180" t="s">
        <v>9099</v>
      </c>
      <c r="E404" s="187">
        <f>DGKC!G131</f>
        <v>0</v>
      </c>
      <c r="F404" s="187">
        <f>DGKC!G130</f>
        <v>90.27</v>
      </c>
      <c r="G404" s="185">
        <f t="shared" si="18"/>
        <v>0</v>
      </c>
      <c r="H404" s="185">
        <f t="shared" si="19"/>
        <v>0</v>
      </c>
      <c r="I404" s="185">
        <v>0</v>
      </c>
      <c r="J404" s="185">
        <f t="shared" si="20"/>
        <v>0</v>
      </c>
      <c r="K404" s="180" t="s">
        <v>9101</v>
      </c>
    </row>
    <row r="405" spans="1:11" ht="27" customHeight="1" x14ac:dyDescent="0.3">
      <c r="A405" s="177" t="s">
        <v>86</v>
      </c>
      <c r="B405" s="177">
        <v>2025</v>
      </c>
      <c r="C405" s="177">
        <v>26</v>
      </c>
      <c r="D405" s="177" t="s">
        <v>9099</v>
      </c>
      <c r="E405" s="188">
        <f>DGKC!H131</f>
        <v>2</v>
      </c>
      <c r="F405" s="188">
        <f>DGKC!H130</f>
        <v>165.56</v>
      </c>
      <c r="G405" s="186">
        <f t="shared" si="18"/>
        <v>1.2080212611741966E-2</v>
      </c>
      <c r="H405" s="186">
        <f t="shared" si="19"/>
        <v>1.2080212611741966E-2</v>
      </c>
      <c r="I405" s="186">
        <v>1.2080212611741966E-2</v>
      </c>
      <c r="J405" s="186">
        <f t="shared" si="20"/>
        <v>0</v>
      </c>
      <c r="K405" s="177" t="s">
        <v>9101</v>
      </c>
    </row>
    <row r="406" spans="1:11" ht="27" customHeight="1" x14ac:dyDescent="0.3">
      <c r="A406" s="180" t="s">
        <v>86</v>
      </c>
      <c r="B406" s="180">
        <v>2021</v>
      </c>
      <c r="C406" s="180">
        <v>27</v>
      </c>
      <c r="D406" s="180" t="s">
        <v>9102</v>
      </c>
      <c r="E406" s="187">
        <f>'EV Inputs'!Z16</f>
        <v>95157.217271999994</v>
      </c>
      <c r="F406" s="187">
        <f>'EV Inputs'!AB16</f>
        <v>11238.321</v>
      </c>
      <c r="G406" s="185">
        <f t="shared" si="18"/>
        <v>8.4672094053907152</v>
      </c>
      <c r="H406" s="185">
        <f t="shared" si="19"/>
        <v>8.4672094053907152</v>
      </c>
      <c r="I406" s="185">
        <v>8.4672094053907152</v>
      </c>
      <c r="J406" s="185">
        <f t="shared" si="20"/>
        <v>0</v>
      </c>
      <c r="K406" s="180" t="s">
        <v>9104</v>
      </c>
    </row>
    <row r="407" spans="1:11" ht="27" customHeight="1" x14ac:dyDescent="0.3">
      <c r="A407" s="177" t="s">
        <v>86</v>
      </c>
      <c r="B407" s="177">
        <v>2022</v>
      </c>
      <c r="C407" s="177">
        <v>27</v>
      </c>
      <c r="D407" s="177" t="s">
        <v>9102</v>
      </c>
      <c r="E407" s="188">
        <f>'EV Inputs'!Z17</f>
        <v>74330.770749999996</v>
      </c>
      <c r="F407" s="188">
        <f>'EV Inputs'!AB17</f>
        <v>13477.705999999998</v>
      </c>
      <c r="G407" s="186">
        <f t="shared" si="18"/>
        <v>5.5150906801201929</v>
      </c>
      <c r="H407" s="186">
        <f t="shared" si="19"/>
        <v>5.5150906801201929</v>
      </c>
      <c r="I407" s="186">
        <v>5.5150906801201929</v>
      </c>
      <c r="J407" s="186">
        <f t="shared" si="20"/>
        <v>0</v>
      </c>
      <c r="K407" s="177" t="s">
        <v>9104</v>
      </c>
    </row>
    <row r="408" spans="1:11" ht="27" customHeight="1" x14ac:dyDescent="0.3">
      <c r="A408" s="180" t="s">
        <v>86</v>
      </c>
      <c r="B408" s="180">
        <v>2023</v>
      </c>
      <c r="C408" s="180">
        <v>27</v>
      </c>
      <c r="D408" s="180" t="s">
        <v>9102</v>
      </c>
      <c r="E408" s="187">
        <f>'EV Inputs'!Z18</f>
        <v>66068.36083000002</v>
      </c>
      <c r="F408" s="187">
        <f>'EV Inputs'!AB18</f>
        <v>13810.470000000001</v>
      </c>
      <c r="G408" s="185">
        <f t="shared" si="18"/>
        <v>4.7839328299471351</v>
      </c>
      <c r="H408" s="185">
        <f t="shared" si="19"/>
        <v>4.7839328299471351</v>
      </c>
      <c r="I408" s="185">
        <v>4.7839328299471342</v>
      </c>
      <c r="J408" s="185">
        <f t="shared" si="20"/>
        <v>8.8817841970012523E-16</v>
      </c>
      <c r="K408" s="180" t="s">
        <v>9104</v>
      </c>
    </row>
    <row r="409" spans="1:11" ht="27" customHeight="1" x14ac:dyDescent="0.3">
      <c r="A409" s="177" t="s">
        <v>86</v>
      </c>
      <c r="B409" s="177">
        <v>2024</v>
      </c>
      <c r="C409" s="177">
        <v>27</v>
      </c>
      <c r="D409" s="177" t="s">
        <v>9102</v>
      </c>
      <c r="E409" s="188">
        <f>'EV Inputs'!Z19</f>
        <v>74419.095157000003</v>
      </c>
      <c r="F409" s="188">
        <f>'EV Inputs'!AB19</f>
        <v>14617.34</v>
      </c>
      <c r="G409" s="186">
        <f t="shared" si="18"/>
        <v>5.0911516840273263</v>
      </c>
      <c r="H409" s="186">
        <f t="shared" si="19"/>
        <v>5.0911516840273263</v>
      </c>
      <c r="I409" s="186">
        <v>5.0911516840273245</v>
      </c>
      <c r="J409" s="186">
        <f t="shared" si="20"/>
        <v>1.7763568394002505E-15</v>
      </c>
      <c r="K409" s="177" t="s">
        <v>9104</v>
      </c>
    </row>
    <row r="410" spans="1:11" ht="27" customHeight="1" x14ac:dyDescent="0.3">
      <c r="A410" s="180" t="s">
        <v>86</v>
      </c>
      <c r="B410" s="180">
        <v>2025</v>
      </c>
      <c r="C410" s="180">
        <v>27</v>
      </c>
      <c r="D410" s="180" t="s">
        <v>9102</v>
      </c>
      <c r="E410" s="187">
        <f>'EV Inputs'!Z20</f>
        <v>93449.398196000009</v>
      </c>
      <c r="F410" s="187">
        <f>'EV Inputs'!AB20</f>
        <v>20653.949999999997</v>
      </c>
      <c r="G410" s="185">
        <f t="shared" si="18"/>
        <v>4.5245291189336676</v>
      </c>
      <c r="H410" s="185">
        <f t="shared" si="19"/>
        <v>4.5245291189336676</v>
      </c>
      <c r="I410" s="185">
        <v>4.5245291189336667</v>
      </c>
      <c r="J410" s="185">
        <f t="shared" si="20"/>
        <v>8.8817841970012523E-16</v>
      </c>
      <c r="K410" s="180" t="s">
        <v>9104</v>
      </c>
    </row>
    <row r="411" spans="1:11" ht="27" customHeight="1" x14ac:dyDescent="0.3">
      <c r="A411" s="177" t="s">
        <v>106</v>
      </c>
      <c r="B411" s="177">
        <v>2021</v>
      </c>
      <c r="C411" s="177">
        <v>1</v>
      </c>
      <c r="D411" s="177" t="s">
        <v>9018</v>
      </c>
      <c r="E411" s="188">
        <f>MLCF!D36</f>
        <v>16923.416000000001</v>
      </c>
      <c r="F411" s="188">
        <f>MLCF!D61</f>
        <v>11449.447999999999</v>
      </c>
      <c r="G411" s="186">
        <f t="shared" si="18"/>
        <v>1.4780988568182505</v>
      </c>
      <c r="H411" s="186">
        <f t="shared" si="19"/>
        <v>1.4780988568182505</v>
      </c>
      <c r="I411" s="186">
        <v>1.4780988568182503</v>
      </c>
      <c r="J411" s="186">
        <f t="shared" si="20"/>
        <v>2.2204460492503131E-16</v>
      </c>
      <c r="K411" s="177" t="s">
        <v>9022</v>
      </c>
    </row>
    <row r="412" spans="1:11" ht="27" customHeight="1" x14ac:dyDescent="0.3">
      <c r="A412" s="180" t="s">
        <v>106</v>
      </c>
      <c r="B412" s="180">
        <v>2022</v>
      </c>
      <c r="C412" s="180">
        <v>1</v>
      </c>
      <c r="D412" s="180" t="s">
        <v>9018</v>
      </c>
      <c r="E412" s="187">
        <f>MLCF!E36</f>
        <v>20321.989000000001</v>
      </c>
      <c r="F412" s="187">
        <f>MLCF!E61</f>
        <v>16193.390999999998</v>
      </c>
      <c r="G412" s="185">
        <f t="shared" si="18"/>
        <v>1.2549557408945418</v>
      </c>
      <c r="H412" s="185">
        <f t="shared" si="19"/>
        <v>1.2549557408945418</v>
      </c>
      <c r="I412" s="185">
        <v>1.2549557408945415</v>
      </c>
      <c r="J412" s="185">
        <f t="shared" si="20"/>
        <v>2.2204460492503131E-16</v>
      </c>
      <c r="K412" s="180" t="s">
        <v>9022</v>
      </c>
    </row>
    <row r="413" spans="1:11" ht="27" customHeight="1" x14ac:dyDescent="0.3">
      <c r="A413" s="177" t="s">
        <v>106</v>
      </c>
      <c r="B413" s="177">
        <v>2023</v>
      </c>
      <c r="C413" s="177">
        <v>1</v>
      </c>
      <c r="D413" s="177" t="s">
        <v>9018</v>
      </c>
      <c r="E413" s="188">
        <f>MLCF!F36</f>
        <v>22239.666999999998</v>
      </c>
      <c r="F413" s="188">
        <f>MLCF!F61</f>
        <v>16215.021000000001</v>
      </c>
      <c r="G413" s="186">
        <f t="shared" si="18"/>
        <v>1.3715472215546312</v>
      </c>
      <c r="H413" s="186">
        <f t="shared" si="19"/>
        <v>1.3715472215546312</v>
      </c>
      <c r="I413" s="186">
        <v>1.3715472215546314</v>
      </c>
      <c r="J413" s="186">
        <f t="shared" si="20"/>
        <v>-2.2204460492503131E-16</v>
      </c>
      <c r="K413" s="177" t="s">
        <v>9022</v>
      </c>
    </row>
    <row r="414" spans="1:11" ht="27" customHeight="1" x14ac:dyDescent="0.3">
      <c r="A414" s="180" t="s">
        <v>106</v>
      </c>
      <c r="B414" s="180">
        <v>2024</v>
      </c>
      <c r="C414" s="180">
        <v>1</v>
      </c>
      <c r="D414" s="180" t="s">
        <v>9018</v>
      </c>
      <c r="E414" s="187">
        <f>MLCF!G36</f>
        <v>26867.837</v>
      </c>
      <c r="F414" s="187">
        <f>MLCF!G61</f>
        <v>18597.8</v>
      </c>
      <c r="G414" s="185">
        <f t="shared" si="18"/>
        <v>1.4446782415124371</v>
      </c>
      <c r="H414" s="185">
        <f t="shared" si="19"/>
        <v>1.4446782415124371</v>
      </c>
      <c r="I414" s="185">
        <v>1.4446782415124371</v>
      </c>
      <c r="J414" s="185">
        <f t="shared" si="20"/>
        <v>0</v>
      </c>
      <c r="K414" s="180" t="s">
        <v>9022</v>
      </c>
    </row>
    <row r="415" spans="1:11" ht="27" customHeight="1" x14ac:dyDescent="0.3">
      <c r="A415" s="177" t="s">
        <v>106</v>
      </c>
      <c r="B415" s="177">
        <v>2025</v>
      </c>
      <c r="C415" s="177">
        <v>1</v>
      </c>
      <c r="D415" s="177" t="s">
        <v>9018</v>
      </c>
      <c r="E415" s="188">
        <f>MLCF!H36</f>
        <v>35752.603999999999</v>
      </c>
      <c r="F415" s="188">
        <f>MLCF!H61</f>
        <v>23330.491000000005</v>
      </c>
      <c r="G415" s="186">
        <f t="shared" si="18"/>
        <v>1.5324411303645513</v>
      </c>
      <c r="H415" s="186">
        <f t="shared" si="19"/>
        <v>1.5324411303645513</v>
      </c>
      <c r="I415" s="186">
        <v>1.5324411303645515</v>
      </c>
      <c r="J415" s="186">
        <f t="shared" si="20"/>
        <v>-2.2204460492503131E-16</v>
      </c>
      <c r="K415" s="177" t="s">
        <v>9022</v>
      </c>
    </row>
    <row r="416" spans="1:11" ht="27" customHeight="1" x14ac:dyDescent="0.3">
      <c r="A416" s="180" t="s">
        <v>106</v>
      </c>
      <c r="B416" s="180">
        <v>2021</v>
      </c>
      <c r="C416" s="180">
        <v>2</v>
      </c>
      <c r="D416" s="180" t="s">
        <v>9024</v>
      </c>
      <c r="E416" s="187">
        <f>MLCF!D36-MLCF!D65</f>
        <v>5034.5159999999996</v>
      </c>
      <c r="F416" s="187">
        <f>MLCF!D61</f>
        <v>11449.447999999999</v>
      </c>
      <c r="G416" s="185">
        <f t="shared" si="18"/>
        <v>0.43971691910387301</v>
      </c>
      <c r="H416" s="185">
        <f t="shared" si="19"/>
        <v>0.43971691910387301</v>
      </c>
      <c r="I416" s="185">
        <v>0.43971691910387289</v>
      </c>
      <c r="J416" s="185">
        <f t="shared" si="20"/>
        <v>1.1102230246251565E-16</v>
      </c>
      <c r="K416" s="180" t="s">
        <v>9026</v>
      </c>
    </row>
    <row r="417" spans="1:11" ht="27" customHeight="1" x14ac:dyDescent="0.3">
      <c r="A417" s="177" t="s">
        <v>106</v>
      </c>
      <c r="B417" s="177">
        <v>2022</v>
      </c>
      <c r="C417" s="177">
        <v>2</v>
      </c>
      <c r="D417" s="177" t="s">
        <v>9024</v>
      </c>
      <c r="E417" s="188">
        <f>MLCF!E36-MLCF!E65</f>
        <v>4772.7630000000026</v>
      </c>
      <c r="F417" s="188">
        <f>MLCF!E61</f>
        <v>16193.390999999998</v>
      </c>
      <c r="G417" s="186">
        <f t="shared" si="18"/>
        <v>0.29473524106223353</v>
      </c>
      <c r="H417" s="186">
        <f t="shared" si="19"/>
        <v>0.29473524106223353</v>
      </c>
      <c r="I417" s="186">
        <v>0.29473524106223353</v>
      </c>
      <c r="J417" s="186">
        <f t="shared" si="20"/>
        <v>0</v>
      </c>
      <c r="K417" s="177" t="s">
        <v>9026</v>
      </c>
    </row>
    <row r="418" spans="1:11" ht="27" customHeight="1" x14ac:dyDescent="0.3">
      <c r="A418" s="180" t="s">
        <v>106</v>
      </c>
      <c r="B418" s="180">
        <v>2023</v>
      </c>
      <c r="C418" s="180">
        <v>2</v>
      </c>
      <c r="D418" s="180" t="s">
        <v>9024</v>
      </c>
      <c r="E418" s="187">
        <f>MLCF!F36-MLCF!F65</f>
        <v>8439.2069999999985</v>
      </c>
      <c r="F418" s="187">
        <f>MLCF!F61</f>
        <v>16215.021000000001</v>
      </c>
      <c r="G418" s="185">
        <f t="shared" si="18"/>
        <v>0.5204561252187091</v>
      </c>
      <c r="H418" s="185">
        <f t="shared" si="19"/>
        <v>0.5204561252187091</v>
      </c>
      <c r="I418" s="185">
        <v>0.52045612521870932</v>
      </c>
      <c r="J418" s="185">
        <f t="shared" si="20"/>
        <v>-2.2204460492503131E-16</v>
      </c>
      <c r="K418" s="180" t="s">
        <v>9026</v>
      </c>
    </row>
    <row r="419" spans="1:11" ht="27" customHeight="1" x14ac:dyDescent="0.3">
      <c r="A419" s="177" t="s">
        <v>106</v>
      </c>
      <c r="B419" s="177">
        <v>2024</v>
      </c>
      <c r="C419" s="177">
        <v>2</v>
      </c>
      <c r="D419" s="177" t="s">
        <v>9024</v>
      </c>
      <c r="E419" s="188">
        <f>MLCF!G36-MLCF!G65</f>
        <v>11333.995999999999</v>
      </c>
      <c r="F419" s="188">
        <f>MLCF!G61</f>
        <v>18597.8</v>
      </c>
      <c r="G419" s="186">
        <f t="shared" si="18"/>
        <v>0.60942670638462615</v>
      </c>
      <c r="H419" s="186">
        <f t="shared" si="19"/>
        <v>0.60942670638462615</v>
      </c>
      <c r="I419" s="186">
        <v>0.60942670638462615</v>
      </c>
      <c r="J419" s="186">
        <f t="shared" si="20"/>
        <v>0</v>
      </c>
      <c r="K419" s="177" t="s">
        <v>9026</v>
      </c>
    </row>
    <row r="420" spans="1:11" ht="27" customHeight="1" x14ac:dyDescent="0.3">
      <c r="A420" s="180" t="s">
        <v>106</v>
      </c>
      <c r="B420" s="180">
        <v>2025</v>
      </c>
      <c r="C420" s="180">
        <v>2</v>
      </c>
      <c r="D420" s="180" t="s">
        <v>9024</v>
      </c>
      <c r="E420" s="187">
        <f>MLCF!H36-MLCF!H65</f>
        <v>18848.303</v>
      </c>
      <c r="F420" s="187">
        <f>MLCF!H61</f>
        <v>23330.491000000005</v>
      </c>
      <c r="G420" s="185">
        <f t="shared" si="18"/>
        <v>0.80788282595509864</v>
      </c>
      <c r="H420" s="185">
        <f t="shared" si="19"/>
        <v>0.80788282595509864</v>
      </c>
      <c r="I420" s="185">
        <v>0.80788282595509875</v>
      </c>
      <c r="J420" s="185">
        <f t="shared" si="20"/>
        <v>-1.1102230246251565E-16</v>
      </c>
      <c r="K420" s="180" t="s">
        <v>9026</v>
      </c>
    </row>
    <row r="421" spans="1:11" ht="27" customHeight="1" x14ac:dyDescent="0.3">
      <c r="A421" s="177" t="s">
        <v>106</v>
      </c>
      <c r="B421" s="177">
        <v>2021</v>
      </c>
      <c r="C421" s="177">
        <v>3</v>
      </c>
      <c r="D421" s="177" t="s">
        <v>9027</v>
      </c>
      <c r="E421" s="188">
        <f>'EV Inputs'!J21</f>
        <v>490.32900000000001</v>
      </c>
      <c r="F421" s="188">
        <f>MLCF!D61</f>
        <v>11449.447999999999</v>
      </c>
      <c r="G421" s="186">
        <f t="shared" si="18"/>
        <v>4.2825558053104403E-2</v>
      </c>
      <c r="H421" s="186">
        <f t="shared" si="19"/>
        <v>4.2825558053104403E-2</v>
      </c>
      <c r="I421" s="186">
        <v>4.2825558053104396E-2</v>
      </c>
      <c r="J421" s="186">
        <f t="shared" si="20"/>
        <v>6.9388939039072284E-18</v>
      </c>
      <c r="K421" s="177" t="s">
        <v>9030</v>
      </c>
    </row>
    <row r="422" spans="1:11" ht="27" customHeight="1" x14ac:dyDescent="0.3">
      <c r="A422" s="180" t="s">
        <v>106</v>
      </c>
      <c r="B422" s="180">
        <v>2022</v>
      </c>
      <c r="C422" s="180">
        <v>3</v>
      </c>
      <c r="D422" s="180" t="s">
        <v>9027</v>
      </c>
      <c r="E422" s="187">
        <f>'EV Inputs'!J22</f>
        <v>793.57600000000002</v>
      </c>
      <c r="F422" s="187">
        <f>MLCF!E61</f>
        <v>16193.390999999998</v>
      </c>
      <c r="G422" s="185">
        <f t="shared" si="18"/>
        <v>4.9006165540003331E-2</v>
      </c>
      <c r="H422" s="185">
        <f t="shared" si="19"/>
        <v>4.9006165540003331E-2</v>
      </c>
      <c r="I422" s="185">
        <v>4.9006165540003331E-2</v>
      </c>
      <c r="J422" s="185">
        <f t="shared" si="20"/>
        <v>0</v>
      </c>
      <c r="K422" s="180" t="s">
        <v>9030</v>
      </c>
    </row>
    <row r="423" spans="1:11" ht="27" customHeight="1" x14ac:dyDescent="0.3">
      <c r="A423" s="177" t="s">
        <v>106</v>
      </c>
      <c r="B423" s="177">
        <v>2023</v>
      </c>
      <c r="C423" s="177">
        <v>3</v>
      </c>
      <c r="D423" s="177" t="s">
        <v>9027</v>
      </c>
      <c r="E423" s="188">
        <f>'EV Inputs'!J23</f>
        <v>740.70699999999999</v>
      </c>
      <c r="F423" s="188">
        <f>MLCF!F61</f>
        <v>16215.021000000001</v>
      </c>
      <c r="G423" s="186">
        <f t="shared" si="18"/>
        <v>4.5680298533070048E-2</v>
      </c>
      <c r="H423" s="186">
        <f t="shared" si="19"/>
        <v>4.5680298533070048E-2</v>
      </c>
      <c r="I423" s="186">
        <v>4.5680298533070048E-2</v>
      </c>
      <c r="J423" s="186">
        <f t="shared" si="20"/>
        <v>0</v>
      </c>
      <c r="K423" s="177" t="s">
        <v>9030</v>
      </c>
    </row>
    <row r="424" spans="1:11" ht="27" customHeight="1" x14ac:dyDescent="0.3">
      <c r="A424" s="180" t="s">
        <v>106</v>
      </c>
      <c r="B424" s="180">
        <v>2024</v>
      </c>
      <c r="C424" s="180">
        <v>3</v>
      </c>
      <c r="D424" s="180" t="s">
        <v>9027</v>
      </c>
      <c r="E424" s="187">
        <f>'EV Inputs'!J24</f>
        <v>1371.912</v>
      </c>
      <c r="F424" s="187">
        <f>MLCF!G61</f>
        <v>18597.8</v>
      </c>
      <c r="G424" s="185">
        <f t="shared" si="18"/>
        <v>7.3767434857886421E-2</v>
      </c>
      <c r="H424" s="185">
        <f t="shared" si="19"/>
        <v>7.3767434857886421E-2</v>
      </c>
      <c r="I424" s="185">
        <v>7.3767434857886421E-2</v>
      </c>
      <c r="J424" s="185">
        <f t="shared" si="20"/>
        <v>0</v>
      </c>
      <c r="K424" s="180" t="s">
        <v>9030</v>
      </c>
    </row>
    <row r="425" spans="1:11" ht="27" customHeight="1" x14ac:dyDescent="0.3">
      <c r="A425" s="177" t="s">
        <v>106</v>
      </c>
      <c r="B425" s="177">
        <v>2025</v>
      </c>
      <c r="C425" s="177">
        <v>3</v>
      </c>
      <c r="D425" s="177" t="s">
        <v>9027</v>
      </c>
      <c r="E425" s="188">
        <f>'EV Inputs'!J25</f>
        <v>1615.481</v>
      </c>
      <c r="F425" s="188">
        <f>MLCF!H61</f>
        <v>23330.491000000005</v>
      </c>
      <c r="G425" s="186">
        <f t="shared" si="18"/>
        <v>6.9243334827372452E-2</v>
      </c>
      <c r="H425" s="186">
        <f t="shared" si="19"/>
        <v>6.9243334827372452E-2</v>
      </c>
      <c r="I425" s="186">
        <v>6.9243334827372466E-2</v>
      </c>
      <c r="J425" s="186">
        <f t="shared" si="20"/>
        <v>-1.3877787807814457E-17</v>
      </c>
      <c r="K425" s="177" t="s">
        <v>9030</v>
      </c>
    </row>
    <row r="426" spans="1:11" ht="27" customHeight="1" x14ac:dyDescent="0.3">
      <c r="A426" s="180" t="s">
        <v>106</v>
      </c>
      <c r="B426" s="180">
        <v>2021</v>
      </c>
      <c r="C426" s="180">
        <v>4</v>
      </c>
      <c r="D426" s="180" t="s">
        <v>9032</v>
      </c>
      <c r="E426" s="187">
        <f>MLCF!D36-MLCF!D61</f>
        <v>5473.9680000000026</v>
      </c>
      <c r="F426" s="187">
        <f>1</f>
        <v>1</v>
      </c>
      <c r="G426" s="185">
        <f t="shared" si="18"/>
        <v>5473.9680000000026</v>
      </c>
      <c r="H426" s="185">
        <f t="shared" si="19"/>
        <v>5473.9680000000026</v>
      </c>
      <c r="I426" s="185">
        <v>5473.9680000000008</v>
      </c>
      <c r="J426" s="185">
        <f t="shared" si="20"/>
        <v>1.8189894035458565E-12</v>
      </c>
      <c r="K426" s="180" t="s">
        <v>9035</v>
      </c>
    </row>
    <row r="427" spans="1:11" ht="27" customHeight="1" x14ac:dyDescent="0.3">
      <c r="A427" s="177" t="s">
        <v>106</v>
      </c>
      <c r="B427" s="177">
        <v>2022</v>
      </c>
      <c r="C427" s="177">
        <v>4</v>
      </c>
      <c r="D427" s="177" t="s">
        <v>9032</v>
      </c>
      <c r="E427" s="188">
        <f>MLCF!E36-MLCF!E61</f>
        <v>4128.5980000000036</v>
      </c>
      <c r="F427" s="188">
        <f>1</f>
        <v>1</v>
      </c>
      <c r="G427" s="186">
        <f t="shared" si="18"/>
        <v>4128.5980000000036</v>
      </c>
      <c r="H427" s="186">
        <f t="shared" si="19"/>
        <v>4128.5980000000036</v>
      </c>
      <c r="I427" s="186">
        <v>4128.5980000000018</v>
      </c>
      <c r="J427" s="186">
        <f t="shared" si="20"/>
        <v>1.8189894035458565E-12</v>
      </c>
      <c r="K427" s="177" t="s">
        <v>9035</v>
      </c>
    </row>
    <row r="428" spans="1:11" ht="27" customHeight="1" x14ac:dyDescent="0.3">
      <c r="A428" s="180" t="s">
        <v>106</v>
      </c>
      <c r="B428" s="180">
        <v>2023</v>
      </c>
      <c r="C428" s="180">
        <v>4</v>
      </c>
      <c r="D428" s="180" t="s">
        <v>9032</v>
      </c>
      <c r="E428" s="187">
        <f>MLCF!F36-MLCF!F61</f>
        <v>6024.645999999997</v>
      </c>
      <c r="F428" s="187">
        <f>1</f>
        <v>1</v>
      </c>
      <c r="G428" s="185">
        <f t="shared" si="18"/>
        <v>6024.645999999997</v>
      </c>
      <c r="H428" s="185">
        <f t="shared" si="19"/>
        <v>6024.645999999997</v>
      </c>
      <c r="I428" s="185">
        <v>6024.6460000000006</v>
      </c>
      <c r="J428" s="185">
        <f t="shared" si="20"/>
        <v>-3.637978807091713E-12</v>
      </c>
      <c r="K428" s="180" t="s">
        <v>9035</v>
      </c>
    </row>
    <row r="429" spans="1:11" ht="27" customHeight="1" x14ac:dyDescent="0.3">
      <c r="A429" s="177" t="s">
        <v>106</v>
      </c>
      <c r="B429" s="177">
        <v>2024</v>
      </c>
      <c r="C429" s="177">
        <v>4</v>
      </c>
      <c r="D429" s="177" t="s">
        <v>9032</v>
      </c>
      <c r="E429" s="188">
        <f>MLCF!G36-MLCF!G61</f>
        <v>8270.0370000000003</v>
      </c>
      <c r="F429" s="188">
        <f>1</f>
        <v>1</v>
      </c>
      <c r="G429" s="186">
        <f t="shared" si="18"/>
        <v>8270.0370000000003</v>
      </c>
      <c r="H429" s="186">
        <f t="shared" si="19"/>
        <v>8270.0370000000003</v>
      </c>
      <c r="I429" s="186">
        <v>8270.0370000000003</v>
      </c>
      <c r="J429" s="186">
        <f t="shared" si="20"/>
        <v>0</v>
      </c>
      <c r="K429" s="177" t="s">
        <v>9035</v>
      </c>
    </row>
    <row r="430" spans="1:11" ht="27" customHeight="1" x14ac:dyDescent="0.3">
      <c r="A430" s="180" t="s">
        <v>106</v>
      </c>
      <c r="B430" s="180">
        <v>2025</v>
      </c>
      <c r="C430" s="180">
        <v>4</v>
      </c>
      <c r="D430" s="180" t="s">
        <v>9032</v>
      </c>
      <c r="E430" s="187">
        <f>MLCF!H36-MLCF!H61</f>
        <v>12422.112999999994</v>
      </c>
      <c r="F430" s="187">
        <f>1</f>
        <v>1</v>
      </c>
      <c r="G430" s="185">
        <f t="shared" si="18"/>
        <v>12422.112999999994</v>
      </c>
      <c r="H430" s="185">
        <f t="shared" si="19"/>
        <v>12422.112999999994</v>
      </c>
      <c r="I430" s="185">
        <v>12422.112999999998</v>
      </c>
      <c r="J430" s="185">
        <f t="shared" si="20"/>
        <v>-3.637978807091713E-12</v>
      </c>
      <c r="K430" s="180" t="s">
        <v>9035</v>
      </c>
    </row>
    <row r="431" spans="1:11" ht="27" customHeight="1" x14ac:dyDescent="0.3">
      <c r="A431" s="177" t="s">
        <v>106</v>
      </c>
      <c r="B431" s="177">
        <v>2021</v>
      </c>
      <c r="C431" s="177">
        <v>5</v>
      </c>
      <c r="D431" s="177" t="s">
        <v>9036</v>
      </c>
      <c r="E431" s="188">
        <f>-MLCF!D85</f>
        <v>28135.419000000002</v>
      </c>
      <c r="F431" s="188">
        <f>AVERAGE(MLCF!C65,MLCF!D65)</f>
        <v>11031.957000000002</v>
      </c>
      <c r="G431" s="186">
        <f t="shared" si="18"/>
        <v>2.5503561154199565</v>
      </c>
      <c r="H431" s="186">
        <f t="shared" si="19"/>
        <v>2.5503561154199565</v>
      </c>
      <c r="I431" s="186">
        <v>2.5503561154199565</v>
      </c>
      <c r="J431" s="186">
        <f t="shared" si="20"/>
        <v>0</v>
      </c>
      <c r="K431" s="177" t="s">
        <v>9038</v>
      </c>
    </row>
    <row r="432" spans="1:11" ht="27" customHeight="1" x14ac:dyDescent="0.3">
      <c r="A432" s="180" t="s">
        <v>106</v>
      </c>
      <c r="B432" s="180">
        <v>2022</v>
      </c>
      <c r="C432" s="180">
        <v>5</v>
      </c>
      <c r="D432" s="180" t="s">
        <v>9036</v>
      </c>
      <c r="E432" s="187">
        <f>-MLCF!E85</f>
        <v>36244.156000000003</v>
      </c>
      <c r="F432" s="187">
        <f>AVERAGE(MLCF!D65,MLCF!E65)</f>
        <v>13719.063</v>
      </c>
      <c r="G432" s="185">
        <f t="shared" si="18"/>
        <v>2.6418827583195736</v>
      </c>
      <c r="H432" s="185">
        <f t="shared" si="19"/>
        <v>2.6418827583195736</v>
      </c>
      <c r="I432" s="185">
        <v>2.6418827583195736</v>
      </c>
      <c r="J432" s="185">
        <f t="shared" si="20"/>
        <v>0</v>
      </c>
      <c r="K432" s="180" t="s">
        <v>9038</v>
      </c>
    </row>
    <row r="433" spans="1:11" ht="27" customHeight="1" x14ac:dyDescent="0.3">
      <c r="A433" s="177" t="s">
        <v>106</v>
      </c>
      <c r="B433" s="177">
        <v>2023</v>
      </c>
      <c r="C433" s="177">
        <v>5</v>
      </c>
      <c r="D433" s="177" t="s">
        <v>9036</v>
      </c>
      <c r="E433" s="188">
        <f>-MLCF!F85</f>
        <v>43901.906000000003</v>
      </c>
      <c r="F433" s="188">
        <f>AVERAGE(MLCF!E65,MLCF!F65)</f>
        <v>14674.842999999999</v>
      </c>
      <c r="G433" s="186">
        <f t="shared" si="18"/>
        <v>2.991643999189634</v>
      </c>
      <c r="H433" s="186">
        <f t="shared" si="19"/>
        <v>2.991643999189634</v>
      </c>
      <c r="I433" s="186">
        <v>2.991643999189634</v>
      </c>
      <c r="J433" s="186">
        <f t="shared" si="20"/>
        <v>0</v>
      </c>
      <c r="K433" s="177" t="s">
        <v>9038</v>
      </c>
    </row>
    <row r="434" spans="1:11" ht="27" customHeight="1" x14ac:dyDescent="0.3">
      <c r="A434" s="180" t="s">
        <v>106</v>
      </c>
      <c r="B434" s="180">
        <v>2024</v>
      </c>
      <c r="C434" s="180">
        <v>5</v>
      </c>
      <c r="D434" s="180" t="s">
        <v>9036</v>
      </c>
      <c r="E434" s="187">
        <f>-MLCF!G85</f>
        <v>45488.063999999998</v>
      </c>
      <c r="F434" s="187">
        <f>AVERAGE(MLCF!F65,MLCF!G65)</f>
        <v>14667.1505</v>
      </c>
      <c r="G434" s="185">
        <f t="shared" si="18"/>
        <v>3.1013565995658121</v>
      </c>
      <c r="H434" s="185">
        <f t="shared" si="19"/>
        <v>3.1013565995658121</v>
      </c>
      <c r="I434" s="185">
        <v>3.1013565995658121</v>
      </c>
      <c r="J434" s="185">
        <f t="shared" si="20"/>
        <v>0</v>
      </c>
      <c r="K434" s="180" t="s">
        <v>9038</v>
      </c>
    </row>
    <row r="435" spans="1:11" ht="27" customHeight="1" x14ac:dyDescent="0.3">
      <c r="A435" s="177" t="s">
        <v>106</v>
      </c>
      <c r="B435" s="177">
        <v>2025</v>
      </c>
      <c r="C435" s="177">
        <v>5</v>
      </c>
      <c r="D435" s="177" t="s">
        <v>9036</v>
      </c>
      <c r="E435" s="188">
        <f>-MLCF!H85</f>
        <v>45195.63</v>
      </c>
      <c r="F435" s="188">
        <f>AVERAGE(MLCF!G65,MLCF!H65)</f>
        <v>16219.071</v>
      </c>
      <c r="G435" s="186">
        <f t="shared" si="18"/>
        <v>2.7865732877055658</v>
      </c>
      <c r="H435" s="186">
        <f t="shared" si="19"/>
        <v>2.7865732877055658</v>
      </c>
      <c r="I435" s="186">
        <v>2.7865732877055658</v>
      </c>
      <c r="J435" s="186">
        <f t="shared" si="20"/>
        <v>0</v>
      </c>
      <c r="K435" s="177" t="s">
        <v>9038</v>
      </c>
    </row>
    <row r="436" spans="1:11" ht="27" customHeight="1" x14ac:dyDescent="0.3">
      <c r="A436" s="180" t="s">
        <v>106</v>
      </c>
      <c r="B436" s="180">
        <v>2021</v>
      </c>
      <c r="C436" s="180">
        <v>6</v>
      </c>
      <c r="D436" s="180" t="s">
        <v>9039</v>
      </c>
      <c r="E436" s="187">
        <f>MLCF!D84</f>
        <v>35538.300999999999</v>
      </c>
      <c r="F436" s="187">
        <f>AVERAGE(MLCF!C32,MLCF!D32)</f>
        <v>2365.9169999999999</v>
      </c>
      <c r="G436" s="185">
        <f t="shared" si="18"/>
        <v>15.020941563038772</v>
      </c>
      <c r="H436" s="185">
        <f t="shared" si="19"/>
        <v>15.020941563038772</v>
      </c>
      <c r="I436" s="185">
        <v>15.020941563038772</v>
      </c>
      <c r="J436" s="185">
        <f t="shared" si="20"/>
        <v>0</v>
      </c>
      <c r="K436" s="180" t="s">
        <v>9041</v>
      </c>
    </row>
    <row r="437" spans="1:11" ht="27" customHeight="1" x14ac:dyDescent="0.3">
      <c r="A437" s="177" t="s">
        <v>106</v>
      </c>
      <c r="B437" s="177">
        <v>2022</v>
      </c>
      <c r="C437" s="177">
        <v>6</v>
      </c>
      <c r="D437" s="177" t="s">
        <v>9039</v>
      </c>
      <c r="E437" s="188">
        <f>MLCF!E84</f>
        <v>48519.622000000003</v>
      </c>
      <c r="F437" s="188">
        <f>AVERAGE(MLCF!D32,MLCF!E32)</f>
        <v>1872.9580000000001</v>
      </c>
      <c r="G437" s="186">
        <f t="shared" si="18"/>
        <v>25.905344380386534</v>
      </c>
      <c r="H437" s="186">
        <f t="shared" si="19"/>
        <v>25.905344380386534</v>
      </c>
      <c r="I437" s="186">
        <v>25.905344380386534</v>
      </c>
      <c r="J437" s="186">
        <f t="shared" si="20"/>
        <v>0</v>
      </c>
      <c r="K437" s="177" t="s">
        <v>9041</v>
      </c>
    </row>
    <row r="438" spans="1:11" ht="27" customHeight="1" x14ac:dyDescent="0.3">
      <c r="A438" s="180" t="s">
        <v>106</v>
      </c>
      <c r="B438" s="180">
        <v>2023</v>
      </c>
      <c r="C438" s="180">
        <v>6</v>
      </c>
      <c r="D438" s="180" t="s">
        <v>9039</v>
      </c>
      <c r="E438" s="187">
        <f>MLCF!F84</f>
        <v>62075.258999999998</v>
      </c>
      <c r="F438" s="187">
        <f>AVERAGE(MLCF!E32,MLCF!F32)</f>
        <v>2333.5985000000001</v>
      </c>
      <c r="G438" s="185">
        <f t="shared" si="18"/>
        <v>26.600659453629234</v>
      </c>
      <c r="H438" s="185">
        <f t="shared" si="19"/>
        <v>26.600659453629234</v>
      </c>
      <c r="I438" s="185">
        <v>26.600659453629234</v>
      </c>
      <c r="J438" s="185">
        <f t="shared" si="20"/>
        <v>0</v>
      </c>
      <c r="K438" s="180" t="s">
        <v>9041</v>
      </c>
    </row>
    <row r="439" spans="1:11" ht="27" customHeight="1" x14ac:dyDescent="0.3">
      <c r="A439" s="177" t="s">
        <v>106</v>
      </c>
      <c r="B439" s="177">
        <v>2024</v>
      </c>
      <c r="C439" s="177">
        <v>6</v>
      </c>
      <c r="D439" s="177" t="s">
        <v>9039</v>
      </c>
      <c r="E439" s="188">
        <f>MLCF!G84</f>
        <v>66452.347999999998</v>
      </c>
      <c r="F439" s="188">
        <f>AVERAGE(MLCF!F32,MLCF!G32)</f>
        <v>3394.8649999999998</v>
      </c>
      <c r="G439" s="186">
        <f t="shared" si="18"/>
        <v>19.574371293114748</v>
      </c>
      <c r="H439" s="186">
        <f t="shared" si="19"/>
        <v>19.574371293114748</v>
      </c>
      <c r="I439" s="186">
        <v>19.574371293114748</v>
      </c>
      <c r="J439" s="186">
        <f t="shared" si="20"/>
        <v>0</v>
      </c>
      <c r="K439" s="177" t="s">
        <v>9041</v>
      </c>
    </row>
    <row r="440" spans="1:11" ht="27" customHeight="1" x14ac:dyDescent="0.3">
      <c r="A440" s="180" t="s">
        <v>106</v>
      </c>
      <c r="B440" s="180">
        <v>2025</v>
      </c>
      <c r="C440" s="180">
        <v>6</v>
      </c>
      <c r="D440" s="180" t="s">
        <v>9039</v>
      </c>
      <c r="E440" s="187">
        <f>MLCF!H84</f>
        <v>68942.445999999996</v>
      </c>
      <c r="F440" s="187">
        <f>AVERAGE(MLCF!G32,MLCF!H32)</f>
        <v>4399.4634999999998</v>
      </c>
      <c r="G440" s="185">
        <f t="shared" si="18"/>
        <v>15.67064847793373</v>
      </c>
      <c r="H440" s="185">
        <f t="shared" si="19"/>
        <v>15.67064847793373</v>
      </c>
      <c r="I440" s="185">
        <v>15.67064847793373</v>
      </c>
      <c r="J440" s="185">
        <f t="shared" si="20"/>
        <v>0</v>
      </c>
      <c r="K440" s="180" t="s">
        <v>9041</v>
      </c>
    </row>
    <row r="441" spans="1:11" ht="27" customHeight="1" x14ac:dyDescent="0.3">
      <c r="A441" s="177" t="s">
        <v>106</v>
      </c>
      <c r="B441" s="177">
        <v>2021</v>
      </c>
      <c r="C441" s="177">
        <v>7</v>
      </c>
      <c r="D441" s="177" t="s">
        <v>9042</v>
      </c>
      <c r="E441" s="188">
        <f>365*AVERAGE(MLCF!C65,MLCF!D65)</f>
        <v>4026664.3050000006</v>
      </c>
      <c r="F441" s="188">
        <f>-MLCF!D85</f>
        <v>28135.419000000002</v>
      </c>
      <c r="G441" s="186">
        <f t="shared" si="18"/>
        <v>143.11726813096334</v>
      </c>
      <c r="H441" s="186">
        <f t="shared" si="19"/>
        <v>143.11726813096334</v>
      </c>
      <c r="I441" s="186">
        <v>143.11726813096334</v>
      </c>
      <c r="J441" s="186">
        <f t="shared" si="20"/>
        <v>0</v>
      </c>
      <c r="K441" s="177" t="s">
        <v>9044</v>
      </c>
    </row>
    <row r="442" spans="1:11" ht="27" customHeight="1" x14ac:dyDescent="0.3">
      <c r="A442" s="180" t="s">
        <v>106</v>
      </c>
      <c r="B442" s="180">
        <v>2022</v>
      </c>
      <c r="C442" s="180">
        <v>7</v>
      </c>
      <c r="D442" s="180" t="s">
        <v>9042</v>
      </c>
      <c r="E442" s="187">
        <f>365*AVERAGE(MLCF!D65,MLCF!E65)</f>
        <v>5007457.9950000001</v>
      </c>
      <c r="F442" s="187">
        <f>-MLCF!E85</f>
        <v>36244.156000000003</v>
      </c>
      <c r="G442" s="185">
        <f t="shared" si="18"/>
        <v>138.1590454196257</v>
      </c>
      <c r="H442" s="185">
        <f t="shared" si="19"/>
        <v>138.1590454196257</v>
      </c>
      <c r="I442" s="185">
        <v>138.1590454196257</v>
      </c>
      <c r="J442" s="185">
        <f t="shared" si="20"/>
        <v>0</v>
      </c>
      <c r="K442" s="180" t="s">
        <v>9044</v>
      </c>
    </row>
    <row r="443" spans="1:11" ht="27" customHeight="1" x14ac:dyDescent="0.3">
      <c r="A443" s="177" t="s">
        <v>106</v>
      </c>
      <c r="B443" s="177">
        <v>2023</v>
      </c>
      <c r="C443" s="177">
        <v>7</v>
      </c>
      <c r="D443" s="177" t="s">
        <v>9042</v>
      </c>
      <c r="E443" s="188">
        <f>365*AVERAGE(MLCF!E65,MLCF!F65)</f>
        <v>5356317.6949999994</v>
      </c>
      <c r="F443" s="188">
        <f>-MLCF!F85</f>
        <v>43901.906000000003</v>
      </c>
      <c r="G443" s="186">
        <f t="shared" si="18"/>
        <v>122.0064954583065</v>
      </c>
      <c r="H443" s="186">
        <f t="shared" si="19"/>
        <v>122.0064954583065</v>
      </c>
      <c r="I443" s="186">
        <v>122.0064954583065</v>
      </c>
      <c r="J443" s="186">
        <f t="shared" si="20"/>
        <v>0</v>
      </c>
      <c r="K443" s="177" t="s">
        <v>9044</v>
      </c>
    </row>
    <row r="444" spans="1:11" ht="27" customHeight="1" x14ac:dyDescent="0.3">
      <c r="A444" s="180" t="s">
        <v>106</v>
      </c>
      <c r="B444" s="180">
        <v>2024</v>
      </c>
      <c r="C444" s="180">
        <v>7</v>
      </c>
      <c r="D444" s="180" t="s">
        <v>9042</v>
      </c>
      <c r="E444" s="187">
        <f>365*AVERAGE(MLCF!F65,MLCF!G65)</f>
        <v>5353509.9325000001</v>
      </c>
      <c r="F444" s="187">
        <f>-MLCF!G85</f>
        <v>45488.063999999998</v>
      </c>
      <c r="G444" s="185">
        <f t="shared" si="18"/>
        <v>117.69043264844159</v>
      </c>
      <c r="H444" s="185">
        <f t="shared" si="19"/>
        <v>117.69043264844159</v>
      </c>
      <c r="I444" s="185">
        <v>117.69043264844159</v>
      </c>
      <c r="J444" s="185">
        <f t="shared" si="20"/>
        <v>0</v>
      </c>
      <c r="K444" s="180" t="s">
        <v>9044</v>
      </c>
    </row>
    <row r="445" spans="1:11" ht="27" customHeight="1" x14ac:dyDescent="0.3">
      <c r="A445" s="177" t="s">
        <v>106</v>
      </c>
      <c r="B445" s="177">
        <v>2025</v>
      </c>
      <c r="C445" s="177">
        <v>7</v>
      </c>
      <c r="D445" s="177" t="s">
        <v>9042</v>
      </c>
      <c r="E445" s="188">
        <f>365*AVERAGE(MLCF!G65,MLCF!H65)</f>
        <v>5919960.915</v>
      </c>
      <c r="F445" s="188">
        <f>-MLCF!H85</f>
        <v>45195.63</v>
      </c>
      <c r="G445" s="186">
        <f t="shared" si="18"/>
        <v>130.98525045452405</v>
      </c>
      <c r="H445" s="186">
        <f t="shared" si="19"/>
        <v>130.98525045452405</v>
      </c>
      <c r="I445" s="186">
        <v>130.98525045452405</v>
      </c>
      <c r="J445" s="186">
        <f t="shared" si="20"/>
        <v>0</v>
      </c>
      <c r="K445" s="177" t="s">
        <v>9044</v>
      </c>
    </row>
    <row r="446" spans="1:11" ht="27" customHeight="1" x14ac:dyDescent="0.3">
      <c r="A446" s="180" t="s">
        <v>106</v>
      </c>
      <c r="B446" s="180">
        <v>2021</v>
      </c>
      <c r="C446" s="180">
        <v>8</v>
      </c>
      <c r="D446" s="180" t="s">
        <v>9045</v>
      </c>
      <c r="E446" s="187">
        <f>365*AVERAGE(MLCF!C32,MLCF!D32)</f>
        <v>863559.70499999996</v>
      </c>
      <c r="F446" s="187">
        <f>MLCF!D84</f>
        <v>35538.300999999999</v>
      </c>
      <c r="G446" s="185">
        <f t="shared" si="18"/>
        <v>24.299408826550263</v>
      </c>
      <c r="H446" s="185">
        <f t="shared" si="19"/>
        <v>24.299408826550263</v>
      </c>
      <c r="I446" s="185">
        <v>24.299408826550263</v>
      </c>
      <c r="J446" s="185">
        <f t="shared" si="20"/>
        <v>0</v>
      </c>
      <c r="K446" s="180" t="s">
        <v>9047</v>
      </c>
    </row>
    <row r="447" spans="1:11" ht="27" customHeight="1" x14ac:dyDescent="0.3">
      <c r="A447" s="177" t="s">
        <v>106</v>
      </c>
      <c r="B447" s="177">
        <v>2022</v>
      </c>
      <c r="C447" s="177">
        <v>8</v>
      </c>
      <c r="D447" s="177" t="s">
        <v>9045</v>
      </c>
      <c r="E447" s="188">
        <f>365*AVERAGE(MLCF!D32,MLCF!E32)</f>
        <v>683629.67</v>
      </c>
      <c r="F447" s="188">
        <f>MLCF!E84</f>
        <v>48519.622000000003</v>
      </c>
      <c r="G447" s="186">
        <f t="shared" si="18"/>
        <v>14.089756717395696</v>
      </c>
      <c r="H447" s="186">
        <f t="shared" si="19"/>
        <v>14.089756717395696</v>
      </c>
      <c r="I447" s="186">
        <v>14.089756717395696</v>
      </c>
      <c r="J447" s="186">
        <f t="shared" si="20"/>
        <v>0</v>
      </c>
      <c r="K447" s="177" t="s">
        <v>9047</v>
      </c>
    </row>
    <row r="448" spans="1:11" ht="27" customHeight="1" x14ac:dyDescent="0.3">
      <c r="A448" s="180" t="s">
        <v>106</v>
      </c>
      <c r="B448" s="180">
        <v>2023</v>
      </c>
      <c r="C448" s="180">
        <v>8</v>
      </c>
      <c r="D448" s="180" t="s">
        <v>9045</v>
      </c>
      <c r="E448" s="187">
        <f>365*AVERAGE(MLCF!E32,MLCF!F32)</f>
        <v>851763.45250000001</v>
      </c>
      <c r="F448" s="187">
        <f>MLCF!F84</f>
        <v>62075.258999999998</v>
      </c>
      <c r="G448" s="185">
        <f t="shared" si="18"/>
        <v>13.72146433573479</v>
      </c>
      <c r="H448" s="185">
        <f t="shared" si="19"/>
        <v>13.72146433573479</v>
      </c>
      <c r="I448" s="185">
        <v>13.72146433573479</v>
      </c>
      <c r="J448" s="185">
        <f t="shared" si="20"/>
        <v>0</v>
      </c>
      <c r="K448" s="180" t="s">
        <v>9047</v>
      </c>
    </row>
    <row r="449" spans="1:11" ht="27" customHeight="1" x14ac:dyDescent="0.3">
      <c r="A449" s="177" t="s">
        <v>106</v>
      </c>
      <c r="B449" s="177">
        <v>2024</v>
      </c>
      <c r="C449" s="177">
        <v>8</v>
      </c>
      <c r="D449" s="177" t="s">
        <v>9045</v>
      </c>
      <c r="E449" s="188">
        <f>365*AVERAGE(MLCF!F32,MLCF!G32)</f>
        <v>1239125.7249999999</v>
      </c>
      <c r="F449" s="188">
        <f>MLCF!G84</f>
        <v>66452.347999999998</v>
      </c>
      <c r="G449" s="186">
        <f t="shared" si="18"/>
        <v>18.646831335440545</v>
      </c>
      <c r="H449" s="186">
        <f t="shared" si="19"/>
        <v>18.646831335440545</v>
      </c>
      <c r="I449" s="186">
        <v>18.646831335440545</v>
      </c>
      <c r="J449" s="186">
        <f t="shared" si="20"/>
        <v>0</v>
      </c>
      <c r="K449" s="177" t="s">
        <v>9047</v>
      </c>
    </row>
    <row r="450" spans="1:11" ht="27" customHeight="1" x14ac:dyDescent="0.3">
      <c r="A450" s="180" t="s">
        <v>106</v>
      </c>
      <c r="B450" s="180">
        <v>2025</v>
      </c>
      <c r="C450" s="180">
        <v>8</v>
      </c>
      <c r="D450" s="180" t="s">
        <v>9045</v>
      </c>
      <c r="E450" s="187">
        <f>365*AVERAGE(MLCF!G32,MLCF!H32)</f>
        <v>1605804.1775</v>
      </c>
      <c r="F450" s="187">
        <f>MLCF!H84</f>
        <v>68942.445999999996</v>
      </c>
      <c r="G450" s="185">
        <f t="shared" si="18"/>
        <v>23.291952500495849</v>
      </c>
      <c r="H450" s="185">
        <f t="shared" si="19"/>
        <v>23.291952500495849</v>
      </c>
      <c r="I450" s="185">
        <v>23.291952500495849</v>
      </c>
      <c r="J450" s="185">
        <f t="shared" si="20"/>
        <v>0</v>
      </c>
      <c r="K450" s="180" t="s">
        <v>9047</v>
      </c>
    </row>
    <row r="451" spans="1:11" ht="27" customHeight="1" x14ac:dyDescent="0.3">
      <c r="A451" s="177" t="s">
        <v>106</v>
      </c>
      <c r="B451" s="177">
        <v>2021</v>
      </c>
      <c r="C451" s="177">
        <v>9</v>
      </c>
      <c r="D451" s="177" t="s">
        <v>9048</v>
      </c>
      <c r="E451" s="188">
        <f>MLCF!D84</f>
        <v>35538.300999999999</v>
      </c>
      <c r="F451" s="188">
        <f>MLCF!D20</f>
        <v>44215.538999999997</v>
      </c>
      <c r="G451" s="186">
        <f t="shared" si="18"/>
        <v>0.8037513915639477</v>
      </c>
      <c r="H451" s="186">
        <f t="shared" si="19"/>
        <v>0.8037513915639477</v>
      </c>
      <c r="I451" s="186">
        <v>0.8037513915639477</v>
      </c>
      <c r="J451" s="186">
        <f t="shared" si="20"/>
        <v>0</v>
      </c>
      <c r="K451" s="177" t="s">
        <v>9050</v>
      </c>
    </row>
    <row r="452" spans="1:11" ht="27" customHeight="1" x14ac:dyDescent="0.3">
      <c r="A452" s="180" t="s">
        <v>106</v>
      </c>
      <c r="B452" s="180">
        <v>2022</v>
      </c>
      <c r="C452" s="180">
        <v>9</v>
      </c>
      <c r="D452" s="180" t="s">
        <v>9048</v>
      </c>
      <c r="E452" s="187">
        <f>MLCF!E84</f>
        <v>48519.622000000003</v>
      </c>
      <c r="F452" s="187">
        <f>MLCF!E20</f>
        <v>56784.84</v>
      </c>
      <c r="G452" s="185">
        <f t="shared" si="18"/>
        <v>0.85444675022417971</v>
      </c>
      <c r="H452" s="185">
        <f t="shared" si="19"/>
        <v>0.85444675022417971</v>
      </c>
      <c r="I452" s="185">
        <v>0.85444675022417971</v>
      </c>
      <c r="J452" s="185">
        <f t="shared" si="20"/>
        <v>0</v>
      </c>
      <c r="K452" s="180" t="s">
        <v>9050</v>
      </c>
    </row>
    <row r="453" spans="1:11" ht="27" customHeight="1" x14ac:dyDescent="0.3">
      <c r="A453" s="177" t="s">
        <v>106</v>
      </c>
      <c r="B453" s="177">
        <v>2023</v>
      </c>
      <c r="C453" s="177">
        <v>9</v>
      </c>
      <c r="D453" s="177" t="s">
        <v>9048</v>
      </c>
      <c r="E453" s="188">
        <f>MLCF!F84</f>
        <v>62075.258999999998</v>
      </c>
      <c r="F453" s="188">
        <f>MLCF!F20</f>
        <v>62354.608</v>
      </c>
      <c r="G453" s="186">
        <f t="shared" si="18"/>
        <v>0.99551999428815263</v>
      </c>
      <c r="H453" s="186">
        <f t="shared" si="19"/>
        <v>0.99551999428815263</v>
      </c>
      <c r="I453" s="186">
        <v>0.99551999428815263</v>
      </c>
      <c r="J453" s="186">
        <f t="shared" si="20"/>
        <v>0</v>
      </c>
      <c r="K453" s="177" t="s">
        <v>9050</v>
      </c>
    </row>
    <row r="454" spans="1:11" ht="27" customHeight="1" x14ac:dyDescent="0.3">
      <c r="A454" s="180" t="s">
        <v>106</v>
      </c>
      <c r="B454" s="180">
        <v>2024</v>
      </c>
      <c r="C454" s="180">
        <v>9</v>
      </c>
      <c r="D454" s="180" t="s">
        <v>9048</v>
      </c>
      <c r="E454" s="187">
        <f>MLCF!G84</f>
        <v>66452.347999999998</v>
      </c>
      <c r="F454" s="187">
        <f>MLCF!G20</f>
        <v>65995.597999999998</v>
      </c>
      <c r="G454" s="185">
        <f t="shared" ref="G454:G517" si="21">IF(OR(NOT(ISNUMBER(E454)),NOT(ISNUMBER(F454)),F454=0),"n/m",E454/F454)</f>
        <v>1.0069209161495893</v>
      </c>
      <c r="H454" s="185">
        <f t="shared" ref="H454:H517" si="22">IF(OR(NOT(ISNUMBER(E454)),NOT(ISNUMBER(F454))),"n/m",IF(OR((F454)&lt;=0,(E454)&lt;0),"n/m",(E454)/(F454)))</f>
        <v>1.0069209161495893</v>
      </c>
      <c r="I454" s="185">
        <v>1.0069209161495893</v>
      </c>
      <c r="J454" s="185">
        <f t="shared" ref="J454:J517" si="23">IF(AND(ISNUMBER(G454),ISNUMBER(I454)),G454-I454,IF(G454=I454,0,"Review"))</f>
        <v>0</v>
      </c>
      <c r="K454" s="180" t="s">
        <v>9050</v>
      </c>
    </row>
    <row r="455" spans="1:11" ht="27" customHeight="1" x14ac:dyDescent="0.3">
      <c r="A455" s="177" t="s">
        <v>106</v>
      </c>
      <c r="B455" s="177">
        <v>2025</v>
      </c>
      <c r="C455" s="177">
        <v>9</v>
      </c>
      <c r="D455" s="177" t="s">
        <v>9048</v>
      </c>
      <c r="E455" s="188">
        <f>MLCF!H84</f>
        <v>68942.445999999996</v>
      </c>
      <c r="F455" s="188">
        <f>MLCF!H20</f>
        <v>62836.212</v>
      </c>
      <c r="G455" s="186">
        <f t="shared" si="21"/>
        <v>1.0971769908727151</v>
      </c>
      <c r="H455" s="186">
        <f t="shared" si="22"/>
        <v>1.0971769908727151</v>
      </c>
      <c r="I455" s="186">
        <v>1.0971769908727151</v>
      </c>
      <c r="J455" s="186">
        <f t="shared" si="23"/>
        <v>0</v>
      </c>
      <c r="K455" s="177" t="s">
        <v>9050</v>
      </c>
    </row>
    <row r="456" spans="1:11" ht="27" customHeight="1" x14ac:dyDescent="0.3">
      <c r="A456" s="180" t="s">
        <v>106</v>
      </c>
      <c r="B456" s="180">
        <v>2021</v>
      </c>
      <c r="C456" s="180">
        <v>10</v>
      </c>
      <c r="D456" s="180" t="s">
        <v>9052</v>
      </c>
      <c r="E456" s="187">
        <f>MLCF!D84</f>
        <v>35538.300999999999</v>
      </c>
      <c r="F456" s="187">
        <f>MLCF!D37</f>
        <v>66239.277999999991</v>
      </c>
      <c r="G456" s="185">
        <f t="shared" si="21"/>
        <v>0.53651401514370378</v>
      </c>
      <c r="H456" s="185">
        <f t="shared" si="22"/>
        <v>0.53651401514370378</v>
      </c>
      <c r="I456" s="185">
        <v>0.53651401514370378</v>
      </c>
      <c r="J456" s="185">
        <f t="shared" si="23"/>
        <v>0</v>
      </c>
      <c r="K456" s="180" t="s">
        <v>9054</v>
      </c>
    </row>
    <row r="457" spans="1:11" ht="27" customHeight="1" x14ac:dyDescent="0.3">
      <c r="A457" s="177" t="s">
        <v>106</v>
      </c>
      <c r="B457" s="177">
        <v>2022</v>
      </c>
      <c r="C457" s="177">
        <v>10</v>
      </c>
      <c r="D457" s="177" t="s">
        <v>9052</v>
      </c>
      <c r="E457" s="188">
        <f>MLCF!E84</f>
        <v>48519.622000000003</v>
      </c>
      <c r="F457" s="188">
        <f>MLCF!E37</f>
        <v>82214.209999999992</v>
      </c>
      <c r="G457" s="186">
        <f t="shared" si="21"/>
        <v>0.59016101960962719</v>
      </c>
      <c r="H457" s="186">
        <f t="shared" si="22"/>
        <v>0.59016101960962719</v>
      </c>
      <c r="I457" s="186">
        <v>0.59016101960962719</v>
      </c>
      <c r="J457" s="186">
        <f t="shared" si="23"/>
        <v>0</v>
      </c>
      <c r="K457" s="177" t="s">
        <v>9054</v>
      </c>
    </row>
    <row r="458" spans="1:11" ht="27" customHeight="1" x14ac:dyDescent="0.3">
      <c r="A458" s="180" t="s">
        <v>106</v>
      </c>
      <c r="B458" s="180">
        <v>2023</v>
      </c>
      <c r="C458" s="180">
        <v>10</v>
      </c>
      <c r="D458" s="180" t="s">
        <v>9052</v>
      </c>
      <c r="E458" s="187">
        <f>MLCF!F84</f>
        <v>62075.258999999998</v>
      </c>
      <c r="F458" s="187">
        <f>MLCF!F37</f>
        <v>89707.71100000001</v>
      </c>
      <c r="G458" s="185">
        <f t="shared" si="21"/>
        <v>0.69197238797008198</v>
      </c>
      <c r="H458" s="185">
        <f t="shared" si="22"/>
        <v>0.69197238797008198</v>
      </c>
      <c r="I458" s="185">
        <v>0.69197238797008209</v>
      </c>
      <c r="J458" s="185">
        <f t="shared" si="23"/>
        <v>-1.1102230246251565E-16</v>
      </c>
      <c r="K458" s="180" t="s">
        <v>9054</v>
      </c>
    </row>
    <row r="459" spans="1:11" ht="27" customHeight="1" x14ac:dyDescent="0.3">
      <c r="A459" s="177" t="s">
        <v>106</v>
      </c>
      <c r="B459" s="177">
        <v>2024</v>
      </c>
      <c r="C459" s="177">
        <v>10</v>
      </c>
      <c r="D459" s="177" t="s">
        <v>9052</v>
      </c>
      <c r="E459" s="188">
        <f>MLCF!G84</f>
        <v>66452.347999999998</v>
      </c>
      <c r="F459" s="188">
        <f>MLCF!G37</f>
        <v>99365.682000000001</v>
      </c>
      <c r="G459" s="186">
        <f t="shared" si="21"/>
        <v>0.66876558045462819</v>
      </c>
      <c r="H459" s="186">
        <f t="shared" si="22"/>
        <v>0.66876558045462819</v>
      </c>
      <c r="I459" s="186">
        <v>0.66876558045462819</v>
      </c>
      <c r="J459" s="186">
        <f t="shared" si="23"/>
        <v>0</v>
      </c>
      <c r="K459" s="177" t="s">
        <v>9054</v>
      </c>
    </row>
    <row r="460" spans="1:11" ht="27" customHeight="1" x14ac:dyDescent="0.3">
      <c r="A460" s="180" t="s">
        <v>106</v>
      </c>
      <c r="B460" s="180">
        <v>2025</v>
      </c>
      <c r="C460" s="180">
        <v>10</v>
      </c>
      <c r="D460" s="180" t="s">
        <v>9052</v>
      </c>
      <c r="E460" s="187">
        <f>MLCF!H84</f>
        <v>68942.445999999996</v>
      </c>
      <c r="F460" s="187">
        <f>MLCF!H37</f>
        <v>119106.27099999998</v>
      </c>
      <c r="G460" s="185">
        <f t="shared" si="21"/>
        <v>0.57883136984449801</v>
      </c>
      <c r="H460" s="185">
        <f t="shared" si="22"/>
        <v>0.57883136984449801</v>
      </c>
      <c r="I460" s="185">
        <v>0.5788313698444979</v>
      </c>
      <c r="J460" s="185">
        <f t="shared" si="23"/>
        <v>1.1102230246251565E-16</v>
      </c>
      <c r="K460" s="180" t="s">
        <v>9054</v>
      </c>
    </row>
    <row r="461" spans="1:11" ht="27" customHeight="1" x14ac:dyDescent="0.3">
      <c r="A461" s="177" t="s">
        <v>106</v>
      </c>
      <c r="B461" s="177">
        <v>2021</v>
      </c>
      <c r="C461" s="177">
        <v>11</v>
      </c>
      <c r="D461" s="177" t="s">
        <v>9055</v>
      </c>
      <c r="E461" s="188">
        <f>MLCF!D62</f>
        <v>28696.736999999994</v>
      </c>
      <c r="F461" s="188">
        <f>MLCF!D37</f>
        <v>66239.277999999991</v>
      </c>
      <c r="G461" s="186">
        <f t="shared" si="21"/>
        <v>0.43322840867921292</v>
      </c>
      <c r="H461" s="186">
        <f t="shared" si="22"/>
        <v>0.43322840867921292</v>
      </c>
      <c r="I461" s="186">
        <v>0.43322840867921303</v>
      </c>
      <c r="J461" s="186">
        <f t="shared" si="23"/>
        <v>-1.1102230246251565E-16</v>
      </c>
      <c r="K461" s="177" t="s">
        <v>9057</v>
      </c>
    </row>
    <row r="462" spans="1:11" ht="27" customHeight="1" x14ac:dyDescent="0.3">
      <c r="A462" s="180" t="s">
        <v>106</v>
      </c>
      <c r="B462" s="180">
        <v>2022</v>
      </c>
      <c r="C462" s="180">
        <v>11</v>
      </c>
      <c r="D462" s="180" t="s">
        <v>9055</v>
      </c>
      <c r="E462" s="187">
        <f>MLCF!E62</f>
        <v>41655.195</v>
      </c>
      <c r="F462" s="187">
        <f>MLCF!E37</f>
        <v>82214.209999999992</v>
      </c>
      <c r="G462" s="185">
        <f t="shared" si="21"/>
        <v>0.50666660909348882</v>
      </c>
      <c r="H462" s="185">
        <f t="shared" si="22"/>
        <v>0.50666660909348882</v>
      </c>
      <c r="I462" s="185">
        <v>0.50666660909348882</v>
      </c>
      <c r="J462" s="185">
        <f t="shared" si="23"/>
        <v>0</v>
      </c>
      <c r="K462" s="180" t="s">
        <v>9057</v>
      </c>
    </row>
    <row r="463" spans="1:11" ht="27" customHeight="1" x14ac:dyDescent="0.3">
      <c r="A463" s="177" t="s">
        <v>106</v>
      </c>
      <c r="B463" s="177">
        <v>2023</v>
      </c>
      <c r="C463" s="177">
        <v>11</v>
      </c>
      <c r="D463" s="177" t="s">
        <v>9055</v>
      </c>
      <c r="E463" s="188">
        <f>MLCF!F62</f>
        <v>44794.596999999994</v>
      </c>
      <c r="F463" s="188">
        <f>MLCF!F37</f>
        <v>89707.71100000001</v>
      </c>
      <c r="G463" s="186">
        <f t="shared" si="21"/>
        <v>0.49933942690835115</v>
      </c>
      <c r="H463" s="186">
        <f t="shared" si="22"/>
        <v>0.49933942690835115</v>
      </c>
      <c r="I463" s="186">
        <v>0.49933942690835126</v>
      </c>
      <c r="J463" s="186">
        <f t="shared" si="23"/>
        <v>-1.1102230246251565E-16</v>
      </c>
      <c r="K463" s="177" t="s">
        <v>9057</v>
      </c>
    </row>
    <row r="464" spans="1:11" ht="27" customHeight="1" x14ac:dyDescent="0.3">
      <c r="A464" s="180" t="s">
        <v>106</v>
      </c>
      <c r="B464" s="180">
        <v>2024</v>
      </c>
      <c r="C464" s="180">
        <v>11</v>
      </c>
      <c r="D464" s="180" t="s">
        <v>9055</v>
      </c>
      <c r="E464" s="187">
        <f>MLCF!G62</f>
        <v>46749.774000000005</v>
      </c>
      <c r="F464" s="187">
        <f>MLCF!G37</f>
        <v>99365.682000000001</v>
      </c>
      <c r="G464" s="185">
        <f t="shared" si="21"/>
        <v>0.4704820926001394</v>
      </c>
      <c r="H464" s="185">
        <f t="shared" si="22"/>
        <v>0.4704820926001394</v>
      </c>
      <c r="I464" s="185">
        <v>0.4704820926001394</v>
      </c>
      <c r="J464" s="185">
        <f t="shared" si="23"/>
        <v>0</v>
      </c>
      <c r="K464" s="180" t="s">
        <v>9057</v>
      </c>
    </row>
    <row r="465" spans="1:11" ht="27" customHeight="1" x14ac:dyDescent="0.3">
      <c r="A465" s="177" t="s">
        <v>106</v>
      </c>
      <c r="B465" s="177">
        <v>2025</v>
      </c>
      <c r="C465" s="177">
        <v>11</v>
      </c>
      <c r="D465" s="177" t="s">
        <v>9055</v>
      </c>
      <c r="E465" s="188">
        <f>MLCF!H62</f>
        <v>47644.679000000004</v>
      </c>
      <c r="F465" s="188">
        <f>MLCF!H37</f>
        <v>119106.27099999998</v>
      </c>
      <c r="G465" s="186">
        <f t="shared" si="21"/>
        <v>0.40001822406143511</v>
      </c>
      <c r="H465" s="186">
        <f t="shared" si="22"/>
        <v>0.40001822406143511</v>
      </c>
      <c r="I465" s="186">
        <v>0.400018224061435</v>
      </c>
      <c r="J465" s="186">
        <f t="shared" si="23"/>
        <v>1.1102230246251565E-16</v>
      </c>
      <c r="K465" s="177" t="s">
        <v>9057</v>
      </c>
    </row>
    <row r="466" spans="1:11" ht="27" customHeight="1" x14ac:dyDescent="0.3">
      <c r="A466" s="180" t="s">
        <v>106</v>
      </c>
      <c r="B466" s="180">
        <v>2021</v>
      </c>
      <c r="C466" s="180">
        <v>12</v>
      </c>
      <c r="D466" s="180" t="s">
        <v>9058</v>
      </c>
      <c r="E466" s="187">
        <f>MLCF!D66</f>
        <v>16235.475999999999</v>
      </c>
      <c r="F466" s="187">
        <f>MLCF!D41</f>
        <v>37542.540999999997</v>
      </c>
      <c r="G466" s="185">
        <f t="shared" si="21"/>
        <v>0.43245543768601064</v>
      </c>
      <c r="H466" s="185">
        <f t="shared" si="22"/>
        <v>0.43245543768601064</v>
      </c>
      <c r="I466" s="185">
        <v>0.43245543768601069</v>
      </c>
      <c r="J466" s="185">
        <f t="shared" si="23"/>
        <v>-5.5511151231257827E-17</v>
      </c>
      <c r="K466" s="180" t="s">
        <v>9060</v>
      </c>
    </row>
    <row r="467" spans="1:11" ht="27" customHeight="1" x14ac:dyDescent="0.3">
      <c r="A467" s="177" t="s">
        <v>106</v>
      </c>
      <c r="B467" s="177">
        <v>2022</v>
      </c>
      <c r="C467" s="177">
        <v>12</v>
      </c>
      <c r="D467" s="177" t="s">
        <v>9058</v>
      </c>
      <c r="E467" s="188">
        <f>MLCF!E66</f>
        <v>24973.713999999996</v>
      </c>
      <c r="F467" s="188">
        <f>MLCF!E41</f>
        <v>40559.014999999999</v>
      </c>
      <c r="G467" s="186">
        <f t="shared" si="21"/>
        <v>0.61573768495117542</v>
      </c>
      <c r="H467" s="186">
        <f t="shared" si="22"/>
        <v>0.61573768495117542</v>
      </c>
      <c r="I467" s="186">
        <v>0.61573768495117542</v>
      </c>
      <c r="J467" s="186">
        <f t="shared" si="23"/>
        <v>0</v>
      </c>
      <c r="K467" s="177" t="s">
        <v>9060</v>
      </c>
    </row>
    <row r="468" spans="1:11" ht="27" customHeight="1" x14ac:dyDescent="0.3">
      <c r="A468" s="180" t="s">
        <v>106</v>
      </c>
      <c r="B468" s="180">
        <v>2023</v>
      </c>
      <c r="C468" s="180">
        <v>12</v>
      </c>
      <c r="D468" s="180" t="s">
        <v>9058</v>
      </c>
      <c r="E468" s="187">
        <f>MLCF!F66</f>
        <v>19874.403000000002</v>
      </c>
      <c r="F468" s="187">
        <f>MLCF!F41</f>
        <v>44913.114000000001</v>
      </c>
      <c r="G468" s="185">
        <f t="shared" si="21"/>
        <v>0.44250779404874935</v>
      </c>
      <c r="H468" s="185">
        <f t="shared" si="22"/>
        <v>0.44250779404874935</v>
      </c>
      <c r="I468" s="185">
        <v>0.44250779404874929</v>
      </c>
      <c r="J468" s="185">
        <f t="shared" si="23"/>
        <v>5.5511151231257827E-17</v>
      </c>
      <c r="K468" s="180" t="s">
        <v>9060</v>
      </c>
    </row>
    <row r="469" spans="1:11" ht="27" customHeight="1" x14ac:dyDescent="0.3">
      <c r="A469" s="177" t="s">
        <v>106</v>
      </c>
      <c r="B469" s="177">
        <v>2024</v>
      </c>
      <c r="C469" s="177">
        <v>12</v>
      </c>
      <c r="D469" s="177" t="s">
        <v>9058</v>
      </c>
      <c r="E469" s="188">
        <f>MLCF!G66</f>
        <v>19387.383000000002</v>
      </c>
      <c r="F469" s="188">
        <f>MLCF!G41</f>
        <v>52615.907999999996</v>
      </c>
      <c r="G469" s="186">
        <f t="shared" si="21"/>
        <v>0.36846998820204724</v>
      </c>
      <c r="H469" s="186">
        <f t="shared" si="22"/>
        <v>0.36846998820204724</v>
      </c>
      <c r="I469" s="186">
        <v>0.36846998820204724</v>
      </c>
      <c r="J469" s="186">
        <f t="shared" si="23"/>
        <v>0</v>
      </c>
      <c r="K469" s="177" t="s">
        <v>9060</v>
      </c>
    </row>
    <row r="470" spans="1:11" ht="27" customHeight="1" x14ac:dyDescent="0.3">
      <c r="A470" s="180" t="s">
        <v>106</v>
      </c>
      <c r="B470" s="180">
        <v>2025</v>
      </c>
      <c r="C470" s="180">
        <v>12</v>
      </c>
      <c r="D470" s="180" t="s">
        <v>9058</v>
      </c>
      <c r="E470" s="187">
        <f>MLCF!H66</f>
        <v>14580.07</v>
      </c>
      <c r="F470" s="187">
        <f>MLCF!H41</f>
        <v>71461.592000000004</v>
      </c>
      <c r="G470" s="185">
        <f t="shared" si="21"/>
        <v>0.20402666092297522</v>
      </c>
      <c r="H470" s="185">
        <f t="shared" si="22"/>
        <v>0.20402666092297522</v>
      </c>
      <c r="I470" s="185">
        <v>0.20402666092297522</v>
      </c>
      <c r="J470" s="185">
        <f t="shared" si="23"/>
        <v>0</v>
      </c>
      <c r="K470" s="180" t="s">
        <v>9060</v>
      </c>
    </row>
    <row r="471" spans="1:11" ht="27" customHeight="1" x14ac:dyDescent="0.3">
      <c r="A471" s="177" t="s">
        <v>106</v>
      </c>
      <c r="B471" s="177">
        <v>2021</v>
      </c>
      <c r="C471" s="177">
        <v>13</v>
      </c>
      <c r="D471" s="177" t="s">
        <v>9062</v>
      </c>
      <c r="E471" s="188">
        <f>MLCF!D66</f>
        <v>16235.475999999999</v>
      </c>
      <c r="F471" s="188">
        <f>MLCF!D66+MLCF!D41</f>
        <v>53778.016999999993</v>
      </c>
      <c r="G471" s="186">
        <f t="shared" si="21"/>
        <v>0.30189800416032447</v>
      </c>
      <c r="H471" s="186">
        <f t="shared" si="22"/>
        <v>0.30189800416032447</v>
      </c>
      <c r="I471" s="186">
        <v>0.30189800416032447</v>
      </c>
      <c r="J471" s="186">
        <f t="shared" si="23"/>
        <v>0</v>
      </c>
      <c r="K471" s="177" t="s">
        <v>9060</v>
      </c>
    </row>
    <row r="472" spans="1:11" ht="27" customHeight="1" x14ac:dyDescent="0.3">
      <c r="A472" s="180" t="s">
        <v>106</v>
      </c>
      <c r="B472" s="180">
        <v>2022</v>
      </c>
      <c r="C472" s="180">
        <v>13</v>
      </c>
      <c r="D472" s="180" t="s">
        <v>9062</v>
      </c>
      <c r="E472" s="187">
        <f>MLCF!E66</f>
        <v>24973.713999999996</v>
      </c>
      <c r="F472" s="187">
        <f>MLCF!E66+MLCF!E41</f>
        <v>65532.728999999992</v>
      </c>
      <c r="G472" s="185">
        <f t="shared" si="21"/>
        <v>0.381087654689308</v>
      </c>
      <c r="H472" s="185">
        <f t="shared" si="22"/>
        <v>0.381087654689308</v>
      </c>
      <c r="I472" s="185">
        <v>0.381087654689308</v>
      </c>
      <c r="J472" s="185">
        <f t="shared" si="23"/>
        <v>0</v>
      </c>
      <c r="K472" s="180" t="s">
        <v>9060</v>
      </c>
    </row>
    <row r="473" spans="1:11" ht="27" customHeight="1" x14ac:dyDescent="0.3">
      <c r="A473" s="177" t="s">
        <v>106</v>
      </c>
      <c r="B473" s="177">
        <v>2023</v>
      </c>
      <c r="C473" s="177">
        <v>13</v>
      </c>
      <c r="D473" s="177" t="s">
        <v>9062</v>
      </c>
      <c r="E473" s="188">
        <f>MLCF!F66</f>
        <v>19874.403000000002</v>
      </c>
      <c r="F473" s="188">
        <f>MLCF!F66+MLCF!F41</f>
        <v>64787.517000000007</v>
      </c>
      <c r="G473" s="186">
        <f t="shared" si="21"/>
        <v>0.30676284445350793</v>
      </c>
      <c r="H473" s="186">
        <f t="shared" si="22"/>
        <v>0.30676284445350793</v>
      </c>
      <c r="I473" s="186">
        <v>0.30676284445350788</v>
      </c>
      <c r="J473" s="186">
        <f t="shared" si="23"/>
        <v>5.5511151231257827E-17</v>
      </c>
      <c r="K473" s="177" t="s">
        <v>9060</v>
      </c>
    </row>
    <row r="474" spans="1:11" ht="27" customHeight="1" x14ac:dyDescent="0.3">
      <c r="A474" s="180" t="s">
        <v>106</v>
      </c>
      <c r="B474" s="180">
        <v>2024</v>
      </c>
      <c r="C474" s="180">
        <v>13</v>
      </c>
      <c r="D474" s="180" t="s">
        <v>9062</v>
      </c>
      <c r="E474" s="187">
        <f>MLCF!G66</f>
        <v>19387.383000000002</v>
      </c>
      <c r="F474" s="187">
        <f>MLCF!G66+MLCF!G41</f>
        <v>72003.290999999997</v>
      </c>
      <c r="G474" s="185">
        <f t="shared" si="21"/>
        <v>0.2692569010491479</v>
      </c>
      <c r="H474" s="185">
        <f t="shared" si="22"/>
        <v>0.2692569010491479</v>
      </c>
      <c r="I474" s="185">
        <v>0.2692569010491479</v>
      </c>
      <c r="J474" s="185">
        <f t="shared" si="23"/>
        <v>0</v>
      </c>
      <c r="K474" s="180" t="s">
        <v>9060</v>
      </c>
    </row>
    <row r="475" spans="1:11" ht="27" customHeight="1" x14ac:dyDescent="0.3">
      <c r="A475" s="177" t="s">
        <v>106</v>
      </c>
      <c r="B475" s="177">
        <v>2025</v>
      </c>
      <c r="C475" s="177">
        <v>13</v>
      </c>
      <c r="D475" s="177" t="s">
        <v>9062</v>
      </c>
      <c r="E475" s="188">
        <f>MLCF!H66</f>
        <v>14580.07</v>
      </c>
      <c r="F475" s="188">
        <f>MLCF!H66+MLCF!H41</f>
        <v>86041.662000000011</v>
      </c>
      <c r="G475" s="186">
        <f t="shared" si="21"/>
        <v>0.1694536072536581</v>
      </c>
      <c r="H475" s="186">
        <f t="shared" si="22"/>
        <v>0.1694536072536581</v>
      </c>
      <c r="I475" s="186">
        <v>0.1694536072536581</v>
      </c>
      <c r="J475" s="186">
        <f t="shared" si="23"/>
        <v>0</v>
      </c>
      <c r="K475" s="177" t="s">
        <v>9060</v>
      </c>
    </row>
    <row r="476" spans="1:11" ht="27" customHeight="1" x14ac:dyDescent="0.3">
      <c r="A476" s="180" t="s">
        <v>106</v>
      </c>
      <c r="B476" s="180">
        <v>2021</v>
      </c>
      <c r="C476" s="180">
        <v>14</v>
      </c>
      <c r="D476" s="180" t="s">
        <v>9064</v>
      </c>
      <c r="E476" s="187">
        <f>(MLCF!D96+MLCF!D106)</f>
        <v>8736.8789999999972</v>
      </c>
      <c r="F476" s="187">
        <f>MLCF!D106</f>
        <v>1447.278</v>
      </c>
      <c r="G476" s="185">
        <f t="shared" si="21"/>
        <v>6.0367662605249279</v>
      </c>
      <c r="H476" s="185">
        <f t="shared" si="22"/>
        <v>6.0367662605249279</v>
      </c>
      <c r="I476" s="185">
        <v>6.0367662605249279</v>
      </c>
      <c r="J476" s="185">
        <f t="shared" si="23"/>
        <v>0</v>
      </c>
      <c r="K476" s="180" t="s">
        <v>9066</v>
      </c>
    </row>
    <row r="477" spans="1:11" ht="27" customHeight="1" x14ac:dyDescent="0.3">
      <c r="A477" s="177" t="s">
        <v>106</v>
      </c>
      <c r="B477" s="177">
        <v>2022</v>
      </c>
      <c r="C477" s="177">
        <v>14</v>
      </c>
      <c r="D477" s="177" t="s">
        <v>9064</v>
      </c>
      <c r="E477" s="188">
        <f>(MLCF!E96+MLCF!E106)</f>
        <v>8873.5370000000003</v>
      </c>
      <c r="F477" s="188">
        <f>MLCF!E106</f>
        <v>1690.0250000000001</v>
      </c>
      <c r="G477" s="186">
        <f t="shared" si="21"/>
        <v>5.2505359388174728</v>
      </c>
      <c r="H477" s="186">
        <f t="shared" si="22"/>
        <v>5.2505359388174728</v>
      </c>
      <c r="I477" s="186">
        <v>5.2505359388174728</v>
      </c>
      <c r="J477" s="186">
        <f t="shared" si="23"/>
        <v>0</v>
      </c>
      <c r="K477" s="177" t="s">
        <v>9066</v>
      </c>
    </row>
    <row r="478" spans="1:11" ht="27" customHeight="1" x14ac:dyDescent="0.3">
      <c r="A478" s="180" t="s">
        <v>106</v>
      </c>
      <c r="B478" s="180">
        <v>2023</v>
      </c>
      <c r="C478" s="180">
        <v>14</v>
      </c>
      <c r="D478" s="180" t="s">
        <v>9064</v>
      </c>
      <c r="E478" s="187">
        <f>(MLCF!F96+MLCF!F106)</f>
        <v>11933.841999999997</v>
      </c>
      <c r="F478" s="187">
        <f>MLCF!F106</f>
        <v>2683.1750000000002</v>
      </c>
      <c r="G478" s="185">
        <f t="shared" si="21"/>
        <v>4.4476569735481268</v>
      </c>
      <c r="H478" s="185">
        <f t="shared" si="22"/>
        <v>4.4476569735481268</v>
      </c>
      <c r="I478" s="185">
        <v>4.4476569735481259</v>
      </c>
      <c r="J478" s="185">
        <f t="shared" si="23"/>
        <v>8.8817841970012523E-16</v>
      </c>
      <c r="K478" s="180" t="s">
        <v>9066</v>
      </c>
    </row>
    <row r="479" spans="1:11" ht="27" customHeight="1" x14ac:dyDescent="0.3">
      <c r="A479" s="177" t="s">
        <v>106</v>
      </c>
      <c r="B479" s="177">
        <v>2024</v>
      </c>
      <c r="C479" s="177">
        <v>14</v>
      </c>
      <c r="D479" s="177" t="s">
        <v>9064</v>
      </c>
      <c r="E479" s="188">
        <f>(MLCF!G96+MLCF!G106)</f>
        <v>12986.867999999999</v>
      </c>
      <c r="F479" s="188">
        <f>MLCF!G106</f>
        <v>4055.42</v>
      </c>
      <c r="G479" s="186">
        <f t="shared" si="21"/>
        <v>3.2023484620581835</v>
      </c>
      <c r="H479" s="186">
        <f t="shared" si="22"/>
        <v>3.2023484620581835</v>
      </c>
      <c r="I479" s="186">
        <v>3.2023484620581839</v>
      </c>
      <c r="J479" s="186">
        <f t="shared" si="23"/>
        <v>-4.4408920985006262E-16</v>
      </c>
      <c r="K479" s="177" t="s">
        <v>9066</v>
      </c>
    </row>
    <row r="480" spans="1:11" ht="27" customHeight="1" x14ac:dyDescent="0.3">
      <c r="A480" s="180" t="s">
        <v>106</v>
      </c>
      <c r="B480" s="180">
        <v>2025</v>
      </c>
      <c r="C480" s="180">
        <v>14</v>
      </c>
      <c r="D480" s="180" t="s">
        <v>9064</v>
      </c>
      <c r="E480" s="187">
        <f>(MLCF!H96+MLCF!H106)</f>
        <v>25078.190999999999</v>
      </c>
      <c r="F480" s="187">
        <f>MLCF!H106</f>
        <v>3413.9540000000002</v>
      </c>
      <c r="G480" s="185">
        <f t="shared" si="21"/>
        <v>7.3457905408215804</v>
      </c>
      <c r="H480" s="185">
        <f t="shared" si="22"/>
        <v>7.3457905408215804</v>
      </c>
      <c r="I480" s="185">
        <v>7.3457905408215804</v>
      </c>
      <c r="J480" s="185">
        <f t="shared" si="23"/>
        <v>0</v>
      </c>
      <c r="K480" s="180" t="s">
        <v>9066</v>
      </c>
    </row>
    <row r="481" spans="1:11" ht="27" customHeight="1" x14ac:dyDescent="0.3">
      <c r="A481" s="177" t="s">
        <v>106</v>
      </c>
      <c r="B481" s="177">
        <v>2021</v>
      </c>
      <c r="C481" s="177">
        <v>15</v>
      </c>
      <c r="D481" s="177" t="s">
        <v>9067</v>
      </c>
      <c r="E481" s="188">
        <f>MLCF!D86</f>
        <v>7402.8819999999978</v>
      </c>
      <c r="F481" s="188">
        <f>MLCF!D84</f>
        <v>35538.300999999999</v>
      </c>
      <c r="G481" s="186">
        <f t="shared" si="21"/>
        <v>0.20830714445240356</v>
      </c>
      <c r="H481" s="186">
        <f t="shared" si="22"/>
        <v>0.20830714445240356</v>
      </c>
      <c r="I481" s="186">
        <v>0.20830714445240356</v>
      </c>
      <c r="J481" s="186">
        <f t="shared" si="23"/>
        <v>0</v>
      </c>
      <c r="K481" s="177" t="s">
        <v>9069</v>
      </c>
    </row>
    <row r="482" spans="1:11" ht="27" customHeight="1" x14ac:dyDescent="0.3">
      <c r="A482" s="180" t="s">
        <v>106</v>
      </c>
      <c r="B482" s="180">
        <v>2022</v>
      </c>
      <c r="C482" s="180">
        <v>15</v>
      </c>
      <c r="D482" s="180" t="s">
        <v>9067</v>
      </c>
      <c r="E482" s="187">
        <f>MLCF!E86</f>
        <v>12275.466</v>
      </c>
      <c r="F482" s="187">
        <f>MLCF!E84</f>
        <v>48519.622000000003</v>
      </c>
      <c r="G482" s="185">
        <f t="shared" si="21"/>
        <v>0.25300003367709667</v>
      </c>
      <c r="H482" s="185">
        <f t="shared" si="22"/>
        <v>0.25300003367709667</v>
      </c>
      <c r="I482" s="185">
        <v>0.25300003367709667</v>
      </c>
      <c r="J482" s="185">
        <f t="shared" si="23"/>
        <v>0</v>
      </c>
      <c r="K482" s="180" t="s">
        <v>9069</v>
      </c>
    </row>
    <row r="483" spans="1:11" ht="27" customHeight="1" x14ac:dyDescent="0.3">
      <c r="A483" s="177" t="s">
        <v>106</v>
      </c>
      <c r="B483" s="177">
        <v>2023</v>
      </c>
      <c r="C483" s="177">
        <v>15</v>
      </c>
      <c r="D483" s="177" t="s">
        <v>9067</v>
      </c>
      <c r="E483" s="188">
        <f>MLCF!F86</f>
        <v>18173.352999999996</v>
      </c>
      <c r="F483" s="188">
        <f>MLCF!F84</f>
        <v>62075.258999999998</v>
      </c>
      <c r="G483" s="186">
        <f t="shared" si="21"/>
        <v>0.29276322471727417</v>
      </c>
      <c r="H483" s="186">
        <f t="shared" si="22"/>
        <v>0.29276322471727417</v>
      </c>
      <c r="I483" s="186">
        <v>0.29276322471727417</v>
      </c>
      <c r="J483" s="186">
        <f t="shared" si="23"/>
        <v>0</v>
      </c>
      <c r="K483" s="177" t="s">
        <v>9069</v>
      </c>
    </row>
    <row r="484" spans="1:11" ht="27" customHeight="1" x14ac:dyDescent="0.3">
      <c r="A484" s="180" t="s">
        <v>106</v>
      </c>
      <c r="B484" s="180">
        <v>2024</v>
      </c>
      <c r="C484" s="180">
        <v>15</v>
      </c>
      <c r="D484" s="180" t="s">
        <v>9067</v>
      </c>
      <c r="E484" s="187">
        <f>MLCF!G86</f>
        <v>20964.284</v>
      </c>
      <c r="F484" s="187">
        <f>MLCF!G84</f>
        <v>66452.347999999998</v>
      </c>
      <c r="G484" s="185">
        <f t="shared" si="21"/>
        <v>0.31547845382378364</v>
      </c>
      <c r="H484" s="185">
        <f t="shared" si="22"/>
        <v>0.31547845382378364</v>
      </c>
      <c r="I484" s="185">
        <v>0.31547845382378364</v>
      </c>
      <c r="J484" s="185">
        <f t="shared" si="23"/>
        <v>0</v>
      </c>
      <c r="K484" s="180" t="s">
        <v>9069</v>
      </c>
    </row>
    <row r="485" spans="1:11" ht="27" customHeight="1" x14ac:dyDescent="0.3">
      <c r="A485" s="177" t="s">
        <v>106</v>
      </c>
      <c r="B485" s="177">
        <v>2025</v>
      </c>
      <c r="C485" s="177">
        <v>15</v>
      </c>
      <c r="D485" s="177" t="s">
        <v>9067</v>
      </c>
      <c r="E485" s="188">
        <f>MLCF!H86</f>
        <v>23746.815999999999</v>
      </c>
      <c r="F485" s="188">
        <f>MLCF!H84</f>
        <v>68942.445999999996</v>
      </c>
      <c r="G485" s="186">
        <f t="shared" si="21"/>
        <v>0.34444405990469212</v>
      </c>
      <c r="H485" s="186">
        <f t="shared" si="22"/>
        <v>0.34444405990469212</v>
      </c>
      <c r="I485" s="186">
        <v>0.34444405990469212</v>
      </c>
      <c r="J485" s="186">
        <f t="shared" si="23"/>
        <v>0</v>
      </c>
      <c r="K485" s="177" t="s">
        <v>9069</v>
      </c>
    </row>
    <row r="486" spans="1:11" ht="27" customHeight="1" x14ac:dyDescent="0.3">
      <c r="A486" s="180" t="s">
        <v>106</v>
      </c>
      <c r="B486" s="180">
        <v>2021</v>
      </c>
      <c r="C486" s="180">
        <v>16</v>
      </c>
      <c r="D486" s="180" t="s">
        <v>9070</v>
      </c>
      <c r="E486" s="187">
        <f>(MLCF!D96+MLCF!D106)</f>
        <v>8736.8789999999972</v>
      </c>
      <c r="F486" s="187">
        <f>MLCF!D84</f>
        <v>35538.300999999999</v>
      </c>
      <c r="G486" s="185">
        <f t="shared" si="21"/>
        <v>0.24584402613957254</v>
      </c>
      <c r="H486" s="185">
        <f t="shared" si="22"/>
        <v>0.24584402613957254</v>
      </c>
      <c r="I486" s="185">
        <v>0.24584402613957254</v>
      </c>
      <c r="J486" s="185">
        <f t="shared" si="23"/>
        <v>0</v>
      </c>
      <c r="K486" s="180" t="s">
        <v>9072</v>
      </c>
    </row>
    <row r="487" spans="1:11" ht="27" customHeight="1" x14ac:dyDescent="0.3">
      <c r="A487" s="177" t="s">
        <v>106</v>
      </c>
      <c r="B487" s="177">
        <v>2022</v>
      </c>
      <c r="C487" s="177">
        <v>16</v>
      </c>
      <c r="D487" s="177" t="s">
        <v>9070</v>
      </c>
      <c r="E487" s="188">
        <f>(MLCF!E96+MLCF!E106)</f>
        <v>8873.5370000000003</v>
      </c>
      <c r="F487" s="188">
        <f>MLCF!E84</f>
        <v>48519.622000000003</v>
      </c>
      <c r="G487" s="186">
        <f t="shared" si="21"/>
        <v>0.18288553443388325</v>
      </c>
      <c r="H487" s="186">
        <f t="shared" si="22"/>
        <v>0.18288553443388325</v>
      </c>
      <c r="I487" s="186">
        <v>0.18288553443388325</v>
      </c>
      <c r="J487" s="186">
        <f t="shared" si="23"/>
        <v>0</v>
      </c>
      <c r="K487" s="177" t="s">
        <v>9072</v>
      </c>
    </row>
    <row r="488" spans="1:11" ht="27" customHeight="1" x14ac:dyDescent="0.3">
      <c r="A488" s="180" t="s">
        <v>106</v>
      </c>
      <c r="B488" s="180">
        <v>2023</v>
      </c>
      <c r="C488" s="180">
        <v>16</v>
      </c>
      <c r="D488" s="180" t="s">
        <v>9070</v>
      </c>
      <c r="E488" s="187">
        <f>(MLCF!F96+MLCF!F106)</f>
        <v>11933.841999999997</v>
      </c>
      <c r="F488" s="187">
        <f>MLCF!F84</f>
        <v>62075.258999999998</v>
      </c>
      <c r="G488" s="185">
        <f t="shared" si="21"/>
        <v>0.19224796146239193</v>
      </c>
      <c r="H488" s="185">
        <f t="shared" si="22"/>
        <v>0.19224796146239193</v>
      </c>
      <c r="I488" s="185">
        <v>0.19224796146239187</v>
      </c>
      <c r="J488" s="185">
        <f t="shared" si="23"/>
        <v>5.5511151231257827E-17</v>
      </c>
      <c r="K488" s="180" t="s">
        <v>9072</v>
      </c>
    </row>
    <row r="489" spans="1:11" ht="27" customHeight="1" x14ac:dyDescent="0.3">
      <c r="A489" s="177" t="s">
        <v>106</v>
      </c>
      <c r="B489" s="177">
        <v>2024</v>
      </c>
      <c r="C489" s="177">
        <v>16</v>
      </c>
      <c r="D489" s="177" t="s">
        <v>9070</v>
      </c>
      <c r="E489" s="188">
        <f>(MLCF!G96+MLCF!G106)</f>
        <v>12986.867999999999</v>
      </c>
      <c r="F489" s="188">
        <f>MLCF!G84</f>
        <v>66452.347999999998</v>
      </c>
      <c r="G489" s="186">
        <f t="shared" si="21"/>
        <v>0.19543128859795894</v>
      </c>
      <c r="H489" s="186">
        <f t="shared" si="22"/>
        <v>0.19543128859795894</v>
      </c>
      <c r="I489" s="186">
        <v>0.19543128859795897</v>
      </c>
      <c r="J489" s="186">
        <f t="shared" si="23"/>
        <v>-2.7755575615628914E-17</v>
      </c>
      <c r="K489" s="177" t="s">
        <v>9072</v>
      </c>
    </row>
    <row r="490" spans="1:11" ht="27" customHeight="1" x14ac:dyDescent="0.3">
      <c r="A490" s="180" t="s">
        <v>106</v>
      </c>
      <c r="B490" s="180">
        <v>2025</v>
      </c>
      <c r="C490" s="180">
        <v>16</v>
      </c>
      <c r="D490" s="180" t="s">
        <v>9070</v>
      </c>
      <c r="E490" s="187">
        <f>(MLCF!H96+MLCF!H106)</f>
        <v>25078.190999999999</v>
      </c>
      <c r="F490" s="187">
        <f>MLCF!H84</f>
        <v>68942.445999999996</v>
      </c>
      <c r="G490" s="185">
        <f t="shared" si="21"/>
        <v>0.36375545770453227</v>
      </c>
      <c r="H490" s="185">
        <f t="shared" si="22"/>
        <v>0.36375545770453227</v>
      </c>
      <c r="I490" s="185">
        <v>0.36375545770453227</v>
      </c>
      <c r="J490" s="185">
        <f t="shared" si="23"/>
        <v>0</v>
      </c>
      <c r="K490" s="180" t="s">
        <v>9072</v>
      </c>
    </row>
    <row r="491" spans="1:11" ht="27" customHeight="1" x14ac:dyDescent="0.3">
      <c r="A491" s="177" t="s">
        <v>106</v>
      </c>
      <c r="B491" s="177">
        <v>2021</v>
      </c>
      <c r="C491" s="177">
        <v>17</v>
      </c>
      <c r="D491" s="177" t="s">
        <v>9074</v>
      </c>
      <c r="E491" s="188">
        <f>MLCF!D99</f>
        <v>6254.1089999999967</v>
      </c>
      <c r="F491" s="188">
        <f>MLCF!D84</f>
        <v>35538.300999999999</v>
      </c>
      <c r="G491" s="186">
        <f t="shared" si="21"/>
        <v>0.1759822170452098</v>
      </c>
      <c r="H491" s="186">
        <f t="shared" si="22"/>
        <v>0.1759822170452098</v>
      </c>
      <c r="I491" s="186">
        <v>0.17598221704520983</v>
      </c>
      <c r="J491" s="186">
        <f t="shared" si="23"/>
        <v>-2.7755575615628914E-17</v>
      </c>
      <c r="K491" s="177" t="s">
        <v>9076</v>
      </c>
    </row>
    <row r="492" spans="1:11" ht="27" customHeight="1" x14ac:dyDescent="0.3">
      <c r="A492" s="180" t="s">
        <v>106</v>
      </c>
      <c r="B492" s="180">
        <v>2022</v>
      </c>
      <c r="C492" s="180">
        <v>17</v>
      </c>
      <c r="D492" s="180" t="s">
        <v>9074</v>
      </c>
      <c r="E492" s="187">
        <f>MLCF!E99</f>
        <v>3626.3400000000006</v>
      </c>
      <c r="F492" s="187">
        <f>MLCF!E84</f>
        <v>48519.622000000003</v>
      </c>
      <c r="G492" s="185">
        <f t="shared" si="21"/>
        <v>7.4739658936337147E-2</v>
      </c>
      <c r="H492" s="185">
        <f t="shared" si="22"/>
        <v>7.4739658936337147E-2</v>
      </c>
      <c r="I492" s="185">
        <v>7.4739658936337133E-2</v>
      </c>
      <c r="J492" s="185">
        <f t="shared" si="23"/>
        <v>1.3877787807814457E-17</v>
      </c>
      <c r="K492" s="180" t="s">
        <v>9076</v>
      </c>
    </row>
    <row r="493" spans="1:11" ht="27" customHeight="1" x14ac:dyDescent="0.3">
      <c r="A493" s="177" t="s">
        <v>106</v>
      </c>
      <c r="B493" s="177">
        <v>2023</v>
      </c>
      <c r="C493" s="177">
        <v>17</v>
      </c>
      <c r="D493" s="177" t="s">
        <v>9074</v>
      </c>
      <c r="E493" s="188">
        <f>MLCF!F99</f>
        <v>4491.668999999999</v>
      </c>
      <c r="F493" s="188">
        <f>MLCF!F84</f>
        <v>62075.258999999998</v>
      </c>
      <c r="G493" s="186">
        <f t="shared" si="21"/>
        <v>7.2358441549152441E-2</v>
      </c>
      <c r="H493" s="186">
        <f t="shared" si="22"/>
        <v>7.2358441549152441E-2</v>
      </c>
      <c r="I493" s="186">
        <v>7.2358441549152386E-2</v>
      </c>
      <c r="J493" s="186">
        <f t="shared" si="23"/>
        <v>5.5511151231257827E-17</v>
      </c>
      <c r="K493" s="177" t="s">
        <v>9076</v>
      </c>
    </row>
    <row r="494" spans="1:11" ht="27" customHeight="1" x14ac:dyDescent="0.3">
      <c r="A494" s="180" t="s">
        <v>106</v>
      </c>
      <c r="B494" s="180">
        <v>2024</v>
      </c>
      <c r="C494" s="180">
        <v>17</v>
      </c>
      <c r="D494" s="180" t="s">
        <v>9074</v>
      </c>
      <c r="E494" s="187">
        <f>MLCF!G99</f>
        <v>5272.5269999999982</v>
      </c>
      <c r="F494" s="187">
        <f>MLCF!G84</f>
        <v>66452.347999999998</v>
      </c>
      <c r="G494" s="185">
        <f t="shared" si="21"/>
        <v>7.9342975209845082E-2</v>
      </c>
      <c r="H494" s="185">
        <f t="shared" si="22"/>
        <v>7.9342975209845082E-2</v>
      </c>
      <c r="I494" s="185">
        <v>7.934297520984511E-2</v>
      </c>
      <c r="J494" s="185">
        <f t="shared" si="23"/>
        <v>-2.7755575615628914E-17</v>
      </c>
      <c r="K494" s="180" t="s">
        <v>9076</v>
      </c>
    </row>
    <row r="495" spans="1:11" ht="27" customHeight="1" x14ac:dyDescent="0.3">
      <c r="A495" s="177" t="s">
        <v>106</v>
      </c>
      <c r="B495" s="177">
        <v>2025</v>
      </c>
      <c r="C495" s="177">
        <v>17</v>
      </c>
      <c r="D495" s="177" t="s">
        <v>9074</v>
      </c>
      <c r="E495" s="188">
        <f>MLCF!H99</f>
        <v>17036.373999999996</v>
      </c>
      <c r="F495" s="188">
        <f>MLCF!H84</f>
        <v>68942.445999999996</v>
      </c>
      <c r="G495" s="186">
        <f t="shared" si="21"/>
        <v>0.24711008947956384</v>
      </c>
      <c r="H495" s="186">
        <f t="shared" si="22"/>
        <v>0.24711008947956384</v>
      </c>
      <c r="I495" s="186">
        <v>0.24711008947956384</v>
      </c>
      <c r="J495" s="186">
        <f t="shared" si="23"/>
        <v>0</v>
      </c>
      <c r="K495" s="177" t="s">
        <v>9076</v>
      </c>
    </row>
    <row r="496" spans="1:11" ht="27" customHeight="1" x14ac:dyDescent="0.3">
      <c r="A496" s="180" t="s">
        <v>106</v>
      </c>
      <c r="B496" s="180">
        <v>2021</v>
      </c>
      <c r="C496" s="180">
        <v>18</v>
      </c>
      <c r="D496" s="180" t="s">
        <v>9077</v>
      </c>
      <c r="E496" s="187">
        <f>MLCF!D99</f>
        <v>6254.1089999999967</v>
      </c>
      <c r="F496" s="187">
        <f>MLCF!D37</f>
        <v>66239.277999999991</v>
      </c>
      <c r="G496" s="185">
        <f t="shared" si="21"/>
        <v>9.4416925860816264E-2</v>
      </c>
      <c r="H496" s="185">
        <f t="shared" si="22"/>
        <v>9.4416925860816264E-2</v>
      </c>
      <c r="I496" s="185">
        <v>9.4416925860816278E-2</v>
      </c>
      <c r="J496" s="185">
        <f t="shared" si="23"/>
        <v>-1.3877787807814457E-17</v>
      </c>
      <c r="K496" s="180" t="s">
        <v>9054</v>
      </c>
    </row>
    <row r="497" spans="1:11" ht="27" customHeight="1" x14ac:dyDescent="0.3">
      <c r="A497" s="177" t="s">
        <v>106</v>
      </c>
      <c r="B497" s="177">
        <v>2022</v>
      </c>
      <c r="C497" s="177">
        <v>18</v>
      </c>
      <c r="D497" s="177" t="s">
        <v>9077</v>
      </c>
      <c r="E497" s="188">
        <f>MLCF!E99</f>
        <v>3626.3400000000006</v>
      </c>
      <c r="F497" s="188">
        <f>MLCF!E37</f>
        <v>82214.209999999992</v>
      </c>
      <c r="G497" s="186">
        <f t="shared" si="21"/>
        <v>4.4108433323144514E-2</v>
      </c>
      <c r="H497" s="186">
        <f t="shared" si="22"/>
        <v>4.4108433323144514E-2</v>
      </c>
      <c r="I497" s="186">
        <v>4.4108433323144507E-2</v>
      </c>
      <c r="J497" s="186">
        <f t="shared" si="23"/>
        <v>6.9388939039072284E-18</v>
      </c>
      <c r="K497" s="177" t="s">
        <v>9054</v>
      </c>
    </row>
    <row r="498" spans="1:11" ht="27" customHeight="1" x14ac:dyDescent="0.3">
      <c r="A498" s="180" t="s">
        <v>106</v>
      </c>
      <c r="B498" s="180">
        <v>2023</v>
      </c>
      <c r="C498" s="180">
        <v>18</v>
      </c>
      <c r="D498" s="180" t="s">
        <v>9077</v>
      </c>
      <c r="E498" s="187">
        <f>MLCF!F99</f>
        <v>4491.668999999999</v>
      </c>
      <c r="F498" s="187">
        <f>MLCF!F37</f>
        <v>89707.71100000001</v>
      </c>
      <c r="G498" s="185">
        <f t="shared" si="21"/>
        <v>5.0070043588560612E-2</v>
      </c>
      <c r="H498" s="185">
        <f t="shared" si="22"/>
        <v>5.0070043588560612E-2</v>
      </c>
      <c r="I498" s="185">
        <v>5.0070043588560584E-2</v>
      </c>
      <c r="J498" s="185">
        <f t="shared" si="23"/>
        <v>2.7755575615628914E-17</v>
      </c>
      <c r="K498" s="180" t="s">
        <v>9054</v>
      </c>
    </row>
    <row r="499" spans="1:11" ht="27" customHeight="1" x14ac:dyDescent="0.3">
      <c r="A499" s="177" t="s">
        <v>106</v>
      </c>
      <c r="B499" s="177">
        <v>2024</v>
      </c>
      <c r="C499" s="177">
        <v>18</v>
      </c>
      <c r="D499" s="177" t="s">
        <v>9077</v>
      </c>
      <c r="E499" s="188">
        <f>MLCF!G99</f>
        <v>5272.5269999999982</v>
      </c>
      <c r="F499" s="188">
        <f>MLCF!G37</f>
        <v>99365.682000000001</v>
      </c>
      <c r="G499" s="186">
        <f t="shared" si="21"/>
        <v>5.3061850871209217E-2</v>
      </c>
      <c r="H499" s="186">
        <f t="shared" si="22"/>
        <v>5.3061850871209217E-2</v>
      </c>
      <c r="I499" s="186">
        <v>5.3061850871209237E-2</v>
      </c>
      <c r="J499" s="186">
        <f t="shared" si="23"/>
        <v>-2.0816681711721685E-17</v>
      </c>
      <c r="K499" s="177" t="s">
        <v>9054</v>
      </c>
    </row>
    <row r="500" spans="1:11" ht="27" customHeight="1" x14ac:dyDescent="0.3">
      <c r="A500" s="180" t="s">
        <v>106</v>
      </c>
      <c r="B500" s="180">
        <v>2025</v>
      </c>
      <c r="C500" s="180">
        <v>18</v>
      </c>
      <c r="D500" s="180" t="s">
        <v>9077</v>
      </c>
      <c r="E500" s="187">
        <f>MLCF!H99</f>
        <v>17036.373999999996</v>
      </c>
      <c r="F500" s="187">
        <f>MLCF!H37</f>
        <v>119106.27099999998</v>
      </c>
      <c r="G500" s="185">
        <f t="shared" si="21"/>
        <v>0.14303507159585241</v>
      </c>
      <c r="H500" s="185">
        <f t="shared" si="22"/>
        <v>0.14303507159585241</v>
      </c>
      <c r="I500" s="185">
        <v>0.14303507159585238</v>
      </c>
      <c r="J500" s="185">
        <f t="shared" si="23"/>
        <v>2.7755575615628914E-17</v>
      </c>
      <c r="K500" s="180" t="s">
        <v>9054</v>
      </c>
    </row>
    <row r="501" spans="1:11" ht="27" customHeight="1" x14ac:dyDescent="0.3">
      <c r="A501" s="177" t="s">
        <v>106</v>
      </c>
      <c r="B501" s="177">
        <v>2021</v>
      </c>
      <c r="C501" s="177">
        <v>19</v>
      </c>
      <c r="D501" s="177" t="s">
        <v>9079</v>
      </c>
      <c r="E501" s="188">
        <f>MLCF!D99</f>
        <v>6254.1089999999967</v>
      </c>
      <c r="F501" s="188">
        <f>MLCF!D41</f>
        <v>37542.540999999997</v>
      </c>
      <c r="G501" s="186">
        <f t="shared" si="21"/>
        <v>0.16658725897109622</v>
      </c>
      <c r="H501" s="186">
        <f t="shared" si="22"/>
        <v>0.16658725897109622</v>
      </c>
      <c r="I501" s="186">
        <v>0.16658725897109622</v>
      </c>
      <c r="J501" s="186">
        <f t="shared" si="23"/>
        <v>0</v>
      </c>
      <c r="K501" s="177" t="s">
        <v>9081</v>
      </c>
    </row>
    <row r="502" spans="1:11" ht="27" customHeight="1" x14ac:dyDescent="0.3">
      <c r="A502" s="180" t="s">
        <v>106</v>
      </c>
      <c r="B502" s="180">
        <v>2022</v>
      </c>
      <c r="C502" s="180">
        <v>19</v>
      </c>
      <c r="D502" s="180" t="s">
        <v>9079</v>
      </c>
      <c r="E502" s="187">
        <f>MLCF!E99</f>
        <v>3626.3400000000006</v>
      </c>
      <c r="F502" s="187">
        <f>MLCF!E41</f>
        <v>40559.014999999999</v>
      </c>
      <c r="G502" s="185">
        <f t="shared" si="21"/>
        <v>8.9408976031592494E-2</v>
      </c>
      <c r="H502" s="185">
        <f t="shared" si="22"/>
        <v>8.9408976031592494E-2</v>
      </c>
      <c r="I502" s="185">
        <v>8.940897603159248E-2</v>
      </c>
      <c r="J502" s="185">
        <f t="shared" si="23"/>
        <v>1.3877787807814457E-17</v>
      </c>
      <c r="K502" s="180" t="s">
        <v>9081</v>
      </c>
    </row>
    <row r="503" spans="1:11" ht="27" customHeight="1" x14ac:dyDescent="0.3">
      <c r="A503" s="177" t="s">
        <v>106</v>
      </c>
      <c r="B503" s="177">
        <v>2023</v>
      </c>
      <c r="C503" s="177">
        <v>19</v>
      </c>
      <c r="D503" s="177" t="s">
        <v>9079</v>
      </c>
      <c r="E503" s="188">
        <f>MLCF!F99</f>
        <v>4491.668999999999</v>
      </c>
      <c r="F503" s="188">
        <f>MLCF!F41</f>
        <v>44913.114000000001</v>
      </c>
      <c r="G503" s="186">
        <f t="shared" si="21"/>
        <v>0.10000796203977304</v>
      </c>
      <c r="H503" s="186">
        <f t="shared" si="22"/>
        <v>0.10000796203977304</v>
      </c>
      <c r="I503" s="186">
        <v>0.10000796203977295</v>
      </c>
      <c r="J503" s="186">
        <f t="shared" si="23"/>
        <v>8.3266726846886741E-17</v>
      </c>
      <c r="K503" s="177" t="s">
        <v>9081</v>
      </c>
    </row>
    <row r="504" spans="1:11" ht="27" customHeight="1" x14ac:dyDescent="0.3">
      <c r="A504" s="180" t="s">
        <v>106</v>
      </c>
      <c r="B504" s="180">
        <v>2024</v>
      </c>
      <c r="C504" s="180">
        <v>19</v>
      </c>
      <c r="D504" s="180" t="s">
        <v>9079</v>
      </c>
      <c r="E504" s="187">
        <f>MLCF!G99</f>
        <v>5272.5269999999982</v>
      </c>
      <c r="F504" s="187">
        <f>MLCF!G41</f>
        <v>52615.907999999996</v>
      </c>
      <c r="G504" s="185">
        <f t="shared" si="21"/>
        <v>0.10020784968682853</v>
      </c>
      <c r="H504" s="185">
        <f t="shared" si="22"/>
        <v>0.10020784968682853</v>
      </c>
      <c r="I504" s="185">
        <v>0.10020784968682857</v>
      </c>
      <c r="J504" s="185">
        <f t="shared" si="23"/>
        <v>-4.163336342344337E-17</v>
      </c>
      <c r="K504" s="180" t="s">
        <v>9081</v>
      </c>
    </row>
    <row r="505" spans="1:11" ht="27" customHeight="1" x14ac:dyDescent="0.3">
      <c r="A505" s="177" t="s">
        <v>106</v>
      </c>
      <c r="B505" s="177">
        <v>2025</v>
      </c>
      <c r="C505" s="177">
        <v>19</v>
      </c>
      <c r="D505" s="177" t="s">
        <v>9079</v>
      </c>
      <c r="E505" s="188">
        <f>MLCF!H99</f>
        <v>17036.373999999996</v>
      </c>
      <c r="F505" s="188">
        <f>MLCF!H41</f>
        <v>71461.592000000004</v>
      </c>
      <c r="G505" s="186">
        <f t="shared" si="21"/>
        <v>0.2383990269906105</v>
      </c>
      <c r="H505" s="186">
        <f t="shared" si="22"/>
        <v>0.2383990269906105</v>
      </c>
      <c r="I505" s="186">
        <v>0.2383990269906105</v>
      </c>
      <c r="J505" s="186">
        <f t="shared" si="23"/>
        <v>0</v>
      </c>
      <c r="K505" s="177" t="s">
        <v>9081</v>
      </c>
    </row>
    <row r="506" spans="1:11" ht="27" customHeight="1" x14ac:dyDescent="0.3">
      <c r="A506" s="180" t="s">
        <v>106</v>
      </c>
      <c r="B506" s="180">
        <v>2021</v>
      </c>
      <c r="C506" s="180">
        <v>20</v>
      </c>
      <c r="D506" s="180" t="s">
        <v>9082</v>
      </c>
      <c r="E506" s="187">
        <f>((MLCF!D96+MLCF!D106)*(1-(-MLCF!D97-MLCF!D98)/MLCF!D96))</f>
        <v>7495.8003306094506</v>
      </c>
      <c r="F506" s="187">
        <f>MLCF!D70</f>
        <v>53778.016999999993</v>
      </c>
      <c r="G506" s="185">
        <f t="shared" si="21"/>
        <v>0.13938409686265396</v>
      </c>
      <c r="H506" s="185">
        <f t="shared" si="22"/>
        <v>0.13938409686265396</v>
      </c>
      <c r="I506" s="185">
        <v>0.13938409686265393</v>
      </c>
      <c r="J506" s="185">
        <f t="shared" si="23"/>
        <v>2.7755575615628914E-17</v>
      </c>
      <c r="K506" s="180" t="s">
        <v>9084</v>
      </c>
    </row>
    <row r="507" spans="1:11" ht="27" customHeight="1" x14ac:dyDescent="0.3">
      <c r="A507" s="177" t="s">
        <v>106</v>
      </c>
      <c r="B507" s="177">
        <v>2022</v>
      </c>
      <c r="C507" s="177">
        <v>20</v>
      </c>
      <c r="D507" s="177" t="s">
        <v>9082</v>
      </c>
      <c r="E507" s="188">
        <f>((MLCF!E96+MLCF!E106)*(1-(-MLCF!E97-MLCF!E98)/MLCF!E96))</f>
        <v>4479.4888857400119</v>
      </c>
      <c r="F507" s="188">
        <f>MLCF!E70</f>
        <v>65532.728999999992</v>
      </c>
      <c r="G507" s="186">
        <f t="shared" si="21"/>
        <v>6.8354987715222609E-2</v>
      </c>
      <c r="H507" s="186">
        <f t="shared" si="22"/>
        <v>6.8354987715222609E-2</v>
      </c>
      <c r="I507" s="186">
        <v>6.8354987715222609E-2</v>
      </c>
      <c r="J507" s="186">
        <f t="shared" si="23"/>
        <v>0</v>
      </c>
      <c r="K507" s="177" t="s">
        <v>9084</v>
      </c>
    </row>
    <row r="508" spans="1:11" ht="27" customHeight="1" x14ac:dyDescent="0.3">
      <c r="A508" s="180" t="s">
        <v>106</v>
      </c>
      <c r="B508" s="180">
        <v>2023</v>
      </c>
      <c r="C508" s="180">
        <v>20</v>
      </c>
      <c r="D508" s="180" t="s">
        <v>9082</v>
      </c>
      <c r="E508" s="187">
        <f>((MLCF!F96+MLCF!F106)*(1-(-MLCF!F97-MLCF!F98)/MLCF!F96))</f>
        <v>5794.486836711123</v>
      </c>
      <c r="F508" s="187">
        <f>MLCF!F70</f>
        <v>64787.517000000007</v>
      </c>
      <c r="G508" s="185">
        <f t="shared" si="21"/>
        <v>8.9438322458184685E-2</v>
      </c>
      <c r="H508" s="185">
        <f t="shared" si="22"/>
        <v>8.9438322458184685E-2</v>
      </c>
      <c r="I508" s="185">
        <v>8.943832245818463E-2</v>
      </c>
      <c r="J508" s="185">
        <f t="shared" si="23"/>
        <v>5.5511151231257827E-17</v>
      </c>
      <c r="K508" s="180" t="s">
        <v>9084</v>
      </c>
    </row>
    <row r="509" spans="1:11" ht="27" customHeight="1" x14ac:dyDescent="0.3">
      <c r="A509" s="177" t="s">
        <v>106</v>
      </c>
      <c r="B509" s="177">
        <v>2024</v>
      </c>
      <c r="C509" s="177">
        <v>20</v>
      </c>
      <c r="D509" s="177" t="s">
        <v>9082</v>
      </c>
      <c r="E509" s="188">
        <f>((MLCF!G96+MLCF!G106)*(1-(-MLCF!G97-MLCF!G98)/MLCF!G96))</f>
        <v>7666.5745773178087</v>
      </c>
      <c r="F509" s="188">
        <f>MLCF!G70</f>
        <v>72003.290999999997</v>
      </c>
      <c r="G509" s="186">
        <f t="shared" si="21"/>
        <v>0.10647533565261356</v>
      </c>
      <c r="H509" s="186">
        <f t="shared" si="22"/>
        <v>0.10647533565261356</v>
      </c>
      <c r="I509" s="186">
        <v>0.10647533565261356</v>
      </c>
      <c r="J509" s="186">
        <f t="shared" si="23"/>
        <v>0</v>
      </c>
      <c r="K509" s="177" t="s">
        <v>9084</v>
      </c>
    </row>
    <row r="510" spans="1:11" ht="27" customHeight="1" x14ac:dyDescent="0.3">
      <c r="A510" s="180" t="s">
        <v>106</v>
      </c>
      <c r="B510" s="180">
        <v>2025</v>
      </c>
      <c r="C510" s="180">
        <v>20</v>
      </c>
      <c r="D510" s="180" t="s">
        <v>9082</v>
      </c>
      <c r="E510" s="187">
        <f>((MLCF!H96+MLCF!H106)*(1-(-MLCF!H97-MLCF!H98)/MLCF!H96))</f>
        <v>19721.047231870387</v>
      </c>
      <c r="F510" s="187">
        <f>MLCF!H70</f>
        <v>86041.662000000011</v>
      </c>
      <c r="G510" s="185">
        <f t="shared" si="21"/>
        <v>0.22920346694221672</v>
      </c>
      <c r="H510" s="185">
        <f t="shared" si="22"/>
        <v>0.22920346694221672</v>
      </c>
      <c r="I510" s="185">
        <v>0.22920346694221672</v>
      </c>
      <c r="J510" s="185">
        <f t="shared" si="23"/>
        <v>0</v>
      </c>
      <c r="K510" s="180" t="s">
        <v>9084</v>
      </c>
    </row>
    <row r="511" spans="1:11" ht="27" customHeight="1" x14ac:dyDescent="0.3">
      <c r="A511" s="177" t="s">
        <v>106</v>
      </c>
      <c r="B511" s="177">
        <v>2021</v>
      </c>
      <c r="C511" s="177">
        <v>21</v>
      </c>
      <c r="D511" s="177" t="s">
        <v>9086</v>
      </c>
      <c r="E511" s="188">
        <f>(MLCF!D96+MLCF!D106)</f>
        <v>8736.8789999999972</v>
      </c>
      <c r="F511" s="188">
        <f>MLCF!D37</f>
        <v>66239.277999999991</v>
      </c>
      <c r="G511" s="186">
        <f t="shared" si="21"/>
        <v>0.13189876556323574</v>
      </c>
      <c r="H511" s="186">
        <f t="shared" si="22"/>
        <v>0.13189876556323574</v>
      </c>
      <c r="I511" s="186">
        <v>0.13189876556323574</v>
      </c>
      <c r="J511" s="186">
        <f t="shared" si="23"/>
        <v>0</v>
      </c>
      <c r="K511" s="177" t="s">
        <v>9054</v>
      </c>
    </row>
    <row r="512" spans="1:11" ht="27" customHeight="1" x14ac:dyDescent="0.3">
      <c r="A512" s="180" t="s">
        <v>106</v>
      </c>
      <c r="B512" s="180">
        <v>2022</v>
      </c>
      <c r="C512" s="180">
        <v>21</v>
      </c>
      <c r="D512" s="180" t="s">
        <v>9086</v>
      </c>
      <c r="E512" s="187">
        <f>(MLCF!E96+MLCF!E106)</f>
        <v>8873.5370000000003</v>
      </c>
      <c r="F512" s="187">
        <f>MLCF!E37</f>
        <v>82214.209999999992</v>
      </c>
      <c r="G512" s="185">
        <f t="shared" si="21"/>
        <v>0.10793191347335213</v>
      </c>
      <c r="H512" s="185">
        <f t="shared" si="22"/>
        <v>0.10793191347335213</v>
      </c>
      <c r="I512" s="185">
        <v>0.10793191347335213</v>
      </c>
      <c r="J512" s="185">
        <f t="shared" si="23"/>
        <v>0</v>
      </c>
      <c r="K512" s="180" t="s">
        <v>9054</v>
      </c>
    </row>
    <row r="513" spans="1:11" ht="27" customHeight="1" x14ac:dyDescent="0.3">
      <c r="A513" s="177" t="s">
        <v>106</v>
      </c>
      <c r="B513" s="177">
        <v>2023</v>
      </c>
      <c r="C513" s="177">
        <v>21</v>
      </c>
      <c r="D513" s="177" t="s">
        <v>9086</v>
      </c>
      <c r="E513" s="188">
        <f>(MLCF!F96+MLCF!F106)</f>
        <v>11933.841999999997</v>
      </c>
      <c r="F513" s="188">
        <f>MLCF!F37</f>
        <v>89707.71100000001</v>
      </c>
      <c r="G513" s="186">
        <f t="shared" si="21"/>
        <v>0.13303028097551164</v>
      </c>
      <c r="H513" s="186">
        <f t="shared" si="22"/>
        <v>0.13303028097551164</v>
      </c>
      <c r="I513" s="186">
        <v>0.13303028097551162</v>
      </c>
      <c r="J513" s="186">
        <f t="shared" si="23"/>
        <v>2.7755575615628914E-17</v>
      </c>
      <c r="K513" s="177" t="s">
        <v>9054</v>
      </c>
    </row>
    <row r="514" spans="1:11" ht="27" customHeight="1" x14ac:dyDescent="0.3">
      <c r="A514" s="180" t="s">
        <v>106</v>
      </c>
      <c r="B514" s="180">
        <v>2024</v>
      </c>
      <c r="C514" s="180">
        <v>21</v>
      </c>
      <c r="D514" s="180" t="s">
        <v>9086</v>
      </c>
      <c r="E514" s="187">
        <f>(MLCF!G96+MLCF!G106)</f>
        <v>12986.867999999999</v>
      </c>
      <c r="F514" s="187">
        <f>MLCF!G37</f>
        <v>99365.682000000001</v>
      </c>
      <c r="G514" s="185">
        <f t="shared" si="21"/>
        <v>0.13069771915820996</v>
      </c>
      <c r="H514" s="185">
        <f t="shared" si="22"/>
        <v>0.13069771915820996</v>
      </c>
      <c r="I514" s="185">
        <v>0.13069771915820999</v>
      </c>
      <c r="J514" s="185">
        <f t="shared" si="23"/>
        <v>-2.7755575615628914E-17</v>
      </c>
      <c r="K514" s="180" t="s">
        <v>9054</v>
      </c>
    </row>
    <row r="515" spans="1:11" ht="27" customHeight="1" x14ac:dyDescent="0.3">
      <c r="A515" s="177" t="s">
        <v>106</v>
      </c>
      <c r="B515" s="177">
        <v>2025</v>
      </c>
      <c r="C515" s="177">
        <v>21</v>
      </c>
      <c r="D515" s="177" t="s">
        <v>9086</v>
      </c>
      <c r="E515" s="188">
        <f>(MLCF!H96+MLCF!H106)</f>
        <v>25078.190999999999</v>
      </c>
      <c r="F515" s="188">
        <f>MLCF!H37</f>
        <v>119106.27099999998</v>
      </c>
      <c r="G515" s="186">
        <f t="shared" si="21"/>
        <v>0.21055306987152678</v>
      </c>
      <c r="H515" s="186">
        <f t="shared" si="22"/>
        <v>0.21055306987152678</v>
      </c>
      <c r="I515" s="186">
        <v>0.21055306987152672</v>
      </c>
      <c r="J515" s="186">
        <f t="shared" si="23"/>
        <v>5.5511151231257827E-17</v>
      </c>
      <c r="K515" s="177" t="s">
        <v>9054</v>
      </c>
    </row>
    <row r="516" spans="1:11" ht="27" customHeight="1" x14ac:dyDescent="0.3">
      <c r="A516" s="180" t="s">
        <v>106</v>
      </c>
      <c r="B516" s="180">
        <v>2021</v>
      </c>
      <c r="C516" s="180">
        <v>22</v>
      </c>
      <c r="D516" s="180" t="s">
        <v>9088</v>
      </c>
      <c r="E516" s="187">
        <f>MLCF!D99</f>
        <v>6254.1089999999967</v>
      </c>
      <c r="F516" s="187">
        <f>MLCF!D129</f>
        <v>1098.346</v>
      </c>
      <c r="G516" s="185">
        <f t="shared" si="21"/>
        <v>5.6941155155115029</v>
      </c>
      <c r="H516" s="185">
        <f t="shared" si="22"/>
        <v>5.6941155155115029</v>
      </c>
      <c r="I516" s="185">
        <v>5.6941155155115037</v>
      </c>
      <c r="J516" s="185">
        <f t="shared" si="23"/>
        <v>-8.8817841970012523E-16</v>
      </c>
      <c r="K516" s="180" t="s">
        <v>9090</v>
      </c>
    </row>
    <row r="517" spans="1:11" ht="27" customHeight="1" x14ac:dyDescent="0.3">
      <c r="A517" s="177" t="s">
        <v>106</v>
      </c>
      <c r="B517" s="177">
        <v>2022</v>
      </c>
      <c r="C517" s="177">
        <v>22</v>
      </c>
      <c r="D517" s="177" t="s">
        <v>9088</v>
      </c>
      <c r="E517" s="188">
        <f>MLCF!E99</f>
        <v>3626.3400000000006</v>
      </c>
      <c r="F517" s="188">
        <f>MLCF!E129</f>
        <v>1097.5239999999999</v>
      </c>
      <c r="G517" s="186">
        <f t="shared" si="21"/>
        <v>3.3041099784606085</v>
      </c>
      <c r="H517" s="186">
        <f t="shared" si="22"/>
        <v>3.3041099784606085</v>
      </c>
      <c r="I517" s="186">
        <v>3.3041099784606076</v>
      </c>
      <c r="J517" s="186">
        <f t="shared" si="23"/>
        <v>8.8817841970012523E-16</v>
      </c>
      <c r="K517" s="177" t="s">
        <v>9090</v>
      </c>
    </row>
    <row r="518" spans="1:11" ht="27" customHeight="1" x14ac:dyDescent="0.3">
      <c r="A518" s="180" t="s">
        <v>106</v>
      </c>
      <c r="B518" s="180">
        <v>2023</v>
      </c>
      <c r="C518" s="180">
        <v>22</v>
      </c>
      <c r="D518" s="180" t="s">
        <v>9088</v>
      </c>
      <c r="E518" s="187">
        <f>MLCF!F99</f>
        <v>4491.668999999999</v>
      </c>
      <c r="F518" s="187">
        <f>MLCF!F129</f>
        <v>1073.405</v>
      </c>
      <c r="G518" s="185">
        <f t="shared" ref="G518:G581" si="24">IF(OR(NOT(ISNUMBER(E518)),NOT(ISNUMBER(F518)),F518=0),"n/m",E518/F518)</f>
        <v>4.1845053824045904</v>
      </c>
      <c r="H518" s="185">
        <f t="shared" ref="H518:H581" si="25">IF(OR(NOT(ISNUMBER(E518)),NOT(ISNUMBER(F518))),"n/m",IF(OR((F518)&lt;=0,(E518)&lt;0),"n/m",(E518)/(F518)))</f>
        <v>4.1845053824045904</v>
      </c>
      <c r="I518" s="185">
        <v>4.1845053824045868</v>
      </c>
      <c r="J518" s="185">
        <f t="shared" ref="J518:J581" si="26">IF(AND(ISNUMBER(G518),ISNUMBER(I518)),G518-I518,IF(G518=I518,0,"Review"))</f>
        <v>3.5527136788005009E-15</v>
      </c>
      <c r="K518" s="180" t="s">
        <v>9090</v>
      </c>
    </row>
    <row r="519" spans="1:11" ht="27" customHeight="1" x14ac:dyDescent="0.3">
      <c r="A519" s="177" t="s">
        <v>106</v>
      </c>
      <c r="B519" s="177">
        <v>2024</v>
      </c>
      <c r="C519" s="177">
        <v>22</v>
      </c>
      <c r="D519" s="177" t="s">
        <v>9088</v>
      </c>
      <c r="E519" s="188">
        <f>MLCF!G99</f>
        <v>5272.5269999999982</v>
      </c>
      <c r="F519" s="188">
        <f>MLCF!G129</f>
        <v>1058.9110000000001</v>
      </c>
      <c r="G519" s="186">
        <f t="shared" si="24"/>
        <v>4.9791974962957211</v>
      </c>
      <c r="H519" s="186">
        <f t="shared" si="25"/>
        <v>4.9791974962957211</v>
      </c>
      <c r="I519" s="186">
        <v>4.9791974962957228</v>
      </c>
      <c r="J519" s="186">
        <f t="shared" si="26"/>
        <v>-1.7763568394002505E-15</v>
      </c>
      <c r="K519" s="177" t="s">
        <v>9090</v>
      </c>
    </row>
    <row r="520" spans="1:11" ht="27" customHeight="1" x14ac:dyDescent="0.3">
      <c r="A520" s="180" t="s">
        <v>106</v>
      </c>
      <c r="B520" s="180">
        <v>2025</v>
      </c>
      <c r="C520" s="180">
        <v>22</v>
      </c>
      <c r="D520" s="180" t="s">
        <v>9088</v>
      </c>
      <c r="E520" s="187">
        <f>MLCF!H99</f>
        <v>17036.373999999996</v>
      </c>
      <c r="F520" s="187">
        <f>MLCF!H129</f>
        <v>1047.5630000000001</v>
      </c>
      <c r="G520" s="185">
        <f t="shared" si="24"/>
        <v>16.262863426829693</v>
      </c>
      <c r="H520" s="185">
        <f t="shared" si="25"/>
        <v>16.262863426829693</v>
      </c>
      <c r="I520" s="185">
        <v>16.262863426829693</v>
      </c>
      <c r="J520" s="185">
        <f t="shared" si="26"/>
        <v>0</v>
      </c>
      <c r="K520" s="180" t="s">
        <v>9090</v>
      </c>
    </row>
    <row r="521" spans="1:11" ht="27" customHeight="1" x14ac:dyDescent="0.3">
      <c r="A521" s="177" t="s">
        <v>106</v>
      </c>
      <c r="B521" s="177">
        <v>2021</v>
      </c>
      <c r="C521" s="177">
        <v>23</v>
      </c>
      <c r="D521" s="177" t="s">
        <v>9091</v>
      </c>
      <c r="E521" s="188">
        <f>MLCF!D41</f>
        <v>37542.540999999997</v>
      </c>
      <c r="F521" s="188">
        <f>MLCF!D128</f>
        <v>1098.3462</v>
      </c>
      <c r="G521" s="186">
        <f t="shared" si="24"/>
        <v>34.180972265393187</v>
      </c>
      <c r="H521" s="186">
        <f t="shared" si="25"/>
        <v>34.180972265393187</v>
      </c>
      <c r="I521" s="186">
        <v>34.180972265393187</v>
      </c>
      <c r="J521" s="186">
        <f t="shared" si="26"/>
        <v>0</v>
      </c>
      <c r="K521" s="177" t="s">
        <v>9093</v>
      </c>
    </row>
    <row r="522" spans="1:11" ht="27" customHeight="1" x14ac:dyDescent="0.3">
      <c r="A522" s="180" t="s">
        <v>106</v>
      </c>
      <c r="B522" s="180">
        <v>2022</v>
      </c>
      <c r="C522" s="180">
        <v>23</v>
      </c>
      <c r="D522" s="180" t="s">
        <v>9091</v>
      </c>
      <c r="E522" s="187">
        <f>MLCF!E41</f>
        <v>40559.014999999999</v>
      </c>
      <c r="F522" s="187">
        <f>MLCF!E128</f>
        <v>1079.8011999999999</v>
      </c>
      <c r="G522" s="185">
        <f t="shared" si="24"/>
        <v>37.561557627459578</v>
      </c>
      <c r="H522" s="185">
        <f t="shared" si="25"/>
        <v>37.561557627459578</v>
      </c>
      <c r="I522" s="185">
        <v>37.561557627459578</v>
      </c>
      <c r="J522" s="185">
        <f t="shared" si="26"/>
        <v>0</v>
      </c>
      <c r="K522" s="180" t="s">
        <v>9093</v>
      </c>
    </row>
    <row r="523" spans="1:11" ht="27" customHeight="1" x14ac:dyDescent="0.3">
      <c r="A523" s="177" t="s">
        <v>106</v>
      </c>
      <c r="B523" s="177">
        <v>2023</v>
      </c>
      <c r="C523" s="177">
        <v>23</v>
      </c>
      <c r="D523" s="177" t="s">
        <v>9091</v>
      </c>
      <c r="E523" s="188">
        <f>MLCF!F41</f>
        <v>44913.114000000001</v>
      </c>
      <c r="F523" s="188">
        <f>MLCF!F128</f>
        <v>1073.3462</v>
      </c>
      <c r="G523" s="186">
        <f t="shared" si="24"/>
        <v>41.844014540695262</v>
      </c>
      <c r="H523" s="186">
        <f t="shared" si="25"/>
        <v>41.844014540695262</v>
      </c>
      <c r="I523" s="186">
        <v>41.844014540695262</v>
      </c>
      <c r="J523" s="186">
        <f t="shared" si="26"/>
        <v>0</v>
      </c>
      <c r="K523" s="177" t="s">
        <v>9093</v>
      </c>
    </row>
    <row r="524" spans="1:11" ht="27" customHeight="1" x14ac:dyDescent="0.3">
      <c r="A524" s="180" t="s">
        <v>106</v>
      </c>
      <c r="B524" s="180">
        <v>2024</v>
      </c>
      <c r="C524" s="180">
        <v>23</v>
      </c>
      <c r="D524" s="180" t="s">
        <v>9091</v>
      </c>
      <c r="E524" s="187">
        <f>MLCF!G41</f>
        <v>52615.907999999996</v>
      </c>
      <c r="F524" s="187">
        <f>MLCF!G128</f>
        <v>1047.5626</v>
      </c>
      <c r="G524" s="185">
        <f t="shared" si="24"/>
        <v>50.226982139301263</v>
      </c>
      <c r="H524" s="185">
        <f t="shared" si="25"/>
        <v>50.226982139301263</v>
      </c>
      <c r="I524" s="185">
        <v>50.226982139301263</v>
      </c>
      <c r="J524" s="185">
        <f t="shared" si="26"/>
        <v>0</v>
      </c>
      <c r="K524" s="180" t="s">
        <v>9093</v>
      </c>
    </row>
    <row r="525" spans="1:11" ht="27" customHeight="1" x14ac:dyDescent="0.3">
      <c r="A525" s="177" t="s">
        <v>106</v>
      </c>
      <c r="B525" s="177">
        <v>2025</v>
      </c>
      <c r="C525" s="177">
        <v>23</v>
      </c>
      <c r="D525" s="177" t="s">
        <v>9091</v>
      </c>
      <c r="E525" s="188">
        <f>MLCF!H41</f>
        <v>71461.592000000004</v>
      </c>
      <c r="F525" s="188">
        <f>MLCF!H128</f>
        <v>1047.5626</v>
      </c>
      <c r="G525" s="186">
        <f t="shared" si="24"/>
        <v>68.217013474898792</v>
      </c>
      <c r="H525" s="186">
        <f t="shared" si="25"/>
        <v>68.217013474898792</v>
      </c>
      <c r="I525" s="186">
        <v>68.217013474898792</v>
      </c>
      <c r="J525" s="186">
        <f t="shared" si="26"/>
        <v>0</v>
      </c>
      <c r="K525" s="177" t="s">
        <v>9093</v>
      </c>
    </row>
    <row r="526" spans="1:11" ht="27" customHeight="1" x14ac:dyDescent="0.3">
      <c r="A526" s="180" t="s">
        <v>106</v>
      </c>
      <c r="B526" s="180">
        <v>2021</v>
      </c>
      <c r="C526" s="180">
        <v>24</v>
      </c>
      <c r="D526" s="180" t="s">
        <v>9094</v>
      </c>
      <c r="E526" s="187">
        <f>MLCF!D130</f>
        <v>46.98</v>
      </c>
      <c r="F526" s="187">
        <f>MLCF!D99/MLCF!D129</f>
        <v>5.6941155155115029</v>
      </c>
      <c r="G526" s="185">
        <f t="shared" si="24"/>
        <v>8.2506229232653325</v>
      </c>
      <c r="H526" s="185">
        <f t="shared" si="25"/>
        <v>8.2506229232653325</v>
      </c>
      <c r="I526" s="185">
        <v>8.2506229232653308</v>
      </c>
      <c r="J526" s="185">
        <f t="shared" si="26"/>
        <v>1.7763568394002505E-15</v>
      </c>
      <c r="K526" s="180" t="s">
        <v>9096</v>
      </c>
    </row>
    <row r="527" spans="1:11" ht="27" customHeight="1" x14ac:dyDescent="0.3">
      <c r="A527" s="177" t="s">
        <v>106</v>
      </c>
      <c r="B527" s="177">
        <v>2022</v>
      </c>
      <c r="C527" s="177">
        <v>24</v>
      </c>
      <c r="D527" s="177" t="s">
        <v>9094</v>
      </c>
      <c r="E527" s="188">
        <f>MLCF!E130</f>
        <v>27.35</v>
      </c>
      <c r="F527" s="188">
        <f>MLCF!E99/MLCF!E129</f>
        <v>3.3041099784606085</v>
      </c>
      <c r="G527" s="186">
        <f t="shared" si="24"/>
        <v>8.2775695053414715</v>
      </c>
      <c r="H527" s="186">
        <f t="shared" si="25"/>
        <v>8.2775695053414715</v>
      </c>
      <c r="I527" s="186">
        <v>8.2775695053414751</v>
      </c>
      <c r="J527" s="186">
        <f t="shared" si="26"/>
        <v>-3.5527136788005009E-15</v>
      </c>
      <c r="K527" s="177" t="s">
        <v>9096</v>
      </c>
    </row>
    <row r="528" spans="1:11" ht="27" customHeight="1" x14ac:dyDescent="0.3">
      <c r="A528" s="180" t="s">
        <v>106</v>
      </c>
      <c r="B528" s="180">
        <v>2023</v>
      </c>
      <c r="C528" s="180">
        <v>24</v>
      </c>
      <c r="D528" s="180" t="s">
        <v>9094</v>
      </c>
      <c r="E528" s="187">
        <f>MLCF!F130</f>
        <v>28.33</v>
      </c>
      <c r="F528" s="187">
        <f>MLCF!F99/MLCF!F129</f>
        <v>4.1845053824045904</v>
      </c>
      <c r="G528" s="185">
        <f t="shared" si="24"/>
        <v>6.7702147353244424</v>
      </c>
      <c r="H528" s="185">
        <f t="shared" si="25"/>
        <v>6.7702147353244424</v>
      </c>
      <c r="I528" s="185">
        <v>6.7702147353244477</v>
      </c>
      <c r="J528" s="185">
        <f t="shared" si="26"/>
        <v>-5.3290705182007514E-15</v>
      </c>
      <c r="K528" s="180" t="s">
        <v>9096</v>
      </c>
    </row>
    <row r="529" spans="1:11" ht="27" customHeight="1" x14ac:dyDescent="0.3">
      <c r="A529" s="177" t="s">
        <v>106</v>
      </c>
      <c r="B529" s="177">
        <v>2024</v>
      </c>
      <c r="C529" s="177">
        <v>24</v>
      </c>
      <c r="D529" s="177" t="s">
        <v>9094</v>
      </c>
      <c r="E529" s="188">
        <f>MLCF!G130</f>
        <v>38</v>
      </c>
      <c r="F529" s="188">
        <f>MLCF!G99/MLCF!G129</f>
        <v>4.9791974962957211</v>
      </c>
      <c r="G529" s="186">
        <f t="shared" si="24"/>
        <v>7.6317519094733912</v>
      </c>
      <c r="H529" s="186">
        <f t="shared" si="25"/>
        <v>7.6317519094733912</v>
      </c>
      <c r="I529" s="186">
        <v>7.6317519094733886</v>
      </c>
      <c r="J529" s="186">
        <f t="shared" si="26"/>
        <v>2.6645352591003757E-15</v>
      </c>
      <c r="K529" s="177" t="s">
        <v>9096</v>
      </c>
    </row>
    <row r="530" spans="1:11" ht="27" customHeight="1" x14ac:dyDescent="0.3">
      <c r="A530" s="180" t="s">
        <v>106</v>
      </c>
      <c r="B530" s="180">
        <v>2025</v>
      </c>
      <c r="C530" s="180">
        <v>24</v>
      </c>
      <c r="D530" s="180" t="s">
        <v>9094</v>
      </c>
      <c r="E530" s="187">
        <f>MLCF!H130</f>
        <v>84.28</v>
      </c>
      <c r="F530" s="187">
        <f>MLCF!H99/MLCF!H129</f>
        <v>16.262863426829693</v>
      </c>
      <c r="G530" s="185">
        <f t="shared" si="24"/>
        <v>5.1823592062489379</v>
      </c>
      <c r="H530" s="185">
        <f t="shared" si="25"/>
        <v>5.1823592062489379</v>
      </c>
      <c r="I530" s="185">
        <v>5.1823592062489379</v>
      </c>
      <c r="J530" s="185">
        <f t="shared" si="26"/>
        <v>0</v>
      </c>
      <c r="K530" s="180" t="s">
        <v>9096</v>
      </c>
    </row>
    <row r="531" spans="1:11" ht="27" customHeight="1" x14ac:dyDescent="0.3">
      <c r="A531" s="177" t="s">
        <v>106</v>
      </c>
      <c r="B531" s="177">
        <v>2021</v>
      </c>
      <c r="C531" s="177">
        <v>25</v>
      </c>
      <c r="D531" s="177" t="s">
        <v>9097</v>
      </c>
      <c r="E531" s="188">
        <f>MLCF!D130</f>
        <v>46.98</v>
      </c>
      <c r="F531" s="188">
        <f>MLCF!D41/MLCF!D128</f>
        <v>34.180972265393187</v>
      </c>
      <c r="G531" s="186">
        <f t="shared" si="24"/>
        <v>1.3744489078669448</v>
      </c>
      <c r="H531" s="186">
        <f t="shared" si="25"/>
        <v>1.3744489078669448</v>
      </c>
      <c r="I531" s="186">
        <v>1.3744489078669448</v>
      </c>
      <c r="J531" s="186">
        <f t="shared" si="26"/>
        <v>0</v>
      </c>
      <c r="K531" s="177" t="s">
        <v>9096</v>
      </c>
    </row>
    <row r="532" spans="1:11" ht="27" customHeight="1" x14ac:dyDescent="0.3">
      <c r="A532" s="180" t="s">
        <v>106</v>
      </c>
      <c r="B532" s="180">
        <v>2022</v>
      </c>
      <c r="C532" s="180">
        <v>25</v>
      </c>
      <c r="D532" s="180" t="s">
        <v>9097</v>
      </c>
      <c r="E532" s="187">
        <f>MLCF!E130</f>
        <v>27.35</v>
      </c>
      <c r="F532" s="187">
        <f>MLCF!E41/MLCF!E128</f>
        <v>37.561557627459578</v>
      </c>
      <c r="G532" s="185">
        <f t="shared" si="24"/>
        <v>0.72813806794864222</v>
      </c>
      <c r="H532" s="185">
        <f t="shared" si="25"/>
        <v>0.72813806794864222</v>
      </c>
      <c r="I532" s="185">
        <v>0.72813806794864222</v>
      </c>
      <c r="J532" s="185">
        <f t="shared" si="26"/>
        <v>0</v>
      </c>
      <c r="K532" s="180" t="s">
        <v>9096</v>
      </c>
    </row>
    <row r="533" spans="1:11" ht="27" customHeight="1" x14ac:dyDescent="0.3">
      <c r="A533" s="177" t="s">
        <v>106</v>
      </c>
      <c r="B533" s="177">
        <v>2023</v>
      </c>
      <c r="C533" s="177">
        <v>25</v>
      </c>
      <c r="D533" s="177" t="s">
        <v>9097</v>
      </c>
      <c r="E533" s="188">
        <f>MLCF!F130</f>
        <v>28.33</v>
      </c>
      <c r="F533" s="188">
        <f>MLCF!F41/MLCF!F128</f>
        <v>41.844014540695262</v>
      </c>
      <c r="G533" s="186">
        <f t="shared" si="24"/>
        <v>0.67703828877240613</v>
      </c>
      <c r="H533" s="186">
        <f t="shared" si="25"/>
        <v>0.67703828877240613</v>
      </c>
      <c r="I533" s="186">
        <v>0.67703828877240613</v>
      </c>
      <c r="J533" s="186">
        <f t="shared" si="26"/>
        <v>0</v>
      </c>
      <c r="K533" s="177" t="s">
        <v>9096</v>
      </c>
    </row>
    <row r="534" spans="1:11" ht="27" customHeight="1" x14ac:dyDescent="0.3">
      <c r="A534" s="180" t="s">
        <v>106</v>
      </c>
      <c r="B534" s="180">
        <v>2024</v>
      </c>
      <c r="C534" s="180">
        <v>25</v>
      </c>
      <c r="D534" s="180" t="s">
        <v>9097</v>
      </c>
      <c r="E534" s="187">
        <f>MLCF!G130</f>
        <v>38</v>
      </c>
      <c r="F534" s="187">
        <f>MLCF!G41/MLCF!G128</f>
        <v>50.226982139301263</v>
      </c>
      <c r="G534" s="185">
        <f t="shared" si="24"/>
        <v>0.75656546305349337</v>
      </c>
      <c r="H534" s="185">
        <f t="shared" si="25"/>
        <v>0.75656546305349337</v>
      </c>
      <c r="I534" s="185">
        <v>0.75656546305349337</v>
      </c>
      <c r="J534" s="185">
        <f t="shared" si="26"/>
        <v>0</v>
      </c>
      <c r="K534" s="180" t="s">
        <v>9096</v>
      </c>
    </row>
    <row r="535" spans="1:11" ht="27" customHeight="1" x14ac:dyDescent="0.3">
      <c r="A535" s="177" t="s">
        <v>106</v>
      </c>
      <c r="B535" s="177">
        <v>2025</v>
      </c>
      <c r="C535" s="177">
        <v>25</v>
      </c>
      <c r="D535" s="177" t="s">
        <v>9097</v>
      </c>
      <c r="E535" s="188">
        <f>MLCF!H130</f>
        <v>84.28</v>
      </c>
      <c r="F535" s="188">
        <f>MLCF!H41/MLCF!H128</f>
        <v>68.217013474898792</v>
      </c>
      <c r="G535" s="186">
        <f t="shared" si="24"/>
        <v>1.2354689205356633</v>
      </c>
      <c r="H535" s="186">
        <f t="shared" si="25"/>
        <v>1.2354689205356633</v>
      </c>
      <c r="I535" s="186">
        <v>1.2354689205356633</v>
      </c>
      <c r="J535" s="186">
        <f t="shared" si="26"/>
        <v>0</v>
      </c>
      <c r="K535" s="177" t="s">
        <v>9096</v>
      </c>
    </row>
    <row r="536" spans="1:11" ht="27" customHeight="1" x14ac:dyDescent="0.3">
      <c r="A536" s="180" t="s">
        <v>106</v>
      </c>
      <c r="B536" s="180">
        <v>2021</v>
      </c>
      <c r="C536" s="180">
        <v>26</v>
      </c>
      <c r="D536" s="180" t="s">
        <v>9099</v>
      </c>
      <c r="E536" s="187">
        <f>MLCF!D131</f>
        <v>0</v>
      </c>
      <c r="F536" s="187">
        <f>MLCF!D130</f>
        <v>46.98</v>
      </c>
      <c r="G536" s="185">
        <f t="shared" si="24"/>
        <v>0</v>
      </c>
      <c r="H536" s="185">
        <f t="shared" si="25"/>
        <v>0</v>
      </c>
      <c r="I536" s="185">
        <v>0</v>
      </c>
      <c r="J536" s="185">
        <f t="shared" si="26"/>
        <v>0</v>
      </c>
      <c r="K536" s="180" t="s">
        <v>9101</v>
      </c>
    </row>
    <row r="537" spans="1:11" ht="27" customHeight="1" x14ac:dyDescent="0.3">
      <c r="A537" s="177" t="s">
        <v>106</v>
      </c>
      <c r="B537" s="177">
        <v>2022</v>
      </c>
      <c r="C537" s="177">
        <v>26</v>
      </c>
      <c r="D537" s="177" t="s">
        <v>9099</v>
      </c>
      <c r="E537" s="188">
        <f>MLCF!E131</f>
        <v>0</v>
      </c>
      <c r="F537" s="188">
        <f>MLCF!E130</f>
        <v>27.35</v>
      </c>
      <c r="G537" s="186">
        <f t="shared" si="24"/>
        <v>0</v>
      </c>
      <c r="H537" s="186">
        <f t="shared" si="25"/>
        <v>0</v>
      </c>
      <c r="I537" s="186">
        <v>0</v>
      </c>
      <c r="J537" s="186">
        <f t="shared" si="26"/>
        <v>0</v>
      </c>
      <c r="K537" s="177" t="s">
        <v>9101</v>
      </c>
    </row>
    <row r="538" spans="1:11" ht="27" customHeight="1" x14ac:dyDescent="0.3">
      <c r="A538" s="180" t="s">
        <v>106</v>
      </c>
      <c r="B538" s="180">
        <v>2023</v>
      </c>
      <c r="C538" s="180">
        <v>26</v>
      </c>
      <c r="D538" s="180" t="s">
        <v>9099</v>
      </c>
      <c r="E538" s="187">
        <f>MLCF!F131</f>
        <v>0</v>
      </c>
      <c r="F538" s="187">
        <f>MLCF!F130</f>
        <v>28.33</v>
      </c>
      <c r="G538" s="185">
        <f t="shared" si="24"/>
        <v>0</v>
      </c>
      <c r="H538" s="185">
        <f t="shared" si="25"/>
        <v>0</v>
      </c>
      <c r="I538" s="185">
        <v>0</v>
      </c>
      <c r="J538" s="185">
        <f t="shared" si="26"/>
        <v>0</v>
      </c>
      <c r="K538" s="180" t="s">
        <v>9101</v>
      </c>
    </row>
    <row r="539" spans="1:11" ht="27" customHeight="1" x14ac:dyDescent="0.3">
      <c r="A539" s="177" t="s">
        <v>106</v>
      </c>
      <c r="B539" s="177">
        <v>2024</v>
      </c>
      <c r="C539" s="177">
        <v>26</v>
      </c>
      <c r="D539" s="177" t="s">
        <v>9099</v>
      </c>
      <c r="E539" s="188">
        <f>MLCF!G131</f>
        <v>0</v>
      </c>
      <c r="F539" s="188">
        <f>MLCF!G130</f>
        <v>38</v>
      </c>
      <c r="G539" s="186">
        <f t="shared" si="24"/>
        <v>0</v>
      </c>
      <c r="H539" s="186">
        <f t="shared" si="25"/>
        <v>0</v>
      </c>
      <c r="I539" s="186">
        <v>0</v>
      </c>
      <c r="J539" s="186">
        <f t="shared" si="26"/>
        <v>0</v>
      </c>
      <c r="K539" s="177" t="s">
        <v>9101</v>
      </c>
    </row>
    <row r="540" spans="1:11" ht="27" customHeight="1" x14ac:dyDescent="0.3">
      <c r="A540" s="180" t="s">
        <v>106</v>
      </c>
      <c r="B540" s="180">
        <v>2025</v>
      </c>
      <c r="C540" s="180">
        <v>26</v>
      </c>
      <c r="D540" s="180" t="s">
        <v>9099</v>
      </c>
      <c r="E540" s="187">
        <f>MLCF!H131</f>
        <v>0</v>
      </c>
      <c r="F540" s="187">
        <f>MLCF!H130</f>
        <v>84.28</v>
      </c>
      <c r="G540" s="185">
        <f t="shared" si="24"/>
        <v>0</v>
      </c>
      <c r="H540" s="185">
        <f t="shared" si="25"/>
        <v>0</v>
      </c>
      <c r="I540" s="185">
        <v>0</v>
      </c>
      <c r="J540" s="185">
        <f t="shared" si="26"/>
        <v>0</v>
      </c>
      <c r="K540" s="180" t="s">
        <v>9101</v>
      </c>
    </row>
    <row r="541" spans="1:11" ht="27" customHeight="1" x14ac:dyDescent="0.3">
      <c r="A541" s="177" t="s">
        <v>106</v>
      </c>
      <c r="B541" s="177">
        <v>2021</v>
      </c>
      <c r="C541" s="177">
        <v>27</v>
      </c>
      <c r="D541" s="177" t="s">
        <v>9102</v>
      </c>
      <c r="E541" s="188">
        <f>'EV Inputs'!Z21</f>
        <v>67606.404475999996</v>
      </c>
      <c r="F541" s="188">
        <f>'EV Inputs'!AB21</f>
        <v>12024.580999999996</v>
      </c>
      <c r="G541" s="186">
        <f t="shared" si="24"/>
        <v>5.6223501239668989</v>
      </c>
      <c r="H541" s="186">
        <f t="shared" si="25"/>
        <v>5.6223501239668989</v>
      </c>
      <c r="I541" s="186">
        <v>5.6223501239668989</v>
      </c>
      <c r="J541" s="186">
        <f t="shared" si="26"/>
        <v>0</v>
      </c>
      <c r="K541" s="177" t="s">
        <v>9104</v>
      </c>
    </row>
    <row r="542" spans="1:11" ht="27" customHeight="1" x14ac:dyDescent="0.3">
      <c r="A542" s="180" t="s">
        <v>106</v>
      </c>
      <c r="B542" s="180">
        <v>2022</v>
      </c>
      <c r="C542" s="180">
        <v>27</v>
      </c>
      <c r="D542" s="180" t="s">
        <v>9102</v>
      </c>
      <c r="E542" s="187">
        <f>'EV Inputs'!Z22</f>
        <v>54377.822820000001</v>
      </c>
      <c r="F542" s="187">
        <f>'EV Inputs'!AB22</f>
        <v>12107.513999999999</v>
      </c>
      <c r="G542" s="185">
        <f t="shared" si="24"/>
        <v>4.4912459172048038</v>
      </c>
      <c r="H542" s="185">
        <f t="shared" si="25"/>
        <v>4.4912459172048038</v>
      </c>
      <c r="I542" s="185">
        <v>4.4912459172048038</v>
      </c>
      <c r="J542" s="185">
        <f t="shared" si="26"/>
        <v>0</v>
      </c>
      <c r="K542" s="180" t="s">
        <v>9104</v>
      </c>
    </row>
    <row r="543" spans="1:11" ht="27" customHeight="1" x14ac:dyDescent="0.3">
      <c r="A543" s="177" t="s">
        <v>106</v>
      </c>
      <c r="B543" s="177">
        <v>2023</v>
      </c>
      <c r="C543" s="177">
        <v>27</v>
      </c>
      <c r="D543" s="177" t="s">
        <v>9102</v>
      </c>
      <c r="E543" s="188">
        <f>'EV Inputs'!Z23</f>
        <v>50421.632845999993</v>
      </c>
      <c r="F543" s="188">
        <f>'EV Inputs'!AB23</f>
        <v>15409.190999999997</v>
      </c>
      <c r="G543" s="186">
        <f t="shared" si="24"/>
        <v>3.2721791070017887</v>
      </c>
      <c r="H543" s="186">
        <f t="shared" si="25"/>
        <v>3.2721791070017887</v>
      </c>
      <c r="I543" s="186">
        <v>3.2721791070017896</v>
      </c>
      <c r="J543" s="186">
        <f t="shared" si="26"/>
        <v>-8.8817841970012523E-16</v>
      </c>
      <c r="K543" s="177" t="s">
        <v>9104</v>
      </c>
    </row>
    <row r="544" spans="1:11" ht="27" customHeight="1" x14ac:dyDescent="0.3">
      <c r="A544" s="180" t="s">
        <v>106</v>
      </c>
      <c r="B544" s="180">
        <v>2024</v>
      </c>
      <c r="C544" s="180">
        <v>27</v>
      </c>
      <c r="D544" s="180" t="s">
        <v>9102</v>
      </c>
      <c r="E544" s="187">
        <f>'EV Inputs'!Z24</f>
        <v>58688.794800000003</v>
      </c>
      <c r="F544" s="187">
        <f>'EV Inputs'!AB24</f>
        <v>17507.214999999997</v>
      </c>
      <c r="G544" s="185">
        <f t="shared" si="24"/>
        <v>3.3522633268626687</v>
      </c>
      <c r="H544" s="185">
        <f t="shared" si="25"/>
        <v>3.3522633268626687</v>
      </c>
      <c r="I544" s="185">
        <v>3.3522633268626678</v>
      </c>
      <c r="J544" s="185">
        <f t="shared" si="26"/>
        <v>8.8817841970012523E-16</v>
      </c>
      <c r="K544" s="180" t="s">
        <v>9104</v>
      </c>
    </row>
    <row r="545" spans="1:11" ht="27" customHeight="1" x14ac:dyDescent="0.3">
      <c r="A545" s="177" t="s">
        <v>106</v>
      </c>
      <c r="B545" s="177">
        <v>2025</v>
      </c>
      <c r="C545" s="177">
        <v>27</v>
      </c>
      <c r="D545" s="177" t="s">
        <v>9102</v>
      </c>
      <c r="E545" s="188">
        <f>'EV Inputs'!Z25</f>
        <v>101573.59892800001</v>
      </c>
      <c r="F545" s="188">
        <f>'EV Inputs'!AB25</f>
        <v>29491.490999999998</v>
      </c>
      <c r="G545" s="186">
        <f t="shared" si="24"/>
        <v>3.4441662826745523</v>
      </c>
      <c r="H545" s="186">
        <f t="shared" si="25"/>
        <v>3.4441662826745523</v>
      </c>
      <c r="I545" s="186">
        <v>3.4441662826745523</v>
      </c>
      <c r="J545" s="186">
        <f t="shared" si="26"/>
        <v>0</v>
      </c>
      <c r="K545" s="177" t="s">
        <v>9104</v>
      </c>
    </row>
    <row r="546" spans="1:11" ht="27" customHeight="1" x14ac:dyDescent="0.3">
      <c r="A546" s="180" t="s">
        <v>114</v>
      </c>
      <c r="B546" s="180">
        <v>2021</v>
      </c>
      <c r="C546" s="180">
        <v>1</v>
      </c>
      <c r="D546" s="180" t="s">
        <v>9018</v>
      </c>
      <c r="E546" s="187">
        <f>FCCL!D36</f>
        <v>12438.732</v>
      </c>
      <c r="F546" s="187">
        <f>FCCL!D61</f>
        <v>6161.9889999999996</v>
      </c>
      <c r="G546" s="185">
        <f t="shared" si="24"/>
        <v>2.01862288296847</v>
      </c>
      <c r="H546" s="185">
        <f t="shared" si="25"/>
        <v>2.01862288296847</v>
      </c>
      <c r="I546" s="185">
        <v>2.01862288296847</v>
      </c>
      <c r="J546" s="185">
        <f t="shared" si="26"/>
        <v>0</v>
      </c>
      <c r="K546" s="180" t="s">
        <v>9022</v>
      </c>
    </row>
    <row r="547" spans="1:11" ht="27" customHeight="1" x14ac:dyDescent="0.3">
      <c r="A547" s="177" t="s">
        <v>114</v>
      </c>
      <c r="B547" s="177">
        <v>2022</v>
      </c>
      <c r="C547" s="177">
        <v>1</v>
      </c>
      <c r="D547" s="177" t="s">
        <v>9018</v>
      </c>
      <c r="E547" s="188">
        <f>FCCL!E36</f>
        <v>28216.812000000002</v>
      </c>
      <c r="F547" s="188">
        <f>FCCL!E61</f>
        <v>26721.253000000001</v>
      </c>
      <c r="G547" s="186">
        <f t="shared" si="24"/>
        <v>1.0559688948718087</v>
      </c>
      <c r="H547" s="186">
        <f t="shared" si="25"/>
        <v>1.0559688948718087</v>
      </c>
      <c r="I547" s="186">
        <v>1.0559688948718087</v>
      </c>
      <c r="J547" s="186">
        <f t="shared" si="26"/>
        <v>0</v>
      </c>
      <c r="K547" s="177" t="s">
        <v>9022</v>
      </c>
    </row>
    <row r="548" spans="1:11" ht="27" customHeight="1" x14ac:dyDescent="0.3">
      <c r="A548" s="180" t="s">
        <v>114</v>
      </c>
      <c r="B548" s="180">
        <v>2023</v>
      </c>
      <c r="C548" s="180">
        <v>1</v>
      </c>
      <c r="D548" s="180" t="s">
        <v>9018</v>
      </c>
      <c r="E548" s="187">
        <f>FCCL!F36</f>
        <v>23134.499</v>
      </c>
      <c r="F548" s="187">
        <f>FCCL!F61</f>
        <v>28486.855000000003</v>
      </c>
      <c r="G548" s="185">
        <f t="shared" si="24"/>
        <v>0.81211137558007007</v>
      </c>
      <c r="H548" s="185">
        <f t="shared" si="25"/>
        <v>0.81211137558007007</v>
      </c>
      <c r="I548" s="185">
        <v>0.81211137558007018</v>
      </c>
      <c r="J548" s="185">
        <f t="shared" si="26"/>
        <v>-1.1102230246251565E-16</v>
      </c>
      <c r="K548" s="180" t="s">
        <v>9022</v>
      </c>
    </row>
    <row r="549" spans="1:11" ht="27" customHeight="1" x14ac:dyDescent="0.3">
      <c r="A549" s="177" t="s">
        <v>114</v>
      </c>
      <c r="B549" s="177">
        <v>2024</v>
      </c>
      <c r="C549" s="177">
        <v>1</v>
      </c>
      <c r="D549" s="177" t="s">
        <v>9018</v>
      </c>
      <c r="E549" s="188">
        <f>FCCL!G36</f>
        <v>25784.071</v>
      </c>
      <c r="F549" s="188">
        <f>FCCL!G61</f>
        <v>26865.467000000004</v>
      </c>
      <c r="G549" s="186">
        <f t="shared" si="24"/>
        <v>0.95974773116730094</v>
      </c>
      <c r="H549" s="186">
        <f t="shared" si="25"/>
        <v>0.95974773116730094</v>
      </c>
      <c r="I549" s="186">
        <v>0.95974773116730105</v>
      </c>
      <c r="J549" s="186">
        <f t="shared" si="26"/>
        <v>-1.1102230246251565E-16</v>
      </c>
      <c r="K549" s="177" t="s">
        <v>9022</v>
      </c>
    </row>
    <row r="550" spans="1:11" ht="27" customHeight="1" x14ac:dyDescent="0.3">
      <c r="A550" s="180" t="s">
        <v>114</v>
      </c>
      <c r="B550" s="180">
        <v>2025</v>
      </c>
      <c r="C550" s="180">
        <v>1</v>
      </c>
      <c r="D550" s="180" t="s">
        <v>9018</v>
      </c>
      <c r="E550" s="187">
        <f>FCCL!H36</f>
        <v>40472.565000000002</v>
      </c>
      <c r="F550" s="187">
        <f>FCCL!H61</f>
        <v>30637.496999999996</v>
      </c>
      <c r="G550" s="185">
        <f t="shared" si="24"/>
        <v>1.3210140828410366</v>
      </c>
      <c r="H550" s="185">
        <f t="shared" si="25"/>
        <v>1.3210140828410366</v>
      </c>
      <c r="I550" s="185">
        <v>1.3210140828410366</v>
      </c>
      <c r="J550" s="185">
        <f t="shared" si="26"/>
        <v>0</v>
      </c>
      <c r="K550" s="180" t="s">
        <v>9022</v>
      </c>
    </row>
    <row r="551" spans="1:11" ht="27" customHeight="1" x14ac:dyDescent="0.3">
      <c r="A551" s="177" t="s">
        <v>114</v>
      </c>
      <c r="B551" s="177">
        <v>2021</v>
      </c>
      <c r="C551" s="177">
        <v>2</v>
      </c>
      <c r="D551" s="177" t="s">
        <v>9024</v>
      </c>
      <c r="E551" s="188">
        <f>FCCL!D36-FCCL!D65</f>
        <v>6998.78</v>
      </c>
      <c r="F551" s="188">
        <f>FCCL!D61</f>
        <v>6161.9889999999996</v>
      </c>
      <c r="G551" s="186">
        <f t="shared" si="24"/>
        <v>1.1357988467684703</v>
      </c>
      <c r="H551" s="186">
        <f t="shared" si="25"/>
        <v>1.1357988467684703</v>
      </c>
      <c r="I551" s="186">
        <v>1.1357988467684703</v>
      </c>
      <c r="J551" s="186">
        <f t="shared" si="26"/>
        <v>0</v>
      </c>
      <c r="K551" s="177" t="s">
        <v>9026</v>
      </c>
    </row>
    <row r="552" spans="1:11" ht="27" customHeight="1" x14ac:dyDescent="0.3">
      <c r="A552" s="180" t="s">
        <v>114</v>
      </c>
      <c r="B552" s="180">
        <v>2022</v>
      </c>
      <c r="C552" s="180">
        <v>2</v>
      </c>
      <c r="D552" s="180" t="s">
        <v>9024</v>
      </c>
      <c r="E552" s="187">
        <f>FCCL!E36-FCCL!E65</f>
        <v>12579.944000000001</v>
      </c>
      <c r="F552" s="187">
        <f>FCCL!E61</f>
        <v>26721.253000000001</v>
      </c>
      <c r="G552" s="185">
        <f t="shared" si="24"/>
        <v>0.47078421060569281</v>
      </c>
      <c r="H552" s="185">
        <f t="shared" si="25"/>
        <v>0.47078421060569281</v>
      </c>
      <c r="I552" s="185">
        <v>0.47078421060569281</v>
      </c>
      <c r="J552" s="185">
        <f t="shared" si="26"/>
        <v>0</v>
      </c>
      <c r="K552" s="180" t="s">
        <v>9026</v>
      </c>
    </row>
    <row r="553" spans="1:11" ht="27" customHeight="1" x14ac:dyDescent="0.3">
      <c r="A553" s="177" t="s">
        <v>114</v>
      </c>
      <c r="B553" s="177">
        <v>2023</v>
      </c>
      <c r="C553" s="177">
        <v>2</v>
      </c>
      <c r="D553" s="177" t="s">
        <v>9024</v>
      </c>
      <c r="E553" s="188">
        <f>FCCL!F36-FCCL!F65</f>
        <v>8010.991</v>
      </c>
      <c r="F553" s="188">
        <f>FCCL!F61</f>
        <v>28486.855000000003</v>
      </c>
      <c r="G553" s="186">
        <f t="shared" si="24"/>
        <v>0.28121710873313321</v>
      </c>
      <c r="H553" s="186">
        <f t="shared" si="25"/>
        <v>0.28121710873313321</v>
      </c>
      <c r="I553" s="186">
        <v>0.28121710873313321</v>
      </c>
      <c r="J553" s="186">
        <f t="shared" si="26"/>
        <v>0</v>
      </c>
      <c r="K553" s="177" t="s">
        <v>9026</v>
      </c>
    </row>
    <row r="554" spans="1:11" ht="27" customHeight="1" x14ac:dyDescent="0.3">
      <c r="A554" s="180" t="s">
        <v>114</v>
      </c>
      <c r="B554" s="180">
        <v>2024</v>
      </c>
      <c r="C554" s="180">
        <v>2</v>
      </c>
      <c r="D554" s="180" t="s">
        <v>9024</v>
      </c>
      <c r="E554" s="187">
        <f>FCCL!G36-FCCL!G65</f>
        <v>9189.2360000000008</v>
      </c>
      <c r="F554" s="187">
        <f>FCCL!G61</f>
        <v>26865.467000000004</v>
      </c>
      <c r="G554" s="185">
        <f t="shared" si="24"/>
        <v>0.3420463898878065</v>
      </c>
      <c r="H554" s="185">
        <f t="shared" si="25"/>
        <v>0.3420463898878065</v>
      </c>
      <c r="I554" s="185">
        <v>0.34204638988780656</v>
      </c>
      <c r="J554" s="185">
        <f t="shared" si="26"/>
        <v>-5.5511151231257827E-17</v>
      </c>
      <c r="K554" s="180" t="s">
        <v>9026</v>
      </c>
    </row>
    <row r="555" spans="1:11" ht="27" customHeight="1" x14ac:dyDescent="0.3">
      <c r="A555" s="177" t="s">
        <v>114</v>
      </c>
      <c r="B555" s="177">
        <v>2025</v>
      </c>
      <c r="C555" s="177">
        <v>2</v>
      </c>
      <c r="D555" s="177" t="s">
        <v>9024</v>
      </c>
      <c r="E555" s="188">
        <f>FCCL!H36-FCCL!H65</f>
        <v>20757.940000000002</v>
      </c>
      <c r="F555" s="188">
        <f>FCCL!H61</f>
        <v>30637.496999999996</v>
      </c>
      <c r="G555" s="186">
        <f t="shared" si="24"/>
        <v>0.67753380767364924</v>
      </c>
      <c r="H555" s="186">
        <f t="shared" si="25"/>
        <v>0.67753380767364924</v>
      </c>
      <c r="I555" s="186">
        <v>0.67753380767364924</v>
      </c>
      <c r="J555" s="186">
        <f t="shared" si="26"/>
        <v>0</v>
      </c>
      <c r="K555" s="177" t="s">
        <v>9026</v>
      </c>
    </row>
    <row r="556" spans="1:11" ht="27" customHeight="1" x14ac:dyDescent="0.3">
      <c r="A556" s="180" t="s">
        <v>114</v>
      </c>
      <c r="B556" s="180">
        <v>2021</v>
      </c>
      <c r="C556" s="180">
        <v>3</v>
      </c>
      <c r="D556" s="180" t="s">
        <v>9027</v>
      </c>
      <c r="E556" s="187">
        <f>'EV Inputs'!J26</f>
        <v>900.77800000000002</v>
      </c>
      <c r="F556" s="187">
        <f>FCCL!D61</f>
        <v>6161.9889999999996</v>
      </c>
      <c r="G556" s="185">
        <f t="shared" si="24"/>
        <v>0.14618299383526975</v>
      </c>
      <c r="H556" s="185">
        <f t="shared" si="25"/>
        <v>0.14618299383526975</v>
      </c>
      <c r="I556" s="185">
        <v>0.14618299383526975</v>
      </c>
      <c r="J556" s="185">
        <f t="shared" si="26"/>
        <v>0</v>
      </c>
      <c r="K556" s="180" t="s">
        <v>9030</v>
      </c>
    </row>
    <row r="557" spans="1:11" ht="27" customHeight="1" x14ac:dyDescent="0.3">
      <c r="A557" s="177" t="s">
        <v>114</v>
      </c>
      <c r="B557" s="177">
        <v>2022</v>
      </c>
      <c r="C557" s="177">
        <v>3</v>
      </c>
      <c r="D557" s="177" t="s">
        <v>9027</v>
      </c>
      <c r="E557" s="188">
        <f>'EV Inputs'!J27</f>
        <v>2306.6329999999998</v>
      </c>
      <c r="F557" s="188">
        <f>FCCL!E61</f>
        <v>26721.253000000001</v>
      </c>
      <c r="G557" s="186">
        <f t="shared" si="24"/>
        <v>8.632203736853207E-2</v>
      </c>
      <c r="H557" s="186">
        <f t="shared" si="25"/>
        <v>8.632203736853207E-2</v>
      </c>
      <c r="I557" s="186">
        <v>8.632203736853207E-2</v>
      </c>
      <c r="J557" s="186">
        <f t="shared" si="26"/>
        <v>0</v>
      </c>
      <c r="K557" s="177" t="s">
        <v>9030</v>
      </c>
    </row>
    <row r="558" spans="1:11" ht="27" customHeight="1" x14ac:dyDescent="0.3">
      <c r="A558" s="180" t="s">
        <v>114</v>
      </c>
      <c r="B558" s="180">
        <v>2023</v>
      </c>
      <c r="C558" s="180">
        <v>3</v>
      </c>
      <c r="D558" s="180" t="s">
        <v>9027</v>
      </c>
      <c r="E558" s="187">
        <f>'EV Inputs'!J28</f>
        <v>880.95699999999999</v>
      </c>
      <c r="F558" s="187">
        <f>FCCL!F61</f>
        <v>28486.855000000003</v>
      </c>
      <c r="G558" s="185">
        <f t="shared" si="24"/>
        <v>3.0925035424233385E-2</v>
      </c>
      <c r="H558" s="185">
        <f t="shared" si="25"/>
        <v>3.0925035424233385E-2</v>
      </c>
      <c r="I558" s="185">
        <v>3.0925035424233388E-2</v>
      </c>
      <c r="J558" s="185">
        <f t="shared" si="26"/>
        <v>-3.4694469519536142E-18</v>
      </c>
      <c r="K558" s="180" t="s">
        <v>9030</v>
      </c>
    </row>
    <row r="559" spans="1:11" ht="27" customHeight="1" x14ac:dyDescent="0.3">
      <c r="A559" s="177" t="s">
        <v>114</v>
      </c>
      <c r="B559" s="177">
        <v>2024</v>
      </c>
      <c r="C559" s="177">
        <v>3</v>
      </c>
      <c r="D559" s="177" t="s">
        <v>9027</v>
      </c>
      <c r="E559" s="188">
        <f>'EV Inputs'!J29</f>
        <v>2847.4839999999999</v>
      </c>
      <c r="F559" s="188">
        <f>FCCL!G61</f>
        <v>26865.467000000004</v>
      </c>
      <c r="G559" s="186">
        <f t="shared" si="24"/>
        <v>0.10599048957533475</v>
      </c>
      <c r="H559" s="186">
        <f t="shared" si="25"/>
        <v>0.10599048957533475</v>
      </c>
      <c r="I559" s="186">
        <v>0.10599048957533476</v>
      </c>
      <c r="J559" s="186">
        <f t="shared" si="26"/>
        <v>-1.3877787807814457E-17</v>
      </c>
      <c r="K559" s="177" t="s">
        <v>9030</v>
      </c>
    </row>
    <row r="560" spans="1:11" ht="27" customHeight="1" x14ac:dyDescent="0.3">
      <c r="A560" s="180" t="s">
        <v>114</v>
      </c>
      <c r="B560" s="180">
        <v>2025</v>
      </c>
      <c r="C560" s="180">
        <v>3</v>
      </c>
      <c r="D560" s="180" t="s">
        <v>9027</v>
      </c>
      <c r="E560" s="187">
        <f>'EV Inputs'!J30</f>
        <v>2579.8380000000002</v>
      </c>
      <c r="F560" s="187">
        <f>FCCL!H61</f>
        <v>30637.496999999996</v>
      </c>
      <c r="G560" s="185">
        <f t="shared" si="24"/>
        <v>8.4205246923402408E-2</v>
      </c>
      <c r="H560" s="185">
        <f t="shared" si="25"/>
        <v>8.4205246923402408E-2</v>
      </c>
      <c r="I560" s="185">
        <v>8.4205246923402408E-2</v>
      </c>
      <c r="J560" s="185">
        <f t="shared" si="26"/>
        <v>0</v>
      </c>
      <c r="K560" s="180" t="s">
        <v>9030</v>
      </c>
    </row>
    <row r="561" spans="1:11" ht="27" customHeight="1" x14ac:dyDescent="0.3">
      <c r="A561" s="177" t="s">
        <v>114</v>
      </c>
      <c r="B561" s="177">
        <v>2021</v>
      </c>
      <c r="C561" s="177">
        <v>4</v>
      </c>
      <c r="D561" s="177" t="s">
        <v>9032</v>
      </c>
      <c r="E561" s="188">
        <f>FCCL!D36-FCCL!D61</f>
        <v>6276.7430000000004</v>
      </c>
      <c r="F561" s="188">
        <f>1</f>
        <v>1</v>
      </c>
      <c r="G561" s="186">
        <f t="shared" si="24"/>
        <v>6276.7430000000004</v>
      </c>
      <c r="H561" s="186">
        <f t="shared" si="25"/>
        <v>6276.7430000000004</v>
      </c>
      <c r="I561" s="186">
        <v>6276.7430000000004</v>
      </c>
      <c r="J561" s="186">
        <f t="shared" si="26"/>
        <v>0</v>
      </c>
      <c r="K561" s="177" t="s">
        <v>9035</v>
      </c>
    </row>
    <row r="562" spans="1:11" ht="27" customHeight="1" x14ac:dyDescent="0.3">
      <c r="A562" s="180" t="s">
        <v>114</v>
      </c>
      <c r="B562" s="180">
        <v>2022</v>
      </c>
      <c r="C562" s="180">
        <v>4</v>
      </c>
      <c r="D562" s="180" t="s">
        <v>9032</v>
      </c>
      <c r="E562" s="187">
        <f>FCCL!E36-FCCL!E61</f>
        <v>1495.5590000000011</v>
      </c>
      <c r="F562" s="187">
        <f>1</f>
        <v>1</v>
      </c>
      <c r="G562" s="185">
        <f t="shared" si="24"/>
        <v>1495.5590000000011</v>
      </c>
      <c r="H562" s="185">
        <f t="shared" si="25"/>
        <v>1495.5590000000011</v>
      </c>
      <c r="I562" s="185">
        <v>1495.5590000000011</v>
      </c>
      <c r="J562" s="185">
        <f t="shared" si="26"/>
        <v>0</v>
      </c>
      <c r="K562" s="180" t="s">
        <v>9035</v>
      </c>
    </row>
    <row r="563" spans="1:11" ht="27" customHeight="1" x14ac:dyDescent="0.3">
      <c r="A563" s="177" t="s">
        <v>114</v>
      </c>
      <c r="B563" s="177">
        <v>2023</v>
      </c>
      <c r="C563" s="177">
        <v>4</v>
      </c>
      <c r="D563" s="177" t="s">
        <v>9032</v>
      </c>
      <c r="E563" s="188">
        <f>FCCL!F36-FCCL!F61</f>
        <v>-5352.3560000000034</v>
      </c>
      <c r="F563" s="188">
        <f>1</f>
        <v>1</v>
      </c>
      <c r="G563" s="186">
        <f t="shared" si="24"/>
        <v>-5352.3560000000034</v>
      </c>
      <c r="H563" s="186" t="str">
        <f t="shared" si="25"/>
        <v>n/m</v>
      </c>
      <c r="I563" s="186">
        <v>-5352.3559999999998</v>
      </c>
      <c r="J563" s="186">
        <f t="shared" si="26"/>
        <v>-3.637978807091713E-12</v>
      </c>
      <c r="K563" s="177" t="s">
        <v>9035</v>
      </c>
    </row>
    <row r="564" spans="1:11" ht="27" customHeight="1" x14ac:dyDescent="0.3">
      <c r="A564" s="180" t="s">
        <v>114</v>
      </c>
      <c r="B564" s="180">
        <v>2024</v>
      </c>
      <c r="C564" s="180">
        <v>4</v>
      </c>
      <c r="D564" s="180" t="s">
        <v>9032</v>
      </c>
      <c r="E564" s="187">
        <f>FCCL!G36-FCCL!G61</f>
        <v>-1081.3960000000043</v>
      </c>
      <c r="F564" s="187">
        <f>1</f>
        <v>1</v>
      </c>
      <c r="G564" s="185">
        <f t="shared" si="24"/>
        <v>-1081.3960000000043</v>
      </c>
      <c r="H564" s="185" t="str">
        <f t="shared" si="25"/>
        <v>n/m</v>
      </c>
      <c r="I564" s="185">
        <v>-1081.3960000000006</v>
      </c>
      <c r="J564" s="185">
        <f t="shared" si="26"/>
        <v>-3.637978807091713E-12</v>
      </c>
      <c r="K564" s="180" t="s">
        <v>9035</v>
      </c>
    </row>
    <row r="565" spans="1:11" ht="27" customHeight="1" x14ac:dyDescent="0.3">
      <c r="A565" s="177" t="s">
        <v>114</v>
      </c>
      <c r="B565" s="177">
        <v>2025</v>
      </c>
      <c r="C565" s="177">
        <v>4</v>
      </c>
      <c r="D565" s="177" t="s">
        <v>9032</v>
      </c>
      <c r="E565" s="188">
        <f>FCCL!H36-FCCL!H61</f>
        <v>9835.0680000000066</v>
      </c>
      <c r="F565" s="188">
        <f>1</f>
        <v>1</v>
      </c>
      <c r="G565" s="186">
        <f t="shared" si="24"/>
        <v>9835.0680000000066</v>
      </c>
      <c r="H565" s="186">
        <f t="shared" si="25"/>
        <v>9835.0680000000066</v>
      </c>
      <c r="I565" s="186">
        <v>9835.0680000000066</v>
      </c>
      <c r="J565" s="186">
        <f t="shared" si="26"/>
        <v>0</v>
      </c>
      <c r="K565" s="177" t="s">
        <v>9035</v>
      </c>
    </row>
    <row r="566" spans="1:11" ht="27" customHeight="1" x14ac:dyDescent="0.3">
      <c r="A566" s="180" t="s">
        <v>114</v>
      </c>
      <c r="B566" s="180">
        <v>2021</v>
      </c>
      <c r="C566" s="180">
        <v>5</v>
      </c>
      <c r="D566" s="180" t="s">
        <v>9036</v>
      </c>
      <c r="E566" s="187">
        <f>-FCCL!D85</f>
        <v>18206.88</v>
      </c>
      <c r="F566" s="187">
        <f>AVERAGE(FCCL!C65,FCCL!D65)</f>
        <v>5066.7564999999995</v>
      </c>
      <c r="G566" s="185">
        <f t="shared" si="24"/>
        <v>3.593399445976929</v>
      </c>
      <c r="H566" s="185">
        <f t="shared" si="25"/>
        <v>3.593399445976929</v>
      </c>
      <c r="I566" s="185">
        <v>3.593399445976929</v>
      </c>
      <c r="J566" s="185">
        <f t="shared" si="26"/>
        <v>0</v>
      </c>
      <c r="K566" s="180" t="s">
        <v>9038</v>
      </c>
    </row>
    <row r="567" spans="1:11" ht="27" customHeight="1" x14ac:dyDescent="0.3">
      <c r="A567" s="177" t="s">
        <v>114</v>
      </c>
      <c r="B567" s="177">
        <v>2022</v>
      </c>
      <c r="C567" s="177">
        <v>5</v>
      </c>
      <c r="D567" s="177" t="s">
        <v>9036</v>
      </c>
      <c r="E567" s="188">
        <f>-FCCL!E85</f>
        <v>38779.542000000001</v>
      </c>
      <c r="F567" s="188">
        <f>AVERAGE(FCCL!D65,FCCL!E65)</f>
        <v>10538.41</v>
      </c>
      <c r="G567" s="186">
        <f t="shared" si="24"/>
        <v>3.6798285509863442</v>
      </c>
      <c r="H567" s="186">
        <f t="shared" si="25"/>
        <v>3.6798285509863442</v>
      </c>
      <c r="I567" s="186">
        <v>3.6798285509863442</v>
      </c>
      <c r="J567" s="186">
        <f t="shared" si="26"/>
        <v>0</v>
      </c>
      <c r="K567" s="177" t="s">
        <v>9038</v>
      </c>
    </row>
    <row r="568" spans="1:11" ht="27" customHeight="1" x14ac:dyDescent="0.3">
      <c r="A568" s="180" t="s">
        <v>114</v>
      </c>
      <c r="B568" s="180">
        <v>2023</v>
      </c>
      <c r="C568" s="180">
        <v>5</v>
      </c>
      <c r="D568" s="180" t="s">
        <v>9036</v>
      </c>
      <c r="E568" s="187">
        <f>-FCCL!F85</f>
        <v>47650.809000000001</v>
      </c>
      <c r="F568" s="187">
        <f>AVERAGE(FCCL!E65,FCCL!F65)</f>
        <v>15380.188</v>
      </c>
      <c r="G568" s="185">
        <f t="shared" si="24"/>
        <v>3.0981941833220765</v>
      </c>
      <c r="H568" s="185">
        <f t="shared" si="25"/>
        <v>3.0981941833220765</v>
      </c>
      <c r="I568" s="185">
        <v>3.0981941833220765</v>
      </c>
      <c r="J568" s="185">
        <f t="shared" si="26"/>
        <v>0</v>
      </c>
      <c r="K568" s="180" t="s">
        <v>9038</v>
      </c>
    </row>
    <row r="569" spans="1:11" ht="27" customHeight="1" x14ac:dyDescent="0.3">
      <c r="A569" s="177" t="s">
        <v>114</v>
      </c>
      <c r="B569" s="177">
        <v>2024</v>
      </c>
      <c r="C569" s="177">
        <v>5</v>
      </c>
      <c r="D569" s="177" t="s">
        <v>9036</v>
      </c>
      <c r="E569" s="188">
        <f>-FCCL!G85</f>
        <v>54345.821000000004</v>
      </c>
      <c r="F569" s="188">
        <f>AVERAGE(FCCL!F65,FCCL!G65)</f>
        <v>15859.1715</v>
      </c>
      <c r="G569" s="186">
        <f t="shared" si="24"/>
        <v>3.4267755412065504</v>
      </c>
      <c r="H569" s="186">
        <f t="shared" si="25"/>
        <v>3.4267755412065504</v>
      </c>
      <c r="I569" s="186">
        <v>3.4267755412065504</v>
      </c>
      <c r="J569" s="186">
        <f t="shared" si="26"/>
        <v>0</v>
      </c>
      <c r="K569" s="177" t="s">
        <v>9038</v>
      </c>
    </row>
    <row r="570" spans="1:11" ht="27" customHeight="1" x14ac:dyDescent="0.3">
      <c r="A570" s="180" t="s">
        <v>114</v>
      </c>
      <c r="B570" s="180">
        <v>2025</v>
      </c>
      <c r="C570" s="180">
        <v>5</v>
      </c>
      <c r="D570" s="180" t="s">
        <v>9036</v>
      </c>
      <c r="E570" s="187">
        <f>-FCCL!H85</f>
        <v>57384.978000000003</v>
      </c>
      <c r="F570" s="187">
        <f>AVERAGE(FCCL!G65,FCCL!H65)</f>
        <v>18154.73</v>
      </c>
      <c r="G570" s="185">
        <f t="shared" si="24"/>
        <v>3.1608830315846066</v>
      </c>
      <c r="H570" s="185">
        <f t="shared" si="25"/>
        <v>3.1608830315846066</v>
      </c>
      <c r="I570" s="185">
        <v>3.1608830315846066</v>
      </c>
      <c r="J570" s="185">
        <f t="shared" si="26"/>
        <v>0</v>
      </c>
      <c r="K570" s="180" t="s">
        <v>9038</v>
      </c>
    </row>
    <row r="571" spans="1:11" ht="27" customHeight="1" x14ac:dyDescent="0.3">
      <c r="A571" s="177" t="s">
        <v>114</v>
      </c>
      <c r="B571" s="177">
        <v>2021</v>
      </c>
      <c r="C571" s="177">
        <v>6</v>
      </c>
      <c r="D571" s="177" t="s">
        <v>9039</v>
      </c>
      <c r="E571" s="188">
        <f>FCCL!D84</f>
        <v>24271.285</v>
      </c>
      <c r="F571" s="188">
        <f>AVERAGE(FCCL!C32,FCCL!D32)</f>
        <v>1250.1199999999999</v>
      </c>
      <c r="G571" s="186">
        <f t="shared" si="24"/>
        <v>19.415164144242155</v>
      </c>
      <c r="H571" s="186">
        <f t="shared" si="25"/>
        <v>19.415164144242155</v>
      </c>
      <c r="I571" s="186">
        <v>19.415164144242155</v>
      </c>
      <c r="J571" s="186">
        <f t="shared" si="26"/>
        <v>0</v>
      </c>
      <c r="K571" s="177" t="s">
        <v>9041</v>
      </c>
    </row>
    <row r="572" spans="1:11" ht="27" customHeight="1" x14ac:dyDescent="0.3">
      <c r="A572" s="180" t="s">
        <v>114</v>
      </c>
      <c r="B572" s="180">
        <v>2022</v>
      </c>
      <c r="C572" s="180">
        <v>6</v>
      </c>
      <c r="D572" s="180" t="s">
        <v>9039</v>
      </c>
      <c r="E572" s="187">
        <f>FCCL!E84</f>
        <v>54243.118000000002</v>
      </c>
      <c r="F572" s="187">
        <f>AVERAGE(FCCL!D32,FCCL!E32)</f>
        <v>1931.1789999999999</v>
      </c>
      <c r="G572" s="185">
        <f t="shared" si="24"/>
        <v>28.088084014998095</v>
      </c>
      <c r="H572" s="185">
        <f t="shared" si="25"/>
        <v>28.088084014998095</v>
      </c>
      <c r="I572" s="185">
        <v>28.088084014998095</v>
      </c>
      <c r="J572" s="185">
        <f t="shared" si="26"/>
        <v>0</v>
      </c>
      <c r="K572" s="180" t="s">
        <v>9041</v>
      </c>
    </row>
    <row r="573" spans="1:11" ht="27" customHeight="1" x14ac:dyDescent="0.3">
      <c r="A573" s="177" t="s">
        <v>114</v>
      </c>
      <c r="B573" s="177">
        <v>2023</v>
      </c>
      <c r="C573" s="177">
        <v>6</v>
      </c>
      <c r="D573" s="177" t="s">
        <v>9039</v>
      </c>
      <c r="E573" s="188">
        <f>FCCL!F84</f>
        <v>68069.282000000007</v>
      </c>
      <c r="F573" s="188">
        <f>AVERAGE(FCCL!E32,FCCL!F32)</f>
        <v>2992.6014999999998</v>
      </c>
      <c r="G573" s="186">
        <f t="shared" si="24"/>
        <v>22.745855737892271</v>
      </c>
      <c r="H573" s="186">
        <f t="shared" si="25"/>
        <v>22.745855737892271</v>
      </c>
      <c r="I573" s="186">
        <v>22.745855737892271</v>
      </c>
      <c r="J573" s="186">
        <f t="shared" si="26"/>
        <v>0</v>
      </c>
      <c r="K573" s="177" t="s">
        <v>9041</v>
      </c>
    </row>
    <row r="574" spans="1:11" ht="27" customHeight="1" x14ac:dyDescent="0.3">
      <c r="A574" s="180" t="s">
        <v>114</v>
      </c>
      <c r="B574" s="180">
        <v>2024</v>
      </c>
      <c r="C574" s="180">
        <v>6</v>
      </c>
      <c r="D574" s="180" t="s">
        <v>9039</v>
      </c>
      <c r="E574" s="187">
        <f>FCCL!G84</f>
        <v>80026.225999999995</v>
      </c>
      <c r="F574" s="187">
        <f>AVERAGE(FCCL!F32,FCCL!G32)</f>
        <v>4558.8429999999998</v>
      </c>
      <c r="G574" s="185">
        <f t="shared" si="24"/>
        <v>17.554064923929165</v>
      </c>
      <c r="H574" s="185">
        <f t="shared" si="25"/>
        <v>17.554064923929165</v>
      </c>
      <c r="I574" s="185">
        <v>17.554064923929165</v>
      </c>
      <c r="J574" s="185">
        <f t="shared" si="26"/>
        <v>0</v>
      </c>
      <c r="K574" s="180" t="s">
        <v>9041</v>
      </c>
    </row>
    <row r="575" spans="1:11" ht="27" customHeight="1" x14ac:dyDescent="0.3">
      <c r="A575" s="177" t="s">
        <v>114</v>
      </c>
      <c r="B575" s="177">
        <v>2025</v>
      </c>
      <c r="C575" s="177">
        <v>6</v>
      </c>
      <c r="D575" s="177" t="s">
        <v>9039</v>
      </c>
      <c r="E575" s="188">
        <f>FCCL!H84</f>
        <v>88956.327999999994</v>
      </c>
      <c r="F575" s="188">
        <f>AVERAGE(FCCL!G32,FCCL!H32)</f>
        <v>6228.2815000000001</v>
      </c>
      <c r="G575" s="186">
        <f t="shared" si="24"/>
        <v>14.282644096931071</v>
      </c>
      <c r="H575" s="186">
        <f t="shared" si="25"/>
        <v>14.282644096931071</v>
      </c>
      <c r="I575" s="186">
        <v>14.282644096931071</v>
      </c>
      <c r="J575" s="186">
        <f t="shared" si="26"/>
        <v>0</v>
      </c>
      <c r="K575" s="177" t="s">
        <v>9041</v>
      </c>
    </row>
    <row r="576" spans="1:11" ht="27" customHeight="1" x14ac:dyDescent="0.3">
      <c r="A576" s="180" t="s">
        <v>114</v>
      </c>
      <c r="B576" s="180">
        <v>2021</v>
      </c>
      <c r="C576" s="180">
        <v>7</v>
      </c>
      <c r="D576" s="180" t="s">
        <v>9042</v>
      </c>
      <c r="E576" s="187">
        <f>365*AVERAGE(FCCL!C65,FCCL!D65)</f>
        <v>1849366.1224999998</v>
      </c>
      <c r="F576" s="187">
        <f>-FCCL!D85</f>
        <v>18206.88</v>
      </c>
      <c r="G576" s="185">
        <f t="shared" si="24"/>
        <v>101.57512558439446</v>
      </c>
      <c r="H576" s="185">
        <f t="shared" si="25"/>
        <v>101.57512558439446</v>
      </c>
      <c r="I576" s="185">
        <v>101.57512558439446</v>
      </c>
      <c r="J576" s="185">
        <f t="shared" si="26"/>
        <v>0</v>
      </c>
      <c r="K576" s="180" t="s">
        <v>9044</v>
      </c>
    </row>
    <row r="577" spans="1:11" ht="27" customHeight="1" x14ac:dyDescent="0.3">
      <c r="A577" s="177" t="s">
        <v>114</v>
      </c>
      <c r="B577" s="177">
        <v>2022</v>
      </c>
      <c r="C577" s="177">
        <v>7</v>
      </c>
      <c r="D577" s="177" t="s">
        <v>9042</v>
      </c>
      <c r="E577" s="188">
        <f>365*AVERAGE(FCCL!D65,FCCL!E65)</f>
        <v>3846519.65</v>
      </c>
      <c r="F577" s="188">
        <f>-FCCL!E85</f>
        <v>38779.542000000001</v>
      </c>
      <c r="G577" s="186">
        <f t="shared" si="24"/>
        <v>99.189403784088</v>
      </c>
      <c r="H577" s="186">
        <f t="shared" si="25"/>
        <v>99.189403784088</v>
      </c>
      <c r="I577" s="186">
        <v>99.189403784088</v>
      </c>
      <c r="J577" s="186">
        <f t="shared" si="26"/>
        <v>0</v>
      </c>
      <c r="K577" s="177" t="s">
        <v>9044</v>
      </c>
    </row>
    <row r="578" spans="1:11" ht="27" customHeight="1" x14ac:dyDescent="0.3">
      <c r="A578" s="180" t="s">
        <v>114</v>
      </c>
      <c r="B578" s="180">
        <v>2023</v>
      </c>
      <c r="C578" s="180">
        <v>7</v>
      </c>
      <c r="D578" s="180" t="s">
        <v>9042</v>
      </c>
      <c r="E578" s="187">
        <f>365*AVERAGE(FCCL!E65,FCCL!F65)</f>
        <v>5613768.6200000001</v>
      </c>
      <c r="F578" s="187">
        <f>-FCCL!F85</f>
        <v>47650.809000000001</v>
      </c>
      <c r="G578" s="185">
        <f t="shared" si="24"/>
        <v>117.81056267061489</v>
      </c>
      <c r="H578" s="185">
        <f t="shared" si="25"/>
        <v>117.81056267061489</v>
      </c>
      <c r="I578" s="185">
        <v>117.81056267061489</v>
      </c>
      <c r="J578" s="185">
        <f t="shared" si="26"/>
        <v>0</v>
      </c>
      <c r="K578" s="180" t="s">
        <v>9044</v>
      </c>
    </row>
    <row r="579" spans="1:11" ht="27" customHeight="1" x14ac:dyDescent="0.3">
      <c r="A579" s="177" t="s">
        <v>114</v>
      </c>
      <c r="B579" s="177">
        <v>2024</v>
      </c>
      <c r="C579" s="177">
        <v>7</v>
      </c>
      <c r="D579" s="177" t="s">
        <v>9042</v>
      </c>
      <c r="E579" s="188">
        <f>365*AVERAGE(FCCL!F65,FCCL!G65)</f>
        <v>5788597.5975000001</v>
      </c>
      <c r="F579" s="188">
        <f>-FCCL!G85</f>
        <v>54345.821000000004</v>
      </c>
      <c r="G579" s="186">
        <f t="shared" si="24"/>
        <v>106.51412548353994</v>
      </c>
      <c r="H579" s="186">
        <f t="shared" si="25"/>
        <v>106.51412548353994</v>
      </c>
      <c r="I579" s="186">
        <v>106.51412548353994</v>
      </c>
      <c r="J579" s="186">
        <f t="shared" si="26"/>
        <v>0</v>
      </c>
      <c r="K579" s="177" t="s">
        <v>9044</v>
      </c>
    </row>
    <row r="580" spans="1:11" ht="27" customHeight="1" x14ac:dyDescent="0.3">
      <c r="A580" s="180" t="s">
        <v>114</v>
      </c>
      <c r="B580" s="180">
        <v>2025</v>
      </c>
      <c r="C580" s="180">
        <v>7</v>
      </c>
      <c r="D580" s="180" t="s">
        <v>9042</v>
      </c>
      <c r="E580" s="187">
        <f>365*AVERAGE(FCCL!G65,FCCL!H65)</f>
        <v>6626476.4500000002</v>
      </c>
      <c r="F580" s="187">
        <f>-FCCL!H85</f>
        <v>57384.978000000003</v>
      </c>
      <c r="G580" s="185">
        <f t="shared" si="24"/>
        <v>115.47406099903009</v>
      </c>
      <c r="H580" s="185">
        <f t="shared" si="25"/>
        <v>115.47406099903009</v>
      </c>
      <c r="I580" s="185">
        <v>115.47406099903009</v>
      </c>
      <c r="J580" s="185">
        <f t="shared" si="26"/>
        <v>0</v>
      </c>
      <c r="K580" s="180" t="s">
        <v>9044</v>
      </c>
    </row>
    <row r="581" spans="1:11" ht="27" customHeight="1" x14ac:dyDescent="0.3">
      <c r="A581" s="177" t="s">
        <v>114</v>
      </c>
      <c r="B581" s="177">
        <v>2021</v>
      </c>
      <c r="C581" s="177">
        <v>8</v>
      </c>
      <c r="D581" s="177" t="s">
        <v>9045</v>
      </c>
      <c r="E581" s="188">
        <f>365*AVERAGE(FCCL!C32,FCCL!D32)</f>
        <v>456293.8</v>
      </c>
      <c r="F581" s="188">
        <f>FCCL!D84</f>
        <v>24271.285</v>
      </c>
      <c r="G581" s="186">
        <f t="shared" si="24"/>
        <v>18.799738044359827</v>
      </c>
      <c r="H581" s="186">
        <f t="shared" si="25"/>
        <v>18.799738044359827</v>
      </c>
      <c r="I581" s="186">
        <v>18.799738044359827</v>
      </c>
      <c r="J581" s="186">
        <f t="shared" si="26"/>
        <v>0</v>
      </c>
      <c r="K581" s="177" t="s">
        <v>9047</v>
      </c>
    </row>
    <row r="582" spans="1:11" ht="27" customHeight="1" x14ac:dyDescent="0.3">
      <c r="A582" s="180" t="s">
        <v>114</v>
      </c>
      <c r="B582" s="180">
        <v>2022</v>
      </c>
      <c r="C582" s="180">
        <v>8</v>
      </c>
      <c r="D582" s="180" t="s">
        <v>9045</v>
      </c>
      <c r="E582" s="187">
        <f>365*AVERAGE(FCCL!D32,FCCL!E32)</f>
        <v>704880.33499999996</v>
      </c>
      <c r="F582" s="187">
        <f>FCCL!E84</f>
        <v>54243.118000000002</v>
      </c>
      <c r="G582" s="185">
        <f t="shared" ref="G582:G645" si="27">IF(OR(NOT(ISNUMBER(E582)),NOT(ISNUMBER(F582)),F582=0),"n/m",E582/F582)</f>
        <v>12.994834386179642</v>
      </c>
      <c r="H582" s="185">
        <f t="shared" ref="H582:H645" si="28">IF(OR(NOT(ISNUMBER(E582)),NOT(ISNUMBER(F582))),"n/m",IF(OR((F582)&lt;=0,(E582)&lt;0),"n/m",(E582)/(F582)))</f>
        <v>12.994834386179642</v>
      </c>
      <c r="I582" s="185">
        <v>12.994834386179642</v>
      </c>
      <c r="J582" s="185">
        <f t="shared" ref="J582:J645" si="29">IF(AND(ISNUMBER(G582),ISNUMBER(I582)),G582-I582,IF(G582=I582,0,"Review"))</f>
        <v>0</v>
      </c>
      <c r="K582" s="180" t="s">
        <v>9047</v>
      </c>
    </row>
    <row r="583" spans="1:11" ht="27" customHeight="1" x14ac:dyDescent="0.3">
      <c r="A583" s="177" t="s">
        <v>114</v>
      </c>
      <c r="B583" s="177">
        <v>2023</v>
      </c>
      <c r="C583" s="177">
        <v>8</v>
      </c>
      <c r="D583" s="177" t="s">
        <v>9045</v>
      </c>
      <c r="E583" s="188">
        <f>365*AVERAGE(FCCL!E32,FCCL!F32)</f>
        <v>1092299.5474999999</v>
      </c>
      <c r="F583" s="188">
        <f>FCCL!F84</f>
        <v>68069.282000000007</v>
      </c>
      <c r="G583" s="186">
        <f t="shared" si="27"/>
        <v>16.046879229606091</v>
      </c>
      <c r="H583" s="186">
        <f t="shared" si="28"/>
        <v>16.046879229606091</v>
      </c>
      <c r="I583" s="186">
        <v>16.046879229606091</v>
      </c>
      <c r="J583" s="186">
        <f t="shared" si="29"/>
        <v>0</v>
      </c>
      <c r="K583" s="177" t="s">
        <v>9047</v>
      </c>
    </row>
    <row r="584" spans="1:11" ht="27" customHeight="1" x14ac:dyDescent="0.3">
      <c r="A584" s="180" t="s">
        <v>114</v>
      </c>
      <c r="B584" s="180">
        <v>2024</v>
      </c>
      <c r="C584" s="180">
        <v>8</v>
      </c>
      <c r="D584" s="180" t="s">
        <v>9045</v>
      </c>
      <c r="E584" s="187">
        <f>365*AVERAGE(FCCL!F32,FCCL!G32)</f>
        <v>1663977.6949999998</v>
      </c>
      <c r="F584" s="187">
        <f>FCCL!G84</f>
        <v>80026.225999999995</v>
      </c>
      <c r="G584" s="185">
        <f t="shared" si="27"/>
        <v>20.792904753499183</v>
      </c>
      <c r="H584" s="185">
        <f t="shared" si="28"/>
        <v>20.792904753499183</v>
      </c>
      <c r="I584" s="185">
        <v>20.792904753499183</v>
      </c>
      <c r="J584" s="185">
        <f t="shared" si="29"/>
        <v>0</v>
      </c>
      <c r="K584" s="180" t="s">
        <v>9047</v>
      </c>
    </row>
    <row r="585" spans="1:11" ht="27" customHeight="1" x14ac:dyDescent="0.3">
      <c r="A585" s="177" t="s">
        <v>114</v>
      </c>
      <c r="B585" s="177">
        <v>2025</v>
      </c>
      <c r="C585" s="177">
        <v>8</v>
      </c>
      <c r="D585" s="177" t="s">
        <v>9045</v>
      </c>
      <c r="E585" s="188">
        <f>365*AVERAGE(FCCL!G32,FCCL!H32)</f>
        <v>2273322.7475000001</v>
      </c>
      <c r="F585" s="188">
        <f>FCCL!H84</f>
        <v>88956.327999999994</v>
      </c>
      <c r="G585" s="186">
        <f t="shared" si="27"/>
        <v>25.555492212987932</v>
      </c>
      <c r="H585" s="186">
        <f t="shared" si="28"/>
        <v>25.555492212987932</v>
      </c>
      <c r="I585" s="186">
        <v>25.555492212987932</v>
      </c>
      <c r="J585" s="186">
        <f t="shared" si="29"/>
        <v>0</v>
      </c>
      <c r="K585" s="177" t="s">
        <v>9047</v>
      </c>
    </row>
    <row r="586" spans="1:11" ht="27" customHeight="1" x14ac:dyDescent="0.3">
      <c r="A586" s="180" t="s">
        <v>114</v>
      </c>
      <c r="B586" s="180">
        <v>2021</v>
      </c>
      <c r="C586" s="180">
        <v>9</v>
      </c>
      <c r="D586" s="180" t="s">
        <v>9048</v>
      </c>
      <c r="E586" s="187">
        <f>FCCL!D84</f>
        <v>24271.285</v>
      </c>
      <c r="F586" s="187">
        <f>FCCL!D20</f>
        <v>21422.215</v>
      </c>
      <c r="G586" s="185">
        <f t="shared" si="27"/>
        <v>1.1329960510619466</v>
      </c>
      <c r="H586" s="185">
        <f t="shared" si="28"/>
        <v>1.1329960510619466</v>
      </c>
      <c r="I586" s="185">
        <v>1.1329960510619466</v>
      </c>
      <c r="J586" s="185">
        <f t="shared" si="29"/>
        <v>0</v>
      </c>
      <c r="K586" s="180" t="s">
        <v>9050</v>
      </c>
    </row>
    <row r="587" spans="1:11" ht="27" customHeight="1" x14ac:dyDescent="0.3">
      <c r="A587" s="177" t="s">
        <v>114</v>
      </c>
      <c r="B587" s="177">
        <v>2022</v>
      </c>
      <c r="C587" s="177">
        <v>9</v>
      </c>
      <c r="D587" s="177" t="s">
        <v>9048</v>
      </c>
      <c r="E587" s="188">
        <f>FCCL!E84</f>
        <v>54243.118000000002</v>
      </c>
      <c r="F587" s="188">
        <f>FCCL!E20</f>
        <v>74126.315000000002</v>
      </c>
      <c r="G587" s="186">
        <f t="shared" si="27"/>
        <v>0.73176601318978285</v>
      </c>
      <c r="H587" s="186">
        <f t="shared" si="28"/>
        <v>0.73176601318978285</v>
      </c>
      <c r="I587" s="186">
        <v>0.73176601318978285</v>
      </c>
      <c r="J587" s="186">
        <f t="shared" si="29"/>
        <v>0</v>
      </c>
      <c r="K587" s="177" t="s">
        <v>9050</v>
      </c>
    </row>
    <row r="588" spans="1:11" ht="27" customHeight="1" x14ac:dyDescent="0.3">
      <c r="A588" s="180" t="s">
        <v>114</v>
      </c>
      <c r="B588" s="180">
        <v>2023</v>
      </c>
      <c r="C588" s="180">
        <v>9</v>
      </c>
      <c r="D588" s="180" t="s">
        <v>9048</v>
      </c>
      <c r="E588" s="187">
        <f>FCCL!F84</f>
        <v>68069.282000000007</v>
      </c>
      <c r="F588" s="187">
        <f>FCCL!F20</f>
        <v>104425.181</v>
      </c>
      <c r="G588" s="185">
        <f t="shared" si="27"/>
        <v>0.65184739301529204</v>
      </c>
      <c r="H588" s="185">
        <f t="shared" si="28"/>
        <v>0.65184739301529204</v>
      </c>
      <c r="I588" s="185">
        <v>0.65184739301529204</v>
      </c>
      <c r="J588" s="185">
        <f t="shared" si="29"/>
        <v>0</v>
      </c>
      <c r="K588" s="180" t="s">
        <v>9050</v>
      </c>
    </row>
    <row r="589" spans="1:11" ht="27" customHeight="1" x14ac:dyDescent="0.3">
      <c r="A589" s="177" t="s">
        <v>114</v>
      </c>
      <c r="B589" s="177">
        <v>2024</v>
      </c>
      <c r="C589" s="177">
        <v>9</v>
      </c>
      <c r="D589" s="177" t="s">
        <v>9048</v>
      </c>
      <c r="E589" s="188">
        <f>FCCL!G84</f>
        <v>80026.225999999995</v>
      </c>
      <c r="F589" s="188">
        <f>FCCL!G20</f>
        <v>110845.663</v>
      </c>
      <c r="G589" s="186">
        <f t="shared" si="27"/>
        <v>0.72196082222901214</v>
      </c>
      <c r="H589" s="186">
        <f t="shared" si="28"/>
        <v>0.72196082222901214</v>
      </c>
      <c r="I589" s="186">
        <v>0.72196082222901214</v>
      </c>
      <c r="J589" s="186">
        <f t="shared" si="29"/>
        <v>0</v>
      </c>
      <c r="K589" s="177" t="s">
        <v>9050</v>
      </c>
    </row>
    <row r="590" spans="1:11" ht="27" customHeight="1" x14ac:dyDescent="0.3">
      <c r="A590" s="180" t="s">
        <v>114</v>
      </c>
      <c r="B590" s="180">
        <v>2025</v>
      </c>
      <c r="C590" s="180">
        <v>9</v>
      </c>
      <c r="D590" s="180" t="s">
        <v>9048</v>
      </c>
      <c r="E590" s="187">
        <f>FCCL!H84</f>
        <v>88956.327999999994</v>
      </c>
      <c r="F590" s="187">
        <f>FCCL!H20</f>
        <v>109579.08900000001</v>
      </c>
      <c r="G590" s="185">
        <f t="shared" si="27"/>
        <v>0.81180021491144161</v>
      </c>
      <c r="H590" s="185">
        <f t="shared" si="28"/>
        <v>0.81180021491144161</v>
      </c>
      <c r="I590" s="185">
        <v>0.81180021491144161</v>
      </c>
      <c r="J590" s="185">
        <f t="shared" si="29"/>
        <v>0</v>
      </c>
      <c r="K590" s="180" t="s">
        <v>9050</v>
      </c>
    </row>
    <row r="591" spans="1:11" ht="27" customHeight="1" x14ac:dyDescent="0.3">
      <c r="A591" s="177" t="s">
        <v>114</v>
      </c>
      <c r="B591" s="177">
        <v>2021</v>
      </c>
      <c r="C591" s="177">
        <v>10</v>
      </c>
      <c r="D591" s="177" t="s">
        <v>9052</v>
      </c>
      <c r="E591" s="188">
        <f>FCCL!D84</f>
        <v>24271.285</v>
      </c>
      <c r="F591" s="188">
        <f>FCCL!D37</f>
        <v>34052.231</v>
      </c>
      <c r="G591" s="186">
        <f t="shared" si="27"/>
        <v>0.71276636764269574</v>
      </c>
      <c r="H591" s="186">
        <f t="shared" si="28"/>
        <v>0.71276636764269574</v>
      </c>
      <c r="I591" s="186">
        <v>0.71276636764269574</v>
      </c>
      <c r="J591" s="186">
        <f t="shared" si="29"/>
        <v>0</v>
      </c>
      <c r="K591" s="177" t="s">
        <v>9054</v>
      </c>
    </row>
    <row r="592" spans="1:11" ht="27" customHeight="1" x14ac:dyDescent="0.3">
      <c r="A592" s="180" t="s">
        <v>114</v>
      </c>
      <c r="B592" s="180">
        <v>2022</v>
      </c>
      <c r="C592" s="180">
        <v>10</v>
      </c>
      <c r="D592" s="180" t="s">
        <v>9052</v>
      </c>
      <c r="E592" s="187">
        <f>FCCL!E84</f>
        <v>54243.118000000002</v>
      </c>
      <c r="F592" s="187">
        <f>FCCL!E37</f>
        <v>113698.07700000002</v>
      </c>
      <c r="G592" s="185">
        <f t="shared" si="27"/>
        <v>0.4770803467502796</v>
      </c>
      <c r="H592" s="185">
        <f t="shared" si="28"/>
        <v>0.4770803467502796</v>
      </c>
      <c r="I592" s="185">
        <v>0.47708034675027972</v>
      </c>
      <c r="J592" s="185">
        <f t="shared" si="29"/>
        <v>-1.1102230246251565E-16</v>
      </c>
      <c r="K592" s="180" t="s">
        <v>9054</v>
      </c>
    </row>
    <row r="593" spans="1:11" ht="27" customHeight="1" x14ac:dyDescent="0.3">
      <c r="A593" s="177" t="s">
        <v>114</v>
      </c>
      <c r="B593" s="177">
        <v>2023</v>
      </c>
      <c r="C593" s="177">
        <v>10</v>
      </c>
      <c r="D593" s="177" t="s">
        <v>9052</v>
      </c>
      <c r="E593" s="188">
        <f>FCCL!F84</f>
        <v>68069.282000000007</v>
      </c>
      <c r="F593" s="188">
        <f>FCCL!F37</f>
        <v>138828.497</v>
      </c>
      <c r="G593" s="186">
        <f t="shared" si="27"/>
        <v>0.49031202866080159</v>
      </c>
      <c r="H593" s="186">
        <f t="shared" si="28"/>
        <v>0.49031202866080159</v>
      </c>
      <c r="I593" s="186">
        <v>0.49031202866080159</v>
      </c>
      <c r="J593" s="186">
        <f t="shared" si="29"/>
        <v>0</v>
      </c>
      <c r="K593" s="177" t="s">
        <v>9054</v>
      </c>
    </row>
    <row r="594" spans="1:11" ht="27" customHeight="1" x14ac:dyDescent="0.3">
      <c r="A594" s="180" t="s">
        <v>114</v>
      </c>
      <c r="B594" s="180">
        <v>2024</v>
      </c>
      <c r="C594" s="180">
        <v>10</v>
      </c>
      <c r="D594" s="180" t="s">
        <v>9052</v>
      </c>
      <c r="E594" s="187">
        <f>FCCL!G84</f>
        <v>80026.225999999995</v>
      </c>
      <c r="F594" s="187">
        <f>FCCL!G37</f>
        <v>147636.299</v>
      </c>
      <c r="G594" s="185">
        <f t="shared" si="27"/>
        <v>0.54204979765850125</v>
      </c>
      <c r="H594" s="185">
        <f t="shared" si="28"/>
        <v>0.54204979765850125</v>
      </c>
      <c r="I594" s="185">
        <v>0.54204979765850125</v>
      </c>
      <c r="J594" s="185">
        <f t="shared" si="29"/>
        <v>0</v>
      </c>
      <c r="K594" s="180" t="s">
        <v>9054</v>
      </c>
    </row>
    <row r="595" spans="1:11" ht="27" customHeight="1" x14ac:dyDescent="0.3">
      <c r="A595" s="177" t="s">
        <v>114</v>
      </c>
      <c r="B595" s="177">
        <v>2025</v>
      </c>
      <c r="C595" s="177">
        <v>10</v>
      </c>
      <c r="D595" s="177" t="s">
        <v>9052</v>
      </c>
      <c r="E595" s="188">
        <f>FCCL!H84</f>
        <v>88956.327999999994</v>
      </c>
      <c r="F595" s="188">
        <f>FCCL!H37</f>
        <v>160845.19100000002</v>
      </c>
      <c r="G595" s="186">
        <f t="shared" si="27"/>
        <v>0.55305556508680442</v>
      </c>
      <c r="H595" s="186">
        <f t="shared" si="28"/>
        <v>0.55305556508680442</v>
      </c>
      <c r="I595" s="186">
        <v>0.55305556508680453</v>
      </c>
      <c r="J595" s="186">
        <f t="shared" si="29"/>
        <v>-1.1102230246251565E-16</v>
      </c>
      <c r="K595" s="177" t="s">
        <v>9054</v>
      </c>
    </row>
    <row r="596" spans="1:11" ht="27" customHeight="1" x14ac:dyDescent="0.3">
      <c r="A596" s="180" t="s">
        <v>114</v>
      </c>
      <c r="B596" s="180">
        <v>2021</v>
      </c>
      <c r="C596" s="180">
        <v>11</v>
      </c>
      <c r="D596" s="180" t="s">
        <v>9055</v>
      </c>
      <c r="E596" s="187">
        <f>FCCL!D62</f>
        <v>10776.56</v>
      </c>
      <c r="F596" s="187">
        <f>FCCL!D37</f>
        <v>34052.231</v>
      </c>
      <c r="G596" s="185">
        <f t="shared" si="27"/>
        <v>0.31647148170702821</v>
      </c>
      <c r="H596" s="185">
        <f t="shared" si="28"/>
        <v>0.31647148170702821</v>
      </c>
      <c r="I596" s="185">
        <v>0.31647148170702821</v>
      </c>
      <c r="J596" s="185">
        <f t="shared" si="29"/>
        <v>0</v>
      </c>
      <c r="K596" s="180" t="s">
        <v>9057</v>
      </c>
    </row>
    <row r="597" spans="1:11" ht="27" customHeight="1" x14ac:dyDescent="0.3">
      <c r="A597" s="177" t="s">
        <v>114</v>
      </c>
      <c r="B597" s="177">
        <v>2022</v>
      </c>
      <c r="C597" s="177">
        <v>11</v>
      </c>
      <c r="D597" s="177" t="s">
        <v>9055</v>
      </c>
      <c r="E597" s="188">
        <f>FCCL!E62</f>
        <v>55962.021000000001</v>
      </c>
      <c r="F597" s="188">
        <f>FCCL!E37</f>
        <v>113698.07700000002</v>
      </c>
      <c r="G597" s="186">
        <f t="shared" si="27"/>
        <v>0.49219848282922141</v>
      </c>
      <c r="H597" s="186">
        <f t="shared" si="28"/>
        <v>0.49219848282922141</v>
      </c>
      <c r="I597" s="186">
        <v>0.49219848282922146</v>
      </c>
      <c r="J597" s="186">
        <f t="shared" si="29"/>
        <v>-5.5511151231257827E-17</v>
      </c>
      <c r="K597" s="177" t="s">
        <v>9057</v>
      </c>
    </row>
    <row r="598" spans="1:11" ht="27" customHeight="1" x14ac:dyDescent="0.3">
      <c r="A598" s="180" t="s">
        <v>114</v>
      </c>
      <c r="B598" s="180">
        <v>2023</v>
      </c>
      <c r="C598" s="180">
        <v>11</v>
      </c>
      <c r="D598" s="180" t="s">
        <v>9055</v>
      </c>
      <c r="E598" s="187">
        <f>FCCL!F62</f>
        <v>73652.760000000009</v>
      </c>
      <c r="F598" s="187">
        <f>FCCL!F37</f>
        <v>138828.497</v>
      </c>
      <c r="G598" s="185">
        <f t="shared" si="27"/>
        <v>0.53053055814614203</v>
      </c>
      <c r="H598" s="185">
        <f t="shared" si="28"/>
        <v>0.53053055814614203</v>
      </c>
      <c r="I598" s="185">
        <v>0.53053055814614192</v>
      </c>
      <c r="J598" s="185">
        <f t="shared" si="29"/>
        <v>1.1102230246251565E-16</v>
      </c>
      <c r="K598" s="180" t="s">
        <v>9057</v>
      </c>
    </row>
    <row r="599" spans="1:11" ht="27" customHeight="1" x14ac:dyDescent="0.3">
      <c r="A599" s="177" t="s">
        <v>114</v>
      </c>
      <c r="B599" s="177">
        <v>2024</v>
      </c>
      <c r="C599" s="177">
        <v>11</v>
      </c>
      <c r="D599" s="177" t="s">
        <v>9055</v>
      </c>
      <c r="E599" s="188">
        <f>FCCL!G62</f>
        <v>74237.446000000011</v>
      </c>
      <c r="F599" s="188">
        <f>FCCL!G37</f>
        <v>147636.299</v>
      </c>
      <c r="G599" s="186">
        <f t="shared" si="27"/>
        <v>0.5028400637434024</v>
      </c>
      <c r="H599" s="186">
        <f t="shared" si="28"/>
        <v>0.5028400637434024</v>
      </c>
      <c r="I599" s="186">
        <v>0.50284006374340229</v>
      </c>
      <c r="J599" s="186">
        <f t="shared" si="29"/>
        <v>1.1102230246251565E-16</v>
      </c>
      <c r="K599" s="177" t="s">
        <v>9057</v>
      </c>
    </row>
    <row r="600" spans="1:11" ht="27" customHeight="1" x14ac:dyDescent="0.3">
      <c r="A600" s="180" t="s">
        <v>114</v>
      </c>
      <c r="B600" s="180">
        <v>2025</v>
      </c>
      <c r="C600" s="180">
        <v>11</v>
      </c>
      <c r="D600" s="180" t="s">
        <v>9055</v>
      </c>
      <c r="E600" s="187">
        <f>FCCL!H62</f>
        <v>76572.982999999993</v>
      </c>
      <c r="F600" s="187">
        <f>FCCL!H37</f>
        <v>160845.19100000002</v>
      </c>
      <c r="G600" s="185">
        <f t="shared" si="27"/>
        <v>0.4760663500346739</v>
      </c>
      <c r="H600" s="185">
        <f t="shared" si="28"/>
        <v>0.4760663500346739</v>
      </c>
      <c r="I600" s="185">
        <v>0.47606635003467401</v>
      </c>
      <c r="J600" s="185">
        <f t="shared" si="29"/>
        <v>-1.1102230246251565E-16</v>
      </c>
      <c r="K600" s="180" t="s">
        <v>9057</v>
      </c>
    </row>
    <row r="601" spans="1:11" ht="27" customHeight="1" x14ac:dyDescent="0.3">
      <c r="A601" s="177" t="s">
        <v>114</v>
      </c>
      <c r="B601" s="177">
        <v>2021</v>
      </c>
      <c r="C601" s="177">
        <v>12</v>
      </c>
      <c r="D601" s="177" t="s">
        <v>9058</v>
      </c>
      <c r="E601" s="188">
        <f>FCCL!D66</f>
        <v>2568.0890000000004</v>
      </c>
      <c r="F601" s="188">
        <f>FCCL!D41</f>
        <v>23275.671000000002</v>
      </c>
      <c r="G601" s="186">
        <f t="shared" si="27"/>
        <v>0.11033361830900601</v>
      </c>
      <c r="H601" s="186">
        <f t="shared" si="28"/>
        <v>0.11033361830900601</v>
      </c>
      <c r="I601" s="186">
        <v>0.11033361830900598</v>
      </c>
      <c r="J601" s="186">
        <f t="shared" si="29"/>
        <v>2.7755575615628914E-17</v>
      </c>
      <c r="K601" s="177" t="s">
        <v>9060</v>
      </c>
    </row>
    <row r="602" spans="1:11" ht="27" customHeight="1" x14ac:dyDescent="0.3">
      <c r="A602" s="180" t="s">
        <v>114</v>
      </c>
      <c r="B602" s="180">
        <v>2022</v>
      </c>
      <c r="C602" s="180">
        <v>12</v>
      </c>
      <c r="D602" s="180" t="s">
        <v>9058</v>
      </c>
      <c r="E602" s="187">
        <f>FCCL!E66</f>
        <v>25917.630000000005</v>
      </c>
      <c r="F602" s="187">
        <f>FCCL!E41</f>
        <v>57736.055999999997</v>
      </c>
      <c r="G602" s="185">
        <f t="shared" si="27"/>
        <v>0.44889851845785944</v>
      </c>
      <c r="H602" s="185">
        <f t="shared" si="28"/>
        <v>0.44889851845785944</v>
      </c>
      <c r="I602" s="185">
        <v>0.44889851845785933</v>
      </c>
      <c r="J602" s="185">
        <f t="shared" si="29"/>
        <v>1.1102230246251565E-16</v>
      </c>
      <c r="K602" s="180" t="s">
        <v>9060</v>
      </c>
    </row>
    <row r="603" spans="1:11" ht="27" customHeight="1" x14ac:dyDescent="0.3">
      <c r="A603" s="177" t="s">
        <v>114</v>
      </c>
      <c r="B603" s="177">
        <v>2023</v>
      </c>
      <c r="C603" s="177">
        <v>12</v>
      </c>
      <c r="D603" s="177" t="s">
        <v>9058</v>
      </c>
      <c r="E603" s="188">
        <f>FCCL!F66</f>
        <v>40653.996000000006</v>
      </c>
      <c r="F603" s="188">
        <f>FCCL!F41</f>
        <v>65175.736999999994</v>
      </c>
      <c r="G603" s="186">
        <f t="shared" si="27"/>
        <v>0.62375966688339879</v>
      </c>
      <c r="H603" s="186">
        <f t="shared" si="28"/>
        <v>0.62375966688339879</v>
      </c>
      <c r="I603" s="186">
        <v>0.62375966688339868</v>
      </c>
      <c r="J603" s="186">
        <f t="shared" si="29"/>
        <v>1.1102230246251565E-16</v>
      </c>
      <c r="K603" s="177" t="s">
        <v>9060</v>
      </c>
    </row>
    <row r="604" spans="1:11" ht="27" customHeight="1" x14ac:dyDescent="0.3">
      <c r="A604" s="180" t="s">
        <v>114</v>
      </c>
      <c r="B604" s="180">
        <v>2024</v>
      </c>
      <c r="C604" s="180">
        <v>12</v>
      </c>
      <c r="D604" s="180" t="s">
        <v>9058</v>
      </c>
      <c r="E604" s="187">
        <f>FCCL!G66</f>
        <v>36589.749000000003</v>
      </c>
      <c r="F604" s="187">
        <f>FCCL!G41</f>
        <v>73398.853000000003</v>
      </c>
      <c r="G604" s="185">
        <f t="shared" si="27"/>
        <v>0.49850573278032018</v>
      </c>
      <c r="H604" s="185">
        <f t="shared" si="28"/>
        <v>0.49850573278032018</v>
      </c>
      <c r="I604" s="185">
        <v>0.49850573278032018</v>
      </c>
      <c r="J604" s="185">
        <f t="shared" si="29"/>
        <v>0</v>
      </c>
      <c r="K604" s="180" t="s">
        <v>9060</v>
      </c>
    </row>
    <row r="605" spans="1:11" ht="27" customHeight="1" x14ac:dyDescent="0.3">
      <c r="A605" s="177" t="s">
        <v>114</v>
      </c>
      <c r="B605" s="177">
        <v>2025</v>
      </c>
      <c r="C605" s="177">
        <v>12</v>
      </c>
      <c r="D605" s="177" t="s">
        <v>9058</v>
      </c>
      <c r="E605" s="188">
        <f>FCCL!H66</f>
        <v>40036.47</v>
      </c>
      <c r="F605" s="188">
        <f>FCCL!H41</f>
        <v>84272.207999999999</v>
      </c>
      <c r="G605" s="186">
        <f t="shared" si="27"/>
        <v>0.47508509566997464</v>
      </c>
      <c r="H605" s="186">
        <f t="shared" si="28"/>
        <v>0.47508509566997464</v>
      </c>
      <c r="I605" s="186">
        <v>0.47508509566997464</v>
      </c>
      <c r="J605" s="186">
        <f t="shared" si="29"/>
        <v>0</v>
      </c>
      <c r="K605" s="177" t="s">
        <v>9060</v>
      </c>
    </row>
    <row r="606" spans="1:11" ht="27" customHeight="1" x14ac:dyDescent="0.3">
      <c r="A606" s="180" t="s">
        <v>114</v>
      </c>
      <c r="B606" s="180">
        <v>2021</v>
      </c>
      <c r="C606" s="180">
        <v>13</v>
      </c>
      <c r="D606" s="180" t="s">
        <v>9062</v>
      </c>
      <c r="E606" s="187">
        <f>FCCL!D66</f>
        <v>2568.0890000000004</v>
      </c>
      <c r="F606" s="187">
        <f>FCCL!D66+FCCL!D41</f>
        <v>25843.760000000002</v>
      </c>
      <c r="G606" s="185">
        <f t="shared" si="27"/>
        <v>9.9369789844821352E-2</v>
      </c>
      <c r="H606" s="185">
        <f t="shared" si="28"/>
        <v>9.9369789844821352E-2</v>
      </c>
      <c r="I606" s="185">
        <v>9.9369789844821338E-2</v>
      </c>
      <c r="J606" s="185">
        <f t="shared" si="29"/>
        <v>1.3877787807814457E-17</v>
      </c>
      <c r="K606" s="180" t="s">
        <v>9060</v>
      </c>
    </row>
    <row r="607" spans="1:11" ht="27" customHeight="1" x14ac:dyDescent="0.3">
      <c r="A607" s="177" t="s">
        <v>114</v>
      </c>
      <c r="B607" s="177">
        <v>2022</v>
      </c>
      <c r="C607" s="177">
        <v>13</v>
      </c>
      <c r="D607" s="177" t="s">
        <v>9062</v>
      </c>
      <c r="E607" s="188">
        <f>FCCL!E66</f>
        <v>25917.630000000005</v>
      </c>
      <c r="F607" s="188">
        <f>FCCL!E66+FCCL!E41</f>
        <v>83653.686000000002</v>
      </c>
      <c r="G607" s="186">
        <f t="shared" si="27"/>
        <v>0.30982053797366449</v>
      </c>
      <c r="H607" s="186">
        <f t="shared" si="28"/>
        <v>0.30982053797366449</v>
      </c>
      <c r="I607" s="186">
        <v>0.30982053797366443</v>
      </c>
      <c r="J607" s="186">
        <f t="shared" si="29"/>
        <v>5.5511151231257827E-17</v>
      </c>
      <c r="K607" s="177" t="s">
        <v>9060</v>
      </c>
    </row>
    <row r="608" spans="1:11" ht="27" customHeight="1" x14ac:dyDescent="0.3">
      <c r="A608" s="180" t="s">
        <v>114</v>
      </c>
      <c r="B608" s="180">
        <v>2023</v>
      </c>
      <c r="C608" s="180">
        <v>13</v>
      </c>
      <c r="D608" s="180" t="s">
        <v>9062</v>
      </c>
      <c r="E608" s="187">
        <f>FCCL!F66</f>
        <v>40653.996000000006</v>
      </c>
      <c r="F608" s="187">
        <f>FCCL!F66+FCCL!F41</f>
        <v>105829.73300000001</v>
      </c>
      <c r="G608" s="185">
        <f t="shared" si="27"/>
        <v>0.38414531386940193</v>
      </c>
      <c r="H608" s="185">
        <f t="shared" si="28"/>
        <v>0.38414531386940193</v>
      </c>
      <c r="I608" s="185">
        <v>0.38414531386940193</v>
      </c>
      <c r="J608" s="185">
        <f t="shared" si="29"/>
        <v>0</v>
      </c>
      <c r="K608" s="180" t="s">
        <v>9060</v>
      </c>
    </row>
    <row r="609" spans="1:11" ht="27" customHeight="1" x14ac:dyDescent="0.3">
      <c r="A609" s="177" t="s">
        <v>114</v>
      </c>
      <c r="B609" s="177">
        <v>2024</v>
      </c>
      <c r="C609" s="177">
        <v>13</v>
      </c>
      <c r="D609" s="177" t="s">
        <v>9062</v>
      </c>
      <c r="E609" s="188">
        <f>FCCL!G66</f>
        <v>36589.749000000003</v>
      </c>
      <c r="F609" s="188">
        <f>FCCL!G66+FCCL!G41</f>
        <v>109988.60200000001</v>
      </c>
      <c r="G609" s="186">
        <f t="shared" si="27"/>
        <v>0.33266855232872222</v>
      </c>
      <c r="H609" s="186">
        <f t="shared" si="28"/>
        <v>0.33266855232872222</v>
      </c>
      <c r="I609" s="186">
        <v>0.33266855232872222</v>
      </c>
      <c r="J609" s="186">
        <f t="shared" si="29"/>
        <v>0</v>
      </c>
      <c r="K609" s="177" t="s">
        <v>9060</v>
      </c>
    </row>
    <row r="610" spans="1:11" ht="27" customHeight="1" x14ac:dyDescent="0.3">
      <c r="A610" s="180" t="s">
        <v>114</v>
      </c>
      <c r="B610" s="180">
        <v>2025</v>
      </c>
      <c r="C610" s="180">
        <v>13</v>
      </c>
      <c r="D610" s="180" t="s">
        <v>9062</v>
      </c>
      <c r="E610" s="187">
        <f>FCCL!H66</f>
        <v>40036.47</v>
      </c>
      <c r="F610" s="187">
        <f>FCCL!H66+FCCL!H41</f>
        <v>124308.678</v>
      </c>
      <c r="G610" s="185">
        <f t="shared" si="27"/>
        <v>0.3220730092552348</v>
      </c>
      <c r="H610" s="185">
        <f t="shared" si="28"/>
        <v>0.3220730092552348</v>
      </c>
      <c r="I610" s="185">
        <v>0.3220730092552348</v>
      </c>
      <c r="J610" s="185">
        <f t="shared" si="29"/>
        <v>0</v>
      </c>
      <c r="K610" s="180" t="s">
        <v>9060</v>
      </c>
    </row>
    <row r="611" spans="1:11" ht="27" customHeight="1" x14ac:dyDescent="0.3">
      <c r="A611" s="177" t="s">
        <v>114</v>
      </c>
      <c r="B611" s="177">
        <v>2021</v>
      </c>
      <c r="C611" s="177">
        <v>14</v>
      </c>
      <c r="D611" s="177" t="s">
        <v>9064</v>
      </c>
      <c r="E611" s="188">
        <f>(FCCL!D96+FCCL!D106)</f>
        <v>5199.8039999999992</v>
      </c>
      <c r="F611" s="188">
        <f>FCCL!D106</f>
        <v>92.112000000000009</v>
      </c>
      <c r="G611" s="186">
        <f t="shared" si="27"/>
        <v>56.450885878061477</v>
      </c>
      <c r="H611" s="186">
        <f t="shared" si="28"/>
        <v>56.450885878061477</v>
      </c>
      <c r="I611" s="186">
        <v>56.450885878061477</v>
      </c>
      <c r="J611" s="186">
        <f t="shared" si="29"/>
        <v>0</v>
      </c>
      <c r="K611" s="177" t="s">
        <v>9066</v>
      </c>
    </row>
    <row r="612" spans="1:11" ht="27" customHeight="1" x14ac:dyDescent="0.3">
      <c r="A612" s="180" t="s">
        <v>114</v>
      </c>
      <c r="B612" s="180">
        <v>2022</v>
      </c>
      <c r="C612" s="180">
        <v>14</v>
      </c>
      <c r="D612" s="180" t="s">
        <v>9064</v>
      </c>
      <c r="E612" s="187">
        <f>(FCCL!E96+FCCL!E106)</f>
        <v>12523.317000000001</v>
      </c>
      <c r="F612" s="187">
        <f>FCCL!E106</f>
        <v>995.22400000000005</v>
      </c>
      <c r="G612" s="185">
        <f t="shared" si="27"/>
        <v>12.583415391911771</v>
      </c>
      <c r="H612" s="185">
        <f t="shared" si="28"/>
        <v>12.583415391911771</v>
      </c>
      <c r="I612" s="185">
        <v>12.583415391911771</v>
      </c>
      <c r="J612" s="185">
        <f t="shared" si="29"/>
        <v>0</v>
      </c>
      <c r="K612" s="180" t="s">
        <v>9066</v>
      </c>
    </row>
    <row r="613" spans="1:11" ht="27" customHeight="1" x14ac:dyDescent="0.3">
      <c r="A613" s="177" t="s">
        <v>114</v>
      </c>
      <c r="B613" s="177">
        <v>2023</v>
      </c>
      <c r="C613" s="177">
        <v>14</v>
      </c>
      <c r="D613" s="177" t="s">
        <v>9064</v>
      </c>
      <c r="E613" s="188">
        <f>(FCCL!F96+FCCL!F106)</f>
        <v>15524.919000000007</v>
      </c>
      <c r="F613" s="188">
        <f>FCCL!F106</f>
        <v>2624.81</v>
      </c>
      <c r="G613" s="186">
        <f t="shared" si="27"/>
        <v>5.9146829675290808</v>
      </c>
      <c r="H613" s="186">
        <f t="shared" si="28"/>
        <v>5.9146829675290808</v>
      </c>
      <c r="I613" s="186">
        <v>5.9146829675290808</v>
      </c>
      <c r="J613" s="186">
        <f t="shared" si="29"/>
        <v>0</v>
      </c>
      <c r="K613" s="177" t="s">
        <v>9066</v>
      </c>
    </row>
    <row r="614" spans="1:11" ht="27" customHeight="1" x14ac:dyDescent="0.3">
      <c r="A614" s="180" t="s">
        <v>114</v>
      </c>
      <c r="B614" s="180">
        <v>2024</v>
      </c>
      <c r="C614" s="180">
        <v>14</v>
      </c>
      <c r="D614" s="180" t="s">
        <v>9064</v>
      </c>
      <c r="E614" s="187">
        <f>(FCCL!G96+FCCL!G106)</f>
        <v>20878.690999999995</v>
      </c>
      <c r="F614" s="187">
        <f>FCCL!G106</f>
        <v>5523.7370000000001</v>
      </c>
      <c r="G614" s="185">
        <f t="shared" si="27"/>
        <v>3.7798126521954241</v>
      </c>
      <c r="H614" s="185">
        <f t="shared" si="28"/>
        <v>3.7798126521954241</v>
      </c>
      <c r="I614" s="185">
        <v>3.7798126521954232</v>
      </c>
      <c r="J614" s="185">
        <f t="shared" si="29"/>
        <v>8.8817841970012523E-16</v>
      </c>
      <c r="K614" s="180" t="s">
        <v>9066</v>
      </c>
    </row>
    <row r="615" spans="1:11" ht="27" customHeight="1" x14ac:dyDescent="0.3">
      <c r="A615" s="177" t="s">
        <v>114</v>
      </c>
      <c r="B615" s="177">
        <v>2025</v>
      </c>
      <c r="C615" s="177">
        <v>14</v>
      </c>
      <c r="D615" s="177" t="s">
        <v>9064</v>
      </c>
      <c r="E615" s="188">
        <f>(FCCL!H96+FCCL!H106)</f>
        <v>27199.797999999988</v>
      </c>
      <c r="F615" s="188">
        <f>FCCL!H106</f>
        <v>5674.2779999999993</v>
      </c>
      <c r="G615" s="186">
        <f t="shared" si="27"/>
        <v>4.7935258018729412</v>
      </c>
      <c r="H615" s="186">
        <f t="shared" si="28"/>
        <v>4.7935258018729412</v>
      </c>
      <c r="I615" s="186">
        <v>4.7935258018729421</v>
      </c>
      <c r="J615" s="186">
        <f t="shared" si="29"/>
        <v>-8.8817841970012523E-16</v>
      </c>
      <c r="K615" s="177" t="s">
        <v>9066</v>
      </c>
    </row>
    <row r="616" spans="1:11" ht="27" customHeight="1" x14ac:dyDescent="0.3">
      <c r="A616" s="180" t="s">
        <v>114</v>
      </c>
      <c r="B616" s="180">
        <v>2021</v>
      </c>
      <c r="C616" s="180">
        <v>15</v>
      </c>
      <c r="D616" s="180" t="s">
        <v>9067</v>
      </c>
      <c r="E616" s="187">
        <f>FCCL!D86</f>
        <v>6064.4049999999988</v>
      </c>
      <c r="F616" s="187">
        <f>FCCL!D84</f>
        <v>24271.285</v>
      </c>
      <c r="G616" s="185">
        <f t="shared" si="27"/>
        <v>0.24985924725452316</v>
      </c>
      <c r="H616" s="185">
        <f t="shared" si="28"/>
        <v>0.24985924725452316</v>
      </c>
      <c r="I616" s="185">
        <v>0.24985924725452316</v>
      </c>
      <c r="J616" s="185">
        <f t="shared" si="29"/>
        <v>0</v>
      </c>
      <c r="K616" s="180" t="s">
        <v>9069</v>
      </c>
    </row>
    <row r="617" spans="1:11" ht="27" customHeight="1" x14ac:dyDescent="0.3">
      <c r="A617" s="177" t="s">
        <v>114</v>
      </c>
      <c r="B617" s="177">
        <v>2022</v>
      </c>
      <c r="C617" s="177">
        <v>15</v>
      </c>
      <c r="D617" s="177" t="s">
        <v>9067</v>
      </c>
      <c r="E617" s="188">
        <f>FCCL!E86</f>
        <v>15463.576000000001</v>
      </c>
      <c r="F617" s="188">
        <f>FCCL!E84</f>
        <v>54243.118000000002</v>
      </c>
      <c r="G617" s="186">
        <f t="shared" si="27"/>
        <v>0.28507903988852556</v>
      </c>
      <c r="H617" s="186">
        <f t="shared" si="28"/>
        <v>0.28507903988852556</v>
      </c>
      <c r="I617" s="186">
        <v>0.28507903988852556</v>
      </c>
      <c r="J617" s="186">
        <f t="shared" si="29"/>
        <v>0</v>
      </c>
      <c r="K617" s="177" t="s">
        <v>9069</v>
      </c>
    </row>
    <row r="618" spans="1:11" ht="27" customHeight="1" x14ac:dyDescent="0.3">
      <c r="A618" s="180" t="s">
        <v>114</v>
      </c>
      <c r="B618" s="180">
        <v>2023</v>
      </c>
      <c r="C618" s="180">
        <v>15</v>
      </c>
      <c r="D618" s="180" t="s">
        <v>9067</v>
      </c>
      <c r="E618" s="187">
        <f>FCCL!F86</f>
        <v>20418.473000000005</v>
      </c>
      <c r="F618" s="187">
        <f>FCCL!F84</f>
        <v>68069.282000000007</v>
      </c>
      <c r="G618" s="185">
        <f t="shared" si="27"/>
        <v>0.29996604048210768</v>
      </c>
      <c r="H618" s="185">
        <f t="shared" si="28"/>
        <v>0.29996604048210768</v>
      </c>
      <c r="I618" s="185">
        <v>0.29996604048210768</v>
      </c>
      <c r="J618" s="185">
        <f t="shared" si="29"/>
        <v>0</v>
      </c>
      <c r="K618" s="180" t="s">
        <v>9069</v>
      </c>
    </row>
    <row r="619" spans="1:11" ht="27" customHeight="1" x14ac:dyDescent="0.3">
      <c r="A619" s="177" t="s">
        <v>114</v>
      </c>
      <c r="B619" s="177">
        <v>2024</v>
      </c>
      <c r="C619" s="177">
        <v>15</v>
      </c>
      <c r="D619" s="177" t="s">
        <v>9067</v>
      </c>
      <c r="E619" s="188">
        <f>FCCL!G86</f>
        <v>25680.404999999992</v>
      </c>
      <c r="F619" s="188">
        <f>FCCL!G84</f>
        <v>80026.225999999995</v>
      </c>
      <c r="G619" s="186">
        <f t="shared" si="27"/>
        <v>0.32089986350224731</v>
      </c>
      <c r="H619" s="186">
        <f t="shared" si="28"/>
        <v>0.32089986350224731</v>
      </c>
      <c r="I619" s="186">
        <v>0.32089986350224731</v>
      </c>
      <c r="J619" s="186">
        <f t="shared" si="29"/>
        <v>0</v>
      </c>
      <c r="K619" s="177" t="s">
        <v>9069</v>
      </c>
    </row>
    <row r="620" spans="1:11" ht="27" customHeight="1" x14ac:dyDescent="0.3">
      <c r="A620" s="180" t="s">
        <v>114</v>
      </c>
      <c r="B620" s="180">
        <v>2025</v>
      </c>
      <c r="C620" s="180">
        <v>15</v>
      </c>
      <c r="D620" s="180" t="s">
        <v>9067</v>
      </c>
      <c r="E620" s="187">
        <f>FCCL!H86</f>
        <v>31571.349999999991</v>
      </c>
      <c r="F620" s="187">
        <f>FCCL!H84</f>
        <v>88956.327999999994</v>
      </c>
      <c r="G620" s="185">
        <f t="shared" si="27"/>
        <v>0.35490842202929052</v>
      </c>
      <c r="H620" s="185">
        <f t="shared" si="28"/>
        <v>0.35490842202929052</v>
      </c>
      <c r="I620" s="185">
        <v>0.35490842202929052</v>
      </c>
      <c r="J620" s="185">
        <f t="shared" si="29"/>
        <v>0</v>
      </c>
      <c r="K620" s="180" t="s">
        <v>9069</v>
      </c>
    </row>
    <row r="621" spans="1:11" ht="27" customHeight="1" x14ac:dyDescent="0.3">
      <c r="A621" s="177" t="s">
        <v>114</v>
      </c>
      <c r="B621" s="177">
        <v>2021</v>
      </c>
      <c r="C621" s="177">
        <v>16</v>
      </c>
      <c r="D621" s="177" t="s">
        <v>9070</v>
      </c>
      <c r="E621" s="188">
        <f>(FCCL!D96+FCCL!D106)</f>
        <v>5199.8039999999992</v>
      </c>
      <c r="F621" s="188">
        <f>FCCL!D84</f>
        <v>24271.285</v>
      </c>
      <c r="G621" s="186">
        <f t="shared" si="27"/>
        <v>0.2142368646736256</v>
      </c>
      <c r="H621" s="186">
        <f t="shared" si="28"/>
        <v>0.2142368646736256</v>
      </c>
      <c r="I621" s="186">
        <v>0.2142368646736256</v>
      </c>
      <c r="J621" s="186">
        <f t="shared" si="29"/>
        <v>0</v>
      </c>
      <c r="K621" s="177" t="s">
        <v>9072</v>
      </c>
    </row>
    <row r="622" spans="1:11" ht="27" customHeight="1" x14ac:dyDescent="0.3">
      <c r="A622" s="180" t="s">
        <v>114</v>
      </c>
      <c r="B622" s="180">
        <v>2022</v>
      </c>
      <c r="C622" s="180">
        <v>16</v>
      </c>
      <c r="D622" s="180" t="s">
        <v>9070</v>
      </c>
      <c r="E622" s="187">
        <f>(FCCL!E96+FCCL!E106)</f>
        <v>12523.317000000001</v>
      </c>
      <c r="F622" s="187">
        <f>FCCL!E84</f>
        <v>54243.118000000002</v>
      </c>
      <c r="G622" s="185">
        <f t="shared" si="27"/>
        <v>0.23087384099122032</v>
      </c>
      <c r="H622" s="185">
        <f t="shared" si="28"/>
        <v>0.23087384099122032</v>
      </c>
      <c r="I622" s="185">
        <v>0.23087384099122032</v>
      </c>
      <c r="J622" s="185">
        <f t="shared" si="29"/>
        <v>0</v>
      </c>
      <c r="K622" s="180" t="s">
        <v>9072</v>
      </c>
    </row>
    <row r="623" spans="1:11" ht="27" customHeight="1" x14ac:dyDescent="0.3">
      <c r="A623" s="177" t="s">
        <v>114</v>
      </c>
      <c r="B623" s="177">
        <v>2023</v>
      </c>
      <c r="C623" s="177">
        <v>16</v>
      </c>
      <c r="D623" s="177" t="s">
        <v>9070</v>
      </c>
      <c r="E623" s="188">
        <f>(FCCL!F96+FCCL!F106)</f>
        <v>15524.919000000007</v>
      </c>
      <c r="F623" s="188">
        <f>FCCL!F84</f>
        <v>68069.282000000007</v>
      </c>
      <c r="G623" s="186">
        <f t="shared" si="27"/>
        <v>0.22807525720632701</v>
      </c>
      <c r="H623" s="186">
        <f t="shared" si="28"/>
        <v>0.22807525720632701</v>
      </c>
      <c r="I623" s="186">
        <v>0.22807525720632699</v>
      </c>
      <c r="J623" s="186">
        <f t="shared" si="29"/>
        <v>2.7755575615628914E-17</v>
      </c>
      <c r="K623" s="177" t="s">
        <v>9072</v>
      </c>
    </row>
    <row r="624" spans="1:11" ht="27" customHeight="1" x14ac:dyDescent="0.3">
      <c r="A624" s="180" t="s">
        <v>114</v>
      </c>
      <c r="B624" s="180">
        <v>2024</v>
      </c>
      <c r="C624" s="180">
        <v>16</v>
      </c>
      <c r="D624" s="180" t="s">
        <v>9070</v>
      </c>
      <c r="E624" s="187">
        <f>(FCCL!G96+FCCL!G106)</f>
        <v>20878.690999999995</v>
      </c>
      <c r="F624" s="187">
        <f>FCCL!G84</f>
        <v>80026.225999999995</v>
      </c>
      <c r="G624" s="185">
        <f t="shared" si="27"/>
        <v>0.26089810857755552</v>
      </c>
      <c r="H624" s="185">
        <f t="shared" si="28"/>
        <v>0.26089810857755552</v>
      </c>
      <c r="I624" s="185">
        <v>0.26089810857755547</v>
      </c>
      <c r="J624" s="185">
        <f t="shared" si="29"/>
        <v>5.5511151231257827E-17</v>
      </c>
      <c r="K624" s="180" t="s">
        <v>9072</v>
      </c>
    </row>
    <row r="625" spans="1:11" ht="27" customHeight="1" x14ac:dyDescent="0.3">
      <c r="A625" s="177" t="s">
        <v>114</v>
      </c>
      <c r="B625" s="177">
        <v>2025</v>
      </c>
      <c r="C625" s="177">
        <v>16</v>
      </c>
      <c r="D625" s="177" t="s">
        <v>9070</v>
      </c>
      <c r="E625" s="188">
        <f>(FCCL!H96+FCCL!H106)</f>
        <v>27199.797999999988</v>
      </c>
      <c r="F625" s="188">
        <f>FCCL!H84</f>
        <v>88956.327999999994</v>
      </c>
      <c r="G625" s="186">
        <f t="shared" si="27"/>
        <v>0.3057657460861018</v>
      </c>
      <c r="H625" s="186">
        <f t="shared" si="28"/>
        <v>0.3057657460861018</v>
      </c>
      <c r="I625" s="186">
        <v>0.30576574608610185</v>
      </c>
      <c r="J625" s="186">
        <f t="shared" si="29"/>
        <v>-5.5511151231257827E-17</v>
      </c>
      <c r="K625" s="177" t="s">
        <v>9072</v>
      </c>
    </row>
    <row r="626" spans="1:11" ht="27" customHeight="1" x14ac:dyDescent="0.3">
      <c r="A626" s="180" t="s">
        <v>114</v>
      </c>
      <c r="B626" s="180">
        <v>2021</v>
      </c>
      <c r="C626" s="180">
        <v>17</v>
      </c>
      <c r="D626" s="180" t="s">
        <v>9074</v>
      </c>
      <c r="E626" s="187">
        <f>FCCL!D99</f>
        <v>3471.3509999999992</v>
      </c>
      <c r="F626" s="187">
        <f>FCCL!D84</f>
        <v>24271.285</v>
      </c>
      <c r="G626" s="185">
        <f t="shared" si="27"/>
        <v>0.14302295902338913</v>
      </c>
      <c r="H626" s="185">
        <f t="shared" si="28"/>
        <v>0.14302295902338913</v>
      </c>
      <c r="I626" s="185">
        <v>0.14302295902338913</v>
      </c>
      <c r="J626" s="185">
        <f t="shared" si="29"/>
        <v>0</v>
      </c>
      <c r="K626" s="180" t="s">
        <v>9076</v>
      </c>
    </row>
    <row r="627" spans="1:11" ht="27" customHeight="1" x14ac:dyDescent="0.3">
      <c r="A627" s="177" t="s">
        <v>114</v>
      </c>
      <c r="B627" s="177">
        <v>2022</v>
      </c>
      <c r="C627" s="177">
        <v>17</v>
      </c>
      <c r="D627" s="177" t="s">
        <v>9074</v>
      </c>
      <c r="E627" s="188">
        <f>FCCL!E99</f>
        <v>7112.5400000000009</v>
      </c>
      <c r="F627" s="188">
        <f>FCCL!E84</f>
        <v>54243.118000000002</v>
      </c>
      <c r="G627" s="186">
        <f t="shared" si="27"/>
        <v>0.13112336204567002</v>
      </c>
      <c r="H627" s="186">
        <f t="shared" si="28"/>
        <v>0.13112336204567002</v>
      </c>
      <c r="I627" s="186">
        <v>0.13112336204567002</v>
      </c>
      <c r="J627" s="186">
        <f t="shared" si="29"/>
        <v>0</v>
      </c>
      <c r="K627" s="177" t="s">
        <v>9076</v>
      </c>
    </row>
    <row r="628" spans="1:11" ht="27" customHeight="1" x14ac:dyDescent="0.3">
      <c r="A628" s="180" t="s">
        <v>114</v>
      </c>
      <c r="B628" s="180">
        <v>2023</v>
      </c>
      <c r="C628" s="180">
        <v>17</v>
      </c>
      <c r="D628" s="180" t="s">
        <v>9074</v>
      </c>
      <c r="E628" s="187">
        <f>FCCL!F99</f>
        <v>7439.6810000000078</v>
      </c>
      <c r="F628" s="187">
        <f>FCCL!F84</f>
        <v>68069.282000000007</v>
      </c>
      <c r="G628" s="185">
        <f t="shared" si="27"/>
        <v>0.10929571726641699</v>
      </c>
      <c r="H628" s="185">
        <f t="shared" si="28"/>
        <v>0.10929571726641699</v>
      </c>
      <c r="I628" s="185">
        <v>0.10929571726641696</v>
      </c>
      <c r="J628" s="185">
        <f t="shared" si="29"/>
        <v>2.7755575615628914E-17</v>
      </c>
      <c r="K628" s="180" t="s">
        <v>9076</v>
      </c>
    </row>
    <row r="629" spans="1:11" ht="27" customHeight="1" x14ac:dyDescent="0.3">
      <c r="A629" s="177" t="s">
        <v>114</v>
      </c>
      <c r="B629" s="177">
        <v>2024</v>
      </c>
      <c r="C629" s="177">
        <v>17</v>
      </c>
      <c r="D629" s="177" t="s">
        <v>9074</v>
      </c>
      <c r="E629" s="188">
        <f>FCCL!G99</f>
        <v>8223.1159999999945</v>
      </c>
      <c r="F629" s="188">
        <f>FCCL!G84</f>
        <v>80026.225999999995</v>
      </c>
      <c r="G629" s="186">
        <f t="shared" si="27"/>
        <v>0.10275526425549537</v>
      </c>
      <c r="H629" s="186">
        <f t="shared" si="28"/>
        <v>0.10275526425549537</v>
      </c>
      <c r="I629" s="186">
        <v>0.10275526425549533</v>
      </c>
      <c r="J629" s="186">
        <f t="shared" si="29"/>
        <v>4.163336342344337E-17</v>
      </c>
      <c r="K629" s="177" t="s">
        <v>9076</v>
      </c>
    </row>
    <row r="630" spans="1:11" ht="27" customHeight="1" x14ac:dyDescent="0.3">
      <c r="A630" s="180" t="s">
        <v>114</v>
      </c>
      <c r="B630" s="180">
        <v>2025</v>
      </c>
      <c r="C630" s="180">
        <v>17</v>
      </c>
      <c r="D630" s="180" t="s">
        <v>9074</v>
      </c>
      <c r="E630" s="187">
        <f>FCCL!H99</f>
        <v>13326.20199999999</v>
      </c>
      <c r="F630" s="187">
        <f>FCCL!H84</f>
        <v>88956.327999999994</v>
      </c>
      <c r="G630" s="185">
        <f t="shared" si="27"/>
        <v>0.14980611609777766</v>
      </c>
      <c r="H630" s="185">
        <f t="shared" si="28"/>
        <v>0.14980611609777766</v>
      </c>
      <c r="I630" s="185">
        <v>0.14980611609777772</v>
      </c>
      <c r="J630" s="185">
        <f t="shared" si="29"/>
        <v>-5.5511151231257827E-17</v>
      </c>
      <c r="K630" s="180" t="s">
        <v>9076</v>
      </c>
    </row>
    <row r="631" spans="1:11" ht="27" customHeight="1" x14ac:dyDescent="0.3">
      <c r="A631" s="177" t="s">
        <v>114</v>
      </c>
      <c r="B631" s="177">
        <v>2021</v>
      </c>
      <c r="C631" s="177">
        <v>18</v>
      </c>
      <c r="D631" s="177" t="s">
        <v>9077</v>
      </c>
      <c r="E631" s="188">
        <f>FCCL!D99</f>
        <v>3471.3509999999992</v>
      </c>
      <c r="F631" s="188">
        <f>FCCL!D37</f>
        <v>34052.231</v>
      </c>
      <c r="G631" s="186">
        <f t="shared" si="27"/>
        <v>0.10194195499261118</v>
      </c>
      <c r="H631" s="186">
        <f t="shared" si="28"/>
        <v>0.10194195499261118</v>
      </c>
      <c r="I631" s="186">
        <v>0.10194195499261118</v>
      </c>
      <c r="J631" s="186">
        <f t="shared" si="29"/>
        <v>0</v>
      </c>
      <c r="K631" s="177" t="s">
        <v>9054</v>
      </c>
    </row>
    <row r="632" spans="1:11" ht="27" customHeight="1" x14ac:dyDescent="0.3">
      <c r="A632" s="180" t="s">
        <v>114</v>
      </c>
      <c r="B632" s="180">
        <v>2022</v>
      </c>
      <c r="C632" s="180">
        <v>18</v>
      </c>
      <c r="D632" s="180" t="s">
        <v>9077</v>
      </c>
      <c r="E632" s="187">
        <f>FCCL!E99</f>
        <v>7112.5400000000009</v>
      </c>
      <c r="F632" s="187">
        <f>FCCL!E37</f>
        <v>113698.07700000002</v>
      </c>
      <c r="G632" s="185">
        <f t="shared" si="27"/>
        <v>6.2556379031810716E-2</v>
      </c>
      <c r="H632" s="185">
        <f t="shared" si="28"/>
        <v>6.2556379031810716E-2</v>
      </c>
      <c r="I632" s="185">
        <v>6.2556379031810716E-2</v>
      </c>
      <c r="J632" s="185">
        <f t="shared" si="29"/>
        <v>0</v>
      </c>
      <c r="K632" s="180" t="s">
        <v>9054</v>
      </c>
    </row>
    <row r="633" spans="1:11" ht="27" customHeight="1" x14ac:dyDescent="0.3">
      <c r="A633" s="177" t="s">
        <v>114</v>
      </c>
      <c r="B633" s="177">
        <v>2023</v>
      </c>
      <c r="C633" s="177">
        <v>18</v>
      </c>
      <c r="D633" s="177" t="s">
        <v>9077</v>
      </c>
      <c r="E633" s="188">
        <f>FCCL!F99</f>
        <v>7439.6810000000078</v>
      </c>
      <c r="F633" s="188">
        <f>FCCL!F37</f>
        <v>138828.497</v>
      </c>
      <c r="G633" s="186">
        <f t="shared" si="27"/>
        <v>5.3589004856834314E-2</v>
      </c>
      <c r="H633" s="186">
        <f t="shared" si="28"/>
        <v>5.3589004856834314E-2</v>
      </c>
      <c r="I633" s="186">
        <v>5.3589004856834301E-2</v>
      </c>
      <c r="J633" s="186">
        <f t="shared" si="29"/>
        <v>1.3877787807814457E-17</v>
      </c>
      <c r="K633" s="177" t="s">
        <v>9054</v>
      </c>
    </row>
    <row r="634" spans="1:11" ht="27" customHeight="1" x14ac:dyDescent="0.3">
      <c r="A634" s="180" t="s">
        <v>114</v>
      </c>
      <c r="B634" s="180">
        <v>2024</v>
      </c>
      <c r="C634" s="180">
        <v>18</v>
      </c>
      <c r="D634" s="180" t="s">
        <v>9077</v>
      </c>
      <c r="E634" s="187">
        <f>FCCL!G99</f>
        <v>8223.1159999999945</v>
      </c>
      <c r="F634" s="187">
        <f>FCCL!G37</f>
        <v>147636.299</v>
      </c>
      <c r="G634" s="185">
        <f t="shared" si="27"/>
        <v>5.5698470198037101E-2</v>
      </c>
      <c r="H634" s="185">
        <f t="shared" si="28"/>
        <v>5.5698470198037101E-2</v>
      </c>
      <c r="I634" s="185">
        <v>5.5698470198037073E-2</v>
      </c>
      <c r="J634" s="185">
        <f t="shared" si="29"/>
        <v>2.7755575615628914E-17</v>
      </c>
      <c r="K634" s="180" t="s">
        <v>9054</v>
      </c>
    </row>
    <row r="635" spans="1:11" ht="27" customHeight="1" x14ac:dyDescent="0.3">
      <c r="A635" s="177" t="s">
        <v>114</v>
      </c>
      <c r="B635" s="177">
        <v>2025</v>
      </c>
      <c r="C635" s="177">
        <v>18</v>
      </c>
      <c r="D635" s="177" t="s">
        <v>9077</v>
      </c>
      <c r="E635" s="188">
        <f>FCCL!H99</f>
        <v>13326.20199999999</v>
      </c>
      <c r="F635" s="188">
        <f>FCCL!H37</f>
        <v>160845.19100000002</v>
      </c>
      <c r="G635" s="186">
        <f t="shared" si="27"/>
        <v>8.2851106191915852E-2</v>
      </c>
      <c r="H635" s="186">
        <f t="shared" si="28"/>
        <v>8.2851106191915852E-2</v>
      </c>
      <c r="I635" s="186">
        <v>8.2851106191915894E-2</v>
      </c>
      <c r="J635" s="186">
        <f t="shared" si="29"/>
        <v>-4.163336342344337E-17</v>
      </c>
      <c r="K635" s="177" t="s">
        <v>9054</v>
      </c>
    </row>
    <row r="636" spans="1:11" ht="27" customHeight="1" x14ac:dyDescent="0.3">
      <c r="A636" s="180" t="s">
        <v>114</v>
      </c>
      <c r="B636" s="180">
        <v>2021</v>
      </c>
      <c r="C636" s="180">
        <v>19</v>
      </c>
      <c r="D636" s="180" t="s">
        <v>9079</v>
      </c>
      <c r="E636" s="187">
        <f>FCCL!D99</f>
        <v>3471.3509999999992</v>
      </c>
      <c r="F636" s="187">
        <f>FCCL!D41</f>
        <v>23275.671000000002</v>
      </c>
      <c r="G636" s="185">
        <f t="shared" si="27"/>
        <v>0.14914074872427949</v>
      </c>
      <c r="H636" s="185">
        <f t="shared" si="28"/>
        <v>0.14914074872427949</v>
      </c>
      <c r="I636" s="185">
        <v>0.14914074872427949</v>
      </c>
      <c r="J636" s="185">
        <f t="shared" si="29"/>
        <v>0</v>
      </c>
      <c r="K636" s="180" t="s">
        <v>9081</v>
      </c>
    </row>
    <row r="637" spans="1:11" ht="27" customHeight="1" x14ac:dyDescent="0.3">
      <c r="A637" s="177" t="s">
        <v>114</v>
      </c>
      <c r="B637" s="177">
        <v>2022</v>
      </c>
      <c r="C637" s="177">
        <v>19</v>
      </c>
      <c r="D637" s="177" t="s">
        <v>9079</v>
      </c>
      <c r="E637" s="188">
        <f>FCCL!E99</f>
        <v>7112.5400000000009</v>
      </c>
      <c r="F637" s="188">
        <f>FCCL!E41</f>
        <v>57736.055999999997</v>
      </c>
      <c r="G637" s="186">
        <f t="shared" si="27"/>
        <v>0.12319061073378482</v>
      </c>
      <c r="H637" s="186">
        <f t="shared" si="28"/>
        <v>0.12319061073378482</v>
      </c>
      <c r="I637" s="186">
        <v>0.12319061073378482</v>
      </c>
      <c r="J637" s="186">
        <f t="shared" si="29"/>
        <v>0</v>
      </c>
      <c r="K637" s="177" t="s">
        <v>9081</v>
      </c>
    </row>
    <row r="638" spans="1:11" ht="27" customHeight="1" x14ac:dyDescent="0.3">
      <c r="A638" s="180" t="s">
        <v>114</v>
      </c>
      <c r="B638" s="180">
        <v>2023</v>
      </c>
      <c r="C638" s="180">
        <v>19</v>
      </c>
      <c r="D638" s="180" t="s">
        <v>9079</v>
      </c>
      <c r="E638" s="187">
        <f>FCCL!F99</f>
        <v>7439.6810000000078</v>
      </c>
      <c r="F638" s="187">
        <f>FCCL!F41</f>
        <v>65175.736999999994</v>
      </c>
      <c r="G638" s="185">
        <f t="shared" si="27"/>
        <v>0.11414801492770245</v>
      </c>
      <c r="H638" s="185">
        <f t="shared" si="28"/>
        <v>0.11414801492770245</v>
      </c>
      <c r="I638" s="185">
        <v>0.11414801492770242</v>
      </c>
      <c r="J638" s="185">
        <f t="shared" si="29"/>
        <v>2.7755575615628914E-17</v>
      </c>
      <c r="K638" s="180" t="s">
        <v>9081</v>
      </c>
    </row>
    <row r="639" spans="1:11" ht="27" customHeight="1" x14ac:dyDescent="0.3">
      <c r="A639" s="177" t="s">
        <v>114</v>
      </c>
      <c r="B639" s="177">
        <v>2024</v>
      </c>
      <c r="C639" s="177">
        <v>19</v>
      </c>
      <c r="D639" s="177" t="s">
        <v>9079</v>
      </c>
      <c r="E639" s="188">
        <f>FCCL!G99</f>
        <v>8223.1159999999945</v>
      </c>
      <c r="F639" s="188">
        <f>FCCL!G41</f>
        <v>73398.853000000003</v>
      </c>
      <c r="G639" s="186">
        <f t="shared" si="27"/>
        <v>0.1120333038446799</v>
      </c>
      <c r="H639" s="186">
        <f t="shared" si="28"/>
        <v>0.1120333038446799</v>
      </c>
      <c r="I639" s="186">
        <v>0.11203330384467984</v>
      </c>
      <c r="J639" s="186">
        <f t="shared" si="29"/>
        <v>5.5511151231257827E-17</v>
      </c>
      <c r="K639" s="177" t="s">
        <v>9081</v>
      </c>
    </row>
    <row r="640" spans="1:11" ht="27" customHeight="1" x14ac:dyDescent="0.3">
      <c r="A640" s="180" t="s">
        <v>114</v>
      </c>
      <c r="B640" s="180">
        <v>2025</v>
      </c>
      <c r="C640" s="180">
        <v>19</v>
      </c>
      <c r="D640" s="180" t="s">
        <v>9079</v>
      </c>
      <c r="E640" s="187">
        <f>FCCL!H99</f>
        <v>13326.20199999999</v>
      </c>
      <c r="F640" s="187">
        <f>FCCL!H41</f>
        <v>84272.207999999999</v>
      </c>
      <c r="G640" s="185">
        <f t="shared" si="27"/>
        <v>0.15813282120245373</v>
      </c>
      <c r="H640" s="185">
        <f t="shared" si="28"/>
        <v>0.15813282120245373</v>
      </c>
      <c r="I640" s="185">
        <v>0.15813282120245375</v>
      </c>
      <c r="J640" s="185">
        <f t="shared" si="29"/>
        <v>-2.7755575615628914E-17</v>
      </c>
      <c r="K640" s="180" t="s">
        <v>9081</v>
      </c>
    </row>
    <row r="641" spans="1:11" ht="27" customHeight="1" x14ac:dyDescent="0.3">
      <c r="A641" s="177" t="s">
        <v>114</v>
      </c>
      <c r="B641" s="177">
        <v>2021</v>
      </c>
      <c r="C641" s="177">
        <v>20</v>
      </c>
      <c r="D641" s="177" t="s">
        <v>9082</v>
      </c>
      <c r="E641" s="188">
        <f>((FCCL!D96+FCCL!D106)*(1-(-FCCL!D97-FCCL!D98)/FCCL!D96))</f>
        <v>3533.9532640582083</v>
      </c>
      <c r="F641" s="188">
        <f>FCCL!D70</f>
        <v>25843.760000000002</v>
      </c>
      <c r="G641" s="186">
        <f t="shared" si="27"/>
        <v>0.13674299962769382</v>
      </c>
      <c r="H641" s="186">
        <f t="shared" si="28"/>
        <v>0.13674299962769382</v>
      </c>
      <c r="I641" s="186">
        <v>0.13674299962769382</v>
      </c>
      <c r="J641" s="186">
        <f t="shared" si="29"/>
        <v>0</v>
      </c>
      <c r="K641" s="177" t="s">
        <v>9084</v>
      </c>
    </row>
    <row r="642" spans="1:11" ht="27" customHeight="1" x14ac:dyDescent="0.3">
      <c r="A642" s="180" t="s">
        <v>114</v>
      </c>
      <c r="B642" s="180">
        <v>2022</v>
      </c>
      <c r="C642" s="180">
        <v>20</v>
      </c>
      <c r="D642" s="180" t="s">
        <v>9082</v>
      </c>
      <c r="E642" s="187">
        <f>((FCCL!E96+FCCL!E106)*(1-(-FCCL!E97-FCCL!E98)/FCCL!E96))</f>
        <v>7726.5678803233113</v>
      </c>
      <c r="F642" s="187">
        <f>FCCL!E70</f>
        <v>83653.686000000002</v>
      </c>
      <c r="G642" s="185">
        <f t="shared" si="27"/>
        <v>9.2363746892435927E-2</v>
      </c>
      <c r="H642" s="185">
        <f t="shared" si="28"/>
        <v>9.2363746892435927E-2</v>
      </c>
      <c r="I642" s="185">
        <v>9.2363746892435941E-2</v>
      </c>
      <c r="J642" s="185">
        <f t="shared" si="29"/>
        <v>-1.3877787807814457E-17</v>
      </c>
      <c r="K642" s="180" t="s">
        <v>9084</v>
      </c>
    </row>
    <row r="643" spans="1:11" ht="27" customHeight="1" x14ac:dyDescent="0.3">
      <c r="A643" s="177" t="s">
        <v>114</v>
      </c>
      <c r="B643" s="177">
        <v>2023</v>
      </c>
      <c r="C643" s="177">
        <v>20</v>
      </c>
      <c r="D643" s="177" t="s">
        <v>9082</v>
      </c>
      <c r="E643" s="188">
        <f>((FCCL!F96+FCCL!F106)*(1-(-FCCL!F97-FCCL!F98)/FCCL!F96))</f>
        <v>8953.4472081467775</v>
      </c>
      <c r="F643" s="188">
        <f>FCCL!F70</f>
        <v>105829.73300000001</v>
      </c>
      <c r="G643" s="186">
        <f t="shared" si="27"/>
        <v>8.4602379259019547E-2</v>
      </c>
      <c r="H643" s="186">
        <f t="shared" si="28"/>
        <v>8.4602379259019547E-2</v>
      </c>
      <c r="I643" s="186">
        <v>8.4602379259019533E-2</v>
      </c>
      <c r="J643" s="186">
        <f t="shared" si="29"/>
        <v>1.3877787807814457E-17</v>
      </c>
      <c r="K643" s="177" t="s">
        <v>9084</v>
      </c>
    </row>
    <row r="644" spans="1:11" ht="27" customHeight="1" x14ac:dyDescent="0.3">
      <c r="A644" s="180" t="s">
        <v>114</v>
      </c>
      <c r="B644" s="180">
        <v>2024</v>
      </c>
      <c r="C644" s="180">
        <v>20</v>
      </c>
      <c r="D644" s="180" t="s">
        <v>9082</v>
      </c>
      <c r="E644" s="187">
        <f>((FCCL!G96+FCCL!G106)*(1-(-FCCL!G97-FCCL!G98)/FCCL!G96))</f>
        <v>11181.270749567593</v>
      </c>
      <c r="F644" s="187">
        <f>FCCL!G70</f>
        <v>109988.60200000001</v>
      </c>
      <c r="G644" s="185">
        <f t="shared" si="27"/>
        <v>0.10165844956887071</v>
      </c>
      <c r="H644" s="185">
        <f t="shared" si="28"/>
        <v>0.10165844956887071</v>
      </c>
      <c r="I644" s="185">
        <v>0.10165844956887066</v>
      </c>
      <c r="J644" s="185">
        <f t="shared" si="29"/>
        <v>5.5511151231257827E-17</v>
      </c>
      <c r="K644" s="180" t="s">
        <v>9084</v>
      </c>
    </row>
    <row r="645" spans="1:11" ht="27" customHeight="1" x14ac:dyDescent="0.3">
      <c r="A645" s="177" t="s">
        <v>114</v>
      </c>
      <c r="B645" s="177">
        <v>2025</v>
      </c>
      <c r="C645" s="177">
        <v>20</v>
      </c>
      <c r="D645" s="177" t="s">
        <v>9082</v>
      </c>
      <c r="E645" s="188">
        <f>((FCCL!H96+FCCL!H106)*(1-(-FCCL!H97-FCCL!H98)/FCCL!H96))</f>
        <v>16839.082284989898</v>
      </c>
      <c r="F645" s="188">
        <f>FCCL!H70</f>
        <v>124308.678</v>
      </c>
      <c r="G645" s="186">
        <f t="shared" si="27"/>
        <v>0.13546184028270253</v>
      </c>
      <c r="H645" s="186">
        <f t="shared" si="28"/>
        <v>0.13546184028270253</v>
      </c>
      <c r="I645" s="186">
        <v>0.13546184028270256</v>
      </c>
      <c r="J645" s="186">
        <f t="shared" si="29"/>
        <v>-2.7755575615628914E-17</v>
      </c>
      <c r="K645" s="177" t="s">
        <v>9084</v>
      </c>
    </row>
    <row r="646" spans="1:11" ht="27" customHeight="1" x14ac:dyDescent="0.3">
      <c r="A646" s="180" t="s">
        <v>114</v>
      </c>
      <c r="B646" s="180">
        <v>2021</v>
      </c>
      <c r="C646" s="180">
        <v>21</v>
      </c>
      <c r="D646" s="180" t="s">
        <v>9086</v>
      </c>
      <c r="E646" s="187">
        <f>(FCCL!D96+FCCL!D106)</f>
        <v>5199.8039999999992</v>
      </c>
      <c r="F646" s="187">
        <f>FCCL!D37</f>
        <v>34052.231</v>
      </c>
      <c r="G646" s="185">
        <f t="shared" ref="G646:G680" si="30">IF(OR(NOT(ISNUMBER(E646)),NOT(ISNUMBER(F646)),F646=0),"n/m",E646/F646)</f>
        <v>0.15270083184857988</v>
      </c>
      <c r="H646" s="185">
        <f t="shared" ref="H646:H680" si="31">IF(OR(NOT(ISNUMBER(E646)),NOT(ISNUMBER(F646))),"n/m",IF(OR((F646)&lt;=0,(E646)&lt;0),"n/m",(E646)/(F646)))</f>
        <v>0.15270083184857988</v>
      </c>
      <c r="I646" s="185">
        <v>0.15270083184857988</v>
      </c>
      <c r="J646" s="185">
        <f t="shared" ref="J646:J680" si="32">IF(AND(ISNUMBER(G646),ISNUMBER(I646)),G646-I646,IF(G646=I646,0,"Review"))</f>
        <v>0</v>
      </c>
      <c r="K646" s="180" t="s">
        <v>9054</v>
      </c>
    </row>
    <row r="647" spans="1:11" ht="27" customHeight="1" x14ac:dyDescent="0.3">
      <c r="A647" s="177" t="s">
        <v>114</v>
      </c>
      <c r="B647" s="177">
        <v>2022</v>
      </c>
      <c r="C647" s="177">
        <v>21</v>
      </c>
      <c r="D647" s="177" t="s">
        <v>9086</v>
      </c>
      <c r="E647" s="188">
        <f>(FCCL!E96+FCCL!E106)</f>
        <v>12523.317000000001</v>
      </c>
      <c r="F647" s="188">
        <f>FCCL!E37</f>
        <v>113698.07700000002</v>
      </c>
      <c r="G647" s="186">
        <f t="shared" si="30"/>
        <v>0.11014537211566031</v>
      </c>
      <c r="H647" s="186">
        <f t="shared" si="31"/>
        <v>0.11014537211566031</v>
      </c>
      <c r="I647" s="186">
        <v>0.11014537211566032</v>
      </c>
      <c r="J647" s="186">
        <f t="shared" si="32"/>
        <v>-1.3877787807814457E-17</v>
      </c>
      <c r="K647" s="177" t="s">
        <v>9054</v>
      </c>
    </row>
    <row r="648" spans="1:11" ht="27" customHeight="1" x14ac:dyDescent="0.3">
      <c r="A648" s="180" t="s">
        <v>114</v>
      </c>
      <c r="B648" s="180">
        <v>2023</v>
      </c>
      <c r="C648" s="180">
        <v>21</v>
      </c>
      <c r="D648" s="180" t="s">
        <v>9086</v>
      </c>
      <c r="E648" s="187">
        <f>(FCCL!F96+FCCL!F106)</f>
        <v>15524.919000000007</v>
      </c>
      <c r="F648" s="187">
        <f>FCCL!F37</f>
        <v>138828.497</v>
      </c>
      <c r="G648" s="185">
        <f t="shared" si="30"/>
        <v>0.11182804204816831</v>
      </c>
      <c r="H648" s="185">
        <f t="shared" si="31"/>
        <v>0.11182804204816831</v>
      </c>
      <c r="I648" s="185">
        <v>0.11182804204816829</v>
      </c>
      <c r="J648" s="185">
        <f t="shared" si="32"/>
        <v>1.3877787807814457E-17</v>
      </c>
      <c r="K648" s="180" t="s">
        <v>9054</v>
      </c>
    </row>
    <row r="649" spans="1:11" ht="27" customHeight="1" x14ac:dyDescent="0.3">
      <c r="A649" s="177" t="s">
        <v>114</v>
      </c>
      <c r="B649" s="177">
        <v>2024</v>
      </c>
      <c r="C649" s="177">
        <v>21</v>
      </c>
      <c r="D649" s="177" t="s">
        <v>9086</v>
      </c>
      <c r="E649" s="188">
        <f>(FCCL!G96+FCCL!G106)</f>
        <v>20878.690999999995</v>
      </c>
      <c r="F649" s="188">
        <f>FCCL!G37</f>
        <v>147636.299</v>
      </c>
      <c r="G649" s="186">
        <f t="shared" si="30"/>
        <v>0.14141976696394967</v>
      </c>
      <c r="H649" s="186">
        <f t="shared" si="31"/>
        <v>0.14141976696394967</v>
      </c>
      <c r="I649" s="186">
        <v>0.14141976696394964</v>
      </c>
      <c r="J649" s="186">
        <f t="shared" si="32"/>
        <v>2.7755575615628914E-17</v>
      </c>
      <c r="K649" s="177" t="s">
        <v>9054</v>
      </c>
    </row>
    <row r="650" spans="1:11" ht="27" customHeight="1" x14ac:dyDescent="0.3">
      <c r="A650" s="180" t="s">
        <v>114</v>
      </c>
      <c r="B650" s="180">
        <v>2025</v>
      </c>
      <c r="C650" s="180">
        <v>21</v>
      </c>
      <c r="D650" s="180" t="s">
        <v>9086</v>
      </c>
      <c r="E650" s="187">
        <f>(FCCL!H96+FCCL!H106)</f>
        <v>27199.797999999988</v>
      </c>
      <c r="F650" s="187">
        <f>FCCL!H37</f>
        <v>160845.19100000002</v>
      </c>
      <c r="G650" s="185">
        <f t="shared" si="30"/>
        <v>0.16910544748583739</v>
      </c>
      <c r="H650" s="185">
        <f t="shared" si="31"/>
        <v>0.16910544748583739</v>
      </c>
      <c r="I650" s="185">
        <v>0.16910544748583745</v>
      </c>
      <c r="J650" s="185">
        <f t="shared" si="32"/>
        <v>-5.5511151231257827E-17</v>
      </c>
      <c r="K650" s="180" t="s">
        <v>9054</v>
      </c>
    </row>
    <row r="651" spans="1:11" ht="27" customHeight="1" x14ac:dyDescent="0.3">
      <c r="A651" s="177" t="s">
        <v>114</v>
      </c>
      <c r="B651" s="177">
        <v>2021</v>
      </c>
      <c r="C651" s="177">
        <v>22</v>
      </c>
      <c r="D651" s="177" t="s">
        <v>9088</v>
      </c>
      <c r="E651" s="188">
        <f>FCCL!D99</f>
        <v>3471.3509999999992</v>
      </c>
      <c r="F651" s="188">
        <f>FCCL!D129</f>
        <v>1379.8150000000001</v>
      </c>
      <c r="G651" s="186">
        <f t="shared" si="30"/>
        <v>2.5158090033808875</v>
      </c>
      <c r="H651" s="186">
        <f t="shared" si="31"/>
        <v>2.5158090033808875</v>
      </c>
      <c r="I651" s="186">
        <v>2.5158090033808875</v>
      </c>
      <c r="J651" s="186">
        <f t="shared" si="32"/>
        <v>0</v>
      </c>
      <c r="K651" s="177" t="s">
        <v>9090</v>
      </c>
    </row>
    <row r="652" spans="1:11" ht="27" customHeight="1" x14ac:dyDescent="0.3">
      <c r="A652" s="180" t="s">
        <v>114</v>
      </c>
      <c r="B652" s="180">
        <v>2022</v>
      </c>
      <c r="C652" s="180">
        <v>22</v>
      </c>
      <c r="D652" s="180" t="s">
        <v>9088</v>
      </c>
      <c r="E652" s="187">
        <f>FCCL!E99</f>
        <v>7112.5400000000009</v>
      </c>
      <c r="F652" s="187">
        <f>FCCL!E129</f>
        <v>2180.3090000000002</v>
      </c>
      <c r="G652" s="185">
        <f t="shared" si="30"/>
        <v>3.2621706372812294</v>
      </c>
      <c r="H652" s="185">
        <f t="shared" si="31"/>
        <v>3.2621706372812294</v>
      </c>
      <c r="I652" s="185">
        <v>3.2621706372812294</v>
      </c>
      <c r="J652" s="185">
        <f t="shared" si="32"/>
        <v>0</v>
      </c>
      <c r="K652" s="180" t="s">
        <v>9090</v>
      </c>
    </row>
    <row r="653" spans="1:11" ht="27" customHeight="1" x14ac:dyDescent="0.3">
      <c r="A653" s="177" t="s">
        <v>114</v>
      </c>
      <c r="B653" s="177">
        <v>2023</v>
      </c>
      <c r="C653" s="177">
        <v>22</v>
      </c>
      <c r="D653" s="177" t="s">
        <v>9088</v>
      </c>
      <c r="E653" s="188">
        <f>FCCL!F99</f>
        <v>7439.6810000000078</v>
      </c>
      <c r="F653" s="188">
        <f>FCCL!F129</f>
        <v>2452.8476000000001</v>
      </c>
      <c r="G653" s="186">
        <f t="shared" si="30"/>
        <v>3.0330791851886794</v>
      </c>
      <c r="H653" s="186">
        <f t="shared" si="31"/>
        <v>3.0330791851886794</v>
      </c>
      <c r="I653" s="186">
        <v>3.0330791851886785</v>
      </c>
      <c r="J653" s="186">
        <f t="shared" si="32"/>
        <v>8.8817841970012523E-16</v>
      </c>
      <c r="K653" s="177" t="s">
        <v>9090</v>
      </c>
    </row>
    <row r="654" spans="1:11" ht="27" customHeight="1" x14ac:dyDescent="0.3">
      <c r="A654" s="180" t="s">
        <v>114</v>
      </c>
      <c r="B654" s="180">
        <v>2024</v>
      </c>
      <c r="C654" s="180">
        <v>22</v>
      </c>
      <c r="D654" s="180" t="s">
        <v>9088</v>
      </c>
      <c r="E654" s="187">
        <f>FCCL!G99</f>
        <v>8223.1159999999945</v>
      </c>
      <c r="F654" s="187">
        <f>FCCL!G129</f>
        <v>2452.8470000000002</v>
      </c>
      <c r="G654" s="185">
        <f t="shared" si="30"/>
        <v>3.3524781610919856</v>
      </c>
      <c r="H654" s="185">
        <f t="shared" si="31"/>
        <v>3.3524781610919856</v>
      </c>
      <c r="I654" s="185">
        <v>3.3524781610919843</v>
      </c>
      <c r="J654" s="185">
        <f t="shared" si="32"/>
        <v>1.3322676295501878E-15</v>
      </c>
      <c r="K654" s="180" t="s">
        <v>9090</v>
      </c>
    </row>
    <row r="655" spans="1:11" ht="27" customHeight="1" x14ac:dyDescent="0.3">
      <c r="A655" s="177" t="s">
        <v>114</v>
      </c>
      <c r="B655" s="177">
        <v>2025</v>
      </c>
      <c r="C655" s="177">
        <v>22</v>
      </c>
      <c r="D655" s="177" t="s">
        <v>9088</v>
      </c>
      <c r="E655" s="188">
        <f>FCCL!H99</f>
        <v>13326.20199999999</v>
      </c>
      <c r="F655" s="188">
        <f>FCCL!H129</f>
        <v>2452.8470000000002</v>
      </c>
      <c r="G655" s="186">
        <f t="shared" si="30"/>
        <v>5.4329528095311241</v>
      </c>
      <c r="H655" s="186">
        <f t="shared" si="31"/>
        <v>5.4329528095311241</v>
      </c>
      <c r="I655" s="186">
        <v>5.4329528095311259</v>
      </c>
      <c r="J655" s="186">
        <f t="shared" si="32"/>
        <v>-1.7763568394002505E-15</v>
      </c>
      <c r="K655" s="177" t="s">
        <v>9090</v>
      </c>
    </row>
    <row r="656" spans="1:11" ht="27" customHeight="1" x14ac:dyDescent="0.3">
      <c r="A656" s="180" t="s">
        <v>114</v>
      </c>
      <c r="B656" s="180">
        <v>2021</v>
      </c>
      <c r="C656" s="180">
        <v>23</v>
      </c>
      <c r="D656" s="180" t="s">
        <v>9091</v>
      </c>
      <c r="E656" s="187">
        <f>FCCL!D41</f>
        <v>23275.671000000002</v>
      </c>
      <c r="F656" s="187">
        <f>FCCL!D128</f>
        <v>1379.8150000000001</v>
      </c>
      <c r="G656" s="185">
        <f t="shared" si="30"/>
        <v>16.868689643176804</v>
      </c>
      <c r="H656" s="185">
        <f t="shared" si="31"/>
        <v>16.868689643176804</v>
      </c>
      <c r="I656" s="185">
        <v>16.868689643176804</v>
      </c>
      <c r="J656" s="185">
        <f t="shared" si="32"/>
        <v>0</v>
      </c>
      <c r="K656" s="180" t="s">
        <v>9093</v>
      </c>
    </row>
    <row r="657" spans="1:11" ht="27" customHeight="1" x14ac:dyDescent="0.3">
      <c r="A657" s="177" t="s">
        <v>114</v>
      </c>
      <c r="B657" s="177">
        <v>2022</v>
      </c>
      <c r="C657" s="177">
        <v>23</v>
      </c>
      <c r="D657" s="177" t="s">
        <v>9091</v>
      </c>
      <c r="E657" s="188">
        <f>FCCL!E41</f>
        <v>57736.055999999997</v>
      </c>
      <c r="F657" s="188">
        <f>FCCL!E128</f>
        <v>2180.3090000000002</v>
      </c>
      <c r="G657" s="186">
        <f t="shared" si="30"/>
        <v>26.480675904195227</v>
      </c>
      <c r="H657" s="186">
        <f t="shared" si="31"/>
        <v>26.480675904195227</v>
      </c>
      <c r="I657" s="186">
        <v>26.480675904195227</v>
      </c>
      <c r="J657" s="186">
        <f t="shared" si="32"/>
        <v>0</v>
      </c>
      <c r="K657" s="177" t="s">
        <v>9093</v>
      </c>
    </row>
    <row r="658" spans="1:11" ht="27" customHeight="1" x14ac:dyDescent="0.3">
      <c r="A658" s="180" t="s">
        <v>114</v>
      </c>
      <c r="B658" s="180">
        <v>2023</v>
      </c>
      <c r="C658" s="180">
        <v>23</v>
      </c>
      <c r="D658" s="180" t="s">
        <v>9091</v>
      </c>
      <c r="E658" s="187">
        <f>FCCL!F41</f>
        <v>65175.736999999994</v>
      </c>
      <c r="F658" s="187">
        <f>FCCL!F128</f>
        <v>2452.8476000000001</v>
      </c>
      <c r="G658" s="185">
        <f t="shared" si="30"/>
        <v>26.571458006604239</v>
      </c>
      <c r="H658" s="185">
        <f t="shared" si="31"/>
        <v>26.571458006604239</v>
      </c>
      <c r="I658" s="185">
        <v>26.571458006604239</v>
      </c>
      <c r="J658" s="185">
        <f t="shared" si="32"/>
        <v>0</v>
      </c>
      <c r="K658" s="180" t="s">
        <v>9093</v>
      </c>
    </row>
    <row r="659" spans="1:11" ht="27" customHeight="1" x14ac:dyDescent="0.3">
      <c r="A659" s="177" t="s">
        <v>114</v>
      </c>
      <c r="B659" s="177">
        <v>2024</v>
      </c>
      <c r="C659" s="177">
        <v>23</v>
      </c>
      <c r="D659" s="177" t="s">
        <v>9091</v>
      </c>
      <c r="E659" s="188">
        <f>FCCL!G41</f>
        <v>73398.853000000003</v>
      </c>
      <c r="F659" s="188">
        <f>FCCL!G128</f>
        <v>2452.8476000000001</v>
      </c>
      <c r="G659" s="186">
        <f t="shared" si="30"/>
        <v>29.923935347634316</v>
      </c>
      <c r="H659" s="186">
        <f t="shared" si="31"/>
        <v>29.923935347634316</v>
      </c>
      <c r="I659" s="186">
        <v>29.923935347634316</v>
      </c>
      <c r="J659" s="186">
        <f t="shared" si="32"/>
        <v>0</v>
      </c>
      <c r="K659" s="177" t="s">
        <v>9093</v>
      </c>
    </row>
    <row r="660" spans="1:11" ht="27" customHeight="1" x14ac:dyDescent="0.3">
      <c r="A660" s="180" t="s">
        <v>114</v>
      </c>
      <c r="B660" s="180">
        <v>2025</v>
      </c>
      <c r="C660" s="180">
        <v>23</v>
      </c>
      <c r="D660" s="180" t="s">
        <v>9091</v>
      </c>
      <c r="E660" s="187">
        <f>FCCL!H41</f>
        <v>84272.207999999999</v>
      </c>
      <c r="F660" s="187">
        <f>FCCL!H128</f>
        <v>2452.8476000000001</v>
      </c>
      <c r="G660" s="185">
        <f t="shared" si="30"/>
        <v>34.356887072804682</v>
      </c>
      <c r="H660" s="185">
        <f t="shared" si="31"/>
        <v>34.356887072804682</v>
      </c>
      <c r="I660" s="185">
        <v>34.356887072804682</v>
      </c>
      <c r="J660" s="185">
        <f t="shared" si="32"/>
        <v>0</v>
      </c>
      <c r="K660" s="180" t="s">
        <v>9093</v>
      </c>
    </row>
    <row r="661" spans="1:11" ht="27" customHeight="1" x14ac:dyDescent="0.3">
      <c r="A661" s="177" t="s">
        <v>114</v>
      </c>
      <c r="B661" s="177">
        <v>2021</v>
      </c>
      <c r="C661" s="177">
        <v>24</v>
      </c>
      <c r="D661" s="177" t="s">
        <v>9094</v>
      </c>
      <c r="E661" s="188">
        <f>FCCL!D130</f>
        <v>23</v>
      </c>
      <c r="F661" s="188">
        <f>FCCL!D99/FCCL!D129</f>
        <v>2.5158090033808875</v>
      </c>
      <c r="G661" s="186">
        <f t="shared" si="30"/>
        <v>9.1421884447870596</v>
      </c>
      <c r="H661" s="186">
        <f t="shared" si="31"/>
        <v>9.1421884447870596</v>
      </c>
      <c r="I661" s="186">
        <v>9.1421884447870596</v>
      </c>
      <c r="J661" s="186">
        <f t="shared" si="32"/>
        <v>0</v>
      </c>
      <c r="K661" s="177" t="s">
        <v>9096</v>
      </c>
    </row>
    <row r="662" spans="1:11" ht="27" customHeight="1" x14ac:dyDescent="0.3">
      <c r="A662" s="180" t="s">
        <v>114</v>
      </c>
      <c r="B662" s="180">
        <v>2022</v>
      </c>
      <c r="C662" s="180">
        <v>24</v>
      </c>
      <c r="D662" s="180" t="s">
        <v>9094</v>
      </c>
      <c r="E662" s="187">
        <f>FCCL!E130</f>
        <v>14.17</v>
      </c>
      <c r="F662" s="187">
        <f>FCCL!E99/FCCL!E129</f>
        <v>3.2621706372812294</v>
      </c>
      <c r="G662" s="185">
        <f t="shared" si="30"/>
        <v>4.3437335368236942</v>
      </c>
      <c r="H662" s="185">
        <f t="shared" si="31"/>
        <v>4.3437335368236942</v>
      </c>
      <c r="I662" s="185">
        <v>4.3437335368236942</v>
      </c>
      <c r="J662" s="185">
        <f t="shared" si="32"/>
        <v>0</v>
      </c>
      <c r="K662" s="180" t="s">
        <v>9096</v>
      </c>
    </row>
    <row r="663" spans="1:11" ht="27" customHeight="1" x14ac:dyDescent="0.3">
      <c r="A663" s="177" t="s">
        <v>114</v>
      </c>
      <c r="B663" s="177">
        <v>2023</v>
      </c>
      <c r="C663" s="177">
        <v>24</v>
      </c>
      <c r="D663" s="177" t="s">
        <v>9094</v>
      </c>
      <c r="E663" s="188">
        <f>FCCL!F130</f>
        <v>11.76</v>
      </c>
      <c r="F663" s="188">
        <f>FCCL!F99/FCCL!F129</f>
        <v>3.0330791851886794</v>
      </c>
      <c r="G663" s="186">
        <f t="shared" si="30"/>
        <v>3.877247932539039</v>
      </c>
      <c r="H663" s="186">
        <f t="shared" si="31"/>
        <v>3.877247932539039</v>
      </c>
      <c r="I663" s="186">
        <v>3.8772479325390399</v>
      </c>
      <c r="J663" s="186">
        <f t="shared" si="32"/>
        <v>-8.8817841970012523E-16</v>
      </c>
      <c r="K663" s="177" t="s">
        <v>9096</v>
      </c>
    </row>
    <row r="664" spans="1:11" ht="27" customHeight="1" x14ac:dyDescent="0.3">
      <c r="A664" s="180" t="s">
        <v>114</v>
      </c>
      <c r="B664" s="180">
        <v>2024</v>
      </c>
      <c r="C664" s="180">
        <v>24</v>
      </c>
      <c r="D664" s="180" t="s">
        <v>9094</v>
      </c>
      <c r="E664" s="187">
        <f>FCCL!G130</f>
        <v>22.91</v>
      </c>
      <c r="F664" s="187">
        <f>FCCL!G99/FCCL!G129</f>
        <v>3.3524781610919856</v>
      </c>
      <c r="G664" s="185">
        <f t="shared" si="30"/>
        <v>6.8337507059367812</v>
      </c>
      <c r="H664" s="185">
        <f t="shared" si="31"/>
        <v>6.8337507059367812</v>
      </c>
      <c r="I664" s="185">
        <v>6.8337507059367848</v>
      </c>
      <c r="J664" s="185">
        <f t="shared" si="32"/>
        <v>-3.5527136788005009E-15</v>
      </c>
      <c r="K664" s="180" t="s">
        <v>9096</v>
      </c>
    </row>
    <row r="665" spans="1:11" ht="27" customHeight="1" x14ac:dyDescent="0.3">
      <c r="A665" s="177" t="s">
        <v>114</v>
      </c>
      <c r="B665" s="177">
        <v>2025</v>
      </c>
      <c r="C665" s="177">
        <v>24</v>
      </c>
      <c r="D665" s="177" t="s">
        <v>9094</v>
      </c>
      <c r="E665" s="188">
        <f>FCCL!H130</f>
        <v>44.67</v>
      </c>
      <c r="F665" s="188">
        <f>FCCL!H99/FCCL!H129</f>
        <v>5.4329528095311241</v>
      </c>
      <c r="G665" s="186">
        <f t="shared" si="30"/>
        <v>8.2220482242427426</v>
      </c>
      <c r="H665" s="186">
        <f t="shared" si="31"/>
        <v>8.2220482242427426</v>
      </c>
      <c r="I665" s="186">
        <v>8.2220482242427408</v>
      </c>
      <c r="J665" s="186">
        <f t="shared" si="32"/>
        <v>1.7763568394002505E-15</v>
      </c>
      <c r="K665" s="177" t="s">
        <v>9096</v>
      </c>
    </row>
    <row r="666" spans="1:11" ht="27" customHeight="1" x14ac:dyDescent="0.3">
      <c r="A666" s="180" t="s">
        <v>114</v>
      </c>
      <c r="B666" s="180">
        <v>2021</v>
      </c>
      <c r="C666" s="180">
        <v>25</v>
      </c>
      <c r="D666" s="180" t="s">
        <v>9097</v>
      </c>
      <c r="E666" s="187">
        <f>FCCL!D130</f>
        <v>23</v>
      </c>
      <c r="F666" s="187">
        <f>FCCL!D41/FCCL!D128</f>
        <v>16.868689643176804</v>
      </c>
      <c r="G666" s="185">
        <f t="shared" si="30"/>
        <v>1.3634728296339984</v>
      </c>
      <c r="H666" s="185">
        <f t="shared" si="31"/>
        <v>1.3634728296339984</v>
      </c>
      <c r="I666" s="185">
        <v>1.3634728296339984</v>
      </c>
      <c r="J666" s="185">
        <f t="shared" si="32"/>
        <v>0</v>
      </c>
      <c r="K666" s="180" t="s">
        <v>9096</v>
      </c>
    </row>
    <row r="667" spans="1:11" ht="27" customHeight="1" x14ac:dyDescent="0.3">
      <c r="A667" s="177" t="s">
        <v>114</v>
      </c>
      <c r="B667" s="177">
        <v>2022</v>
      </c>
      <c r="C667" s="177">
        <v>25</v>
      </c>
      <c r="D667" s="177" t="s">
        <v>9097</v>
      </c>
      <c r="E667" s="188">
        <f>FCCL!E130</f>
        <v>14.17</v>
      </c>
      <c r="F667" s="188">
        <f>FCCL!E41/FCCL!E128</f>
        <v>26.480675904195227</v>
      </c>
      <c r="G667" s="186">
        <f t="shared" si="30"/>
        <v>0.53510718726613404</v>
      </c>
      <c r="H667" s="186">
        <f t="shared" si="31"/>
        <v>0.53510718726613404</v>
      </c>
      <c r="I667" s="186">
        <v>0.53510718726613404</v>
      </c>
      <c r="J667" s="186">
        <f t="shared" si="32"/>
        <v>0</v>
      </c>
      <c r="K667" s="177" t="s">
        <v>9096</v>
      </c>
    </row>
    <row r="668" spans="1:11" ht="27" customHeight="1" x14ac:dyDescent="0.3">
      <c r="A668" s="180" t="s">
        <v>114</v>
      </c>
      <c r="B668" s="180">
        <v>2023</v>
      </c>
      <c r="C668" s="180">
        <v>25</v>
      </c>
      <c r="D668" s="180" t="s">
        <v>9097</v>
      </c>
      <c r="E668" s="187">
        <f>FCCL!F130</f>
        <v>11.76</v>
      </c>
      <c r="F668" s="187">
        <f>FCCL!F41/FCCL!F128</f>
        <v>26.571458006604239</v>
      </c>
      <c r="G668" s="185">
        <f t="shared" si="30"/>
        <v>0.44258015488186969</v>
      </c>
      <c r="H668" s="185">
        <f t="shared" si="31"/>
        <v>0.44258015488186969</v>
      </c>
      <c r="I668" s="185">
        <v>0.44258015488186969</v>
      </c>
      <c r="J668" s="185">
        <f t="shared" si="32"/>
        <v>0</v>
      </c>
      <c r="K668" s="180" t="s">
        <v>9096</v>
      </c>
    </row>
    <row r="669" spans="1:11" ht="27" customHeight="1" x14ac:dyDescent="0.3">
      <c r="A669" s="177" t="s">
        <v>114</v>
      </c>
      <c r="B669" s="177">
        <v>2024</v>
      </c>
      <c r="C669" s="177">
        <v>25</v>
      </c>
      <c r="D669" s="177" t="s">
        <v>9097</v>
      </c>
      <c r="E669" s="188">
        <f>FCCL!G130</f>
        <v>22.91</v>
      </c>
      <c r="F669" s="188">
        <f>FCCL!G41/FCCL!G128</f>
        <v>29.923935347634316</v>
      </c>
      <c r="G669" s="186">
        <f t="shared" si="30"/>
        <v>0.76560785651514207</v>
      </c>
      <c r="H669" s="186">
        <f t="shared" si="31"/>
        <v>0.76560785651514207</v>
      </c>
      <c r="I669" s="186">
        <v>0.76560785651514207</v>
      </c>
      <c r="J669" s="186">
        <f t="shared" si="32"/>
        <v>0</v>
      </c>
      <c r="K669" s="177" t="s">
        <v>9096</v>
      </c>
    </row>
    <row r="670" spans="1:11" ht="27" customHeight="1" x14ac:dyDescent="0.3">
      <c r="A670" s="180" t="s">
        <v>114</v>
      </c>
      <c r="B670" s="180">
        <v>2025</v>
      </c>
      <c r="C670" s="180">
        <v>25</v>
      </c>
      <c r="D670" s="180" t="s">
        <v>9097</v>
      </c>
      <c r="E670" s="187">
        <f>FCCL!H130</f>
        <v>44.67</v>
      </c>
      <c r="F670" s="187">
        <f>FCCL!H41/FCCL!H128</f>
        <v>34.356887072804682</v>
      </c>
      <c r="G670" s="185">
        <f t="shared" si="30"/>
        <v>1.3001759998029245</v>
      </c>
      <c r="H670" s="185">
        <f t="shared" si="31"/>
        <v>1.3001759998029245</v>
      </c>
      <c r="I670" s="185">
        <v>1.3001759998029245</v>
      </c>
      <c r="J670" s="185">
        <f t="shared" si="32"/>
        <v>0</v>
      </c>
      <c r="K670" s="180" t="s">
        <v>9096</v>
      </c>
    </row>
    <row r="671" spans="1:11" ht="27" customHeight="1" x14ac:dyDescent="0.3">
      <c r="A671" s="177" t="s">
        <v>114</v>
      </c>
      <c r="B671" s="177">
        <v>2021</v>
      </c>
      <c r="C671" s="177">
        <v>26</v>
      </c>
      <c r="D671" s="177" t="s">
        <v>9099</v>
      </c>
      <c r="E671" s="188">
        <f>FCCL!D131</f>
        <v>0</v>
      </c>
      <c r="F671" s="188">
        <f>FCCL!D130</f>
        <v>23</v>
      </c>
      <c r="G671" s="186">
        <f t="shared" si="30"/>
        <v>0</v>
      </c>
      <c r="H671" s="186">
        <f t="shared" si="31"/>
        <v>0</v>
      </c>
      <c r="I671" s="186">
        <v>0</v>
      </c>
      <c r="J671" s="186">
        <f t="shared" si="32"/>
        <v>0</v>
      </c>
      <c r="K671" s="177" t="s">
        <v>9101</v>
      </c>
    </row>
    <row r="672" spans="1:11" ht="27" customHeight="1" x14ac:dyDescent="0.3">
      <c r="A672" s="180" t="s">
        <v>114</v>
      </c>
      <c r="B672" s="180">
        <v>2022</v>
      </c>
      <c r="C672" s="180">
        <v>26</v>
      </c>
      <c r="D672" s="180" t="s">
        <v>9099</v>
      </c>
      <c r="E672" s="187">
        <f>FCCL!E131</f>
        <v>0</v>
      </c>
      <c r="F672" s="187">
        <f>FCCL!E130</f>
        <v>14.17</v>
      </c>
      <c r="G672" s="185">
        <f t="shared" si="30"/>
        <v>0</v>
      </c>
      <c r="H672" s="185">
        <f t="shared" si="31"/>
        <v>0</v>
      </c>
      <c r="I672" s="185">
        <v>0</v>
      </c>
      <c r="J672" s="185">
        <f t="shared" si="32"/>
        <v>0</v>
      </c>
      <c r="K672" s="180" t="s">
        <v>9101</v>
      </c>
    </row>
    <row r="673" spans="1:11" ht="27" customHeight="1" x14ac:dyDescent="0.3">
      <c r="A673" s="177" t="s">
        <v>114</v>
      </c>
      <c r="B673" s="177">
        <v>2023</v>
      </c>
      <c r="C673" s="177">
        <v>26</v>
      </c>
      <c r="D673" s="177" t="s">
        <v>9099</v>
      </c>
      <c r="E673" s="188">
        <f>FCCL!F131</f>
        <v>0</v>
      </c>
      <c r="F673" s="188">
        <f>FCCL!F130</f>
        <v>11.76</v>
      </c>
      <c r="G673" s="186">
        <f t="shared" si="30"/>
        <v>0</v>
      </c>
      <c r="H673" s="186">
        <f t="shared" si="31"/>
        <v>0</v>
      </c>
      <c r="I673" s="186">
        <v>0</v>
      </c>
      <c r="J673" s="186">
        <f t="shared" si="32"/>
        <v>0</v>
      </c>
      <c r="K673" s="177" t="s">
        <v>9101</v>
      </c>
    </row>
    <row r="674" spans="1:11" ht="27" customHeight="1" x14ac:dyDescent="0.3">
      <c r="A674" s="180" t="s">
        <v>114</v>
      </c>
      <c r="B674" s="180">
        <v>2024</v>
      </c>
      <c r="C674" s="180">
        <v>26</v>
      </c>
      <c r="D674" s="180" t="s">
        <v>9099</v>
      </c>
      <c r="E674" s="187">
        <f>FCCL!G131</f>
        <v>1</v>
      </c>
      <c r="F674" s="187">
        <f>FCCL!G130</f>
        <v>22.91</v>
      </c>
      <c r="G674" s="185">
        <f t="shared" si="30"/>
        <v>4.3649061545176782E-2</v>
      </c>
      <c r="H674" s="185">
        <f t="shared" si="31"/>
        <v>4.3649061545176782E-2</v>
      </c>
      <c r="I674" s="185">
        <v>4.3649061545176782E-2</v>
      </c>
      <c r="J674" s="185">
        <f t="shared" si="32"/>
        <v>0</v>
      </c>
      <c r="K674" s="180" t="s">
        <v>9101</v>
      </c>
    </row>
    <row r="675" spans="1:11" ht="27" customHeight="1" x14ac:dyDescent="0.3">
      <c r="A675" s="177" t="s">
        <v>114</v>
      </c>
      <c r="B675" s="177">
        <v>2025</v>
      </c>
      <c r="C675" s="177">
        <v>26</v>
      </c>
      <c r="D675" s="177" t="s">
        <v>9099</v>
      </c>
      <c r="E675" s="188">
        <f>FCCL!H131</f>
        <v>1.25</v>
      </c>
      <c r="F675" s="188">
        <f>FCCL!H130</f>
        <v>44.67</v>
      </c>
      <c r="G675" s="186">
        <f t="shared" si="30"/>
        <v>2.7982986344302664E-2</v>
      </c>
      <c r="H675" s="186">
        <f t="shared" si="31"/>
        <v>2.7982986344302664E-2</v>
      </c>
      <c r="I675" s="186">
        <v>2.7982986344302664E-2</v>
      </c>
      <c r="J675" s="186">
        <f t="shared" si="32"/>
        <v>0</v>
      </c>
      <c r="K675" s="177" t="s">
        <v>9101</v>
      </c>
    </row>
    <row r="676" spans="1:11" ht="27" customHeight="1" x14ac:dyDescent="0.3">
      <c r="A676" s="180" t="s">
        <v>114</v>
      </c>
      <c r="B676" s="180">
        <v>2021</v>
      </c>
      <c r="C676" s="180">
        <v>27</v>
      </c>
      <c r="D676" s="180" t="s">
        <v>9102</v>
      </c>
      <c r="E676" s="187">
        <f>'EV Inputs'!Z26</f>
        <v>33403.056000000004</v>
      </c>
      <c r="F676" s="187">
        <f>'EV Inputs'!AB26</f>
        <v>6799.3549999999996</v>
      </c>
      <c r="G676" s="185">
        <f t="shared" si="30"/>
        <v>4.9126800998035849</v>
      </c>
      <c r="H676" s="185">
        <f t="shared" si="31"/>
        <v>4.9126800998035849</v>
      </c>
      <c r="I676" s="185">
        <v>4.9126800998035849</v>
      </c>
      <c r="J676" s="185">
        <f t="shared" si="32"/>
        <v>0</v>
      </c>
      <c r="K676" s="180" t="s">
        <v>9104</v>
      </c>
    </row>
    <row r="677" spans="1:11" ht="27" customHeight="1" x14ac:dyDescent="0.3">
      <c r="A677" s="177" t="s">
        <v>114</v>
      </c>
      <c r="B677" s="177">
        <v>2022</v>
      </c>
      <c r="C677" s="177">
        <v>27</v>
      </c>
      <c r="D677" s="177" t="s">
        <v>9102</v>
      </c>
      <c r="E677" s="188">
        <f>'EV Inputs'!Z27</f>
        <v>61892.975530000011</v>
      </c>
      <c r="F677" s="188">
        <f>'EV Inputs'!AB27</f>
        <v>15473.460000000001</v>
      </c>
      <c r="G677" s="186">
        <f t="shared" si="30"/>
        <v>3.9999441320816422</v>
      </c>
      <c r="H677" s="186">
        <f t="shared" si="31"/>
        <v>3.9999441320816422</v>
      </c>
      <c r="I677" s="186">
        <v>3.9999441320816413</v>
      </c>
      <c r="J677" s="186">
        <f t="shared" si="32"/>
        <v>8.8817841970012523E-16</v>
      </c>
      <c r="K677" s="177" t="s">
        <v>9104</v>
      </c>
    </row>
    <row r="678" spans="1:11" ht="27" customHeight="1" x14ac:dyDescent="0.3">
      <c r="A678" s="180" t="s">
        <v>114</v>
      </c>
      <c r="B678" s="180">
        <v>2023</v>
      </c>
      <c r="C678" s="180">
        <v>27</v>
      </c>
      <c r="D678" s="180" t="s">
        <v>9102</v>
      </c>
      <c r="E678" s="187">
        <f>'EV Inputs'!Z28</f>
        <v>76005.526776000013</v>
      </c>
      <c r="F678" s="187">
        <f>'EV Inputs'!AB28</f>
        <v>19174.805000000008</v>
      </c>
      <c r="G678" s="185">
        <f t="shared" si="30"/>
        <v>3.9638226712605413</v>
      </c>
      <c r="H678" s="185">
        <f t="shared" si="31"/>
        <v>3.9638226712605413</v>
      </c>
      <c r="I678" s="185">
        <v>3.9638226712605422</v>
      </c>
      <c r="J678" s="185">
        <f t="shared" si="32"/>
        <v>-8.8817841970012523E-16</v>
      </c>
      <c r="K678" s="180" t="s">
        <v>9104</v>
      </c>
    </row>
    <row r="679" spans="1:11" ht="27" customHeight="1" x14ac:dyDescent="0.3">
      <c r="A679" s="177" t="s">
        <v>114</v>
      </c>
      <c r="B679" s="177">
        <v>2024</v>
      </c>
      <c r="C679" s="177">
        <v>27</v>
      </c>
      <c r="D679" s="177" t="s">
        <v>9102</v>
      </c>
      <c r="E679" s="188">
        <f>'EV Inputs'!Z29</f>
        <v>97324.003516000012</v>
      </c>
      <c r="F679" s="188">
        <f>'EV Inputs'!AB29</f>
        <v>24936.741999999995</v>
      </c>
      <c r="G679" s="186">
        <f t="shared" si="30"/>
        <v>3.9028355635230949</v>
      </c>
      <c r="H679" s="186">
        <f t="shared" si="31"/>
        <v>3.9028355635230949</v>
      </c>
      <c r="I679" s="186">
        <v>3.9028355635230958</v>
      </c>
      <c r="J679" s="186">
        <f t="shared" si="32"/>
        <v>-8.8817841970012523E-16</v>
      </c>
      <c r="K679" s="177" t="s">
        <v>9104</v>
      </c>
    </row>
    <row r="680" spans="1:11" ht="27" customHeight="1" x14ac:dyDescent="0.3">
      <c r="A680" s="180" t="s">
        <v>114</v>
      </c>
      <c r="B680" s="180">
        <v>2025</v>
      </c>
      <c r="C680" s="180">
        <v>27</v>
      </c>
      <c r="D680" s="180" t="s">
        <v>9102</v>
      </c>
      <c r="E680" s="187">
        <f>'EV Inputs'!Z30</f>
        <v>147210.520292</v>
      </c>
      <c r="F680" s="187">
        <f>'EV Inputs'!AB30</f>
        <v>32169.536999999989</v>
      </c>
      <c r="G680" s="185">
        <f t="shared" si="30"/>
        <v>4.5760845203336329</v>
      </c>
      <c r="H680" s="185">
        <f t="shared" si="31"/>
        <v>4.5760845203336329</v>
      </c>
      <c r="I680" s="185">
        <v>4.576084520333632</v>
      </c>
      <c r="J680" s="185">
        <f t="shared" si="32"/>
        <v>8.8817841970012523E-16</v>
      </c>
      <c r="K680" s="180" t="s">
        <v>9104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32"/>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1" width="9" customWidth="1"/>
    <col min="2" max="2" width="43" customWidth="1"/>
    <col min="3" max="3" width="45" customWidth="1"/>
    <col min="4" max="8" width="20" customWidth="1"/>
    <col min="9" max="13" width="12" customWidth="1"/>
  </cols>
  <sheetData>
    <row r="1" spans="1:13" ht="27" customHeight="1" x14ac:dyDescent="0.3">
      <c r="A1" s="177"/>
      <c r="B1" s="177"/>
      <c r="C1" s="177"/>
      <c r="D1" s="177"/>
      <c r="E1" s="177"/>
      <c r="F1" s="177"/>
      <c r="G1" s="177"/>
      <c r="H1" s="177"/>
      <c r="I1" s="177"/>
      <c r="J1" s="177"/>
      <c r="K1" s="177"/>
      <c r="L1" s="177"/>
      <c r="M1" s="177"/>
    </row>
    <row r="2" spans="1:13" ht="27" customHeight="1" x14ac:dyDescent="0.3">
      <c r="A2" s="178" t="s">
        <v>9122</v>
      </c>
      <c r="B2" s="177"/>
      <c r="C2" s="177"/>
      <c r="D2" s="177"/>
      <c r="E2" s="177"/>
      <c r="F2" s="177"/>
      <c r="G2" s="177"/>
      <c r="H2" s="177"/>
      <c r="I2" s="177"/>
      <c r="J2" s="177"/>
      <c r="K2" s="177"/>
      <c r="L2" s="177"/>
      <c r="M2" s="177"/>
    </row>
    <row r="3" spans="1:13" ht="27" customHeight="1" x14ac:dyDescent="0.3">
      <c r="A3" s="177" t="s">
        <v>9123</v>
      </c>
      <c r="B3" s="177"/>
      <c r="C3" s="177"/>
      <c r="D3" s="177"/>
      <c r="E3" s="177"/>
      <c r="F3" s="177"/>
      <c r="G3" s="177"/>
      <c r="H3" s="177"/>
      <c r="I3" s="177"/>
      <c r="J3" s="177"/>
      <c r="K3" s="177"/>
      <c r="L3" s="177"/>
      <c r="M3" s="177"/>
    </row>
    <row r="4" spans="1:13" ht="27" customHeight="1" x14ac:dyDescent="0.3">
      <c r="A4" s="177"/>
      <c r="B4" s="177"/>
      <c r="C4" s="177"/>
      <c r="D4" s="177"/>
      <c r="E4" s="177"/>
      <c r="F4" s="177"/>
      <c r="G4" s="177"/>
      <c r="H4" s="177"/>
      <c r="I4" s="177"/>
      <c r="J4" s="177"/>
      <c r="K4" s="177"/>
      <c r="L4" s="177"/>
      <c r="M4" s="177"/>
    </row>
    <row r="5" spans="1:13" ht="40.049999999999997" customHeight="1" x14ac:dyDescent="0.3">
      <c r="A5" s="179" t="s">
        <v>9012</v>
      </c>
      <c r="B5" s="179" t="s">
        <v>908</v>
      </c>
      <c r="C5" s="179" t="s">
        <v>1100</v>
      </c>
      <c r="D5" s="179" t="s">
        <v>20</v>
      </c>
      <c r="E5" s="179" t="s">
        <v>26</v>
      </c>
      <c r="F5" s="179" t="s">
        <v>27</v>
      </c>
      <c r="G5" s="179" t="s">
        <v>28</v>
      </c>
      <c r="H5" s="179" t="s">
        <v>29</v>
      </c>
      <c r="I5" s="179" t="s">
        <v>9124</v>
      </c>
      <c r="J5" s="179" t="s">
        <v>9125</v>
      </c>
      <c r="K5" s="179" t="s">
        <v>9126</v>
      </c>
      <c r="L5" s="179" t="s">
        <v>9127</v>
      </c>
      <c r="M5" s="179" t="s">
        <v>9128</v>
      </c>
    </row>
    <row r="6" spans="1:13" ht="27" customHeight="1" x14ac:dyDescent="0.3">
      <c r="A6" s="180">
        <v>1</v>
      </c>
      <c r="B6" s="180" t="s">
        <v>9018</v>
      </c>
      <c r="C6" s="180" t="s">
        <v>9022</v>
      </c>
      <c r="D6" s="185">
        <f>IF(COUNT('27 Calculations'!H6,'27 Calculations'!H141,'27 Calculations'!H276,'27 Calculations'!H411,'27 Calculations'!H546)=0,"n/m",AVERAGE('27 Calculations'!H6,'27 Calculations'!H141,'27 Calculations'!H276,'27 Calculations'!H411,'27 Calculations'!H546))</f>
        <v>1.410099888693426</v>
      </c>
      <c r="E6" s="185">
        <f>IF(COUNT('27 Calculations'!H7,'27 Calculations'!H142,'27 Calculations'!H277,'27 Calculations'!H412,'27 Calculations'!H547)=0,"n/m",AVERAGE('27 Calculations'!H7,'27 Calculations'!H142,'27 Calculations'!H277,'27 Calculations'!H412,'27 Calculations'!H547))</f>
        <v>1.3092077129783726</v>
      </c>
      <c r="F6" s="185">
        <f>IF(COUNT('27 Calculations'!H8,'27 Calculations'!H143,'27 Calculations'!H278,'27 Calculations'!H413,'27 Calculations'!H548)=0,"n/m",AVERAGE('27 Calculations'!H8,'27 Calculations'!H143,'27 Calculations'!H278,'27 Calculations'!H413,'27 Calculations'!H548))</f>
        <v>1.3174136472989262</v>
      </c>
      <c r="G6" s="185">
        <f>IF(COUNT('27 Calculations'!H9,'27 Calculations'!H144,'27 Calculations'!H279,'27 Calculations'!H414,'27 Calculations'!H549)=0,"n/m",AVERAGE('27 Calculations'!H9,'27 Calculations'!H144,'27 Calculations'!H279,'27 Calculations'!H414,'27 Calculations'!H549))</f>
        <v>1.5733986384849812</v>
      </c>
      <c r="H6" s="185">
        <f>IF(COUNT('27 Calculations'!H10,'27 Calculations'!H145,'27 Calculations'!H280,'27 Calculations'!H415,'27 Calculations'!H550)=0,"n/m",AVERAGE('27 Calculations'!H10,'27 Calculations'!H145,'27 Calculations'!H280,'27 Calculations'!H415,'27 Calculations'!H550))</f>
        <v>1.9456540162533476</v>
      </c>
      <c r="I6" s="180">
        <f>COUNT('27 Calculations'!H6,'27 Calculations'!H141,'27 Calculations'!H276,'27 Calculations'!H411,'27 Calculations'!H546)</f>
        <v>5</v>
      </c>
      <c r="J6" s="180">
        <f>COUNT('27 Calculations'!H7,'27 Calculations'!H142,'27 Calculations'!H277,'27 Calculations'!H412,'27 Calculations'!H547)</f>
        <v>5</v>
      </c>
      <c r="K6" s="180">
        <f>COUNT('27 Calculations'!H8,'27 Calculations'!H143,'27 Calculations'!H278,'27 Calculations'!H413,'27 Calculations'!H548)</f>
        <v>5</v>
      </c>
      <c r="L6" s="180">
        <f>COUNT('27 Calculations'!H9,'27 Calculations'!H144,'27 Calculations'!H279,'27 Calculations'!H414,'27 Calculations'!H549)</f>
        <v>5</v>
      </c>
      <c r="M6" s="180">
        <f>COUNT('27 Calculations'!H10,'27 Calculations'!H145,'27 Calculations'!H280,'27 Calculations'!H415,'27 Calculations'!H550)</f>
        <v>5</v>
      </c>
    </row>
    <row r="7" spans="1:13" ht="27" customHeight="1" x14ac:dyDescent="0.3">
      <c r="A7" s="177">
        <v>2</v>
      </c>
      <c r="B7" s="177" t="s">
        <v>9024</v>
      </c>
      <c r="C7" s="177" t="s">
        <v>9026</v>
      </c>
      <c r="D7" s="186">
        <f>IF(COUNT('27 Calculations'!H11,'27 Calculations'!H146,'27 Calculations'!H281,'27 Calculations'!H416,'27 Calculations'!H551)=0,"n/m",AVERAGE('27 Calculations'!H11,'27 Calculations'!H146,'27 Calculations'!H281,'27 Calculations'!H416,'27 Calculations'!H551))</f>
        <v>0.74817467464336995</v>
      </c>
      <c r="E7" s="186">
        <f>IF(COUNT('27 Calculations'!H12,'27 Calculations'!H147,'27 Calculations'!H282,'27 Calculations'!H417,'27 Calculations'!H552)=0,"n/m",AVERAGE('27 Calculations'!H12,'27 Calculations'!H147,'27 Calculations'!H282,'27 Calculations'!H417,'27 Calculations'!H552))</f>
        <v>0.66060425796037925</v>
      </c>
      <c r="F7" s="186">
        <f>IF(COUNT('27 Calculations'!H13,'27 Calculations'!H148,'27 Calculations'!H283,'27 Calculations'!H418,'27 Calculations'!H553)=0,"n/m",AVERAGE('27 Calculations'!H13,'27 Calculations'!H148,'27 Calculations'!H283,'27 Calculations'!H418,'27 Calculations'!H553))</f>
        <v>0.70598117826280693</v>
      </c>
      <c r="G7" s="186">
        <f>IF(COUNT('27 Calculations'!H14,'27 Calculations'!H149,'27 Calculations'!H284,'27 Calculations'!H419,'27 Calculations'!H554)=0,"n/m",AVERAGE('27 Calculations'!H14,'27 Calculations'!H149,'27 Calculations'!H284,'27 Calculations'!H419,'27 Calculations'!H554))</f>
        <v>0.93524664034818927</v>
      </c>
      <c r="H7" s="186">
        <f>IF(COUNT('27 Calculations'!H15,'27 Calculations'!H150,'27 Calculations'!H285,'27 Calculations'!H420,'27 Calculations'!H555)=0,"n/m",AVERAGE('27 Calculations'!H15,'27 Calculations'!H150,'27 Calculations'!H285,'27 Calculations'!H420,'27 Calculations'!H555))</f>
        <v>1.3010004987725021</v>
      </c>
      <c r="I7" s="177">
        <f>COUNT('27 Calculations'!H11,'27 Calculations'!H146,'27 Calculations'!H281,'27 Calculations'!H416,'27 Calculations'!H551)</f>
        <v>5</v>
      </c>
      <c r="J7" s="177">
        <f>COUNT('27 Calculations'!H12,'27 Calculations'!H147,'27 Calculations'!H282,'27 Calculations'!H417,'27 Calculations'!H552)</f>
        <v>5</v>
      </c>
      <c r="K7" s="177">
        <f>COUNT('27 Calculations'!H13,'27 Calculations'!H148,'27 Calculations'!H283,'27 Calculations'!H418,'27 Calculations'!H553)</f>
        <v>5</v>
      </c>
      <c r="L7" s="177">
        <f>COUNT('27 Calculations'!H14,'27 Calculations'!H149,'27 Calculations'!H284,'27 Calculations'!H419,'27 Calculations'!H554)</f>
        <v>5</v>
      </c>
      <c r="M7" s="177">
        <f>COUNT('27 Calculations'!H15,'27 Calculations'!H150,'27 Calculations'!H285,'27 Calculations'!H420,'27 Calculations'!H555)</f>
        <v>5</v>
      </c>
    </row>
    <row r="8" spans="1:13" ht="27" customHeight="1" x14ac:dyDescent="0.3">
      <c r="A8" s="180">
        <v>3</v>
      </c>
      <c r="B8" s="180" t="s">
        <v>9027</v>
      </c>
      <c r="C8" s="180" t="s">
        <v>9030</v>
      </c>
      <c r="D8" s="185">
        <f>IF(COUNT('27 Calculations'!H16,'27 Calculations'!H151,'27 Calculations'!H286,'27 Calculations'!H421,'27 Calculations'!H556)=0,"n/m",AVERAGE('27 Calculations'!H16,'27 Calculations'!H151,'27 Calculations'!H286,'27 Calculations'!H421,'27 Calculations'!H556))</f>
        <v>0.19645843533403926</v>
      </c>
      <c r="E8" s="185">
        <f>IF(COUNT('27 Calculations'!H17,'27 Calculations'!H152,'27 Calculations'!H287,'27 Calculations'!H422,'27 Calculations'!H557)=0,"n/m",AVERAGE('27 Calculations'!H17,'27 Calculations'!H152,'27 Calculations'!H287,'27 Calculations'!H422,'27 Calculations'!H557))</f>
        <v>0.14103994706030626</v>
      </c>
      <c r="F8" s="185">
        <f>IF(COUNT('27 Calculations'!H18,'27 Calculations'!H153,'27 Calculations'!H288,'27 Calculations'!H423,'27 Calculations'!H558)=0,"n/m",AVERAGE('27 Calculations'!H18,'27 Calculations'!H153,'27 Calculations'!H288,'27 Calculations'!H423,'27 Calculations'!H558))</f>
        <v>0.14953756715248792</v>
      </c>
      <c r="G8" s="185">
        <f>IF(COUNT('27 Calculations'!H19,'27 Calculations'!H154,'27 Calculations'!H289,'27 Calculations'!H424,'27 Calculations'!H559)=0,"n/m",AVERAGE('27 Calculations'!H19,'27 Calculations'!H154,'27 Calculations'!H289,'27 Calculations'!H424,'27 Calculations'!H559))</f>
        <v>0.17988762592814997</v>
      </c>
      <c r="H8" s="185">
        <f>IF(COUNT('27 Calculations'!H20,'27 Calculations'!H155,'27 Calculations'!H290,'27 Calculations'!H425,'27 Calculations'!H560)=0,"n/m",AVERAGE('27 Calculations'!H20,'27 Calculations'!H155,'27 Calculations'!H290,'27 Calculations'!H425,'27 Calculations'!H560))</f>
        <v>0.28358182596058851</v>
      </c>
      <c r="I8" s="180">
        <f>COUNT('27 Calculations'!H16,'27 Calculations'!H151,'27 Calculations'!H286,'27 Calculations'!H421,'27 Calculations'!H556)</f>
        <v>5</v>
      </c>
      <c r="J8" s="180">
        <f>COUNT('27 Calculations'!H17,'27 Calculations'!H152,'27 Calculations'!H287,'27 Calculations'!H422,'27 Calculations'!H557)</f>
        <v>5</v>
      </c>
      <c r="K8" s="180">
        <f>COUNT('27 Calculations'!H18,'27 Calculations'!H153,'27 Calculations'!H288,'27 Calculations'!H423,'27 Calculations'!H558)</f>
        <v>5</v>
      </c>
      <c r="L8" s="180">
        <f>COUNT('27 Calculations'!H19,'27 Calculations'!H154,'27 Calculations'!H289,'27 Calculations'!H424,'27 Calculations'!H559)</f>
        <v>5</v>
      </c>
      <c r="M8" s="180">
        <f>COUNT('27 Calculations'!H20,'27 Calculations'!H155,'27 Calculations'!H290,'27 Calculations'!H425,'27 Calculations'!H560)</f>
        <v>5</v>
      </c>
    </row>
    <row r="9" spans="1:13" ht="27" customHeight="1" x14ac:dyDescent="0.3">
      <c r="A9" s="177">
        <v>4</v>
      </c>
      <c r="B9" s="177" t="s">
        <v>9032</v>
      </c>
      <c r="C9" s="177" t="s">
        <v>9035</v>
      </c>
      <c r="D9" s="186">
        <f>IF(COUNT('27 Calculations'!H21,'27 Calculations'!H156,'27 Calculations'!H291,'27 Calculations'!H426,'27 Calculations'!H561)=0,"n/m",AVERAGE('27 Calculations'!H21,'27 Calculations'!H156,'27 Calculations'!H291,'27 Calculations'!H426,'27 Calculations'!H561))</f>
        <v>6079.1419435000025</v>
      </c>
      <c r="E9" s="186">
        <f>IF(COUNT('27 Calculations'!H22,'27 Calculations'!H157,'27 Calculations'!H292,'27 Calculations'!H427,'27 Calculations'!H562)=0,"n/m",AVERAGE('27 Calculations'!H22,'27 Calculations'!H157,'27 Calculations'!H292,'27 Calculations'!H427,'27 Calculations'!H562))</f>
        <v>7091.5826920000018</v>
      </c>
      <c r="F9" s="186">
        <f>IF(COUNT('27 Calculations'!H23,'27 Calculations'!H158,'27 Calculations'!H293,'27 Calculations'!H428,'27 Calculations'!H563)=0,"n/m",AVERAGE('27 Calculations'!H23,'27 Calculations'!H158,'27 Calculations'!H293,'27 Calculations'!H428,'27 Calculations'!H563))</f>
        <v>10807.104745999999</v>
      </c>
      <c r="G9" s="186">
        <f>IF(COUNT('27 Calculations'!H24,'27 Calculations'!H159,'27 Calculations'!H294,'27 Calculations'!H429,'27 Calculations'!H564)=0,"n/m",AVERAGE('27 Calculations'!H24,'27 Calculations'!H159,'27 Calculations'!H294,'27 Calculations'!H429,'27 Calculations'!H564))</f>
        <v>13298.803135499998</v>
      </c>
      <c r="H9" s="186">
        <f>IF(COUNT('27 Calculations'!H25,'27 Calculations'!H160,'27 Calculations'!H295,'27 Calculations'!H430,'27 Calculations'!H565)=0,"n/m",AVERAGE('27 Calculations'!H25,'27 Calculations'!H160,'27 Calculations'!H295,'27 Calculations'!H430,'27 Calculations'!H565))</f>
        <v>22622.674076600008</v>
      </c>
      <c r="I9" s="177">
        <f>COUNT('27 Calculations'!H21,'27 Calculations'!H156,'27 Calculations'!H291,'27 Calculations'!H426,'27 Calculations'!H561)</f>
        <v>4</v>
      </c>
      <c r="J9" s="177">
        <f>COUNT('27 Calculations'!H22,'27 Calculations'!H157,'27 Calculations'!H292,'27 Calculations'!H427,'27 Calculations'!H562)</f>
        <v>4</v>
      </c>
      <c r="K9" s="177">
        <f>COUNT('27 Calculations'!H23,'27 Calculations'!H158,'27 Calculations'!H293,'27 Calculations'!H428,'27 Calculations'!H563)</f>
        <v>3</v>
      </c>
      <c r="L9" s="177">
        <f>COUNT('27 Calculations'!H24,'27 Calculations'!H159,'27 Calculations'!H294,'27 Calculations'!H429,'27 Calculations'!H564)</f>
        <v>4</v>
      </c>
      <c r="M9" s="177">
        <f>COUNT('27 Calculations'!H25,'27 Calculations'!H160,'27 Calculations'!H295,'27 Calculations'!H430,'27 Calculations'!H565)</f>
        <v>5</v>
      </c>
    </row>
    <row r="10" spans="1:13" ht="27" customHeight="1" x14ac:dyDescent="0.3">
      <c r="A10" s="180">
        <v>5</v>
      </c>
      <c r="B10" s="180" t="s">
        <v>9036</v>
      </c>
      <c r="C10" s="180" t="s">
        <v>9038</v>
      </c>
      <c r="D10" s="185">
        <f>IF(COUNT('27 Calculations'!H26,'27 Calculations'!H161,'27 Calculations'!H296,'27 Calculations'!H431,'27 Calculations'!H566)=0,"n/m",AVERAGE('27 Calculations'!H26,'27 Calculations'!H161,'27 Calculations'!H296,'27 Calculations'!H431,'27 Calculations'!H566))</f>
        <v>3.4882428457217904</v>
      </c>
      <c r="E10" s="185">
        <f>IF(COUNT('27 Calculations'!H27,'27 Calculations'!H162,'27 Calculations'!H297,'27 Calculations'!H432,'27 Calculations'!H567)=0,"n/m",AVERAGE('27 Calculations'!H27,'27 Calculations'!H162,'27 Calculations'!H297,'27 Calculations'!H432,'27 Calculations'!H567))</f>
        <v>3.4280674813677789</v>
      </c>
      <c r="F10" s="185">
        <f>IF(COUNT('27 Calculations'!H28,'27 Calculations'!H163,'27 Calculations'!H298,'27 Calculations'!H433,'27 Calculations'!H568)=0,"n/m",AVERAGE('27 Calculations'!H28,'27 Calculations'!H163,'27 Calculations'!H298,'27 Calculations'!H433,'27 Calculations'!H568))</f>
        <v>3.2847991325511101</v>
      </c>
      <c r="G10" s="185">
        <f>IF(COUNT('27 Calculations'!H29,'27 Calculations'!H164,'27 Calculations'!H299,'27 Calculations'!H434,'27 Calculations'!H569)=0,"n/m",AVERAGE('27 Calculations'!H29,'27 Calculations'!H164,'27 Calculations'!H299,'27 Calculations'!H434,'27 Calculations'!H569))</f>
        <v>3.2494480311122858</v>
      </c>
      <c r="H10" s="185">
        <f>IF(COUNT('27 Calculations'!H30,'27 Calculations'!H165,'27 Calculations'!H300,'27 Calculations'!H435,'27 Calculations'!H570)=0,"n/m",AVERAGE('27 Calculations'!H30,'27 Calculations'!H165,'27 Calculations'!H300,'27 Calculations'!H435,'27 Calculations'!H570))</f>
        <v>3.0037553556718599</v>
      </c>
      <c r="I10" s="180">
        <f>COUNT('27 Calculations'!H26,'27 Calculations'!H161,'27 Calculations'!H296,'27 Calculations'!H431,'27 Calculations'!H566)</f>
        <v>5</v>
      </c>
      <c r="J10" s="180">
        <f>COUNT('27 Calculations'!H27,'27 Calculations'!H162,'27 Calculations'!H297,'27 Calculations'!H432,'27 Calculations'!H567)</f>
        <v>5</v>
      </c>
      <c r="K10" s="180">
        <f>COUNT('27 Calculations'!H28,'27 Calculations'!H163,'27 Calculations'!H298,'27 Calculations'!H433,'27 Calculations'!H568)</f>
        <v>5</v>
      </c>
      <c r="L10" s="180">
        <f>COUNT('27 Calculations'!H29,'27 Calculations'!H164,'27 Calculations'!H299,'27 Calculations'!H434,'27 Calculations'!H569)</f>
        <v>5</v>
      </c>
      <c r="M10" s="180">
        <f>COUNT('27 Calculations'!H30,'27 Calculations'!H165,'27 Calculations'!H300,'27 Calculations'!H435,'27 Calculations'!H570)</f>
        <v>5</v>
      </c>
    </row>
    <row r="11" spans="1:13" ht="27" customHeight="1" x14ac:dyDescent="0.3">
      <c r="A11" s="177">
        <v>6</v>
      </c>
      <c r="B11" s="177" t="s">
        <v>9039</v>
      </c>
      <c r="C11" s="177" t="s">
        <v>9041</v>
      </c>
      <c r="D11" s="186">
        <f>IF(COUNT('27 Calculations'!H31,'27 Calculations'!H166,'27 Calculations'!H301,'27 Calculations'!H436,'27 Calculations'!H571)=0,"n/m",AVERAGE('27 Calculations'!H31,'27 Calculations'!H166,'27 Calculations'!H301,'27 Calculations'!H436,'27 Calculations'!H571))</f>
        <v>22.057340700302184</v>
      </c>
      <c r="E11" s="186">
        <f>IF(COUNT('27 Calculations'!H32,'27 Calculations'!H167,'27 Calculations'!H302,'27 Calculations'!H437,'27 Calculations'!H572)=0,"n/m",AVERAGE('27 Calculations'!H32,'27 Calculations'!H167,'27 Calculations'!H302,'27 Calculations'!H437,'27 Calculations'!H572))</f>
        <v>30.31017301069765</v>
      </c>
      <c r="F11" s="186">
        <f>IF(COUNT('27 Calculations'!H33,'27 Calculations'!H168,'27 Calculations'!H303,'27 Calculations'!H438,'27 Calculations'!H573)=0,"n/m",AVERAGE('27 Calculations'!H33,'27 Calculations'!H168,'27 Calculations'!H303,'27 Calculations'!H438,'27 Calculations'!H573))</f>
        <v>31.425505967218601</v>
      </c>
      <c r="G11" s="186">
        <f>IF(COUNT('27 Calculations'!H34,'27 Calculations'!H169,'27 Calculations'!H304,'27 Calculations'!H439,'27 Calculations'!H574)=0,"n/m",AVERAGE('27 Calculations'!H34,'27 Calculations'!H169,'27 Calculations'!H304,'27 Calculations'!H439,'27 Calculations'!H574))</f>
        <v>28.815766038943309</v>
      </c>
      <c r="H11" s="186">
        <f>IF(COUNT('27 Calculations'!H35,'27 Calculations'!H170,'27 Calculations'!H305,'27 Calculations'!H440,'27 Calculations'!H575)=0,"n/m",AVERAGE('27 Calculations'!H35,'27 Calculations'!H170,'27 Calculations'!H305,'27 Calculations'!H440,'27 Calculations'!H575))</f>
        <v>25.931190940751197</v>
      </c>
      <c r="I11" s="177">
        <f>COUNT('27 Calculations'!H31,'27 Calculations'!H166,'27 Calculations'!H301,'27 Calculations'!H436,'27 Calculations'!H571)</f>
        <v>5</v>
      </c>
      <c r="J11" s="177">
        <f>COUNT('27 Calculations'!H32,'27 Calculations'!H167,'27 Calculations'!H302,'27 Calculations'!H437,'27 Calculations'!H572)</f>
        <v>5</v>
      </c>
      <c r="K11" s="177">
        <f>COUNT('27 Calculations'!H33,'27 Calculations'!H168,'27 Calculations'!H303,'27 Calculations'!H438,'27 Calculations'!H573)</f>
        <v>5</v>
      </c>
      <c r="L11" s="177">
        <f>COUNT('27 Calculations'!H34,'27 Calculations'!H169,'27 Calculations'!H304,'27 Calculations'!H439,'27 Calculations'!H574)</f>
        <v>5</v>
      </c>
      <c r="M11" s="177">
        <f>COUNT('27 Calculations'!H35,'27 Calculations'!H170,'27 Calculations'!H305,'27 Calculations'!H440,'27 Calculations'!H575)</f>
        <v>5</v>
      </c>
    </row>
    <row r="12" spans="1:13" ht="27" customHeight="1" x14ac:dyDescent="0.3">
      <c r="A12" s="180">
        <v>7</v>
      </c>
      <c r="B12" s="180" t="s">
        <v>9042</v>
      </c>
      <c r="C12" s="180" t="s">
        <v>9044</v>
      </c>
      <c r="D12" s="185">
        <f>IF(COUNT('27 Calculations'!H36,'27 Calculations'!H171,'27 Calculations'!H306,'27 Calculations'!H441,'27 Calculations'!H576)=0,"n/m",AVERAGE('27 Calculations'!H36,'27 Calculations'!H171,'27 Calculations'!H306,'27 Calculations'!H441,'27 Calculations'!H576))</f>
        <v>110.90097613467401</v>
      </c>
      <c r="E12" s="185">
        <f>IF(COUNT('27 Calculations'!H37,'27 Calculations'!H172,'27 Calculations'!H307,'27 Calculations'!H442,'27 Calculations'!H577)=0,"n/m",AVERAGE('27 Calculations'!H37,'27 Calculations'!H172,'27 Calculations'!H307,'27 Calculations'!H442,'27 Calculations'!H577))</f>
        <v>112.46024355435759</v>
      </c>
      <c r="F12" s="185">
        <f>IF(COUNT('27 Calculations'!H38,'27 Calculations'!H173,'27 Calculations'!H308,'27 Calculations'!H443,'27 Calculations'!H578)=0,"n/m",AVERAGE('27 Calculations'!H38,'27 Calculations'!H173,'27 Calculations'!H308,'27 Calculations'!H443,'27 Calculations'!H578))</f>
        <v>115.16010521403109</v>
      </c>
      <c r="G12" s="185">
        <f>IF(COUNT('27 Calculations'!H39,'27 Calculations'!H174,'27 Calculations'!H309,'27 Calculations'!H444,'27 Calculations'!H579)=0,"n/m",AVERAGE('27 Calculations'!H39,'27 Calculations'!H174,'27 Calculations'!H309,'27 Calculations'!H444,'27 Calculations'!H579))</f>
        <v>114.0227203715926</v>
      </c>
      <c r="H12" s="185">
        <f>IF(COUNT('27 Calculations'!H40,'27 Calculations'!H175,'27 Calculations'!H310,'27 Calculations'!H445,'27 Calculations'!H580)=0,"n/m",AVERAGE('27 Calculations'!H40,'27 Calculations'!H175,'27 Calculations'!H310,'27 Calculations'!H445,'27 Calculations'!H580))</f>
        <v>122.59103116710443</v>
      </c>
      <c r="I12" s="180">
        <f>COUNT('27 Calculations'!H36,'27 Calculations'!H171,'27 Calculations'!H306,'27 Calculations'!H441,'27 Calculations'!H576)</f>
        <v>5</v>
      </c>
      <c r="J12" s="180">
        <f>COUNT('27 Calculations'!H37,'27 Calculations'!H172,'27 Calculations'!H307,'27 Calculations'!H442,'27 Calculations'!H577)</f>
        <v>5</v>
      </c>
      <c r="K12" s="180">
        <f>COUNT('27 Calculations'!H38,'27 Calculations'!H173,'27 Calculations'!H308,'27 Calculations'!H443,'27 Calculations'!H578)</f>
        <v>5</v>
      </c>
      <c r="L12" s="180">
        <f>COUNT('27 Calculations'!H39,'27 Calculations'!H174,'27 Calculations'!H309,'27 Calculations'!H444,'27 Calculations'!H579)</f>
        <v>5</v>
      </c>
      <c r="M12" s="180">
        <f>COUNT('27 Calculations'!H40,'27 Calculations'!H175,'27 Calculations'!H310,'27 Calculations'!H445,'27 Calculations'!H580)</f>
        <v>5</v>
      </c>
    </row>
    <row r="13" spans="1:13" ht="27" customHeight="1" x14ac:dyDescent="0.3">
      <c r="A13" s="177">
        <v>8</v>
      </c>
      <c r="B13" s="177" t="s">
        <v>9045</v>
      </c>
      <c r="C13" s="177" t="s">
        <v>9047</v>
      </c>
      <c r="D13" s="186">
        <f>IF(COUNT('27 Calculations'!H41,'27 Calculations'!H176,'27 Calculations'!H311,'27 Calculations'!H446,'27 Calculations'!H581)=0,"n/m",AVERAGE('27 Calculations'!H41,'27 Calculations'!H176,'27 Calculations'!H311,'27 Calculations'!H446,'27 Calculations'!H581))</f>
        <v>17.624799187560942</v>
      </c>
      <c r="E13" s="186">
        <f>IF(COUNT('27 Calculations'!H42,'27 Calculations'!H177,'27 Calculations'!H312,'27 Calculations'!H447,'27 Calculations'!H582)=0,"n/m",AVERAGE('27 Calculations'!H42,'27 Calculations'!H177,'27 Calculations'!H312,'27 Calculations'!H447,'27 Calculations'!H582))</f>
        <v>12.308450827377888</v>
      </c>
      <c r="F13" s="186">
        <f>IF(COUNT('27 Calculations'!H43,'27 Calculations'!H178,'27 Calculations'!H313,'27 Calculations'!H448,'27 Calculations'!H583)=0,"n/m",AVERAGE('27 Calculations'!H43,'27 Calculations'!H178,'27 Calculations'!H313,'27 Calculations'!H448,'27 Calculations'!H583))</f>
        <v>12.718372360629726</v>
      </c>
      <c r="G13" s="186">
        <f>IF(COUNT('27 Calculations'!H44,'27 Calculations'!H179,'27 Calculations'!H314,'27 Calculations'!H449,'27 Calculations'!H584)=0,"n/m",AVERAGE('27 Calculations'!H44,'27 Calculations'!H179,'27 Calculations'!H314,'27 Calculations'!H449,'27 Calculations'!H584))</f>
        <v>15.957049002849038</v>
      </c>
      <c r="H13" s="186">
        <f>IF(COUNT('27 Calculations'!H45,'27 Calculations'!H180,'27 Calculations'!H315,'27 Calculations'!H450,'27 Calculations'!H585)=0,"n/m",AVERAGE('27 Calculations'!H45,'27 Calculations'!H180,'27 Calculations'!H315,'27 Calculations'!H450,'27 Calculations'!H585))</f>
        <v>18.554161760596095</v>
      </c>
      <c r="I13" s="177">
        <f>COUNT('27 Calculations'!H41,'27 Calculations'!H176,'27 Calculations'!H311,'27 Calculations'!H446,'27 Calculations'!H581)</f>
        <v>5</v>
      </c>
      <c r="J13" s="177">
        <f>COUNT('27 Calculations'!H42,'27 Calculations'!H177,'27 Calculations'!H312,'27 Calculations'!H447,'27 Calculations'!H582)</f>
        <v>5</v>
      </c>
      <c r="K13" s="177">
        <f>COUNT('27 Calculations'!H43,'27 Calculations'!H178,'27 Calculations'!H313,'27 Calculations'!H448,'27 Calculations'!H583)</f>
        <v>5</v>
      </c>
      <c r="L13" s="177">
        <f>COUNT('27 Calculations'!H44,'27 Calculations'!H179,'27 Calculations'!H314,'27 Calculations'!H449,'27 Calculations'!H584)</f>
        <v>5</v>
      </c>
      <c r="M13" s="177">
        <f>COUNT('27 Calculations'!H45,'27 Calculations'!H180,'27 Calculations'!H315,'27 Calculations'!H450,'27 Calculations'!H585)</f>
        <v>5</v>
      </c>
    </row>
    <row r="14" spans="1:13" ht="27" customHeight="1" x14ac:dyDescent="0.3">
      <c r="A14" s="180">
        <v>9</v>
      </c>
      <c r="B14" s="180" t="s">
        <v>9048</v>
      </c>
      <c r="C14" s="180" t="s">
        <v>9050</v>
      </c>
      <c r="D14" s="185">
        <f>IF(COUNT('27 Calculations'!H46,'27 Calculations'!H181,'27 Calculations'!H316,'27 Calculations'!H451,'27 Calculations'!H586)=0,"n/m",AVERAGE('27 Calculations'!H46,'27 Calculations'!H181,'27 Calculations'!H316,'27 Calculations'!H451,'27 Calculations'!H586))</f>
        <v>0.91365591618961484</v>
      </c>
      <c r="E14" s="185">
        <f>IF(COUNT('27 Calculations'!H47,'27 Calculations'!H182,'27 Calculations'!H317,'27 Calculations'!H452,'27 Calculations'!H587)=0,"n/m",AVERAGE('27 Calculations'!H47,'27 Calculations'!H182,'27 Calculations'!H317,'27 Calculations'!H452,'27 Calculations'!H587))</f>
        <v>0.96275500617698673</v>
      </c>
      <c r="F14" s="185">
        <f>IF(COUNT('27 Calculations'!H48,'27 Calculations'!H183,'27 Calculations'!H318,'27 Calculations'!H453,'27 Calculations'!H588)=0,"n/m",AVERAGE('27 Calculations'!H48,'27 Calculations'!H183,'27 Calculations'!H318,'27 Calculations'!H453,'27 Calculations'!H588))</f>
        <v>1.038121359645698</v>
      </c>
      <c r="G14" s="185">
        <f>IF(COUNT('27 Calculations'!H49,'27 Calculations'!H184,'27 Calculations'!H319,'27 Calculations'!H454,'27 Calculations'!H589)=0,"n/m",AVERAGE('27 Calculations'!H49,'27 Calculations'!H184,'27 Calculations'!H319,'27 Calculations'!H454,'27 Calculations'!H589))</f>
        <v>1.0750251936081971</v>
      </c>
      <c r="H14" s="185">
        <f>IF(COUNT('27 Calculations'!H50,'27 Calculations'!H185,'27 Calculations'!H320,'27 Calculations'!H455,'27 Calculations'!H590)=0,"n/m",AVERAGE('27 Calculations'!H50,'27 Calculations'!H185,'27 Calculations'!H320,'27 Calculations'!H455,'27 Calculations'!H590))</f>
        <v>1.121131911161676</v>
      </c>
      <c r="I14" s="180">
        <f>COUNT('27 Calculations'!H46,'27 Calculations'!H181,'27 Calculations'!H316,'27 Calculations'!H451,'27 Calculations'!H586)</f>
        <v>5</v>
      </c>
      <c r="J14" s="180">
        <f>COUNT('27 Calculations'!H47,'27 Calculations'!H182,'27 Calculations'!H317,'27 Calculations'!H452,'27 Calculations'!H587)</f>
        <v>5</v>
      </c>
      <c r="K14" s="180">
        <f>COUNT('27 Calculations'!H48,'27 Calculations'!H183,'27 Calculations'!H318,'27 Calculations'!H453,'27 Calculations'!H588)</f>
        <v>5</v>
      </c>
      <c r="L14" s="180">
        <f>COUNT('27 Calculations'!H49,'27 Calculations'!H184,'27 Calculations'!H319,'27 Calculations'!H454,'27 Calculations'!H589)</f>
        <v>5</v>
      </c>
      <c r="M14" s="180">
        <f>COUNT('27 Calculations'!H50,'27 Calculations'!H185,'27 Calculations'!H320,'27 Calculations'!H455,'27 Calculations'!H590)</f>
        <v>5</v>
      </c>
    </row>
    <row r="15" spans="1:13" ht="27" customHeight="1" x14ac:dyDescent="0.3">
      <c r="A15" s="177">
        <v>10</v>
      </c>
      <c r="B15" s="177" t="s">
        <v>9052</v>
      </c>
      <c r="C15" s="177" t="s">
        <v>9054</v>
      </c>
      <c r="D15" s="186">
        <f>IF(COUNT('27 Calculations'!H51,'27 Calculations'!H186,'27 Calculations'!H321,'27 Calculations'!H456,'27 Calculations'!H591)=0,"n/m",AVERAGE('27 Calculations'!H51,'27 Calculations'!H186,'27 Calculations'!H321,'27 Calculations'!H456,'27 Calculations'!H591))</f>
        <v>0.5291130301681537</v>
      </c>
      <c r="E15" s="186">
        <f>IF(COUNT('27 Calculations'!H52,'27 Calculations'!H187,'27 Calculations'!H322,'27 Calculations'!H457,'27 Calculations'!H592)=0,"n/m",AVERAGE('27 Calculations'!H52,'27 Calculations'!H187,'27 Calculations'!H322,'27 Calculations'!H457,'27 Calculations'!H592))</f>
        <v>0.53782120911889375</v>
      </c>
      <c r="F15" s="186">
        <f>IF(COUNT('27 Calculations'!H53,'27 Calculations'!H188,'27 Calculations'!H323,'27 Calculations'!H458,'27 Calculations'!H593)=0,"n/m",AVERAGE('27 Calculations'!H53,'27 Calculations'!H188,'27 Calculations'!H323,'27 Calculations'!H458,'27 Calculations'!H593))</f>
        <v>0.58004762152247946</v>
      </c>
      <c r="G15" s="186">
        <f>IF(COUNT('27 Calculations'!H54,'27 Calculations'!H189,'27 Calculations'!H324,'27 Calculations'!H459,'27 Calculations'!H594)=0,"n/m",AVERAGE('27 Calculations'!H54,'27 Calculations'!H189,'27 Calculations'!H324,'27 Calculations'!H459,'27 Calculations'!H594))</f>
        <v>0.56752351056099726</v>
      </c>
      <c r="H15" s="186">
        <f>IF(COUNT('27 Calculations'!H55,'27 Calculations'!H190,'27 Calculations'!H325,'27 Calculations'!H460,'27 Calculations'!H595)=0,"n/m",AVERAGE('27 Calculations'!H55,'27 Calculations'!H190,'27 Calculations'!H325,'27 Calculations'!H460,'27 Calculations'!H595))</f>
        <v>0.53065908975353382</v>
      </c>
      <c r="I15" s="177">
        <f>COUNT('27 Calculations'!H51,'27 Calculations'!H186,'27 Calculations'!H321,'27 Calculations'!H456,'27 Calculations'!H591)</f>
        <v>5</v>
      </c>
      <c r="J15" s="177">
        <f>COUNT('27 Calculations'!H52,'27 Calculations'!H187,'27 Calculations'!H322,'27 Calculations'!H457,'27 Calculations'!H592)</f>
        <v>5</v>
      </c>
      <c r="K15" s="177">
        <f>COUNT('27 Calculations'!H53,'27 Calculations'!H188,'27 Calculations'!H323,'27 Calculations'!H458,'27 Calculations'!H593)</f>
        <v>5</v>
      </c>
      <c r="L15" s="177">
        <f>COUNT('27 Calculations'!H54,'27 Calculations'!H189,'27 Calculations'!H324,'27 Calculations'!H459,'27 Calculations'!H594)</f>
        <v>5</v>
      </c>
      <c r="M15" s="177">
        <f>COUNT('27 Calculations'!H55,'27 Calculations'!H190,'27 Calculations'!H325,'27 Calculations'!H460,'27 Calculations'!H595)</f>
        <v>5</v>
      </c>
    </row>
    <row r="16" spans="1:13" ht="27" customHeight="1" x14ac:dyDescent="0.3">
      <c r="A16" s="180">
        <v>11</v>
      </c>
      <c r="B16" s="180" t="s">
        <v>9055</v>
      </c>
      <c r="C16" s="180" t="s">
        <v>9057</v>
      </c>
      <c r="D16" s="185">
        <f>IF(COUNT('27 Calculations'!H56,'27 Calculations'!H191,'27 Calculations'!H326,'27 Calculations'!H461,'27 Calculations'!H596)=0,"n/m",AVERAGE('27 Calculations'!H56,'27 Calculations'!H191,'27 Calculations'!H326,'27 Calculations'!H461,'27 Calculations'!H596))</f>
        <v>0.37541533325762799</v>
      </c>
      <c r="E16" s="185">
        <f>IF(COUNT('27 Calculations'!H57,'27 Calculations'!H192,'27 Calculations'!H327,'27 Calculations'!H462,'27 Calculations'!H597)=0,"n/m",AVERAGE('27 Calculations'!H57,'27 Calculations'!H192,'27 Calculations'!H327,'27 Calculations'!H462,'27 Calculations'!H597))</f>
        <v>0.43268314582304657</v>
      </c>
      <c r="F16" s="185">
        <f>IF(COUNT('27 Calculations'!H58,'27 Calculations'!H193,'27 Calculations'!H328,'27 Calculations'!H463,'27 Calculations'!H598)=0,"n/m",AVERAGE('27 Calculations'!H58,'27 Calculations'!H193,'27 Calculations'!H328,'27 Calculations'!H463,'27 Calculations'!H598))</f>
        <v>0.45005954533660519</v>
      </c>
      <c r="G16" s="185">
        <f>IF(COUNT('27 Calculations'!H59,'27 Calculations'!H194,'27 Calculations'!H329,'27 Calculations'!H464,'27 Calculations'!H599)=0,"n/m",AVERAGE('27 Calculations'!H59,'27 Calculations'!H194,'27 Calculations'!H329,'27 Calculations'!H464,'27 Calculations'!H599))</f>
        <v>0.41910484235226975</v>
      </c>
      <c r="H16" s="185">
        <f>IF(COUNT('27 Calculations'!H60,'27 Calculations'!H195,'27 Calculations'!H330,'27 Calculations'!H465,'27 Calculations'!H600)=0,"n/m",AVERAGE('27 Calculations'!H60,'27 Calculations'!H195,'27 Calculations'!H330,'27 Calculations'!H465,'27 Calculations'!H600))</f>
        <v>0.36998489383571476</v>
      </c>
      <c r="I16" s="180">
        <f>COUNT('27 Calculations'!H56,'27 Calculations'!H191,'27 Calculations'!H326,'27 Calculations'!H461,'27 Calculations'!H596)</f>
        <v>5</v>
      </c>
      <c r="J16" s="180">
        <f>COUNT('27 Calculations'!H57,'27 Calculations'!H192,'27 Calculations'!H327,'27 Calculations'!H462,'27 Calculations'!H597)</f>
        <v>5</v>
      </c>
      <c r="K16" s="180">
        <f>COUNT('27 Calculations'!H58,'27 Calculations'!H193,'27 Calculations'!H328,'27 Calculations'!H463,'27 Calculations'!H598)</f>
        <v>5</v>
      </c>
      <c r="L16" s="180">
        <f>COUNT('27 Calculations'!H59,'27 Calculations'!H194,'27 Calculations'!H329,'27 Calculations'!H464,'27 Calculations'!H599)</f>
        <v>5</v>
      </c>
      <c r="M16" s="180">
        <f>COUNT('27 Calculations'!H60,'27 Calculations'!H195,'27 Calculations'!H330,'27 Calculations'!H465,'27 Calculations'!H600)</f>
        <v>5</v>
      </c>
    </row>
    <row r="17" spans="1:13" ht="27" customHeight="1" x14ac:dyDescent="0.3">
      <c r="A17" s="177">
        <v>12</v>
      </c>
      <c r="B17" s="177" t="s">
        <v>9058</v>
      </c>
      <c r="C17" s="177" t="s">
        <v>9060</v>
      </c>
      <c r="D17" s="186">
        <f>IF(COUNT('27 Calculations'!H61,'27 Calculations'!H196,'27 Calculations'!H331,'27 Calculations'!H466,'27 Calculations'!H601)=0,"n/m",AVERAGE('27 Calculations'!H61,'27 Calculations'!H196,'27 Calculations'!H331,'27 Calculations'!H466,'27 Calculations'!H601))</f>
        <v>0.30074688037817388</v>
      </c>
      <c r="E17" s="186">
        <f>IF(COUNT('27 Calculations'!H62,'27 Calculations'!H197,'27 Calculations'!H332,'27 Calculations'!H467,'27 Calculations'!H602)=0,"n/m",AVERAGE('27 Calculations'!H62,'27 Calculations'!H197,'27 Calculations'!H332,'27 Calculations'!H467,'27 Calculations'!H602))</f>
        <v>0.40134345907380276</v>
      </c>
      <c r="F17" s="186">
        <f>IF(COUNT('27 Calculations'!H63,'27 Calculations'!H198,'27 Calculations'!H333,'27 Calculations'!H468,'27 Calculations'!H603)=0,"n/m",AVERAGE('27 Calculations'!H63,'27 Calculations'!H198,'27 Calculations'!H333,'27 Calculations'!H468,'27 Calculations'!H603))</f>
        <v>0.3959164063769201</v>
      </c>
      <c r="G17" s="186">
        <f>IF(COUNT('27 Calculations'!H64,'27 Calculations'!H199,'27 Calculations'!H334,'27 Calculations'!H469,'27 Calculations'!H604)=0,"n/m",AVERAGE('27 Calculations'!H64,'27 Calculations'!H199,'27 Calculations'!H334,'27 Calculations'!H469,'27 Calculations'!H604))</f>
        <v>0.30191425723182308</v>
      </c>
      <c r="H17" s="186">
        <f>IF(COUNT('27 Calculations'!H65,'27 Calculations'!H200,'27 Calculations'!H335,'27 Calculations'!H470,'27 Calculations'!H605)=0,"n/m",AVERAGE('27 Calculations'!H65,'27 Calculations'!H200,'27 Calculations'!H335,'27 Calculations'!H470,'27 Calculations'!H605))</f>
        <v>0.21139452306738957</v>
      </c>
      <c r="I17" s="177">
        <f>COUNT('27 Calculations'!H61,'27 Calculations'!H196,'27 Calculations'!H331,'27 Calculations'!H466,'27 Calculations'!H601)</f>
        <v>5</v>
      </c>
      <c r="J17" s="177">
        <f>COUNT('27 Calculations'!H62,'27 Calculations'!H197,'27 Calculations'!H332,'27 Calculations'!H467,'27 Calculations'!H602)</f>
        <v>5</v>
      </c>
      <c r="K17" s="177">
        <f>COUNT('27 Calculations'!H63,'27 Calculations'!H198,'27 Calculations'!H333,'27 Calculations'!H468,'27 Calculations'!H603)</f>
        <v>5</v>
      </c>
      <c r="L17" s="177">
        <f>COUNT('27 Calculations'!H64,'27 Calculations'!H199,'27 Calculations'!H334,'27 Calculations'!H469,'27 Calculations'!H604)</f>
        <v>5</v>
      </c>
      <c r="M17" s="177">
        <f>COUNT('27 Calculations'!H65,'27 Calculations'!H200,'27 Calculations'!H335,'27 Calculations'!H470,'27 Calculations'!H605)</f>
        <v>5</v>
      </c>
    </row>
    <row r="18" spans="1:13" ht="27" customHeight="1" x14ac:dyDescent="0.3">
      <c r="A18" s="180">
        <v>13</v>
      </c>
      <c r="B18" s="180" t="s">
        <v>9062</v>
      </c>
      <c r="C18" s="180" t="s">
        <v>9060</v>
      </c>
      <c r="D18" s="185">
        <f>IF(COUNT('27 Calculations'!H66,'27 Calculations'!H201,'27 Calculations'!H336,'27 Calculations'!H471,'27 Calculations'!H606)=0,"n/m",AVERAGE('27 Calculations'!H66,'27 Calculations'!H201,'27 Calculations'!H336,'27 Calculations'!H471,'27 Calculations'!H606))</f>
        <v>0.21470398256792214</v>
      </c>
      <c r="E18" s="185">
        <f>IF(COUNT('27 Calculations'!H67,'27 Calculations'!H202,'27 Calculations'!H337,'27 Calculations'!H472,'27 Calculations'!H607)=0,"n/m",AVERAGE('27 Calculations'!H67,'27 Calculations'!H202,'27 Calculations'!H337,'27 Calculations'!H472,'27 Calculations'!H607))</f>
        <v>0.26667601597529089</v>
      </c>
      <c r="F18" s="185">
        <f>IF(COUNT('27 Calculations'!H68,'27 Calculations'!H203,'27 Calculations'!H338,'27 Calculations'!H473,'27 Calculations'!H608)=0,"n/m",AVERAGE('27 Calculations'!H68,'27 Calculations'!H203,'27 Calculations'!H338,'27 Calculations'!H473,'27 Calculations'!H608))</f>
        <v>0.26223609149164584</v>
      </c>
      <c r="G18" s="185">
        <f>IF(COUNT('27 Calculations'!H69,'27 Calculations'!H204,'27 Calculations'!H339,'27 Calculations'!H474,'27 Calculations'!H609)=0,"n/m",AVERAGE('27 Calculations'!H69,'27 Calculations'!H204,'27 Calculations'!H339,'27 Calculations'!H474,'27 Calculations'!H609))</f>
        <v>0.21685502550016317</v>
      </c>
      <c r="H18" s="185">
        <f>IF(COUNT('27 Calculations'!H70,'27 Calculations'!H205,'27 Calculations'!H340,'27 Calculations'!H475,'27 Calculations'!H610)=0,"n/m",AVERAGE('27 Calculations'!H70,'27 Calculations'!H205,'27 Calculations'!H340,'27 Calculations'!H475,'27 Calculations'!H610))</f>
        <v>0.16295487171266518</v>
      </c>
      <c r="I18" s="180">
        <f>COUNT('27 Calculations'!H66,'27 Calculations'!H201,'27 Calculations'!H336,'27 Calculations'!H471,'27 Calculations'!H606)</f>
        <v>5</v>
      </c>
      <c r="J18" s="180">
        <f>COUNT('27 Calculations'!H67,'27 Calculations'!H202,'27 Calculations'!H337,'27 Calculations'!H472,'27 Calculations'!H607)</f>
        <v>5</v>
      </c>
      <c r="K18" s="180">
        <f>COUNT('27 Calculations'!H68,'27 Calculations'!H203,'27 Calculations'!H338,'27 Calculations'!H473,'27 Calculations'!H608)</f>
        <v>5</v>
      </c>
      <c r="L18" s="180">
        <f>COUNT('27 Calculations'!H69,'27 Calculations'!H204,'27 Calculations'!H339,'27 Calculations'!H474,'27 Calculations'!H609)</f>
        <v>5</v>
      </c>
      <c r="M18" s="180">
        <f>COUNT('27 Calculations'!H70,'27 Calculations'!H205,'27 Calculations'!H340,'27 Calculations'!H475,'27 Calculations'!H610)</f>
        <v>5</v>
      </c>
    </row>
    <row r="19" spans="1:13" ht="27" customHeight="1" x14ac:dyDescent="0.3">
      <c r="A19" s="177">
        <v>14</v>
      </c>
      <c r="B19" s="177" t="s">
        <v>9064</v>
      </c>
      <c r="C19" s="177" t="s">
        <v>9066</v>
      </c>
      <c r="D19" s="186">
        <f>IF(COUNT('27 Calculations'!H71,'27 Calculations'!H206,'27 Calculations'!H341,'27 Calculations'!H476,'27 Calculations'!H611)=0,"n/m",AVERAGE('27 Calculations'!H71,'27 Calculations'!H206,'27 Calculations'!H341,'27 Calculations'!H476,'27 Calculations'!H611))</f>
        <v>25.629651638057304</v>
      </c>
      <c r="E19" s="186">
        <f>IF(COUNT('27 Calculations'!H72,'27 Calculations'!H207,'27 Calculations'!H342,'27 Calculations'!H477,'27 Calculations'!H612)=0,"n/m",AVERAGE('27 Calculations'!H72,'27 Calculations'!H207,'27 Calculations'!H342,'27 Calculations'!H477,'27 Calculations'!H612))</f>
        <v>18.829862196196171</v>
      </c>
      <c r="F19" s="186">
        <f>IF(COUNT('27 Calculations'!H73,'27 Calculations'!H208,'27 Calculations'!H343,'27 Calculations'!H478,'27 Calculations'!H613)=0,"n/m",AVERAGE('27 Calculations'!H73,'27 Calculations'!H208,'27 Calculations'!H343,'27 Calculations'!H478,'27 Calculations'!H613))</f>
        <v>9.513679525284612</v>
      </c>
      <c r="G19" s="186">
        <f>IF(COUNT('27 Calculations'!H74,'27 Calculations'!H209,'27 Calculations'!H344,'27 Calculations'!H479,'27 Calculations'!H614)=0,"n/m",AVERAGE('27 Calculations'!H74,'27 Calculations'!H209,'27 Calculations'!H344,'27 Calculations'!H479,'27 Calculations'!H614))</f>
        <v>11.636244064159992</v>
      </c>
      <c r="H19" s="186">
        <f>IF(COUNT('27 Calculations'!H75,'27 Calculations'!H210,'27 Calculations'!H345,'27 Calculations'!H480,'27 Calculations'!H615)=0,"n/m",AVERAGE('27 Calculations'!H75,'27 Calculations'!H210,'27 Calculations'!H345,'27 Calculations'!H480,'27 Calculations'!H615))</f>
        <v>22.438026796255478</v>
      </c>
      <c r="I19" s="177">
        <f>COUNT('27 Calculations'!H71,'27 Calculations'!H206,'27 Calculations'!H341,'27 Calculations'!H476,'27 Calculations'!H611)</f>
        <v>5</v>
      </c>
      <c r="J19" s="177">
        <f>COUNT('27 Calculations'!H72,'27 Calculations'!H207,'27 Calculations'!H342,'27 Calculations'!H477,'27 Calculations'!H612)</f>
        <v>5</v>
      </c>
      <c r="K19" s="177">
        <f>COUNT('27 Calculations'!H73,'27 Calculations'!H208,'27 Calculations'!H343,'27 Calculations'!H478,'27 Calculations'!H613)</f>
        <v>5</v>
      </c>
      <c r="L19" s="177">
        <f>COUNT('27 Calculations'!H74,'27 Calculations'!H209,'27 Calculations'!H344,'27 Calculations'!H479,'27 Calculations'!H614)</f>
        <v>5</v>
      </c>
      <c r="M19" s="177">
        <f>COUNT('27 Calculations'!H75,'27 Calculations'!H210,'27 Calculations'!H345,'27 Calculations'!H480,'27 Calculations'!H615)</f>
        <v>5</v>
      </c>
    </row>
    <row r="20" spans="1:13" ht="27" customHeight="1" x14ac:dyDescent="0.3">
      <c r="A20" s="180">
        <v>15</v>
      </c>
      <c r="B20" s="180" t="s">
        <v>9067</v>
      </c>
      <c r="C20" s="180" t="s">
        <v>9069</v>
      </c>
      <c r="D20" s="185">
        <f>IF(COUNT('27 Calculations'!H76,'27 Calculations'!H211,'27 Calculations'!H346,'27 Calculations'!H481,'27 Calculations'!H616)=0,"n/m",AVERAGE('27 Calculations'!H76,'27 Calculations'!H211,'27 Calculations'!H346,'27 Calculations'!H481,'27 Calculations'!H616))</f>
        <v>0.23724954653298097</v>
      </c>
      <c r="E20" s="185">
        <f>IF(COUNT('27 Calculations'!H77,'27 Calculations'!H212,'27 Calculations'!H347,'27 Calculations'!H482,'27 Calculations'!H617)=0,"n/m",AVERAGE('27 Calculations'!H77,'27 Calculations'!H212,'27 Calculations'!H347,'27 Calculations'!H482,'27 Calculations'!H617))</f>
        <v>0.25885550370085986</v>
      </c>
      <c r="F20" s="185">
        <f>IF(COUNT('27 Calculations'!H78,'27 Calculations'!H213,'27 Calculations'!H348,'27 Calculations'!H483,'27 Calculations'!H618)=0,"n/m",AVERAGE('27 Calculations'!H78,'27 Calculations'!H213,'27 Calculations'!H348,'27 Calculations'!H483,'27 Calculations'!H618))</f>
        <v>0.25595244678638085</v>
      </c>
      <c r="G20" s="185">
        <f>IF(COUNT('27 Calculations'!H79,'27 Calculations'!H214,'27 Calculations'!H349,'27 Calculations'!H484,'27 Calculations'!H619)=0,"n/m",AVERAGE('27 Calculations'!H79,'27 Calculations'!H214,'27 Calculations'!H349,'27 Calculations'!H484,'27 Calculations'!H619))</f>
        <v>0.28470855520956578</v>
      </c>
      <c r="H20" s="185">
        <f>IF(COUNT('27 Calculations'!H80,'27 Calculations'!H215,'27 Calculations'!H350,'27 Calculations'!H485,'27 Calculations'!H620)=0,"n/m",AVERAGE('27 Calculations'!H80,'27 Calculations'!H215,'27 Calculations'!H350,'27 Calculations'!H485,'27 Calculations'!H620))</f>
        <v>0.33835562379642325</v>
      </c>
      <c r="I20" s="180">
        <f>COUNT('27 Calculations'!H76,'27 Calculations'!H211,'27 Calculations'!H346,'27 Calculations'!H481,'27 Calculations'!H616)</f>
        <v>5</v>
      </c>
      <c r="J20" s="180">
        <f>COUNT('27 Calculations'!H77,'27 Calculations'!H212,'27 Calculations'!H347,'27 Calculations'!H482,'27 Calculations'!H617)</f>
        <v>5</v>
      </c>
      <c r="K20" s="180">
        <f>COUNT('27 Calculations'!H78,'27 Calculations'!H213,'27 Calculations'!H348,'27 Calculations'!H483,'27 Calculations'!H618)</f>
        <v>5</v>
      </c>
      <c r="L20" s="180">
        <f>COUNT('27 Calculations'!H79,'27 Calculations'!H214,'27 Calculations'!H349,'27 Calculations'!H484,'27 Calculations'!H619)</f>
        <v>5</v>
      </c>
      <c r="M20" s="180">
        <f>COUNT('27 Calculations'!H80,'27 Calculations'!H215,'27 Calculations'!H350,'27 Calculations'!H485,'27 Calculations'!H620)</f>
        <v>5</v>
      </c>
    </row>
    <row r="21" spans="1:13" ht="27" customHeight="1" x14ac:dyDescent="0.3">
      <c r="A21" s="177">
        <v>16</v>
      </c>
      <c r="B21" s="177" t="s">
        <v>9070</v>
      </c>
      <c r="C21" s="177" t="s">
        <v>9072</v>
      </c>
      <c r="D21" s="186">
        <f>IF(COUNT('27 Calculations'!H81,'27 Calculations'!H216,'27 Calculations'!H351,'27 Calculations'!H486,'27 Calculations'!H621)=0,"n/m",AVERAGE('27 Calculations'!H81,'27 Calculations'!H216,'27 Calculations'!H351,'27 Calculations'!H486,'27 Calculations'!H621))</f>
        <v>0.22571573044990201</v>
      </c>
      <c r="E21" s="186">
        <f>IF(COUNT('27 Calculations'!H82,'27 Calculations'!H217,'27 Calculations'!H352,'27 Calculations'!H487,'27 Calculations'!H622)=0,"n/m",AVERAGE('27 Calculations'!H82,'27 Calculations'!H217,'27 Calculations'!H352,'27 Calculations'!H487,'27 Calculations'!H622))</f>
        <v>0.22694290154939156</v>
      </c>
      <c r="F21" s="186">
        <f>IF(COUNT('27 Calculations'!H83,'27 Calculations'!H218,'27 Calculations'!H353,'27 Calculations'!H488,'27 Calculations'!H623)=0,"n/m",AVERAGE('27 Calculations'!H83,'27 Calculations'!H218,'27 Calculations'!H353,'27 Calculations'!H488,'27 Calculations'!H623))</f>
        <v>0.21870106881994783</v>
      </c>
      <c r="G21" s="186">
        <f>IF(COUNT('27 Calculations'!H84,'27 Calculations'!H219,'27 Calculations'!H354,'27 Calculations'!H489,'27 Calculations'!H624)=0,"n/m",AVERAGE('27 Calculations'!H84,'27 Calculations'!H219,'27 Calculations'!H354,'27 Calculations'!H489,'27 Calculations'!H624))</f>
        <v>0.27298196150992571</v>
      </c>
      <c r="H21" s="186">
        <f>IF(COUNT('27 Calculations'!H85,'27 Calculations'!H220,'27 Calculations'!H355,'27 Calculations'!H490,'27 Calculations'!H625)=0,"n/m",AVERAGE('27 Calculations'!H85,'27 Calculations'!H220,'27 Calculations'!H355,'27 Calculations'!H490,'27 Calculations'!H625))</f>
        <v>0.35503493368063183</v>
      </c>
      <c r="I21" s="177">
        <f>COUNT('27 Calculations'!H81,'27 Calculations'!H216,'27 Calculations'!H351,'27 Calculations'!H486,'27 Calculations'!H621)</f>
        <v>5</v>
      </c>
      <c r="J21" s="177">
        <f>COUNT('27 Calculations'!H82,'27 Calculations'!H217,'27 Calculations'!H352,'27 Calculations'!H487,'27 Calculations'!H622)</f>
        <v>5</v>
      </c>
      <c r="K21" s="177">
        <f>COUNT('27 Calculations'!H83,'27 Calculations'!H218,'27 Calculations'!H353,'27 Calculations'!H488,'27 Calculations'!H623)</f>
        <v>5</v>
      </c>
      <c r="L21" s="177">
        <f>COUNT('27 Calculations'!H84,'27 Calculations'!H219,'27 Calculations'!H354,'27 Calculations'!H489,'27 Calculations'!H624)</f>
        <v>5</v>
      </c>
      <c r="M21" s="177">
        <f>COUNT('27 Calculations'!H85,'27 Calculations'!H220,'27 Calculations'!H355,'27 Calculations'!H490,'27 Calculations'!H625)</f>
        <v>5</v>
      </c>
    </row>
    <row r="22" spans="1:13" ht="27" customHeight="1" x14ac:dyDescent="0.3">
      <c r="A22" s="180">
        <v>17</v>
      </c>
      <c r="B22" s="180" t="s">
        <v>9074</v>
      </c>
      <c r="C22" s="180" t="s">
        <v>9076</v>
      </c>
      <c r="D22" s="185">
        <f>IF(COUNT('27 Calculations'!H86,'27 Calculations'!H221,'27 Calculations'!H356,'27 Calculations'!H491,'27 Calculations'!H626)=0,"n/m",AVERAGE('27 Calculations'!H86,'27 Calculations'!H221,'27 Calculations'!H356,'27 Calculations'!H491,'27 Calculations'!H626))</f>
        <v>0.15408619861572653</v>
      </c>
      <c r="E22" s="185">
        <f>IF(COUNT('27 Calculations'!H87,'27 Calculations'!H222,'27 Calculations'!H357,'27 Calculations'!H492,'27 Calculations'!H627)=0,"n/m",AVERAGE('27 Calculations'!H87,'27 Calculations'!H222,'27 Calculations'!H357,'27 Calculations'!H492,'27 Calculations'!H627))</f>
        <v>0.11970854212044424</v>
      </c>
      <c r="F22" s="185">
        <f>IF(COUNT('27 Calculations'!H88,'27 Calculations'!H223,'27 Calculations'!H358,'27 Calculations'!H493,'27 Calculations'!H628)=0,"n/m",AVERAGE('27 Calculations'!H88,'27 Calculations'!H223,'27 Calculations'!H358,'27 Calculations'!H493,'27 Calculations'!H628))</f>
        <v>0.11860808644516738</v>
      </c>
      <c r="G22" s="185">
        <f>IF(COUNT('27 Calculations'!H89,'27 Calculations'!H224,'27 Calculations'!H359,'27 Calculations'!H494,'27 Calculations'!H629)=0,"n/m",AVERAGE('27 Calculations'!H89,'27 Calculations'!H224,'27 Calculations'!H359,'27 Calculations'!H494,'27 Calculations'!H629))</f>
        <v>0.13282864107865294</v>
      </c>
      <c r="H22" s="185">
        <f>IF(COUNT('27 Calculations'!H90,'27 Calculations'!H225,'27 Calculations'!H360,'27 Calculations'!H495,'27 Calculations'!H630)=0,"n/m",AVERAGE('27 Calculations'!H90,'27 Calculations'!H225,'27 Calculations'!H360,'27 Calculations'!H495,'27 Calculations'!H630))</f>
        <v>0.21834707156583955</v>
      </c>
      <c r="I22" s="180">
        <f>COUNT('27 Calculations'!H86,'27 Calculations'!H221,'27 Calculations'!H356,'27 Calculations'!H491,'27 Calculations'!H626)</f>
        <v>5</v>
      </c>
      <c r="J22" s="180">
        <f>COUNT('27 Calculations'!H87,'27 Calculations'!H222,'27 Calculations'!H357,'27 Calculations'!H492,'27 Calculations'!H627)</f>
        <v>5</v>
      </c>
      <c r="K22" s="180">
        <f>COUNT('27 Calculations'!H88,'27 Calculations'!H223,'27 Calculations'!H358,'27 Calculations'!H493,'27 Calculations'!H628)</f>
        <v>4</v>
      </c>
      <c r="L22" s="180">
        <f>COUNT('27 Calculations'!H89,'27 Calculations'!H224,'27 Calculations'!H359,'27 Calculations'!H494,'27 Calculations'!H629)</f>
        <v>5</v>
      </c>
      <c r="M22" s="180">
        <f>COUNT('27 Calculations'!H90,'27 Calculations'!H225,'27 Calculations'!H360,'27 Calculations'!H495,'27 Calculations'!H630)</f>
        <v>5</v>
      </c>
    </row>
    <row r="23" spans="1:13" ht="27" customHeight="1" x14ac:dyDescent="0.3">
      <c r="A23" s="177">
        <v>18</v>
      </c>
      <c r="B23" s="177" t="s">
        <v>9077</v>
      </c>
      <c r="C23" s="177" t="s">
        <v>9054</v>
      </c>
      <c r="D23" s="186">
        <f>IF(COUNT('27 Calculations'!H91,'27 Calculations'!H226,'27 Calculations'!H361,'27 Calculations'!H496,'27 Calculations'!H631)=0,"n/m",AVERAGE('27 Calculations'!H91,'27 Calculations'!H226,'27 Calculations'!H361,'27 Calculations'!H496,'27 Calculations'!H631))</f>
        <v>8.204908187825799E-2</v>
      </c>
      <c r="E23" s="186">
        <f>IF(COUNT('27 Calculations'!H92,'27 Calculations'!H227,'27 Calculations'!H362,'27 Calculations'!H497,'27 Calculations'!H632)=0,"n/m",AVERAGE('27 Calculations'!H92,'27 Calculations'!H227,'27 Calculations'!H362,'27 Calculations'!H497,'27 Calculations'!H632))</f>
        <v>6.5407881905595877E-2</v>
      </c>
      <c r="F23" s="186">
        <f>IF(COUNT('27 Calculations'!H93,'27 Calculations'!H228,'27 Calculations'!H363,'27 Calculations'!H498,'27 Calculations'!H633)=0,"n/m",AVERAGE('27 Calculations'!H93,'27 Calculations'!H228,'27 Calculations'!H363,'27 Calculations'!H498,'27 Calculations'!H633))</f>
        <v>7.1398776708081133E-2</v>
      </c>
      <c r="G23" s="186">
        <f>IF(COUNT('27 Calculations'!H94,'27 Calculations'!H229,'27 Calculations'!H364,'27 Calculations'!H499,'27 Calculations'!H634)=0,"n/m",AVERAGE('27 Calculations'!H94,'27 Calculations'!H229,'27 Calculations'!H364,'27 Calculations'!H499,'27 Calculations'!H634))</f>
        <v>7.6784369313489378E-2</v>
      </c>
      <c r="H23" s="186">
        <f>IF(COUNT('27 Calculations'!H95,'27 Calculations'!H230,'27 Calculations'!H365,'27 Calculations'!H500,'27 Calculations'!H635)=0,"n/m",AVERAGE('27 Calculations'!H95,'27 Calculations'!H230,'27 Calculations'!H365,'27 Calculations'!H500,'27 Calculations'!H635))</f>
        <v>0.11653770053431411</v>
      </c>
      <c r="I23" s="177">
        <f>COUNT('27 Calculations'!H91,'27 Calculations'!H226,'27 Calculations'!H361,'27 Calculations'!H496,'27 Calculations'!H631)</f>
        <v>5</v>
      </c>
      <c r="J23" s="177">
        <f>COUNT('27 Calculations'!H92,'27 Calculations'!H227,'27 Calculations'!H362,'27 Calculations'!H497,'27 Calculations'!H632)</f>
        <v>5</v>
      </c>
      <c r="K23" s="177">
        <f>COUNT('27 Calculations'!H93,'27 Calculations'!H228,'27 Calculations'!H363,'27 Calculations'!H498,'27 Calculations'!H633)</f>
        <v>4</v>
      </c>
      <c r="L23" s="177">
        <f>COUNT('27 Calculations'!H94,'27 Calculations'!H229,'27 Calculations'!H364,'27 Calculations'!H499,'27 Calculations'!H634)</f>
        <v>5</v>
      </c>
      <c r="M23" s="177">
        <f>COUNT('27 Calculations'!H95,'27 Calculations'!H230,'27 Calculations'!H365,'27 Calculations'!H500,'27 Calculations'!H635)</f>
        <v>5</v>
      </c>
    </row>
    <row r="24" spans="1:13" ht="27" customHeight="1" x14ac:dyDescent="0.3">
      <c r="A24" s="180">
        <v>19</v>
      </c>
      <c r="B24" s="180" t="s">
        <v>9079</v>
      </c>
      <c r="C24" s="180" t="s">
        <v>9081</v>
      </c>
      <c r="D24" s="185">
        <f>IF(COUNT('27 Calculations'!H96,'27 Calculations'!H231,'27 Calculations'!H366,'27 Calculations'!H501,'27 Calculations'!H636)=0,"n/m",AVERAGE('27 Calculations'!H96,'27 Calculations'!H231,'27 Calculations'!H366,'27 Calculations'!H501,'27 Calculations'!H636))</f>
        <v>0.12960919787792846</v>
      </c>
      <c r="E24" s="185">
        <f>IF(COUNT('27 Calculations'!H97,'27 Calculations'!H232,'27 Calculations'!H367,'27 Calculations'!H502,'27 Calculations'!H637)=0,"n/m",AVERAGE('27 Calculations'!H97,'27 Calculations'!H232,'27 Calculations'!H367,'27 Calculations'!H502,'27 Calculations'!H637))</f>
        <v>0.11170584581873814</v>
      </c>
      <c r="F24" s="185">
        <f>IF(COUNT('27 Calculations'!H98,'27 Calculations'!H233,'27 Calculations'!H368,'27 Calculations'!H503,'27 Calculations'!H638)=0,"n/m",AVERAGE('27 Calculations'!H98,'27 Calculations'!H233,'27 Calculations'!H368,'27 Calculations'!H503,'27 Calculations'!H638))</f>
        <v>0.12314321719775204</v>
      </c>
      <c r="G24" s="185">
        <f>IF(COUNT('27 Calculations'!H99,'27 Calculations'!H234,'27 Calculations'!H369,'27 Calculations'!H504,'27 Calculations'!H639)=0,"n/m",AVERAGE('27 Calculations'!H99,'27 Calculations'!H234,'27 Calculations'!H369,'27 Calculations'!H504,'27 Calculations'!H639))</f>
        <v>0.1252089935041234</v>
      </c>
      <c r="H24" s="185">
        <f>IF(COUNT('27 Calculations'!H100,'27 Calculations'!H235,'27 Calculations'!H370,'27 Calculations'!H505,'27 Calculations'!H640)=0,"n/m",AVERAGE('27 Calculations'!H100,'27 Calculations'!H235,'27 Calculations'!H370,'27 Calculations'!H505,'27 Calculations'!H640))</f>
        <v>0.18353255594165577</v>
      </c>
      <c r="I24" s="180">
        <f>COUNT('27 Calculations'!H96,'27 Calculations'!H231,'27 Calculations'!H366,'27 Calculations'!H501,'27 Calculations'!H636)</f>
        <v>5</v>
      </c>
      <c r="J24" s="180">
        <f>COUNT('27 Calculations'!H97,'27 Calculations'!H232,'27 Calculations'!H367,'27 Calculations'!H502,'27 Calculations'!H637)</f>
        <v>5</v>
      </c>
      <c r="K24" s="180">
        <f>COUNT('27 Calculations'!H98,'27 Calculations'!H233,'27 Calculations'!H368,'27 Calculations'!H503,'27 Calculations'!H638)</f>
        <v>4</v>
      </c>
      <c r="L24" s="180">
        <f>COUNT('27 Calculations'!H99,'27 Calculations'!H234,'27 Calculations'!H369,'27 Calculations'!H504,'27 Calculations'!H639)</f>
        <v>5</v>
      </c>
      <c r="M24" s="180">
        <f>COUNT('27 Calculations'!H100,'27 Calculations'!H235,'27 Calculations'!H370,'27 Calculations'!H505,'27 Calculations'!H640)</f>
        <v>5</v>
      </c>
    </row>
    <row r="25" spans="1:13" ht="27" customHeight="1" x14ac:dyDescent="0.3">
      <c r="A25" s="177">
        <v>20</v>
      </c>
      <c r="B25" s="177" t="s">
        <v>9082</v>
      </c>
      <c r="C25" s="177" t="s">
        <v>9084</v>
      </c>
      <c r="D25" s="186">
        <f>IF(COUNT('27 Calculations'!H101,'27 Calculations'!H236,'27 Calculations'!H371,'27 Calculations'!H506,'27 Calculations'!H641)=0,"n/m",AVERAGE('27 Calculations'!H101,'27 Calculations'!H236,'27 Calculations'!H371,'27 Calculations'!H506,'27 Calculations'!H641))</f>
        <v>0.11582938412148427</v>
      </c>
      <c r="E25" s="186">
        <f>IF(COUNT('27 Calculations'!H102,'27 Calculations'!H237,'27 Calculations'!H372,'27 Calculations'!H507,'27 Calculations'!H642)=0,"n/m",AVERAGE('27 Calculations'!H102,'27 Calculations'!H237,'27 Calculations'!H372,'27 Calculations'!H507,'27 Calculations'!H642))</f>
        <v>9.5621637766134665E-2</v>
      </c>
      <c r="F25" s="186">
        <f>IF(COUNT('27 Calculations'!H103,'27 Calculations'!H238,'27 Calculations'!H373,'27 Calculations'!H508,'27 Calculations'!H643)=0,"n/m",AVERAGE('27 Calculations'!H103,'27 Calculations'!H238,'27 Calculations'!H373,'27 Calculations'!H508,'27 Calculations'!H643))</f>
        <v>0.10965800159893987</v>
      </c>
      <c r="G25" s="186">
        <f>IF(COUNT('27 Calculations'!H104,'27 Calculations'!H239,'27 Calculations'!H374,'27 Calculations'!H509,'27 Calculations'!H644)=0,"n/m",AVERAGE('27 Calculations'!H104,'27 Calculations'!H239,'27 Calculations'!H374,'27 Calculations'!H509,'27 Calculations'!H644))</f>
        <v>0.12312147101469621</v>
      </c>
      <c r="H25" s="186">
        <f>IF(COUNT('27 Calculations'!H105,'27 Calculations'!H240,'27 Calculations'!H375,'27 Calculations'!H510,'27 Calculations'!H645)=0,"n/m",AVERAGE('27 Calculations'!H105,'27 Calculations'!H240,'27 Calculations'!H375,'27 Calculations'!H510,'27 Calculations'!H645))</f>
        <v>0.1742703740611434</v>
      </c>
      <c r="I25" s="177">
        <f>COUNT('27 Calculations'!H101,'27 Calculations'!H236,'27 Calculations'!H371,'27 Calculations'!H506,'27 Calculations'!H641)</f>
        <v>5</v>
      </c>
      <c r="J25" s="177">
        <f>COUNT('27 Calculations'!H102,'27 Calculations'!H237,'27 Calculations'!H372,'27 Calculations'!H507,'27 Calculations'!H642)</f>
        <v>5</v>
      </c>
      <c r="K25" s="177">
        <f>COUNT('27 Calculations'!H103,'27 Calculations'!H238,'27 Calculations'!H373,'27 Calculations'!H508,'27 Calculations'!H643)</f>
        <v>4</v>
      </c>
      <c r="L25" s="177">
        <f>COUNT('27 Calculations'!H104,'27 Calculations'!H239,'27 Calculations'!H374,'27 Calculations'!H509,'27 Calculations'!H644)</f>
        <v>5</v>
      </c>
      <c r="M25" s="177">
        <f>COUNT('27 Calculations'!H105,'27 Calculations'!H240,'27 Calculations'!H375,'27 Calculations'!H510,'27 Calculations'!H645)</f>
        <v>5</v>
      </c>
    </row>
    <row r="26" spans="1:13" ht="27" customHeight="1" x14ac:dyDescent="0.3">
      <c r="A26" s="180">
        <v>21</v>
      </c>
      <c r="B26" s="180" t="s">
        <v>9086</v>
      </c>
      <c r="C26" s="180" t="s">
        <v>9054</v>
      </c>
      <c r="D26" s="185">
        <f>IF(COUNT('27 Calculations'!H106,'27 Calculations'!H241,'27 Calculations'!H376,'27 Calculations'!H511,'27 Calculations'!H646)=0,"n/m",AVERAGE('27 Calculations'!H106,'27 Calculations'!H241,'27 Calculations'!H376,'27 Calculations'!H511,'27 Calculations'!H646))</f>
        <v>0.11998181101113366</v>
      </c>
      <c r="E26" s="185">
        <f>IF(COUNT('27 Calculations'!H107,'27 Calculations'!H242,'27 Calculations'!H377,'27 Calculations'!H512,'27 Calculations'!H647)=0,"n/m",AVERAGE('27 Calculations'!H107,'27 Calculations'!H242,'27 Calculations'!H377,'27 Calculations'!H512,'27 Calculations'!H647))</f>
        <v>0.1247679019014242</v>
      </c>
      <c r="F26" s="185">
        <f>IF(COUNT('27 Calculations'!H108,'27 Calculations'!H243,'27 Calculations'!H378,'27 Calculations'!H513,'27 Calculations'!H648)=0,"n/m",AVERAGE('27 Calculations'!H108,'27 Calculations'!H243,'27 Calculations'!H378,'27 Calculations'!H513,'27 Calculations'!H648))</f>
        <v>0.12977526834347874</v>
      </c>
      <c r="G26" s="185">
        <f>IF(COUNT('27 Calculations'!H109,'27 Calculations'!H244,'27 Calculations'!H379,'27 Calculations'!H514,'27 Calculations'!H649)=0,"n/m",AVERAGE('27 Calculations'!H109,'27 Calculations'!H244,'27 Calculations'!H379,'27 Calculations'!H514,'27 Calculations'!H649))</f>
        <v>0.15570471309380998</v>
      </c>
      <c r="H26" s="185">
        <f>IF(COUNT('27 Calculations'!H110,'27 Calculations'!H245,'27 Calculations'!H380,'27 Calculations'!H515,'27 Calculations'!H650)=0,"n/m",AVERAGE('27 Calculations'!H110,'27 Calculations'!H245,'27 Calculations'!H380,'27 Calculations'!H515,'27 Calculations'!H650))</f>
        <v>0.18951791379367333</v>
      </c>
      <c r="I26" s="180">
        <f>COUNT('27 Calculations'!H106,'27 Calculations'!H241,'27 Calculations'!H376,'27 Calculations'!H511,'27 Calculations'!H646)</f>
        <v>5</v>
      </c>
      <c r="J26" s="180">
        <f>COUNT('27 Calculations'!H107,'27 Calculations'!H242,'27 Calculations'!H377,'27 Calculations'!H512,'27 Calculations'!H647)</f>
        <v>5</v>
      </c>
      <c r="K26" s="180">
        <f>COUNT('27 Calculations'!H108,'27 Calculations'!H243,'27 Calculations'!H378,'27 Calculations'!H513,'27 Calculations'!H648)</f>
        <v>5</v>
      </c>
      <c r="L26" s="180">
        <f>COUNT('27 Calculations'!H109,'27 Calculations'!H244,'27 Calculations'!H379,'27 Calculations'!H514,'27 Calculations'!H649)</f>
        <v>5</v>
      </c>
      <c r="M26" s="180">
        <f>COUNT('27 Calculations'!H110,'27 Calculations'!H245,'27 Calculations'!H380,'27 Calculations'!H515,'27 Calculations'!H650)</f>
        <v>5</v>
      </c>
    </row>
    <row r="27" spans="1:13" ht="27" customHeight="1" x14ac:dyDescent="0.3">
      <c r="A27" s="177">
        <v>22</v>
      </c>
      <c r="B27" s="177" t="s">
        <v>9088</v>
      </c>
      <c r="C27" s="177" t="s">
        <v>9090</v>
      </c>
      <c r="D27" s="186">
        <f>IF(COUNT('27 Calculations'!H111,'27 Calculations'!H246,'27 Calculations'!H381,'27 Calculations'!H516,'27 Calculations'!H651)=0,"n/m",AVERAGE('27 Calculations'!H111,'27 Calculations'!H246,'27 Calculations'!H381,'27 Calculations'!H516,'27 Calculations'!H651))</f>
        <v>15.525332487343713</v>
      </c>
      <c r="E27" s="186">
        <f>IF(COUNT('27 Calculations'!H112,'27 Calculations'!H247,'27 Calculations'!H382,'27 Calculations'!H517,'27 Calculations'!H652)=0,"n/m",AVERAGE('27 Calculations'!H112,'27 Calculations'!H247,'27 Calculations'!H382,'27 Calculations'!H517,'27 Calculations'!H652))</f>
        <v>17.134604460236471</v>
      </c>
      <c r="F27" s="186">
        <f>IF(COUNT('27 Calculations'!H113,'27 Calculations'!H248,'27 Calculations'!H383,'27 Calculations'!H518,'27 Calculations'!H653)=0,"n/m",AVERAGE('27 Calculations'!H113,'27 Calculations'!H248,'27 Calculations'!H383,'27 Calculations'!H518,'27 Calculations'!H653))</f>
        <v>19.814513798326313</v>
      </c>
      <c r="G27" s="186">
        <f>IF(COUNT('27 Calculations'!H114,'27 Calculations'!H249,'27 Calculations'!H384,'27 Calculations'!H519,'27 Calculations'!H654)=0,"n/m",AVERAGE('27 Calculations'!H114,'27 Calculations'!H249,'27 Calculations'!H384,'27 Calculations'!H519,'27 Calculations'!H654))</f>
        <v>29.876909571429231</v>
      </c>
      <c r="H27" s="186">
        <f>IF(COUNT('27 Calculations'!H115,'27 Calculations'!H250,'27 Calculations'!H385,'27 Calculations'!H520,'27 Calculations'!H655)=0,"n/m",AVERAGE('27 Calculations'!H115,'27 Calculations'!H250,'27 Calculations'!H385,'27 Calculations'!H520,'27 Calculations'!H655))</f>
        <v>24.785412625063277</v>
      </c>
      <c r="I27" s="177">
        <f>COUNT('27 Calculations'!H111,'27 Calculations'!H246,'27 Calculations'!H381,'27 Calculations'!H516,'27 Calculations'!H651)</f>
        <v>5</v>
      </c>
      <c r="J27" s="177">
        <f>COUNT('27 Calculations'!H112,'27 Calculations'!H247,'27 Calculations'!H382,'27 Calculations'!H517,'27 Calculations'!H652)</f>
        <v>5</v>
      </c>
      <c r="K27" s="177">
        <f>COUNT('27 Calculations'!H113,'27 Calculations'!H248,'27 Calculations'!H383,'27 Calculations'!H518,'27 Calculations'!H653)</f>
        <v>4</v>
      </c>
      <c r="L27" s="177">
        <f>COUNT('27 Calculations'!H114,'27 Calculations'!H249,'27 Calculations'!H384,'27 Calculations'!H519,'27 Calculations'!H654)</f>
        <v>5</v>
      </c>
      <c r="M27" s="177">
        <f>COUNT('27 Calculations'!H115,'27 Calculations'!H250,'27 Calculations'!H385,'27 Calculations'!H520,'27 Calculations'!H655)</f>
        <v>5</v>
      </c>
    </row>
    <row r="28" spans="1:13" ht="27" customHeight="1" x14ac:dyDescent="0.3">
      <c r="A28" s="180">
        <v>23</v>
      </c>
      <c r="B28" s="180" t="s">
        <v>9091</v>
      </c>
      <c r="C28" s="180" t="s">
        <v>9093</v>
      </c>
      <c r="D28" s="185">
        <f>IF(COUNT('27 Calculations'!H116,'27 Calculations'!H251,'27 Calculations'!H386,'27 Calculations'!H521,'27 Calculations'!H656)=0,"n/m",AVERAGE('27 Calculations'!H116,'27 Calculations'!H251,'27 Calculations'!H386,'27 Calculations'!H521,'27 Calculations'!H656))</f>
        <v>135.89235221235583</v>
      </c>
      <c r="E28" s="185">
        <f>IF(COUNT('27 Calculations'!H117,'27 Calculations'!H252,'27 Calculations'!H387,'27 Calculations'!H522,'27 Calculations'!H657)=0,"n/m",AVERAGE('27 Calculations'!H117,'27 Calculations'!H252,'27 Calculations'!H387,'27 Calculations'!H522,'27 Calculations'!H657))</f>
        <v>151.35446371588404</v>
      </c>
      <c r="F28" s="185">
        <f>IF(COUNT('27 Calculations'!H118,'27 Calculations'!H253,'27 Calculations'!H388,'27 Calculations'!H523,'27 Calculations'!H658)=0,"n/m",AVERAGE('27 Calculations'!H118,'27 Calculations'!H253,'27 Calculations'!H388,'27 Calculations'!H523,'27 Calculations'!H658))</f>
        <v>163.55779330319035</v>
      </c>
      <c r="G28" s="185">
        <f>IF(COUNT('27 Calculations'!H119,'27 Calculations'!H254,'27 Calculations'!H389,'27 Calculations'!H524,'27 Calculations'!H659)=0,"n/m",AVERAGE('27 Calculations'!H119,'27 Calculations'!H254,'27 Calculations'!H389,'27 Calculations'!H524,'27 Calculations'!H659))</f>
        <v>193.47386320452318</v>
      </c>
      <c r="H28" s="185">
        <f>IF(COUNT('27 Calculations'!H120,'27 Calculations'!H255,'27 Calculations'!H390,'27 Calculations'!H525,'27 Calculations'!H660)=0,"n/m",AVERAGE('27 Calculations'!H120,'27 Calculations'!H255,'27 Calculations'!H390,'27 Calculations'!H525,'27 Calculations'!H660))</f>
        <v>139.90979407538038</v>
      </c>
      <c r="I28" s="180">
        <f>COUNT('27 Calculations'!H116,'27 Calculations'!H251,'27 Calculations'!H386,'27 Calculations'!H521,'27 Calculations'!H656)</f>
        <v>5</v>
      </c>
      <c r="J28" s="180">
        <f>COUNT('27 Calculations'!H117,'27 Calculations'!H252,'27 Calculations'!H387,'27 Calculations'!H522,'27 Calculations'!H657)</f>
        <v>5</v>
      </c>
      <c r="K28" s="180">
        <f>COUNT('27 Calculations'!H118,'27 Calculations'!H253,'27 Calculations'!H388,'27 Calculations'!H523,'27 Calculations'!H658)</f>
        <v>5</v>
      </c>
      <c r="L28" s="180">
        <f>COUNT('27 Calculations'!H119,'27 Calculations'!H254,'27 Calculations'!H389,'27 Calculations'!H524,'27 Calculations'!H659)</f>
        <v>5</v>
      </c>
      <c r="M28" s="180">
        <f>COUNT('27 Calculations'!H120,'27 Calculations'!H255,'27 Calculations'!H390,'27 Calculations'!H525,'27 Calculations'!H660)</f>
        <v>5</v>
      </c>
    </row>
    <row r="29" spans="1:13" ht="27" customHeight="1" x14ac:dyDescent="0.3">
      <c r="A29" s="177">
        <v>24</v>
      </c>
      <c r="B29" s="177" t="s">
        <v>9094</v>
      </c>
      <c r="C29" s="177" t="s">
        <v>9096</v>
      </c>
      <c r="D29" s="186">
        <f>IF(COUNT('27 Calculations'!H121,'27 Calculations'!H256,'27 Calculations'!H391,'27 Calculations'!H526,'27 Calculations'!H661)=0,"n/m",AVERAGE('27 Calculations'!H121,'27 Calculations'!H256,'27 Calculations'!H391,'27 Calculations'!H526,'27 Calculations'!H661))</f>
        <v>12.59581721831144</v>
      </c>
      <c r="E29" s="186">
        <f>IF(COUNT('27 Calculations'!H122,'27 Calculations'!H257,'27 Calculations'!H392,'27 Calculations'!H527,'27 Calculations'!H662)=0,"n/m",AVERAGE('27 Calculations'!H122,'27 Calculations'!H257,'27 Calculations'!H392,'27 Calculations'!H527,'27 Calculations'!H662))</f>
        <v>7.3479385957624954</v>
      </c>
      <c r="F29" s="186">
        <f>IF(COUNT('27 Calculations'!H123,'27 Calculations'!H258,'27 Calculations'!H393,'27 Calculations'!H528,'27 Calculations'!H663)=0,"n/m",AVERAGE('27 Calculations'!H123,'27 Calculations'!H258,'27 Calculations'!H393,'27 Calculations'!H528,'27 Calculations'!H663))</f>
        <v>7.1894535090299874</v>
      </c>
      <c r="G29" s="186">
        <f>IF(COUNT('27 Calculations'!H124,'27 Calculations'!H259,'27 Calculations'!H394,'27 Calculations'!H529,'27 Calculations'!H664)=0,"n/m",AVERAGE('27 Calculations'!H124,'27 Calculations'!H259,'27 Calculations'!H394,'27 Calculations'!H529,'27 Calculations'!H664))</f>
        <v>20.500638291570311</v>
      </c>
      <c r="H29" s="186">
        <f>IF(COUNT('27 Calculations'!H125,'27 Calculations'!H260,'27 Calculations'!H395,'27 Calculations'!H530,'27 Calculations'!H665)=0,"n/m",AVERAGE('27 Calculations'!H125,'27 Calculations'!H260,'27 Calculations'!H395,'27 Calculations'!H530,'27 Calculations'!H665))</f>
        <v>8.7663341077446493</v>
      </c>
      <c r="I29" s="177">
        <f>COUNT('27 Calculations'!H121,'27 Calculations'!H256,'27 Calculations'!H391,'27 Calculations'!H526,'27 Calculations'!H661)</f>
        <v>5</v>
      </c>
      <c r="J29" s="177">
        <f>COUNT('27 Calculations'!H122,'27 Calculations'!H257,'27 Calculations'!H392,'27 Calculations'!H527,'27 Calculations'!H662)</f>
        <v>5</v>
      </c>
      <c r="K29" s="177">
        <f>COUNT('27 Calculations'!H123,'27 Calculations'!H258,'27 Calculations'!H393,'27 Calculations'!H528,'27 Calculations'!H663)</f>
        <v>4</v>
      </c>
      <c r="L29" s="177">
        <f>COUNT('27 Calculations'!H124,'27 Calculations'!H259,'27 Calculations'!H394,'27 Calculations'!H529,'27 Calculations'!H664)</f>
        <v>5</v>
      </c>
      <c r="M29" s="177">
        <f>COUNT('27 Calculations'!H125,'27 Calculations'!H260,'27 Calculations'!H395,'27 Calculations'!H530,'27 Calculations'!H665)</f>
        <v>5</v>
      </c>
    </row>
    <row r="30" spans="1:13" ht="27" customHeight="1" x14ac:dyDescent="0.3">
      <c r="A30" s="180">
        <v>25</v>
      </c>
      <c r="B30" s="180" t="s">
        <v>9097</v>
      </c>
      <c r="C30" s="180" t="s">
        <v>9096</v>
      </c>
      <c r="D30" s="185">
        <f>IF(COUNT('27 Calculations'!H126,'27 Calculations'!H261,'27 Calculations'!H396,'27 Calculations'!H531,'27 Calculations'!H666)=0,"n/m",AVERAGE('27 Calculations'!H126,'27 Calculations'!H261,'27 Calculations'!H396,'27 Calculations'!H531,'27 Calculations'!H666))</f>
        <v>1.5547782415406979</v>
      </c>
      <c r="E30" s="185">
        <f>IF(COUNT('27 Calculations'!H127,'27 Calculations'!H262,'27 Calculations'!H397,'27 Calculations'!H532,'27 Calculations'!H667)=0,"n/m",AVERAGE('27 Calculations'!H127,'27 Calculations'!H262,'27 Calculations'!H397,'27 Calculations'!H532,'27 Calculations'!H667))</f>
        <v>0.75380772922120132</v>
      </c>
      <c r="F30" s="185">
        <f>IF(COUNT('27 Calculations'!H128,'27 Calculations'!H263,'27 Calculations'!H398,'27 Calculations'!H533,'27 Calculations'!H668)=0,"n/m",AVERAGE('27 Calculations'!H128,'27 Calculations'!H263,'27 Calculations'!H398,'27 Calculations'!H533,'27 Calculations'!H668))</f>
        <v>0.74468849034083984</v>
      </c>
      <c r="G30" s="185">
        <f>IF(COUNT('27 Calculations'!H129,'27 Calculations'!H264,'27 Calculations'!H399,'27 Calculations'!H534,'27 Calculations'!H669)=0,"n/m",AVERAGE('27 Calculations'!H129,'27 Calculations'!H264,'27 Calculations'!H399,'27 Calculations'!H534,'27 Calculations'!H669))</f>
        <v>1.0070565373969065</v>
      </c>
      <c r="H30" s="185">
        <f>IF(COUNT('27 Calculations'!H130,'27 Calculations'!H265,'27 Calculations'!H400,'27 Calculations'!H535,'27 Calculations'!H670)=0,"n/m",AVERAGE('27 Calculations'!H130,'27 Calculations'!H265,'27 Calculations'!H400,'27 Calculations'!H535,'27 Calculations'!H670))</f>
        <v>1.5429606718953519</v>
      </c>
      <c r="I30" s="180">
        <f>COUNT('27 Calculations'!H126,'27 Calculations'!H261,'27 Calculations'!H396,'27 Calculations'!H531,'27 Calculations'!H666)</f>
        <v>5</v>
      </c>
      <c r="J30" s="180">
        <f>COUNT('27 Calculations'!H127,'27 Calculations'!H262,'27 Calculations'!H397,'27 Calculations'!H532,'27 Calculations'!H667)</f>
        <v>5</v>
      </c>
      <c r="K30" s="180">
        <f>COUNT('27 Calculations'!H128,'27 Calculations'!H263,'27 Calculations'!H398,'27 Calculations'!H533,'27 Calculations'!H668)</f>
        <v>5</v>
      </c>
      <c r="L30" s="180">
        <f>COUNT('27 Calculations'!H129,'27 Calculations'!H264,'27 Calculations'!H399,'27 Calculations'!H534,'27 Calculations'!H669)</f>
        <v>5</v>
      </c>
      <c r="M30" s="180">
        <f>COUNT('27 Calculations'!H130,'27 Calculations'!H265,'27 Calculations'!H400,'27 Calculations'!H535,'27 Calculations'!H670)</f>
        <v>5</v>
      </c>
    </row>
    <row r="31" spans="1:13" ht="27" customHeight="1" x14ac:dyDescent="0.3">
      <c r="A31" s="177">
        <v>26</v>
      </c>
      <c r="B31" s="177" t="s">
        <v>9099</v>
      </c>
      <c r="C31" s="177" t="s">
        <v>9101</v>
      </c>
      <c r="D31" s="186">
        <f>IF(COUNT('27 Calculations'!H131,'27 Calculations'!H266,'27 Calculations'!H401,'27 Calculations'!H536,'27 Calculations'!H671)=0,"n/m",AVERAGE('27 Calculations'!H131,'27 Calculations'!H266,'27 Calculations'!H401,'27 Calculations'!H536,'27 Calculations'!H671))</f>
        <v>1.6960651289009497E-3</v>
      </c>
      <c r="E31" s="186">
        <f>IF(COUNT('27 Calculations'!H132,'27 Calculations'!H267,'27 Calculations'!H402,'27 Calculations'!H537,'27 Calculations'!H672)=0,"n/m",AVERAGE('27 Calculations'!H132,'27 Calculations'!H267,'27 Calculations'!H402,'27 Calculations'!H537,'27 Calculations'!H672))</f>
        <v>3.2000000000000002E-3</v>
      </c>
      <c r="F31" s="186">
        <f>IF(COUNT('27 Calculations'!H133,'27 Calculations'!H268,'27 Calculations'!H403,'27 Calculations'!H538,'27 Calculations'!H673)=0,"n/m",AVERAGE('27 Calculations'!H133,'27 Calculations'!H268,'27 Calculations'!H403,'27 Calculations'!H538,'27 Calculations'!H673))</f>
        <v>6.8953628684709526E-3</v>
      </c>
      <c r="G31" s="186">
        <f>IF(COUNT('27 Calculations'!H134,'27 Calculations'!H269,'27 Calculations'!H404,'27 Calculations'!H539,'27 Calculations'!H674)=0,"n/m",AVERAGE('27 Calculations'!H134,'27 Calculations'!H269,'27 Calculations'!H404,'27 Calculations'!H539,'27 Calculations'!H674))</f>
        <v>1.2038404723535814E-2</v>
      </c>
      <c r="H31" s="186">
        <f>IF(COUNT('27 Calculations'!H135,'27 Calculations'!H270,'27 Calculations'!H405,'27 Calculations'!H540,'27 Calculations'!H675)=0,"n/m",AVERAGE('27 Calculations'!H135,'27 Calculations'!H270,'27 Calculations'!H405,'27 Calculations'!H540,'27 Calculations'!H675))</f>
        <v>1.0264638440009737E-2</v>
      </c>
      <c r="I31" s="177">
        <f>COUNT('27 Calculations'!H131,'27 Calculations'!H266,'27 Calculations'!H401,'27 Calculations'!H536,'27 Calculations'!H671)</f>
        <v>5</v>
      </c>
      <c r="J31" s="177">
        <f>COUNT('27 Calculations'!H132,'27 Calculations'!H267,'27 Calculations'!H402,'27 Calculations'!H537,'27 Calculations'!H672)</f>
        <v>5</v>
      </c>
      <c r="K31" s="177">
        <f>COUNT('27 Calculations'!H133,'27 Calculations'!H268,'27 Calculations'!H403,'27 Calculations'!H538,'27 Calculations'!H673)</f>
        <v>5</v>
      </c>
      <c r="L31" s="177">
        <f>COUNT('27 Calculations'!H134,'27 Calculations'!H269,'27 Calculations'!H404,'27 Calculations'!H539,'27 Calculations'!H674)</f>
        <v>5</v>
      </c>
      <c r="M31" s="177">
        <f>COUNT('27 Calculations'!H135,'27 Calculations'!H270,'27 Calculations'!H405,'27 Calculations'!H540,'27 Calculations'!H675)</f>
        <v>5</v>
      </c>
    </row>
    <row r="32" spans="1:13" ht="27" customHeight="1" x14ac:dyDescent="0.3">
      <c r="A32" s="180">
        <v>27</v>
      </c>
      <c r="B32" s="180" t="s">
        <v>9102</v>
      </c>
      <c r="C32" s="180" t="s">
        <v>9104</v>
      </c>
      <c r="D32" s="185">
        <f>IF(COUNT('27 Calculations'!H136,'27 Calculations'!H271,'27 Calculations'!H406,'27 Calculations'!H541,'27 Calculations'!H676)=0,"n/m",AVERAGE('27 Calculations'!H136,'27 Calculations'!H271,'27 Calculations'!H406,'27 Calculations'!H541,'27 Calculations'!H676))</f>
        <v>7.7126350704724844</v>
      </c>
      <c r="E32" s="185">
        <f>IF(COUNT('27 Calculations'!H137,'27 Calculations'!H272,'27 Calculations'!H407,'27 Calculations'!H542,'27 Calculations'!H677)=0,"n/m",AVERAGE('27 Calculations'!H137,'27 Calculations'!H272,'27 Calculations'!H407,'27 Calculations'!H542,'27 Calculations'!H677))</f>
        <v>4.4992375237908968</v>
      </c>
      <c r="F32" s="185">
        <f>IF(COUNT('27 Calculations'!H138,'27 Calculations'!H273,'27 Calculations'!H408,'27 Calculations'!H543,'27 Calculations'!H678)=0,"n/m",AVERAGE('27 Calculations'!H138,'27 Calculations'!H273,'27 Calculations'!H408,'27 Calculations'!H543,'27 Calculations'!H678))</f>
        <v>4.1502886611776644</v>
      </c>
      <c r="G32" s="185">
        <f>IF(COUNT('27 Calculations'!H139,'27 Calculations'!H274,'27 Calculations'!H409,'27 Calculations'!H544,'27 Calculations'!H679)=0,"n/m",AVERAGE('27 Calculations'!H139,'27 Calculations'!H274,'27 Calculations'!H409,'27 Calculations'!H544,'27 Calculations'!H679))</f>
        <v>4.1487509131234637</v>
      </c>
      <c r="H32" s="185">
        <f>IF(COUNT('27 Calculations'!H140,'27 Calculations'!H275,'27 Calculations'!H410,'27 Calculations'!H545,'27 Calculations'!H680)=0,"n/m",AVERAGE('27 Calculations'!H140,'27 Calculations'!H275,'27 Calculations'!H410,'27 Calculations'!H545,'27 Calculations'!H680))</f>
        <v>4.9454187151106792</v>
      </c>
      <c r="I32" s="180">
        <f>COUNT('27 Calculations'!H136,'27 Calculations'!H271,'27 Calculations'!H406,'27 Calculations'!H541,'27 Calculations'!H676)</f>
        <v>5</v>
      </c>
      <c r="J32" s="180">
        <f>COUNT('27 Calculations'!H137,'27 Calculations'!H272,'27 Calculations'!H407,'27 Calculations'!H542,'27 Calculations'!H677)</f>
        <v>5</v>
      </c>
      <c r="K32" s="180">
        <f>COUNT('27 Calculations'!H138,'27 Calculations'!H273,'27 Calculations'!H408,'27 Calculations'!H543,'27 Calculations'!H678)</f>
        <v>5</v>
      </c>
      <c r="L32" s="180">
        <f>COUNT('27 Calculations'!H139,'27 Calculations'!H274,'27 Calculations'!H409,'27 Calculations'!H544,'27 Calculations'!H679)</f>
        <v>5</v>
      </c>
      <c r="M32" s="180">
        <f>COUNT('27 Calculations'!H140,'27 Calculations'!H275,'27 Calculations'!H410,'27 Calculations'!H545,'27 Calculations'!H680)</f>
        <v>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460"/>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1" width="14" customWidth="1"/>
    <col min="2" max="2" width="12" customWidth="1"/>
    <col min="3" max="3" width="45" customWidth="1"/>
    <col min="4" max="4" width="22" customWidth="1"/>
    <col min="5" max="6" width="25" customWidth="1"/>
    <col min="7" max="7" width="27" customWidth="1"/>
    <col min="8" max="8" width="85" customWidth="1"/>
    <col min="9" max="9" width="40" customWidth="1"/>
    <col min="10" max="10" width="95" customWidth="1"/>
    <col min="11" max="11" width="145" customWidth="1"/>
    <col min="12" max="12" width="12" customWidth="1"/>
    <col min="13" max="13" width="19" customWidth="1"/>
  </cols>
  <sheetData>
    <row r="1" spans="1:13" ht="27" customHeight="1" x14ac:dyDescent="0.3">
      <c r="A1" s="177"/>
      <c r="B1" s="177"/>
      <c r="C1" s="177"/>
      <c r="D1" s="177"/>
      <c r="E1" s="177"/>
      <c r="F1" s="177"/>
      <c r="G1" s="177"/>
      <c r="H1" s="177"/>
      <c r="I1" s="177"/>
      <c r="J1" s="177"/>
      <c r="K1" s="177"/>
      <c r="L1" s="177"/>
      <c r="M1" s="177"/>
    </row>
    <row r="2" spans="1:13" ht="27" customHeight="1" x14ac:dyDescent="0.3">
      <c r="A2" s="178" t="s">
        <v>9129</v>
      </c>
      <c r="B2" s="177"/>
      <c r="C2" s="177"/>
      <c r="D2" s="177"/>
      <c r="E2" s="177"/>
      <c r="F2" s="177"/>
      <c r="G2" s="177"/>
      <c r="H2" s="177"/>
      <c r="I2" s="177"/>
      <c r="J2" s="177"/>
      <c r="K2" s="177"/>
      <c r="L2" s="177"/>
      <c r="M2" s="177"/>
    </row>
    <row r="3" spans="1:13" ht="27" customHeight="1" x14ac:dyDescent="0.3">
      <c r="A3" s="177" t="s">
        <v>9130</v>
      </c>
      <c r="B3" s="177"/>
      <c r="C3" s="177"/>
      <c r="D3" s="177"/>
      <c r="E3" s="177"/>
      <c r="F3" s="177"/>
      <c r="G3" s="177"/>
      <c r="H3" s="177"/>
      <c r="I3" s="177"/>
      <c r="J3" s="177"/>
      <c r="K3" s="177"/>
      <c r="L3" s="177"/>
      <c r="M3" s="177"/>
    </row>
    <row r="4" spans="1:13" ht="27" customHeight="1" x14ac:dyDescent="0.3">
      <c r="A4" s="177"/>
      <c r="B4" s="177"/>
      <c r="C4" s="177"/>
      <c r="D4" s="177"/>
      <c r="E4" s="177"/>
      <c r="F4" s="177"/>
      <c r="G4" s="177"/>
      <c r="H4" s="177"/>
      <c r="I4" s="177"/>
      <c r="J4" s="177"/>
      <c r="K4" s="177"/>
      <c r="L4" s="177"/>
      <c r="M4" s="177"/>
    </row>
    <row r="5" spans="1:13" ht="40.049999999999997" customHeight="1" x14ac:dyDescent="0.3">
      <c r="A5" s="179" t="s">
        <v>1</v>
      </c>
      <c r="B5" s="179" t="s">
        <v>3</v>
      </c>
      <c r="C5" s="179" t="s">
        <v>908</v>
      </c>
      <c r="D5" s="179" t="s">
        <v>9131</v>
      </c>
      <c r="E5" s="179" t="s">
        <v>9132</v>
      </c>
      <c r="F5" s="179" t="s">
        <v>9133</v>
      </c>
      <c r="G5" s="179" t="s">
        <v>9134</v>
      </c>
      <c r="H5" s="179" t="s">
        <v>9135</v>
      </c>
      <c r="I5" s="179" t="s">
        <v>9136</v>
      </c>
      <c r="J5" s="179" t="s">
        <v>9137</v>
      </c>
      <c r="K5" s="179" t="s">
        <v>9138</v>
      </c>
      <c r="L5" s="179" t="s">
        <v>15</v>
      </c>
      <c r="M5" s="179" t="s">
        <v>9139</v>
      </c>
    </row>
    <row r="6" spans="1:13" ht="120" customHeight="1" x14ac:dyDescent="0.3">
      <c r="A6" s="180" t="s">
        <v>18</v>
      </c>
      <c r="B6" s="180">
        <v>2021</v>
      </c>
      <c r="C6" s="180" t="s">
        <v>19</v>
      </c>
      <c r="D6" s="189">
        <f>'Published Ratio Reconciliation'!D5</f>
        <v>1.3</v>
      </c>
      <c r="E6" s="189">
        <f>'27 Calculations'!H6</f>
        <v>1.3006446691414961</v>
      </c>
      <c r="F6" s="189">
        <f>'Published Ratio Reconciliation'!F5</f>
        <v>1.3006446691414961</v>
      </c>
      <c r="G6" s="180" t="str">
        <f t="shared" ref="G6:G69" si="0">IF(AND(ISNUMBER(D6),ISNUMBER(F6)),IF(ROUND(D6,L6)=ROUND(F6,L6),"Numeric reproduction","Not reproduced"),"Not comparable")</f>
        <v>Numeric reproduction</v>
      </c>
      <c r="H6" s="183" t="s">
        <v>21</v>
      </c>
      <c r="I6" s="183" t="s">
        <v>9140</v>
      </c>
      <c r="J6" s="183" t="s">
        <v>23</v>
      </c>
      <c r="K6" s="183" t="s">
        <v>22</v>
      </c>
      <c r="L6" s="180">
        <v>2</v>
      </c>
      <c r="M6" s="180">
        <v>5</v>
      </c>
    </row>
    <row r="7" spans="1:13" ht="120" customHeight="1" x14ac:dyDescent="0.3">
      <c r="A7" s="177" t="s">
        <v>18</v>
      </c>
      <c r="B7" s="177">
        <v>2022</v>
      </c>
      <c r="C7" s="177" t="s">
        <v>19</v>
      </c>
      <c r="D7" s="190">
        <f>'Published Ratio Reconciliation'!D6</f>
        <v>1.87</v>
      </c>
      <c r="E7" s="190">
        <f>'27 Calculations'!H7</f>
        <v>1.8735085276109804</v>
      </c>
      <c r="F7" s="190">
        <f>'Published Ratio Reconciliation'!F6</f>
        <v>1.8735085276109804</v>
      </c>
      <c r="G7" s="177" t="str">
        <f t="shared" si="0"/>
        <v>Numeric reproduction</v>
      </c>
      <c r="H7" s="184" t="s">
        <v>21</v>
      </c>
      <c r="I7" s="184" t="s">
        <v>9140</v>
      </c>
      <c r="J7" s="184" t="s">
        <v>23</v>
      </c>
      <c r="K7" s="184" t="s">
        <v>22</v>
      </c>
      <c r="L7" s="177">
        <v>2</v>
      </c>
      <c r="M7" s="177">
        <v>6</v>
      </c>
    </row>
    <row r="8" spans="1:13" ht="120" customHeight="1" x14ac:dyDescent="0.3">
      <c r="A8" s="180" t="s">
        <v>18</v>
      </c>
      <c r="B8" s="180">
        <v>2023</v>
      </c>
      <c r="C8" s="180" t="s">
        <v>19</v>
      </c>
      <c r="D8" s="189">
        <f>'Published Ratio Reconciliation'!D7</f>
        <v>2.31</v>
      </c>
      <c r="E8" s="189">
        <f>'27 Calculations'!H8</f>
        <v>2.311570515459215</v>
      </c>
      <c r="F8" s="189">
        <f>'Published Ratio Reconciliation'!F7</f>
        <v>2.311570515459215</v>
      </c>
      <c r="G8" s="180" t="str">
        <f t="shared" si="0"/>
        <v>Numeric reproduction</v>
      </c>
      <c r="H8" s="183" t="s">
        <v>21</v>
      </c>
      <c r="I8" s="183" t="s">
        <v>9140</v>
      </c>
      <c r="J8" s="183" t="s">
        <v>23</v>
      </c>
      <c r="K8" s="183" t="s">
        <v>22</v>
      </c>
      <c r="L8" s="180">
        <v>2</v>
      </c>
      <c r="M8" s="180">
        <v>7</v>
      </c>
    </row>
    <row r="9" spans="1:13" ht="120" customHeight="1" x14ac:dyDescent="0.3">
      <c r="A9" s="177" t="s">
        <v>18</v>
      </c>
      <c r="B9" s="177">
        <v>2024</v>
      </c>
      <c r="C9" s="177" t="s">
        <v>19</v>
      </c>
      <c r="D9" s="190">
        <f>'Published Ratio Reconciliation'!D8</f>
        <v>2.9</v>
      </c>
      <c r="E9" s="190">
        <f>'27 Calculations'!H9</f>
        <v>2.9031590530160019</v>
      </c>
      <c r="F9" s="190">
        <f>'Published Ratio Reconciliation'!F8</f>
        <v>2.9031590530160019</v>
      </c>
      <c r="G9" s="177" t="str">
        <f t="shared" si="0"/>
        <v>Numeric reproduction</v>
      </c>
      <c r="H9" s="184" t="s">
        <v>21</v>
      </c>
      <c r="I9" s="184" t="s">
        <v>9140</v>
      </c>
      <c r="J9" s="184" t="s">
        <v>23</v>
      </c>
      <c r="K9" s="184" t="s">
        <v>22</v>
      </c>
      <c r="L9" s="177">
        <v>2</v>
      </c>
      <c r="M9" s="177">
        <v>8</v>
      </c>
    </row>
    <row r="10" spans="1:13" ht="120" customHeight="1" x14ac:dyDescent="0.3">
      <c r="A10" s="180" t="s">
        <v>18</v>
      </c>
      <c r="B10" s="180">
        <v>2025</v>
      </c>
      <c r="C10" s="180" t="s">
        <v>19</v>
      </c>
      <c r="D10" s="189">
        <f>'Published Ratio Reconciliation'!D9</f>
        <v>3.31</v>
      </c>
      <c r="E10" s="189">
        <f>'27 Calculations'!H10</f>
        <v>3.311248687172772</v>
      </c>
      <c r="F10" s="189">
        <f>'Published Ratio Reconciliation'!F9</f>
        <v>3.311248687172772</v>
      </c>
      <c r="G10" s="180" t="str">
        <f t="shared" si="0"/>
        <v>Numeric reproduction</v>
      </c>
      <c r="H10" s="183" t="s">
        <v>21</v>
      </c>
      <c r="I10" s="183" t="s">
        <v>9140</v>
      </c>
      <c r="J10" s="183" t="s">
        <v>23</v>
      </c>
      <c r="K10" s="183" t="s">
        <v>22</v>
      </c>
      <c r="L10" s="180">
        <v>2</v>
      </c>
      <c r="M10" s="180">
        <v>9</v>
      </c>
    </row>
    <row r="11" spans="1:13" ht="120" customHeight="1" x14ac:dyDescent="0.3">
      <c r="A11" s="177" t="s">
        <v>18</v>
      </c>
      <c r="B11" s="177">
        <v>2021</v>
      </c>
      <c r="C11" s="177" t="s">
        <v>30</v>
      </c>
      <c r="D11" s="190">
        <f>'Published Ratio Reconciliation'!D10</f>
        <v>0.75</v>
      </c>
      <c r="E11" s="190">
        <f>'27 Calculations'!H11</f>
        <v>0.74816043855554903</v>
      </c>
      <c r="F11" s="190">
        <f>'Published Ratio Reconciliation'!F10</f>
        <v>0.74816043855554903</v>
      </c>
      <c r="G11" s="177" t="str">
        <f t="shared" si="0"/>
        <v>Numeric reproduction</v>
      </c>
      <c r="H11" s="184" t="s">
        <v>21</v>
      </c>
      <c r="I11" s="184" t="s">
        <v>9140</v>
      </c>
      <c r="J11" s="184" t="s">
        <v>23</v>
      </c>
      <c r="K11" s="184" t="s">
        <v>22</v>
      </c>
      <c r="L11" s="177">
        <v>2</v>
      </c>
      <c r="M11" s="177">
        <v>10</v>
      </c>
    </row>
    <row r="12" spans="1:13" ht="120" customHeight="1" x14ac:dyDescent="0.3">
      <c r="A12" s="180" t="s">
        <v>18</v>
      </c>
      <c r="B12" s="180">
        <v>2022</v>
      </c>
      <c r="C12" s="180" t="s">
        <v>30</v>
      </c>
      <c r="D12" s="189">
        <f>'Published Ratio Reconciliation'!D11</f>
        <v>1.28</v>
      </c>
      <c r="E12" s="189">
        <f>'27 Calculations'!H12</f>
        <v>1.2758070110452304</v>
      </c>
      <c r="F12" s="189">
        <f>'Published Ratio Reconciliation'!F11</f>
        <v>1.2758070110452304</v>
      </c>
      <c r="G12" s="180" t="str">
        <f t="shared" si="0"/>
        <v>Numeric reproduction</v>
      </c>
      <c r="H12" s="183" t="s">
        <v>21</v>
      </c>
      <c r="I12" s="183" t="s">
        <v>9140</v>
      </c>
      <c r="J12" s="183" t="s">
        <v>23</v>
      </c>
      <c r="K12" s="183" t="s">
        <v>22</v>
      </c>
      <c r="L12" s="180">
        <v>2</v>
      </c>
      <c r="M12" s="180">
        <v>11</v>
      </c>
    </row>
    <row r="13" spans="1:13" ht="120" customHeight="1" x14ac:dyDescent="0.3">
      <c r="A13" s="177" t="s">
        <v>18</v>
      </c>
      <c r="B13" s="177">
        <v>2023</v>
      </c>
      <c r="C13" s="177" t="s">
        <v>30</v>
      </c>
      <c r="D13" s="190">
        <f>'Published Ratio Reconciliation'!D12</f>
        <v>1.54</v>
      </c>
      <c r="E13" s="190">
        <f>'27 Calculations'!H13</f>
        <v>1.5392110300634694</v>
      </c>
      <c r="F13" s="190">
        <f>'Published Ratio Reconciliation'!F12</f>
        <v>1.5392110300634694</v>
      </c>
      <c r="G13" s="177" t="str">
        <f t="shared" si="0"/>
        <v>Numeric reproduction</v>
      </c>
      <c r="H13" s="184" t="s">
        <v>21</v>
      </c>
      <c r="I13" s="184" t="s">
        <v>9140</v>
      </c>
      <c r="J13" s="184" t="s">
        <v>23</v>
      </c>
      <c r="K13" s="184" t="s">
        <v>22</v>
      </c>
      <c r="L13" s="177">
        <v>2</v>
      </c>
      <c r="M13" s="177">
        <v>12</v>
      </c>
    </row>
    <row r="14" spans="1:13" ht="120" customHeight="1" x14ac:dyDescent="0.3">
      <c r="A14" s="180" t="s">
        <v>18</v>
      </c>
      <c r="B14" s="180">
        <v>2024</v>
      </c>
      <c r="C14" s="180" t="s">
        <v>30</v>
      </c>
      <c r="D14" s="189">
        <f>'Published Ratio Reconciliation'!D13</f>
        <v>2.2200000000000002</v>
      </c>
      <c r="E14" s="189">
        <f>'27 Calculations'!H14</f>
        <v>2.2200593399212352</v>
      </c>
      <c r="F14" s="189">
        <f>'Published Ratio Reconciliation'!F13</f>
        <v>2.2200593399212352</v>
      </c>
      <c r="G14" s="180" t="str">
        <f t="shared" si="0"/>
        <v>Numeric reproduction</v>
      </c>
      <c r="H14" s="183" t="s">
        <v>21</v>
      </c>
      <c r="I14" s="183" t="s">
        <v>9140</v>
      </c>
      <c r="J14" s="183" t="s">
        <v>23</v>
      </c>
      <c r="K14" s="183" t="s">
        <v>22</v>
      </c>
      <c r="L14" s="180">
        <v>2</v>
      </c>
      <c r="M14" s="180">
        <v>13</v>
      </c>
    </row>
    <row r="15" spans="1:13" ht="120" customHeight="1" x14ac:dyDescent="0.3">
      <c r="A15" s="177" t="s">
        <v>18</v>
      </c>
      <c r="B15" s="177">
        <v>2025</v>
      </c>
      <c r="C15" s="177" t="s">
        <v>30</v>
      </c>
      <c r="D15" s="190">
        <f>'Published Ratio Reconciliation'!D14</f>
        <v>2.67</v>
      </c>
      <c r="E15" s="190">
        <f>'27 Calculations'!H15</f>
        <v>2.6677003784340947</v>
      </c>
      <c r="F15" s="190">
        <f>'Published Ratio Reconciliation'!F14</f>
        <v>2.6677003784340947</v>
      </c>
      <c r="G15" s="177" t="str">
        <f t="shared" si="0"/>
        <v>Numeric reproduction</v>
      </c>
      <c r="H15" s="184" t="s">
        <v>21</v>
      </c>
      <c r="I15" s="184" t="s">
        <v>9140</v>
      </c>
      <c r="J15" s="184" t="s">
        <v>23</v>
      </c>
      <c r="K15" s="184" t="s">
        <v>22</v>
      </c>
      <c r="L15" s="177">
        <v>2</v>
      </c>
      <c r="M15" s="177">
        <v>14</v>
      </c>
    </row>
    <row r="16" spans="1:13" ht="120" customHeight="1" x14ac:dyDescent="0.3">
      <c r="A16" s="180" t="s">
        <v>18</v>
      </c>
      <c r="B16" s="180">
        <v>2021</v>
      </c>
      <c r="C16" s="180" t="s">
        <v>31</v>
      </c>
      <c r="D16" s="189">
        <f>'Published Ratio Reconciliation'!D15</f>
        <v>5.75</v>
      </c>
      <c r="E16" s="189">
        <f>'27 Calculations'!H26</f>
        <v>4.8570986013255171</v>
      </c>
      <c r="F16" s="189">
        <f>'Published Ratio Reconciliation'!F15</f>
        <v>5.7504757045939314</v>
      </c>
      <c r="G16" s="180" t="str">
        <f t="shared" si="0"/>
        <v>Numeric reproduction</v>
      </c>
      <c r="H16" s="183" t="s">
        <v>32</v>
      </c>
      <c r="I16" s="183" t="s">
        <v>9140</v>
      </c>
      <c r="J16" s="183" t="s">
        <v>23</v>
      </c>
      <c r="K16" s="183" t="s">
        <v>33</v>
      </c>
      <c r="L16" s="180">
        <v>2</v>
      </c>
      <c r="M16" s="180">
        <v>15</v>
      </c>
    </row>
    <row r="17" spans="1:13" ht="120" customHeight="1" x14ac:dyDescent="0.3">
      <c r="A17" s="177" t="s">
        <v>18</v>
      </c>
      <c r="B17" s="177">
        <v>2022</v>
      </c>
      <c r="C17" s="177" t="s">
        <v>31</v>
      </c>
      <c r="D17" s="190">
        <f>'Published Ratio Reconciliation'!D16</f>
        <v>5.8</v>
      </c>
      <c r="E17" s="190">
        <f>'27 Calculations'!H27</f>
        <v>4.6811317215716919</v>
      </c>
      <c r="F17" s="190">
        <f>'Published Ratio Reconciliation'!F16</f>
        <v>5.7973951541564066</v>
      </c>
      <c r="G17" s="177" t="str">
        <f t="shared" si="0"/>
        <v>Numeric reproduction</v>
      </c>
      <c r="H17" s="184" t="s">
        <v>32</v>
      </c>
      <c r="I17" s="184" t="s">
        <v>9140</v>
      </c>
      <c r="J17" s="184" t="s">
        <v>23</v>
      </c>
      <c r="K17" s="184" t="s">
        <v>33</v>
      </c>
      <c r="L17" s="177">
        <v>2</v>
      </c>
      <c r="M17" s="177">
        <v>16</v>
      </c>
    </row>
    <row r="18" spans="1:13" ht="120" customHeight="1" x14ac:dyDescent="0.3">
      <c r="A18" s="180" t="s">
        <v>18</v>
      </c>
      <c r="B18" s="180">
        <v>2023</v>
      </c>
      <c r="C18" s="180" t="s">
        <v>31</v>
      </c>
      <c r="D18" s="189">
        <f>'Published Ratio Reconciliation'!D17</f>
        <v>5.08</v>
      </c>
      <c r="E18" s="189">
        <f>'27 Calculations'!H28</f>
        <v>4.2753791437713859</v>
      </c>
      <c r="F18" s="189">
        <f>'Published Ratio Reconciliation'!F17</f>
        <v>5.0838139351714444</v>
      </c>
      <c r="G18" s="180" t="str">
        <f t="shared" si="0"/>
        <v>Numeric reproduction</v>
      </c>
      <c r="H18" s="183" t="s">
        <v>32</v>
      </c>
      <c r="I18" s="183" t="s">
        <v>9140</v>
      </c>
      <c r="J18" s="183" t="s">
        <v>23</v>
      </c>
      <c r="K18" s="183" t="s">
        <v>33</v>
      </c>
      <c r="L18" s="180">
        <v>2</v>
      </c>
      <c r="M18" s="180">
        <v>17</v>
      </c>
    </row>
    <row r="19" spans="1:13" ht="120" customHeight="1" x14ac:dyDescent="0.3">
      <c r="A19" s="177" t="s">
        <v>18</v>
      </c>
      <c r="B19" s="177">
        <v>2024</v>
      </c>
      <c r="C19" s="177" t="s">
        <v>31</v>
      </c>
      <c r="D19" s="190">
        <f>'Published Ratio Reconciliation'!D18</f>
        <v>5.0999999999999996</v>
      </c>
      <c r="E19" s="190">
        <f>'27 Calculations'!H29</f>
        <v>3.5957369645110586</v>
      </c>
      <c r="F19" s="190">
        <f>'Published Ratio Reconciliation'!F18</f>
        <v>5.0990363055630716</v>
      </c>
      <c r="G19" s="177" t="str">
        <f t="shared" si="0"/>
        <v>Numeric reproduction</v>
      </c>
      <c r="H19" s="184" t="s">
        <v>32</v>
      </c>
      <c r="I19" s="184" t="s">
        <v>9140</v>
      </c>
      <c r="J19" s="184" t="s">
        <v>23</v>
      </c>
      <c r="K19" s="184" t="s">
        <v>33</v>
      </c>
      <c r="L19" s="177">
        <v>2</v>
      </c>
      <c r="M19" s="177">
        <v>18</v>
      </c>
    </row>
    <row r="20" spans="1:13" ht="120" customHeight="1" x14ac:dyDescent="0.3">
      <c r="A20" s="180" t="s">
        <v>18</v>
      </c>
      <c r="B20" s="180">
        <v>2025</v>
      </c>
      <c r="C20" s="180" t="s">
        <v>31</v>
      </c>
      <c r="D20" s="189">
        <f>'Published Ratio Reconciliation'!D19</f>
        <v>5</v>
      </c>
      <c r="E20" s="189">
        <f>'27 Calculations'!H30</f>
        <v>3.024880626442934</v>
      </c>
      <c r="F20" s="189">
        <f>'Published Ratio Reconciliation'!F19</f>
        <v>5.001513715758775</v>
      </c>
      <c r="G20" s="180" t="str">
        <f t="shared" si="0"/>
        <v>Numeric reproduction</v>
      </c>
      <c r="H20" s="183" t="s">
        <v>32</v>
      </c>
      <c r="I20" s="183" t="s">
        <v>9140</v>
      </c>
      <c r="J20" s="183" t="s">
        <v>23</v>
      </c>
      <c r="K20" s="183" t="s">
        <v>33</v>
      </c>
      <c r="L20" s="180">
        <v>2</v>
      </c>
      <c r="M20" s="180">
        <v>19</v>
      </c>
    </row>
    <row r="21" spans="1:13" ht="120" customHeight="1" x14ac:dyDescent="0.3">
      <c r="A21" s="177" t="s">
        <v>18</v>
      </c>
      <c r="B21" s="177">
        <v>2021</v>
      </c>
      <c r="C21" s="177" t="s">
        <v>36</v>
      </c>
      <c r="D21" s="190">
        <f>'Published Ratio Reconciliation'!D20</f>
        <v>14.92</v>
      </c>
      <c r="E21" s="190">
        <f>'27 Calculations'!H41</f>
        <v>11.211269503464973</v>
      </c>
      <c r="F21" s="190">
        <f>'Published Ratio Reconciliation'!F20</f>
        <v>14.922758056172961</v>
      </c>
      <c r="G21" s="177" t="str">
        <f t="shared" si="0"/>
        <v>Numeric reproduction</v>
      </c>
      <c r="H21" s="184" t="s">
        <v>37</v>
      </c>
      <c r="I21" s="184" t="s">
        <v>9140</v>
      </c>
      <c r="J21" s="184" t="s">
        <v>23</v>
      </c>
      <c r="K21" s="184" t="s">
        <v>22</v>
      </c>
      <c r="L21" s="177">
        <v>2</v>
      </c>
      <c r="M21" s="177">
        <v>20</v>
      </c>
    </row>
    <row r="22" spans="1:13" ht="120" customHeight="1" x14ac:dyDescent="0.3">
      <c r="A22" s="180" t="s">
        <v>18</v>
      </c>
      <c r="B22" s="180">
        <v>2022</v>
      </c>
      <c r="C22" s="180" t="s">
        <v>36</v>
      </c>
      <c r="D22" s="189">
        <f>'Published Ratio Reconciliation'!D21</f>
        <v>10.17</v>
      </c>
      <c r="E22" s="189">
        <f>'27 Calculations'!H42</f>
        <v>10.544725482358297</v>
      </c>
      <c r="F22" s="189">
        <f>'Published Ratio Reconciliation'!F21</f>
        <v>10.169873255714595</v>
      </c>
      <c r="G22" s="180" t="str">
        <f t="shared" si="0"/>
        <v>Numeric reproduction</v>
      </c>
      <c r="H22" s="183" t="s">
        <v>37</v>
      </c>
      <c r="I22" s="183" t="s">
        <v>9140</v>
      </c>
      <c r="J22" s="183" t="s">
        <v>23</v>
      </c>
      <c r="K22" s="183" t="s">
        <v>22</v>
      </c>
      <c r="L22" s="180">
        <v>2</v>
      </c>
      <c r="M22" s="180">
        <v>21</v>
      </c>
    </row>
    <row r="23" spans="1:13" ht="120" customHeight="1" x14ac:dyDescent="0.3">
      <c r="A23" s="177" t="s">
        <v>18</v>
      </c>
      <c r="B23" s="177">
        <v>2023</v>
      </c>
      <c r="C23" s="177" t="s">
        <v>36</v>
      </c>
      <c r="D23" s="190">
        <f>'Published Ratio Reconciliation'!D22</f>
        <v>11.31</v>
      </c>
      <c r="E23" s="190">
        <f>'27 Calculations'!H43</f>
        <v>9.9479554378487851</v>
      </c>
      <c r="F23" s="190">
        <f>'Published Ratio Reconciliation'!F22</f>
        <v>11.305459750549767</v>
      </c>
      <c r="G23" s="177" t="str">
        <f t="shared" si="0"/>
        <v>Numeric reproduction</v>
      </c>
      <c r="H23" s="184" t="s">
        <v>37</v>
      </c>
      <c r="I23" s="184" t="s">
        <v>9140</v>
      </c>
      <c r="J23" s="184" t="s">
        <v>23</v>
      </c>
      <c r="K23" s="184" t="s">
        <v>22</v>
      </c>
      <c r="L23" s="177">
        <v>2</v>
      </c>
      <c r="M23" s="177">
        <v>22</v>
      </c>
    </row>
    <row r="24" spans="1:13" ht="120" customHeight="1" x14ac:dyDescent="0.3">
      <c r="A24" s="180" t="s">
        <v>18</v>
      </c>
      <c r="B24" s="180">
        <v>2024</v>
      </c>
      <c r="C24" s="180" t="s">
        <v>36</v>
      </c>
      <c r="D24" s="189">
        <f>'Published Ratio Reconciliation'!D23</f>
        <v>19.93</v>
      </c>
      <c r="E24" s="189">
        <f>'27 Calculations'!H44</f>
        <v>15.657663166755571</v>
      </c>
      <c r="F24" s="189">
        <f>'Published Ratio Reconciliation'!F23</f>
        <v>19.929753376392476</v>
      </c>
      <c r="G24" s="180" t="str">
        <f t="shared" si="0"/>
        <v>Numeric reproduction</v>
      </c>
      <c r="H24" s="183" t="s">
        <v>37</v>
      </c>
      <c r="I24" s="183" t="s">
        <v>9140</v>
      </c>
      <c r="J24" s="183" t="s">
        <v>23</v>
      </c>
      <c r="K24" s="183" t="s">
        <v>22</v>
      </c>
      <c r="L24" s="180">
        <v>2</v>
      </c>
      <c r="M24" s="180">
        <v>23</v>
      </c>
    </row>
    <row r="25" spans="1:13" ht="120" customHeight="1" x14ac:dyDescent="0.3">
      <c r="A25" s="177" t="s">
        <v>18</v>
      </c>
      <c r="B25" s="177">
        <v>2025</v>
      </c>
      <c r="C25" s="177" t="s">
        <v>36</v>
      </c>
      <c r="D25" s="190">
        <f>'Published Ratio Reconciliation'!D24</f>
        <v>16.46</v>
      </c>
      <c r="E25" s="190">
        <f>'27 Calculations'!H45</f>
        <v>18.487732733839078</v>
      </c>
      <c r="F25" s="190">
        <f>'Published Ratio Reconciliation'!F24</f>
        <v>16.455254665788708</v>
      </c>
      <c r="G25" s="177" t="str">
        <f t="shared" si="0"/>
        <v>Numeric reproduction</v>
      </c>
      <c r="H25" s="184" t="s">
        <v>37</v>
      </c>
      <c r="I25" s="184" t="s">
        <v>9140</v>
      </c>
      <c r="J25" s="184" t="s">
        <v>23</v>
      </c>
      <c r="K25" s="184" t="s">
        <v>22</v>
      </c>
      <c r="L25" s="177">
        <v>2</v>
      </c>
      <c r="M25" s="177">
        <v>24</v>
      </c>
    </row>
    <row r="26" spans="1:13" ht="120" customHeight="1" x14ac:dyDescent="0.3">
      <c r="A26" s="180" t="s">
        <v>18</v>
      </c>
      <c r="B26" s="180">
        <v>2021</v>
      </c>
      <c r="C26" s="180" t="s">
        <v>45</v>
      </c>
      <c r="D26" s="189">
        <f>'Published Ratio Reconciliation'!D35</f>
        <v>0.67</v>
      </c>
      <c r="E26" s="189">
        <f>'27 Calculations'!H51</f>
        <v>0.66665082622797289</v>
      </c>
      <c r="F26" s="189">
        <f>'Published Ratio Reconciliation'!F35</f>
        <v>0.66665082622797289</v>
      </c>
      <c r="G26" s="180" t="str">
        <f t="shared" si="0"/>
        <v>Numeric reproduction</v>
      </c>
      <c r="H26" s="183" t="s">
        <v>46</v>
      </c>
      <c r="I26" s="183" t="s">
        <v>9140</v>
      </c>
      <c r="J26" s="183" t="s">
        <v>23</v>
      </c>
      <c r="K26" s="183" t="s">
        <v>22</v>
      </c>
      <c r="L26" s="180">
        <v>2</v>
      </c>
      <c r="M26" s="180">
        <v>35</v>
      </c>
    </row>
    <row r="27" spans="1:13" ht="120" customHeight="1" x14ac:dyDescent="0.3">
      <c r="A27" s="177" t="s">
        <v>18</v>
      </c>
      <c r="B27" s="177">
        <v>2022</v>
      </c>
      <c r="C27" s="177" t="s">
        <v>45</v>
      </c>
      <c r="D27" s="190">
        <f>'Published Ratio Reconciliation'!D36</f>
        <v>0.76</v>
      </c>
      <c r="E27" s="190">
        <f>'27 Calculations'!H52</f>
        <v>0.7583954484233022</v>
      </c>
      <c r="F27" s="190">
        <f>'Published Ratio Reconciliation'!F36</f>
        <v>0.7583954484233022</v>
      </c>
      <c r="G27" s="177" t="str">
        <f t="shared" si="0"/>
        <v>Numeric reproduction</v>
      </c>
      <c r="H27" s="184" t="s">
        <v>46</v>
      </c>
      <c r="I27" s="184" t="s">
        <v>9140</v>
      </c>
      <c r="J27" s="184" t="s">
        <v>23</v>
      </c>
      <c r="K27" s="184" t="s">
        <v>22</v>
      </c>
      <c r="L27" s="177">
        <v>2</v>
      </c>
      <c r="M27" s="177">
        <v>36</v>
      </c>
    </row>
    <row r="28" spans="1:13" ht="120" customHeight="1" x14ac:dyDescent="0.3">
      <c r="A28" s="180" t="s">
        <v>18</v>
      </c>
      <c r="B28" s="180">
        <v>2023</v>
      </c>
      <c r="C28" s="180" t="s">
        <v>45</v>
      </c>
      <c r="D28" s="189">
        <f>'Published Ratio Reconciliation'!D37</f>
        <v>0.79</v>
      </c>
      <c r="E28" s="189">
        <f>'27 Calculations'!H53</f>
        <v>0.78581821088962756</v>
      </c>
      <c r="F28" s="189">
        <f>'Published Ratio Reconciliation'!F37</f>
        <v>0.78581821088962756</v>
      </c>
      <c r="G28" s="180" t="str">
        <f t="shared" si="0"/>
        <v>Numeric reproduction</v>
      </c>
      <c r="H28" s="183" t="s">
        <v>46</v>
      </c>
      <c r="I28" s="183" t="s">
        <v>9140</v>
      </c>
      <c r="J28" s="183" t="s">
        <v>23</v>
      </c>
      <c r="K28" s="183" t="s">
        <v>22</v>
      </c>
      <c r="L28" s="180">
        <v>2</v>
      </c>
      <c r="M28" s="180">
        <v>37</v>
      </c>
    </row>
    <row r="29" spans="1:13" ht="120" customHeight="1" x14ac:dyDescent="0.3">
      <c r="A29" s="177" t="s">
        <v>18</v>
      </c>
      <c r="B29" s="177">
        <v>2024</v>
      </c>
      <c r="C29" s="177" t="s">
        <v>45</v>
      </c>
      <c r="D29" s="190">
        <f>'Published Ratio Reconciliation'!D38</f>
        <v>0.66</v>
      </c>
      <c r="E29" s="190">
        <f>'27 Calculations'!H54</f>
        <v>0.65679136157504614</v>
      </c>
      <c r="F29" s="190">
        <f>'Published Ratio Reconciliation'!F38</f>
        <v>0.65679136157504614</v>
      </c>
      <c r="G29" s="177" t="str">
        <f t="shared" si="0"/>
        <v>Numeric reproduction</v>
      </c>
      <c r="H29" s="184" t="s">
        <v>46</v>
      </c>
      <c r="I29" s="184" t="s">
        <v>9140</v>
      </c>
      <c r="J29" s="184" t="s">
        <v>23</v>
      </c>
      <c r="K29" s="184" t="s">
        <v>22</v>
      </c>
      <c r="L29" s="177">
        <v>2</v>
      </c>
      <c r="M29" s="177">
        <v>38</v>
      </c>
    </row>
    <row r="30" spans="1:13" ht="120" customHeight="1" x14ac:dyDescent="0.3">
      <c r="A30" s="180" t="s">
        <v>18</v>
      </c>
      <c r="B30" s="180">
        <v>2025</v>
      </c>
      <c r="C30" s="180" t="s">
        <v>45</v>
      </c>
      <c r="D30" s="189">
        <f>'Published Ratio Reconciliation'!D39</f>
        <v>0.56000000000000005</v>
      </c>
      <c r="E30" s="189">
        <f>'27 Calculations'!H55</f>
        <v>0.56195953485342598</v>
      </c>
      <c r="F30" s="189">
        <f>'Published Ratio Reconciliation'!F39</f>
        <v>0.56195953485342598</v>
      </c>
      <c r="G30" s="180" t="str">
        <f t="shared" si="0"/>
        <v>Numeric reproduction</v>
      </c>
      <c r="H30" s="183" t="s">
        <v>46</v>
      </c>
      <c r="I30" s="183" t="s">
        <v>9140</v>
      </c>
      <c r="J30" s="183" t="s">
        <v>23</v>
      </c>
      <c r="K30" s="183" t="s">
        <v>22</v>
      </c>
      <c r="L30" s="180">
        <v>2</v>
      </c>
      <c r="M30" s="180">
        <v>39</v>
      </c>
    </row>
    <row r="31" spans="1:13" ht="120" customHeight="1" x14ac:dyDescent="0.3">
      <c r="A31" s="177" t="s">
        <v>18</v>
      </c>
      <c r="B31" s="177">
        <v>2021</v>
      </c>
      <c r="C31" s="177" t="s">
        <v>47</v>
      </c>
      <c r="D31" s="190">
        <f>'Published Ratio Reconciliation'!D40</f>
        <v>1.1100000000000001</v>
      </c>
      <c r="E31" s="190">
        <f>'27 Calculations'!H46</f>
        <v>1.0921496738296084</v>
      </c>
      <c r="F31" s="190">
        <f>'Published Ratio Reconciliation'!F40</f>
        <v>1.1059029342727498</v>
      </c>
      <c r="G31" s="177" t="str">
        <f t="shared" si="0"/>
        <v>Numeric reproduction</v>
      </c>
      <c r="H31" s="184" t="s">
        <v>48</v>
      </c>
      <c r="I31" s="184" t="s">
        <v>9140</v>
      </c>
      <c r="J31" s="184" t="s">
        <v>23</v>
      </c>
      <c r="K31" s="184" t="s">
        <v>22</v>
      </c>
      <c r="L31" s="177">
        <v>2</v>
      </c>
      <c r="M31" s="177">
        <v>40</v>
      </c>
    </row>
    <row r="32" spans="1:13" ht="120" customHeight="1" x14ac:dyDescent="0.3">
      <c r="A32" s="180" t="s">
        <v>18</v>
      </c>
      <c r="B32" s="180">
        <v>2022</v>
      </c>
      <c r="C32" s="180" t="s">
        <v>47</v>
      </c>
      <c r="D32" s="189">
        <f>'Published Ratio Reconciliation'!D41</f>
        <v>1.55</v>
      </c>
      <c r="E32" s="189">
        <f>'27 Calculations'!H47</f>
        <v>1.5412541563844033</v>
      </c>
      <c r="F32" s="189">
        <f>'Published Ratio Reconciliation'!F41</f>
        <v>1.5507703456996567</v>
      </c>
      <c r="G32" s="180" t="str">
        <f t="shared" si="0"/>
        <v>Numeric reproduction</v>
      </c>
      <c r="H32" s="183" t="s">
        <v>48</v>
      </c>
      <c r="I32" s="183" t="s">
        <v>9140</v>
      </c>
      <c r="J32" s="183" t="s">
        <v>23</v>
      </c>
      <c r="K32" s="183" t="s">
        <v>22</v>
      </c>
      <c r="L32" s="180">
        <v>2</v>
      </c>
      <c r="M32" s="180">
        <v>41</v>
      </c>
    </row>
    <row r="33" spans="1:13" ht="120" customHeight="1" x14ac:dyDescent="0.3">
      <c r="A33" s="177" t="s">
        <v>18</v>
      </c>
      <c r="B33" s="177">
        <v>2023</v>
      </c>
      <c r="C33" s="177" t="s">
        <v>47</v>
      </c>
      <c r="D33" s="190">
        <f>'Published Ratio Reconciliation'!D42</f>
        <v>1.92</v>
      </c>
      <c r="E33" s="190">
        <f>'27 Calculations'!H48</f>
        <v>1.7509053329621809</v>
      </c>
      <c r="F33" s="190">
        <f>'Published Ratio Reconciliation'!F42</f>
        <v>1.9186059033296663</v>
      </c>
      <c r="G33" s="177" t="str">
        <f t="shared" si="0"/>
        <v>Numeric reproduction</v>
      </c>
      <c r="H33" s="184" t="s">
        <v>48</v>
      </c>
      <c r="I33" s="184" t="s">
        <v>9140</v>
      </c>
      <c r="J33" s="184" t="s">
        <v>23</v>
      </c>
      <c r="K33" s="184" t="s">
        <v>22</v>
      </c>
      <c r="L33" s="177">
        <v>2</v>
      </c>
      <c r="M33" s="177">
        <v>42</v>
      </c>
    </row>
    <row r="34" spans="1:13" ht="120" customHeight="1" x14ac:dyDescent="0.3">
      <c r="A34" s="180" t="s">
        <v>18</v>
      </c>
      <c r="B34" s="180">
        <v>2024</v>
      </c>
      <c r="C34" s="180" t="s">
        <v>47</v>
      </c>
      <c r="D34" s="189">
        <f>'Published Ratio Reconciliation'!D43</f>
        <v>1.83</v>
      </c>
      <c r="E34" s="189">
        <f>'27 Calculations'!H49</f>
        <v>1.7442972870565909</v>
      </c>
      <c r="F34" s="189">
        <f>'Published Ratio Reconciliation'!F43</f>
        <v>1.8266859443274031</v>
      </c>
      <c r="G34" s="180" t="str">
        <f t="shared" si="0"/>
        <v>Numeric reproduction</v>
      </c>
      <c r="H34" s="183" t="s">
        <v>48</v>
      </c>
      <c r="I34" s="183" t="s">
        <v>9140</v>
      </c>
      <c r="J34" s="183" t="s">
        <v>23</v>
      </c>
      <c r="K34" s="183" t="s">
        <v>22</v>
      </c>
      <c r="L34" s="180">
        <v>2</v>
      </c>
      <c r="M34" s="180">
        <v>43</v>
      </c>
    </row>
    <row r="35" spans="1:13" ht="120" customHeight="1" x14ac:dyDescent="0.3">
      <c r="A35" s="177" t="s">
        <v>18</v>
      </c>
      <c r="B35" s="177">
        <v>2025</v>
      </c>
      <c r="C35" s="177" t="s">
        <v>47</v>
      </c>
      <c r="D35" s="190">
        <f>'Published Ratio Reconciliation'!D44</f>
        <v>1.8</v>
      </c>
      <c r="E35" s="190">
        <f>'27 Calculations'!H50</f>
        <v>1.606837829232711</v>
      </c>
      <c r="F35" s="190">
        <f>'Published Ratio Reconciliation'!F44</f>
        <v>1.7982598867652522</v>
      </c>
      <c r="G35" s="177" t="str">
        <f t="shared" si="0"/>
        <v>Numeric reproduction</v>
      </c>
      <c r="H35" s="184" t="s">
        <v>48</v>
      </c>
      <c r="I35" s="184" t="s">
        <v>9140</v>
      </c>
      <c r="J35" s="184" t="s">
        <v>23</v>
      </c>
      <c r="K35" s="184" t="s">
        <v>22</v>
      </c>
      <c r="L35" s="177">
        <v>2</v>
      </c>
      <c r="M35" s="177">
        <v>44</v>
      </c>
    </row>
    <row r="36" spans="1:13" ht="120" customHeight="1" x14ac:dyDescent="0.3">
      <c r="A36" s="180" t="s">
        <v>18</v>
      </c>
      <c r="B36" s="180">
        <v>2021</v>
      </c>
      <c r="C36" s="180" t="s">
        <v>49</v>
      </c>
      <c r="D36" s="189">
        <f>'Published Ratio Reconciliation'!D45</f>
        <v>10.45</v>
      </c>
      <c r="E36" s="189">
        <f>'27 Calculations'!H71</f>
        <v>10.965146742707439</v>
      </c>
      <c r="F36" s="189">
        <f>'Published Ratio Reconciliation'!F45</f>
        <v>10.449576359042972</v>
      </c>
      <c r="G36" s="180" t="str">
        <f t="shared" si="0"/>
        <v>Numeric reproduction</v>
      </c>
      <c r="H36" s="183" t="s">
        <v>50</v>
      </c>
      <c r="I36" s="183" t="s">
        <v>9140</v>
      </c>
      <c r="J36" s="183" t="s">
        <v>23</v>
      </c>
      <c r="K36" s="183" t="s">
        <v>22</v>
      </c>
      <c r="L36" s="180">
        <v>2</v>
      </c>
      <c r="M36" s="180">
        <v>45</v>
      </c>
    </row>
    <row r="37" spans="1:13" ht="120" customHeight="1" x14ac:dyDescent="0.3">
      <c r="A37" s="177" t="s">
        <v>18</v>
      </c>
      <c r="B37" s="177">
        <v>2022</v>
      </c>
      <c r="C37" s="177" t="s">
        <v>49</v>
      </c>
      <c r="D37" s="190">
        <f>'Published Ratio Reconciliation'!D46</f>
        <v>17.600000000000001</v>
      </c>
      <c r="E37" s="190">
        <f>'27 Calculations'!H72</f>
        <v>18.319735243438064</v>
      </c>
      <c r="F37" s="190">
        <f>'Published Ratio Reconciliation'!F46</f>
        <v>17.5990507853185</v>
      </c>
      <c r="G37" s="177" t="str">
        <f t="shared" si="0"/>
        <v>Numeric reproduction</v>
      </c>
      <c r="H37" s="184" t="s">
        <v>50</v>
      </c>
      <c r="I37" s="184" t="s">
        <v>9140</v>
      </c>
      <c r="J37" s="184" t="s">
        <v>23</v>
      </c>
      <c r="K37" s="184" t="s">
        <v>22</v>
      </c>
      <c r="L37" s="177">
        <v>2</v>
      </c>
      <c r="M37" s="177">
        <v>46</v>
      </c>
    </row>
    <row r="38" spans="1:13" ht="120" customHeight="1" x14ac:dyDescent="0.3">
      <c r="A38" s="180" t="s">
        <v>18</v>
      </c>
      <c r="B38" s="180">
        <v>2023</v>
      </c>
      <c r="C38" s="180" t="s">
        <v>49</v>
      </c>
      <c r="D38" s="189">
        <f>'Published Ratio Reconciliation'!D47</f>
        <v>15.14</v>
      </c>
      <c r="E38" s="189">
        <f>'27 Calculations'!H73</f>
        <v>16.315812571917526</v>
      </c>
      <c r="F38" s="189">
        <f>'Published Ratio Reconciliation'!F47</f>
        <v>15.14185859445495</v>
      </c>
      <c r="G38" s="180" t="str">
        <f t="shared" si="0"/>
        <v>Numeric reproduction</v>
      </c>
      <c r="H38" s="183" t="s">
        <v>50</v>
      </c>
      <c r="I38" s="183" t="s">
        <v>9140</v>
      </c>
      <c r="J38" s="183" t="s">
        <v>23</v>
      </c>
      <c r="K38" s="183" t="s">
        <v>22</v>
      </c>
      <c r="L38" s="180">
        <v>2</v>
      </c>
      <c r="M38" s="180">
        <v>47</v>
      </c>
    </row>
    <row r="39" spans="1:13" ht="120" customHeight="1" x14ac:dyDescent="0.3">
      <c r="A39" s="177" t="s">
        <v>18</v>
      </c>
      <c r="B39" s="177">
        <v>2024</v>
      </c>
      <c r="C39" s="177" t="s">
        <v>49</v>
      </c>
      <c r="D39" s="190">
        <f>'Published Ratio Reconciliation'!D48</f>
        <v>21.34</v>
      </c>
      <c r="E39" s="190">
        <f>'27 Calculations'!H74</f>
        <v>22.319441864662931</v>
      </c>
      <c r="F39" s="190">
        <f>'Published Ratio Reconciliation'!F48</f>
        <v>21.337577009577238</v>
      </c>
      <c r="G39" s="177" t="str">
        <f t="shared" si="0"/>
        <v>Numeric reproduction</v>
      </c>
      <c r="H39" s="184" t="s">
        <v>50</v>
      </c>
      <c r="I39" s="184" t="s">
        <v>9140</v>
      </c>
      <c r="J39" s="184" t="s">
        <v>23</v>
      </c>
      <c r="K39" s="184" t="s">
        <v>22</v>
      </c>
      <c r="L39" s="177">
        <v>2</v>
      </c>
      <c r="M39" s="177">
        <v>48</v>
      </c>
    </row>
    <row r="40" spans="1:13" ht="120" customHeight="1" x14ac:dyDescent="0.3">
      <c r="A40" s="180" t="s">
        <v>18</v>
      </c>
      <c r="B40" s="180">
        <v>2025</v>
      </c>
      <c r="C40" s="180" t="s">
        <v>49</v>
      </c>
      <c r="D40" s="189">
        <f>'Published Ratio Reconciliation'!D49</f>
        <v>51.72</v>
      </c>
      <c r="E40" s="189">
        <f>'27 Calculations'!H75</f>
        <v>58.956241100348862</v>
      </c>
      <c r="F40" s="189">
        <f>'Published Ratio Reconciliation'!F49</f>
        <v>51.718147817456376</v>
      </c>
      <c r="G40" s="180" t="str">
        <f t="shared" si="0"/>
        <v>Numeric reproduction</v>
      </c>
      <c r="H40" s="183" t="s">
        <v>50</v>
      </c>
      <c r="I40" s="183" t="s">
        <v>9140</v>
      </c>
      <c r="J40" s="183" t="s">
        <v>23</v>
      </c>
      <c r="K40" s="183" t="s">
        <v>22</v>
      </c>
      <c r="L40" s="180">
        <v>2</v>
      </c>
      <c r="M40" s="180">
        <v>49</v>
      </c>
    </row>
    <row r="41" spans="1:13" ht="120" customHeight="1" x14ac:dyDescent="0.3">
      <c r="A41" s="177" t="s">
        <v>18</v>
      </c>
      <c r="B41" s="177">
        <v>2021</v>
      </c>
      <c r="C41" s="177" t="s">
        <v>51</v>
      </c>
      <c r="D41" s="190">
        <f>'Published Ratio Reconciliation'!D50</f>
        <v>0.248</v>
      </c>
      <c r="E41" s="190">
        <f>'27 Calculations'!H76</f>
        <v>0.24796341300828931</v>
      </c>
      <c r="F41" s="190">
        <f>'Published Ratio Reconciliation'!F50</f>
        <v>0.24796341300828931</v>
      </c>
      <c r="G41" s="177" t="str">
        <f t="shared" si="0"/>
        <v>Numeric reproduction</v>
      </c>
      <c r="H41" s="184" t="s">
        <v>21</v>
      </c>
      <c r="I41" s="184" t="s">
        <v>9140</v>
      </c>
      <c r="J41" s="184" t="s">
        <v>23</v>
      </c>
      <c r="K41" s="184" t="s">
        <v>22</v>
      </c>
      <c r="L41" s="177">
        <v>4</v>
      </c>
      <c r="M41" s="177">
        <v>50</v>
      </c>
    </row>
    <row r="42" spans="1:13" ht="120" customHeight="1" x14ac:dyDescent="0.3">
      <c r="A42" s="180" t="s">
        <v>18</v>
      </c>
      <c r="B42" s="180">
        <v>2022</v>
      </c>
      <c r="C42" s="180" t="s">
        <v>51</v>
      </c>
      <c r="D42" s="189">
        <f>'Published Ratio Reconciliation'!D51</f>
        <v>0.2984</v>
      </c>
      <c r="E42" s="189">
        <f>'27 Calculations'!H77</f>
        <v>0.29843914213509881</v>
      </c>
      <c r="F42" s="189">
        <f>'Published Ratio Reconciliation'!F51</f>
        <v>0.29843914213509881</v>
      </c>
      <c r="G42" s="180" t="str">
        <f t="shared" si="0"/>
        <v>Numeric reproduction</v>
      </c>
      <c r="H42" s="183" t="s">
        <v>21</v>
      </c>
      <c r="I42" s="183" t="s">
        <v>9140</v>
      </c>
      <c r="J42" s="183" t="s">
        <v>23</v>
      </c>
      <c r="K42" s="183" t="s">
        <v>22</v>
      </c>
      <c r="L42" s="180">
        <v>4</v>
      </c>
      <c r="M42" s="180">
        <v>51</v>
      </c>
    </row>
    <row r="43" spans="1:13" ht="120" customHeight="1" x14ac:dyDescent="0.3">
      <c r="A43" s="177" t="s">
        <v>18</v>
      </c>
      <c r="B43" s="177">
        <v>2023</v>
      </c>
      <c r="C43" s="177" t="s">
        <v>51</v>
      </c>
      <c r="D43" s="190">
        <f>'Published Ratio Reconciliation'!D52</f>
        <v>0.26800000000000002</v>
      </c>
      <c r="E43" s="190">
        <f>'27 Calculations'!H78</f>
        <v>0.26804356818989611</v>
      </c>
      <c r="F43" s="190">
        <f>'Published Ratio Reconciliation'!F52</f>
        <v>0.26804356818989611</v>
      </c>
      <c r="G43" s="177" t="str">
        <f t="shared" si="0"/>
        <v>Numeric reproduction</v>
      </c>
      <c r="H43" s="184" t="s">
        <v>21</v>
      </c>
      <c r="I43" s="184" t="s">
        <v>9140</v>
      </c>
      <c r="J43" s="184" t="s">
        <v>23</v>
      </c>
      <c r="K43" s="184" t="s">
        <v>22</v>
      </c>
      <c r="L43" s="177">
        <v>4</v>
      </c>
      <c r="M43" s="177">
        <v>52</v>
      </c>
    </row>
    <row r="44" spans="1:13" ht="120" customHeight="1" x14ac:dyDescent="0.3">
      <c r="A44" s="180" t="s">
        <v>18</v>
      </c>
      <c r="B44" s="180">
        <v>2024</v>
      </c>
      <c r="C44" s="180" t="s">
        <v>51</v>
      </c>
      <c r="D44" s="189">
        <f>'Published Ratio Reconciliation'!D53</f>
        <v>0.2913</v>
      </c>
      <c r="E44" s="189">
        <f>'27 Calculations'!H79</f>
        <v>0.29125851467425595</v>
      </c>
      <c r="F44" s="189">
        <f>'Published Ratio Reconciliation'!F53</f>
        <v>0.29125851467425595</v>
      </c>
      <c r="G44" s="180" t="str">
        <f t="shared" si="0"/>
        <v>Numeric reproduction</v>
      </c>
      <c r="H44" s="183" t="s">
        <v>21</v>
      </c>
      <c r="I44" s="183" t="s">
        <v>9140</v>
      </c>
      <c r="J44" s="183" t="s">
        <v>23</v>
      </c>
      <c r="K44" s="183" t="s">
        <v>22</v>
      </c>
      <c r="L44" s="180">
        <v>4</v>
      </c>
      <c r="M44" s="180">
        <v>53</v>
      </c>
    </row>
    <row r="45" spans="1:13" ht="120" customHeight="1" x14ac:dyDescent="0.3">
      <c r="A45" s="177" t="s">
        <v>18</v>
      </c>
      <c r="B45" s="177">
        <v>2025</v>
      </c>
      <c r="C45" s="177" t="s">
        <v>51</v>
      </c>
      <c r="D45" s="190">
        <f>'Published Ratio Reconciliation'!D54</f>
        <v>0.39219999999999999</v>
      </c>
      <c r="E45" s="190">
        <f>'27 Calculations'!H80</f>
        <v>0.39220278175445145</v>
      </c>
      <c r="F45" s="190">
        <f>'Published Ratio Reconciliation'!F54</f>
        <v>0.39220278175445145</v>
      </c>
      <c r="G45" s="177" t="str">
        <f t="shared" si="0"/>
        <v>Numeric reproduction</v>
      </c>
      <c r="H45" s="184" t="s">
        <v>21</v>
      </c>
      <c r="I45" s="184" t="s">
        <v>9140</v>
      </c>
      <c r="J45" s="184" t="s">
        <v>23</v>
      </c>
      <c r="K45" s="184" t="s">
        <v>22</v>
      </c>
      <c r="L45" s="177">
        <v>4</v>
      </c>
      <c r="M45" s="177">
        <v>54</v>
      </c>
    </row>
    <row r="46" spans="1:13" ht="120" customHeight="1" x14ac:dyDescent="0.3">
      <c r="A46" s="180" t="s">
        <v>18</v>
      </c>
      <c r="B46" s="180">
        <v>2021</v>
      </c>
      <c r="C46" s="180" t="s">
        <v>52</v>
      </c>
      <c r="D46" s="189">
        <f>'Published Ratio Reconciliation'!D55</f>
        <v>0.1454</v>
      </c>
      <c r="E46" s="189">
        <f>'27 Calculations'!H86</f>
        <v>0.1453819089897026</v>
      </c>
      <c r="F46" s="189">
        <f>'Published Ratio Reconciliation'!F55</f>
        <v>0.1453819089897026</v>
      </c>
      <c r="G46" s="180" t="str">
        <f t="shared" si="0"/>
        <v>Numeric reproduction</v>
      </c>
      <c r="H46" s="183" t="s">
        <v>21</v>
      </c>
      <c r="I46" s="183" t="s">
        <v>9140</v>
      </c>
      <c r="J46" s="183" t="s">
        <v>23</v>
      </c>
      <c r="K46" s="183" t="s">
        <v>22</v>
      </c>
      <c r="L46" s="180">
        <v>4</v>
      </c>
      <c r="M46" s="180">
        <v>55</v>
      </c>
    </row>
    <row r="47" spans="1:13" ht="120" customHeight="1" x14ac:dyDescent="0.3">
      <c r="A47" s="177" t="s">
        <v>18</v>
      </c>
      <c r="B47" s="177">
        <v>2022</v>
      </c>
      <c r="C47" s="177" t="s">
        <v>52</v>
      </c>
      <c r="D47" s="190">
        <f>'Published Ratio Reconciliation'!D56</f>
        <v>0.15279999999999999</v>
      </c>
      <c r="E47" s="190">
        <f>'27 Calculations'!H87</f>
        <v>0.15282075695786385</v>
      </c>
      <c r="F47" s="190">
        <f>'Published Ratio Reconciliation'!F56</f>
        <v>0.15282075695786385</v>
      </c>
      <c r="G47" s="177" t="str">
        <f t="shared" si="0"/>
        <v>Numeric reproduction</v>
      </c>
      <c r="H47" s="184" t="s">
        <v>21</v>
      </c>
      <c r="I47" s="184" t="s">
        <v>9140</v>
      </c>
      <c r="J47" s="184" t="s">
        <v>23</v>
      </c>
      <c r="K47" s="184" t="s">
        <v>22</v>
      </c>
      <c r="L47" s="177">
        <v>4</v>
      </c>
      <c r="M47" s="177">
        <v>56</v>
      </c>
    </row>
    <row r="48" spans="1:13" ht="120" customHeight="1" x14ac:dyDescent="0.3">
      <c r="A48" s="180" t="s">
        <v>18</v>
      </c>
      <c r="B48" s="180">
        <v>2023</v>
      </c>
      <c r="C48" s="180" t="s">
        <v>52</v>
      </c>
      <c r="D48" s="189">
        <f>'Published Ratio Reconciliation'!D57</f>
        <v>0.14960000000000001</v>
      </c>
      <c r="E48" s="189">
        <f>'27 Calculations'!H88</f>
        <v>0.14955052871384544</v>
      </c>
      <c r="F48" s="189">
        <f>'Published Ratio Reconciliation'!F57</f>
        <v>0.14955052871384544</v>
      </c>
      <c r="G48" s="180" t="str">
        <f t="shared" si="0"/>
        <v>Numeric reproduction</v>
      </c>
      <c r="H48" s="183" t="s">
        <v>21</v>
      </c>
      <c r="I48" s="183" t="s">
        <v>9140</v>
      </c>
      <c r="J48" s="183" t="s">
        <v>23</v>
      </c>
      <c r="K48" s="183" t="s">
        <v>22</v>
      </c>
      <c r="L48" s="180">
        <v>4</v>
      </c>
      <c r="M48" s="180">
        <v>57</v>
      </c>
    </row>
    <row r="49" spans="1:13" ht="120" customHeight="1" x14ac:dyDescent="0.3">
      <c r="A49" s="177" t="s">
        <v>18</v>
      </c>
      <c r="B49" s="177">
        <v>2024</v>
      </c>
      <c r="C49" s="177" t="s">
        <v>52</v>
      </c>
      <c r="D49" s="190">
        <f>'Published Ratio Reconciliation'!D58</f>
        <v>0.2301</v>
      </c>
      <c r="E49" s="190">
        <f>'27 Calculations'!H89</f>
        <v>0.23011561219895646</v>
      </c>
      <c r="F49" s="190">
        <f>'Published Ratio Reconciliation'!F58</f>
        <v>0.23011561219895646</v>
      </c>
      <c r="G49" s="177" t="str">
        <f t="shared" si="0"/>
        <v>Numeric reproduction</v>
      </c>
      <c r="H49" s="184" t="s">
        <v>21</v>
      </c>
      <c r="I49" s="184" t="s">
        <v>9140</v>
      </c>
      <c r="J49" s="184" t="s">
        <v>23</v>
      </c>
      <c r="K49" s="184" t="s">
        <v>22</v>
      </c>
      <c r="L49" s="177">
        <v>4</v>
      </c>
      <c r="M49" s="177">
        <v>58</v>
      </c>
    </row>
    <row r="50" spans="1:13" ht="120" customHeight="1" x14ac:dyDescent="0.3">
      <c r="A50" s="180" t="s">
        <v>18</v>
      </c>
      <c r="B50" s="180">
        <v>2025</v>
      </c>
      <c r="C50" s="180" t="s">
        <v>52</v>
      </c>
      <c r="D50" s="189">
        <f>'Published Ratio Reconciliation'!D59</f>
        <v>0.30840000000000001</v>
      </c>
      <c r="E50" s="189">
        <f>'27 Calculations'!H90</f>
        <v>0.30837719707594857</v>
      </c>
      <c r="F50" s="189">
        <f>'Published Ratio Reconciliation'!F59</f>
        <v>0.30837719707594857</v>
      </c>
      <c r="G50" s="180" t="str">
        <f t="shared" si="0"/>
        <v>Numeric reproduction</v>
      </c>
      <c r="H50" s="183" t="s">
        <v>21</v>
      </c>
      <c r="I50" s="183" t="s">
        <v>9140</v>
      </c>
      <c r="J50" s="183" t="s">
        <v>23</v>
      </c>
      <c r="K50" s="183" t="s">
        <v>22</v>
      </c>
      <c r="L50" s="180">
        <v>4</v>
      </c>
      <c r="M50" s="180">
        <v>59</v>
      </c>
    </row>
    <row r="51" spans="1:13" ht="120" customHeight="1" x14ac:dyDescent="0.3">
      <c r="A51" s="177" t="s">
        <v>18</v>
      </c>
      <c r="B51" s="177">
        <v>2021</v>
      </c>
      <c r="C51" s="177" t="s">
        <v>53</v>
      </c>
      <c r="D51" s="190">
        <f>'Published Ratio Reconciliation'!D60</f>
        <v>0.15740000000000001</v>
      </c>
      <c r="E51" s="190">
        <f>'27 Calculations'!H96</f>
        <v>0.15737849802466555</v>
      </c>
      <c r="F51" s="190">
        <f>'Published Ratio Reconciliation'!F60</f>
        <v>0.15737849802466555</v>
      </c>
      <c r="G51" s="177" t="str">
        <f t="shared" si="0"/>
        <v>Numeric reproduction</v>
      </c>
      <c r="H51" s="184" t="s">
        <v>54</v>
      </c>
      <c r="I51" s="184" t="s">
        <v>9140</v>
      </c>
      <c r="J51" s="184" t="s">
        <v>23</v>
      </c>
      <c r="K51" s="184" t="s">
        <v>22</v>
      </c>
      <c r="L51" s="177">
        <v>4</v>
      </c>
      <c r="M51" s="177">
        <v>60</v>
      </c>
    </row>
    <row r="52" spans="1:13" ht="120" customHeight="1" x14ac:dyDescent="0.3">
      <c r="A52" s="180" t="s">
        <v>18</v>
      </c>
      <c r="B52" s="180">
        <v>2022</v>
      </c>
      <c r="C52" s="180" t="s">
        <v>53</v>
      </c>
      <c r="D52" s="189">
        <f>'Published Ratio Reconciliation'!D61</f>
        <v>0.18440000000000001</v>
      </c>
      <c r="E52" s="189">
        <f>'27 Calculations'!H97</f>
        <v>0.18440283523376622</v>
      </c>
      <c r="F52" s="189">
        <f>'Published Ratio Reconciliation'!F61</f>
        <v>0.18440283523376622</v>
      </c>
      <c r="G52" s="180" t="str">
        <f t="shared" si="0"/>
        <v>Numeric reproduction</v>
      </c>
      <c r="H52" s="183" t="s">
        <v>54</v>
      </c>
      <c r="I52" s="183" t="s">
        <v>9140</v>
      </c>
      <c r="J52" s="183" t="s">
        <v>23</v>
      </c>
      <c r="K52" s="183" t="s">
        <v>22</v>
      </c>
      <c r="L52" s="180">
        <v>4</v>
      </c>
      <c r="M52" s="180">
        <v>61</v>
      </c>
    </row>
    <row r="53" spans="1:13" ht="120" customHeight="1" x14ac:dyDescent="0.3">
      <c r="A53" s="177" t="s">
        <v>18</v>
      </c>
      <c r="B53" s="177">
        <v>2023</v>
      </c>
      <c r="C53" s="177" t="s">
        <v>53</v>
      </c>
      <c r="D53" s="190">
        <f>'Published Ratio Reconciliation'!D62</f>
        <v>0.17849999999999999</v>
      </c>
      <c r="E53" s="190">
        <f>'27 Calculations'!H98</f>
        <v>0.17849564911664104</v>
      </c>
      <c r="F53" s="190">
        <f>'Published Ratio Reconciliation'!F62</f>
        <v>0.17849564911664104</v>
      </c>
      <c r="G53" s="177" t="str">
        <f t="shared" si="0"/>
        <v>Numeric reproduction</v>
      </c>
      <c r="H53" s="184" t="s">
        <v>54</v>
      </c>
      <c r="I53" s="184" t="s">
        <v>9140</v>
      </c>
      <c r="J53" s="184" t="s">
        <v>23</v>
      </c>
      <c r="K53" s="184" t="s">
        <v>22</v>
      </c>
      <c r="L53" s="177">
        <v>4</v>
      </c>
      <c r="M53" s="177">
        <v>62</v>
      </c>
    </row>
    <row r="54" spans="1:13" ht="120" customHeight="1" x14ac:dyDescent="0.3">
      <c r="A54" s="180" t="s">
        <v>18</v>
      </c>
      <c r="B54" s="180">
        <v>2024</v>
      </c>
      <c r="C54" s="180" t="s">
        <v>53</v>
      </c>
      <c r="D54" s="189">
        <f>'Published Ratio Reconciliation'!D63</f>
        <v>0.21640000000000001</v>
      </c>
      <c r="E54" s="189">
        <f>'27 Calculations'!H99</f>
        <v>0.21643681457260755</v>
      </c>
      <c r="F54" s="189">
        <f>'Published Ratio Reconciliation'!F63</f>
        <v>0.21643681457260755</v>
      </c>
      <c r="G54" s="180" t="str">
        <f t="shared" si="0"/>
        <v>Numeric reproduction</v>
      </c>
      <c r="H54" s="183" t="s">
        <v>54</v>
      </c>
      <c r="I54" s="183" t="s">
        <v>9140</v>
      </c>
      <c r="J54" s="183" t="s">
        <v>23</v>
      </c>
      <c r="K54" s="183" t="s">
        <v>22</v>
      </c>
      <c r="L54" s="180">
        <v>4</v>
      </c>
      <c r="M54" s="180">
        <v>63</v>
      </c>
    </row>
    <row r="55" spans="1:13" ht="120" customHeight="1" x14ac:dyDescent="0.3">
      <c r="A55" s="177" t="s">
        <v>18</v>
      </c>
      <c r="B55" s="177">
        <v>2025</v>
      </c>
      <c r="C55" s="177" t="s">
        <v>53</v>
      </c>
      <c r="D55" s="190">
        <f>'Published Ratio Reconciliation'!D64</f>
        <v>0.2414</v>
      </c>
      <c r="E55" s="190">
        <f>'27 Calculations'!H100</f>
        <v>0.24137435208870983</v>
      </c>
      <c r="F55" s="190">
        <f>'Published Ratio Reconciliation'!F64</f>
        <v>0.24137435208870983</v>
      </c>
      <c r="G55" s="177" t="str">
        <f t="shared" si="0"/>
        <v>Numeric reproduction</v>
      </c>
      <c r="H55" s="184" t="s">
        <v>54</v>
      </c>
      <c r="I55" s="184" t="s">
        <v>9140</v>
      </c>
      <c r="J55" s="184" t="s">
        <v>23</v>
      </c>
      <c r="K55" s="184" t="s">
        <v>22</v>
      </c>
      <c r="L55" s="177">
        <v>4</v>
      </c>
      <c r="M55" s="177">
        <v>64</v>
      </c>
    </row>
    <row r="56" spans="1:13" ht="120" customHeight="1" x14ac:dyDescent="0.3">
      <c r="A56" s="180" t="s">
        <v>18</v>
      </c>
      <c r="B56" s="180">
        <v>2021</v>
      </c>
      <c r="C56" s="180" t="s">
        <v>55</v>
      </c>
      <c r="D56" s="189">
        <f>'Published Ratio Reconciliation'!D65</f>
        <v>11.86</v>
      </c>
      <c r="E56" s="189">
        <f>'27 Calculations'!H121</f>
        <v>11.858688571154802</v>
      </c>
      <c r="F56" s="189">
        <f>'Published Ratio Reconciliation'!F65</f>
        <v>11.859262869598847</v>
      </c>
      <c r="G56" s="180" t="str">
        <f t="shared" si="0"/>
        <v>Numeric reproduction</v>
      </c>
      <c r="H56" s="183" t="s">
        <v>56</v>
      </c>
      <c r="I56" s="183" t="s">
        <v>9140</v>
      </c>
      <c r="J56" s="183" t="s">
        <v>23</v>
      </c>
      <c r="K56" s="183" t="s">
        <v>22</v>
      </c>
      <c r="L56" s="180">
        <v>2</v>
      </c>
      <c r="M56" s="180">
        <v>65</v>
      </c>
    </row>
    <row r="57" spans="1:13" ht="120" customHeight="1" x14ac:dyDescent="0.3">
      <c r="A57" s="177" t="s">
        <v>18</v>
      </c>
      <c r="B57" s="177">
        <v>2022</v>
      </c>
      <c r="C57" s="177" t="s">
        <v>55</v>
      </c>
      <c r="D57" s="190">
        <f>'Published Ratio Reconciliation'!D66</f>
        <v>5.2</v>
      </c>
      <c r="E57" s="190">
        <f>'27 Calculations'!H122</f>
        <v>5.2023532179731546</v>
      </c>
      <c r="F57" s="190">
        <f>'Published Ratio Reconciliation'!F66</f>
        <v>5.2031527804442179</v>
      </c>
      <c r="G57" s="177" t="str">
        <f t="shared" si="0"/>
        <v>Numeric reproduction</v>
      </c>
      <c r="H57" s="184" t="s">
        <v>56</v>
      </c>
      <c r="I57" s="184" t="s">
        <v>9140</v>
      </c>
      <c r="J57" s="184" t="s">
        <v>23</v>
      </c>
      <c r="K57" s="184" t="s">
        <v>22</v>
      </c>
      <c r="L57" s="177">
        <v>2</v>
      </c>
      <c r="M57" s="177">
        <v>66</v>
      </c>
    </row>
    <row r="58" spans="1:13" ht="120" customHeight="1" x14ac:dyDescent="0.3">
      <c r="A58" s="180" t="s">
        <v>18</v>
      </c>
      <c r="B58" s="180">
        <v>2023</v>
      </c>
      <c r="C58" s="180" t="s">
        <v>55</v>
      </c>
      <c r="D58" s="189">
        <f>'Published Ratio Reconciliation'!D67</f>
        <v>5.99</v>
      </c>
      <c r="E58" s="189">
        <f>'27 Calculations'!H123</f>
        <v>5.9860674889907219</v>
      </c>
      <c r="F58" s="189">
        <f>'Published Ratio Reconciliation'!F67</f>
        <v>5.9853773330572464</v>
      </c>
      <c r="G58" s="180" t="str">
        <f t="shared" si="0"/>
        <v>Numeric reproduction</v>
      </c>
      <c r="H58" s="183" t="s">
        <v>56</v>
      </c>
      <c r="I58" s="183" t="s">
        <v>9140</v>
      </c>
      <c r="J58" s="183" t="s">
        <v>23</v>
      </c>
      <c r="K58" s="183" t="s">
        <v>22</v>
      </c>
      <c r="L58" s="180">
        <v>2</v>
      </c>
      <c r="M58" s="180">
        <v>67</v>
      </c>
    </row>
    <row r="59" spans="1:13" ht="120" customHeight="1" x14ac:dyDescent="0.3">
      <c r="A59" s="177" t="s">
        <v>18</v>
      </c>
      <c r="B59" s="177">
        <v>2024</v>
      </c>
      <c r="C59" s="177" t="s">
        <v>55</v>
      </c>
      <c r="D59" s="190">
        <f>'Published Ratio Reconciliation'!D68</f>
        <v>5.41</v>
      </c>
      <c r="E59" s="190">
        <f>'27 Calculations'!H124</f>
        <v>5.5313975285193058</v>
      </c>
      <c r="F59" s="190">
        <f>'Published Ratio Reconciliation'!F68</f>
        <v>5.4114618635436242</v>
      </c>
      <c r="G59" s="177" t="str">
        <f t="shared" si="0"/>
        <v>Numeric reproduction</v>
      </c>
      <c r="H59" s="184" t="s">
        <v>56</v>
      </c>
      <c r="I59" s="184" t="s">
        <v>9140</v>
      </c>
      <c r="J59" s="184" t="s">
        <v>23</v>
      </c>
      <c r="K59" s="184" t="s">
        <v>22</v>
      </c>
      <c r="L59" s="177">
        <v>2</v>
      </c>
      <c r="M59" s="177">
        <v>68</v>
      </c>
    </row>
    <row r="60" spans="1:13" ht="120" customHeight="1" x14ac:dyDescent="0.3">
      <c r="A60" s="180" t="s">
        <v>18</v>
      </c>
      <c r="B60" s="180">
        <v>2025</v>
      </c>
      <c r="C60" s="180" t="s">
        <v>55</v>
      </c>
      <c r="D60" s="189">
        <f>'Published Ratio Reconciliation'!D69</f>
        <v>6.32</v>
      </c>
      <c r="E60" s="189">
        <f>'27 Calculations'!H125</f>
        <v>6.3393545313613817</v>
      </c>
      <c r="F60" s="189">
        <f>'Published Ratio Reconciliation'!F69</f>
        <v>6.3224767686118168</v>
      </c>
      <c r="G60" s="180" t="str">
        <f t="shared" si="0"/>
        <v>Numeric reproduction</v>
      </c>
      <c r="H60" s="183" t="s">
        <v>56</v>
      </c>
      <c r="I60" s="183" t="s">
        <v>9140</v>
      </c>
      <c r="J60" s="183" t="s">
        <v>23</v>
      </c>
      <c r="K60" s="183" t="s">
        <v>22</v>
      </c>
      <c r="L60" s="180">
        <v>2</v>
      </c>
      <c r="M60" s="180">
        <v>69</v>
      </c>
    </row>
    <row r="61" spans="1:13" ht="120" customHeight="1" x14ac:dyDescent="0.3">
      <c r="A61" s="177" t="s">
        <v>18</v>
      </c>
      <c r="B61" s="177">
        <v>2021</v>
      </c>
      <c r="C61" s="177" t="s">
        <v>58</v>
      </c>
      <c r="D61" s="190">
        <f>'Published Ratio Reconciliation'!D70</f>
        <v>0.23</v>
      </c>
      <c r="E61" s="190">
        <f>'27 Calculations'!H126</f>
        <v>1.8663025958706099</v>
      </c>
      <c r="F61" s="190">
        <f>'Forensic Tests'!I10</f>
        <v>0.22992036060675086</v>
      </c>
      <c r="G61" s="177" t="str">
        <f t="shared" si="0"/>
        <v>Numeric reproduction</v>
      </c>
      <c r="H61" s="184" t="s">
        <v>5737</v>
      </c>
      <c r="I61" s="184" t="s">
        <v>5702</v>
      </c>
      <c r="J61" s="184" t="s">
        <v>23</v>
      </c>
      <c r="K61" s="184" t="s">
        <v>5739</v>
      </c>
      <c r="L61" s="177">
        <v>2</v>
      </c>
      <c r="M61" s="177">
        <v>70</v>
      </c>
    </row>
    <row r="62" spans="1:13" ht="120" customHeight="1" x14ac:dyDescent="0.3">
      <c r="A62" s="180" t="s">
        <v>18</v>
      </c>
      <c r="B62" s="180">
        <v>2022</v>
      </c>
      <c r="C62" s="180" t="s">
        <v>58</v>
      </c>
      <c r="D62" s="189">
        <f>'Published Ratio Reconciliation'!D71</f>
        <v>0.12</v>
      </c>
      <c r="E62" s="189">
        <f>'27 Calculations'!H127</f>
        <v>0.95932868328175702</v>
      </c>
      <c r="F62" s="189">
        <f>'Forensic Tests'!I15</f>
        <v>0.12061510572769306</v>
      </c>
      <c r="G62" s="180" t="str">
        <f t="shared" si="0"/>
        <v>Numeric reproduction</v>
      </c>
      <c r="H62" s="183" t="s">
        <v>5737</v>
      </c>
      <c r="I62" s="183" t="s">
        <v>5702</v>
      </c>
      <c r="J62" s="183" t="s">
        <v>23</v>
      </c>
      <c r="K62" s="183" t="s">
        <v>5739</v>
      </c>
      <c r="L62" s="180">
        <v>2</v>
      </c>
      <c r="M62" s="180">
        <v>71</v>
      </c>
    </row>
    <row r="63" spans="1:13" ht="120" customHeight="1" x14ac:dyDescent="0.3">
      <c r="A63" s="177" t="s">
        <v>18</v>
      </c>
      <c r="B63" s="177">
        <v>2023</v>
      </c>
      <c r="C63" s="177" t="s">
        <v>58</v>
      </c>
      <c r="D63" s="190">
        <f>'Published Ratio Reconciliation'!D72</f>
        <v>0.14000000000000001</v>
      </c>
      <c r="E63" s="190">
        <f>'27 Calculations'!H128</f>
        <v>1.0684870021034203</v>
      </c>
      <c r="F63" s="190">
        <f>'Forensic Tests'!I20</f>
        <v>0.14068419779578675</v>
      </c>
      <c r="G63" s="177" t="str">
        <f t="shared" si="0"/>
        <v>Numeric reproduction</v>
      </c>
      <c r="H63" s="184" t="s">
        <v>5737</v>
      </c>
      <c r="I63" s="184" t="s">
        <v>5702</v>
      </c>
      <c r="J63" s="184" t="s">
        <v>23</v>
      </c>
      <c r="K63" s="184" t="s">
        <v>5739</v>
      </c>
      <c r="L63" s="177">
        <v>2</v>
      </c>
      <c r="M63" s="177">
        <v>72</v>
      </c>
    </row>
    <row r="64" spans="1:13" ht="120" customHeight="1" x14ac:dyDescent="0.3">
      <c r="A64" s="180" t="s">
        <v>18</v>
      </c>
      <c r="B64" s="180">
        <v>2024</v>
      </c>
      <c r="C64" s="180" t="s">
        <v>58</v>
      </c>
      <c r="D64" s="189">
        <f>'Published Ratio Reconciliation'!D73</f>
        <v>0.82</v>
      </c>
      <c r="E64" s="189">
        <f>'27 Calculations'!H129</f>
        <v>1.1937011482475723</v>
      </c>
      <c r="F64" s="189">
        <f>'Forensic Tests'!I24</f>
        <v>0.81788429631517356</v>
      </c>
      <c r="G64" s="180" t="str">
        <f t="shared" si="0"/>
        <v>Numeric reproduction</v>
      </c>
      <c r="H64" s="183" t="s">
        <v>5752</v>
      </c>
      <c r="I64" s="183" t="s">
        <v>5702</v>
      </c>
      <c r="J64" s="183" t="s">
        <v>23</v>
      </c>
      <c r="K64" s="183" t="s">
        <v>5739</v>
      </c>
      <c r="L64" s="180">
        <v>2</v>
      </c>
      <c r="M64" s="180">
        <v>73</v>
      </c>
    </row>
    <row r="65" spans="1:13" ht="120" customHeight="1" x14ac:dyDescent="0.3">
      <c r="A65" s="177" t="s">
        <v>18</v>
      </c>
      <c r="B65" s="177">
        <v>2025</v>
      </c>
      <c r="C65" s="177" t="s">
        <v>58</v>
      </c>
      <c r="D65" s="190">
        <f>'Published Ratio Reconciliation'!D74</f>
        <v>1.1000000000000001</v>
      </c>
      <c r="E65" s="190">
        <f>'27 Calculations'!H130</f>
        <v>1.4544747850514033</v>
      </c>
      <c r="F65" s="190">
        <f>'Forensic Tests'!I29</f>
        <v>1.0956610729127918</v>
      </c>
      <c r="G65" s="177" t="str">
        <f t="shared" si="0"/>
        <v>Numeric reproduction</v>
      </c>
      <c r="H65" s="184" t="s">
        <v>5752</v>
      </c>
      <c r="I65" s="184" t="s">
        <v>5702</v>
      </c>
      <c r="J65" s="184" t="s">
        <v>23</v>
      </c>
      <c r="K65" s="184" t="s">
        <v>5739</v>
      </c>
      <c r="L65" s="177">
        <v>2</v>
      </c>
      <c r="M65" s="177">
        <v>74</v>
      </c>
    </row>
    <row r="66" spans="1:13" ht="120" customHeight="1" x14ac:dyDescent="0.3">
      <c r="A66" s="180" t="s">
        <v>18</v>
      </c>
      <c r="B66" s="180">
        <v>2021</v>
      </c>
      <c r="C66" s="180" t="s">
        <v>64</v>
      </c>
      <c r="D66" s="189">
        <f>'Published Ratio Reconciliation'!D75</f>
        <v>0.21</v>
      </c>
      <c r="E66" s="189">
        <f>'27 Calculations'!H66</f>
        <v>0.21400284667161887</v>
      </c>
      <c r="F66" s="189">
        <f>'Published Ratio Reconciliation'!F75</f>
        <v>0.21400284667161887</v>
      </c>
      <c r="G66" s="180" t="str">
        <f t="shared" si="0"/>
        <v>Numeric reproduction</v>
      </c>
      <c r="H66" s="183" t="s">
        <v>65</v>
      </c>
      <c r="I66" s="183" t="s">
        <v>9140</v>
      </c>
      <c r="J66" s="183" t="s">
        <v>23</v>
      </c>
      <c r="K66" s="183" t="s">
        <v>66</v>
      </c>
      <c r="L66" s="180">
        <v>2</v>
      </c>
      <c r="M66" s="180">
        <v>75</v>
      </c>
    </row>
    <row r="67" spans="1:13" ht="120" customHeight="1" x14ac:dyDescent="0.3">
      <c r="A67" s="177" t="s">
        <v>18</v>
      </c>
      <c r="B67" s="177">
        <v>2022</v>
      </c>
      <c r="C67" s="177" t="s">
        <v>64</v>
      </c>
      <c r="D67" s="190">
        <f>'Published Ratio Reconciliation'!D76</f>
        <v>0.13</v>
      </c>
      <c r="E67" s="190">
        <f>'27 Calculations'!H67</f>
        <v>0.13497287275854264</v>
      </c>
      <c r="F67" s="190">
        <f>'Published Ratio Reconciliation'!F76</f>
        <v>0.13497287275854264</v>
      </c>
      <c r="G67" s="177" t="str">
        <f t="shared" si="0"/>
        <v>Numeric reproduction</v>
      </c>
      <c r="H67" s="184" t="s">
        <v>65</v>
      </c>
      <c r="I67" s="184" t="s">
        <v>9140</v>
      </c>
      <c r="J67" s="184" t="s">
        <v>23</v>
      </c>
      <c r="K67" s="184" t="s">
        <v>66</v>
      </c>
      <c r="L67" s="177">
        <v>2</v>
      </c>
      <c r="M67" s="177">
        <v>76</v>
      </c>
    </row>
    <row r="68" spans="1:13" ht="120" customHeight="1" x14ac:dyDescent="0.3">
      <c r="A68" s="180" t="s">
        <v>18</v>
      </c>
      <c r="B68" s="180">
        <v>2023</v>
      </c>
      <c r="C68" s="180" t="s">
        <v>64</v>
      </c>
      <c r="D68" s="189">
        <f>'Published Ratio Reconciliation'!D77</f>
        <v>0.09</v>
      </c>
      <c r="E68" s="189">
        <f>'27 Calculations'!H68</f>
        <v>8.8937391462133447E-2</v>
      </c>
      <c r="F68" s="189">
        <f>'Published Ratio Reconciliation'!F77</f>
        <v>8.8937391462133447E-2</v>
      </c>
      <c r="G68" s="180" t="str">
        <f t="shared" si="0"/>
        <v>Numeric reproduction</v>
      </c>
      <c r="H68" s="183" t="s">
        <v>65</v>
      </c>
      <c r="I68" s="183" t="s">
        <v>9140</v>
      </c>
      <c r="J68" s="183" t="s">
        <v>23</v>
      </c>
      <c r="K68" s="183" t="s">
        <v>66</v>
      </c>
      <c r="L68" s="180">
        <v>2</v>
      </c>
      <c r="M68" s="180">
        <v>77</v>
      </c>
    </row>
    <row r="69" spans="1:13" ht="120" customHeight="1" x14ac:dyDescent="0.3">
      <c r="A69" s="177" t="s">
        <v>18</v>
      </c>
      <c r="B69" s="177">
        <v>2024</v>
      </c>
      <c r="C69" s="177" t="s">
        <v>64</v>
      </c>
      <c r="D69" s="190">
        <f>'Published Ratio Reconciliation'!D78</f>
        <v>0.05</v>
      </c>
      <c r="E69" s="190">
        <f>'27 Calculations'!H69</f>
        <v>4.9789363275218823E-2</v>
      </c>
      <c r="F69" s="190">
        <f>'Published Ratio Reconciliation'!F78</f>
        <v>4.9789363275218823E-2</v>
      </c>
      <c r="G69" s="177" t="str">
        <f t="shared" si="0"/>
        <v>Numeric reproduction</v>
      </c>
      <c r="H69" s="184" t="s">
        <v>65</v>
      </c>
      <c r="I69" s="184" t="s">
        <v>9140</v>
      </c>
      <c r="J69" s="184" t="s">
        <v>23</v>
      </c>
      <c r="K69" s="184" t="s">
        <v>66</v>
      </c>
      <c r="L69" s="177">
        <v>2</v>
      </c>
      <c r="M69" s="177">
        <v>78</v>
      </c>
    </row>
    <row r="70" spans="1:13" ht="120" customHeight="1" x14ac:dyDescent="0.3">
      <c r="A70" s="180" t="s">
        <v>18</v>
      </c>
      <c r="B70" s="180">
        <v>2025</v>
      </c>
      <c r="C70" s="180" t="s">
        <v>64</v>
      </c>
      <c r="D70" s="189">
        <f>'Published Ratio Reconciliation'!D79</f>
        <v>0.04</v>
      </c>
      <c r="E70" s="189">
        <f>'27 Calculations'!H70</f>
        <v>4.4675679300715997E-2</v>
      </c>
      <c r="F70" s="189">
        <f>'Published Ratio Reconciliation'!F79</f>
        <v>4.4675679300715997E-2</v>
      </c>
      <c r="G70" s="180" t="str">
        <f t="shared" ref="G70:G133" si="1">IF(AND(ISNUMBER(D70),ISNUMBER(F70)),IF(ROUND(D70,L70)=ROUND(F70,L70),"Numeric reproduction","Not reproduced"),"Not comparable")</f>
        <v>Numeric reproduction</v>
      </c>
      <c r="H70" s="183" t="s">
        <v>65</v>
      </c>
      <c r="I70" s="183" t="s">
        <v>9140</v>
      </c>
      <c r="J70" s="183" t="s">
        <v>23</v>
      </c>
      <c r="K70" s="183" t="s">
        <v>66</v>
      </c>
      <c r="L70" s="180">
        <v>2</v>
      </c>
      <c r="M70" s="180">
        <v>79</v>
      </c>
    </row>
    <row r="71" spans="1:13" ht="120" customHeight="1" x14ac:dyDescent="0.3">
      <c r="A71" s="177" t="s">
        <v>68</v>
      </c>
      <c r="B71" s="177">
        <v>2021</v>
      </c>
      <c r="C71" s="177" t="s">
        <v>31</v>
      </c>
      <c r="D71" s="190">
        <f>'Published Ratio Reconciliation'!D80</f>
        <v>3.81</v>
      </c>
      <c r="E71" s="190">
        <f>'27 Calculations'!H161</f>
        <v>3.8136073127139278</v>
      </c>
      <c r="F71" s="190">
        <f>'Published Ratio Reconciliation'!F80</f>
        <v>3.8136073127139278</v>
      </c>
      <c r="G71" s="177" t="str">
        <f t="shared" si="1"/>
        <v>Numeric reproduction</v>
      </c>
      <c r="H71" s="184" t="s">
        <v>69</v>
      </c>
      <c r="I71" s="184" t="s">
        <v>9140</v>
      </c>
      <c r="J71" s="184" t="s">
        <v>70</v>
      </c>
      <c r="K71" s="184" t="s">
        <v>22</v>
      </c>
      <c r="L71" s="177">
        <v>2</v>
      </c>
      <c r="M71" s="177">
        <v>80</v>
      </c>
    </row>
    <row r="72" spans="1:13" ht="120" customHeight="1" x14ac:dyDescent="0.3">
      <c r="A72" s="180" t="s">
        <v>68</v>
      </c>
      <c r="B72" s="180">
        <v>2022</v>
      </c>
      <c r="C72" s="180" t="s">
        <v>31</v>
      </c>
      <c r="D72" s="189">
        <f>'Published Ratio Reconciliation'!D81</f>
        <v>3.66</v>
      </c>
      <c r="E72" s="189">
        <f>'27 Calculations'!H162</f>
        <v>3.657733126059421</v>
      </c>
      <c r="F72" s="189">
        <f>'Published Ratio Reconciliation'!F81</f>
        <v>3.657733126059421</v>
      </c>
      <c r="G72" s="180" t="str">
        <f t="shared" si="1"/>
        <v>Numeric reproduction</v>
      </c>
      <c r="H72" s="183" t="s">
        <v>69</v>
      </c>
      <c r="I72" s="183" t="s">
        <v>9140</v>
      </c>
      <c r="J72" s="183" t="s">
        <v>70</v>
      </c>
      <c r="K72" s="183" t="s">
        <v>22</v>
      </c>
      <c r="L72" s="180">
        <v>2</v>
      </c>
      <c r="M72" s="180">
        <v>81</v>
      </c>
    </row>
    <row r="73" spans="1:13" ht="120" customHeight="1" x14ac:dyDescent="0.3">
      <c r="A73" s="177" t="s">
        <v>68</v>
      </c>
      <c r="B73" s="177">
        <v>2023</v>
      </c>
      <c r="C73" s="177" t="s">
        <v>31</v>
      </c>
      <c r="D73" s="190">
        <f>'Published Ratio Reconciliation'!D82</f>
        <v>3.62</v>
      </c>
      <c r="E73" s="190">
        <f>'27 Calculations'!H163</f>
        <v>3.6234818387767853</v>
      </c>
      <c r="F73" s="190">
        <f>'Published Ratio Reconciliation'!F82</f>
        <v>3.6234818387767853</v>
      </c>
      <c r="G73" s="177" t="str">
        <f t="shared" si="1"/>
        <v>Numeric reproduction</v>
      </c>
      <c r="H73" s="184" t="s">
        <v>69</v>
      </c>
      <c r="I73" s="184" t="s">
        <v>9140</v>
      </c>
      <c r="J73" s="184" t="s">
        <v>70</v>
      </c>
      <c r="K73" s="184" t="s">
        <v>22</v>
      </c>
      <c r="L73" s="177">
        <v>2</v>
      </c>
      <c r="M73" s="177">
        <v>82</v>
      </c>
    </row>
    <row r="74" spans="1:13" ht="120" customHeight="1" x14ac:dyDescent="0.3">
      <c r="A74" s="180" t="s">
        <v>68</v>
      </c>
      <c r="B74" s="180">
        <v>2024</v>
      </c>
      <c r="C74" s="180" t="s">
        <v>31</v>
      </c>
      <c r="D74" s="189">
        <f>'Published Ratio Reconciliation'!D83</f>
        <v>3.54</v>
      </c>
      <c r="E74" s="189">
        <f>'27 Calculations'!H164</f>
        <v>3.5401699550948362</v>
      </c>
      <c r="F74" s="189">
        <f>'Published Ratio Reconciliation'!F83</f>
        <v>3.5401699550948362</v>
      </c>
      <c r="G74" s="180" t="str">
        <f t="shared" si="1"/>
        <v>Numeric reproduction</v>
      </c>
      <c r="H74" s="183" t="s">
        <v>69</v>
      </c>
      <c r="I74" s="183" t="s">
        <v>9140</v>
      </c>
      <c r="J74" s="183" t="s">
        <v>70</v>
      </c>
      <c r="K74" s="183" t="s">
        <v>22</v>
      </c>
      <c r="L74" s="180">
        <v>2</v>
      </c>
      <c r="M74" s="180">
        <v>83</v>
      </c>
    </row>
    <row r="75" spans="1:13" ht="120" customHeight="1" x14ac:dyDescent="0.3">
      <c r="A75" s="177" t="s">
        <v>68</v>
      </c>
      <c r="B75" s="177">
        <v>2025</v>
      </c>
      <c r="C75" s="177" t="s">
        <v>31</v>
      </c>
      <c r="D75" s="190">
        <f>'Published Ratio Reconciliation'!D84</f>
        <v>3.43</v>
      </c>
      <c r="E75" s="190">
        <f>'27 Calculations'!H165</f>
        <v>3.4260949525900268</v>
      </c>
      <c r="F75" s="190">
        <f>'Published Ratio Reconciliation'!F84</f>
        <v>3.4260949525900268</v>
      </c>
      <c r="G75" s="177" t="str">
        <f t="shared" si="1"/>
        <v>Numeric reproduction</v>
      </c>
      <c r="H75" s="184" t="s">
        <v>69</v>
      </c>
      <c r="I75" s="184" t="s">
        <v>9140</v>
      </c>
      <c r="J75" s="184" t="s">
        <v>70</v>
      </c>
      <c r="K75" s="184" t="s">
        <v>22</v>
      </c>
      <c r="L75" s="177">
        <v>2</v>
      </c>
      <c r="M75" s="177">
        <v>84</v>
      </c>
    </row>
    <row r="76" spans="1:13" ht="120" customHeight="1" x14ac:dyDescent="0.3">
      <c r="A76" s="180" t="s">
        <v>68</v>
      </c>
      <c r="B76" s="180">
        <v>2021</v>
      </c>
      <c r="C76" s="180" t="s">
        <v>71</v>
      </c>
      <c r="D76" s="189">
        <f>'Published Ratio Reconciliation'!D85</f>
        <v>17.78</v>
      </c>
      <c r="E76" s="189">
        <f>'27 Calculations'!H176</f>
        <v>17.782498333156049</v>
      </c>
      <c r="F76" s="189">
        <f>'Published Ratio Reconciliation'!F85</f>
        <v>17.782498333156049</v>
      </c>
      <c r="G76" s="180" t="str">
        <f t="shared" si="1"/>
        <v>Numeric reproduction</v>
      </c>
      <c r="H76" s="183" t="s">
        <v>72</v>
      </c>
      <c r="I76" s="183" t="s">
        <v>9140</v>
      </c>
      <c r="J76" s="183" t="s">
        <v>70</v>
      </c>
      <c r="K76" s="183" t="s">
        <v>22</v>
      </c>
      <c r="L76" s="180">
        <v>2</v>
      </c>
      <c r="M76" s="180">
        <v>85</v>
      </c>
    </row>
    <row r="77" spans="1:13" ht="120" customHeight="1" x14ac:dyDescent="0.3">
      <c r="A77" s="177" t="s">
        <v>68</v>
      </c>
      <c r="B77" s="177">
        <v>2022</v>
      </c>
      <c r="C77" s="177" t="s">
        <v>71</v>
      </c>
      <c r="D77" s="190">
        <f>'Published Ratio Reconciliation'!D86</f>
        <v>14.03</v>
      </c>
      <c r="E77" s="190">
        <f>'27 Calculations'!H177</f>
        <v>14.027318333985361</v>
      </c>
      <c r="F77" s="190">
        <f>'Published Ratio Reconciliation'!F86</f>
        <v>14.027318333985361</v>
      </c>
      <c r="G77" s="177" t="str">
        <f t="shared" si="1"/>
        <v>Numeric reproduction</v>
      </c>
      <c r="H77" s="184" t="s">
        <v>72</v>
      </c>
      <c r="I77" s="184" t="s">
        <v>9140</v>
      </c>
      <c r="J77" s="184" t="s">
        <v>70</v>
      </c>
      <c r="K77" s="184" t="s">
        <v>22</v>
      </c>
      <c r="L77" s="177">
        <v>2</v>
      </c>
      <c r="M77" s="177">
        <v>86</v>
      </c>
    </row>
    <row r="78" spans="1:13" ht="120" customHeight="1" x14ac:dyDescent="0.3">
      <c r="A78" s="180" t="s">
        <v>68</v>
      </c>
      <c r="B78" s="180">
        <v>2023</v>
      </c>
      <c r="C78" s="180" t="s">
        <v>71</v>
      </c>
      <c r="D78" s="189">
        <f>'Published Ratio Reconciliation'!D87</f>
        <v>16.399999999999999</v>
      </c>
      <c r="E78" s="189">
        <f>'27 Calculations'!H178</f>
        <v>16.401585315624828</v>
      </c>
      <c r="F78" s="189">
        <f>'Published Ratio Reconciliation'!F87</f>
        <v>16.401585315624828</v>
      </c>
      <c r="G78" s="180" t="str">
        <f t="shared" si="1"/>
        <v>Numeric reproduction</v>
      </c>
      <c r="H78" s="183" t="s">
        <v>72</v>
      </c>
      <c r="I78" s="183" t="s">
        <v>9140</v>
      </c>
      <c r="J78" s="183" t="s">
        <v>70</v>
      </c>
      <c r="K78" s="183" t="s">
        <v>22</v>
      </c>
      <c r="L78" s="180">
        <v>2</v>
      </c>
      <c r="M78" s="180">
        <v>87</v>
      </c>
    </row>
    <row r="79" spans="1:13" ht="120" customHeight="1" x14ac:dyDescent="0.3">
      <c r="A79" s="177" t="s">
        <v>68</v>
      </c>
      <c r="B79" s="177">
        <v>2024</v>
      </c>
      <c r="C79" s="177" t="s">
        <v>71</v>
      </c>
      <c r="D79" s="190">
        <f>'Published Ratio Reconciliation'!D88</f>
        <v>19.02</v>
      </c>
      <c r="E79" s="190">
        <f>'27 Calculations'!H179</f>
        <v>19.024866667611246</v>
      </c>
      <c r="F79" s="190">
        <f>'Published Ratio Reconciliation'!F88</f>
        <v>19.024866667611246</v>
      </c>
      <c r="G79" s="177" t="str">
        <f t="shared" si="1"/>
        <v>Numeric reproduction</v>
      </c>
      <c r="H79" s="184" t="s">
        <v>72</v>
      </c>
      <c r="I79" s="184" t="s">
        <v>9140</v>
      </c>
      <c r="J79" s="184" t="s">
        <v>70</v>
      </c>
      <c r="K79" s="184" t="s">
        <v>22</v>
      </c>
      <c r="L79" s="177">
        <v>2</v>
      </c>
      <c r="M79" s="177">
        <v>88</v>
      </c>
    </row>
    <row r="80" spans="1:13" ht="120" customHeight="1" x14ac:dyDescent="0.3">
      <c r="A80" s="180" t="s">
        <v>68</v>
      </c>
      <c r="B80" s="180">
        <v>2025</v>
      </c>
      <c r="C80" s="180" t="s">
        <v>71</v>
      </c>
      <c r="D80" s="189">
        <f>'Published Ratio Reconciliation'!D89</f>
        <v>19.48</v>
      </c>
      <c r="E80" s="189">
        <f>'27 Calculations'!H180</f>
        <v>19.473145621508603</v>
      </c>
      <c r="F80" s="189">
        <f>'Forensic Tests'!I41</f>
        <v>19.477054429028819</v>
      </c>
      <c r="G80" s="180" t="str">
        <f t="shared" si="1"/>
        <v>Numeric reproduction</v>
      </c>
      <c r="H80" s="183" t="s">
        <v>5762</v>
      </c>
      <c r="I80" s="183" t="s">
        <v>5704</v>
      </c>
      <c r="J80" s="183" t="s">
        <v>70</v>
      </c>
      <c r="K80" s="183" t="s">
        <v>5764</v>
      </c>
      <c r="L80" s="180">
        <v>2</v>
      </c>
      <c r="M80" s="180">
        <v>89</v>
      </c>
    </row>
    <row r="81" spans="1:13" ht="120" customHeight="1" x14ac:dyDescent="0.3">
      <c r="A81" s="177" t="s">
        <v>68</v>
      </c>
      <c r="B81" s="177">
        <v>2021</v>
      </c>
      <c r="C81" s="177" t="s">
        <v>45</v>
      </c>
      <c r="D81" s="190">
        <f>'Published Ratio Reconciliation'!D95</f>
        <v>0.4</v>
      </c>
      <c r="E81" s="190">
        <f>'27 Calculations'!H186</f>
        <v>0.40251701143421476</v>
      </c>
      <c r="F81" s="190">
        <f>'Published Ratio Reconciliation'!F95</f>
        <v>0.40251701143421476</v>
      </c>
      <c r="G81" s="177" t="str">
        <f t="shared" si="1"/>
        <v>Numeric reproduction</v>
      </c>
      <c r="H81" s="184" t="s">
        <v>46</v>
      </c>
      <c r="I81" s="184" t="s">
        <v>9140</v>
      </c>
      <c r="J81" s="184" t="s">
        <v>70</v>
      </c>
      <c r="K81" s="184" t="s">
        <v>22</v>
      </c>
      <c r="L81" s="177">
        <v>2</v>
      </c>
      <c r="M81" s="177">
        <v>95</v>
      </c>
    </row>
    <row r="82" spans="1:13" ht="120" customHeight="1" x14ac:dyDescent="0.3">
      <c r="A82" s="180" t="s">
        <v>68</v>
      </c>
      <c r="B82" s="180">
        <v>2022</v>
      </c>
      <c r="C82" s="180" t="s">
        <v>45</v>
      </c>
      <c r="D82" s="189">
        <f>'Published Ratio Reconciliation'!D96</f>
        <v>0.44</v>
      </c>
      <c r="E82" s="189">
        <f>'27 Calculations'!H187</f>
        <v>0.4384325626713429</v>
      </c>
      <c r="F82" s="189">
        <f>'Published Ratio Reconciliation'!F96</f>
        <v>0.4384325626713429</v>
      </c>
      <c r="G82" s="180" t="str">
        <f t="shared" si="1"/>
        <v>Numeric reproduction</v>
      </c>
      <c r="H82" s="183" t="s">
        <v>46</v>
      </c>
      <c r="I82" s="183" t="s">
        <v>9140</v>
      </c>
      <c r="J82" s="183" t="s">
        <v>70</v>
      </c>
      <c r="K82" s="183" t="s">
        <v>22</v>
      </c>
      <c r="L82" s="180">
        <v>2</v>
      </c>
      <c r="M82" s="180">
        <v>96</v>
      </c>
    </row>
    <row r="83" spans="1:13" ht="120" customHeight="1" x14ac:dyDescent="0.3">
      <c r="A83" s="177" t="s">
        <v>68</v>
      </c>
      <c r="B83" s="177">
        <v>2023</v>
      </c>
      <c r="C83" s="177" t="s">
        <v>45</v>
      </c>
      <c r="D83" s="190">
        <f>'Published Ratio Reconciliation'!D97</f>
        <v>0.45</v>
      </c>
      <c r="E83" s="190">
        <f>'27 Calculations'!H188</f>
        <v>0.44974923322711935</v>
      </c>
      <c r="F83" s="190">
        <f>'Published Ratio Reconciliation'!F97</f>
        <v>0.44974923322711935</v>
      </c>
      <c r="G83" s="177" t="str">
        <f t="shared" si="1"/>
        <v>Numeric reproduction</v>
      </c>
      <c r="H83" s="184" t="s">
        <v>46</v>
      </c>
      <c r="I83" s="184" t="s">
        <v>9140</v>
      </c>
      <c r="J83" s="184" t="s">
        <v>70</v>
      </c>
      <c r="K83" s="184" t="s">
        <v>22</v>
      </c>
      <c r="L83" s="177">
        <v>2</v>
      </c>
      <c r="M83" s="177">
        <v>97</v>
      </c>
    </row>
    <row r="84" spans="1:13" ht="120" customHeight="1" x14ac:dyDescent="0.3">
      <c r="A84" s="180" t="s">
        <v>68</v>
      </c>
      <c r="B84" s="180">
        <v>2024</v>
      </c>
      <c r="C84" s="180" t="s">
        <v>45</v>
      </c>
      <c r="D84" s="189">
        <f>'Published Ratio Reconciliation'!D98</f>
        <v>0.49</v>
      </c>
      <c r="E84" s="189">
        <f>'27 Calculations'!H189</f>
        <v>0.49280353497458251</v>
      </c>
      <c r="F84" s="189">
        <f>'Published Ratio Reconciliation'!F98</f>
        <v>0.49280353497458251</v>
      </c>
      <c r="G84" s="180" t="str">
        <f t="shared" si="1"/>
        <v>Numeric reproduction</v>
      </c>
      <c r="H84" s="183" t="s">
        <v>46</v>
      </c>
      <c r="I84" s="183" t="s">
        <v>9140</v>
      </c>
      <c r="J84" s="183" t="s">
        <v>70</v>
      </c>
      <c r="K84" s="183" t="s">
        <v>22</v>
      </c>
      <c r="L84" s="180">
        <v>2</v>
      </c>
      <c r="M84" s="180">
        <v>98</v>
      </c>
    </row>
    <row r="85" spans="1:13" ht="120" customHeight="1" x14ac:dyDescent="0.3">
      <c r="A85" s="177" t="s">
        <v>68</v>
      </c>
      <c r="B85" s="177">
        <v>2025</v>
      </c>
      <c r="C85" s="177" t="s">
        <v>45</v>
      </c>
      <c r="D85" s="190">
        <f>'Published Ratio Reconciliation'!D99</f>
        <v>0.47</v>
      </c>
      <c r="E85" s="190">
        <f>'27 Calculations'!H190</f>
        <v>0.46677662061834158</v>
      </c>
      <c r="F85" s="190">
        <f>'Published Ratio Reconciliation'!F99</f>
        <v>0.46677662061834158</v>
      </c>
      <c r="G85" s="177" t="str">
        <f t="shared" si="1"/>
        <v>Numeric reproduction</v>
      </c>
      <c r="H85" s="184" t="s">
        <v>46</v>
      </c>
      <c r="I85" s="184" t="s">
        <v>9140</v>
      </c>
      <c r="J85" s="184" t="s">
        <v>70</v>
      </c>
      <c r="K85" s="184" t="s">
        <v>22</v>
      </c>
      <c r="L85" s="177">
        <v>2</v>
      </c>
      <c r="M85" s="177">
        <v>99</v>
      </c>
    </row>
    <row r="86" spans="1:13" ht="120" customHeight="1" x14ac:dyDescent="0.3">
      <c r="A86" s="180" t="s">
        <v>68</v>
      </c>
      <c r="B86" s="180">
        <v>2021</v>
      </c>
      <c r="C86" s="180" t="s">
        <v>47</v>
      </c>
      <c r="D86" s="189">
        <f>'Published Ratio Reconciliation'!D100</f>
        <v>1.01</v>
      </c>
      <c r="E86" s="189">
        <f>'27 Calculations'!H181</f>
        <v>1.0088292750112451</v>
      </c>
      <c r="F86" s="189">
        <f>'Published Ratio Reconciliation'!F100</f>
        <v>1.0088184414012127</v>
      </c>
      <c r="G86" s="180" t="str">
        <f t="shared" si="1"/>
        <v>Numeric reproduction</v>
      </c>
      <c r="H86" s="183" t="s">
        <v>77</v>
      </c>
      <c r="I86" s="183" t="s">
        <v>9140</v>
      </c>
      <c r="J86" s="183" t="s">
        <v>70</v>
      </c>
      <c r="K86" s="183" t="s">
        <v>78</v>
      </c>
      <c r="L86" s="180">
        <v>2</v>
      </c>
      <c r="M86" s="180">
        <v>100</v>
      </c>
    </row>
    <row r="87" spans="1:13" ht="120" customHeight="1" x14ac:dyDescent="0.3">
      <c r="A87" s="177" t="s">
        <v>68</v>
      </c>
      <c r="B87" s="177">
        <v>2022</v>
      </c>
      <c r="C87" s="177" t="s">
        <v>47</v>
      </c>
      <c r="D87" s="190">
        <f>'Published Ratio Reconciliation'!D101</f>
        <v>0.98</v>
      </c>
      <c r="E87" s="190">
        <f>'27 Calculations'!H182</f>
        <v>0.98532795146598973</v>
      </c>
      <c r="F87" s="190">
        <f>'Published Ratio Reconciliation'!F101</f>
        <v>0.98471353634590997</v>
      </c>
      <c r="G87" s="177" t="str">
        <f t="shared" si="1"/>
        <v>Numeric reproduction</v>
      </c>
      <c r="H87" s="184" t="s">
        <v>77</v>
      </c>
      <c r="I87" s="184" t="s">
        <v>9140</v>
      </c>
      <c r="J87" s="184" t="s">
        <v>70</v>
      </c>
      <c r="K87" s="184" t="s">
        <v>78</v>
      </c>
      <c r="L87" s="177">
        <v>2</v>
      </c>
      <c r="M87" s="177">
        <v>101</v>
      </c>
    </row>
    <row r="88" spans="1:13" ht="120" customHeight="1" x14ac:dyDescent="0.3">
      <c r="A88" s="180" t="s">
        <v>68</v>
      </c>
      <c r="B88" s="180">
        <v>2023</v>
      </c>
      <c r="C88" s="180" t="s">
        <v>47</v>
      </c>
      <c r="D88" s="189">
        <f>'Published Ratio Reconciliation'!D102</f>
        <v>1</v>
      </c>
      <c r="E88" s="189">
        <f>'27 Calculations'!H183</f>
        <v>1.0022154394695202</v>
      </c>
      <c r="F88" s="189">
        <f>'Published Ratio Reconciliation'!F102</f>
        <v>1.0013191768523682</v>
      </c>
      <c r="G88" s="180" t="str">
        <f t="shared" si="1"/>
        <v>Numeric reproduction</v>
      </c>
      <c r="H88" s="183" t="s">
        <v>77</v>
      </c>
      <c r="I88" s="183" t="s">
        <v>9140</v>
      </c>
      <c r="J88" s="183" t="s">
        <v>70</v>
      </c>
      <c r="K88" s="183" t="s">
        <v>78</v>
      </c>
      <c r="L88" s="180">
        <v>2</v>
      </c>
      <c r="M88" s="180">
        <v>102</v>
      </c>
    </row>
    <row r="89" spans="1:13" ht="120" customHeight="1" x14ac:dyDescent="0.3">
      <c r="A89" s="177" t="s">
        <v>68</v>
      </c>
      <c r="B89" s="177">
        <v>2024</v>
      </c>
      <c r="C89" s="177" t="s">
        <v>47</v>
      </c>
      <c r="D89" s="190">
        <f>'Published Ratio Reconciliation'!D103</f>
        <v>1.07</v>
      </c>
      <c r="E89" s="190">
        <f>'27 Calculations'!H184</f>
        <v>1.0752008785316265</v>
      </c>
      <c r="F89" s="190">
        <f>'Published Ratio Reconciliation'!F103</f>
        <v>1.0745056989453683</v>
      </c>
      <c r="G89" s="177" t="str">
        <f t="shared" si="1"/>
        <v>Numeric reproduction</v>
      </c>
      <c r="H89" s="184" t="s">
        <v>77</v>
      </c>
      <c r="I89" s="184" t="s">
        <v>9140</v>
      </c>
      <c r="J89" s="184" t="s">
        <v>70</v>
      </c>
      <c r="K89" s="184" t="s">
        <v>78</v>
      </c>
      <c r="L89" s="177">
        <v>2</v>
      </c>
      <c r="M89" s="177">
        <v>103</v>
      </c>
    </row>
    <row r="90" spans="1:13" ht="120" customHeight="1" x14ac:dyDescent="0.3">
      <c r="A90" s="180" t="s">
        <v>68</v>
      </c>
      <c r="B90" s="180">
        <v>2025</v>
      </c>
      <c r="C90" s="180" t="s">
        <v>47</v>
      </c>
      <c r="D90" s="189">
        <f>'Published Ratio Reconciliation'!D104</f>
        <v>1.1599999999999999</v>
      </c>
      <c r="E90" s="189">
        <f>'27 Calculations'!H185</f>
        <v>1.1592237370838812</v>
      </c>
      <c r="F90" s="189">
        <f>'Published Ratio Reconciliation'!F104</f>
        <v>1.1587250227691257</v>
      </c>
      <c r="G90" s="180" t="str">
        <f t="shared" si="1"/>
        <v>Numeric reproduction</v>
      </c>
      <c r="H90" s="183" t="s">
        <v>77</v>
      </c>
      <c r="I90" s="183" t="s">
        <v>9140</v>
      </c>
      <c r="J90" s="183" t="s">
        <v>70</v>
      </c>
      <c r="K90" s="183" t="s">
        <v>78</v>
      </c>
      <c r="L90" s="180">
        <v>2</v>
      </c>
      <c r="M90" s="180">
        <v>104</v>
      </c>
    </row>
    <row r="91" spans="1:13" ht="120" customHeight="1" x14ac:dyDescent="0.3">
      <c r="A91" s="177" t="s">
        <v>68</v>
      </c>
      <c r="B91" s="177">
        <v>2021</v>
      </c>
      <c r="C91" s="177" t="s">
        <v>49</v>
      </c>
      <c r="D91" s="190">
        <f>'Published Ratio Reconciliation'!D105</f>
        <v>38.57</v>
      </c>
      <c r="E91" s="190">
        <f>'27 Calculations'!H206</f>
        <v>52.042228263318378</v>
      </c>
      <c r="F91" s="190">
        <f>'Published Ratio Reconciliation'!F105</f>
        <v>38.568846968354343</v>
      </c>
      <c r="G91" s="177" t="str">
        <f t="shared" si="1"/>
        <v>Numeric reproduction</v>
      </c>
      <c r="H91" s="184" t="s">
        <v>80</v>
      </c>
      <c r="I91" s="184" t="s">
        <v>9140</v>
      </c>
      <c r="J91" s="184" t="s">
        <v>70</v>
      </c>
      <c r="K91" s="184" t="s">
        <v>81</v>
      </c>
      <c r="L91" s="177">
        <v>2</v>
      </c>
      <c r="M91" s="177">
        <v>105</v>
      </c>
    </row>
    <row r="92" spans="1:13" ht="120" customHeight="1" x14ac:dyDescent="0.3">
      <c r="A92" s="180" t="s">
        <v>68</v>
      </c>
      <c r="B92" s="180">
        <v>2022</v>
      </c>
      <c r="C92" s="180" t="s">
        <v>49</v>
      </c>
      <c r="D92" s="189">
        <f>'Published Ratio Reconciliation'!D106</f>
        <v>41.25</v>
      </c>
      <c r="E92" s="189">
        <f>'27 Calculations'!H207</f>
        <v>55.297361076962446</v>
      </c>
      <c r="F92" s="189">
        <f>'Published Ratio Reconciliation'!F106</f>
        <v>41.252944740023857</v>
      </c>
      <c r="G92" s="180" t="str">
        <f t="shared" si="1"/>
        <v>Numeric reproduction</v>
      </c>
      <c r="H92" s="183" t="s">
        <v>80</v>
      </c>
      <c r="I92" s="183" t="s">
        <v>9140</v>
      </c>
      <c r="J92" s="183" t="s">
        <v>70</v>
      </c>
      <c r="K92" s="183" t="s">
        <v>81</v>
      </c>
      <c r="L92" s="180">
        <v>2</v>
      </c>
      <c r="M92" s="180">
        <v>106</v>
      </c>
    </row>
    <row r="93" spans="1:13" ht="120" customHeight="1" x14ac:dyDescent="0.3">
      <c r="A93" s="177" t="s">
        <v>68</v>
      </c>
      <c r="B93" s="177">
        <v>2023</v>
      </c>
      <c r="C93" s="177" t="s">
        <v>49</v>
      </c>
      <c r="D93" s="190">
        <f>'Published Ratio Reconciliation'!D107</f>
        <v>16.16</v>
      </c>
      <c r="E93" s="190">
        <f>'27 Calculations'!H208</f>
        <v>19.418491261619813</v>
      </c>
      <c r="F93" s="190">
        <f>'Published Ratio Reconciliation'!F107</f>
        <v>16.164037374868563</v>
      </c>
      <c r="G93" s="177" t="str">
        <f t="shared" si="1"/>
        <v>Numeric reproduction</v>
      </c>
      <c r="H93" s="184" t="s">
        <v>80</v>
      </c>
      <c r="I93" s="184" t="s">
        <v>9140</v>
      </c>
      <c r="J93" s="184" t="s">
        <v>70</v>
      </c>
      <c r="K93" s="184" t="s">
        <v>81</v>
      </c>
      <c r="L93" s="177">
        <v>2</v>
      </c>
      <c r="M93" s="177">
        <v>107</v>
      </c>
    </row>
    <row r="94" spans="1:13" ht="120" customHeight="1" x14ac:dyDescent="0.3">
      <c r="A94" s="180" t="s">
        <v>68</v>
      </c>
      <c r="B94" s="180">
        <v>2024</v>
      </c>
      <c r="C94" s="180" t="s">
        <v>49</v>
      </c>
      <c r="D94" s="189">
        <f>'Published Ratio Reconciliation'!D108</f>
        <v>18.260000000000002</v>
      </c>
      <c r="E94" s="189">
        <f>'27 Calculations'!H209</f>
        <v>27.521394265428206</v>
      </c>
      <c r="F94" s="189">
        <f>'Published Ratio Reconciliation'!F108</f>
        <v>18.258657524058165</v>
      </c>
      <c r="G94" s="180" t="str">
        <f t="shared" si="1"/>
        <v>Numeric reproduction</v>
      </c>
      <c r="H94" s="183" t="s">
        <v>80</v>
      </c>
      <c r="I94" s="183" t="s">
        <v>9140</v>
      </c>
      <c r="J94" s="183" t="s">
        <v>70</v>
      </c>
      <c r="K94" s="183" t="s">
        <v>81</v>
      </c>
      <c r="L94" s="180">
        <v>2</v>
      </c>
      <c r="M94" s="180">
        <v>108</v>
      </c>
    </row>
    <row r="95" spans="1:13" ht="120" customHeight="1" x14ac:dyDescent="0.3">
      <c r="A95" s="177" t="s">
        <v>68</v>
      </c>
      <c r="B95" s="177">
        <v>2025</v>
      </c>
      <c r="C95" s="177" t="s">
        <v>49</v>
      </c>
      <c r="D95" s="190">
        <f>'Published Ratio Reconciliation'!D109</f>
        <v>22.83</v>
      </c>
      <c r="E95" s="190">
        <f>'27 Calculations'!H210</f>
        <v>36.687316512913945</v>
      </c>
      <c r="F95" s="190">
        <f>'Published Ratio Reconciliation'!F109</f>
        <v>22.826008759865434</v>
      </c>
      <c r="G95" s="177" t="str">
        <f t="shared" si="1"/>
        <v>Numeric reproduction</v>
      </c>
      <c r="H95" s="184" t="s">
        <v>80</v>
      </c>
      <c r="I95" s="184" t="s">
        <v>9140</v>
      </c>
      <c r="J95" s="184" t="s">
        <v>70</v>
      </c>
      <c r="K95" s="184" t="s">
        <v>81</v>
      </c>
      <c r="L95" s="177">
        <v>2</v>
      </c>
      <c r="M95" s="177">
        <v>109</v>
      </c>
    </row>
    <row r="96" spans="1:13" ht="120" customHeight="1" x14ac:dyDescent="0.3">
      <c r="A96" s="180" t="s">
        <v>68</v>
      </c>
      <c r="B96" s="180">
        <v>2021</v>
      </c>
      <c r="C96" s="180" t="s">
        <v>82</v>
      </c>
      <c r="D96" s="189">
        <f>'Published Ratio Reconciliation'!D110</f>
        <v>8.6999999999999993</v>
      </c>
      <c r="E96" s="189">
        <f>'27 Calculations'!H246/5</f>
        <v>8.702088287591808</v>
      </c>
      <c r="F96" s="189">
        <f>'Published Ratio Reconciliation'!F110</f>
        <v>8.702088287591808</v>
      </c>
      <c r="G96" s="180" t="str">
        <f t="shared" si="1"/>
        <v>Numeric reproduction</v>
      </c>
      <c r="H96" s="183" t="s">
        <v>83</v>
      </c>
      <c r="I96" s="183" t="s">
        <v>9140</v>
      </c>
      <c r="J96" s="183" t="s">
        <v>70</v>
      </c>
      <c r="K96" s="183" t="s">
        <v>84</v>
      </c>
      <c r="L96" s="180">
        <v>2</v>
      </c>
      <c r="M96" s="180">
        <v>110</v>
      </c>
    </row>
    <row r="97" spans="1:13" ht="120" customHeight="1" x14ac:dyDescent="0.3">
      <c r="A97" s="177" t="s">
        <v>68</v>
      </c>
      <c r="B97" s="177">
        <v>2022</v>
      </c>
      <c r="C97" s="177" t="s">
        <v>82</v>
      </c>
      <c r="D97" s="190">
        <f>'Published Ratio Reconciliation'!D111</f>
        <v>9.4600000000000009</v>
      </c>
      <c r="E97" s="190">
        <f>'27 Calculations'!H247/5</f>
        <v>9.4618433706996488</v>
      </c>
      <c r="F97" s="190">
        <f>'Published Ratio Reconciliation'!F111</f>
        <v>9.461843370699647</v>
      </c>
      <c r="G97" s="177" t="str">
        <f t="shared" si="1"/>
        <v>Numeric reproduction</v>
      </c>
      <c r="H97" s="184" t="s">
        <v>83</v>
      </c>
      <c r="I97" s="184" t="s">
        <v>9140</v>
      </c>
      <c r="J97" s="184" t="s">
        <v>70</v>
      </c>
      <c r="K97" s="184" t="s">
        <v>84</v>
      </c>
      <c r="L97" s="177">
        <v>2</v>
      </c>
      <c r="M97" s="177">
        <v>111</v>
      </c>
    </row>
    <row r="98" spans="1:13" ht="120" customHeight="1" x14ac:dyDescent="0.3">
      <c r="A98" s="180" t="s">
        <v>68</v>
      </c>
      <c r="B98" s="180">
        <v>2023</v>
      </c>
      <c r="C98" s="180" t="s">
        <v>82</v>
      </c>
      <c r="D98" s="189">
        <f>'Published Ratio Reconciliation'!D112</f>
        <v>8.49</v>
      </c>
      <c r="E98" s="189">
        <f>'27 Calculations'!H248/5</f>
        <v>8.6123024699685313</v>
      </c>
      <c r="F98" s="189">
        <f>'Forensic Tests'!I45</f>
        <v>8.4891002705836875</v>
      </c>
      <c r="G98" s="180" t="str">
        <f t="shared" si="1"/>
        <v>Numeric reproduction</v>
      </c>
      <c r="H98" s="183" t="s">
        <v>5771</v>
      </c>
      <c r="I98" s="183" t="s">
        <v>5704</v>
      </c>
      <c r="J98" s="183" t="s">
        <v>70</v>
      </c>
      <c r="K98" s="183" t="s">
        <v>5773</v>
      </c>
      <c r="L98" s="180">
        <v>2</v>
      </c>
      <c r="M98" s="180">
        <v>112</v>
      </c>
    </row>
    <row r="99" spans="1:13" ht="120" customHeight="1" x14ac:dyDescent="0.3">
      <c r="A99" s="177" t="s">
        <v>68</v>
      </c>
      <c r="B99" s="177">
        <v>2024</v>
      </c>
      <c r="C99" s="177" t="s">
        <v>82</v>
      </c>
      <c r="D99" s="190">
        <f>'Published Ratio Reconciliation'!D113</f>
        <v>18.91</v>
      </c>
      <c r="E99" s="190">
        <f>'27 Calculations'!H249/5</f>
        <v>18.908117835423287</v>
      </c>
      <c r="F99" s="190">
        <f>'Published Ratio Reconciliation'!F113</f>
        <v>18.908117835423283</v>
      </c>
      <c r="G99" s="177" t="str">
        <f t="shared" si="1"/>
        <v>Numeric reproduction</v>
      </c>
      <c r="H99" s="184" t="s">
        <v>83</v>
      </c>
      <c r="I99" s="184" t="s">
        <v>9140</v>
      </c>
      <c r="J99" s="184" t="s">
        <v>70</v>
      </c>
      <c r="K99" s="184" t="s">
        <v>84</v>
      </c>
      <c r="L99" s="177">
        <v>2</v>
      </c>
      <c r="M99" s="177">
        <v>113</v>
      </c>
    </row>
    <row r="100" spans="1:13" ht="120" customHeight="1" x14ac:dyDescent="0.3">
      <c r="A100" s="180" t="s">
        <v>68</v>
      </c>
      <c r="B100" s="180">
        <v>2025</v>
      </c>
      <c r="C100" s="180" t="s">
        <v>82</v>
      </c>
      <c r="D100" s="189">
        <f>'Published Ratio Reconciliation'!D114</f>
        <v>22.59</v>
      </c>
      <c r="E100" s="189">
        <f>'27 Calculations'!H250</f>
        <v>22.588506484641641</v>
      </c>
      <c r="F100" s="189">
        <f>'Published Ratio Reconciliation'!F114</f>
        <v>22.588506484641641</v>
      </c>
      <c r="G100" s="180" t="str">
        <f t="shared" si="1"/>
        <v>Numeric reproduction</v>
      </c>
      <c r="H100" s="183" t="s">
        <v>83</v>
      </c>
      <c r="I100" s="183" t="s">
        <v>9140</v>
      </c>
      <c r="J100" s="183" t="s">
        <v>70</v>
      </c>
      <c r="K100" s="183" t="s">
        <v>84</v>
      </c>
      <c r="L100" s="180">
        <v>2</v>
      </c>
      <c r="M100" s="180">
        <v>114</v>
      </c>
    </row>
    <row r="101" spans="1:13" ht="120" customHeight="1" x14ac:dyDescent="0.3">
      <c r="A101" s="177" t="s">
        <v>86</v>
      </c>
      <c r="B101" s="177">
        <v>2021</v>
      </c>
      <c r="C101" s="177" t="s">
        <v>19</v>
      </c>
      <c r="D101" s="190">
        <f>'Published Ratio Reconciliation'!D115</f>
        <v>0.91</v>
      </c>
      <c r="E101" s="190">
        <f>'27 Calculations'!H276</f>
        <v>0.91452508864509019</v>
      </c>
      <c r="F101" s="190">
        <f>'Published Ratio Reconciliation'!F115</f>
        <v>0.91452508864509019</v>
      </c>
      <c r="G101" s="177" t="str">
        <f t="shared" si="1"/>
        <v>Numeric reproduction</v>
      </c>
      <c r="H101" s="184" t="s">
        <v>21</v>
      </c>
      <c r="I101" s="184" t="s">
        <v>9140</v>
      </c>
      <c r="J101" s="184" t="s">
        <v>87</v>
      </c>
      <c r="K101" s="184" t="s">
        <v>22</v>
      </c>
      <c r="L101" s="177">
        <v>2</v>
      </c>
      <c r="M101" s="177">
        <v>115</v>
      </c>
    </row>
    <row r="102" spans="1:13" ht="120" customHeight="1" x14ac:dyDescent="0.3">
      <c r="A102" s="180" t="s">
        <v>86</v>
      </c>
      <c r="B102" s="180">
        <v>2022</v>
      </c>
      <c r="C102" s="180" t="s">
        <v>19</v>
      </c>
      <c r="D102" s="189">
        <f>'Published Ratio Reconciliation'!D116</f>
        <v>0.89</v>
      </c>
      <c r="E102" s="189">
        <f>'27 Calculations'!H277</f>
        <v>0.88552877147710041</v>
      </c>
      <c r="F102" s="189">
        <f>'Published Ratio Reconciliation'!F116</f>
        <v>0.88552877147710041</v>
      </c>
      <c r="G102" s="180" t="str">
        <f t="shared" si="1"/>
        <v>Numeric reproduction</v>
      </c>
      <c r="H102" s="183" t="s">
        <v>21</v>
      </c>
      <c r="I102" s="183" t="s">
        <v>9140</v>
      </c>
      <c r="J102" s="183" t="s">
        <v>87</v>
      </c>
      <c r="K102" s="183" t="s">
        <v>22</v>
      </c>
      <c r="L102" s="180">
        <v>2</v>
      </c>
      <c r="M102" s="180">
        <v>116</v>
      </c>
    </row>
    <row r="103" spans="1:13" ht="120" customHeight="1" x14ac:dyDescent="0.3">
      <c r="A103" s="177" t="s">
        <v>86</v>
      </c>
      <c r="B103" s="177">
        <v>2023</v>
      </c>
      <c r="C103" s="177" t="s">
        <v>19</v>
      </c>
      <c r="D103" s="190">
        <f>'Published Ratio Reconciliation'!D117</f>
        <v>0.8</v>
      </c>
      <c r="E103" s="190">
        <f>'27 Calculations'!H278</f>
        <v>0.80176749057385621</v>
      </c>
      <c r="F103" s="190">
        <f>'Published Ratio Reconciliation'!F117</f>
        <v>0.80176749057385621</v>
      </c>
      <c r="G103" s="177" t="str">
        <f t="shared" si="1"/>
        <v>Numeric reproduction</v>
      </c>
      <c r="H103" s="184" t="s">
        <v>21</v>
      </c>
      <c r="I103" s="184" t="s">
        <v>9140</v>
      </c>
      <c r="J103" s="184" t="s">
        <v>87</v>
      </c>
      <c r="K103" s="184" t="s">
        <v>22</v>
      </c>
      <c r="L103" s="177">
        <v>2</v>
      </c>
      <c r="M103" s="177">
        <v>117</v>
      </c>
    </row>
    <row r="104" spans="1:13" ht="120" customHeight="1" x14ac:dyDescent="0.3">
      <c r="A104" s="180" t="s">
        <v>86</v>
      </c>
      <c r="B104" s="180">
        <v>2024</v>
      </c>
      <c r="C104" s="180" t="s">
        <v>19</v>
      </c>
      <c r="D104" s="189">
        <f>'Published Ratio Reconciliation'!D118</f>
        <v>1.3</v>
      </c>
      <c r="E104" s="189">
        <f>'27 Calculations'!H279</f>
        <v>1.296185931254842</v>
      </c>
      <c r="F104" s="189">
        <f>'Published Ratio Reconciliation'!F118</f>
        <v>1.296185931254842</v>
      </c>
      <c r="G104" s="180" t="str">
        <f t="shared" si="1"/>
        <v>Numeric reproduction</v>
      </c>
      <c r="H104" s="183" t="s">
        <v>21</v>
      </c>
      <c r="I104" s="183" t="s">
        <v>9140</v>
      </c>
      <c r="J104" s="183" t="s">
        <v>87</v>
      </c>
      <c r="K104" s="183" t="s">
        <v>22</v>
      </c>
      <c r="L104" s="180">
        <v>2</v>
      </c>
      <c r="M104" s="180">
        <v>118</v>
      </c>
    </row>
    <row r="105" spans="1:13" ht="120" customHeight="1" x14ac:dyDescent="0.3">
      <c r="A105" s="177" t="s">
        <v>86</v>
      </c>
      <c r="B105" s="177">
        <v>2025</v>
      </c>
      <c r="C105" s="177" t="s">
        <v>19</v>
      </c>
      <c r="D105" s="190">
        <f>'Published Ratio Reconciliation'!D119</f>
        <v>1.85</v>
      </c>
      <c r="E105" s="190">
        <f>'27 Calculations'!H280</f>
        <v>1.8489517932979607</v>
      </c>
      <c r="F105" s="190">
        <f>'Published Ratio Reconciliation'!F119</f>
        <v>1.8489517932979607</v>
      </c>
      <c r="G105" s="177" t="str">
        <f t="shared" si="1"/>
        <v>Numeric reproduction</v>
      </c>
      <c r="H105" s="184" t="s">
        <v>21</v>
      </c>
      <c r="I105" s="184" t="s">
        <v>9140</v>
      </c>
      <c r="J105" s="184" t="s">
        <v>87</v>
      </c>
      <c r="K105" s="184" t="s">
        <v>22</v>
      </c>
      <c r="L105" s="177">
        <v>2</v>
      </c>
      <c r="M105" s="177">
        <v>119</v>
      </c>
    </row>
    <row r="106" spans="1:13" ht="120" customHeight="1" x14ac:dyDescent="0.3">
      <c r="A106" s="180" t="s">
        <v>86</v>
      </c>
      <c r="B106" s="180">
        <v>2021</v>
      </c>
      <c r="C106" s="180" t="s">
        <v>88</v>
      </c>
      <c r="D106" s="189">
        <f>'Published Ratio Reconciliation'!D120</f>
        <v>0.52</v>
      </c>
      <c r="E106" s="189">
        <f>'27 Calculations'!H281</f>
        <v>0.52718830778210601</v>
      </c>
      <c r="F106" s="189">
        <f>'Published Ratio Reconciliation'!F120</f>
        <v>0.51506373413223128</v>
      </c>
      <c r="G106" s="180" t="str">
        <f t="shared" si="1"/>
        <v>Numeric reproduction</v>
      </c>
      <c r="H106" s="183" t="s">
        <v>89</v>
      </c>
      <c r="I106" s="183" t="s">
        <v>9140</v>
      </c>
      <c r="J106" s="183" t="s">
        <v>87</v>
      </c>
      <c r="K106" s="183" t="s">
        <v>90</v>
      </c>
      <c r="L106" s="180">
        <v>2</v>
      </c>
      <c r="M106" s="180">
        <v>120</v>
      </c>
    </row>
    <row r="107" spans="1:13" ht="120" customHeight="1" x14ac:dyDescent="0.3">
      <c r="A107" s="177" t="s">
        <v>86</v>
      </c>
      <c r="B107" s="177">
        <v>2022</v>
      </c>
      <c r="C107" s="177" t="s">
        <v>88</v>
      </c>
      <c r="D107" s="190">
        <f>'Published Ratio Reconciliation'!D121</f>
        <v>0.36</v>
      </c>
      <c r="E107" s="190">
        <f>'27 Calculations'!H282</f>
        <v>0.39093390789665328</v>
      </c>
      <c r="F107" s="190">
        <f>'Published Ratio Reconciliation'!F121</f>
        <v>0.35989370225640016</v>
      </c>
      <c r="G107" s="177" t="str">
        <f t="shared" si="1"/>
        <v>Numeric reproduction</v>
      </c>
      <c r="H107" s="184" t="s">
        <v>89</v>
      </c>
      <c r="I107" s="184" t="s">
        <v>9140</v>
      </c>
      <c r="J107" s="184" t="s">
        <v>87</v>
      </c>
      <c r="K107" s="184" t="s">
        <v>90</v>
      </c>
      <c r="L107" s="177">
        <v>2</v>
      </c>
      <c r="M107" s="177">
        <v>121</v>
      </c>
    </row>
    <row r="108" spans="1:13" ht="120" customHeight="1" x14ac:dyDescent="0.3">
      <c r="A108" s="180" t="s">
        <v>86</v>
      </c>
      <c r="B108" s="180">
        <v>2023</v>
      </c>
      <c r="C108" s="180" t="s">
        <v>88</v>
      </c>
      <c r="D108" s="189">
        <f>'Published Ratio Reconciliation'!D122</f>
        <v>0.32</v>
      </c>
      <c r="E108" s="189">
        <f>'27 Calculations'!H283</f>
        <v>0.33489936167445872</v>
      </c>
      <c r="F108" s="189">
        <f>'Published Ratio Reconciliation'!F122</f>
        <v>0.31587456515857265</v>
      </c>
      <c r="G108" s="180" t="str">
        <f t="shared" si="1"/>
        <v>Numeric reproduction</v>
      </c>
      <c r="H108" s="183" t="s">
        <v>89</v>
      </c>
      <c r="I108" s="183" t="s">
        <v>9140</v>
      </c>
      <c r="J108" s="183" t="s">
        <v>87</v>
      </c>
      <c r="K108" s="183" t="s">
        <v>90</v>
      </c>
      <c r="L108" s="180">
        <v>2</v>
      </c>
      <c r="M108" s="180">
        <v>122</v>
      </c>
    </row>
    <row r="109" spans="1:13" ht="120" customHeight="1" x14ac:dyDescent="0.3">
      <c r="A109" s="177" t="s">
        <v>86</v>
      </c>
      <c r="B109" s="177">
        <v>2024</v>
      </c>
      <c r="C109" s="177" t="s">
        <v>88</v>
      </c>
      <c r="D109" s="190">
        <f>'Published Ratio Reconciliation'!D123</f>
        <v>0.66</v>
      </c>
      <c r="E109" s="190">
        <f>'27 Calculations'!H284</f>
        <v>0.66771764923027133</v>
      </c>
      <c r="F109" s="190">
        <f>'Published Ratio Reconciliation'!F123</f>
        <v>0.66274370249077752</v>
      </c>
      <c r="G109" s="177" t="str">
        <f t="shared" si="1"/>
        <v>Numeric reproduction</v>
      </c>
      <c r="H109" s="184" t="s">
        <v>89</v>
      </c>
      <c r="I109" s="184" t="s">
        <v>9140</v>
      </c>
      <c r="J109" s="184" t="s">
        <v>87</v>
      </c>
      <c r="K109" s="184" t="s">
        <v>90</v>
      </c>
      <c r="L109" s="177">
        <v>2</v>
      </c>
      <c r="M109" s="177">
        <v>123</v>
      </c>
    </row>
    <row r="110" spans="1:13" ht="120" customHeight="1" x14ac:dyDescent="0.3">
      <c r="A110" s="180" t="s">
        <v>86</v>
      </c>
      <c r="B110" s="180">
        <v>2025</v>
      </c>
      <c r="C110" s="180" t="s">
        <v>88</v>
      </c>
      <c r="D110" s="189">
        <f>'Published Ratio Reconciliation'!D124</f>
        <v>1.01</v>
      </c>
      <c r="E110" s="189">
        <f>'27 Calculations'!H285</f>
        <v>1.0579587679634685</v>
      </c>
      <c r="F110" s="189">
        <f>'Published Ratio Reconciliation'!F124</f>
        <v>1.0060241782229269</v>
      </c>
      <c r="G110" s="180" t="str">
        <f t="shared" si="1"/>
        <v>Numeric reproduction</v>
      </c>
      <c r="H110" s="183" t="s">
        <v>89</v>
      </c>
      <c r="I110" s="183" t="s">
        <v>9140</v>
      </c>
      <c r="J110" s="183" t="s">
        <v>87</v>
      </c>
      <c r="K110" s="183" t="s">
        <v>90</v>
      </c>
      <c r="L110" s="180">
        <v>2</v>
      </c>
      <c r="M110" s="180">
        <v>124</v>
      </c>
    </row>
    <row r="111" spans="1:13" ht="120" customHeight="1" x14ac:dyDescent="0.3">
      <c r="A111" s="177" t="s">
        <v>86</v>
      </c>
      <c r="B111" s="177">
        <v>2021</v>
      </c>
      <c r="C111" s="177" t="s">
        <v>91</v>
      </c>
      <c r="D111" s="190">
        <f>'Published Ratio Reconciliation'!D125</f>
        <v>154</v>
      </c>
      <c r="E111" s="190">
        <f>'27 Calculations'!H306</f>
        <v>138.95483675010863</v>
      </c>
      <c r="F111" s="190">
        <f>'Published Ratio Reconciliation'!F125</f>
        <v>153.82136507494721</v>
      </c>
      <c r="G111" s="177" t="str">
        <f t="shared" si="1"/>
        <v>Numeric reproduction</v>
      </c>
      <c r="H111" s="184" t="s">
        <v>92</v>
      </c>
      <c r="I111" s="184" t="s">
        <v>9140</v>
      </c>
      <c r="J111" s="184" t="s">
        <v>87</v>
      </c>
      <c r="K111" s="184" t="s">
        <v>22</v>
      </c>
      <c r="L111" s="177">
        <v>0</v>
      </c>
      <c r="M111" s="177">
        <v>125</v>
      </c>
    </row>
    <row r="112" spans="1:13" ht="120" customHeight="1" x14ac:dyDescent="0.3">
      <c r="A112" s="180" t="s">
        <v>86</v>
      </c>
      <c r="B112" s="180">
        <v>2022</v>
      </c>
      <c r="C112" s="180" t="s">
        <v>91</v>
      </c>
      <c r="D112" s="189">
        <f>'Published Ratio Reconciliation'!D126</f>
        <v>175</v>
      </c>
      <c r="E112" s="189">
        <f>'27 Calculations'!H307</f>
        <v>147.19158951872677</v>
      </c>
      <c r="F112" s="189">
        <f>'Published Ratio Reconciliation'!F126</f>
        <v>174.73955662090313</v>
      </c>
      <c r="G112" s="180" t="str">
        <f t="shared" si="1"/>
        <v>Numeric reproduction</v>
      </c>
      <c r="H112" s="183" t="s">
        <v>92</v>
      </c>
      <c r="I112" s="183" t="s">
        <v>9140</v>
      </c>
      <c r="J112" s="183" t="s">
        <v>87</v>
      </c>
      <c r="K112" s="183" t="s">
        <v>22</v>
      </c>
      <c r="L112" s="180">
        <v>0</v>
      </c>
      <c r="M112" s="180">
        <v>126</v>
      </c>
    </row>
    <row r="113" spans="1:13" ht="120" customHeight="1" x14ac:dyDescent="0.3">
      <c r="A113" s="177" t="s">
        <v>86</v>
      </c>
      <c r="B113" s="177">
        <v>2023</v>
      </c>
      <c r="C113" s="177" t="s">
        <v>91</v>
      </c>
      <c r="D113" s="190">
        <f>'Published Ratio Reconciliation'!D127</f>
        <v>150</v>
      </c>
      <c r="E113" s="190">
        <f>'27 Calculations'!H308</f>
        <v>149.87908057411946</v>
      </c>
      <c r="F113" s="190">
        <f>'Published Ratio Reconciliation'!F127</f>
        <v>149.64786734498992</v>
      </c>
      <c r="G113" s="177" t="str">
        <f t="shared" si="1"/>
        <v>Numeric reproduction</v>
      </c>
      <c r="H113" s="184" t="s">
        <v>92</v>
      </c>
      <c r="I113" s="184" t="s">
        <v>9140</v>
      </c>
      <c r="J113" s="184" t="s">
        <v>87</v>
      </c>
      <c r="K113" s="184" t="s">
        <v>22</v>
      </c>
      <c r="L113" s="177">
        <v>0</v>
      </c>
      <c r="M113" s="177">
        <v>127</v>
      </c>
    </row>
    <row r="114" spans="1:13" ht="120" customHeight="1" x14ac:dyDescent="0.3">
      <c r="A114" s="180" t="s">
        <v>86</v>
      </c>
      <c r="B114" s="180">
        <v>2024</v>
      </c>
      <c r="C114" s="180" t="s">
        <v>91</v>
      </c>
      <c r="D114" s="189">
        <f>'Published Ratio Reconciliation'!D128</f>
        <v>133</v>
      </c>
      <c r="E114" s="189">
        <f>'27 Calculations'!H309</f>
        <v>141.29755545575051</v>
      </c>
      <c r="F114" s="189">
        <f>'Published Ratio Reconciliation'!F128</f>
        <v>133.16933589181954</v>
      </c>
      <c r="G114" s="180" t="str">
        <f t="shared" si="1"/>
        <v>Numeric reproduction</v>
      </c>
      <c r="H114" s="183" t="s">
        <v>92</v>
      </c>
      <c r="I114" s="183" t="s">
        <v>9140</v>
      </c>
      <c r="J114" s="183" t="s">
        <v>87</v>
      </c>
      <c r="K114" s="183" t="s">
        <v>22</v>
      </c>
      <c r="L114" s="180">
        <v>0</v>
      </c>
      <c r="M114" s="180">
        <v>128</v>
      </c>
    </row>
    <row r="115" spans="1:13" ht="120" customHeight="1" x14ac:dyDescent="0.3">
      <c r="A115" s="177" t="s">
        <v>86</v>
      </c>
      <c r="B115" s="177">
        <v>2025</v>
      </c>
      <c r="C115" s="177" t="s">
        <v>91</v>
      </c>
      <c r="D115" s="190">
        <f>'Published Ratio Reconciliation'!D129</f>
        <v>140</v>
      </c>
      <c r="E115" s="190">
        <f>'27 Calculations'!H310</f>
        <v>139.29464124392746</v>
      </c>
      <c r="F115" s="190">
        <f>'Published Ratio Reconciliation'!F129</f>
        <v>140.12366389704971</v>
      </c>
      <c r="G115" s="177" t="str">
        <f t="shared" si="1"/>
        <v>Numeric reproduction</v>
      </c>
      <c r="H115" s="184" t="s">
        <v>92</v>
      </c>
      <c r="I115" s="184" t="s">
        <v>9140</v>
      </c>
      <c r="J115" s="184" t="s">
        <v>87</v>
      </c>
      <c r="K115" s="184" t="s">
        <v>22</v>
      </c>
      <c r="L115" s="177">
        <v>0</v>
      </c>
      <c r="M115" s="177">
        <v>129</v>
      </c>
    </row>
    <row r="116" spans="1:13" ht="120" customHeight="1" x14ac:dyDescent="0.3">
      <c r="A116" s="180" t="s">
        <v>86</v>
      </c>
      <c r="B116" s="180">
        <v>2021</v>
      </c>
      <c r="C116" s="180" t="s">
        <v>71</v>
      </c>
      <c r="D116" s="189">
        <f>'Published Ratio Reconciliation'!D130</f>
        <v>14</v>
      </c>
      <c r="E116" s="189">
        <f>'27 Calculations'!H311</f>
        <v>16.031081230273596</v>
      </c>
      <c r="F116" s="189">
        <f>'Published Ratio Reconciliation'!F130</f>
        <v>13.563749883888976</v>
      </c>
      <c r="G116" s="180" t="str">
        <f t="shared" si="1"/>
        <v>Numeric reproduction</v>
      </c>
      <c r="H116" s="183" t="s">
        <v>37</v>
      </c>
      <c r="I116" s="183" t="s">
        <v>9140</v>
      </c>
      <c r="J116" s="183" t="s">
        <v>87</v>
      </c>
      <c r="K116" s="183" t="s">
        <v>22</v>
      </c>
      <c r="L116" s="180">
        <v>0</v>
      </c>
      <c r="M116" s="180">
        <v>130</v>
      </c>
    </row>
    <row r="117" spans="1:13" ht="120" customHeight="1" x14ac:dyDescent="0.3">
      <c r="A117" s="177" t="s">
        <v>86</v>
      </c>
      <c r="B117" s="177">
        <v>2022</v>
      </c>
      <c r="C117" s="177" t="s">
        <v>71</v>
      </c>
      <c r="D117" s="190">
        <f>'Published Ratio Reconciliation'!D131</f>
        <v>9</v>
      </c>
      <c r="E117" s="190">
        <f>'27 Calculations'!H312</f>
        <v>9.8856192169704489</v>
      </c>
      <c r="F117" s="190">
        <f>'Published Ratio Reconciliation'!F131</f>
        <v>9.2304268239348577</v>
      </c>
      <c r="G117" s="177" t="str">
        <f t="shared" si="1"/>
        <v>Numeric reproduction</v>
      </c>
      <c r="H117" s="184" t="s">
        <v>37</v>
      </c>
      <c r="I117" s="184" t="s">
        <v>9140</v>
      </c>
      <c r="J117" s="184" t="s">
        <v>87</v>
      </c>
      <c r="K117" s="184" t="s">
        <v>22</v>
      </c>
      <c r="L117" s="177">
        <v>0</v>
      </c>
      <c r="M117" s="177">
        <v>131</v>
      </c>
    </row>
    <row r="118" spans="1:13" ht="120" customHeight="1" x14ac:dyDescent="0.3">
      <c r="A118" s="180" t="s">
        <v>86</v>
      </c>
      <c r="B118" s="180">
        <v>2023</v>
      </c>
      <c r="C118" s="180" t="s">
        <v>71</v>
      </c>
      <c r="D118" s="189">
        <f>'Published Ratio Reconciliation'!D132</f>
        <v>7</v>
      </c>
      <c r="E118" s="189">
        <f>'27 Calculations'!H313</f>
        <v>7.4739774843341396</v>
      </c>
      <c r="F118" s="189">
        <f>'Published Ratio Reconciliation'!F132</f>
        <v>6.7032931166051322</v>
      </c>
      <c r="G118" s="180" t="str">
        <f t="shared" si="1"/>
        <v>Numeric reproduction</v>
      </c>
      <c r="H118" s="183" t="s">
        <v>37</v>
      </c>
      <c r="I118" s="183" t="s">
        <v>9140</v>
      </c>
      <c r="J118" s="183" t="s">
        <v>87</v>
      </c>
      <c r="K118" s="183" t="s">
        <v>22</v>
      </c>
      <c r="L118" s="180">
        <v>0</v>
      </c>
      <c r="M118" s="180">
        <v>132</v>
      </c>
    </row>
    <row r="119" spans="1:13" ht="120" customHeight="1" x14ac:dyDescent="0.3">
      <c r="A119" s="177" t="s">
        <v>86</v>
      </c>
      <c r="B119" s="177">
        <v>2024</v>
      </c>
      <c r="C119" s="177" t="s">
        <v>71</v>
      </c>
      <c r="D119" s="190">
        <f>'Published Ratio Reconciliation'!D133</f>
        <v>5</v>
      </c>
      <c r="E119" s="190">
        <f>'27 Calculations'!H314</f>
        <v>5.6629790909386459</v>
      </c>
      <c r="F119" s="190">
        <f>'Published Ratio Reconciliation'!F133</f>
        <v>4.7297400164924532</v>
      </c>
      <c r="G119" s="177" t="str">
        <f t="shared" si="1"/>
        <v>Numeric reproduction</v>
      </c>
      <c r="H119" s="184" t="s">
        <v>37</v>
      </c>
      <c r="I119" s="184" t="s">
        <v>9140</v>
      </c>
      <c r="J119" s="184" t="s">
        <v>87</v>
      </c>
      <c r="K119" s="184" t="s">
        <v>22</v>
      </c>
      <c r="L119" s="177">
        <v>0</v>
      </c>
      <c r="M119" s="177">
        <v>133</v>
      </c>
    </row>
    <row r="120" spans="1:13" ht="120" customHeight="1" x14ac:dyDescent="0.3">
      <c r="A120" s="180" t="s">
        <v>86</v>
      </c>
      <c r="B120" s="180">
        <v>2025</v>
      </c>
      <c r="C120" s="180" t="s">
        <v>71</v>
      </c>
      <c r="D120" s="189">
        <f>'Published Ratio Reconciliation'!D134</f>
        <v>8</v>
      </c>
      <c r="E120" s="189">
        <f>'27 Calculations'!H315</f>
        <v>5.9624857341490083</v>
      </c>
      <c r="F120" s="189">
        <f>'Published Ratio Reconciliation'!F134</f>
        <v>7.5803685421400182</v>
      </c>
      <c r="G120" s="180" t="str">
        <f t="shared" si="1"/>
        <v>Numeric reproduction</v>
      </c>
      <c r="H120" s="183" t="s">
        <v>37</v>
      </c>
      <c r="I120" s="183" t="s">
        <v>9140</v>
      </c>
      <c r="J120" s="183" t="s">
        <v>87</v>
      </c>
      <c r="K120" s="183" t="s">
        <v>22</v>
      </c>
      <c r="L120" s="180">
        <v>0</v>
      </c>
      <c r="M120" s="180">
        <v>134</v>
      </c>
    </row>
    <row r="121" spans="1:13" ht="120" customHeight="1" x14ac:dyDescent="0.3">
      <c r="A121" s="177" t="s">
        <v>86</v>
      </c>
      <c r="B121" s="177">
        <v>2021</v>
      </c>
      <c r="C121" s="177" t="s">
        <v>96</v>
      </c>
      <c r="D121" s="190">
        <f>'Published Ratio Reconciliation'!D140</f>
        <v>0.33729999999999999</v>
      </c>
      <c r="E121" s="190">
        <f>'27 Calculations'!H321</f>
        <v>0.32711693039218176</v>
      </c>
      <c r="F121" s="190">
        <f>'Published Ratio Reconciliation'!F140</f>
        <v>0.33732156053453599</v>
      </c>
      <c r="G121" s="177" t="str">
        <f t="shared" si="1"/>
        <v>Numeric reproduction</v>
      </c>
      <c r="H121" s="184" t="s">
        <v>97</v>
      </c>
      <c r="I121" s="184" t="s">
        <v>9140</v>
      </c>
      <c r="J121" s="184" t="s">
        <v>87</v>
      </c>
      <c r="K121" s="184" t="s">
        <v>22</v>
      </c>
      <c r="L121" s="177">
        <v>4</v>
      </c>
      <c r="M121" s="177">
        <v>140</v>
      </c>
    </row>
    <row r="122" spans="1:13" ht="120" customHeight="1" x14ac:dyDescent="0.3">
      <c r="A122" s="180" t="s">
        <v>86</v>
      </c>
      <c r="B122" s="180">
        <v>2022</v>
      </c>
      <c r="C122" s="180" t="s">
        <v>96</v>
      </c>
      <c r="D122" s="189">
        <f>'Published Ratio Reconciliation'!D141</f>
        <v>0.42299999999999999</v>
      </c>
      <c r="E122" s="189">
        <f>'27 Calculations'!H322</f>
        <v>0.42503666813991675</v>
      </c>
      <c r="F122" s="189">
        <f>'Published Ratio Reconciliation'!F141</f>
        <v>0.42297281053904634</v>
      </c>
      <c r="G122" s="180" t="str">
        <f t="shared" si="1"/>
        <v>Numeric reproduction</v>
      </c>
      <c r="H122" s="183" t="s">
        <v>97</v>
      </c>
      <c r="I122" s="183" t="s">
        <v>9140</v>
      </c>
      <c r="J122" s="183" t="s">
        <v>87</v>
      </c>
      <c r="K122" s="183" t="s">
        <v>22</v>
      </c>
      <c r="L122" s="180">
        <v>4</v>
      </c>
      <c r="M122" s="180">
        <v>141</v>
      </c>
    </row>
    <row r="123" spans="1:13" ht="120" customHeight="1" x14ac:dyDescent="0.3">
      <c r="A123" s="177" t="s">
        <v>86</v>
      </c>
      <c r="B123" s="177">
        <v>2023</v>
      </c>
      <c r="C123" s="177" t="s">
        <v>96</v>
      </c>
      <c r="D123" s="190">
        <f>'Published Ratio Reconciliation'!D142</f>
        <v>0.47910000000000003</v>
      </c>
      <c r="E123" s="190">
        <f>'27 Calculations'!H323</f>
        <v>0.4823862468647665</v>
      </c>
      <c r="F123" s="190">
        <f>'Published Ratio Reconciliation'!F142</f>
        <v>0.47909875248597583</v>
      </c>
      <c r="G123" s="177" t="str">
        <f t="shared" si="1"/>
        <v>Numeric reproduction</v>
      </c>
      <c r="H123" s="184" t="s">
        <v>97</v>
      </c>
      <c r="I123" s="184" t="s">
        <v>9140</v>
      </c>
      <c r="J123" s="184" t="s">
        <v>87</v>
      </c>
      <c r="K123" s="184" t="s">
        <v>22</v>
      </c>
      <c r="L123" s="177">
        <v>4</v>
      </c>
      <c r="M123" s="177">
        <v>142</v>
      </c>
    </row>
    <row r="124" spans="1:13" ht="120" customHeight="1" x14ac:dyDescent="0.3">
      <c r="A124" s="180" t="s">
        <v>86</v>
      </c>
      <c r="B124" s="180">
        <v>2024</v>
      </c>
      <c r="C124" s="180" t="s">
        <v>96</v>
      </c>
      <c r="D124" s="189">
        <f>'Published Ratio Reconciliation'!D143</f>
        <v>0.48359999999999997</v>
      </c>
      <c r="E124" s="189">
        <f>'27 Calculations'!H324</f>
        <v>0.47720727814222835</v>
      </c>
      <c r="F124" s="189">
        <f>'Published Ratio Reconciliation'!F143</f>
        <v>0.48362452491954855</v>
      </c>
      <c r="G124" s="180" t="str">
        <f t="shared" si="1"/>
        <v>Numeric reproduction</v>
      </c>
      <c r="H124" s="183" t="s">
        <v>97</v>
      </c>
      <c r="I124" s="183" t="s">
        <v>9140</v>
      </c>
      <c r="J124" s="183" t="s">
        <v>87</v>
      </c>
      <c r="K124" s="183" t="s">
        <v>22</v>
      </c>
      <c r="L124" s="180">
        <v>4</v>
      </c>
      <c r="M124" s="180">
        <v>143</v>
      </c>
    </row>
    <row r="125" spans="1:13" ht="120" customHeight="1" x14ac:dyDescent="0.3">
      <c r="A125" s="177" t="s">
        <v>86</v>
      </c>
      <c r="B125" s="177">
        <v>2025</v>
      </c>
      <c r="C125" s="177" t="s">
        <v>96</v>
      </c>
      <c r="D125" s="190">
        <f>'Published Ratio Reconciliation'!D144</f>
        <v>0.50570000000000004</v>
      </c>
      <c r="E125" s="190">
        <f>'27 Calculations'!H325</f>
        <v>0.49267235836459933</v>
      </c>
      <c r="F125" s="190">
        <f>'Published Ratio Reconciliation'!F144</f>
        <v>0.50573556879142922</v>
      </c>
      <c r="G125" s="177" t="str">
        <f t="shared" si="1"/>
        <v>Numeric reproduction</v>
      </c>
      <c r="H125" s="184" t="s">
        <v>97</v>
      </c>
      <c r="I125" s="184" t="s">
        <v>9140</v>
      </c>
      <c r="J125" s="184" t="s">
        <v>87</v>
      </c>
      <c r="K125" s="184" t="s">
        <v>22</v>
      </c>
      <c r="L125" s="177">
        <v>4</v>
      </c>
      <c r="M125" s="177">
        <v>144</v>
      </c>
    </row>
    <row r="126" spans="1:13" ht="120" customHeight="1" x14ac:dyDescent="0.3">
      <c r="A126" s="180" t="s">
        <v>86</v>
      </c>
      <c r="B126" s="180">
        <v>2021</v>
      </c>
      <c r="C126" s="180" t="s">
        <v>47</v>
      </c>
      <c r="D126" s="189">
        <f>'Published Ratio Reconciliation'!D145</f>
        <v>0.53520000000000001</v>
      </c>
      <c r="E126" s="189">
        <f>'27 Calculations'!H316</f>
        <v>0.53055318948132613</v>
      </c>
      <c r="F126" s="189">
        <f>'Published Ratio Reconciliation'!F145</f>
        <v>0.53522051158310446</v>
      </c>
      <c r="G126" s="180" t="str">
        <f t="shared" si="1"/>
        <v>Numeric reproduction</v>
      </c>
      <c r="H126" s="183" t="s">
        <v>98</v>
      </c>
      <c r="I126" s="183" t="s">
        <v>9140</v>
      </c>
      <c r="J126" s="183" t="s">
        <v>87</v>
      </c>
      <c r="K126" s="183" t="s">
        <v>22</v>
      </c>
      <c r="L126" s="180">
        <v>4</v>
      </c>
      <c r="M126" s="180">
        <v>145</v>
      </c>
    </row>
    <row r="127" spans="1:13" ht="120" customHeight="1" x14ac:dyDescent="0.3">
      <c r="A127" s="177" t="s">
        <v>86</v>
      </c>
      <c r="B127" s="177">
        <v>2022</v>
      </c>
      <c r="C127" s="177" t="s">
        <v>47</v>
      </c>
      <c r="D127" s="190">
        <f>'Published Ratio Reconciliation'!D146</f>
        <v>0.69169999999999998</v>
      </c>
      <c r="E127" s="190">
        <f>'27 Calculations'!H317</f>
        <v>0.70098015962057802</v>
      </c>
      <c r="F127" s="190">
        <f>'Published Ratio Reconciliation'!F146</f>
        <v>0.69172315904410531</v>
      </c>
      <c r="G127" s="177" t="str">
        <f t="shared" si="1"/>
        <v>Numeric reproduction</v>
      </c>
      <c r="H127" s="184" t="s">
        <v>98</v>
      </c>
      <c r="I127" s="184" t="s">
        <v>9140</v>
      </c>
      <c r="J127" s="184" t="s">
        <v>87</v>
      </c>
      <c r="K127" s="184" t="s">
        <v>22</v>
      </c>
      <c r="L127" s="177">
        <v>4</v>
      </c>
      <c r="M127" s="177">
        <v>146</v>
      </c>
    </row>
    <row r="128" spans="1:13" ht="120" customHeight="1" x14ac:dyDescent="0.3">
      <c r="A128" s="180" t="s">
        <v>86</v>
      </c>
      <c r="B128" s="180">
        <v>2023</v>
      </c>
      <c r="C128" s="180" t="s">
        <v>47</v>
      </c>
      <c r="D128" s="189">
        <f>'Published Ratio Reconciliation'!D147</f>
        <v>0.78739999999999999</v>
      </c>
      <c r="E128" s="189">
        <f>'27 Calculations'!H318</f>
        <v>0.79011863849334296</v>
      </c>
      <c r="F128" s="189">
        <f>'Published Ratio Reconciliation'!F147</f>
        <v>0.78744639714471132</v>
      </c>
      <c r="G128" s="180" t="str">
        <f t="shared" si="1"/>
        <v>Numeric reproduction</v>
      </c>
      <c r="H128" s="183" t="s">
        <v>98</v>
      </c>
      <c r="I128" s="183" t="s">
        <v>9140</v>
      </c>
      <c r="J128" s="183" t="s">
        <v>87</v>
      </c>
      <c r="K128" s="183" t="s">
        <v>22</v>
      </c>
      <c r="L128" s="180">
        <v>4</v>
      </c>
      <c r="M128" s="180">
        <v>147</v>
      </c>
    </row>
    <row r="129" spans="1:13" ht="120" customHeight="1" x14ac:dyDescent="0.3">
      <c r="A129" s="177" t="s">
        <v>86</v>
      </c>
      <c r="B129" s="177">
        <v>2024</v>
      </c>
      <c r="C129" s="177" t="s">
        <v>47</v>
      </c>
      <c r="D129" s="190">
        <f>'Published Ratio Reconciliation'!D148</f>
        <v>0.81469999999999998</v>
      </c>
      <c r="E129" s="190">
        <f>'27 Calculations'!H319</f>
        <v>0.82674606407416695</v>
      </c>
      <c r="F129" s="190">
        <f>'Published Ratio Reconciliation'!F148</f>
        <v>0.8146714508469528</v>
      </c>
      <c r="G129" s="177" t="str">
        <f t="shared" si="1"/>
        <v>Numeric reproduction</v>
      </c>
      <c r="H129" s="184" t="s">
        <v>98</v>
      </c>
      <c r="I129" s="184" t="s">
        <v>9140</v>
      </c>
      <c r="J129" s="184" t="s">
        <v>87</v>
      </c>
      <c r="K129" s="184" t="s">
        <v>22</v>
      </c>
      <c r="L129" s="177">
        <v>4</v>
      </c>
      <c r="M129" s="177">
        <v>148</v>
      </c>
    </row>
    <row r="130" spans="1:13" ht="120" customHeight="1" x14ac:dyDescent="0.3">
      <c r="A130" s="180" t="s">
        <v>86</v>
      </c>
      <c r="B130" s="180">
        <v>2025</v>
      </c>
      <c r="C130" s="180" t="s">
        <v>47</v>
      </c>
      <c r="D130" s="189">
        <f>'Published Ratio Reconciliation'!D149</f>
        <v>0.91510000000000002</v>
      </c>
      <c r="E130" s="189">
        <f>'27 Calculations'!H320</f>
        <v>0.93062078370763102</v>
      </c>
      <c r="F130" s="189">
        <f>'Published Ratio Reconciliation'!F149</f>
        <v>0.91507229555925906</v>
      </c>
      <c r="G130" s="180" t="str">
        <f t="shared" si="1"/>
        <v>Numeric reproduction</v>
      </c>
      <c r="H130" s="183" t="s">
        <v>98</v>
      </c>
      <c r="I130" s="183" t="s">
        <v>9140</v>
      </c>
      <c r="J130" s="183" t="s">
        <v>87</v>
      </c>
      <c r="K130" s="183" t="s">
        <v>22</v>
      </c>
      <c r="L130" s="180">
        <v>4</v>
      </c>
      <c r="M130" s="180">
        <v>149</v>
      </c>
    </row>
    <row r="131" spans="1:13" ht="120" customHeight="1" x14ac:dyDescent="0.3">
      <c r="A131" s="177" t="s">
        <v>86</v>
      </c>
      <c r="B131" s="177">
        <v>2021</v>
      </c>
      <c r="C131" s="177" t="s">
        <v>99</v>
      </c>
      <c r="D131" s="190">
        <f>'Published Ratio Reconciliation'!D150</f>
        <v>3.86</v>
      </c>
      <c r="E131" s="190">
        <f>'27 Calculations'!H341</f>
        <v>2.6532310456742976</v>
      </c>
      <c r="F131" s="190">
        <f>'Published Ratio Reconciliation'!F150</f>
        <v>3.8594897077074504</v>
      </c>
      <c r="G131" s="177" t="str">
        <f t="shared" si="1"/>
        <v>Numeric reproduction</v>
      </c>
      <c r="H131" s="184" t="s">
        <v>100</v>
      </c>
      <c r="I131" s="184" t="s">
        <v>9140</v>
      </c>
      <c r="J131" s="184" t="s">
        <v>87</v>
      </c>
      <c r="K131" s="184" t="s">
        <v>22</v>
      </c>
      <c r="L131" s="177">
        <v>2</v>
      </c>
      <c r="M131" s="177">
        <v>150</v>
      </c>
    </row>
    <row r="132" spans="1:13" ht="120" customHeight="1" x14ac:dyDescent="0.3">
      <c r="A132" s="180" t="s">
        <v>86</v>
      </c>
      <c r="B132" s="180">
        <v>2022</v>
      </c>
      <c r="C132" s="180" t="s">
        <v>99</v>
      </c>
      <c r="D132" s="189">
        <f>'Published Ratio Reconciliation'!D151</f>
        <v>3.78</v>
      </c>
      <c r="E132" s="189">
        <f>'27 Calculations'!H342</f>
        <v>2.6982633298510965</v>
      </c>
      <c r="F132" s="189">
        <f>'Published Ratio Reconciliation'!F151</f>
        <v>3.7814418567271888</v>
      </c>
      <c r="G132" s="180" t="str">
        <f t="shared" si="1"/>
        <v>Numeric reproduction</v>
      </c>
      <c r="H132" s="183" t="s">
        <v>100</v>
      </c>
      <c r="I132" s="183" t="s">
        <v>9140</v>
      </c>
      <c r="J132" s="183" t="s">
        <v>87</v>
      </c>
      <c r="K132" s="183" t="s">
        <v>22</v>
      </c>
      <c r="L132" s="180">
        <v>2</v>
      </c>
      <c r="M132" s="180">
        <v>151</v>
      </c>
    </row>
    <row r="133" spans="1:13" ht="120" customHeight="1" x14ac:dyDescent="0.3">
      <c r="A133" s="177" t="s">
        <v>86</v>
      </c>
      <c r="B133" s="177">
        <v>2023</v>
      </c>
      <c r="C133" s="177" t="s">
        <v>99</v>
      </c>
      <c r="D133" s="190">
        <f>'Published Ratio Reconciliation'!D152</f>
        <v>2.0499999999999998</v>
      </c>
      <c r="E133" s="190">
        <f>'27 Calculations'!H343</f>
        <v>1.4717538518085045</v>
      </c>
      <c r="F133" s="190">
        <f>'Published Ratio Reconciliation'!F152</f>
        <v>2.0540437880768145</v>
      </c>
      <c r="G133" s="177" t="str">
        <f t="shared" si="1"/>
        <v>Numeric reproduction</v>
      </c>
      <c r="H133" s="184" t="s">
        <v>100</v>
      </c>
      <c r="I133" s="184" t="s">
        <v>9140</v>
      </c>
      <c r="J133" s="184" t="s">
        <v>87</v>
      </c>
      <c r="K133" s="184" t="s">
        <v>22</v>
      </c>
      <c r="L133" s="177">
        <v>2</v>
      </c>
      <c r="M133" s="177">
        <v>152</v>
      </c>
    </row>
    <row r="134" spans="1:13" ht="120" customHeight="1" x14ac:dyDescent="0.3">
      <c r="A134" s="180" t="s">
        <v>86</v>
      </c>
      <c r="B134" s="180">
        <v>2024</v>
      </c>
      <c r="C134" s="180" t="s">
        <v>99</v>
      </c>
      <c r="D134" s="189">
        <f>'Published Ratio Reconciliation'!D153</f>
        <v>1.84</v>
      </c>
      <c r="E134" s="189">
        <f>'27 Calculations'!H344</f>
        <v>1.3582230764552283</v>
      </c>
      <c r="F134" s="189">
        <f>'Published Ratio Reconciliation'!F153</f>
        <v>1.8364297181451814</v>
      </c>
      <c r="G134" s="180" t="str">
        <f t="shared" ref="G134:G197" si="2">IF(AND(ISNUMBER(D134),ISNUMBER(F134)),IF(ROUND(D134,L134)=ROUND(F134,L134),"Numeric reproduction","Not reproduced"),"Not comparable")</f>
        <v>Numeric reproduction</v>
      </c>
      <c r="H134" s="183" t="s">
        <v>100</v>
      </c>
      <c r="I134" s="183" t="s">
        <v>9140</v>
      </c>
      <c r="J134" s="183" t="s">
        <v>87</v>
      </c>
      <c r="K134" s="183" t="s">
        <v>22</v>
      </c>
      <c r="L134" s="180">
        <v>2</v>
      </c>
      <c r="M134" s="180">
        <v>153</v>
      </c>
    </row>
    <row r="135" spans="1:13" ht="120" customHeight="1" x14ac:dyDescent="0.3">
      <c r="A135" s="177" t="s">
        <v>86</v>
      </c>
      <c r="B135" s="177">
        <v>2025</v>
      </c>
      <c r="C135" s="177" t="s">
        <v>99</v>
      </c>
      <c r="D135" s="190">
        <f>'Published Ratio Reconciliation'!D154</f>
        <v>5.35</v>
      </c>
      <c r="E135" s="190">
        <f>'27 Calculations'!H345</f>
        <v>4.4072600253200633</v>
      </c>
      <c r="F135" s="190">
        <f>'Published Ratio Reconciliation'!F154</f>
        <v>5.3502460336838125</v>
      </c>
      <c r="G135" s="177" t="str">
        <f t="shared" si="2"/>
        <v>Numeric reproduction</v>
      </c>
      <c r="H135" s="184" t="s">
        <v>100</v>
      </c>
      <c r="I135" s="184" t="s">
        <v>9140</v>
      </c>
      <c r="J135" s="184" t="s">
        <v>87</v>
      </c>
      <c r="K135" s="184" t="s">
        <v>22</v>
      </c>
      <c r="L135" s="177">
        <v>2</v>
      </c>
      <c r="M135" s="177">
        <v>154</v>
      </c>
    </row>
    <row r="136" spans="1:13" ht="120" customHeight="1" x14ac:dyDescent="0.3">
      <c r="A136" s="180" t="s">
        <v>86</v>
      </c>
      <c r="B136" s="180">
        <v>2021</v>
      </c>
      <c r="C136" s="180" t="s">
        <v>51</v>
      </c>
      <c r="D136" s="189">
        <f>'Published Ratio Reconciliation'!D155</f>
        <v>0.1789</v>
      </c>
      <c r="E136" s="189">
        <f>'27 Calculations'!H346</f>
        <v>0.17894713739497631</v>
      </c>
      <c r="F136" s="189">
        <f>'Published Ratio Reconciliation'!F155</f>
        <v>0.17894713739497631</v>
      </c>
      <c r="G136" s="180" t="str">
        <f t="shared" si="2"/>
        <v>Numeric reproduction</v>
      </c>
      <c r="H136" s="183" t="s">
        <v>21</v>
      </c>
      <c r="I136" s="183" t="s">
        <v>9140</v>
      </c>
      <c r="J136" s="183" t="s">
        <v>87</v>
      </c>
      <c r="K136" s="183" t="s">
        <v>22</v>
      </c>
      <c r="L136" s="180">
        <v>4</v>
      </c>
      <c r="M136" s="180">
        <v>155</v>
      </c>
    </row>
    <row r="137" spans="1:13" ht="120" customHeight="1" x14ac:dyDescent="0.3">
      <c r="A137" s="177" t="s">
        <v>86</v>
      </c>
      <c r="B137" s="177">
        <v>2022</v>
      </c>
      <c r="C137" s="177" t="s">
        <v>51</v>
      </c>
      <c r="D137" s="190">
        <f>'Published Ratio Reconciliation'!D156</f>
        <v>0.1797</v>
      </c>
      <c r="E137" s="190">
        <f>'27 Calculations'!H347</f>
        <v>0.17966261135996409</v>
      </c>
      <c r="F137" s="190">
        <f>'Published Ratio Reconciliation'!F156</f>
        <v>0.17966261135996409</v>
      </c>
      <c r="G137" s="177" t="str">
        <f t="shared" si="2"/>
        <v>Numeric reproduction</v>
      </c>
      <c r="H137" s="184" t="s">
        <v>21</v>
      </c>
      <c r="I137" s="184" t="s">
        <v>9140</v>
      </c>
      <c r="J137" s="184" t="s">
        <v>87</v>
      </c>
      <c r="K137" s="184" t="s">
        <v>22</v>
      </c>
      <c r="L137" s="177">
        <v>4</v>
      </c>
      <c r="M137" s="177">
        <v>156</v>
      </c>
    </row>
    <row r="138" spans="1:13" ht="120" customHeight="1" x14ac:dyDescent="0.3">
      <c r="A138" s="180" t="s">
        <v>86</v>
      </c>
      <c r="B138" s="180">
        <v>2023</v>
      </c>
      <c r="C138" s="180" t="s">
        <v>51</v>
      </c>
      <c r="D138" s="189">
        <f>'Published Ratio Reconciliation'!D157</f>
        <v>0.14699999999999999</v>
      </c>
      <c r="E138" s="189">
        <f>'27 Calculations'!H348</f>
        <v>0.14704852458583501</v>
      </c>
      <c r="F138" s="189">
        <f>'Published Ratio Reconciliation'!F157</f>
        <v>0.14704852458583501</v>
      </c>
      <c r="G138" s="180" t="str">
        <f t="shared" si="2"/>
        <v>Numeric reproduction</v>
      </c>
      <c r="H138" s="183" t="s">
        <v>21</v>
      </c>
      <c r="I138" s="183" t="s">
        <v>9140</v>
      </c>
      <c r="J138" s="183" t="s">
        <v>87</v>
      </c>
      <c r="K138" s="183" t="s">
        <v>22</v>
      </c>
      <c r="L138" s="180">
        <v>4</v>
      </c>
      <c r="M138" s="180">
        <v>157</v>
      </c>
    </row>
    <row r="139" spans="1:13" ht="120" customHeight="1" x14ac:dyDescent="0.3">
      <c r="A139" s="177" t="s">
        <v>86</v>
      </c>
      <c r="B139" s="177">
        <v>2024</v>
      </c>
      <c r="C139" s="177" t="s">
        <v>51</v>
      </c>
      <c r="D139" s="190">
        <f>'Published Ratio Reconciliation'!D158</f>
        <v>0.15939999999999999</v>
      </c>
      <c r="E139" s="190">
        <f>'27 Calculations'!H349</f>
        <v>0.15942563608432631</v>
      </c>
      <c r="F139" s="190">
        <f>'Published Ratio Reconciliation'!F158</f>
        <v>0.15942563608432631</v>
      </c>
      <c r="G139" s="177" t="str">
        <f t="shared" si="2"/>
        <v>Numeric reproduction</v>
      </c>
      <c r="H139" s="184" t="s">
        <v>21</v>
      </c>
      <c r="I139" s="184" t="s">
        <v>9140</v>
      </c>
      <c r="J139" s="184" t="s">
        <v>87</v>
      </c>
      <c r="K139" s="184" t="s">
        <v>22</v>
      </c>
      <c r="L139" s="177">
        <v>4</v>
      </c>
      <c r="M139" s="177">
        <v>158</v>
      </c>
    </row>
    <row r="140" spans="1:13" ht="120" customHeight="1" x14ac:dyDescent="0.3">
      <c r="A140" s="180" t="s">
        <v>86</v>
      </c>
      <c r="B140" s="180">
        <v>2025</v>
      </c>
      <c r="C140" s="180" t="s">
        <v>51</v>
      </c>
      <c r="D140" s="189">
        <f>'Published Ratio Reconciliation'!D159</f>
        <v>0.25740000000000002</v>
      </c>
      <c r="E140" s="189">
        <f>'27 Calculations'!H350</f>
        <v>0.25740632547300923</v>
      </c>
      <c r="F140" s="189">
        <f>'Published Ratio Reconciliation'!F159</f>
        <v>0.25740632547300923</v>
      </c>
      <c r="G140" s="180" t="str">
        <f t="shared" si="2"/>
        <v>Numeric reproduction</v>
      </c>
      <c r="H140" s="183" t="s">
        <v>21</v>
      </c>
      <c r="I140" s="183" t="s">
        <v>9140</v>
      </c>
      <c r="J140" s="183" t="s">
        <v>87</v>
      </c>
      <c r="K140" s="183" t="s">
        <v>22</v>
      </c>
      <c r="L140" s="180">
        <v>4</v>
      </c>
      <c r="M140" s="180">
        <v>159</v>
      </c>
    </row>
    <row r="141" spans="1:13" ht="120" customHeight="1" x14ac:dyDescent="0.3">
      <c r="A141" s="177" t="s">
        <v>86</v>
      </c>
      <c r="B141" s="177">
        <v>2021</v>
      </c>
      <c r="C141" s="177" t="s">
        <v>52</v>
      </c>
      <c r="D141" s="190">
        <f>'Published Ratio Reconciliation'!D160</f>
        <v>8.2500000000000004E-2</v>
      </c>
      <c r="E141" s="190">
        <f>'27 Calculations'!H356</f>
        <v>8.2497529800351119E-2</v>
      </c>
      <c r="F141" s="190">
        <f>'Published Ratio Reconciliation'!F160</f>
        <v>8.2497529800351119E-2</v>
      </c>
      <c r="G141" s="177" t="str">
        <f t="shared" si="2"/>
        <v>Numeric reproduction</v>
      </c>
      <c r="H141" s="184" t="s">
        <v>21</v>
      </c>
      <c r="I141" s="184" t="s">
        <v>9140</v>
      </c>
      <c r="J141" s="184" t="s">
        <v>87</v>
      </c>
      <c r="K141" s="184" t="s">
        <v>22</v>
      </c>
      <c r="L141" s="177">
        <v>4</v>
      </c>
      <c r="M141" s="177">
        <v>160</v>
      </c>
    </row>
    <row r="142" spans="1:13" ht="120" customHeight="1" x14ac:dyDescent="0.3">
      <c r="A142" s="180" t="s">
        <v>86</v>
      </c>
      <c r="B142" s="180">
        <v>2022</v>
      </c>
      <c r="C142" s="180" t="s">
        <v>52</v>
      </c>
      <c r="D142" s="189">
        <f>'Published Ratio Reconciliation'!D161</f>
        <v>5.1200000000000002E-2</v>
      </c>
      <c r="E142" s="189">
        <f>'27 Calculations'!H357</f>
        <v>5.120493100192175E-2</v>
      </c>
      <c r="F142" s="189">
        <f>'Published Ratio Reconciliation'!F161</f>
        <v>5.120493100192175E-2</v>
      </c>
      <c r="G142" s="180" t="str">
        <f t="shared" si="2"/>
        <v>Numeric reproduction</v>
      </c>
      <c r="H142" s="183" t="s">
        <v>21</v>
      </c>
      <c r="I142" s="183" t="s">
        <v>9140</v>
      </c>
      <c r="J142" s="183" t="s">
        <v>87</v>
      </c>
      <c r="K142" s="183" t="s">
        <v>22</v>
      </c>
      <c r="L142" s="180">
        <v>4</v>
      </c>
      <c r="M142" s="180">
        <v>161</v>
      </c>
    </row>
    <row r="143" spans="1:13" ht="120" customHeight="1" x14ac:dyDescent="0.3">
      <c r="A143" s="177" t="s">
        <v>86</v>
      </c>
      <c r="B143" s="177">
        <v>2023</v>
      </c>
      <c r="C143" s="177" t="s">
        <v>52</v>
      </c>
      <c r="D143" s="190">
        <f>'Published Ratio Reconciliation'!D162</f>
        <v>-5.6000000000000001E-2</v>
      </c>
      <c r="E143" s="190" t="str">
        <f>'27 Calculations'!H358</f>
        <v>n/m</v>
      </c>
      <c r="F143" s="190">
        <f>'Published Ratio Reconciliation'!F162</f>
        <v>-5.595201919567025E-2</v>
      </c>
      <c r="G143" s="177" t="str">
        <f t="shared" si="2"/>
        <v>Numeric reproduction</v>
      </c>
      <c r="H143" s="184" t="s">
        <v>21</v>
      </c>
      <c r="I143" s="184" t="s">
        <v>9140</v>
      </c>
      <c r="J143" s="184" t="s">
        <v>87</v>
      </c>
      <c r="K143" s="184" t="s">
        <v>22</v>
      </c>
      <c r="L143" s="177">
        <v>4</v>
      </c>
      <c r="M143" s="177">
        <v>162</v>
      </c>
    </row>
    <row r="144" spans="1:13" ht="120" customHeight="1" x14ac:dyDescent="0.3">
      <c r="A144" s="180" t="s">
        <v>86</v>
      </c>
      <c r="B144" s="180">
        <v>2024</v>
      </c>
      <c r="C144" s="180" t="s">
        <v>52</v>
      </c>
      <c r="D144" s="189">
        <f>'Published Ratio Reconciliation'!D163</f>
        <v>8.2000000000000007E-3</v>
      </c>
      <c r="E144" s="189">
        <f>'27 Calculations'!H359</f>
        <v>8.2133065966830711E-3</v>
      </c>
      <c r="F144" s="189">
        <f>'Published Ratio Reconciliation'!F163</f>
        <v>8.2133065966830711E-3</v>
      </c>
      <c r="G144" s="180" t="str">
        <f t="shared" si="2"/>
        <v>Numeric reproduction</v>
      </c>
      <c r="H144" s="183" t="s">
        <v>21</v>
      </c>
      <c r="I144" s="183" t="s">
        <v>9140</v>
      </c>
      <c r="J144" s="183" t="s">
        <v>87</v>
      </c>
      <c r="K144" s="183" t="s">
        <v>22</v>
      </c>
      <c r="L144" s="180">
        <v>4</v>
      </c>
      <c r="M144" s="180">
        <v>163</v>
      </c>
    </row>
    <row r="145" spans="1:13" ht="120" customHeight="1" x14ac:dyDescent="0.3">
      <c r="A145" s="177" t="s">
        <v>86</v>
      </c>
      <c r="B145" s="177">
        <v>2025</v>
      </c>
      <c r="C145" s="177" t="s">
        <v>52</v>
      </c>
      <c r="D145" s="190">
        <f>'Published Ratio Reconciliation'!D164</f>
        <v>0.1207</v>
      </c>
      <c r="E145" s="190">
        <f>'27 Calculations'!H360</f>
        <v>0.12066652759857006</v>
      </c>
      <c r="F145" s="190">
        <f>'Published Ratio Reconciliation'!F164</f>
        <v>0.12066652759857006</v>
      </c>
      <c r="G145" s="177" t="str">
        <f t="shared" si="2"/>
        <v>Numeric reproduction</v>
      </c>
      <c r="H145" s="184" t="s">
        <v>21</v>
      </c>
      <c r="I145" s="184" t="s">
        <v>9140</v>
      </c>
      <c r="J145" s="184" t="s">
        <v>87</v>
      </c>
      <c r="K145" s="184" t="s">
        <v>22</v>
      </c>
      <c r="L145" s="177">
        <v>4</v>
      </c>
      <c r="M145" s="177">
        <v>164</v>
      </c>
    </row>
    <row r="146" spans="1:13" ht="120" customHeight="1" x14ac:dyDescent="0.3">
      <c r="A146" s="180" t="s">
        <v>86</v>
      </c>
      <c r="B146" s="180">
        <v>2021</v>
      </c>
      <c r="C146" s="180" t="s">
        <v>101</v>
      </c>
      <c r="D146" s="189">
        <f>'Published Ratio Reconciliation'!D165</f>
        <v>5.3100000000000001E-2</v>
      </c>
      <c r="E146" s="189">
        <f>'27 Calculations'!H366</f>
        <v>5.0644811125656837E-2</v>
      </c>
      <c r="F146" s="189">
        <f>'Published Ratio Reconciliation'!F165</f>
        <v>5.3114745768384881E-2</v>
      </c>
      <c r="G146" s="180" t="str">
        <f t="shared" si="2"/>
        <v>Numeric reproduction</v>
      </c>
      <c r="H146" s="183" t="s">
        <v>102</v>
      </c>
      <c r="I146" s="183" t="s">
        <v>9140</v>
      </c>
      <c r="J146" s="183" t="s">
        <v>87</v>
      </c>
      <c r="K146" s="183" t="s">
        <v>22</v>
      </c>
      <c r="L146" s="180">
        <v>4</v>
      </c>
      <c r="M146" s="180">
        <v>165</v>
      </c>
    </row>
    <row r="147" spans="1:13" ht="120" customHeight="1" x14ac:dyDescent="0.3">
      <c r="A147" s="177" t="s">
        <v>86</v>
      </c>
      <c r="B147" s="177">
        <v>2022</v>
      </c>
      <c r="C147" s="177" t="s">
        <v>101</v>
      </c>
      <c r="D147" s="190">
        <f>'Published Ratio Reconciliation'!D166</f>
        <v>4.1500000000000002E-2</v>
      </c>
      <c r="E147" s="190">
        <f>'27 Calculations'!H367</f>
        <v>4.2508762609145177E-2</v>
      </c>
      <c r="F147" s="190">
        <f>'Published Ratio Reconciliation'!F166</f>
        <v>4.1453492679972344E-2</v>
      </c>
      <c r="G147" s="177" t="str">
        <f t="shared" si="2"/>
        <v>Numeric reproduction</v>
      </c>
      <c r="H147" s="184" t="s">
        <v>102</v>
      </c>
      <c r="I147" s="184" t="s">
        <v>9140</v>
      </c>
      <c r="J147" s="184" t="s">
        <v>87</v>
      </c>
      <c r="K147" s="184" t="s">
        <v>22</v>
      </c>
      <c r="L147" s="177">
        <v>4</v>
      </c>
      <c r="M147" s="177">
        <v>166</v>
      </c>
    </row>
    <row r="148" spans="1:13" ht="120" customHeight="1" x14ac:dyDescent="0.3">
      <c r="A148" s="180" t="s">
        <v>86</v>
      </c>
      <c r="B148" s="180">
        <v>2023</v>
      </c>
      <c r="C148" s="180" t="s">
        <v>101</v>
      </c>
      <c r="D148" s="189">
        <f>'Published Ratio Reconciliation'!D167</f>
        <v>-5.4199999999999998E-2</v>
      </c>
      <c r="E148" s="189" t="str">
        <f>'27 Calculations'!H368</f>
        <v>n/m</v>
      </c>
      <c r="F148" s="189">
        <f>'Published Ratio Reconciliation'!F167</f>
        <v>-5.4223633205898243E-2</v>
      </c>
      <c r="G148" s="180" t="str">
        <f t="shared" si="2"/>
        <v>Numeric reproduction</v>
      </c>
      <c r="H148" s="183" t="s">
        <v>102</v>
      </c>
      <c r="I148" s="183" t="s">
        <v>9140</v>
      </c>
      <c r="J148" s="183" t="s">
        <v>87</v>
      </c>
      <c r="K148" s="183" t="s">
        <v>22</v>
      </c>
      <c r="L148" s="180">
        <v>4</v>
      </c>
      <c r="M148" s="180">
        <v>167</v>
      </c>
    </row>
    <row r="149" spans="1:13" ht="120" customHeight="1" x14ac:dyDescent="0.3">
      <c r="A149" s="177" t="s">
        <v>86</v>
      </c>
      <c r="B149" s="177">
        <v>2024</v>
      </c>
      <c r="C149" s="177" t="s">
        <v>101</v>
      </c>
      <c r="D149" s="190">
        <f>'Published Ratio Reconciliation'!D168</f>
        <v>7.7000000000000002E-3</v>
      </c>
      <c r="E149" s="190">
        <f>'27 Calculations'!H369</f>
        <v>7.1511352154898129E-3</v>
      </c>
      <c r="F149" s="190">
        <f>'Published Ratio Reconciliation'!F168</f>
        <v>7.7463112901141971E-3</v>
      </c>
      <c r="G149" s="177" t="str">
        <f t="shared" si="2"/>
        <v>Numeric reproduction</v>
      </c>
      <c r="H149" s="184" t="s">
        <v>102</v>
      </c>
      <c r="I149" s="184" t="s">
        <v>9140</v>
      </c>
      <c r="J149" s="184" t="s">
        <v>87</v>
      </c>
      <c r="K149" s="184" t="s">
        <v>22</v>
      </c>
      <c r="L149" s="177">
        <v>4</v>
      </c>
      <c r="M149" s="177">
        <v>168</v>
      </c>
    </row>
    <row r="150" spans="1:13" ht="120" customHeight="1" x14ac:dyDescent="0.3">
      <c r="A150" s="180" t="s">
        <v>86</v>
      </c>
      <c r="B150" s="180">
        <v>2025</v>
      </c>
      <c r="C150" s="180" t="s">
        <v>101</v>
      </c>
      <c r="D150" s="189">
        <f>'Published Ratio Reconciliation'!D169</f>
        <v>0.1018</v>
      </c>
      <c r="E150" s="189">
        <f>'27 Calculations'!H370</f>
        <v>9.1637161813901913E-2</v>
      </c>
      <c r="F150" s="189">
        <f>'Published Ratio Reconciliation'!F169</f>
        <v>0.10175126160150023</v>
      </c>
      <c r="G150" s="180" t="str">
        <f t="shared" si="2"/>
        <v>Numeric reproduction</v>
      </c>
      <c r="H150" s="183" t="s">
        <v>102</v>
      </c>
      <c r="I150" s="183" t="s">
        <v>9140</v>
      </c>
      <c r="J150" s="183" t="s">
        <v>87</v>
      </c>
      <c r="K150" s="183" t="s">
        <v>22</v>
      </c>
      <c r="L150" s="180">
        <v>4</v>
      </c>
      <c r="M150" s="180">
        <v>169</v>
      </c>
    </row>
    <row r="151" spans="1:13" ht="120" customHeight="1" x14ac:dyDescent="0.3">
      <c r="A151" s="177" t="s">
        <v>86</v>
      </c>
      <c r="B151" s="177">
        <v>2021</v>
      </c>
      <c r="C151" s="177" t="s">
        <v>103</v>
      </c>
      <c r="D151" s="190">
        <f>'Published Ratio Reconciliation'!D170</f>
        <v>13.88</v>
      </c>
      <c r="E151" s="190">
        <f>'27 Calculations'!H391</f>
        <v>13.883154069739035</v>
      </c>
      <c r="F151" s="190">
        <f>'Published Ratio Reconciliation'!F170</f>
        <v>13.883154069739035</v>
      </c>
      <c r="G151" s="177" t="str">
        <f t="shared" si="2"/>
        <v>Numeric reproduction</v>
      </c>
      <c r="H151" s="184" t="s">
        <v>56</v>
      </c>
      <c r="I151" s="184" t="s">
        <v>9140</v>
      </c>
      <c r="J151" s="184" t="s">
        <v>87</v>
      </c>
      <c r="K151" s="184" t="s">
        <v>22</v>
      </c>
      <c r="L151" s="177">
        <v>2</v>
      </c>
      <c r="M151" s="177">
        <v>170</v>
      </c>
    </row>
    <row r="152" spans="1:13" ht="120" customHeight="1" x14ac:dyDescent="0.3">
      <c r="A152" s="180" t="s">
        <v>86</v>
      </c>
      <c r="B152" s="180">
        <v>2022</v>
      </c>
      <c r="C152" s="180" t="s">
        <v>103</v>
      </c>
      <c r="D152" s="189">
        <f>'Published Ratio Reconciliation'!D171</f>
        <v>9.2100000000000009</v>
      </c>
      <c r="E152" s="189">
        <f>'27 Calculations'!H392</f>
        <v>9.2130648554640278</v>
      </c>
      <c r="F152" s="189">
        <f>'Published Ratio Reconciliation'!F171</f>
        <v>9.2130648554640278</v>
      </c>
      <c r="G152" s="180" t="str">
        <f t="shared" si="2"/>
        <v>Numeric reproduction</v>
      </c>
      <c r="H152" s="183" t="s">
        <v>56</v>
      </c>
      <c r="I152" s="183" t="s">
        <v>9140</v>
      </c>
      <c r="J152" s="183" t="s">
        <v>87</v>
      </c>
      <c r="K152" s="183" t="s">
        <v>22</v>
      </c>
      <c r="L152" s="180">
        <v>2</v>
      </c>
      <c r="M152" s="180">
        <v>171</v>
      </c>
    </row>
    <row r="153" spans="1:13" ht="120" customHeight="1" x14ac:dyDescent="0.3">
      <c r="A153" s="177" t="s">
        <v>86</v>
      </c>
      <c r="B153" s="177">
        <v>2023</v>
      </c>
      <c r="C153" s="177" t="s">
        <v>103</v>
      </c>
      <c r="D153" s="190">
        <f>'Published Ratio Reconciliation'!D172</f>
        <v>-6.18</v>
      </c>
      <c r="E153" s="190" t="str">
        <f>'27 Calculations'!H393</f>
        <v>n/m</v>
      </c>
      <c r="F153" s="190">
        <f>'Published Ratio Reconciliation'!F172</f>
        <v>-6.1814243970257232</v>
      </c>
      <c r="G153" s="177" t="str">
        <f t="shared" si="2"/>
        <v>Numeric reproduction</v>
      </c>
      <c r="H153" s="184" t="s">
        <v>56</v>
      </c>
      <c r="I153" s="184" t="s">
        <v>9140</v>
      </c>
      <c r="J153" s="184" t="s">
        <v>87</v>
      </c>
      <c r="K153" s="184" t="s">
        <v>22</v>
      </c>
      <c r="L153" s="177">
        <v>2</v>
      </c>
      <c r="M153" s="177">
        <v>172</v>
      </c>
    </row>
    <row r="154" spans="1:13" ht="120" customHeight="1" x14ac:dyDescent="0.3">
      <c r="A154" s="180" t="s">
        <v>86</v>
      </c>
      <c r="B154" s="180">
        <v>2024</v>
      </c>
      <c r="C154" s="180" t="s">
        <v>103</v>
      </c>
      <c r="D154" s="189">
        <f>'Published Ratio Reconciliation'!D173</f>
        <v>72.92</v>
      </c>
      <c r="E154" s="189">
        <f>'27 Calculations'!H394</f>
        <v>72.91538429829842</v>
      </c>
      <c r="F154" s="189">
        <f>'Published Ratio Reconciliation'!F173</f>
        <v>72.91538429829842</v>
      </c>
      <c r="G154" s="180" t="str">
        <f t="shared" si="2"/>
        <v>Numeric reproduction</v>
      </c>
      <c r="H154" s="183" t="s">
        <v>56</v>
      </c>
      <c r="I154" s="183" t="s">
        <v>9140</v>
      </c>
      <c r="J154" s="183" t="s">
        <v>87</v>
      </c>
      <c r="K154" s="183" t="s">
        <v>22</v>
      </c>
      <c r="L154" s="180">
        <v>2</v>
      </c>
      <c r="M154" s="180">
        <v>173</v>
      </c>
    </row>
    <row r="155" spans="1:13" ht="120" customHeight="1" x14ac:dyDescent="0.3">
      <c r="A155" s="177" t="s">
        <v>86</v>
      </c>
      <c r="B155" s="177">
        <v>2025</v>
      </c>
      <c r="C155" s="177" t="s">
        <v>103</v>
      </c>
      <c r="D155" s="190">
        <f>'Published Ratio Reconciliation'!D174</f>
        <v>8.36</v>
      </c>
      <c r="E155" s="190">
        <f>'27 Calculations'!H395</f>
        <v>8.3613265542147914</v>
      </c>
      <c r="F155" s="190">
        <f>'Published Ratio Reconciliation'!F174</f>
        <v>8.3613265542147914</v>
      </c>
      <c r="G155" s="177" t="str">
        <f t="shared" si="2"/>
        <v>Numeric reproduction</v>
      </c>
      <c r="H155" s="184" t="s">
        <v>56</v>
      </c>
      <c r="I155" s="184" t="s">
        <v>9140</v>
      </c>
      <c r="J155" s="184" t="s">
        <v>87</v>
      </c>
      <c r="K155" s="184" t="s">
        <v>22</v>
      </c>
      <c r="L155" s="177">
        <v>2</v>
      </c>
      <c r="M155" s="177">
        <v>174</v>
      </c>
    </row>
    <row r="156" spans="1:13" ht="120" customHeight="1" x14ac:dyDescent="0.3">
      <c r="A156" s="180" t="s">
        <v>86</v>
      </c>
      <c r="B156" s="180">
        <v>2021</v>
      </c>
      <c r="C156" s="180" t="s">
        <v>104</v>
      </c>
      <c r="D156" s="189">
        <f>'Published Ratio Reconciliation'!D175</f>
        <v>8.5000000000000006E-3</v>
      </c>
      <c r="E156" s="189">
        <f>'27 Calculations'!H401</f>
        <v>8.4803256445047485E-3</v>
      </c>
      <c r="F156" s="189">
        <f>'Published Ratio Reconciliation'!F175</f>
        <v>8.4803256445047485E-3</v>
      </c>
      <c r="G156" s="180" t="str">
        <f t="shared" si="2"/>
        <v>Numeric reproduction</v>
      </c>
      <c r="H156" s="183" t="s">
        <v>105</v>
      </c>
      <c r="I156" s="183" t="s">
        <v>9140</v>
      </c>
      <c r="J156" s="183" t="s">
        <v>87</v>
      </c>
      <c r="K156" s="183" t="s">
        <v>22</v>
      </c>
      <c r="L156" s="180">
        <v>4</v>
      </c>
      <c r="M156" s="180">
        <v>175</v>
      </c>
    </row>
    <row r="157" spans="1:13" ht="120" customHeight="1" x14ac:dyDescent="0.3">
      <c r="A157" s="177" t="s">
        <v>86</v>
      </c>
      <c r="B157" s="177">
        <v>2022</v>
      </c>
      <c r="C157" s="177" t="s">
        <v>104</v>
      </c>
      <c r="D157" s="190">
        <f>'Published Ratio Reconciliation'!D176</f>
        <v>1.6E-2</v>
      </c>
      <c r="E157" s="190">
        <f>'27 Calculations'!H402</f>
        <v>1.6E-2</v>
      </c>
      <c r="F157" s="190">
        <f>'Published Ratio Reconciliation'!F176</f>
        <v>1.6E-2</v>
      </c>
      <c r="G157" s="177" t="str">
        <f t="shared" si="2"/>
        <v>Numeric reproduction</v>
      </c>
      <c r="H157" s="184" t="s">
        <v>105</v>
      </c>
      <c r="I157" s="184" t="s">
        <v>9140</v>
      </c>
      <c r="J157" s="184" t="s">
        <v>87</v>
      </c>
      <c r="K157" s="184" t="s">
        <v>22</v>
      </c>
      <c r="L157" s="177">
        <v>4</v>
      </c>
      <c r="M157" s="177">
        <v>176</v>
      </c>
    </row>
    <row r="158" spans="1:13" ht="120" customHeight="1" x14ac:dyDescent="0.3">
      <c r="A158" s="180" t="s">
        <v>86</v>
      </c>
      <c r="B158" s="180">
        <v>2023</v>
      </c>
      <c r="C158" s="180" t="s">
        <v>104</v>
      </c>
      <c r="D158" s="189">
        <f>'Published Ratio Reconciliation'!D177</f>
        <v>0</v>
      </c>
      <c r="E158" s="189">
        <f>'27 Calculations'!H403</f>
        <v>0</v>
      </c>
      <c r="F158" s="189">
        <f>'Published Ratio Reconciliation'!F177</f>
        <v>0</v>
      </c>
      <c r="G158" s="180" t="str">
        <f t="shared" si="2"/>
        <v>Numeric reproduction</v>
      </c>
      <c r="H158" s="183" t="s">
        <v>105</v>
      </c>
      <c r="I158" s="183" t="s">
        <v>9140</v>
      </c>
      <c r="J158" s="183" t="s">
        <v>87</v>
      </c>
      <c r="K158" s="183" t="s">
        <v>22</v>
      </c>
      <c r="L158" s="180">
        <v>4</v>
      </c>
      <c r="M158" s="180">
        <v>177</v>
      </c>
    </row>
    <row r="159" spans="1:13" ht="120" customHeight="1" x14ac:dyDescent="0.3">
      <c r="A159" s="177" t="s">
        <v>86</v>
      </c>
      <c r="B159" s="177">
        <v>2024</v>
      </c>
      <c r="C159" s="177" t="s">
        <v>104</v>
      </c>
      <c r="D159" s="190">
        <f>'Published Ratio Reconciliation'!D178</f>
        <v>0</v>
      </c>
      <c r="E159" s="190">
        <f>'27 Calculations'!H404</f>
        <v>0</v>
      </c>
      <c r="F159" s="190">
        <f>'Published Ratio Reconciliation'!F178</f>
        <v>0</v>
      </c>
      <c r="G159" s="177" t="str">
        <f t="shared" si="2"/>
        <v>Numeric reproduction</v>
      </c>
      <c r="H159" s="184" t="s">
        <v>105</v>
      </c>
      <c r="I159" s="184" t="s">
        <v>9140</v>
      </c>
      <c r="J159" s="184" t="s">
        <v>87</v>
      </c>
      <c r="K159" s="184" t="s">
        <v>22</v>
      </c>
      <c r="L159" s="177">
        <v>4</v>
      </c>
      <c r="M159" s="177">
        <v>178</v>
      </c>
    </row>
    <row r="160" spans="1:13" ht="120" customHeight="1" x14ac:dyDescent="0.3">
      <c r="A160" s="180" t="s">
        <v>86</v>
      </c>
      <c r="B160" s="180">
        <v>2025</v>
      </c>
      <c r="C160" s="180" t="s">
        <v>104</v>
      </c>
      <c r="D160" s="189">
        <f>'Published Ratio Reconciliation'!D179</f>
        <v>1.21E-2</v>
      </c>
      <c r="E160" s="189">
        <f>'27 Calculations'!H405</f>
        <v>1.2080212611741966E-2</v>
      </c>
      <c r="F160" s="189">
        <f>'Published Ratio Reconciliation'!F179</f>
        <v>1.2080212611741966E-2</v>
      </c>
      <c r="G160" s="180" t="str">
        <f t="shared" si="2"/>
        <v>Numeric reproduction</v>
      </c>
      <c r="H160" s="183" t="s">
        <v>105</v>
      </c>
      <c r="I160" s="183" t="s">
        <v>9140</v>
      </c>
      <c r="J160" s="183" t="s">
        <v>87</v>
      </c>
      <c r="K160" s="183" t="s">
        <v>22</v>
      </c>
      <c r="L160" s="180">
        <v>4</v>
      </c>
      <c r="M160" s="180">
        <v>179</v>
      </c>
    </row>
    <row r="161" spans="1:13" ht="120" customHeight="1" x14ac:dyDescent="0.3">
      <c r="A161" s="177" t="s">
        <v>106</v>
      </c>
      <c r="B161" s="177">
        <v>2021</v>
      </c>
      <c r="C161" s="177" t="s">
        <v>19</v>
      </c>
      <c r="D161" s="190">
        <f>'Published Ratio Reconciliation'!D180</f>
        <v>1.48</v>
      </c>
      <c r="E161" s="190">
        <f>'27 Calculations'!H411</f>
        <v>1.4780988568182505</v>
      </c>
      <c r="F161" s="190">
        <f>'Published Ratio Reconciliation'!F180</f>
        <v>1.4780988568182505</v>
      </c>
      <c r="G161" s="177" t="str">
        <f t="shared" si="2"/>
        <v>Numeric reproduction</v>
      </c>
      <c r="H161" s="184" t="s">
        <v>21</v>
      </c>
      <c r="I161" s="184" t="s">
        <v>9140</v>
      </c>
      <c r="J161" s="184" t="s">
        <v>107</v>
      </c>
      <c r="K161" s="184" t="s">
        <v>22</v>
      </c>
      <c r="L161" s="177">
        <v>2</v>
      </c>
      <c r="M161" s="177">
        <v>180</v>
      </c>
    </row>
    <row r="162" spans="1:13" ht="120" customHeight="1" x14ac:dyDescent="0.3">
      <c r="A162" s="180" t="s">
        <v>106</v>
      </c>
      <c r="B162" s="180">
        <v>2022</v>
      </c>
      <c r="C162" s="180" t="s">
        <v>19</v>
      </c>
      <c r="D162" s="189">
        <f>'Published Ratio Reconciliation'!D181</f>
        <v>1.25</v>
      </c>
      <c r="E162" s="189">
        <f>'27 Calculations'!H412</f>
        <v>1.2549557408945418</v>
      </c>
      <c r="F162" s="189">
        <f>'Published Ratio Reconciliation'!F181</f>
        <v>1.2549557408945418</v>
      </c>
      <c r="G162" s="180" t="str">
        <f t="shared" si="2"/>
        <v>Numeric reproduction</v>
      </c>
      <c r="H162" s="183" t="s">
        <v>21</v>
      </c>
      <c r="I162" s="183" t="s">
        <v>9140</v>
      </c>
      <c r="J162" s="183" t="s">
        <v>107</v>
      </c>
      <c r="K162" s="183" t="s">
        <v>22</v>
      </c>
      <c r="L162" s="180">
        <v>2</v>
      </c>
      <c r="M162" s="180">
        <v>181</v>
      </c>
    </row>
    <row r="163" spans="1:13" ht="120" customHeight="1" x14ac:dyDescent="0.3">
      <c r="A163" s="177" t="s">
        <v>106</v>
      </c>
      <c r="B163" s="177">
        <v>2023</v>
      </c>
      <c r="C163" s="177" t="s">
        <v>19</v>
      </c>
      <c r="D163" s="190">
        <f>'Published Ratio Reconciliation'!D182</f>
        <v>1.37</v>
      </c>
      <c r="E163" s="190">
        <f>'27 Calculations'!H413</f>
        <v>1.3715472215546312</v>
      </c>
      <c r="F163" s="190">
        <f>'Published Ratio Reconciliation'!F182</f>
        <v>1.3715472215546312</v>
      </c>
      <c r="G163" s="177" t="str">
        <f t="shared" si="2"/>
        <v>Numeric reproduction</v>
      </c>
      <c r="H163" s="184" t="s">
        <v>21</v>
      </c>
      <c r="I163" s="184" t="s">
        <v>9140</v>
      </c>
      <c r="J163" s="184" t="s">
        <v>107</v>
      </c>
      <c r="K163" s="184" t="s">
        <v>22</v>
      </c>
      <c r="L163" s="177">
        <v>2</v>
      </c>
      <c r="M163" s="177">
        <v>182</v>
      </c>
    </row>
    <row r="164" spans="1:13" ht="120" customHeight="1" x14ac:dyDescent="0.3">
      <c r="A164" s="180" t="s">
        <v>106</v>
      </c>
      <c r="B164" s="180">
        <v>2024</v>
      </c>
      <c r="C164" s="180" t="s">
        <v>19</v>
      </c>
      <c r="D164" s="189">
        <f>'Published Ratio Reconciliation'!D183</f>
        <v>1.44</v>
      </c>
      <c r="E164" s="189">
        <f>'27 Calculations'!H414</f>
        <v>1.4446782415124371</v>
      </c>
      <c r="F164" s="189">
        <f>'Published Ratio Reconciliation'!F183</f>
        <v>1.4446782415124371</v>
      </c>
      <c r="G164" s="180" t="str">
        <f t="shared" si="2"/>
        <v>Numeric reproduction</v>
      </c>
      <c r="H164" s="183" t="s">
        <v>21</v>
      </c>
      <c r="I164" s="183" t="s">
        <v>9140</v>
      </c>
      <c r="J164" s="183" t="s">
        <v>107</v>
      </c>
      <c r="K164" s="183" t="s">
        <v>22</v>
      </c>
      <c r="L164" s="180">
        <v>2</v>
      </c>
      <c r="M164" s="180">
        <v>183</v>
      </c>
    </row>
    <row r="165" spans="1:13" ht="120" customHeight="1" x14ac:dyDescent="0.3">
      <c r="A165" s="177" t="s">
        <v>106</v>
      </c>
      <c r="B165" s="177">
        <v>2025</v>
      </c>
      <c r="C165" s="177" t="s">
        <v>19</v>
      </c>
      <c r="D165" s="190">
        <f>'Published Ratio Reconciliation'!D184</f>
        <v>1.53</v>
      </c>
      <c r="E165" s="190">
        <f>'27 Calculations'!H415</f>
        <v>1.5324411303645513</v>
      </c>
      <c r="F165" s="190">
        <f>'Published Ratio Reconciliation'!F184</f>
        <v>1.5324411303645513</v>
      </c>
      <c r="G165" s="177" t="str">
        <f t="shared" si="2"/>
        <v>Numeric reproduction</v>
      </c>
      <c r="H165" s="184" t="s">
        <v>21</v>
      </c>
      <c r="I165" s="184" t="s">
        <v>9140</v>
      </c>
      <c r="J165" s="184" t="s">
        <v>107</v>
      </c>
      <c r="K165" s="184" t="s">
        <v>22</v>
      </c>
      <c r="L165" s="177">
        <v>2</v>
      </c>
      <c r="M165" s="177">
        <v>184</v>
      </c>
    </row>
    <row r="166" spans="1:13" ht="120" customHeight="1" x14ac:dyDescent="0.3">
      <c r="A166" s="180" t="s">
        <v>106</v>
      </c>
      <c r="B166" s="180">
        <v>2021</v>
      </c>
      <c r="C166" s="180" t="s">
        <v>88</v>
      </c>
      <c r="D166" s="189">
        <f>'Published Ratio Reconciliation'!D185</f>
        <v>0.44</v>
      </c>
      <c r="E166" s="189">
        <f>'27 Calculations'!H416</f>
        <v>0.43971691910387301</v>
      </c>
      <c r="F166" s="189">
        <f>'Published Ratio Reconciliation'!F185</f>
        <v>0.43971691910387301</v>
      </c>
      <c r="G166" s="180" t="str">
        <f t="shared" si="2"/>
        <v>Numeric reproduction</v>
      </c>
      <c r="H166" s="183" t="s">
        <v>21</v>
      </c>
      <c r="I166" s="183" t="s">
        <v>9140</v>
      </c>
      <c r="J166" s="183" t="s">
        <v>107</v>
      </c>
      <c r="K166" s="183" t="s">
        <v>22</v>
      </c>
      <c r="L166" s="180">
        <v>2</v>
      </c>
      <c r="M166" s="180">
        <v>185</v>
      </c>
    </row>
    <row r="167" spans="1:13" ht="120" customHeight="1" x14ac:dyDescent="0.3">
      <c r="A167" s="177" t="s">
        <v>106</v>
      </c>
      <c r="B167" s="177">
        <v>2022</v>
      </c>
      <c r="C167" s="177" t="s">
        <v>88</v>
      </c>
      <c r="D167" s="190">
        <f>'Published Ratio Reconciliation'!D186</f>
        <v>0.28999999999999998</v>
      </c>
      <c r="E167" s="190">
        <f>'27 Calculations'!H417</f>
        <v>0.29473524106223353</v>
      </c>
      <c r="F167" s="190">
        <f>'Published Ratio Reconciliation'!F186</f>
        <v>0.29473524106223353</v>
      </c>
      <c r="G167" s="177" t="str">
        <f t="shared" si="2"/>
        <v>Numeric reproduction</v>
      </c>
      <c r="H167" s="184" t="s">
        <v>21</v>
      </c>
      <c r="I167" s="184" t="s">
        <v>9140</v>
      </c>
      <c r="J167" s="184" t="s">
        <v>107</v>
      </c>
      <c r="K167" s="184" t="s">
        <v>22</v>
      </c>
      <c r="L167" s="177">
        <v>2</v>
      </c>
      <c r="M167" s="177">
        <v>186</v>
      </c>
    </row>
    <row r="168" spans="1:13" ht="120" customHeight="1" x14ac:dyDescent="0.3">
      <c r="A168" s="180" t="s">
        <v>106</v>
      </c>
      <c r="B168" s="180">
        <v>2023</v>
      </c>
      <c r="C168" s="180" t="s">
        <v>88</v>
      </c>
      <c r="D168" s="189">
        <f>'Published Ratio Reconciliation'!D187</f>
        <v>0.52</v>
      </c>
      <c r="E168" s="189">
        <f>'27 Calculations'!H418</f>
        <v>0.5204561252187091</v>
      </c>
      <c r="F168" s="189">
        <f>'Published Ratio Reconciliation'!F187</f>
        <v>0.5204561252187091</v>
      </c>
      <c r="G168" s="180" t="str">
        <f t="shared" si="2"/>
        <v>Numeric reproduction</v>
      </c>
      <c r="H168" s="183" t="s">
        <v>21</v>
      </c>
      <c r="I168" s="183" t="s">
        <v>9140</v>
      </c>
      <c r="J168" s="183" t="s">
        <v>107</v>
      </c>
      <c r="K168" s="183" t="s">
        <v>22</v>
      </c>
      <c r="L168" s="180">
        <v>2</v>
      </c>
      <c r="M168" s="180">
        <v>187</v>
      </c>
    </row>
    <row r="169" spans="1:13" ht="120" customHeight="1" x14ac:dyDescent="0.3">
      <c r="A169" s="177" t="s">
        <v>106</v>
      </c>
      <c r="B169" s="177">
        <v>2024</v>
      </c>
      <c r="C169" s="177" t="s">
        <v>88</v>
      </c>
      <c r="D169" s="190">
        <f>'Published Ratio Reconciliation'!D188</f>
        <v>0.61</v>
      </c>
      <c r="E169" s="190">
        <f>'27 Calculations'!H419</f>
        <v>0.60942670638462615</v>
      </c>
      <c r="F169" s="190">
        <f>'Published Ratio Reconciliation'!F188</f>
        <v>0.60942670638462615</v>
      </c>
      <c r="G169" s="177" t="str">
        <f t="shared" si="2"/>
        <v>Numeric reproduction</v>
      </c>
      <c r="H169" s="184" t="s">
        <v>21</v>
      </c>
      <c r="I169" s="184" t="s">
        <v>9140</v>
      </c>
      <c r="J169" s="184" t="s">
        <v>107</v>
      </c>
      <c r="K169" s="184" t="s">
        <v>22</v>
      </c>
      <c r="L169" s="177">
        <v>2</v>
      </c>
      <c r="M169" s="177">
        <v>188</v>
      </c>
    </row>
    <row r="170" spans="1:13" ht="120" customHeight="1" x14ac:dyDescent="0.3">
      <c r="A170" s="180" t="s">
        <v>106</v>
      </c>
      <c r="B170" s="180">
        <v>2025</v>
      </c>
      <c r="C170" s="180" t="s">
        <v>88</v>
      </c>
      <c r="D170" s="189">
        <f>'Published Ratio Reconciliation'!D189</f>
        <v>0.81</v>
      </c>
      <c r="E170" s="189">
        <f>'27 Calculations'!H420</f>
        <v>0.80788282595509864</v>
      </c>
      <c r="F170" s="189">
        <f>'Published Ratio Reconciliation'!F189</f>
        <v>0.80788282595509864</v>
      </c>
      <c r="G170" s="180" t="str">
        <f t="shared" si="2"/>
        <v>Numeric reproduction</v>
      </c>
      <c r="H170" s="183" t="s">
        <v>21</v>
      </c>
      <c r="I170" s="183" t="s">
        <v>9140</v>
      </c>
      <c r="J170" s="183" t="s">
        <v>107</v>
      </c>
      <c r="K170" s="183" t="s">
        <v>22</v>
      </c>
      <c r="L170" s="180">
        <v>2</v>
      </c>
      <c r="M170" s="180">
        <v>189</v>
      </c>
    </row>
    <row r="171" spans="1:13" ht="120" customHeight="1" x14ac:dyDescent="0.3">
      <c r="A171" s="177" t="s">
        <v>106</v>
      </c>
      <c r="B171" s="177">
        <v>2021</v>
      </c>
      <c r="C171" s="177" t="s">
        <v>108</v>
      </c>
      <c r="D171" s="190">
        <f>'Published Ratio Reconciliation'!D190</f>
        <v>25.99</v>
      </c>
      <c r="E171" s="190">
        <f>'27 Calculations'!H441</f>
        <v>143.11726813096334</v>
      </c>
      <c r="F171" s="190">
        <f>'Forensic Tests'!I253</f>
        <v>25.991469237649493</v>
      </c>
      <c r="G171" s="177" t="str">
        <f t="shared" si="2"/>
        <v>Numeric reproduction</v>
      </c>
      <c r="H171" s="184" t="s">
        <v>5801</v>
      </c>
      <c r="I171" s="184" t="s">
        <v>5704</v>
      </c>
      <c r="J171" s="184" t="s">
        <v>107</v>
      </c>
      <c r="K171" s="184" t="s">
        <v>5803</v>
      </c>
      <c r="L171" s="177">
        <v>2</v>
      </c>
      <c r="M171" s="177">
        <v>190</v>
      </c>
    </row>
    <row r="172" spans="1:13" ht="120" customHeight="1" x14ac:dyDescent="0.3">
      <c r="A172" s="180" t="s">
        <v>106</v>
      </c>
      <c r="B172" s="180">
        <v>2022</v>
      </c>
      <c r="C172" s="180" t="s">
        <v>108</v>
      </c>
      <c r="D172" s="189">
        <f>'Published Ratio Reconciliation'!D191</f>
        <v>24.88</v>
      </c>
      <c r="E172" s="189">
        <f>'27 Calculations'!H442</f>
        <v>138.1590454196257</v>
      </c>
      <c r="F172" s="189">
        <f>'Forensic Tests'!I257</f>
        <v>24.880345174155249</v>
      </c>
      <c r="G172" s="180" t="str">
        <f t="shared" si="2"/>
        <v>Numeric reproduction</v>
      </c>
      <c r="H172" s="183" t="s">
        <v>5801</v>
      </c>
      <c r="I172" s="183" t="s">
        <v>5704</v>
      </c>
      <c r="J172" s="183" t="s">
        <v>107</v>
      </c>
      <c r="K172" s="183" t="s">
        <v>5803</v>
      </c>
      <c r="L172" s="180">
        <v>2</v>
      </c>
      <c r="M172" s="180">
        <v>191</v>
      </c>
    </row>
    <row r="173" spans="1:13" ht="120" customHeight="1" x14ac:dyDescent="0.3">
      <c r="A173" s="177" t="s">
        <v>106</v>
      </c>
      <c r="B173" s="177">
        <v>2023</v>
      </c>
      <c r="C173" s="177" t="s">
        <v>108</v>
      </c>
      <c r="D173" s="190">
        <f>'Published Ratio Reconciliation'!D192</f>
        <v>27.31</v>
      </c>
      <c r="E173" s="190">
        <f>'27 Calculations'!H443</f>
        <v>122.0064954583065</v>
      </c>
      <c r="F173" s="190">
        <f>'Published Ratio Reconciliation'!F192</f>
        <v>27.312396072279871</v>
      </c>
      <c r="G173" s="177" t="str">
        <f t="shared" si="2"/>
        <v>Numeric reproduction</v>
      </c>
      <c r="H173" s="184" t="s">
        <v>109</v>
      </c>
      <c r="I173" s="184" t="s">
        <v>9140</v>
      </c>
      <c r="J173" s="184" t="s">
        <v>107</v>
      </c>
      <c r="K173" s="184" t="s">
        <v>22</v>
      </c>
      <c r="L173" s="177">
        <v>2</v>
      </c>
      <c r="M173" s="177">
        <v>192</v>
      </c>
    </row>
    <row r="174" spans="1:13" ht="120" customHeight="1" x14ac:dyDescent="0.3">
      <c r="A174" s="180" t="s">
        <v>106</v>
      </c>
      <c r="B174" s="180">
        <v>2024</v>
      </c>
      <c r="C174" s="180" t="s">
        <v>108</v>
      </c>
      <c r="D174" s="189">
        <f>'Published Ratio Reconciliation'!D193</f>
        <v>28.69</v>
      </c>
      <c r="E174" s="189">
        <f>'27 Calculations'!H444</f>
        <v>117.69043264844159</v>
      </c>
      <c r="F174" s="189">
        <f>'Forensic Tests'!I261</f>
        <v>28.688886693441162</v>
      </c>
      <c r="G174" s="180" t="str">
        <f t="shared" si="2"/>
        <v>Numeric reproduction</v>
      </c>
      <c r="H174" s="183" t="s">
        <v>5801</v>
      </c>
      <c r="I174" s="183" t="s">
        <v>5704</v>
      </c>
      <c r="J174" s="183" t="s">
        <v>107</v>
      </c>
      <c r="K174" s="183" t="s">
        <v>5803</v>
      </c>
      <c r="L174" s="180">
        <v>2</v>
      </c>
      <c r="M174" s="180">
        <v>193</v>
      </c>
    </row>
    <row r="175" spans="1:13" ht="120" customHeight="1" x14ac:dyDescent="0.3">
      <c r="A175" s="177" t="s">
        <v>106</v>
      </c>
      <c r="B175" s="177">
        <v>2025</v>
      </c>
      <c r="C175" s="177" t="s">
        <v>108</v>
      </c>
      <c r="D175" s="190">
        <f>'Published Ratio Reconciliation'!D194</f>
        <v>31.09</v>
      </c>
      <c r="E175" s="190">
        <f>'27 Calculations'!H445</f>
        <v>130.98525045452405</v>
      </c>
      <c r="F175" s="190">
        <f>'Published Ratio Reconciliation'!F194</f>
        <v>31.090758442796346</v>
      </c>
      <c r="G175" s="177" t="str">
        <f t="shared" si="2"/>
        <v>Numeric reproduction</v>
      </c>
      <c r="H175" s="184" t="s">
        <v>109</v>
      </c>
      <c r="I175" s="184" t="s">
        <v>9140</v>
      </c>
      <c r="J175" s="184" t="s">
        <v>107</v>
      </c>
      <c r="K175" s="184" t="s">
        <v>22</v>
      </c>
      <c r="L175" s="177">
        <v>2</v>
      </c>
      <c r="M175" s="177">
        <v>194</v>
      </c>
    </row>
    <row r="176" spans="1:13" ht="120" customHeight="1" x14ac:dyDescent="0.3">
      <c r="A176" s="180" t="s">
        <v>106</v>
      </c>
      <c r="B176" s="180">
        <v>2021</v>
      </c>
      <c r="C176" s="180" t="s">
        <v>71</v>
      </c>
      <c r="D176" s="189">
        <f>'Published Ratio Reconciliation'!D195</f>
        <v>24.3</v>
      </c>
      <c r="E176" s="189">
        <f>'27 Calculations'!H446</f>
        <v>24.299408826550263</v>
      </c>
      <c r="F176" s="189">
        <f>'Published Ratio Reconciliation'!F195</f>
        <v>24.299408826550263</v>
      </c>
      <c r="G176" s="180" t="str">
        <f t="shared" si="2"/>
        <v>Numeric reproduction</v>
      </c>
      <c r="H176" s="183" t="s">
        <v>72</v>
      </c>
      <c r="I176" s="183" t="s">
        <v>9140</v>
      </c>
      <c r="J176" s="183" t="s">
        <v>107</v>
      </c>
      <c r="K176" s="183" t="s">
        <v>22</v>
      </c>
      <c r="L176" s="180">
        <v>2</v>
      </c>
      <c r="M176" s="180">
        <v>195</v>
      </c>
    </row>
    <row r="177" spans="1:13" ht="120" customHeight="1" x14ac:dyDescent="0.3">
      <c r="A177" s="177" t="s">
        <v>106</v>
      </c>
      <c r="B177" s="177">
        <v>2022</v>
      </c>
      <c r="C177" s="177" t="s">
        <v>71</v>
      </c>
      <c r="D177" s="190">
        <f>'Published Ratio Reconciliation'!D196</f>
        <v>14.09</v>
      </c>
      <c r="E177" s="190">
        <f>'27 Calculations'!H447</f>
        <v>14.089756717395696</v>
      </c>
      <c r="F177" s="190">
        <f>'Published Ratio Reconciliation'!F196</f>
        <v>14.089756717395696</v>
      </c>
      <c r="G177" s="177" t="str">
        <f t="shared" si="2"/>
        <v>Numeric reproduction</v>
      </c>
      <c r="H177" s="184" t="s">
        <v>72</v>
      </c>
      <c r="I177" s="184" t="s">
        <v>9140</v>
      </c>
      <c r="J177" s="184" t="s">
        <v>107</v>
      </c>
      <c r="K177" s="184" t="s">
        <v>22</v>
      </c>
      <c r="L177" s="177">
        <v>2</v>
      </c>
      <c r="M177" s="177">
        <v>196</v>
      </c>
    </row>
    <row r="178" spans="1:13" ht="120" customHeight="1" x14ac:dyDescent="0.3">
      <c r="A178" s="180" t="s">
        <v>106</v>
      </c>
      <c r="B178" s="180">
        <v>2023</v>
      </c>
      <c r="C178" s="180" t="s">
        <v>71</v>
      </c>
      <c r="D178" s="189">
        <f>'Published Ratio Reconciliation'!D197</f>
        <v>13.72</v>
      </c>
      <c r="E178" s="189">
        <f>'27 Calculations'!H448</f>
        <v>13.72146433573479</v>
      </c>
      <c r="F178" s="189">
        <f>'Published Ratio Reconciliation'!F197</f>
        <v>13.72146433573479</v>
      </c>
      <c r="G178" s="180" t="str">
        <f t="shared" si="2"/>
        <v>Numeric reproduction</v>
      </c>
      <c r="H178" s="183" t="s">
        <v>72</v>
      </c>
      <c r="I178" s="183" t="s">
        <v>9140</v>
      </c>
      <c r="J178" s="183" t="s">
        <v>107</v>
      </c>
      <c r="K178" s="183" t="s">
        <v>22</v>
      </c>
      <c r="L178" s="180">
        <v>2</v>
      </c>
      <c r="M178" s="180">
        <v>197</v>
      </c>
    </row>
    <row r="179" spans="1:13" ht="120" customHeight="1" x14ac:dyDescent="0.3">
      <c r="A179" s="177" t="s">
        <v>106</v>
      </c>
      <c r="B179" s="177">
        <v>2024</v>
      </c>
      <c r="C179" s="177" t="s">
        <v>71</v>
      </c>
      <c r="D179" s="190">
        <f>'Published Ratio Reconciliation'!D198</f>
        <v>18.7</v>
      </c>
      <c r="E179" s="190">
        <f>'27 Calculations'!H449</f>
        <v>18.646831335440545</v>
      </c>
      <c r="F179" s="190">
        <f>'Forensic Tests'!I264</f>
        <v>18.697918544578741</v>
      </c>
      <c r="G179" s="177" t="str">
        <f t="shared" si="2"/>
        <v>Numeric reproduction</v>
      </c>
      <c r="H179" s="184" t="s">
        <v>5814</v>
      </c>
      <c r="I179" s="184" t="s">
        <v>5704</v>
      </c>
      <c r="J179" s="184" t="s">
        <v>107</v>
      </c>
      <c r="K179" s="184" t="s">
        <v>5803</v>
      </c>
      <c r="L179" s="177">
        <v>2</v>
      </c>
      <c r="M179" s="177">
        <v>198</v>
      </c>
    </row>
    <row r="180" spans="1:13" ht="120" customHeight="1" x14ac:dyDescent="0.3">
      <c r="A180" s="180" t="s">
        <v>106</v>
      </c>
      <c r="B180" s="180">
        <v>2025</v>
      </c>
      <c r="C180" s="180" t="s">
        <v>71</v>
      </c>
      <c r="D180" s="189">
        <f>'Published Ratio Reconciliation'!D199</f>
        <v>23.29</v>
      </c>
      <c r="E180" s="189">
        <f>'27 Calculations'!H450</f>
        <v>23.291952500495849</v>
      </c>
      <c r="F180" s="189">
        <f>'Published Ratio Reconciliation'!F199</f>
        <v>23.291952500495849</v>
      </c>
      <c r="G180" s="180" t="str">
        <f t="shared" si="2"/>
        <v>Numeric reproduction</v>
      </c>
      <c r="H180" s="183" t="s">
        <v>72</v>
      </c>
      <c r="I180" s="183" t="s">
        <v>9140</v>
      </c>
      <c r="J180" s="183" t="s">
        <v>107</v>
      </c>
      <c r="K180" s="183" t="s">
        <v>22</v>
      </c>
      <c r="L180" s="180">
        <v>2</v>
      </c>
      <c r="M180" s="180">
        <v>199</v>
      </c>
    </row>
    <row r="181" spans="1:13" ht="120" customHeight="1" x14ac:dyDescent="0.3">
      <c r="A181" s="177" t="s">
        <v>106</v>
      </c>
      <c r="B181" s="177">
        <v>2021</v>
      </c>
      <c r="C181" s="177" t="s">
        <v>45</v>
      </c>
      <c r="D181" s="190">
        <f>'Published Ratio Reconciliation'!D205</f>
        <v>0.54</v>
      </c>
      <c r="E181" s="190">
        <f>'27 Calculations'!H456</f>
        <v>0.53651401514370378</v>
      </c>
      <c r="F181" s="190">
        <f>'Published Ratio Reconciliation'!F205</f>
        <v>0.53651401514370378</v>
      </c>
      <c r="G181" s="177" t="str">
        <f t="shared" si="2"/>
        <v>Numeric reproduction</v>
      </c>
      <c r="H181" s="184" t="s">
        <v>46</v>
      </c>
      <c r="I181" s="184" t="s">
        <v>9140</v>
      </c>
      <c r="J181" s="184" t="s">
        <v>107</v>
      </c>
      <c r="K181" s="184" t="s">
        <v>22</v>
      </c>
      <c r="L181" s="177">
        <v>2</v>
      </c>
      <c r="M181" s="177">
        <v>205</v>
      </c>
    </row>
    <row r="182" spans="1:13" ht="120" customHeight="1" x14ac:dyDescent="0.3">
      <c r="A182" s="180" t="s">
        <v>106</v>
      </c>
      <c r="B182" s="180">
        <v>2022</v>
      </c>
      <c r="C182" s="180" t="s">
        <v>45</v>
      </c>
      <c r="D182" s="189">
        <f>'Published Ratio Reconciliation'!D206</f>
        <v>0.59</v>
      </c>
      <c r="E182" s="189">
        <f>'27 Calculations'!H457</f>
        <v>0.59016101960962719</v>
      </c>
      <c r="F182" s="189">
        <f>'Published Ratio Reconciliation'!F206</f>
        <v>0.59016101960962719</v>
      </c>
      <c r="G182" s="180" t="str">
        <f t="shared" si="2"/>
        <v>Numeric reproduction</v>
      </c>
      <c r="H182" s="183" t="s">
        <v>46</v>
      </c>
      <c r="I182" s="183" t="s">
        <v>9140</v>
      </c>
      <c r="J182" s="183" t="s">
        <v>107</v>
      </c>
      <c r="K182" s="183" t="s">
        <v>22</v>
      </c>
      <c r="L182" s="180">
        <v>2</v>
      </c>
      <c r="M182" s="180">
        <v>206</v>
      </c>
    </row>
    <row r="183" spans="1:13" ht="120" customHeight="1" x14ac:dyDescent="0.3">
      <c r="A183" s="177" t="s">
        <v>106</v>
      </c>
      <c r="B183" s="177">
        <v>2023</v>
      </c>
      <c r="C183" s="177" t="s">
        <v>45</v>
      </c>
      <c r="D183" s="190">
        <f>'Published Ratio Reconciliation'!D207</f>
        <v>0.69</v>
      </c>
      <c r="E183" s="190">
        <f>'27 Calculations'!H458</f>
        <v>0.69197238797008198</v>
      </c>
      <c r="F183" s="190">
        <f>'Published Ratio Reconciliation'!F207</f>
        <v>0.69197238797008198</v>
      </c>
      <c r="G183" s="177" t="str">
        <f t="shared" si="2"/>
        <v>Numeric reproduction</v>
      </c>
      <c r="H183" s="184" t="s">
        <v>46</v>
      </c>
      <c r="I183" s="184" t="s">
        <v>9140</v>
      </c>
      <c r="J183" s="184" t="s">
        <v>107</v>
      </c>
      <c r="K183" s="184" t="s">
        <v>22</v>
      </c>
      <c r="L183" s="177">
        <v>2</v>
      </c>
      <c r="M183" s="177">
        <v>207</v>
      </c>
    </row>
    <row r="184" spans="1:13" ht="120" customHeight="1" x14ac:dyDescent="0.3">
      <c r="A184" s="180" t="s">
        <v>106</v>
      </c>
      <c r="B184" s="180">
        <v>2024</v>
      </c>
      <c r="C184" s="180" t="s">
        <v>45</v>
      </c>
      <c r="D184" s="189">
        <f>'Published Ratio Reconciliation'!D208</f>
        <v>0.67</v>
      </c>
      <c r="E184" s="189">
        <f>'27 Calculations'!H459</f>
        <v>0.66876558045462819</v>
      </c>
      <c r="F184" s="189">
        <f>'Published Ratio Reconciliation'!F208</f>
        <v>0.66876558045462819</v>
      </c>
      <c r="G184" s="180" t="str">
        <f t="shared" si="2"/>
        <v>Numeric reproduction</v>
      </c>
      <c r="H184" s="183" t="s">
        <v>46</v>
      </c>
      <c r="I184" s="183" t="s">
        <v>9140</v>
      </c>
      <c r="J184" s="183" t="s">
        <v>107</v>
      </c>
      <c r="K184" s="183" t="s">
        <v>22</v>
      </c>
      <c r="L184" s="180">
        <v>2</v>
      </c>
      <c r="M184" s="180">
        <v>208</v>
      </c>
    </row>
    <row r="185" spans="1:13" ht="120" customHeight="1" x14ac:dyDescent="0.3">
      <c r="A185" s="177" t="s">
        <v>106</v>
      </c>
      <c r="B185" s="177">
        <v>2025</v>
      </c>
      <c r="C185" s="177" t="s">
        <v>45</v>
      </c>
      <c r="D185" s="190">
        <f>'Published Ratio Reconciliation'!D209</f>
        <v>0.57999999999999996</v>
      </c>
      <c r="E185" s="190">
        <f>'27 Calculations'!H460</f>
        <v>0.57883136984449801</v>
      </c>
      <c r="F185" s="190">
        <f>'Published Ratio Reconciliation'!F209</f>
        <v>0.57883136984449801</v>
      </c>
      <c r="G185" s="177" t="str">
        <f t="shared" si="2"/>
        <v>Numeric reproduction</v>
      </c>
      <c r="H185" s="184" t="s">
        <v>46</v>
      </c>
      <c r="I185" s="184" t="s">
        <v>9140</v>
      </c>
      <c r="J185" s="184" t="s">
        <v>107</v>
      </c>
      <c r="K185" s="184" t="s">
        <v>22</v>
      </c>
      <c r="L185" s="177">
        <v>2</v>
      </c>
      <c r="M185" s="177">
        <v>209</v>
      </c>
    </row>
    <row r="186" spans="1:13" ht="120" customHeight="1" x14ac:dyDescent="0.3">
      <c r="A186" s="180" t="s">
        <v>106</v>
      </c>
      <c r="B186" s="180">
        <v>2021</v>
      </c>
      <c r="C186" s="180" t="s">
        <v>47</v>
      </c>
      <c r="D186" s="189">
        <f>'Published Ratio Reconciliation'!D210</f>
        <v>0.8</v>
      </c>
      <c r="E186" s="189">
        <f>'27 Calculations'!H451</f>
        <v>0.8037513915639477</v>
      </c>
      <c r="F186" s="189">
        <f>'Published Ratio Reconciliation'!F210</f>
        <v>0.8037513915639477</v>
      </c>
      <c r="G186" s="180" t="str">
        <f t="shared" si="2"/>
        <v>Numeric reproduction</v>
      </c>
      <c r="H186" s="183" t="s">
        <v>113</v>
      </c>
      <c r="I186" s="183" t="s">
        <v>9140</v>
      </c>
      <c r="J186" s="183" t="s">
        <v>107</v>
      </c>
      <c r="K186" s="183" t="s">
        <v>22</v>
      </c>
      <c r="L186" s="180">
        <v>2</v>
      </c>
      <c r="M186" s="180">
        <v>210</v>
      </c>
    </row>
    <row r="187" spans="1:13" ht="120" customHeight="1" x14ac:dyDescent="0.3">
      <c r="A187" s="177" t="s">
        <v>106</v>
      </c>
      <c r="B187" s="177">
        <v>2022</v>
      </c>
      <c r="C187" s="177" t="s">
        <v>47</v>
      </c>
      <c r="D187" s="190">
        <f>'Published Ratio Reconciliation'!D211</f>
        <v>0.85</v>
      </c>
      <c r="E187" s="190">
        <f>'27 Calculations'!H452</f>
        <v>0.85444675022417971</v>
      </c>
      <c r="F187" s="190">
        <f>'Published Ratio Reconciliation'!F211</f>
        <v>0.85444675022417971</v>
      </c>
      <c r="G187" s="177" t="str">
        <f t="shared" si="2"/>
        <v>Numeric reproduction</v>
      </c>
      <c r="H187" s="184" t="s">
        <v>113</v>
      </c>
      <c r="I187" s="184" t="s">
        <v>9140</v>
      </c>
      <c r="J187" s="184" t="s">
        <v>107</v>
      </c>
      <c r="K187" s="184" t="s">
        <v>22</v>
      </c>
      <c r="L187" s="177">
        <v>2</v>
      </c>
      <c r="M187" s="177">
        <v>211</v>
      </c>
    </row>
    <row r="188" spans="1:13" ht="120" customHeight="1" x14ac:dyDescent="0.3">
      <c r="A188" s="180" t="s">
        <v>106</v>
      </c>
      <c r="B188" s="180">
        <v>2023</v>
      </c>
      <c r="C188" s="180" t="s">
        <v>47</v>
      </c>
      <c r="D188" s="189">
        <f>'Published Ratio Reconciliation'!D212</f>
        <v>1</v>
      </c>
      <c r="E188" s="189">
        <f>'27 Calculations'!H453</f>
        <v>0.99551999428815263</v>
      </c>
      <c r="F188" s="189">
        <f>'Published Ratio Reconciliation'!F212</f>
        <v>0.99551999428815263</v>
      </c>
      <c r="G188" s="180" t="str">
        <f t="shared" si="2"/>
        <v>Numeric reproduction</v>
      </c>
      <c r="H188" s="183" t="s">
        <v>113</v>
      </c>
      <c r="I188" s="183" t="s">
        <v>9140</v>
      </c>
      <c r="J188" s="183" t="s">
        <v>107</v>
      </c>
      <c r="K188" s="183" t="s">
        <v>22</v>
      </c>
      <c r="L188" s="180">
        <v>2</v>
      </c>
      <c r="M188" s="180">
        <v>212</v>
      </c>
    </row>
    <row r="189" spans="1:13" ht="120" customHeight="1" x14ac:dyDescent="0.3">
      <c r="A189" s="177" t="s">
        <v>106</v>
      </c>
      <c r="B189" s="177">
        <v>2024</v>
      </c>
      <c r="C189" s="177" t="s">
        <v>47</v>
      </c>
      <c r="D189" s="190">
        <f>'Published Ratio Reconciliation'!D213</f>
        <v>1.01</v>
      </c>
      <c r="E189" s="190">
        <f>'27 Calculations'!H454</f>
        <v>1.0069209161495893</v>
      </c>
      <c r="F189" s="190">
        <f>'Published Ratio Reconciliation'!F213</f>
        <v>1.0069209161495893</v>
      </c>
      <c r="G189" s="177" t="str">
        <f t="shared" si="2"/>
        <v>Numeric reproduction</v>
      </c>
      <c r="H189" s="184" t="s">
        <v>113</v>
      </c>
      <c r="I189" s="184" t="s">
        <v>9140</v>
      </c>
      <c r="J189" s="184" t="s">
        <v>107</v>
      </c>
      <c r="K189" s="184" t="s">
        <v>22</v>
      </c>
      <c r="L189" s="177">
        <v>2</v>
      </c>
      <c r="M189" s="177">
        <v>213</v>
      </c>
    </row>
    <row r="190" spans="1:13" ht="120" customHeight="1" x14ac:dyDescent="0.3">
      <c r="A190" s="180" t="s">
        <v>106</v>
      </c>
      <c r="B190" s="180">
        <v>2025</v>
      </c>
      <c r="C190" s="180" t="s">
        <v>47</v>
      </c>
      <c r="D190" s="189">
        <f>'Published Ratio Reconciliation'!D214</f>
        <v>1.1000000000000001</v>
      </c>
      <c r="E190" s="189">
        <f>'27 Calculations'!H455</f>
        <v>1.0971769908727151</v>
      </c>
      <c r="F190" s="189">
        <f>'Published Ratio Reconciliation'!F214</f>
        <v>1.0971769908727151</v>
      </c>
      <c r="G190" s="180" t="str">
        <f t="shared" si="2"/>
        <v>Numeric reproduction</v>
      </c>
      <c r="H190" s="183" t="s">
        <v>113</v>
      </c>
      <c r="I190" s="183" t="s">
        <v>9140</v>
      </c>
      <c r="J190" s="183" t="s">
        <v>107</v>
      </c>
      <c r="K190" s="183" t="s">
        <v>22</v>
      </c>
      <c r="L190" s="180">
        <v>2</v>
      </c>
      <c r="M190" s="180">
        <v>214</v>
      </c>
    </row>
    <row r="191" spans="1:13" ht="120" customHeight="1" x14ac:dyDescent="0.3">
      <c r="A191" s="177" t="s">
        <v>106</v>
      </c>
      <c r="B191" s="177">
        <v>2021</v>
      </c>
      <c r="C191" s="177" t="s">
        <v>99</v>
      </c>
      <c r="D191" s="190">
        <f>'Published Ratio Reconciliation'!D215</f>
        <v>5.88</v>
      </c>
      <c r="E191" s="190">
        <f>'27 Calculations'!H476</f>
        <v>6.0367662605249279</v>
      </c>
      <c r="F191" s="190">
        <f>'Published Ratio Reconciliation'!F215</f>
        <v>5.8794796275595225</v>
      </c>
      <c r="G191" s="177" t="str">
        <f t="shared" si="2"/>
        <v>Numeric reproduction</v>
      </c>
      <c r="H191" s="184" t="s">
        <v>50</v>
      </c>
      <c r="I191" s="184" t="s">
        <v>9140</v>
      </c>
      <c r="J191" s="184" t="s">
        <v>107</v>
      </c>
      <c r="K191" s="184" t="s">
        <v>22</v>
      </c>
      <c r="L191" s="177">
        <v>2</v>
      </c>
      <c r="M191" s="177">
        <v>215</v>
      </c>
    </row>
    <row r="192" spans="1:13" ht="120" customHeight="1" x14ac:dyDescent="0.3">
      <c r="A192" s="180" t="s">
        <v>106</v>
      </c>
      <c r="B192" s="180">
        <v>2022</v>
      </c>
      <c r="C192" s="180" t="s">
        <v>99</v>
      </c>
      <c r="D192" s="189">
        <f>'Published Ratio Reconciliation'!D216</f>
        <v>5.13</v>
      </c>
      <c r="E192" s="189">
        <f>'27 Calculations'!H477</f>
        <v>5.2505359388174728</v>
      </c>
      <c r="F192" s="189">
        <f>'Published Ratio Reconciliation'!F216</f>
        <v>5.1260222420572701</v>
      </c>
      <c r="G192" s="180" t="str">
        <f t="shared" si="2"/>
        <v>Numeric reproduction</v>
      </c>
      <c r="H192" s="183" t="s">
        <v>50</v>
      </c>
      <c r="I192" s="183" t="s">
        <v>9140</v>
      </c>
      <c r="J192" s="183" t="s">
        <v>107</v>
      </c>
      <c r="K192" s="183" t="s">
        <v>22</v>
      </c>
      <c r="L192" s="180">
        <v>2</v>
      </c>
      <c r="M192" s="180">
        <v>216</v>
      </c>
    </row>
    <row r="193" spans="1:13" ht="120" customHeight="1" x14ac:dyDescent="0.3">
      <c r="A193" s="177" t="s">
        <v>106</v>
      </c>
      <c r="B193" s="177">
        <v>2023</v>
      </c>
      <c r="C193" s="177" t="s">
        <v>99</v>
      </c>
      <c r="D193" s="190">
        <f>'Published Ratio Reconciliation'!D217</f>
        <v>4.3600000000000003</v>
      </c>
      <c r="E193" s="190">
        <f>'27 Calculations'!H478</f>
        <v>4.4476569735481268</v>
      </c>
      <c r="F193" s="190">
        <f>'Published Ratio Reconciliation'!F217</f>
        <v>4.3629641828331778</v>
      </c>
      <c r="G193" s="177" t="str">
        <f t="shared" si="2"/>
        <v>Numeric reproduction</v>
      </c>
      <c r="H193" s="184" t="s">
        <v>50</v>
      </c>
      <c r="I193" s="184" t="s">
        <v>9140</v>
      </c>
      <c r="J193" s="184" t="s">
        <v>107</v>
      </c>
      <c r="K193" s="184" t="s">
        <v>22</v>
      </c>
      <c r="L193" s="177">
        <v>2</v>
      </c>
      <c r="M193" s="177">
        <v>217</v>
      </c>
    </row>
    <row r="194" spans="1:13" ht="120" customHeight="1" x14ac:dyDescent="0.3">
      <c r="A194" s="180" t="s">
        <v>106</v>
      </c>
      <c r="B194" s="180">
        <v>2024</v>
      </c>
      <c r="C194" s="180" t="s">
        <v>99</v>
      </c>
      <c r="D194" s="189">
        <f>'Published Ratio Reconciliation'!D218</f>
        <v>3.16</v>
      </c>
      <c r="E194" s="189">
        <f>'27 Calculations'!H479</f>
        <v>3.2023484620581835</v>
      </c>
      <c r="F194" s="189">
        <f>'Published Ratio Reconciliation'!F218</f>
        <v>3.1582481249483476</v>
      </c>
      <c r="G194" s="180" t="str">
        <f t="shared" si="2"/>
        <v>Numeric reproduction</v>
      </c>
      <c r="H194" s="183" t="s">
        <v>50</v>
      </c>
      <c r="I194" s="183" t="s">
        <v>9140</v>
      </c>
      <c r="J194" s="183" t="s">
        <v>107</v>
      </c>
      <c r="K194" s="183" t="s">
        <v>22</v>
      </c>
      <c r="L194" s="180">
        <v>2</v>
      </c>
      <c r="M194" s="180">
        <v>218</v>
      </c>
    </row>
    <row r="195" spans="1:13" ht="120" customHeight="1" x14ac:dyDescent="0.3">
      <c r="A195" s="177" t="s">
        <v>106</v>
      </c>
      <c r="B195" s="177">
        <v>2025</v>
      </c>
      <c r="C195" s="177" t="s">
        <v>99</v>
      </c>
      <c r="D195" s="190">
        <f>'Published Ratio Reconciliation'!D219</f>
        <v>7.09</v>
      </c>
      <c r="E195" s="190">
        <f>'27 Calculations'!H480</f>
        <v>7.3457905408215804</v>
      </c>
      <c r="F195" s="190">
        <f>'Published Ratio Reconciliation'!F219</f>
        <v>7.0943822810249157</v>
      </c>
      <c r="G195" s="177" t="str">
        <f t="shared" si="2"/>
        <v>Numeric reproduction</v>
      </c>
      <c r="H195" s="184" t="s">
        <v>50</v>
      </c>
      <c r="I195" s="184" t="s">
        <v>9140</v>
      </c>
      <c r="J195" s="184" t="s">
        <v>107</v>
      </c>
      <c r="K195" s="184" t="s">
        <v>22</v>
      </c>
      <c r="L195" s="177">
        <v>2</v>
      </c>
      <c r="M195" s="177">
        <v>219</v>
      </c>
    </row>
    <row r="196" spans="1:13" ht="120" customHeight="1" x14ac:dyDescent="0.3">
      <c r="A196" s="180" t="s">
        <v>106</v>
      </c>
      <c r="B196" s="180">
        <v>2021</v>
      </c>
      <c r="C196" s="180" t="s">
        <v>103</v>
      </c>
      <c r="D196" s="189">
        <f>'Published Ratio Reconciliation'!D220</f>
        <v>8.25</v>
      </c>
      <c r="E196" s="189">
        <f>'27 Calculations'!H526</f>
        <v>8.2506229232653325</v>
      </c>
      <c r="F196" s="189">
        <f>'Published Ratio Reconciliation'!F220</f>
        <v>8.2506229232653325</v>
      </c>
      <c r="G196" s="180" t="str">
        <f t="shared" si="2"/>
        <v>Numeric reproduction</v>
      </c>
      <c r="H196" s="183" t="s">
        <v>56</v>
      </c>
      <c r="I196" s="183" t="s">
        <v>9140</v>
      </c>
      <c r="J196" s="183" t="s">
        <v>107</v>
      </c>
      <c r="K196" s="183" t="s">
        <v>22</v>
      </c>
      <c r="L196" s="180">
        <v>2</v>
      </c>
      <c r="M196" s="180">
        <v>220</v>
      </c>
    </row>
    <row r="197" spans="1:13" ht="120" customHeight="1" x14ac:dyDescent="0.3">
      <c r="A197" s="177" t="s">
        <v>106</v>
      </c>
      <c r="B197" s="177">
        <v>2022</v>
      </c>
      <c r="C197" s="177" t="s">
        <v>103</v>
      </c>
      <c r="D197" s="190">
        <f>'Published Ratio Reconciliation'!D221</f>
        <v>8.2799999999999994</v>
      </c>
      <c r="E197" s="190">
        <f>'27 Calculations'!H527</f>
        <v>8.2775695053414715</v>
      </c>
      <c r="F197" s="190">
        <f>'Published Ratio Reconciliation'!F221</f>
        <v>8.2775695053414715</v>
      </c>
      <c r="G197" s="177" t="str">
        <f t="shared" si="2"/>
        <v>Numeric reproduction</v>
      </c>
      <c r="H197" s="184" t="s">
        <v>56</v>
      </c>
      <c r="I197" s="184" t="s">
        <v>9140</v>
      </c>
      <c r="J197" s="184" t="s">
        <v>107</v>
      </c>
      <c r="K197" s="184" t="s">
        <v>22</v>
      </c>
      <c r="L197" s="177">
        <v>2</v>
      </c>
      <c r="M197" s="177">
        <v>221</v>
      </c>
    </row>
    <row r="198" spans="1:13" ht="120" customHeight="1" x14ac:dyDescent="0.3">
      <c r="A198" s="180" t="s">
        <v>106</v>
      </c>
      <c r="B198" s="180">
        <v>2023</v>
      </c>
      <c r="C198" s="180" t="s">
        <v>103</v>
      </c>
      <c r="D198" s="189">
        <f>'Published Ratio Reconciliation'!D222</f>
        <v>6.77</v>
      </c>
      <c r="E198" s="189">
        <f>'27 Calculations'!H528</f>
        <v>6.7702147353244424</v>
      </c>
      <c r="F198" s="189">
        <f>'Published Ratio Reconciliation'!F222</f>
        <v>6.7702147353244424</v>
      </c>
      <c r="G198" s="180" t="str">
        <f t="shared" ref="G198:G261" si="3">IF(AND(ISNUMBER(D198),ISNUMBER(F198)),IF(ROUND(D198,L198)=ROUND(F198,L198),"Numeric reproduction","Not reproduced"),"Not comparable")</f>
        <v>Numeric reproduction</v>
      </c>
      <c r="H198" s="183" t="s">
        <v>56</v>
      </c>
      <c r="I198" s="183" t="s">
        <v>9140</v>
      </c>
      <c r="J198" s="183" t="s">
        <v>107</v>
      </c>
      <c r="K198" s="183" t="s">
        <v>22</v>
      </c>
      <c r="L198" s="180">
        <v>2</v>
      </c>
      <c r="M198" s="180">
        <v>222</v>
      </c>
    </row>
    <row r="199" spans="1:13" ht="120" customHeight="1" x14ac:dyDescent="0.3">
      <c r="A199" s="177" t="s">
        <v>106</v>
      </c>
      <c r="B199" s="177">
        <v>2024</v>
      </c>
      <c r="C199" s="177" t="s">
        <v>103</v>
      </c>
      <c r="D199" s="190">
        <f>'Published Ratio Reconciliation'!D223</f>
        <v>7.63</v>
      </c>
      <c r="E199" s="190">
        <f>'27 Calculations'!H529</f>
        <v>7.6317519094733912</v>
      </c>
      <c r="F199" s="190">
        <f>'Published Ratio Reconciliation'!F223</f>
        <v>7.6317519094733912</v>
      </c>
      <c r="G199" s="177" t="str">
        <f t="shared" si="3"/>
        <v>Numeric reproduction</v>
      </c>
      <c r="H199" s="184" t="s">
        <v>56</v>
      </c>
      <c r="I199" s="184" t="s">
        <v>9140</v>
      </c>
      <c r="J199" s="184" t="s">
        <v>107</v>
      </c>
      <c r="K199" s="184" t="s">
        <v>22</v>
      </c>
      <c r="L199" s="177">
        <v>2</v>
      </c>
      <c r="M199" s="177">
        <v>223</v>
      </c>
    </row>
    <row r="200" spans="1:13" ht="120" customHeight="1" x14ac:dyDescent="0.3">
      <c r="A200" s="180" t="s">
        <v>106</v>
      </c>
      <c r="B200" s="180">
        <v>2025</v>
      </c>
      <c r="C200" s="180" t="s">
        <v>103</v>
      </c>
      <c r="D200" s="189">
        <f>'Published Ratio Reconciliation'!D224</f>
        <v>5.18</v>
      </c>
      <c r="E200" s="189">
        <f>'27 Calculations'!H530</f>
        <v>5.1823592062489379</v>
      </c>
      <c r="F200" s="189">
        <f>'Published Ratio Reconciliation'!F224</f>
        <v>5.1823592062489379</v>
      </c>
      <c r="G200" s="180" t="str">
        <f t="shared" si="3"/>
        <v>Numeric reproduction</v>
      </c>
      <c r="H200" s="183" t="s">
        <v>56</v>
      </c>
      <c r="I200" s="183" t="s">
        <v>9140</v>
      </c>
      <c r="J200" s="183" t="s">
        <v>107</v>
      </c>
      <c r="K200" s="183" t="s">
        <v>22</v>
      </c>
      <c r="L200" s="180">
        <v>2</v>
      </c>
      <c r="M200" s="180">
        <v>224</v>
      </c>
    </row>
    <row r="201" spans="1:13" ht="120" customHeight="1" x14ac:dyDescent="0.3">
      <c r="A201" s="177" t="s">
        <v>114</v>
      </c>
      <c r="B201" s="177">
        <v>2021</v>
      </c>
      <c r="C201" s="177" t="s">
        <v>115</v>
      </c>
      <c r="D201" s="190">
        <f>'Published Ratio Reconciliation'!D225</f>
        <v>48</v>
      </c>
      <c r="E201" s="190">
        <f>'27 Calculations'!H611</f>
        <v>56.450885878061477</v>
      </c>
      <c r="F201" s="190">
        <f>'Published Ratio Reconciliation'!F225</f>
        <v>47.593251416217385</v>
      </c>
      <c r="G201" s="177" t="str">
        <f t="shared" si="3"/>
        <v>Numeric reproduction</v>
      </c>
      <c r="H201" s="184" t="s">
        <v>50</v>
      </c>
      <c r="I201" s="184" t="s">
        <v>9140</v>
      </c>
      <c r="J201" s="184" t="s">
        <v>117</v>
      </c>
      <c r="K201" s="184" t="s">
        <v>116</v>
      </c>
      <c r="L201" s="177">
        <v>0</v>
      </c>
      <c r="M201" s="177">
        <v>225</v>
      </c>
    </row>
    <row r="202" spans="1:13" ht="120" customHeight="1" x14ac:dyDescent="0.3">
      <c r="A202" s="180" t="s">
        <v>114</v>
      </c>
      <c r="B202" s="180">
        <v>2022</v>
      </c>
      <c r="C202" s="180" t="s">
        <v>115</v>
      </c>
      <c r="D202" s="189">
        <f>'Published Ratio Reconciliation'!D226</f>
        <v>11</v>
      </c>
      <c r="E202" s="189">
        <f>'27 Calculations'!H612</f>
        <v>12.583415391911771</v>
      </c>
      <c r="F202" s="189">
        <f>'Published Ratio Reconciliation'!F226</f>
        <v>10.593856419543082</v>
      </c>
      <c r="G202" s="180" t="str">
        <f t="shared" si="3"/>
        <v>Numeric reproduction</v>
      </c>
      <c r="H202" s="183" t="s">
        <v>50</v>
      </c>
      <c r="I202" s="183" t="s">
        <v>9140</v>
      </c>
      <c r="J202" s="183" t="s">
        <v>117</v>
      </c>
      <c r="K202" s="183" t="s">
        <v>116</v>
      </c>
      <c r="L202" s="180">
        <v>0</v>
      </c>
      <c r="M202" s="180">
        <v>226</v>
      </c>
    </row>
    <row r="203" spans="1:13" ht="120" customHeight="1" x14ac:dyDescent="0.3">
      <c r="A203" s="177" t="s">
        <v>114</v>
      </c>
      <c r="B203" s="177">
        <v>2023</v>
      </c>
      <c r="C203" s="177" t="s">
        <v>115</v>
      </c>
      <c r="D203" s="190">
        <f>'Published Ratio Reconciliation'!D227</f>
        <v>6.38</v>
      </c>
      <c r="E203" s="190">
        <f>'27 Calculations'!H613</f>
        <v>5.9146829675290808</v>
      </c>
      <c r="F203" s="190">
        <f>'Published Ratio Reconciliation'!F227</f>
        <v>6.3834948815521004</v>
      </c>
      <c r="G203" s="177" t="str">
        <f t="shared" si="3"/>
        <v>Numeric reproduction</v>
      </c>
      <c r="H203" s="184" t="s">
        <v>119</v>
      </c>
      <c r="I203" s="184" t="s">
        <v>9140</v>
      </c>
      <c r="J203" s="184" t="s">
        <v>117</v>
      </c>
      <c r="K203" s="184" t="s">
        <v>116</v>
      </c>
      <c r="L203" s="177">
        <v>2</v>
      </c>
      <c r="M203" s="177">
        <v>227</v>
      </c>
    </row>
    <row r="204" spans="1:13" ht="120" customHeight="1" x14ac:dyDescent="0.3">
      <c r="A204" s="180" t="s">
        <v>114</v>
      </c>
      <c r="B204" s="180">
        <v>2024</v>
      </c>
      <c r="C204" s="180" t="s">
        <v>115</v>
      </c>
      <c r="D204" s="189">
        <f>'Published Ratio Reconciliation'!D228</f>
        <v>3.82</v>
      </c>
      <c r="E204" s="189">
        <f>'27 Calculations'!H614</f>
        <v>3.7798126521954241</v>
      </c>
      <c r="F204" s="189">
        <f>'Published Ratio Reconciliation'!F228</f>
        <v>3.8200154619985169</v>
      </c>
      <c r="G204" s="180" t="str">
        <f t="shared" si="3"/>
        <v>Numeric reproduction</v>
      </c>
      <c r="H204" s="183" t="s">
        <v>119</v>
      </c>
      <c r="I204" s="183" t="s">
        <v>9140</v>
      </c>
      <c r="J204" s="183" t="s">
        <v>117</v>
      </c>
      <c r="K204" s="183" t="s">
        <v>116</v>
      </c>
      <c r="L204" s="180">
        <v>2</v>
      </c>
      <c r="M204" s="180">
        <v>228</v>
      </c>
    </row>
    <row r="205" spans="1:13" ht="120" customHeight="1" x14ac:dyDescent="0.3">
      <c r="A205" s="177" t="s">
        <v>114</v>
      </c>
      <c r="B205" s="177">
        <v>2025</v>
      </c>
      <c r="C205" s="177" t="s">
        <v>115</v>
      </c>
      <c r="D205" s="190">
        <f>'Published Ratio Reconciliation'!D229</f>
        <v>4.84</v>
      </c>
      <c r="E205" s="190">
        <f>'27 Calculations'!H615</f>
        <v>4.7935258018729412</v>
      </c>
      <c r="F205" s="190">
        <f>'Forensic Tests'!I282</f>
        <v>4.8345720406996149</v>
      </c>
      <c r="G205" s="177" t="str">
        <f t="shared" si="3"/>
        <v>Not reproduced</v>
      </c>
      <c r="H205" s="184" t="s">
        <v>5828</v>
      </c>
      <c r="I205" s="184" t="s">
        <v>5707</v>
      </c>
      <c r="J205" s="184" t="s">
        <v>117</v>
      </c>
      <c r="K205" s="184" t="s">
        <v>5830</v>
      </c>
      <c r="L205" s="177">
        <v>2</v>
      </c>
      <c r="M205" s="177">
        <v>229</v>
      </c>
    </row>
    <row r="206" spans="1:13" ht="120" customHeight="1" x14ac:dyDescent="0.3">
      <c r="A206" s="180" t="s">
        <v>114</v>
      </c>
      <c r="B206" s="180">
        <v>2021</v>
      </c>
      <c r="C206" s="180" t="s">
        <v>120</v>
      </c>
      <c r="D206" s="189">
        <f>'Published Ratio Reconciliation'!D230</f>
        <v>16.87</v>
      </c>
      <c r="E206" s="189">
        <f>'27 Calculations'!H656</f>
        <v>16.868689643176804</v>
      </c>
      <c r="F206" s="189">
        <f>'Published Ratio Reconciliation'!F230</f>
        <v>16.868689643176804</v>
      </c>
      <c r="G206" s="180" t="str">
        <f t="shared" si="3"/>
        <v>Numeric reproduction</v>
      </c>
      <c r="H206" s="183" t="s">
        <v>121</v>
      </c>
      <c r="I206" s="183" t="s">
        <v>9140</v>
      </c>
      <c r="J206" s="183" t="s">
        <v>117</v>
      </c>
      <c r="K206" s="183" t="s">
        <v>22</v>
      </c>
      <c r="L206" s="180">
        <v>2</v>
      </c>
      <c r="M206" s="180">
        <v>230</v>
      </c>
    </row>
    <row r="207" spans="1:13" ht="120" customHeight="1" x14ac:dyDescent="0.3">
      <c r="A207" s="177" t="s">
        <v>114</v>
      </c>
      <c r="B207" s="177">
        <v>2022</v>
      </c>
      <c r="C207" s="177" t="s">
        <v>120</v>
      </c>
      <c r="D207" s="190">
        <f>'Published Ratio Reconciliation'!D231</f>
        <v>26.48</v>
      </c>
      <c r="E207" s="190">
        <f>'27 Calculations'!H657</f>
        <v>26.480675904195227</v>
      </c>
      <c r="F207" s="190">
        <f>'Published Ratio Reconciliation'!F231</f>
        <v>26.480675904195227</v>
      </c>
      <c r="G207" s="177" t="str">
        <f t="shared" si="3"/>
        <v>Numeric reproduction</v>
      </c>
      <c r="H207" s="184" t="s">
        <v>121</v>
      </c>
      <c r="I207" s="184" t="s">
        <v>9140</v>
      </c>
      <c r="J207" s="184" t="s">
        <v>117</v>
      </c>
      <c r="K207" s="184" t="s">
        <v>22</v>
      </c>
      <c r="L207" s="177">
        <v>2</v>
      </c>
      <c r="M207" s="177">
        <v>231</v>
      </c>
    </row>
    <row r="208" spans="1:13" ht="120" customHeight="1" x14ac:dyDescent="0.3">
      <c r="A208" s="180" t="s">
        <v>114</v>
      </c>
      <c r="B208" s="180">
        <v>2023</v>
      </c>
      <c r="C208" s="180" t="s">
        <v>120</v>
      </c>
      <c r="D208" s="189">
        <f>'Published Ratio Reconciliation'!D232</f>
        <v>26.57</v>
      </c>
      <c r="E208" s="189">
        <f>'27 Calculations'!H658</f>
        <v>26.571458006604239</v>
      </c>
      <c r="F208" s="189">
        <f>'Published Ratio Reconciliation'!F232</f>
        <v>26.571458006604239</v>
      </c>
      <c r="G208" s="180" t="str">
        <f t="shared" si="3"/>
        <v>Numeric reproduction</v>
      </c>
      <c r="H208" s="183" t="s">
        <v>121</v>
      </c>
      <c r="I208" s="183" t="s">
        <v>9140</v>
      </c>
      <c r="J208" s="183" t="s">
        <v>117</v>
      </c>
      <c r="K208" s="183" t="s">
        <v>22</v>
      </c>
      <c r="L208" s="180">
        <v>2</v>
      </c>
      <c r="M208" s="180">
        <v>232</v>
      </c>
    </row>
    <row r="209" spans="1:13" ht="120" customHeight="1" x14ac:dyDescent="0.3">
      <c r="A209" s="177" t="s">
        <v>114</v>
      </c>
      <c r="B209" s="177">
        <v>2024</v>
      </c>
      <c r="C209" s="177" t="s">
        <v>120</v>
      </c>
      <c r="D209" s="190">
        <f>'Published Ratio Reconciliation'!D233</f>
        <v>29.92</v>
      </c>
      <c r="E209" s="190">
        <f>'27 Calculations'!H659</f>
        <v>29.923935347634316</v>
      </c>
      <c r="F209" s="190">
        <f>'Published Ratio Reconciliation'!F233</f>
        <v>29.923935347634316</v>
      </c>
      <c r="G209" s="177" t="str">
        <f t="shared" si="3"/>
        <v>Numeric reproduction</v>
      </c>
      <c r="H209" s="184" t="s">
        <v>121</v>
      </c>
      <c r="I209" s="184" t="s">
        <v>9140</v>
      </c>
      <c r="J209" s="184" t="s">
        <v>117</v>
      </c>
      <c r="K209" s="184" t="s">
        <v>22</v>
      </c>
      <c r="L209" s="177">
        <v>2</v>
      </c>
      <c r="M209" s="177">
        <v>233</v>
      </c>
    </row>
    <row r="210" spans="1:13" ht="120" customHeight="1" x14ac:dyDescent="0.3">
      <c r="A210" s="180" t="s">
        <v>114</v>
      </c>
      <c r="B210" s="180">
        <v>2025</v>
      </c>
      <c r="C210" s="180" t="s">
        <v>120</v>
      </c>
      <c r="D210" s="189">
        <f>'Published Ratio Reconciliation'!D234</f>
        <v>34.36</v>
      </c>
      <c r="E210" s="189">
        <f>'27 Calculations'!H660</f>
        <v>34.356887072804682</v>
      </c>
      <c r="F210" s="189">
        <f>'Published Ratio Reconciliation'!F234</f>
        <v>34.356887072804682</v>
      </c>
      <c r="G210" s="180" t="str">
        <f t="shared" si="3"/>
        <v>Numeric reproduction</v>
      </c>
      <c r="H210" s="183" t="s">
        <v>121</v>
      </c>
      <c r="I210" s="183" t="s">
        <v>9140</v>
      </c>
      <c r="J210" s="183" t="s">
        <v>117</v>
      </c>
      <c r="K210" s="183" t="s">
        <v>22</v>
      </c>
      <c r="L210" s="180">
        <v>2</v>
      </c>
      <c r="M210" s="180">
        <v>234</v>
      </c>
    </row>
    <row r="211" spans="1:13" ht="120" customHeight="1" x14ac:dyDescent="0.3">
      <c r="A211" s="177" t="s">
        <v>114</v>
      </c>
      <c r="B211" s="177">
        <v>2021</v>
      </c>
      <c r="C211" s="177" t="s">
        <v>122</v>
      </c>
      <c r="D211" s="190">
        <f>'Published Ratio Reconciliation'!D235</f>
        <v>2.52</v>
      </c>
      <c r="E211" s="190">
        <f>'27 Calculations'!H651</f>
        <v>2.5158090033808875</v>
      </c>
      <c r="F211" s="190">
        <f>'Published Ratio Reconciliation'!F235</f>
        <v>2.5158090033808875</v>
      </c>
      <c r="G211" s="177" t="str">
        <f t="shared" si="3"/>
        <v>Numeric reproduction</v>
      </c>
      <c r="H211" s="184" t="s">
        <v>83</v>
      </c>
      <c r="I211" s="184" t="s">
        <v>9140</v>
      </c>
      <c r="J211" s="184" t="s">
        <v>117</v>
      </c>
      <c r="K211" s="184" t="s">
        <v>22</v>
      </c>
      <c r="L211" s="177">
        <v>2</v>
      </c>
      <c r="M211" s="177">
        <v>235</v>
      </c>
    </row>
    <row r="212" spans="1:13" ht="120" customHeight="1" x14ac:dyDescent="0.3">
      <c r="A212" s="180" t="s">
        <v>114</v>
      </c>
      <c r="B212" s="180">
        <v>2022</v>
      </c>
      <c r="C212" s="180" t="s">
        <v>122</v>
      </c>
      <c r="D212" s="189">
        <f>'Published Ratio Reconciliation'!D236</f>
        <v>3.02</v>
      </c>
      <c r="E212" s="189">
        <f>'27 Calculations'!H652</f>
        <v>3.2621706372812294</v>
      </c>
      <c r="F212" s="189">
        <f>'Published Ratio Reconciliation'!F236</f>
        <v>3.0220616696812757</v>
      </c>
      <c r="G212" s="180" t="str">
        <f t="shared" si="3"/>
        <v>Numeric reproduction</v>
      </c>
      <c r="H212" s="183" t="s">
        <v>83</v>
      </c>
      <c r="I212" s="183" t="s">
        <v>9140</v>
      </c>
      <c r="J212" s="183" t="s">
        <v>117</v>
      </c>
      <c r="K212" s="183" t="s">
        <v>22</v>
      </c>
      <c r="L212" s="180">
        <v>2</v>
      </c>
      <c r="M212" s="180">
        <v>236</v>
      </c>
    </row>
    <row r="213" spans="1:13" ht="120" customHeight="1" x14ac:dyDescent="0.3">
      <c r="A213" s="177" t="s">
        <v>114</v>
      </c>
      <c r="B213" s="177">
        <v>2023</v>
      </c>
      <c r="C213" s="177" t="s">
        <v>122</v>
      </c>
      <c r="D213" s="190">
        <f>'Published Ratio Reconciliation'!D237</f>
        <v>3.16</v>
      </c>
      <c r="E213" s="190">
        <f>'27 Calculations'!H653</f>
        <v>3.0330791851886794</v>
      </c>
      <c r="F213" s="190">
        <f>'Published Ratio Reconciliation'!F237</f>
        <v>3.1610612783557048</v>
      </c>
      <c r="G213" s="177" t="str">
        <f t="shared" si="3"/>
        <v>Numeric reproduction</v>
      </c>
      <c r="H213" s="184" t="s">
        <v>83</v>
      </c>
      <c r="I213" s="184" t="s">
        <v>9140</v>
      </c>
      <c r="J213" s="184" t="s">
        <v>117</v>
      </c>
      <c r="K213" s="184" t="s">
        <v>22</v>
      </c>
      <c r="L213" s="177">
        <v>2</v>
      </c>
      <c r="M213" s="177">
        <v>237</v>
      </c>
    </row>
    <row r="214" spans="1:13" ht="120" customHeight="1" x14ac:dyDescent="0.3">
      <c r="A214" s="180" t="s">
        <v>114</v>
      </c>
      <c r="B214" s="180">
        <v>2024</v>
      </c>
      <c r="C214" s="180" t="s">
        <v>122</v>
      </c>
      <c r="D214" s="189">
        <f>'Published Ratio Reconciliation'!D238</f>
        <v>3.35</v>
      </c>
      <c r="E214" s="189">
        <f>'27 Calculations'!H654</f>
        <v>3.3524781610919856</v>
      </c>
      <c r="F214" s="189">
        <f>'Published Ratio Reconciliation'!F238</f>
        <v>3.3524781610919856</v>
      </c>
      <c r="G214" s="180" t="str">
        <f t="shared" si="3"/>
        <v>Numeric reproduction</v>
      </c>
      <c r="H214" s="183" t="s">
        <v>83</v>
      </c>
      <c r="I214" s="183" t="s">
        <v>9140</v>
      </c>
      <c r="J214" s="183" t="s">
        <v>117</v>
      </c>
      <c r="K214" s="183" t="s">
        <v>22</v>
      </c>
      <c r="L214" s="180">
        <v>2</v>
      </c>
      <c r="M214" s="180">
        <v>238</v>
      </c>
    </row>
    <row r="215" spans="1:13" ht="120" customHeight="1" x14ac:dyDescent="0.3">
      <c r="A215" s="177" t="s">
        <v>114</v>
      </c>
      <c r="B215" s="177">
        <v>2025</v>
      </c>
      <c r="C215" s="177" t="s">
        <v>122</v>
      </c>
      <c r="D215" s="190">
        <f>'Published Ratio Reconciliation'!D239</f>
        <v>5.43</v>
      </c>
      <c r="E215" s="190">
        <f>'27 Calculations'!H655</f>
        <v>5.4329528095311241</v>
      </c>
      <c r="F215" s="190">
        <f>'Published Ratio Reconciliation'!F239</f>
        <v>5.4329528095311241</v>
      </c>
      <c r="G215" s="177" t="str">
        <f t="shared" si="3"/>
        <v>Numeric reproduction</v>
      </c>
      <c r="H215" s="184" t="s">
        <v>83</v>
      </c>
      <c r="I215" s="184" t="s">
        <v>9140</v>
      </c>
      <c r="J215" s="184" t="s">
        <v>117</v>
      </c>
      <c r="K215" s="184" t="s">
        <v>22</v>
      </c>
      <c r="L215" s="177">
        <v>2</v>
      </c>
      <c r="M215" s="177">
        <v>239</v>
      </c>
    </row>
    <row r="216" spans="1:13" ht="120" customHeight="1" x14ac:dyDescent="0.3">
      <c r="A216" s="180" t="s">
        <v>114</v>
      </c>
      <c r="B216" s="180">
        <v>2021</v>
      </c>
      <c r="C216" s="180" t="s">
        <v>103</v>
      </c>
      <c r="D216" s="189">
        <f>'Published Ratio Reconciliation'!D240</f>
        <v>7.96</v>
      </c>
      <c r="E216" s="189">
        <f>'27 Calculations'!H661</f>
        <v>9.1421884447870596</v>
      </c>
      <c r="F216" s="189">
        <f>'Forensic Tests'!I304</f>
        <v>9.1421884447870596</v>
      </c>
      <c r="G216" s="180" t="str">
        <f t="shared" si="3"/>
        <v>Not reproduced</v>
      </c>
      <c r="H216" s="183" t="s">
        <v>5837</v>
      </c>
      <c r="I216" s="183" t="s">
        <v>5707</v>
      </c>
      <c r="J216" s="183" t="s">
        <v>117</v>
      </c>
      <c r="K216" s="183" t="s">
        <v>5839</v>
      </c>
      <c r="L216" s="180">
        <v>2</v>
      </c>
      <c r="M216" s="180">
        <v>240</v>
      </c>
    </row>
    <row r="217" spans="1:13" ht="120" customHeight="1" x14ac:dyDescent="0.3">
      <c r="A217" s="177" t="s">
        <v>114</v>
      </c>
      <c r="B217" s="177">
        <v>2022</v>
      </c>
      <c r="C217" s="177" t="s">
        <v>103</v>
      </c>
      <c r="D217" s="190">
        <f>'Published Ratio Reconciliation'!D241</f>
        <v>6</v>
      </c>
      <c r="E217" s="190">
        <f>'27 Calculations'!H662</f>
        <v>4.3437335368236942</v>
      </c>
      <c r="F217" s="190">
        <f>'Forensic Tests'!I324</f>
        <v>4.6888520317636173</v>
      </c>
      <c r="G217" s="177" t="str">
        <f t="shared" si="3"/>
        <v>Not reproduced</v>
      </c>
      <c r="H217" s="184" t="s">
        <v>5837</v>
      </c>
      <c r="I217" s="184" t="s">
        <v>5707</v>
      </c>
      <c r="J217" s="184" t="s">
        <v>117</v>
      </c>
      <c r="K217" s="184" t="s">
        <v>5839</v>
      </c>
      <c r="L217" s="177">
        <v>2</v>
      </c>
      <c r="M217" s="177">
        <v>241</v>
      </c>
    </row>
    <row r="218" spans="1:13" ht="120" customHeight="1" x14ac:dyDescent="0.3">
      <c r="A218" s="180" t="s">
        <v>114</v>
      </c>
      <c r="B218" s="180">
        <v>2023</v>
      </c>
      <c r="C218" s="180" t="s">
        <v>103</v>
      </c>
      <c r="D218" s="189">
        <f>'Published Ratio Reconciliation'!D242</f>
        <v>3.92</v>
      </c>
      <c r="E218" s="189">
        <f>'27 Calculations'!H663</f>
        <v>3.877247932539039</v>
      </c>
      <c r="F218" s="189">
        <f>'Forensic Tests'!I344</f>
        <v>3.7202695438151143</v>
      </c>
      <c r="G218" s="180" t="str">
        <f t="shared" si="3"/>
        <v>Not reproduced</v>
      </c>
      <c r="H218" s="183" t="s">
        <v>5837</v>
      </c>
      <c r="I218" s="183" t="s">
        <v>5707</v>
      </c>
      <c r="J218" s="183" t="s">
        <v>117</v>
      </c>
      <c r="K218" s="183" t="s">
        <v>5839</v>
      </c>
      <c r="L218" s="180">
        <v>2</v>
      </c>
      <c r="M218" s="180">
        <v>242</v>
      </c>
    </row>
    <row r="219" spans="1:13" ht="120" customHeight="1" x14ac:dyDescent="0.3">
      <c r="A219" s="177" t="s">
        <v>114</v>
      </c>
      <c r="B219" s="177">
        <v>2024</v>
      </c>
      <c r="C219" s="177" t="s">
        <v>103</v>
      </c>
      <c r="D219" s="190">
        <f>'Published Ratio Reconciliation'!D243</f>
        <v>5.26</v>
      </c>
      <c r="E219" s="190">
        <f>'27 Calculations'!H664</f>
        <v>6.8337507059367812</v>
      </c>
      <c r="F219" s="190">
        <f>'Forensic Tests'!I364</f>
        <v>6.8337507059367812</v>
      </c>
      <c r="G219" s="177" t="str">
        <f t="shared" si="3"/>
        <v>Not reproduced</v>
      </c>
      <c r="H219" s="184" t="s">
        <v>5837</v>
      </c>
      <c r="I219" s="184" t="s">
        <v>5707</v>
      </c>
      <c r="J219" s="184" t="s">
        <v>117</v>
      </c>
      <c r="K219" s="184" t="s">
        <v>5839</v>
      </c>
      <c r="L219" s="177">
        <v>2</v>
      </c>
      <c r="M219" s="177">
        <v>243</v>
      </c>
    </row>
    <row r="220" spans="1:13" ht="120" customHeight="1" x14ac:dyDescent="0.3">
      <c r="A220" s="180" t="s">
        <v>114</v>
      </c>
      <c r="B220" s="180">
        <v>2025</v>
      </c>
      <c r="C220" s="180" t="s">
        <v>103</v>
      </c>
      <c r="D220" s="189">
        <f>'Published Ratio Reconciliation'!D244</f>
        <v>6.69</v>
      </c>
      <c r="E220" s="189">
        <f>'27 Calculations'!H665</f>
        <v>8.2220482242427426</v>
      </c>
      <c r="F220" s="189">
        <f>'Forensic Tests'!I384</f>
        <v>8.2220482242427426</v>
      </c>
      <c r="G220" s="180" t="str">
        <f t="shared" si="3"/>
        <v>Not reproduced</v>
      </c>
      <c r="H220" s="183" t="s">
        <v>5837</v>
      </c>
      <c r="I220" s="183" t="s">
        <v>5707</v>
      </c>
      <c r="J220" s="183" t="s">
        <v>117</v>
      </c>
      <c r="K220" s="183" t="s">
        <v>5839</v>
      </c>
      <c r="L220" s="180">
        <v>2</v>
      </c>
      <c r="M220" s="180">
        <v>244</v>
      </c>
    </row>
    <row r="221" spans="1:13" ht="120" customHeight="1" x14ac:dyDescent="0.3">
      <c r="A221" s="177" t="s">
        <v>114</v>
      </c>
      <c r="B221" s="177">
        <v>2021</v>
      </c>
      <c r="C221" s="177" t="s">
        <v>104</v>
      </c>
      <c r="D221" s="190">
        <f>'Published Ratio Reconciliation'!D245</f>
        <v>0</v>
      </c>
      <c r="E221" s="190">
        <f>'27 Calculations'!H671</f>
        <v>0</v>
      </c>
      <c r="F221" s="190">
        <f>'Published Ratio Reconciliation'!F245</f>
        <v>0</v>
      </c>
      <c r="G221" s="177" t="str">
        <f t="shared" si="3"/>
        <v>Numeric reproduction</v>
      </c>
      <c r="H221" s="184" t="s">
        <v>105</v>
      </c>
      <c r="I221" s="184" t="s">
        <v>9140</v>
      </c>
      <c r="J221" s="184" t="s">
        <v>117</v>
      </c>
      <c r="K221" s="184" t="s">
        <v>22</v>
      </c>
      <c r="L221" s="177">
        <v>4</v>
      </c>
      <c r="M221" s="177">
        <v>245</v>
      </c>
    </row>
    <row r="222" spans="1:13" ht="120" customHeight="1" x14ac:dyDescent="0.3">
      <c r="A222" s="180" t="s">
        <v>114</v>
      </c>
      <c r="B222" s="180">
        <v>2022</v>
      </c>
      <c r="C222" s="180" t="s">
        <v>104</v>
      </c>
      <c r="D222" s="189">
        <f>'Published Ratio Reconciliation'!D246</f>
        <v>0</v>
      </c>
      <c r="E222" s="189">
        <f>'27 Calculations'!H672</f>
        <v>0</v>
      </c>
      <c r="F222" s="189">
        <f>'Published Ratio Reconciliation'!F246</f>
        <v>0</v>
      </c>
      <c r="G222" s="180" t="str">
        <f t="shared" si="3"/>
        <v>Numeric reproduction</v>
      </c>
      <c r="H222" s="183" t="s">
        <v>105</v>
      </c>
      <c r="I222" s="183" t="s">
        <v>9140</v>
      </c>
      <c r="J222" s="183" t="s">
        <v>117</v>
      </c>
      <c r="K222" s="183" t="s">
        <v>22</v>
      </c>
      <c r="L222" s="180">
        <v>4</v>
      </c>
      <c r="M222" s="180">
        <v>246</v>
      </c>
    </row>
    <row r="223" spans="1:13" ht="120" customHeight="1" x14ac:dyDescent="0.3">
      <c r="A223" s="177" t="s">
        <v>114</v>
      </c>
      <c r="B223" s="177">
        <v>2023</v>
      </c>
      <c r="C223" s="177" t="s">
        <v>104</v>
      </c>
      <c r="D223" s="190">
        <f>'Published Ratio Reconciliation'!D247</f>
        <v>0</v>
      </c>
      <c r="E223" s="190">
        <f>'27 Calculations'!H673</f>
        <v>0</v>
      </c>
      <c r="F223" s="190">
        <f>'Published Ratio Reconciliation'!F247</f>
        <v>0</v>
      </c>
      <c r="G223" s="177" t="str">
        <f t="shared" si="3"/>
        <v>Numeric reproduction</v>
      </c>
      <c r="H223" s="184" t="s">
        <v>105</v>
      </c>
      <c r="I223" s="184" t="s">
        <v>9140</v>
      </c>
      <c r="J223" s="184" t="s">
        <v>117</v>
      </c>
      <c r="K223" s="184" t="s">
        <v>22</v>
      </c>
      <c r="L223" s="177">
        <v>4</v>
      </c>
      <c r="M223" s="177">
        <v>247</v>
      </c>
    </row>
    <row r="224" spans="1:13" ht="120" customHeight="1" x14ac:dyDescent="0.3">
      <c r="A224" s="180" t="s">
        <v>114</v>
      </c>
      <c r="B224" s="180">
        <v>2024</v>
      </c>
      <c r="C224" s="180" t="s">
        <v>104</v>
      </c>
      <c r="D224" s="189">
        <f>'Published Ratio Reconciliation'!D248</f>
        <v>4.36E-2</v>
      </c>
      <c r="E224" s="189">
        <f>'27 Calculations'!H674</f>
        <v>4.3649061545176782E-2</v>
      </c>
      <c r="F224" s="189">
        <f>'Published Ratio Reconciliation'!F248</f>
        <v>4.3649061545176782E-2</v>
      </c>
      <c r="G224" s="180" t="str">
        <f t="shared" si="3"/>
        <v>Numeric reproduction</v>
      </c>
      <c r="H224" s="183" t="s">
        <v>105</v>
      </c>
      <c r="I224" s="183" t="s">
        <v>9140</v>
      </c>
      <c r="J224" s="183" t="s">
        <v>117</v>
      </c>
      <c r="K224" s="183" t="s">
        <v>22</v>
      </c>
      <c r="L224" s="180">
        <v>4</v>
      </c>
      <c r="M224" s="180">
        <v>248</v>
      </c>
    </row>
    <row r="225" spans="1:13" ht="120" customHeight="1" x14ac:dyDescent="0.3">
      <c r="A225" s="177" t="s">
        <v>114</v>
      </c>
      <c r="B225" s="177">
        <v>2025</v>
      </c>
      <c r="C225" s="177" t="s">
        <v>104</v>
      </c>
      <c r="D225" s="190">
        <f>'Published Ratio Reconciliation'!D249</f>
        <v>2.8000000000000001E-2</v>
      </c>
      <c r="E225" s="190">
        <f>'27 Calculations'!H675</f>
        <v>2.7982986344302664E-2</v>
      </c>
      <c r="F225" s="190">
        <f>'Published Ratio Reconciliation'!F249</f>
        <v>2.7982986344302664E-2</v>
      </c>
      <c r="G225" s="177" t="str">
        <f t="shared" si="3"/>
        <v>Numeric reproduction</v>
      </c>
      <c r="H225" s="184" t="s">
        <v>105</v>
      </c>
      <c r="I225" s="184" t="s">
        <v>9140</v>
      </c>
      <c r="J225" s="184" t="s">
        <v>117</v>
      </c>
      <c r="K225" s="184" t="s">
        <v>22</v>
      </c>
      <c r="L225" s="177">
        <v>4</v>
      </c>
      <c r="M225" s="177">
        <v>249</v>
      </c>
    </row>
    <row r="226" spans="1:13" ht="120" customHeight="1" x14ac:dyDescent="0.3">
      <c r="A226" s="180" t="s">
        <v>114</v>
      </c>
      <c r="B226" s="180">
        <v>2021</v>
      </c>
      <c r="C226" s="180" t="s">
        <v>126</v>
      </c>
      <c r="D226" s="189">
        <f>'Published Ratio Reconciliation'!D255</f>
        <v>0.04</v>
      </c>
      <c r="E226" s="189">
        <f>'27 Calculations'!H601</f>
        <v>0.11033361830900601</v>
      </c>
      <c r="F226" s="189">
        <f>'Published Ratio Reconciliation'!F255</f>
        <v>3.7605102770184369E-2</v>
      </c>
      <c r="G226" s="180" t="str">
        <f t="shared" si="3"/>
        <v>Numeric reproduction</v>
      </c>
      <c r="H226" s="183" t="s">
        <v>127</v>
      </c>
      <c r="I226" s="183" t="s">
        <v>9140</v>
      </c>
      <c r="J226" s="183" t="s">
        <v>117</v>
      </c>
      <c r="K226" s="183" t="s">
        <v>128</v>
      </c>
      <c r="L226" s="180">
        <v>2</v>
      </c>
      <c r="M226" s="180">
        <v>255</v>
      </c>
    </row>
    <row r="227" spans="1:13" ht="120" customHeight="1" x14ac:dyDescent="0.3">
      <c r="A227" s="177" t="s">
        <v>114</v>
      </c>
      <c r="B227" s="177">
        <v>2022</v>
      </c>
      <c r="C227" s="177" t="s">
        <v>126</v>
      </c>
      <c r="D227" s="190">
        <f>'Published Ratio Reconciliation'!D256</f>
        <v>0.43</v>
      </c>
      <c r="E227" s="190">
        <f>'27 Calculations'!H602</f>
        <v>0.44889851845785944</v>
      </c>
      <c r="F227" s="190">
        <f>'Published Ratio Reconciliation'!F256</f>
        <v>0.43109714664264565</v>
      </c>
      <c r="G227" s="177" t="str">
        <f t="shared" si="3"/>
        <v>Numeric reproduction</v>
      </c>
      <c r="H227" s="184" t="s">
        <v>127</v>
      </c>
      <c r="I227" s="184" t="s">
        <v>9140</v>
      </c>
      <c r="J227" s="184" t="s">
        <v>117</v>
      </c>
      <c r="K227" s="184" t="s">
        <v>128</v>
      </c>
      <c r="L227" s="177">
        <v>2</v>
      </c>
      <c r="M227" s="177">
        <v>256</v>
      </c>
    </row>
    <row r="228" spans="1:13" ht="120" customHeight="1" x14ac:dyDescent="0.3">
      <c r="A228" s="180" t="s">
        <v>114</v>
      </c>
      <c r="B228" s="180">
        <v>2023</v>
      </c>
      <c r="C228" s="180" t="s">
        <v>126</v>
      </c>
      <c r="D228" s="189">
        <f>'Published Ratio Reconciliation'!D257</f>
        <v>0.6</v>
      </c>
      <c r="E228" s="189">
        <f>'27 Calculations'!H603</f>
        <v>0.62375966688339879</v>
      </c>
      <c r="F228" s="189">
        <f>'Published Ratio Reconciliation'!F257</f>
        <v>0.60304221799593938</v>
      </c>
      <c r="G228" s="180" t="str">
        <f t="shared" si="3"/>
        <v>Numeric reproduction</v>
      </c>
      <c r="H228" s="183" t="s">
        <v>127</v>
      </c>
      <c r="I228" s="183" t="s">
        <v>9140</v>
      </c>
      <c r="J228" s="183" t="s">
        <v>117</v>
      </c>
      <c r="K228" s="183" t="s">
        <v>128</v>
      </c>
      <c r="L228" s="180">
        <v>2</v>
      </c>
      <c r="M228" s="180">
        <v>257</v>
      </c>
    </row>
    <row r="229" spans="1:13" ht="120" customHeight="1" x14ac:dyDescent="0.3">
      <c r="A229" s="177" t="s">
        <v>114</v>
      </c>
      <c r="B229" s="177">
        <v>2024</v>
      </c>
      <c r="C229" s="177" t="s">
        <v>126</v>
      </c>
      <c r="D229" s="190">
        <f>'Published Ratio Reconciliation'!D258</f>
        <v>0.51</v>
      </c>
      <c r="E229" s="190">
        <f>'27 Calculations'!H604</f>
        <v>0.49850573278032018</v>
      </c>
      <c r="F229" s="190">
        <f>'Published Ratio Reconciliation'!F258</f>
        <v>0.51391818071053508</v>
      </c>
      <c r="G229" s="177" t="str">
        <f t="shared" si="3"/>
        <v>Numeric reproduction</v>
      </c>
      <c r="H229" s="184" t="s">
        <v>127</v>
      </c>
      <c r="I229" s="184" t="s">
        <v>9140</v>
      </c>
      <c r="J229" s="184" t="s">
        <v>117</v>
      </c>
      <c r="K229" s="184" t="s">
        <v>128</v>
      </c>
      <c r="L229" s="177">
        <v>2</v>
      </c>
      <c r="M229" s="177">
        <v>258</v>
      </c>
    </row>
    <row r="230" spans="1:13" ht="120" customHeight="1" x14ac:dyDescent="0.3">
      <c r="A230" s="180" t="s">
        <v>114</v>
      </c>
      <c r="B230" s="180">
        <v>2025</v>
      </c>
      <c r="C230" s="180" t="s">
        <v>126</v>
      </c>
      <c r="D230" s="189">
        <f>'Published Ratio Reconciliation'!D259</f>
        <v>0.39</v>
      </c>
      <c r="E230" s="189">
        <f>'27 Calculations'!H605</f>
        <v>0.47508509566997464</v>
      </c>
      <c r="F230" s="189">
        <f>'Published Ratio Reconciliation'!F259</f>
        <v>0.38536433031397493</v>
      </c>
      <c r="G230" s="180" t="str">
        <f t="shared" si="3"/>
        <v>Numeric reproduction</v>
      </c>
      <c r="H230" s="183" t="s">
        <v>127</v>
      </c>
      <c r="I230" s="183" t="s">
        <v>9140</v>
      </c>
      <c r="J230" s="183" t="s">
        <v>117</v>
      </c>
      <c r="K230" s="183" t="s">
        <v>128</v>
      </c>
      <c r="L230" s="180">
        <v>2</v>
      </c>
      <c r="M230" s="180">
        <v>259</v>
      </c>
    </row>
    <row r="231" spans="1:13" ht="120" customHeight="1" x14ac:dyDescent="0.3">
      <c r="A231" s="177" t="s">
        <v>18</v>
      </c>
      <c r="B231" s="177">
        <v>2021</v>
      </c>
      <c r="C231" s="177" t="s">
        <v>129</v>
      </c>
      <c r="D231" s="190">
        <f>'Published Ratio Reconciliation'!D260</f>
        <v>24.46</v>
      </c>
      <c r="E231" s="190">
        <f>'27 Calculations'!H31</f>
        <v>32.556527152183129</v>
      </c>
      <c r="F231" s="190">
        <f>'Published Ratio Reconciliation'!F260</f>
        <v>24.459285517197927</v>
      </c>
      <c r="G231" s="177" t="str">
        <f t="shared" si="3"/>
        <v>Numeric reproduction</v>
      </c>
      <c r="H231" s="184" t="s">
        <v>130</v>
      </c>
      <c r="I231" s="184" t="s">
        <v>9140</v>
      </c>
      <c r="J231" s="184" t="s">
        <v>131</v>
      </c>
      <c r="K231" s="184" t="s">
        <v>22</v>
      </c>
      <c r="L231" s="177">
        <v>2</v>
      </c>
      <c r="M231" s="177">
        <v>260</v>
      </c>
    </row>
    <row r="232" spans="1:13" ht="120" customHeight="1" x14ac:dyDescent="0.3">
      <c r="A232" s="180" t="s">
        <v>18</v>
      </c>
      <c r="B232" s="180">
        <v>2022</v>
      </c>
      <c r="C232" s="180" t="s">
        <v>129</v>
      </c>
      <c r="D232" s="189">
        <f>'Published Ratio Reconciliation'!D261</f>
        <v>35.89</v>
      </c>
      <c r="E232" s="189">
        <f>'27 Calculations'!H32</f>
        <v>34.614462046513971</v>
      </c>
      <c r="F232" s="189">
        <f>'Published Ratio Reconciliation'!F261</f>
        <v>35.890319458494865</v>
      </c>
      <c r="G232" s="180" t="str">
        <f t="shared" si="3"/>
        <v>Numeric reproduction</v>
      </c>
      <c r="H232" s="183" t="s">
        <v>130</v>
      </c>
      <c r="I232" s="183" t="s">
        <v>9140</v>
      </c>
      <c r="J232" s="183" t="s">
        <v>131</v>
      </c>
      <c r="K232" s="183" t="s">
        <v>22</v>
      </c>
      <c r="L232" s="180">
        <v>2</v>
      </c>
      <c r="M232" s="180">
        <v>261</v>
      </c>
    </row>
    <row r="233" spans="1:13" ht="120" customHeight="1" x14ac:dyDescent="0.3">
      <c r="A233" s="177" t="s">
        <v>18</v>
      </c>
      <c r="B233" s="177">
        <v>2023</v>
      </c>
      <c r="C233" s="177" t="s">
        <v>129</v>
      </c>
      <c r="D233" s="190">
        <f>'Published Ratio Reconciliation'!D262</f>
        <v>32.29</v>
      </c>
      <c r="E233" s="190">
        <f>'27 Calculations'!H33</f>
        <v>36.690956476472735</v>
      </c>
      <c r="F233" s="190">
        <f>'Published Ratio Reconciliation'!F262</f>
        <v>32.285285875459472</v>
      </c>
      <c r="G233" s="177" t="str">
        <f t="shared" si="3"/>
        <v>Numeric reproduction</v>
      </c>
      <c r="H233" s="184" t="s">
        <v>130</v>
      </c>
      <c r="I233" s="184" t="s">
        <v>9140</v>
      </c>
      <c r="J233" s="184" t="s">
        <v>131</v>
      </c>
      <c r="K233" s="184" t="s">
        <v>22</v>
      </c>
      <c r="L233" s="177">
        <v>2</v>
      </c>
      <c r="M233" s="177">
        <v>262</v>
      </c>
    </row>
    <row r="234" spans="1:13" ht="120" customHeight="1" x14ac:dyDescent="0.3">
      <c r="A234" s="180" t="s">
        <v>18</v>
      </c>
      <c r="B234" s="180">
        <v>2024</v>
      </c>
      <c r="C234" s="180" t="s">
        <v>129</v>
      </c>
      <c r="D234" s="189">
        <f>'Published Ratio Reconciliation'!D263</f>
        <v>18.309999999999999</v>
      </c>
      <c r="E234" s="189">
        <f>'27 Calculations'!H34</f>
        <v>23.311269128267483</v>
      </c>
      <c r="F234" s="189">
        <f>'Published Ratio Reconciliation'!F263</f>
        <v>18.314325978180737</v>
      </c>
      <c r="G234" s="180" t="str">
        <f t="shared" si="3"/>
        <v>Numeric reproduction</v>
      </c>
      <c r="H234" s="183" t="s">
        <v>130</v>
      </c>
      <c r="I234" s="183" t="s">
        <v>9140</v>
      </c>
      <c r="J234" s="183" t="s">
        <v>131</v>
      </c>
      <c r="K234" s="183" t="s">
        <v>22</v>
      </c>
      <c r="L234" s="180">
        <v>2</v>
      </c>
      <c r="M234" s="180">
        <v>263</v>
      </c>
    </row>
    <row r="235" spans="1:13" ht="120" customHeight="1" x14ac:dyDescent="0.3">
      <c r="A235" s="177" t="s">
        <v>18</v>
      </c>
      <c r="B235" s="177">
        <v>2025</v>
      </c>
      <c r="C235" s="177" t="s">
        <v>129</v>
      </c>
      <c r="D235" s="190">
        <f>'Published Ratio Reconciliation'!D264</f>
        <v>22.18</v>
      </c>
      <c r="E235" s="190">
        <f>'27 Calculations'!H35</f>
        <v>19.742821104933064</v>
      </c>
      <c r="F235" s="190">
        <f>'Published Ratio Reconciliation'!F264</f>
        <v>22.181364397772164</v>
      </c>
      <c r="G235" s="177" t="str">
        <f t="shared" si="3"/>
        <v>Numeric reproduction</v>
      </c>
      <c r="H235" s="184" t="s">
        <v>130</v>
      </c>
      <c r="I235" s="184" t="s">
        <v>9140</v>
      </c>
      <c r="J235" s="184" t="s">
        <v>131</v>
      </c>
      <c r="K235" s="184" t="s">
        <v>22</v>
      </c>
      <c r="L235" s="177">
        <v>2</v>
      </c>
      <c r="M235" s="177">
        <v>264</v>
      </c>
    </row>
    <row r="236" spans="1:13" ht="120" customHeight="1" x14ac:dyDescent="0.3">
      <c r="A236" s="180" t="s">
        <v>18</v>
      </c>
      <c r="B236" s="180">
        <v>2021</v>
      </c>
      <c r="C236" s="180" t="s">
        <v>134</v>
      </c>
      <c r="D236" s="189">
        <f>'Published Ratio Reconciliation'!D270</f>
        <v>63.47</v>
      </c>
      <c r="E236" s="189">
        <f>'27 Calculations'!H36</f>
        <v>75.147743531578783</v>
      </c>
      <c r="F236" s="189">
        <f>'Published Ratio Reconciliation'!F270</f>
        <v>63.473009669166906</v>
      </c>
      <c r="G236" s="180" t="str">
        <f t="shared" si="3"/>
        <v>Numeric reproduction</v>
      </c>
      <c r="H236" s="183" t="s">
        <v>135</v>
      </c>
      <c r="I236" s="183" t="s">
        <v>9140</v>
      </c>
      <c r="J236" s="183" t="s">
        <v>131</v>
      </c>
      <c r="K236" s="183" t="s">
        <v>22</v>
      </c>
      <c r="L236" s="180">
        <v>2</v>
      </c>
      <c r="M236" s="180">
        <v>270</v>
      </c>
    </row>
    <row r="237" spans="1:13" ht="120" customHeight="1" x14ac:dyDescent="0.3">
      <c r="A237" s="177" t="s">
        <v>18</v>
      </c>
      <c r="B237" s="177">
        <v>2022</v>
      </c>
      <c r="C237" s="177" t="s">
        <v>134</v>
      </c>
      <c r="D237" s="190">
        <f>'Published Ratio Reconciliation'!D271</f>
        <v>62.96</v>
      </c>
      <c r="E237" s="190">
        <f>'27 Calculations'!H37</f>
        <v>77.972597591731756</v>
      </c>
      <c r="F237" s="190">
        <f>'Published Ratio Reconciliation'!F271</f>
        <v>62.959310223715811</v>
      </c>
      <c r="G237" s="177" t="str">
        <f t="shared" si="3"/>
        <v>Numeric reproduction</v>
      </c>
      <c r="H237" s="184" t="s">
        <v>135</v>
      </c>
      <c r="I237" s="184" t="s">
        <v>9140</v>
      </c>
      <c r="J237" s="184" t="s">
        <v>131</v>
      </c>
      <c r="K237" s="184" t="s">
        <v>22</v>
      </c>
      <c r="L237" s="177">
        <v>2</v>
      </c>
      <c r="M237" s="177">
        <v>271</v>
      </c>
    </row>
    <row r="238" spans="1:13" ht="120" customHeight="1" x14ac:dyDescent="0.3">
      <c r="A238" s="180" t="s">
        <v>18</v>
      </c>
      <c r="B238" s="180">
        <v>2023</v>
      </c>
      <c r="C238" s="180" t="s">
        <v>134</v>
      </c>
      <c r="D238" s="189">
        <f>'Published Ratio Reconciliation'!D272</f>
        <v>71.8</v>
      </c>
      <c r="E238" s="189">
        <f>'27 Calculations'!H38</f>
        <v>85.372545387407953</v>
      </c>
      <c r="F238" s="189">
        <f>'Published Ratio Reconciliation'!F272</f>
        <v>71.796490716313144</v>
      </c>
      <c r="G238" s="180" t="str">
        <f t="shared" si="3"/>
        <v>Numeric reproduction</v>
      </c>
      <c r="H238" s="183" t="s">
        <v>135</v>
      </c>
      <c r="I238" s="183" t="s">
        <v>9140</v>
      </c>
      <c r="J238" s="183" t="s">
        <v>131</v>
      </c>
      <c r="K238" s="183" t="s">
        <v>22</v>
      </c>
      <c r="L238" s="180">
        <v>2</v>
      </c>
      <c r="M238" s="180">
        <v>272</v>
      </c>
    </row>
    <row r="239" spans="1:13" ht="120" customHeight="1" x14ac:dyDescent="0.3">
      <c r="A239" s="177" t="s">
        <v>18</v>
      </c>
      <c r="B239" s="177">
        <v>2024</v>
      </c>
      <c r="C239" s="177" t="s">
        <v>134</v>
      </c>
      <c r="D239" s="190">
        <f>'Published Ratio Reconciliation'!D273</f>
        <v>71.58</v>
      </c>
      <c r="E239" s="190">
        <f>'27 Calculations'!H39</f>
        <v>101.50909357454404</v>
      </c>
      <c r="F239" s="190">
        <f>'Published Ratio Reconciliation'!F273</f>
        <v>71.582153592784451</v>
      </c>
      <c r="G239" s="177" t="str">
        <f t="shared" si="3"/>
        <v>Numeric reproduction</v>
      </c>
      <c r="H239" s="184" t="s">
        <v>135</v>
      </c>
      <c r="I239" s="184" t="s">
        <v>9140</v>
      </c>
      <c r="J239" s="184" t="s">
        <v>131</v>
      </c>
      <c r="K239" s="184" t="s">
        <v>22</v>
      </c>
      <c r="L239" s="177">
        <v>2</v>
      </c>
      <c r="M239" s="177">
        <v>273</v>
      </c>
    </row>
    <row r="240" spans="1:13" ht="120" customHeight="1" x14ac:dyDescent="0.3">
      <c r="A240" s="180" t="s">
        <v>18</v>
      </c>
      <c r="B240" s="180">
        <v>2025</v>
      </c>
      <c r="C240" s="180" t="s">
        <v>134</v>
      </c>
      <c r="D240" s="189">
        <f>'Published Ratio Reconciliation'!D274</f>
        <v>72.98</v>
      </c>
      <c r="E240" s="189">
        <f>'27 Calculations'!H40</f>
        <v>120.66591878345184</v>
      </c>
      <c r="F240" s="189">
        <f>'Published Ratio Reconciliation'!F274</f>
        <v>72.977906438596293</v>
      </c>
      <c r="G240" s="180" t="str">
        <f t="shared" si="3"/>
        <v>Numeric reproduction</v>
      </c>
      <c r="H240" s="183" t="s">
        <v>135</v>
      </c>
      <c r="I240" s="183" t="s">
        <v>9140</v>
      </c>
      <c r="J240" s="183" t="s">
        <v>131</v>
      </c>
      <c r="K240" s="183" t="s">
        <v>22</v>
      </c>
      <c r="L240" s="180">
        <v>2</v>
      </c>
      <c r="M240" s="180">
        <v>274</v>
      </c>
    </row>
    <row r="241" spans="1:13" ht="120" customHeight="1" x14ac:dyDescent="0.3">
      <c r="A241" s="177" t="s">
        <v>18</v>
      </c>
      <c r="B241" s="177">
        <v>2021</v>
      </c>
      <c r="C241" s="177" t="s">
        <v>136</v>
      </c>
      <c r="D241" s="190">
        <f>'Published Ratio Reconciliation'!D275</f>
        <v>0.1497</v>
      </c>
      <c r="E241" s="190">
        <f>'27 Calculations'!H91</f>
        <v>9.6918969746585204E-2</v>
      </c>
      <c r="F241" s="190">
        <f>'Published Ratio Reconciliation'!F275</f>
        <v>0.14972210997362279</v>
      </c>
      <c r="G241" s="177" t="str">
        <f t="shared" si="3"/>
        <v>Numeric reproduction</v>
      </c>
      <c r="H241" s="184" t="s">
        <v>137</v>
      </c>
      <c r="I241" s="184" t="s">
        <v>9140</v>
      </c>
      <c r="J241" s="184" t="s">
        <v>131</v>
      </c>
      <c r="K241" s="184" t="s">
        <v>138</v>
      </c>
      <c r="L241" s="177">
        <v>4</v>
      </c>
      <c r="M241" s="177">
        <v>275</v>
      </c>
    </row>
    <row r="242" spans="1:13" ht="120" customHeight="1" x14ac:dyDescent="0.3">
      <c r="A242" s="180" t="s">
        <v>18</v>
      </c>
      <c r="B242" s="180">
        <v>2022</v>
      </c>
      <c r="C242" s="180" t="s">
        <v>136</v>
      </c>
      <c r="D242" s="189">
        <f>'Published Ratio Reconciliation'!D276</f>
        <v>0.21829999999999999</v>
      </c>
      <c r="E242" s="189">
        <f>'27 Calculations'!H92</f>
        <v>0.11589856650144761</v>
      </c>
      <c r="F242" s="189">
        <f>'Published Ratio Reconciliation'!F276</f>
        <v>0.21829421348372069</v>
      </c>
      <c r="G242" s="180" t="str">
        <f t="shared" si="3"/>
        <v>Numeric reproduction</v>
      </c>
      <c r="H242" s="183" t="s">
        <v>137</v>
      </c>
      <c r="I242" s="183" t="s">
        <v>9140</v>
      </c>
      <c r="J242" s="183" t="s">
        <v>131</v>
      </c>
      <c r="K242" s="183" t="s">
        <v>138</v>
      </c>
      <c r="L242" s="180">
        <v>4</v>
      </c>
      <c r="M242" s="180">
        <v>276</v>
      </c>
    </row>
    <row r="243" spans="1:13" ht="120" customHeight="1" x14ac:dyDescent="0.3">
      <c r="A243" s="177" t="s">
        <v>18</v>
      </c>
      <c r="B243" s="177">
        <v>2023</v>
      </c>
      <c r="C243" s="177" t="s">
        <v>136</v>
      </c>
      <c r="D243" s="190">
        <f>'Published Ratio Reconciliation'!D277</f>
        <v>0.2263</v>
      </c>
      <c r="E243" s="190">
        <f>'27 Calculations'!H93</f>
        <v>0.11751952891151191</v>
      </c>
      <c r="F243" s="190">
        <f>'Published Ratio Reconciliation'!F277</f>
        <v>0.22631977594735558</v>
      </c>
      <c r="G243" s="177" t="str">
        <f t="shared" si="3"/>
        <v>Numeric reproduction</v>
      </c>
      <c r="H243" s="184" t="s">
        <v>137</v>
      </c>
      <c r="I243" s="184" t="s">
        <v>9140</v>
      </c>
      <c r="J243" s="184" t="s">
        <v>131</v>
      </c>
      <c r="K243" s="184" t="s">
        <v>138</v>
      </c>
      <c r="L243" s="177">
        <v>4</v>
      </c>
      <c r="M243" s="177">
        <v>277</v>
      </c>
    </row>
    <row r="244" spans="1:13" ht="120" customHeight="1" x14ac:dyDescent="0.3">
      <c r="A244" s="180" t="s">
        <v>18</v>
      </c>
      <c r="B244" s="180">
        <v>2024</v>
      </c>
      <c r="C244" s="180" t="s">
        <v>136</v>
      </c>
      <c r="D244" s="189">
        <f>'Published Ratio Reconciliation'!D278</f>
        <v>0.24560000000000001</v>
      </c>
      <c r="E244" s="189">
        <f>'27 Calculations'!H94</f>
        <v>0.15113794625582791</v>
      </c>
      <c r="F244" s="189">
        <f>'Published Ratio Reconciliation'!F278</f>
        <v>0.24562978495019586</v>
      </c>
      <c r="G244" s="180" t="str">
        <f t="shared" si="3"/>
        <v>Numeric reproduction</v>
      </c>
      <c r="H244" s="183" t="s">
        <v>137</v>
      </c>
      <c r="I244" s="183" t="s">
        <v>9140</v>
      </c>
      <c r="J244" s="183" t="s">
        <v>131</v>
      </c>
      <c r="K244" s="183" t="s">
        <v>138</v>
      </c>
      <c r="L244" s="180">
        <v>4</v>
      </c>
      <c r="M244" s="180">
        <v>278</v>
      </c>
    </row>
    <row r="245" spans="1:13" ht="120" customHeight="1" x14ac:dyDescent="0.3">
      <c r="A245" s="177" t="s">
        <v>18</v>
      </c>
      <c r="B245" s="177">
        <v>2025</v>
      </c>
      <c r="C245" s="177" t="s">
        <v>136</v>
      </c>
      <c r="D245" s="190">
        <f>'Published Ratio Reconciliation'!D279</f>
        <v>0.27089999999999997</v>
      </c>
      <c r="E245" s="190">
        <f>'27 Calculations'!H95</f>
        <v>0.17329550622820336</v>
      </c>
      <c r="F245" s="190">
        <f>'Published Ratio Reconciliation'!F279</f>
        <v>0.27093226434993872</v>
      </c>
      <c r="G245" s="177" t="str">
        <f t="shared" si="3"/>
        <v>Numeric reproduction</v>
      </c>
      <c r="H245" s="184" t="s">
        <v>137</v>
      </c>
      <c r="I245" s="184" t="s">
        <v>9140</v>
      </c>
      <c r="J245" s="184" t="s">
        <v>131</v>
      </c>
      <c r="K245" s="184" t="s">
        <v>138</v>
      </c>
      <c r="L245" s="177">
        <v>4</v>
      </c>
      <c r="M245" s="177">
        <v>279</v>
      </c>
    </row>
    <row r="246" spans="1:13" ht="120" customHeight="1" x14ac:dyDescent="0.3">
      <c r="A246" s="180" t="s">
        <v>18</v>
      </c>
      <c r="B246" s="180">
        <v>2021</v>
      </c>
      <c r="C246" s="180" t="s">
        <v>139</v>
      </c>
      <c r="D246" s="189">
        <f>'Published Ratio Reconciliation'!D280</f>
        <v>22.13</v>
      </c>
      <c r="E246" s="189">
        <f>'27 Calculations'!H116</f>
        <v>110.64122209168052</v>
      </c>
      <c r="F246" s="189">
        <f>'Published Ratio Reconciliation'!F280</f>
        <v>22.128244418336102</v>
      </c>
      <c r="G246" s="180" t="str">
        <f t="shared" si="3"/>
        <v>Numeric reproduction</v>
      </c>
      <c r="H246" s="183" t="s">
        <v>140</v>
      </c>
      <c r="I246" s="183" t="s">
        <v>9140</v>
      </c>
      <c r="J246" s="183" t="s">
        <v>131</v>
      </c>
      <c r="K246" s="183" t="s">
        <v>141</v>
      </c>
      <c r="L246" s="180">
        <v>2</v>
      </c>
      <c r="M246" s="180">
        <v>280</v>
      </c>
    </row>
    <row r="247" spans="1:13" ht="120" customHeight="1" x14ac:dyDescent="0.3">
      <c r="A247" s="177" t="s">
        <v>18</v>
      </c>
      <c r="B247" s="177">
        <v>2022</v>
      </c>
      <c r="C247" s="177" t="s">
        <v>139</v>
      </c>
      <c r="D247" s="190">
        <f>'Published Ratio Reconciliation'!D281</f>
        <v>27.13</v>
      </c>
      <c r="E247" s="190">
        <f>'27 Calculations'!H117</f>
        <v>135.64693964412666</v>
      </c>
      <c r="F247" s="190">
        <f>'Published Ratio Reconciliation'!F281</f>
        <v>27.129387928825334</v>
      </c>
      <c r="G247" s="177" t="str">
        <f t="shared" si="3"/>
        <v>Numeric reproduction</v>
      </c>
      <c r="H247" s="184" t="s">
        <v>140</v>
      </c>
      <c r="I247" s="184" t="s">
        <v>9140</v>
      </c>
      <c r="J247" s="184" t="s">
        <v>131</v>
      </c>
      <c r="K247" s="184" t="s">
        <v>141</v>
      </c>
      <c r="L247" s="177">
        <v>2</v>
      </c>
      <c r="M247" s="177">
        <v>281</v>
      </c>
    </row>
    <row r="248" spans="1:13" ht="120" customHeight="1" x14ac:dyDescent="0.3">
      <c r="A248" s="180" t="s">
        <v>18</v>
      </c>
      <c r="B248" s="180">
        <v>2023</v>
      </c>
      <c r="C248" s="180" t="s">
        <v>139</v>
      </c>
      <c r="D248" s="189">
        <f>'Published Ratio Reconciliation'!D282</f>
        <v>32.47</v>
      </c>
      <c r="E248" s="189">
        <f>'27 Calculations'!H118</f>
        <v>162.35106244484723</v>
      </c>
      <c r="F248" s="189">
        <f>'Published Ratio Reconciliation'!F282</f>
        <v>32.470212488969445</v>
      </c>
      <c r="G248" s="180" t="str">
        <f t="shared" si="3"/>
        <v>Numeric reproduction</v>
      </c>
      <c r="H248" s="183" t="s">
        <v>140</v>
      </c>
      <c r="I248" s="183" t="s">
        <v>9140</v>
      </c>
      <c r="J248" s="183" t="s">
        <v>131</v>
      </c>
      <c r="K248" s="183" t="s">
        <v>141</v>
      </c>
      <c r="L248" s="180">
        <v>2</v>
      </c>
      <c r="M248" s="180">
        <v>282</v>
      </c>
    </row>
    <row r="249" spans="1:13" ht="120" customHeight="1" x14ac:dyDescent="0.3">
      <c r="A249" s="177" t="s">
        <v>18</v>
      </c>
      <c r="B249" s="177">
        <v>2024</v>
      </c>
      <c r="C249" s="177" t="s">
        <v>139</v>
      </c>
      <c r="D249" s="190">
        <f>'Published Ratio Reconciliation'!D283</f>
        <v>41.84</v>
      </c>
      <c r="E249" s="190">
        <f>'27 Calculations'!H119</f>
        <v>209.79287853383309</v>
      </c>
      <c r="F249" s="190">
        <f>'Published Ratio Reconciliation'!F283</f>
        <v>41.836018302170054</v>
      </c>
      <c r="G249" s="177" t="str">
        <f t="shared" si="3"/>
        <v>Numeric reproduction</v>
      </c>
      <c r="H249" s="184" t="s">
        <v>140</v>
      </c>
      <c r="I249" s="184" t="s">
        <v>9140</v>
      </c>
      <c r="J249" s="184" t="s">
        <v>131</v>
      </c>
      <c r="K249" s="184" t="s">
        <v>141</v>
      </c>
      <c r="L249" s="177">
        <v>2</v>
      </c>
      <c r="M249" s="177">
        <v>283</v>
      </c>
    </row>
    <row r="250" spans="1:13" ht="120" customHeight="1" x14ac:dyDescent="0.3">
      <c r="A250" s="180" t="s">
        <v>18</v>
      </c>
      <c r="B250" s="180">
        <v>2025</v>
      </c>
      <c r="C250" s="180" t="s">
        <v>139</v>
      </c>
      <c r="D250" s="189">
        <f>'Published Ratio Reconciliation'!D284</f>
        <v>49.58</v>
      </c>
      <c r="E250" s="189">
        <f>'27 Calculations'!H120</f>
        <v>260.8226721418157</v>
      </c>
      <c r="F250" s="189">
        <f>'Published Ratio Reconciliation'!F284</f>
        <v>49.584435200370244</v>
      </c>
      <c r="G250" s="180" t="str">
        <f t="shared" si="3"/>
        <v>Numeric reproduction</v>
      </c>
      <c r="H250" s="183" t="s">
        <v>140</v>
      </c>
      <c r="I250" s="183" t="s">
        <v>9140</v>
      </c>
      <c r="J250" s="183" t="s">
        <v>131</v>
      </c>
      <c r="K250" s="183" t="s">
        <v>141</v>
      </c>
      <c r="L250" s="180">
        <v>2</v>
      </c>
      <c r="M250" s="180">
        <v>284</v>
      </c>
    </row>
    <row r="251" spans="1:13" ht="120" customHeight="1" x14ac:dyDescent="0.3">
      <c r="A251" s="177" t="s">
        <v>18</v>
      </c>
      <c r="B251" s="177">
        <v>2021</v>
      </c>
      <c r="C251" s="177" t="s">
        <v>143</v>
      </c>
      <c r="D251" s="190">
        <f>'Published Ratio Reconciliation'!D285</f>
        <v>3.48</v>
      </c>
      <c r="E251" s="190">
        <f>'27 Calculations'!H111/5</f>
        <v>3.4825098704804249</v>
      </c>
      <c r="F251" s="190">
        <f>'Published Ratio Reconciliation'!F285</f>
        <v>3.4825098704804249</v>
      </c>
      <c r="G251" s="177" t="str">
        <f t="shared" si="3"/>
        <v>Numeric reproduction</v>
      </c>
      <c r="H251" s="184" t="s">
        <v>83</v>
      </c>
      <c r="I251" s="184" t="s">
        <v>9140</v>
      </c>
      <c r="J251" s="184" t="s">
        <v>131</v>
      </c>
      <c r="K251" s="184" t="s">
        <v>84</v>
      </c>
      <c r="L251" s="177">
        <v>2</v>
      </c>
      <c r="M251" s="177">
        <v>285</v>
      </c>
    </row>
    <row r="252" spans="1:13" ht="120" customHeight="1" x14ac:dyDescent="0.3">
      <c r="A252" s="180" t="s">
        <v>18</v>
      </c>
      <c r="B252" s="180">
        <v>2022</v>
      </c>
      <c r="C252" s="180" t="s">
        <v>143</v>
      </c>
      <c r="D252" s="189">
        <f>'Published Ratio Reconciliation'!D286</f>
        <v>5</v>
      </c>
      <c r="E252" s="189">
        <f>'27 Calculations'!H112/5</f>
        <v>5.0027360522321036</v>
      </c>
      <c r="F252" s="189">
        <f>'Published Ratio Reconciliation'!F286</f>
        <v>5.0027360522321036</v>
      </c>
      <c r="G252" s="180" t="str">
        <f t="shared" si="3"/>
        <v>Numeric reproduction</v>
      </c>
      <c r="H252" s="183" t="s">
        <v>83</v>
      </c>
      <c r="I252" s="183" t="s">
        <v>9140</v>
      </c>
      <c r="J252" s="183" t="s">
        <v>131</v>
      </c>
      <c r="K252" s="183" t="s">
        <v>84</v>
      </c>
      <c r="L252" s="180">
        <v>2</v>
      </c>
      <c r="M252" s="180">
        <v>286</v>
      </c>
    </row>
    <row r="253" spans="1:13" ht="120" customHeight="1" x14ac:dyDescent="0.3">
      <c r="A253" s="177" t="s">
        <v>18</v>
      </c>
      <c r="B253" s="177">
        <v>2023</v>
      </c>
      <c r="C253" s="177" t="s">
        <v>143</v>
      </c>
      <c r="D253" s="190">
        <f>'Published Ratio Reconciliation'!D287</f>
        <v>5.8</v>
      </c>
      <c r="E253" s="190">
        <f>'27 Calculations'!H113/5</f>
        <v>5.7957916551738649</v>
      </c>
      <c r="F253" s="190">
        <f>'Published Ratio Reconciliation'!F287</f>
        <v>5.7957916551738657</v>
      </c>
      <c r="G253" s="177" t="str">
        <f t="shared" si="3"/>
        <v>Numeric reproduction</v>
      </c>
      <c r="H253" s="184" t="s">
        <v>83</v>
      </c>
      <c r="I253" s="184" t="s">
        <v>9140</v>
      </c>
      <c r="J253" s="184" t="s">
        <v>131</v>
      </c>
      <c r="K253" s="184" t="s">
        <v>84</v>
      </c>
      <c r="L253" s="177">
        <v>2</v>
      </c>
      <c r="M253" s="177">
        <v>287</v>
      </c>
    </row>
    <row r="254" spans="1:13" ht="120" customHeight="1" x14ac:dyDescent="0.3">
      <c r="A254" s="180" t="s">
        <v>18</v>
      </c>
      <c r="B254" s="180">
        <v>2024</v>
      </c>
      <c r="C254" s="180" t="s">
        <v>143</v>
      </c>
      <c r="D254" s="189">
        <f>'Published Ratio Reconciliation'!D288</f>
        <v>9.06</v>
      </c>
      <c r="E254" s="189">
        <f>'27 Calculations'!H114/5</f>
        <v>9.0548545357229955</v>
      </c>
      <c r="F254" s="189">
        <f>'Forensic Tests'!I405</f>
        <v>9.0554135385391827</v>
      </c>
      <c r="G254" s="180" t="str">
        <f t="shared" si="3"/>
        <v>Numeric reproduction</v>
      </c>
      <c r="H254" s="183" t="s">
        <v>5858</v>
      </c>
      <c r="I254" s="183" t="s">
        <v>5702</v>
      </c>
      <c r="J254" s="183" t="s">
        <v>131</v>
      </c>
      <c r="K254" s="183" t="s">
        <v>5860</v>
      </c>
      <c r="L254" s="180">
        <v>2</v>
      </c>
      <c r="M254" s="180">
        <v>288</v>
      </c>
    </row>
    <row r="255" spans="1:13" ht="120" customHeight="1" x14ac:dyDescent="0.3">
      <c r="A255" s="177" t="s">
        <v>18</v>
      </c>
      <c r="B255" s="177">
        <v>2025</v>
      </c>
      <c r="C255" s="177" t="s">
        <v>143</v>
      </c>
      <c r="D255" s="190">
        <f>'Published Ratio Reconciliation'!D289</f>
        <v>11.97</v>
      </c>
      <c r="E255" s="190">
        <f>'27 Calculations'!H115/5</f>
        <v>11.968410920173985</v>
      </c>
      <c r="F255" s="190">
        <f>'Published Ratio Reconciliation'!F289</f>
        <v>11.968410920173985</v>
      </c>
      <c r="G255" s="177" t="str">
        <f t="shared" si="3"/>
        <v>Numeric reproduction</v>
      </c>
      <c r="H255" s="184" t="s">
        <v>83</v>
      </c>
      <c r="I255" s="184" t="s">
        <v>9140</v>
      </c>
      <c r="J255" s="184" t="s">
        <v>131</v>
      </c>
      <c r="K255" s="184" t="s">
        <v>84</v>
      </c>
      <c r="L255" s="177">
        <v>2</v>
      </c>
      <c r="M255" s="177">
        <v>289</v>
      </c>
    </row>
    <row r="256" spans="1:13" ht="120" customHeight="1" x14ac:dyDescent="0.3">
      <c r="A256" s="180" t="s">
        <v>68</v>
      </c>
      <c r="B256" s="180">
        <v>2021</v>
      </c>
      <c r="C256" s="180" t="s">
        <v>19</v>
      </c>
      <c r="D256" s="189">
        <f>'Published Ratio Reconciliation'!D290</f>
        <v>1.34</v>
      </c>
      <c r="E256" s="189">
        <f>'27 Calculations'!H141</f>
        <v>1.3386079458938223</v>
      </c>
      <c r="F256" s="189">
        <f>'Published Ratio Reconciliation'!F290</f>
        <v>1.3386079458938223</v>
      </c>
      <c r="G256" s="180" t="str">
        <f t="shared" si="3"/>
        <v>Numeric reproduction</v>
      </c>
      <c r="H256" s="183" t="s">
        <v>21</v>
      </c>
      <c r="I256" s="183" t="s">
        <v>9140</v>
      </c>
      <c r="J256" s="183" t="s">
        <v>144</v>
      </c>
      <c r="K256" s="183" t="s">
        <v>22</v>
      </c>
      <c r="L256" s="180">
        <v>2</v>
      </c>
      <c r="M256" s="180">
        <v>290</v>
      </c>
    </row>
    <row r="257" spans="1:13" ht="120" customHeight="1" x14ac:dyDescent="0.3">
      <c r="A257" s="177" t="s">
        <v>68</v>
      </c>
      <c r="B257" s="177">
        <v>2022</v>
      </c>
      <c r="C257" s="177" t="s">
        <v>19</v>
      </c>
      <c r="D257" s="190">
        <f>'Published Ratio Reconciliation'!D291</f>
        <v>1.48</v>
      </c>
      <c r="E257" s="190">
        <f>'27 Calculations'!H142</f>
        <v>1.4760766300374313</v>
      </c>
      <c r="F257" s="190">
        <f>'Published Ratio Reconciliation'!F291</f>
        <v>1.4760766300374313</v>
      </c>
      <c r="G257" s="177" t="str">
        <f t="shared" si="3"/>
        <v>Numeric reproduction</v>
      </c>
      <c r="H257" s="184" t="s">
        <v>21</v>
      </c>
      <c r="I257" s="184" t="s">
        <v>9140</v>
      </c>
      <c r="J257" s="184" t="s">
        <v>144</v>
      </c>
      <c r="K257" s="184" t="s">
        <v>22</v>
      </c>
      <c r="L257" s="177">
        <v>2</v>
      </c>
      <c r="M257" s="177">
        <v>291</v>
      </c>
    </row>
    <row r="258" spans="1:13" ht="120" customHeight="1" x14ac:dyDescent="0.3">
      <c r="A258" s="180" t="s">
        <v>68</v>
      </c>
      <c r="B258" s="180">
        <v>2023</v>
      </c>
      <c r="C258" s="180" t="s">
        <v>19</v>
      </c>
      <c r="D258" s="189">
        <f>'Published Ratio Reconciliation'!D292</f>
        <v>1.29</v>
      </c>
      <c r="E258" s="189">
        <f>'27 Calculations'!H143</f>
        <v>1.290071633326858</v>
      </c>
      <c r="F258" s="189">
        <f>'Published Ratio Reconciliation'!F292</f>
        <v>1.290071633326858</v>
      </c>
      <c r="G258" s="180" t="str">
        <f t="shared" si="3"/>
        <v>Numeric reproduction</v>
      </c>
      <c r="H258" s="183" t="s">
        <v>21</v>
      </c>
      <c r="I258" s="183" t="s">
        <v>9140</v>
      </c>
      <c r="J258" s="183" t="s">
        <v>144</v>
      </c>
      <c r="K258" s="183" t="s">
        <v>22</v>
      </c>
      <c r="L258" s="180">
        <v>2</v>
      </c>
      <c r="M258" s="180">
        <v>292</v>
      </c>
    </row>
    <row r="259" spans="1:13" ht="120" customHeight="1" x14ac:dyDescent="0.3">
      <c r="A259" s="177" t="s">
        <v>68</v>
      </c>
      <c r="B259" s="177">
        <v>2024</v>
      </c>
      <c r="C259" s="177" t="s">
        <v>19</v>
      </c>
      <c r="D259" s="190">
        <f>'Published Ratio Reconciliation'!D293</f>
        <v>1.26</v>
      </c>
      <c r="E259" s="190">
        <f>'27 Calculations'!H144</f>
        <v>1.2632222354743232</v>
      </c>
      <c r="F259" s="190">
        <f>'Published Ratio Reconciliation'!F293</f>
        <v>1.2632222354743232</v>
      </c>
      <c r="G259" s="177" t="str">
        <f t="shared" si="3"/>
        <v>Numeric reproduction</v>
      </c>
      <c r="H259" s="184" t="s">
        <v>21</v>
      </c>
      <c r="I259" s="184" t="s">
        <v>9140</v>
      </c>
      <c r="J259" s="184" t="s">
        <v>144</v>
      </c>
      <c r="K259" s="184" t="s">
        <v>22</v>
      </c>
      <c r="L259" s="177">
        <v>2</v>
      </c>
      <c r="M259" s="177">
        <v>293</v>
      </c>
    </row>
    <row r="260" spans="1:13" ht="120" customHeight="1" x14ac:dyDescent="0.3">
      <c r="A260" s="180" t="s">
        <v>68</v>
      </c>
      <c r="B260" s="180">
        <v>2025</v>
      </c>
      <c r="C260" s="180" t="s">
        <v>19</v>
      </c>
      <c r="D260" s="189">
        <f>'Published Ratio Reconciliation'!D294</f>
        <v>1.71</v>
      </c>
      <c r="E260" s="189">
        <f>'27 Calculations'!H145</f>
        <v>1.7146143875904156</v>
      </c>
      <c r="F260" s="189">
        <f>'Published Ratio Reconciliation'!F294</f>
        <v>1.7146143875904156</v>
      </c>
      <c r="G260" s="180" t="str">
        <f t="shared" si="3"/>
        <v>Numeric reproduction</v>
      </c>
      <c r="H260" s="183" t="s">
        <v>21</v>
      </c>
      <c r="I260" s="183" t="s">
        <v>9140</v>
      </c>
      <c r="J260" s="183" t="s">
        <v>144</v>
      </c>
      <c r="K260" s="183" t="s">
        <v>22</v>
      </c>
      <c r="L260" s="180">
        <v>2</v>
      </c>
      <c r="M260" s="180">
        <v>294</v>
      </c>
    </row>
    <row r="261" spans="1:13" ht="120" customHeight="1" x14ac:dyDescent="0.3">
      <c r="A261" s="177" t="s">
        <v>68</v>
      </c>
      <c r="B261" s="177">
        <v>2021</v>
      </c>
      <c r="C261" s="177" t="s">
        <v>30</v>
      </c>
      <c r="D261" s="190">
        <f>'Published Ratio Reconciliation'!D295</f>
        <v>0.89</v>
      </c>
      <c r="E261" s="190">
        <f>'27 Calculations'!H146</f>
        <v>0.89000886100685095</v>
      </c>
      <c r="F261" s="190">
        <f>'Published Ratio Reconciliation'!F295</f>
        <v>0.89000886100685095</v>
      </c>
      <c r="G261" s="177" t="str">
        <f t="shared" si="3"/>
        <v>Numeric reproduction</v>
      </c>
      <c r="H261" s="184" t="s">
        <v>21</v>
      </c>
      <c r="I261" s="184" t="s">
        <v>9140</v>
      </c>
      <c r="J261" s="184" t="s">
        <v>144</v>
      </c>
      <c r="K261" s="184" t="s">
        <v>22</v>
      </c>
      <c r="L261" s="177">
        <v>2</v>
      </c>
      <c r="M261" s="177">
        <v>295</v>
      </c>
    </row>
    <row r="262" spans="1:13" ht="120" customHeight="1" x14ac:dyDescent="0.3">
      <c r="A262" s="180" t="s">
        <v>68</v>
      </c>
      <c r="B262" s="180">
        <v>2022</v>
      </c>
      <c r="C262" s="180" t="s">
        <v>30</v>
      </c>
      <c r="D262" s="189">
        <f>'Published Ratio Reconciliation'!D296</f>
        <v>0.87</v>
      </c>
      <c r="E262" s="189">
        <f>'27 Calculations'!H147</f>
        <v>0.87076091919208631</v>
      </c>
      <c r="F262" s="189">
        <f>'Published Ratio Reconciliation'!F296</f>
        <v>0.87076091919208631</v>
      </c>
      <c r="G262" s="180" t="str">
        <f t="shared" ref="G262:G325" si="4">IF(AND(ISNUMBER(D262),ISNUMBER(F262)),IF(ROUND(D262,L262)=ROUND(F262,L262),"Numeric reproduction","Not reproduced"),"Not comparable")</f>
        <v>Numeric reproduction</v>
      </c>
      <c r="H262" s="183" t="s">
        <v>21</v>
      </c>
      <c r="I262" s="183" t="s">
        <v>9140</v>
      </c>
      <c r="J262" s="183" t="s">
        <v>144</v>
      </c>
      <c r="K262" s="183" t="s">
        <v>22</v>
      </c>
      <c r="L262" s="180">
        <v>2</v>
      </c>
      <c r="M262" s="180">
        <v>296</v>
      </c>
    </row>
    <row r="263" spans="1:13" ht="120" customHeight="1" x14ac:dyDescent="0.3">
      <c r="A263" s="177" t="s">
        <v>68</v>
      </c>
      <c r="B263" s="177">
        <v>2023</v>
      </c>
      <c r="C263" s="177" t="s">
        <v>30</v>
      </c>
      <c r="D263" s="190">
        <f>'Published Ratio Reconciliation'!D297</f>
        <v>0.85</v>
      </c>
      <c r="E263" s="190">
        <f>'27 Calculations'!H148</f>
        <v>0.85412226562426408</v>
      </c>
      <c r="F263" s="190">
        <f>'Published Ratio Reconciliation'!F297</f>
        <v>0.85412226562426408</v>
      </c>
      <c r="G263" s="177" t="str">
        <f t="shared" si="4"/>
        <v>Numeric reproduction</v>
      </c>
      <c r="H263" s="184" t="s">
        <v>21</v>
      </c>
      <c r="I263" s="184" t="s">
        <v>9140</v>
      </c>
      <c r="J263" s="184" t="s">
        <v>144</v>
      </c>
      <c r="K263" s="184" t="s">
        <v>22</v>
      </c>
      <c r="L263" s="177">
        <v>2</v>
      </c>
      <c r="M263" s="177">
        <v>297</v>
      </c>
    </row>
    <row r="264" spans="1:13" ht="120" customHeight="1" x14ac:dyDescent="0.3">
      <c r="A264" s="180" t="s">
        <v>68</v>
      </c>
      <c r="B264" s="180">
        <v>2024</v>
      </c>
      <c r="C264" s="180" t="s">
        <v>30</v>
      </c>
      <c r="D264" s="189">
        <f>'Published Ratio Reconciliation'!D298</f>
        <v>0.84</v>
      </c>
      <c r="E264" s="189">
        <f>'27 Calculations'!H149</f>
        <v>0.83698311631700717</v>
      </c>
      <c r="F264" s="189">
        <f>'Published Ratio Reconciliation'!F298</f>
        <v>0.83698311631700717</v>
      </c>
      <c r="G264" s="180" t="str">
        <f t="shared" si="4"/>
        <v>Numeric reproduction</v>
      </c>
      <c r="H264" s="183" t="s">
        <v>21</v>
      </c>
      <c r="I264" s="183" t="s">
        <v>9140</v>
      </c>
      <c r="J264" s="183" t="s">
        <v>144</v>
      </c>
      <c r="K264" s="183" t="s">
        <v>22</v>
      </c>
      <c r="L264" s="180">
        <v>2</v>
      </c>
      <c r="M264" s="180">
        <v>298</v>
      </c>
    </row>
    <row r="265" spans="1:13" ht="120" customHeight="1" x14ac:dyDescent="0.3">
      <c r="A265" s="177" t="s">
        <v>68</v>
      </c>
      <c r="B265" s="177">
        <v>2025</v>
      </c>
      <c r="C265" s="177" t="s">
        <v>30</v>
      </c>
      <c r="D265" s="190">
        <f>'Published Ratio Reconciliation'!D299</f>
        <v>1.29</v>
      </c>
      <c r="E265" s="190">
        <f>'27 Calculations'!H150</f>
        <v>1.2939267138361998</v>
      </c>
      <c r="F265" s="190">
        <f>'Published Ratio Reconciliation'!F299</f>
        <v>1.2939267138361998</v>
      </c>
      <c r="G265" s="177" t="str">
        <f t="shared" si="4"/>
        <v>Numeric reproduction</v>
      </c>
      <c r="H265" s="184" t="s">
        <v>21</v>
      </c>
      <c r="I265" s="184" t="s">
        <v>9140</v>
      </c>
      <c r="J265" s="184" t="s">
        <v>144</v>
      </c>
      <c r="K265" s="184" t="s">
        <v>22</v>
      </c>
      <c r="L265" s="177">
        <v>2</v>
      </c>
      <c r="M265" s="177">
        <v>299</v>
      </c>
    </row>
    <row r="266" spans="1:13" ht="120" customHeight="1" x14ac:dyDescent="0.3">
      <c r="A266" s="180" t="s">
        <v>68</v>
      </c>
      <c r="B266" s="180">
        <v>2021</v>
      </c>
      <c r="C266" s="180" t="s">
        <v>145</v>
      </c>
      <c r="D266" s="189">
        <f>'Published Ratio Reconciliation'!D300</f>
        <v>0.38</v>
      </c>
      <c r="E266" s="189">
        <f>'27 Calculations'!H151</f>
        <v>0.61509850934604882</v>
      </c>
      <c r="F266" s="189">
        <f>'Published Ratio Reconciliation'!F300</f>
        <v>0.3830919049571947</v>
      </c>
      <c r="G266" s="180" t="str">
        <f t="shared" si="4"/>
        <v>Numeric reproduction</v>
      </c>
      <c r="H266" s="183" t="s">
        <v>146</v>
      </c>
      <c r="I266" s="183" t="s">
        <v>9140</v>
      </c>
      <c r="J266" s="183" t="s">
        <v>144</v>
      </c>
      <c r="K266" s="183" t="s">
        <v>147</v>
      </c>
      <c r="L266" s="180">
        <v>2</v>
      </c>
      <c r="M266" s="180">
        <v>300</v>
      </c>
    </row>
    <row r="267" spans="1:13" ht="120" customHeight="1" x14ac:dyDescent="0.3">
      <c r="A267" s="177" t="s">
        <v>68</v>
      </c>
      <c r="B267" s="177">
        <v>2022</v>
      </c>
      <c r="C267" s="177" t="s">
        <v>145</v>
      </c>
      <c r="D267" s="190">
        <f>'Published Ratio Reconciliation'!D301</f>
        <v>0.48</v>
      </c>
      <c r="E267" s="190">
        <f>'27 Calculations'!H152</f>
        <v>0.51028731982278264</v>
      </c>
      <c r="F267" s="190">
        <f>'Published Ratio Reconciliation'!F301</f>
        <v>0.47735071665766726</v>
      </c>
      <c r="G267" s="177" t="str">
        <f t="shared" si="4"/>
        <v>Numeric reproduction</v>
      </c>
      <c r="H267" s="184" t="s">
        <v>146</v>
      </c>
      <c r="I267" s="184" t="s">
        <v>9140</v>
      </c>
      <c r="J267" s="184" t="s">
        <v>144</v>
      </c>
      <c r="K267" s="184" t="s">
        <v>147</v>
      </c>
      <c r="L267" s="177">
        <v>2</v>
      </c>
      <c r="M267" s="177">
        <v>301</v>
      </c>
    </row>
    <row r="268" spans="1:13" ht="120" customHeight="1" x14ac:dyDescent="0.3">
      <c r="A268" s="180" t="s">
        <v>68</v>
      </c>
      <c r="B268" s="180">
        <v>2023</v>
      </c>
      <c r="C268" s="180" t="s">
        <v>145</v>
      </c>
      <c r="D268" s="189">
        <f>'Published Ratio Reconciliation'!D302</f>
        <v>0.56000000000000005</v>
      </c>
      <c r="E268" s="189">
        <f>'27 Calculations'!H153</f>
        <v>0.56303776721097065</v>
      </c>
      <c r="F268" s="189">
        <f>'Published Ratio Reconciliation'!F302</f>
        <v>0.56303776721097065</v>
      </c>
      <c r="G268" s="180" t="str">
        <f t="shared" si="4"/>
        <v>Numeric reproduction</v>
      </c>
      <c r="H268" s="183" t="s">
        <v>146</v>
      </c>
      <c r="I268" s="183" t="s">
        <v>9140</v>
      </c>
      <c r="J268" s="183" t="s">
        <v>144</v>
      </c>
      <c r="K268" s="183" t="s">
        <v>147</v>
      </c>
      <c r="L268" s="180">
        <v>2</v>
      </c>
      <c r="M268" s="180">
        <v>302</v>
      </c>
    </row>
    <row r="269" spans="1:13" ht="120" customHeight="1" x14ac:dyDescent="0.3">
      <c r="A269" s="177" t="s">
        <v>68</v>
      </c>
      <c r="B269" s="177">
        <v>2024</v>
      </c>
      <c r="C269" s="177" t="s">
        <v>145</v>
      </c>
      <c r="D269" s="190">
        <f>'Published Ratio Reconciliation'!D303</f>
        <v>0.6</v>
      </c>
      <c r="E269" s="190">
        <f>'27 Calculations'!H154</f>
        <v>0.59758338272421885</v>
      </c>
      <c r="F269" s="190">
        <f>'Published Ratio Reconciliation'!F303</f>
        <v>0.59758338272421885</v>
      </c>
      <c r="G269" s="177" t="str">
        <f t="shared" si="4"/>
        <v>Numeric reproduction</v>
      </c>
      <c r="H269" s="184" t="s">
        <v>146</v>
      </c>
      <c r="I269" s="184" t="s">
        <v>9140</v>
      </c>
      <c r="J269" s="184" t="s">
        <v>144</v>
      </c>
      <c r="K269" s="184" t="s">
        <v>147</v>
      </c>
      <c r="L269" s="177">
        <v>2</v>
      </c>
      <c r="M269" s="177">
        <v>303</v>
      </c>
    </row>
    <row r="270" spans="1:13" ht="120" customHeight="1" x14ac:dyDescent="0.3">
      <c r="A270" s="180" t="s">
        <v>68</v>
      </c>
      <c r="B270" s="180">
        <v>2025</v>
      </c>
      <c r="C270" s="180" t="s">
        <v>145</v>
      </c>
      <c r="D270" s="189">
        <f>'Published Ratio Reconciliation'!D304</f>
        <v>1.0900000000000001</v>
      </c>
      <c r="E270" s="189">
        <f>'27 Calculations'!H155</f>
        <v>1.0928864859820921</v>
      </c>
      <c r="F270" s="189">
        <f>'Published Ratio Reconciliation'!F304</f>
        <v>1.0928864859820921</v>
      </c>
      <c r="G270" s="180" t="str">
        <f t="shared" si="4"/>
        <v>Numeric reproduction</v>
      </c>
      <c r="H270" s="183" t="s">
        <v>146</v>
      </c>
      <c r="I270" s="183" t="s">
        <v>9140</v>
      </c>
      <c r="J270" s="183" t="s">
        <v>144</v>
      </c>
      <c r="K270" s="183" t="s">
        <v>147</v>
      </c>
      <c r="L270" s="180">
        <v>2</v>
      </c>
      <c r="M270" s="180">
        <v>304</v>
      </c>
    </row>
    <row r="271" spans="1:13" ht="120" customHeight="1" x14ac:dyDescent="0.3">
      <c r="A271" s="177" t="s">
        <v>68</v>
      </c>
      <c r="B271" s="177">
        <v>2021</v>
      </c>
      <c r="C271" s="177" t="s">
        <v>129</v>
      </c>
      <c r="D271" s="190">
        <f>'Published Ratio Reconciliation'!D305</f>
        <v>20.53</v>
      </c>
      <c r="E271" s="190">
        <f>'27 Calculations'!H166</f>
        <v>20.525799758937445</v>
      </c>
      <c r="F271" s="190">
        <f>'Published Ratio Reconciliation'!F305</f>
        <v>20.525799758937445</v>
      </c>
      <c r="G271" s="177" t="str">
        <f t="shared" si="4"/>
        <v>Numeric reproduction</v>
      </c>
      <c r="H271" s="184" t="s">
        <v>148</v>
      </c>
      <c r="I271" s="184" t="s">
        <v>9140</v>
      </c>
      <c r="J271" s="184" t="s">
        <v>144</v>
      </c>
      <c r="K271" s="184" t="s">
        <v>22</v>
      </c>
      <c r="L271" s="177">
        <v>2</v>
      </c>
      <c r="M271" s="177">
        <v>305</v>
      </c>
    </row>
    <row r="272" spans="1:13" ht="120" customHeight="1" x14ac:dyDescent="0.3">
      <c r="A272" s="180" t="s">
        <v>68</v>
      </c>
      <c r="B272" s="180">
        <v>2022</v>
      </c>
      <c r="C272" s="180" t="s">
        <v>129</v>
      </c>
      <c r="D272" s="189">
        <f>'Published Ratio Reconciliation'!D306</f>
        <v>26.02</v>
      </c>
      <c r="E272" s="189">
        <f>'27 Calculations'!H167</f>
        <v>26.020654219821807</v>
      </c>
      <c r="F272" s="189">
        <f>'Published Ratio Reconciliation'!F306</f>
        <v>26.020654219821807</v>
      </c>
      <c r="G272" s="180" t="str">
        <f t="shared" si="4"/>
        <v>Numeric reproduction</v>
      </c>
      <c r="H272" s="183" t="s">
        <v>148</v>
      </c>
      <c r="I272" s="183" t="s">
        <v>9140</v>
      </c>
      <c r="J272" s="183" t="s">
        <v>144</v>
      </c>
      <c r="K272" s="183" t="s">
        <v>22</v>
      </c>
      <c r="L272" s="180">
        <v>2</v>
      </c>
      <c r="M272" s="180">
        <v>306</v>
      </c>
    </row>
    <row r="273" spans="1:13" ht="120" customHeight="1" x14ac:dyDescent="0.3">
      <c r="A273" s="177" t="s">
        <v>68</v>
      </c>
      <c r="B273" s="177">
        <v>2023</v>
      </c>
      <c r="C273" s="177" t="s">
        <v>129</v>
      </c>
      <c r="D273" s="190">
        <f>'Published Ratio Reconciliation'!D307</f>
        <v>22.25</v>
      </c>
      <c r="E273" s="190">
        <f>'27 Calculations'!H168</f>
        <v>22.253946370189343</v>
      </c>
      <c r="F273" s="190">
        <f>'Published Ratio Reconciliation'!F307</f>
        <v>22.253946370189343</v>
      </c>
      <c r="G273" s="177" t="str">
        <f t="shared" si="4"/>
        <v>Numeric reproduction</v>
      </c>
      <c r="H273" s="184" t="s">
        <v>148</v>
      </c>
      <c r="I273" s="184" t="s">
        <v>9140</v>
      </c>
      <c r="J273" s="184" t="s">
        <v>144</v>
      </c>
      <c r="K273" s="184" t="s">
        <v>22</v>
      </c>
      <c r="L273" s="177">
        <v>2</v>
      </c>
      <c r="M273" s="177">
        <v>307</v>
      </c>
    </row>
    <row r="274" spans="1:13" ht="120" customHeight="1" x14ac:dyDescent="0.3">
      <c r="A274" s="180" t="s">
        <v>68</v>
      </c>
      <c r="B274" s="180">
        <v>2024</v>
      </c>
      <c r="C274" s="180" t="s">
        <v>129</v>
      </c>
      <c r="D274" s="189">
        <f>'Published Ratio Reconciliation'!D308</f>
        <v>19.190000000000001</v>
      </c>
      <c r="E274" s="189">
        <f>'27 Calculations'!H169</f>
        <v>19.185416979630755</v>
      </c>
      <c r="F274" s="189">
        <f>'Published Ratio Reconciliation'!F308</f>
        <v>19.185416979630755</v>
      </c>
      <c r="G274" s="180" t="str">
        <f t="shared" si="4"/>
        <v>Numeric reproduction</v>
      </c>
      <c r="H274" s="183" t="s">
        <v>148</v>
      </c>
      <c r="I274" s="183" t="s">
        <v>9140</v>
      </c>
      <c r="J274" s="183" t="s">
        <v>144</v>
      </c>
      <c r="K274" s="183" t="s">
        <v>22</v>
      </c>
      <c r="L274" s="180">
        <v>2</v>
      </c>
      <c r="M274" s="180">
        <v>308</v>
      </c>
    </row>
    <row r="275" spans="1:13" ht="120" customHeight="1" x14ac:dyDescent="0.3">
      <c r="A275" s="177" t="s">
        <v>68</v>
      </c>
      <c r="B275" s="177">
        <v>2025</v>
      </c>
      <c r="C275" s="177" t="s">
        <v>129</v>
      </c>
      <c r="D275" s="190">
        <f>'Published Ratio Reconciliation'!D309</f>
        <v>18.739999999999998</v>
      </c>
      <c r="E275" s="190">
        <f>'27 Calculations'!H170</f>
        <v>18.743761644592638</v>
      </c>
      <c r="F275" s="190">
        <f>'Published Ratio Reconciliation'!F309</f>
        <v>18.743761644592638</v>
      </c>
      <c r="G275" s="177" t="str">
        <f t="shared" si="4"/>
        <v>Numeric reproduction</v>
      </c>
      <c r="H275" s="184" t="s">
        <v>148</v>
      </c>
      <c r="I275" s="184" t="s">
        <v>9140</v>
      </c>
      <c r="J275" s="184" t="s">
        <v>144</v>
      </c>
      <c r="K275" s="184" t="s">
        <v>22</v>
      </c>
      <c r="L275" s="177">
        <v>2</v>
      </c>
      <c r="M275" s="177">
        <v>309</v>
      </c>
    </row>
    <row r="276" spans="1:13" ht="120" customHeight="1" x14ac:dyDescent="0.3">
      <c r="A276" s="180" t="s">
        <v>68</v>
      </c>
      <c r="B276" s="180">
        <v>2021</v>
      </c>
      <c r="C276" s="180" t="s">
        <v>134</v>
      </c>
      <c r="D276" s="189">
        <f>'Published Ratio Reconciliation'!D315</f>
        <v>95.8</v>
      </c>
      <c r="E276" s="189">
        <f>'27 Calculations'!H171</f>
        <v>95.709906676324849</v>
      </c>
      <c r="F276" s="189">
        <f>'Published Ratio Reconciliation'!F315</f>
        <v>95.800524934383205</v>
      </c>
      <c r="G276" s="180" t="str">
        <f t="shared" si="4"/>
        <v>Numeric reproduction</v>
      </c>
      <c r="H276" s="183" t="s">
        <v>149</v>
      </c>
      <c r="I276" s="183" t="s">
        <v>9140</v>
      </c>
      <c r="J276" s="183" t="s">
        <v>144</v>
      </c>
      <c r="K276" s="183" t="s">
        <v>22</v>
      </c>
      <c r="L276" s="180">
        <v>2</v>
      </c>
      <c r="M276" s="180">
        <v>315</v>
      </c>
    </row>
    <row r="277" spans="1:13" ht="120" customHeight="1" x14ac:dyDescent="0.3">
      <c r="A277" s="177" t="s">
        <v>68</v>
      </c>
      <c r="B277" s="177">
        <v>2022</v>
      </c>
      <c r="C277" s="177" t="s">
        <v>134</v>
      </c>
      <c r="D277" s="190">
        <f>'Published Ratio Reconciliation'!D316</f>
        <v>99.73</v>
      </c>
      <c r="E277" s="190">
        <f>'27 Calculations'!H172</f>
        <v>99.788581457615734</v>
      </c>
      <c r="F277" s="190">
        <f>'Published Ratio Reconciliation'!F316</f>
        <v>99.726775956284143</v>
      </c>
      <c r="G277" s="177" t="str">
        <f t="shared" si="4"/>
        <v>Numeric reproduction</v>
      </c>
      <c r="H277" s="184" t="s">
        <v>149</v>
      </c>
      <c r="I277" s="184" t="s">
        <v>9140</v>
      </c>
      <c r="J277" s="184" t="s">
        <v>144</v>
      </c>
      <c r="K277" s="184" t="s">
        <v>22</v>
      </c>
      <c r="L277" s="177">
        <v>2</v>
      </c>
      <c r="M277" s="177">
        <v>316</v>
      </c>
    </row>
    <row r="278" spans="1:13" ht="120" customHeight="1" x14ac:dyDescent="0.3">
      <c r="A278" s="180" t="s">
        <v>68</v>
      </c>
      <c r="B278" s="180">
        <v>2023</v>
      </c>
      <c r="C278" s="180" t="s">
        <v>134</v>
      </c>
      <c r="D278" s="189">
        <f>'Published Ratio Reconciliation'!D317</f>
        <v>100.83</v>
      </c>
      <c r="E278" s="189">
        <f>'27 Calculations'!H173</f>
        <v>100.73184197970664</v>
      </c>
      <c r="F278" s="189">
        <f>'Published Ratio Reconciliation'!F317</f>
        <v>100.82872928176795</v>
      </c>
      <c r="G278" s="180" t="str">
        <f t="shared" si="4"/>
        <v>Numeric reproduction</v>
      </c>
      <c r="H278" s="183" t="s">
        <v>149</v>
      </c>
      <c r="I278" s="183" t="s">
        <v>9140</v>
      </c>
      <c r="J278" s="183" t="s">
        <v>144</v>
      </c>
      <c r="K278" s="183" t="s">
        <v>22</v>
      </c>
      <c r="L278" s="180">
        <v>2</v>
      </c>
      <c r="M278" s="180">
        <v>317</v>
      </c>
    </row>
    <row r="279" spans="1:13" ht="120" customHeight="1" x14ac:dyDescent="0.3">
      <c r="A279" s="177" t="s">
        <v>68</v>
      </c>
      <c r="B279" s="177">
        <v>2024</v>
      </c>
      <c r="C279" s="177" t="s">
        <v>134</v>
      </c>
      <c r="D279" s="190">
        <f>'Published Ratio Reconciliation'!D318</f>
        <v>103.11</v>
      </c>
      <c r="E279" s="190">
        <f>'27 Calculations'!H174</f>
        <v>103.10239469568691</v>
      </c>
      <c r="F279" s="190">
        <f>'Published Ratio Reconciliation'!F318</f>
        <v>103.10734463276836</v>
      </c>
      <c r="G279" s="177" t="str">
        <f t="shared" si="4"/>
        <v>Numeric reproduction</v>
      </c>
      <c r="H279" s="184" t="s">
        <v>149</v>
      </c>
      <c r="I279" s="184" t="s">
        <v>9140</v>
      </c>
      <c r="J279" s="184" t="s">
        <v>144</v>
      </c>
      <c r="K279" s="184" t="s">
        <v>22</v>
      </c>
      <c r="L279" s="177">
        <v>2</v>
      </c>
      <c r="M279" s="177">
        <v>318</v>
      </c>
    </row>
    <row r="280" spans="1:13" ht="120" customHeight="1" x14ac:dyDescent="0.3">
      <c r="A280" s="180" t="s">
        <v>68</v>
      </c>
      <c r="B280" s="180">
        <v>2025</v>
      </c>
      <c r="C280" s="180" t="s">
        <v>134</v>
      </c>
      <c r="D280" s="189">
        <f>'Published Ratio Reconciliation'!D319</f>
        <v>106.41</v>
      </c>
      <c r="E280" s="189">
        <f>'27 Calculations'!H175</f>
        <v>106.53528435458882</v>
      </c>
      <c r="F280" s="189">
        <f>'Published Ratio Reconciliation'!F319</f>
        <v>106.4139941690962</v>
      </c>
      <c r="G280" s="180" t="str">
        <f t="shared" si="4"/>
        <v>Numeric reproduction</v>
      </c>
      <c r="H280" s="183" t="s">
        <v>149</v>
      </c>
      <c r="I280" s="183" t="s">
        <v>9140</v>
      </c>
      <c r="J280" s="183" t="s">
        <v>144</v>
      </c>
      <c r="K280" s="183" t="s">
        <v>22</v>
      </c>
      <c r="L280" s="180">
        <v>2</v>
      </c>
      <c r="M280" s="180">
        <v>319</v>
      </c>
    </row>
    <row r="281" spans="1:13" ht="120" customHeight="1" x14ac:dyDescent="0.3">
      <c r="A281" s="177" t="s">
        <v>68</v>
      </c>
      <c r="B281" s="177">
        <v>2021</v>
      </c>
      <c r="C281" s="177" t="s">
        <v>151</v>
      </c>
      <c r="D281" s="190">
        <f>'Published Ratio Reconciliation'!D325</f>
        <v>0.04</v>
      </c>
      <c r="E281" s="190">
        <f>'27 Calculations'!H196</f>
        <v>9.267604319417716E-2</v>
      </c>
      <c r="F281" s="190">
        <f>'Published Ratio Reconciliation'!F325</f>
        <v>4.018446671738151E-2</v>
      </c>
      <c r="G281" s="177" t="str">
        <f t="shared" si="4"/>
        <v>Numeric reproduction</v>
      </c>
      <c r="H281" s="184" t="s">
        <v>152</v>
      </c>
      <c r="I281" s="184" t="s">
        <v>9140</v>
      </c>
      <c r="J281" s="184" t="s">
        <v>144</v>
      </c>
      <c r="K281" s="184" t="s">
        <v>153</v>
      </c>
      <c r="L281" s="177">
        <v>2</v>
      </c>
      <c r="M281" s="177">
        <v>325</v>
      </c>
    </row>
    <row r="282" spans="1:13" ht="120" customHeight="1" x14ac:dyDescent="0.3">
      <c r="A282" s="180" t="s">
        <v>68</v>
      </c>
      <c r="B282" s="180">
        <v>2022</v>
      </c>
      <c r="C282" s="180" t="s">
        <v>151</v>
      </c>
      <c r="D282" s="189">
        <f>'Published Ratio Reconciliation'!D326</f>
        <v>0.13</v>
      </c>
      <c r="E282" s="189">
        <f>'27 Calculations'!H197</f>
        <v>0.12132883685589589</v>
      </c>
      <c r="F282" s="189">
        <f>'Published Ratio Reconciliation'!F326</f>
        <v>0.13038790068710268</v>
      </c>
      <c r="G282" s="180" t="str">
        <f t="shared" si="4"/>
        <v>Numeric reproduction</v>
      </c>
      <c r="H282" s="183" t="s">
        <v>152</v>
      </c>
      <c r="I282" s="183" t="s">
        <v>9140</v>
      </c>
      <c r="J282" s="183" t="s">
        <v>144</v>
      </c>
      <c r="K282" s="183" t="s">
        <v>153</v>
      </c>
      <c r="L282" s="180">
        <v>2</v>
      </c>
      <c r="M282" s="180">
        <v>326</v>
      </c>
    </row>
    <row r="283" spans="1:13" ht="120" customHeight="1" x14ac:dyDescent="0.3">
      <c r="A283" s="177" t="s">
        <v>68</v>
      </c>
      <c r="B283" s="177">
        <v>2023</v>
      </c>
      <c r="C283" s="177" t="s">
        <v>151</v>
      </c>
      <c r="D283" s="190">
        <f>'Published Ratio Reconciliation'!D327</f>
        <v>0.13</v>
      </c>
      <c r="E283" s="190">
        <f>'27 Calculations'!H198</f>
        <v>0.15318126074071459</v>
      </c>
      <c r="F283" s="190">
        <f>'Published Ratio Reconciliation'!F327</f>
        <v>0.12578231145237154</v>
      </c>
      <c r="G283" s="177" t="str">
        <f t="shared" si="4"/>
        <v>Numeric reproduction</v>
      </c>
      <c r="H283" s="184" t="s">
        <v>152</v>
      </c>
      <c r="I283" s="184" t="s">
        <v>9140</v>
      </c>
      <c r="J283" s="184" t="s">
        <v>144</v>
      </c>
      <c r="K283" s="184" t="s">
        <v>153</v>
      </c>
      <c r="L283" s="177">
        <v>2</v>
      </c>
      <c r="M283" s="177">
        <v>327</v>
      </c>
    </row>
    <row r="284" spans="1:13" ht="120" customHeight="1" x14ac:dyDescent="0.3">
      <c r="A284" s="180" t="s">
        <v>68</v>
      </c>
      <c r="B284" s="180">
        <v>2024</v>
      </c>
      <c r="C284" s="180" t="s">
        <v>151</v>
      </c>
      <c r="D284" s="189">
        <f>'Published Ratio Reconciliation'!D328</f>
        <v>0.11</v>
      </c>
      <c r="E284" s="189">
        <f>'27 Calculations'!H199</f>
        <v>0.13768684470695258</v>
      </c>
      <c r="F284" s="189">
        <f>'Published Ratio Reconciliation'!F328</f>
        <v>0.11251824116273711</v>
      </c>
      <c r="G284" s="180" t="str">
        <f t="shared" si="4"/>
        <v>Numeric reproduction</v>
      </c>
      <c r="H284" s="183" t="s">
        <v>152</v>
      </c>
      <c r="I284" s="183" t="s">
        <v>9140</v>
      </c>
      <c r="J284" s="183" t="s">
        <v>144</v>
      </c>
      <c r="K284" s="183" t="s">
        <v>153</v>
      </c>
      <c r="L284" s="180">
        <v>2</v>
      </c>
      <c r="M284" s="180">
        <v>328</v>
      </c>
    </row>
    <row r="285" spans="1:13" ht="120" customHeight="1" x14ac:dyDescent="0.3">
      <c r="A285" s="177" t="s">
        <v>68</v>
      </c>
      <c r="B285" s="177">
        <v>2025</v>
      </c>
      <c r="C285" s="177" t="s">
        <v>151</v>
      </c>
      <c r="D285" s="190">
        <f>'Published Ratio Reconciliation'!D329</f>
        <v>7.0000000000000007E-2</v>
      </c>
      <c r="E285" s="190">
        <f>'27 Calculations'!H200</f>
        <v>9.9684879347667912E-2</v>
      </c>
      <c r="F285" s="190">
        <f>'Published Ratio Reconciliation'!F329</f>
        <v>7.0679493651313402E-2</v>
      </c>
      <c r="G285" s="177" t="str">
        <f t="shared" si="4"/>
        <v>Numeric reproduction</v>
      </c>
      <c r="H285" s="184" t="s">
        <v>152</v>
      </c>
      <c r="I285" s="184" t="s">
        <v>9140</v>
      </c>
      <c r="J285" s="184" t="s">
        <v>144</v>
      </c>
      <c r="K285" s="184" t="s">
        <v>153</v>
      </c>
      <c r="L285" s="177">
        <v>2</v>
      </c>
      <c r="M285" s="177">
        <v>329</v>
      </c>
    </row>
    <row r="286" spans="1:13" ht="120" customHeight="1" x14ac:dyDescent="0.3">
      <c r="A286" s="180" t="s">
        <v>68</v>
      </c>
      <c r="B286" s="180">
        <v>2021</v>
      </c>
      <c r="C286" s="180" t="s">
        <v>154</v>
      </c>
      <c r="D286" s="189">
        <f>'Published Ratio Reconciliation'!D330</f>
        <v>0.30120000000000002</v>
      </c>
      <c r="E286" s="189">
        <f>'27 Calculations'!H211</f>
        <v>0.30117079055471246</v>
      </c>
      <c r="F286" s="189">
        <f>'Published Ratio Reconciliation'!F330</f>
        <v>0.30117079055471246</v>
      </c>
      <c r="G286" s="180" t="str">
        <f t="shared" si="4"/>
        <v>Numeric reproduction</v>
      </c>
      <c r="H286" s="183" t="s">
        <v>21</v>
      </c>
      <c r="I286" s="183" t="s">
        <v>9140</v>
      </c>
      <c r="J286" s="183" t="s">
        <v>144</v>
      </c>
      <c r="K286" s="183" t="s">
        <v>22</v>
      </c>
      <c r="L286" s="180">
        <v>4</v>
      </c>
      <c r="M286" s="180">
        <v>330</v>
      </c>
    </row>
    <row r="287" spans="1:13" ht="120" customHeight="1" x14ac:dyDescent="0.3">
      <c r="A287" s="177" t="s">
        <v>68</v>
      </c>
      <c r="B287" s="177">
        <v>2022</v>
      </c>
      <c r="C287" s="177" t="s">
        <v>154</v>
      </c>
      <c r="D287" s="190">
        <f>'Published Ratio Reconciliation'!D331</f>
        <v>0.27810000000000001</v>
      </c>
      <c r="E287" s="190">
        <f>'27 Calculations'!H212</f>
        <v>0.27809669144361399</v>
      </c>
      <c r="F287" s="190">
        <f>'Published Ratio Reconciliation'!F331</f>
        <v>0.27809669144361399</v>
      </c>
      <c r="G287" s="177" t="str">
        <f t="shared" si="4"/>
        <v>Numeric reproduction</v>
      </c>
      <c r="H287" s="184" t="s">
        <v>21</v>
      </c>
      <c r="I287" s="184" t="s">
        <v>9140</v>
      </c>
      <c r="J287" s="184" t="s">
        <v>144</v>
      </c>
      <c r="K287" s="184" t="s">
        <v>22</v>
      </c>
      <c r="L287" s="177">
        <v>4</v>
      </c>
      <c r="M287" s="177">
        <v>331</v>
      </c>
    </row>
    <row r="288" spans="1:13" ht="120" customHeight="1" x14ac:dyDescent="0.3">
      <c r="A288" s="180" t="s">
        <v>68</v>
      </c>
      <c r="B288" s="180">
        <v>2023</v>
      </c>
      <c r="C288" s="180" t="s">
        <v>154</v>
      </c>
      <c r="D288" s="189">
        <f>'Published Ratio Reconciliation'!D332</f>
        <v>0.27189999999999998</v>
      </c>
      <c r="E288" s="189">
        <f>'27 Calculations'!H213</f>
        <v>0.27194087595679139</v>
      </c>
      <c r="F288" s="189">
        <f>'Published Ratio Reconciliation'!F332</f>
        <v>0.27194087595679139</v>
      </c>
      <c r="G288" s="180" t="str">
        <f t="shared" si="4"/>
        <v>Numeric reproduction</v>
      </c>
      <c r="H288" s="183" t="s">
        <v>21</v>
      </c>
      <c r="I288" s="183" t="s">
        <v>9140</v>
      </c>
      <c r="J288" s="183" t="s">
        <v>144</v>
      </c>
      <c r="K288" s="183" t="s">
        <v>22</v>
      </c>
      <c r="L288" s="180">
        <v>4</v>
      </c>
      <c r="M288" s="180">
        <v>332</v>
      </c>
    </row>
    <row r="289" spans="1:13" ht="120" customHeight="1" x14ac:dyDescent="0.3">
      <c r="A289" s="177" t="s">
        <v>68</v>
      </c>
      <c r="B289" s="177">
        <v>2024</v>
      </c>
      <c r="C289" s="177" t="s">
        <v>154</v>
      </c>
      <c r="D289" s="190">
        <f>'Published Ratio Reconciliation'!D333</f>
        <v>0.33650000000000002</v>
      </c>
      <c r="E289" s="190">
        <f>'27 Calculations'!H214</f>
        <v>0.33648030796321582</v>
      </c>
      <c r="F289" s="190">
        <f>'Published Ratio Reconciliation'!F333</f>
        <v>0.33648030796321582</v>
      </c>
      <c r="G289" s="177" t="str">
        <f t="shared" si="4"/>
        <v>Numeric reproduction</v>
      </c>
      <c r="H289" s="184" t="s">
        <v>21</v>
      </c>
      <c r="I289" s="184" t="s">
        <v>9140</v>
      </c>
      <c r="J289" s="184" t="s">
        <v>144</v>
      </c>
      <c r="K289" s="184" t="s">
        <v>22</v>
      </c>
      <c r="L289" s="177">
        <v>4</v>
      </c>
      <c r="M289" s="177">
        <v>333</v>
      </c>
    </row>
    <row r="290" spans="1:13" ht="120" customHeight="1" x14ac:dyDescent="0.3">
      <c r="A290" s="180" t="s">
        <v>68</v>
      </c>
      <c r="B290" s="180">
        <v>2025</v>
      </c>
      <c r="C290" s="180" t="s">
        <v>154</v>
      </c>
      <c r="D290" s="189">
        <f>'Published Ratio Reconciliation'!D334</f>
        <v>0.34279999999999999</v>
      </c>
      <c r="E290" s="189">
        <f>'27 Calculations'!H215</f>
        <v>0.34281652982067301</v>
      </c>
      <c r="F290" s="189">
        <f>'Published Ratio Reconciliation'!F334</f>
        <v>0.34281652982067301</v>
      </c>
      <c r="G290" s="180" t="str">
        <f t="shared" si="4"/>
        <v>Numeric reproduction</v>
      </c>
      <c r="H290" s="183" t="s">
        <v>21</v>
      </c>
      <c r="I290" s="183" t="s">
        <v>9140</v>
      </c>
      <c r="J290" s="183" t="s">
        <v>144</v>
      </c>
      <c r="K290" s="183" t="s">
        <v>22</v>
      </c>
      <c r="L290" s="180">
        <v>4</v>
      </c>
      <c r="M290" s="180">
        <v>334</v>
      </c>
    </row>
    <row r="291" spans="1:13" ht="120" customHeight="1" x14ac:dyDescent="0.3">
      <c r="A291" s="177" t="s">
        <v>68</v>
      </c>
      <c r="B291" s="177">
        <v>2021</v>
      </c>
      <c r="C291" s="177" t="s">
        <v>155</v>
      </c>
      <c r="D291" s="190">
        <f>'Published Ratio Reconciliation'!D335</f>
        <v>0.2235</v>
      </c>
      <c r="E291" s="190">
        <f>'27 Calculations'!H221</f>
        <v>0.22354637821997994</v>
      </c>
      <c r="F291" s="190">
        <f>'Published Ratio Reconciliation'!F335</f>
        <v>0.22354637821997994</v>
      </c>
      <c r="G291" s="177" t="str">
        <f t="shared" si="4"/>
        <v>Numeric reproduction</v>
      </c>
      <c r="H291" s="184" t="s">
        <v>21</v>
      </c>
      <c r="I291" s="184" t="s">
        <v>9140</v>
      </c>
      <c r="J291" s="184" t="s">
        <v>144</v>
      </c>
      <c r="K291" s="184" t="s">
        <v>22</v>
      </c>
      <c r="L291" s="177">
        <v>4</v>
      </c>
      <c r="M291" s="177">
        <v>335</v>
      </c>
    </row>
    <row r="292" spans="1:13" ht="120" customHeight="1" x14ac:dyDescent="0.3">
      <c r="A292" s="180" t="s">
        <v>68</v>
      </c>
      <c r="B292" s="180">
        <v>2022</v>
      </c>
      <c r="C292" s="180" t="s">
        <v>155</v>
      </c>
      <c r="D292" s="189">
        <f>'Published Ratio Reconciliation'!D336</f>
        <v>0.18870000000000001</v>
      </c>
      <c r="E292" s="189">
        <f>'27 Calculations'!H222</f>
        <v>0.18865400166042842</v>
      </c>
      <c r="F292" s="189">
        <f>'Published Ratio Reconciliation'!F336</f>
        <v>0.18865400166042842</v>
      </c>
      <c r="G292" s="180" t="str">
        <f t="shared" si="4"/>
        <v>Numeric reproduction</v>
      </c>
      <c r="H292" s="183" t="s">
        <v>21</v>
      </c>
      <c r="I292" s="183" t="s">
        <v>9140</v>
      </c>
      <c r="J292" s="183" t="s">
        <v>144</v>
      </c>
      <c r="K292" s="183" t="s">
        <v>22</v>
      </c>
      <c r="L292" s="180">
        <v>4</v>
      </c>
      <c r="M292" s="180">
        <v>336</v>
      </c>
    </row>
    <row r="293" spans="1:13" ht="120" customHeight="1" x14ac:dyDescent="0.3">
      <c r="A293" s="177" t="s">
        <v>68</v>
      </c>
      <c r="B293" s="177">
        <v>2023</v>
      </c>
      <c r="C293" s="177" t="s">
        <v>155</v>
      </c>
      <c r="D293" s="190">
        <f>'Published Ratio Reconciliation'!D337</f>
        <v>0.14319999999999999</v>
      </c>
      <c r="E293" s="190">
        <f>'27 Calculations'!H223</f>
        <v>0.14322765825125466</v>
      </c>
      <c r="F293" s="190">
        <f>'Published Ratio Reconciliation'!F337</f>
        <v>0.14322765825125466</v>
      </c>
      <c r="G293" s="177" t="str">
        <f t="shared" si="4"/>
        <v>Numeric reproduction</v>
      </c>
      <c r="H293" s="184" t="s">
        <v>21</v>
      </c>
      <c r="I293" s="184" t="s">
        <v>9140</v>
      </c>
      <c r="J293" s="184" t="s">
        <v>144</v>
      </c>
      <c r="K293" s="184" t="s">
        <v>22</v>
      </c>
      <c r="L293" s="177">
        <v>4</v>
      </c>
      <c r="M293" s="177">
        <v>337</v>
      </c>
    </row>
    <row r="294" spans="1:13" ht="120" customHeight="1" x14ac:dyDescent="0.3">
      <c r="A294" s="180" t="s">
        <v>68</v>
      </c>
      <c r="B294" s="180">
        <v>2024</v>
      </c>
      <c r="C294" s="180" t="s">
        <v>155</v>
      </c>
      <c r="D294" s="189">
        <f>'Published Ratio Reconciliation'!D338</f>
        <v>0.2437</v>
      </c>
      <c r="E294" s="189">
        <f>'27 Calculations'!H224</f>
        <v>0.24371604713228476</v>
      </c>
      <c r="F294" s="189">
        <f>'Published Ratio Reconciliation'!F338</f>
        <v>0.24371604713228476</v>
      </c>
      <c r="G294" s="180" t="str">
        <f t="shared" si="4"/>
        <v>Numeric reproduction</v>
      </c>
      <c r="H294" s="183" t="s">
        <v>21</v>
      </c>
      <c r="I294" s="183" t="s">
        <v>9140</v>
      </c>
      <c r="J294" s="183" t="s">
        <v>144</v>
      </c>
      <c r="K294" s="183" t="s">
        <v>22</v>
      </c>
      <c r="L294" s="180">
        <v>4</v>
      </c>
      <c r="M294" s="180">
        <v>338</v>
      </c>
    </row>
    <row r="295" spans="1:13" ht="120" customHeight="1" x14ac:dyDescent="0.3">
      <c r="A295" s="177" t="s">
        <v>68</v>
      </c>
      <c r="B295" s="177">
        <v>2025</v>
      </c>
      <c r="C295" s="177" t="s">
        <v>155</v>
      </c>
      <c r="D295" s="190">
        <f>'Published Ratio Reconciliation'!D339</f>
        <v>0.26579999999999998</v>
      </c>
      <c r="E295" s="190">
        <f>'27 Calculations'!H225</f>
        <v>0.26577542757733763</v>
      </c>
      <c r="F295" s="190">
        <f>'Published Ratio Reconciliation'!F339</f>
        <v>0.26577542757733763</v>
      </c>
      <c r="G295" s="177" t="str">
        <f t="shared" si="4"/>
        <v>Numeric reproduction</v>
      </c>
      <c r="H295" s="184" t="s">
        <v>21</v>
      </c>
      <c r="I295" s="184" t="s">
        <v>9140</v>
      </c>
      <c r="J295" s="184" t="s">
        <v>144</v>
      </c>
      <c r="K295" s="184" t="s">
        <v>22</v>
      </c>
      <c r="L295" s="177">
        <v>4</v>
      </c>
      <c r="M295" s="177">
        <v>339</v>
      </c>
    </row>
    <row r="296" spans="1:13" ht="120" customHeight="1" x14ac:dyDescent="0.3">
      <c r="A296" s="180" t="s">
        <v>68</v>
      </c>
      <c r="B296" s="180">
        <v>2021</v>
      </c>
      <c r="C296" s="180" t="s">
        <v>53</v>
      </c>
      <c r="D296" s="189">
        <f>'Published Ratio Reconciliation'!D340</f>
        <v>0.12379999999999999</v>
      </c>
      <c r="E296" s="189">
        <f>'27 Calculations'!H231</f>
        <v>0.12429467254394423</v>
      </c>
      <c r="F296" s="189">
        <f>'Forensic Tests'!I410</f>
        <v>0.1238194792806921</v>
      </c>
      <c r="G296" s="180" t="str">
        <f t="shared" si="4"/>
        <v>Numeric reproduction</v>
      </c>
      <c r="H296" s="183" t="s">
        <v>5867</v>
      </c>
      <c r="I296" s="183" t="s">
        <v>5704</v>
      </c>
      <c r="J296" s="183" t="s">
        <v>144</v>
      </c>
      <c r="K296" s="183" t="s">
        <v>5869</v>
      </c>
      <c r="L296" s="180">
        <v>4</v>
      </c>
      <c r="M296" s="180">
        <v>340</v>
      </c>
    </row>
    <row r="297" spans="1:13" ht="120" customHeight="1" x14ac:dyDescent="0.3">
      <c r="A297" s="177" t="s">
        <v>68</v>
      </c>
      <c r="B297" s="177">
        <v>2022</v>
      </c>
      <c r="C297" s="177" t="s">
        <v>53</v>
      </c>
      <c r="D297" s="190">
        <f>'Published Ratio Reconciliation'!D341</f>
        <v>0.1193</v>
      </c>
      <c r="E297" s="190">
        <f>'27 Calculations'!H232</f>
        <v>0.11901804448540206</v>
      </c>
      <c r="F297" s="190">
        <f>'Forensic Tests'!I416</f>
        <v>0.11934049582759727</v>
      </c>
      <c r="G297" s="177" t="str">
        <f t="shared" si="4"/>
        <v>Numeric reproduction</v>
      </c>
      <c r="H297" s="184" t="s">
        <v>5867</v>
      </c>
      <c r="I297" s="184" t="s">
        <v>5704</v>
      </c>
      <c r="J297" s="184" t="s">
        <v>144</v>
      </c>
      <c r="K297" s="184" t="s">
        <v>5869</v>
      </c>
      <c r="L297" s="177">
        <v>4</v>
      </c>
      <c r="M297" s="177">
        <v>341</v>
      </c>
    </row>
    <row r="298" spans="1:13" ht="120" customHeight="1" x14ac:dyDescent="0.3">
      <c r="A298" s="180" t="s">
        <v>68</v>
      </c>
      <c r="B298" s="180">
        <v>2023</v>
      </c>
      <c r="C298" s="180" t="s">
        <v>53</v>
      </c>
      <c r="D298" s="189">
        <f>'Published Ratio Reconciliation'!D342</f>
        <v>0.1018</v>
      </c>
      <c r="E298" s="189">
        <f>'27 Calculations'!H233</f>
        <v>9.9921242706891636E-2</v>
      </c>
      <c r="F298" s="189">
        <f>'Forensic Tests'!I422</f>
        <v>0.10179828206222827</v>
      </c>
      <c r="G298" s="180" t="str">
        <f t="shared" si="4"/>
        <v>Numeric reproduction</v>
      </c>
      <c r="H298" s="183" t="s">
        <v>5867</v>
      </c>
      <c r="I298" s="183" t="s">
        <v>5704</v>
      </c>
      <c r="J298" s="183" t="s">
        <v>144</v>
      </c>
      <c r="K298" s="183" t="s">
        <v>5869</v>
      </c>
      <c r="L298" s="180">
        <v>4</v>
      </c>
      <c r="M298" s="180">
        <v>342</v>
      </c>
    </row>
    <row r="299" spans="1:13" ht="120" customHeight="1" x14ac:dyDescent="0.3">
      <c r="A299" s="177" t="s">
        <v>68</v>
      </c>
      <c r="B299" s="177">
        <v>2024</v>
      </c>
      <c r="C299" s="177" t="s">
        <v>53</v>
      </c>
      <c r="D299" s="190">
        <f>'Published Ratio Reconciliation'!D343</f>
        <v>0.1893</v>
      </c>
      <c r="E299" s="190">
        <f>'27 Calculations'!H234</f>
        <v>0.19021586420101122</v>
      </c>
      <c r="F299" s="190">
        <f>'Forensic Tests'!I428</f>
        <v>0.18930356834964279</v>
      </c>
      <c r="G299" s="177" t="str">
        <f t="shared" si="4"/>
        <v>Numeric reproduction</v>
      </c>
      <c r="H299" s="184" t="s">
        <v>5867</v>
      </c>
      <c r="I299" s="184" t="s">
        <v>5704</v>
      </c>
      <c r="J299" s="184" t="s">
        <v>144</v>
      </c>
      <c r="K299" s="184" t="s">
        <v>5869</v>
      </c>
      <c r="L299" s="177">
        <v>4</v>
      </c>
      <c r="M299" s="177">
        <v>343</v>
      </c>
    </row>
    <row r="300" spans="1:13" ht="120" customHeight="1" x14ac:dyDescent="0.3">
      <c r="A300" s="180" t="s">
        <v>68</v>
      </c>
      <c r="B300" s="180">
        <v>2025</v>
      </c>
      <c r="C300" s="180" t="s">
        <v>53</v>
      </c>
      <c r="D300" s="189">
        <f>'Published Ratio Reconciliation'!D344</f>
        <v>0.185</v>
      </c>
      <c r="E300" s="189">
        <f>'27 Calculations'!H235</f>
        <v>0.18811941761260281</v>
      </c>
      <c r="F300" s="189">
        <f>'Forensic Tests'!I434</f>
        <v>0.18500397361383977</v>
      </c>
      <c r="G300" s="180" t="str">
        <f t="shared" si="4"/>
        <v>Numeric reproduction</v>
      </c>
      <c r="H300" s="183" t="s">
        <v>5867</v>
      </c>
      <c r="I300" s="183" t="s">
        <v>5704</v>
      </c>
      <c r="J300" s="183" t="s">
        <v>144</v>
      </c>
      <c r="K300" s="183" t="s">
        <v>5869</v>
      </c>
      <c r="L300" s="180">
        <v>4</v>
      </c>
      <c r="M300" s="180">
        <v>344</v>
      </c>
    </row>
    <row r="301" spans="1:13" ht="120" customHeight="1" x14ac:dyDescent="0.3">
      <c r="A301" s="177" t="s">
        <v>68</v>
      </c>
      <c r="B301" s="177">
        <v>2021</v>
      </c>
      <c r="C301" s="177" t="s">
        <v>139</v>
      </c>
      <c r="D301" s="190">
        <f>'Published Ratio Reconciliation'!D345</f>
        <v>70.010000000000005</v>
      </c>
      <c r="E301" s="190">
        <f>'27 Calculations'!H251</f>
        <v>350.05878005411677</v>
      </c>
      <c r="F301" s="190">
        <f>'Published Ratio Reconciliation'!F345</f>
        <v>70.011756010823348</v>
      </c>
      <c r="G301" s="177" t="str">
        <f t="shared" si="4"/>
        <v>Numeric reproduction</v>
      </c>
      <c r="H301" s="184" t="s">
        <v>159</v>
      </c>
      <c r="I301" s="184" t="s">
        <v>9140</v>
      </c>
      <c r="J301" s="184" t="s">
        <v>144</v>
      </c>
      <c r="K301" s="184" t="s">
        <v>160</v>
      </c>
      <c r="L301" s="177">
        <v>2</v>
      </c>
      <c r="M301" s="177">
        <v>345</v>
      </c>
    </row>
    <row r="302" spans="1:13" ht="120" customHeight="1" x14ac:dyDescent="0.3">
      <c r="A302" s="180" t="s">
        <v>68</v>
      </c>
      <c r="B302" s="180">
        <v>2022</v>
      </c>
      <c r="C302" s="180" t="s">
        <v>139</v>
      </c>
      <c r="D302" s="189">
        <f>'Published Ratio Reconciliation'!D346</f>
        <v>79.5</v>
      </c>
      <c r="E302" s="189">
        <f>'27 Calculations'!H252</f>
        <v>397.49617008117508</v>
      </c>
      <c r="F302" s="189">
        <f>'Published Ratio Reconciliation'!F346</f>
        <v>79.499234016235022</v>
      </c>
      <c r="G302" s="180" t="str">
        <f t="shared" si="4"/>
        <v>Numeric reproduction</v>
      </c>
      <c r="H302" s="183" t="s">
        <v>159</v>
      </c>
      <c r="I302" s="183" t="s">
        <v>9140</v>
      </c>
      <c r="J302" s="183" t="s">
        <v>144</v>
      </c>
      <c r="K302" s="183" t="s">
        <v>160</v>
      </c>
      <c r="L302" s="180">
        <v>2</v>
      </c>
      <c r="M302" s="180">
        <v>346</v>
      </c>
    </row>
    <row r="303" spans="1:13" ht="120" customHeight="1" x14ac:dyDescent="0.3">
      <c r="A303" s="177" t="s">
        <v>68</v>
      </c>
      <c r="B303" s="177">
        <v>2023</v>
      </c>
      <c r="C303" s="177" t="s">
        <v>139</v>
      </c>
      <c r="D303" s="190">
        <f>'Published Ratio Reconciliation'!D347</f>
        <v>87.67</v>
      </c>
      <c r="E303" s="190">
        <f>'27 Calculations'!H253</f>
        <v>440.50456229600826</v>
      </c>
      <c r="F303" s="190">
        <f>'Published Ratio Reconciliation'!F347</f>
        <v>87.668986419115981</v>
      </c>
      <c r="G303" s="177" t="str">
        <f t="shared" si="4"/>
        <v>Numeric reproduction</v>
      </c>
      <c r="H303" s="184" t="s">
        <v>159</v>
      </c>
      <c r="I303" s="184" t="s">
        <v>9140</v>
      </c>
      <c r="J303" s="184" t="s">
        <v>144</v>
      </c>
      <c r="K303" s="184" t="s">
        <v>160</v>
      </c>
      <c r="L303" s="177">
        <v>2</v>
      </c>
      <c r="M303" s="177">
        <v>347</v>
      </c>
    </row>
    <row r="304" spans="1:13" ht="120" customHeight="1" x14ac:dyDescent="0.3">
      <c r="A304" s="180" t="s">
        <v>68</v>
      </c>
      <c r="B304" s="180">
        <v>2024</v>
      </c>
      <c r="C304" s="180" t="s">
        <v>139</v>
      </c>
      <c r="D304" s="189">
        <f>'Published Ratio Reconciliation'!D348</f>
        <v>100.86</v>
      </c>
      <c r="E304" s="189">
        <f>'27 Calculations'!H254</f>
        <v>504.3046996587031</v>
      </c>
      <c r="F304" s="189">
        <f>'Published Ratio Reconciliation'!F348</f>
        <v>100.86093993174062</v>
      </c>
      <c r="G304" s="180" t="str">
        <f t="shared" si="4"/>
        <v>Numeric reproduction</v>
      </c>
      <c r="H304" s="183" t="s">
        <v>159</v>
      </c>
      <c r="I304" s="183" t="s">
        <v>9140</v>
      </c>
      <c r="J304" s="183" t="s">
        <v>144</v>
      </c>
      <c r="K304" s="183" t="s">
        <v>160</v>
      </c>
      <c r="L304" s="180">
        <v>2</v>
      </c>
      <c r="M304" s="180">
        <v>348</v>
      </c>
    </row>
    <row r="305" spans="1:13" ht="120" customHeight="1" x14ac:dyDescent="0.3">
      <c r="A305" s="177" t="s">
        <v>68</v>
      </c>
      <c r="B305" s="177">
        <v>2025</v>
      </c>
      <c r="C305" s="177" t="s">
        <v>139</v>
      </c>
      <c r="D305" s="190">
        <f>'Published Ratio Reconciliation'!D349</f>
        <v>120.08</v>
      </c>
      <c r="E305" s="190">
        <f>'27 Calculations'!H255</f>
        <v>120.07535836177475</v>
      </c>
      <c r="F305" s="190">
        <f>'Published Ratio Reconciliation'!F349</f>
        <v>120.07535836177475</v>
      </c>
      <c r="G305" s="177" t="str">
        <f t="shared" si="4"/>
        <v>Numeric reproduction</v>
      </c>
      <c r="H305" s="184" t="s">
        <v>159</v>
      </c>
      <c r="I305" s="184" t="s">
        <v>9140</v>
      </c>
      <c r="J305" s="184" t="s">
        <v>144</v>
      </c>
      <c r="K305" s="184" t="s">
        <v>160</v>
      </c>
      <c r="L305" s="177">
        <v>2</v>
      </c>
      <c r="M305" s="177">
        <v>349</v>
      </c>
    </row>
    <row r="306" spans="1:13" ht="120" customHeight="1" x14ac:dyDescent="0.3">
      <c r="A306" s="180" t="s">
        <v>68</v>
      </c>
      <c r="B306" s="180">
        <v>2021</v>
      </c>
      <c r="C306" s="180" t="s">
        <v>162</v>
      </c>
      <c r="D306" s="189">
        <f>'Published Ratio Reconciliation'!D350</f>
        <v>2.4700000000000002</v>
      </c>
      <c r="E306" s="189">
        <f>'27 Calculations'!H261</f>
        <v>2.4665571875286716</v>
      </c>
      <c r="F306" s="189">
        <f>'Published Ratio Reconciliation'!F350</f>
        <v>2.4666476217683186</v>
      </c>
      <c r="G306" s="180" t="str">
        <f t="shared" si="4"/>
        <v>Numeric reproduction</v>
      </c>
      <c r="H306" s="183" t="s">
        <v>59</v>
      </c>
      <c r="I306" s="183" t="s">
        <v>9140</v>
      </c>
      <c r="J306" s="183" t="s">
        <v>144</v>
      </c>
      <c r="K306" s="183" t="s">
        <v>22</v>
      </c>
      <c r="L306" s="180">
        <v>2</v>
      </c>
      <c r="M306" s="180">
        <v>350</v>
      </c>
    </row>
    <row r="307" spans="1:13" ht="120" customHeight="1" x14ac:dyDescent="0.3">
      <c r="A307" s="177" t="s">
        <v>68</v>
      </c>
      <c r="B307" s="177">
        <v>2022</v>
      </c>
      <c r="C307" s="177" t="s">
        <v>162</v>
      </c>
      <c r="D307" s="190">
        <f>'Published Ratio Reconciliation'!D351</f>
        <v>1.1499999999999999</v>
      </c>
      <c r="E307" s="190">
        <f>'27 Calculations'!H262</f>
        <v>1.1548287368561481</v>
      </c>
      <c r="F307" s="190">
        <f>'Published Ratio Reconciliation'!F351</f>
        <v>1.1548427672955974</v>
      </c>
      <c r="G307" s="177" t="str">
        <f t="shared" si="4"/>
        <v>Numeric reproduction</v>
      </c>
      <c r="H307" s="184" t="s">
        <v>59</v>
      </c>
      <c r="I307" s="184" t="s">
        <v>9140</v>
      </c>
      <c r="J307" s="184" t="s">
        <v>144</v>
      </c>
      <c r="K307" s="184" t="s">
        <v>22</v>
      </c>
      <c r="L307" s="177">
        <v>2</v>
      </c>
      <c r="M307" s="177">
        <v>351</v>
      </c>
    </row>
    <row r="308" spans="1:13" ht="120" customHeight="1" x14ac:dyDescent="0.3">
      <c r="A308" s="180" t="s">
        <v>68</v>
      </c>
      <c r="B308" s="180">
        <v>2023</v>
      </c>
      <c r="C308" s="180" t="s">
        <v>162</v>
      </c>
      <c r="D308" s="189">
        <f>'Published Ratio Reconciliation'!D352</f>
        <v>1.19</v>
      </c>
      <c r="E308" s="189">
        <f>'27 Calculations'!H263</f>
        <v>1.1852090640758639</v>
      </c>
      <c r="F308" s="189">
        <f>'Published Ratio Reconciliation'!F352</f>
        <v>1.1910573742443253</v>
      </c>
      <c r="G308" s="180" t="str">
        <f t="shared" si="4"/>
        <v>Numeric reproduction</v>
      </c>
      <c r="H308" s="183" t="s">
        <v>59</v>
      </c>
      <c r="I308" s="183" t="s">
        <v>9140</v>
      </c>
      <c r="J308" s="183" t="s">
        <v>144</v>
      </c>
      <c r="K308" s="183" t="s">
        <v>22</v>
      </c>
      <c r="L308" s="180">
        <v>2</v>
      </c>
      <c r="M308" s="180">
        <v>352</v>
      </c>
    </row>
    <row r="309" spans="1:13" ht="120" customHeight="1" x14ac:dyDescent="0.3">
      <c r="A309" s="177" t="s">
        <v>68</v>
      </c>
      <c r="B309" s="177">
        <v>2024</v>
      </c>
      <c r="C309" s="177" t="s">
        <v>162</v>
      </c>
      <c r="D309" s="190">
        <f>'Published Ratio Reconciliation'!D353</f>
        <v>1.8</v>
      </c>
      <c r="E309" s="190">
        <f>'27 Calculations'!H264</f>
        <v>1.7979804681845026</v>
      </c>
      <c r="F309" s="190">
        <f>'Published Ratio Reconciliation'!F353</f>
        <v>1.7980368828078523</v>
      </c>
      <c r="G309" s="177" t="str">
        <f t="shared" si="4"/>
        <v>Numeric reproduction</v>
      </c>
      <c r="H309" s="184" t="s">
        <v>59</v>
      </c>
      <c r="I309" s="184" t="s">
        <v>9140</v>
      </c>
      <c r="J309" s="184" t="s">
        <v>144</v>
      </c>
      <c r="K309" s="184" t="s">
        <v>22</v>
      </c>
      <c r="L309" s="177">
        <v>2</v>
      </c>
      <c r="M309" s="177">
        <v>353</v>
      </c>
    </row>
    <row r="310" spans="1:13" ht="120" customHeight="1" x14ac:dyDescent="0.3">
      <c r="A310" s="180" t="s">
        <v>68</v>
      </c>
      <c r="B310" s="180">
        <v>2025</v>
      </c>
      <c r="C310" s="180" t="s">
        <v>162</v>
      </c>
      <c r="D310" s="189">
        <f>'Published Ratio Reconciliation'!D354</f>
        <v>2.96</v>
      </c>
      <c r="E310" s="189">
        <f>'27 Calculations'!H265</f>
        <v>2.9584754511387614</v>
      </c>
      <c r="F310" s="189">
        <f>'Published Ratio Reconciliation'!F354</f>
        <v>2.95836109260493</v>
      </c>
      <c r="G310" s="180" t="str">
        <f t="shared" si="4"/>
        <v>Numeric reproduction</v>
      </c>
      <c r="H310" s="183" t="s">
        <v>59</v>
      </c>
      <c r="I310" s="183" t="s">
        <v>9140</v>
      </c>
      <c r="J310" s="183" t="s">
        <v>144</v>
      </c>
      <c r="K310" s="183" t="s">
        <v>22</v>
      </c>
      <c r="L310" s="180">
        <v>2</v>
      </c>
      <c r="M310" s="180">
        <v>354</v>
      </c>
    </row>
    <row r="311" spans="1:13" ht="120" customHeight="1" x14ac:dyDescent="0.3">
      <c r="A311" s="177" t="s">
        <v>68</v>
      </c>
      <c r="B311" s="177">
        <v>2021</v>
      </c>
      <c r="C311" s="177" t="s">
        <v>104</v>
      </c>
      <c r="D311" s="190">
        <f>'Published Ratio Reconciliation'!D355</f>
        <v>0</v>
      </c>
      <c r="E311" s="190">
        <f>'27 Calculations'!H266</f>
        <v>0</v>
      </c>
      <c r="F311" s="190">
        <f>'Published Ratio Reconciliation'!F355</f>
        <v>0</v>
      </c>
      <c r="G311" s="177" t="str">
        <f t="shared" si="4"/>
        <v>Numeric reproduction</v>
      </c>
      <c r="H311" s="184" t="s">
        <v>105</v>
      </c>
      <c r="I311" s="184" t="s">
        <v>9140</v>
      </c>
      <c r="J311" s="184" t="s">
        <v>144</v>
      </c>
      <c r="K311" s="184" t="s">
        <v>22</v>
      </c>
      <c r="L311" s="177">
        <v>4</v>
      </c>
      <c r="M311" s="177">
        <v>355</v>
      </c>
    </row>
    <row r="312" spans="1:13" ht="120" customHeight="1" x14ac:dyDescent="0.3">
      <c r="A312" s="180" t="s">
        <v>68</v>
      </c>
      <c r="B312" s="180">
        <v>2022</v>
      </c>
      <c r="C312" s="180" t="s">
        <v>104</v>
      </c>
      <c r="D312" s="189">
        <f>'Published Ratio Reconciliation'!D356</f>
        <v>0</v>
      </c>
      <c r="E312" s="189">
        <f>'27 Calculations'!H267</f>
        <v>0</v>
      </c>
      <c r="F312" s="189">
        <f>'Published Ratio Reconciliation'!F356</f>
        <v>0</v>
      </c>
      <c r="G312" s="180" t="str">
        <f t="shared" si="4"/>
        <v>Numeric reproduction</v>
      </c>
      <c r="H312" s="183" t="s">
        <v>105</v>
      </c>
      <c r="I312" s="183" t="s">
        <v>9140</v>
      </c>
      <c r="J312" s="183" t="s">
        <v>144</v>
      </c>
      <c r="K312" s="183" t="s">
        <v>22</v>
      </c>
      <c r="L312" s="180">
        <v>4</v>
      </c>
      <c r="M312" s="180">
        <v>356</v>
      </c>
    </row>
    <row r="313" spans="1:13" ht="120" customHeight="1" x14ac:dyDescent="0.3">
      <c r="A313" s="177" t="s">
        <v>68</v>
      </c>
      <c r="B313" s="177">
        <v>2023</v>
      </c>
      <c r="C313" s="177" t="s">
        <v>104</v>
      </c>
      <c r="D313" s="190">
        <f>'Published Ratio Reconciliation'!D357</f>
        <v>3.4500000000000003E-2</v>
      </c>
      <c r="E313" s="190">
        <f>'27 Calculations'!H268</f>
        <v>3.4476814342354764E-2</v>
      </c>
      <c r="F313" s="190">
        <f>'Published Ratio Reconciliation'!F357</f>
        <v>3.4476153993487836E-2</v>
      </c>
      <c r="G313" s="177" t="str">
        <f t="shared" si="4"/>
        <v>Numeric reproduction</v>
      </c>
      <c r="H313" s="184" t="s">
        <v>105</v>
      </c>
      <c r="I313" s="184" t="s">
        <v>9140</v>
      </c>
      <c r="J313" s="184" t="s">
        <v>144</v>
      </c>
      <c r="K313" s="184" t="s">
        <v>22</v>
      </c>
      <c r="L313" s="177">
        <v>4</v>
      </c>
      <c r="M313" s="177">
        <v>357</v>
      </c>
    </row>
    <row r="314" spans="1:13" ht="120" customHeight="1" x14ac:dyDescent="0.3">
      <c r="A314" s="180" t="s">
        <v>68</v>
      </c>
      <c r="B314" s="180">
        <v>2024</v>
      </c>
      <c r="C314" s="180" t="s">
        <v>104</v>
      </c>
      <c r="D314" s="189">
        <f>'Published Ratio Reconciliation'!D358</f>
        <v>1.6500000000000001E-2</v>
      </c>
      <c r="E314" s="189">
        <f>'27 Calculations'!H269</f>
        <v>1.6542962072502287E-2</v>
      </c>
      <c r="F314" s="189">
        <f>'Published Ratio Reconciliation'!F358</f>
        <v>1.6542597187758478E-2</v>
      </c>
      <c r="G314" s="180" t="str">
        <f t="shared" si="4"/>
        <v>Numeric reproduction</v>
      </c>
      <c r="H314" s="183" t="s">
        <v>105</v>
      </c>
      <c r="I314" s="183" t="s">
        <v>9140</v>
      </c>
      <c r="J314" s="183" t="s">
        <v>144</v>
      </c>
      <c r="K314" s="183" t="s">
        <v>22</v>
      </c>
      <c r="L314" s="180">
        <v>4</v>
      </c>
      <c r="M314" s="180">
        <v>358</v>
      </c>
    </row>
    <row r="315" spans="1:13" ht="120" customHeight="1" x14ac:dyDescent="0.3">
      <c r="A315" s="177" t="s">
        <v>68</v>
      </c>
      <c r="B315" s="177">
        <v>2025</v>
      </c>
      <c r="C315" s="177" t="s">
        <v>104</v>
      </c>
      <c r="D315" s="190">
        <f>'Published Ratio Reconciliation'!D359</f>
        <v>1.1299999999999999E-2</v>
      </c>
      <c r="E315" s="190">
        <f>'27 Calculations'!H270</f>
        <v>1.1259993244004052E-2</v>
      </c>
      <c r="F315" s="190">
        <f>'Published Ratio Reconciliation'!F359</f>
        <v>1.1259993244004052E-2</v>
      </c>
      <c r="G315" s="177" t="str">
        <f t="shared" si="4"/>
        <v>Numeric reproduction</v>
      </c>
      <c r="H315" s="184" t="s">
        <v>105</v>
      </c>
      <c r="I315" s="184" t="s">
        <v>9140</v>
      </c>
      <c r="J315" s="184" t="s">
        <v>144</v>
      </c>
      <c r="K315" s="184" t="s">
        <v>22</v>
      </c>
      <c r="L315" s="177">
        <v>4</v>
      </c>
      <c r="M315" s="177">
        <v>359</v>
      </c>
    </row>
    <row r="316" spans="1:13" ht="120" customHeight="1" x14ac:dyDescent="0.3">
      <c r="A316" s="180" t="s">
        <v>86</v>
      </c>
      <c r="B316" s="180">
        <v>2021</v>
      </c>
      <c r="C316" s="180" t="s">
        <v>145</v>
      </c>
      <c r="D316" s="189">
        <f>'Published Ratio Reconciliation'!D365</f>
        <v>0.33</v>
      </c>
      <c r="E316" s="189">
        <f>'27 Calculations'!H286</f>
        <v>2.0011480184397672E-2</v>
      </c>
      <c r="F316" s="189">
        <f>'Forensic Tests'!I447</f>
        <v>0.34130739595865744</v>
      </c>
      <c r="G316" s="180" t="str">
        <f t="shared" si="4"/>
        <v>Not reproduced</v>
      </c>
      <c r="H316" s="183" t="s">
        <v>5900</v>
      </c>
      <c r="I316" s="183" t="s">
        <v>5707</v>
      </c>
      <c r="J316" s="183" t="s">
        <v>167</v>
      </c>
      <c r="K316" s="183" t="s">
        <v>5902</v>
      </c>
      <c r="L316" s="180">
        <v>2</v>
      </c>
      <c r="M316" s="180">
        <v>365</v>
      </c>
    </row>
    <row r="317" spans="1:13" ht="120" customHeight="1" x14ac:dyDescent="0.3">
      <c r="A317" s="177" t="s">
        <v>86</v>
      </c>
      <c r="B317" s="177">
        <v>2022</v>
      </c>
      <c r="C317" s="177" t="s">
        <v>145</v>
      </c>
      <c r="D317" s="190">
        <f>'Published Ratio Reconciliation'!D366</f>
        <v>0.01</v>
      </c>
      <c r="E317" s="190">
        <f>'27 Calculations'!H287</f>
        <v>8.913248794490819E-3</v>
      </c>
      <c r="F317" s="190">
        <f>'Published Ratio Reconciliation'!F366</f>
        <v>8.913248794490819E-3</v>
      </c>
      <c r="G317" s="177" t="str">
        <f t="shared" si="4"/>
        <v>Numeric reproduction</v>
      </c>
      <c r="H317" s="184" t="s">
        <v>165</v>
      </c>
      <c r="I317" s="184" t="s">
        <v>9140</v>
      </c>
      <c r="J317" s="184" t="s">
        <v>167</v>
      </c>
      <c r="K317" s="184" t="s">
        <v>166</v>
      </c>
      <c r="L317" s="177">
        <v>2</v>
      </c>
      <c r="M317" s="177">
        <v>366</v>
      </c>
    </row>
    <row r="318" spans="1:13" ht="120" customHeight="1" x14ac:dyDescent="0.3">
      <c r="A318" s="180" t="s">
        <v>86</v>
      </c>
      <c r="B318" s="180">
        <v>2023</v>
      </c>
      <c r="C318" s="180" t="s">
        <v>145</v>
      </c>
      <c r="D318" s="189">
        <f>'Published Ratio Reconciliation'!D367</f>
        <v>0.01</v>
      </c>
      <c r="E318" s="189">
        <f>'27 Calculations'!H288</f>
        <v>1.3866688142092815E-2</v>
      </c>
      <c r="F318" s="189">
        <f>'Published Ratio Reconciliation'!F367</f>
        <v>1.3866688142092815E-2</v>
      </c>
      <c r="G318" s="180" t="str">
        <f t="shared" si="4"/>
        <v>Numeric reproduction</v>
      </c>
      <c r="H318" s="183" t="s">
        <v>165</v>
      </c>
      <c r="I318" s="183" t="s">
        <v>9140</v>
      </c>
      <c r="J318" s="183" t="s">
        <v>167</v>
      </c>
      <c r="K318" s="183" t="s">
        <v>166</v>
      </c>
      <c r="L318" s="180">
        <v>2</v>
      </c>
      <c r="M318" s="180">
        <v>367</v>
      </c>
    </row>
    <row r="319" spans="1:13" ht="120" customHeight="1" x14ac:dyDescent="0.3">
      <c r="A319" s="177" t="s">
        <v>86</v>
      </c>
      <c r="B319" s="177">
        <v>2024</v>
      </c>
      <c r="C319" s="177" t="s">
        <v>145</v>
      </c>
      <c r="D319" s="190">
        <f>'Published Ratio Reconciliation'!D368</f>
        <v>0.02</v>
      </c>
      <c r="E319" s="190">
        <f>'27 Calculations'!H289</f>
        <v>2.2719990993528554E-2</v>
      </c>
      <c r="F319" s="190">
        <f>'Published Ratio Reconciliation'!F368</f>
        <v>2.2719990993528554E-2</v>
      </c>
      <c r="G319" s="177" t="str">
        <f t="shared" si="4"/>
        <v>Numeric reproduction</v>
      </c>
      <c r="H319" s="184" t="s">
        <v>165</v>
      </c>
      <c r="I319" s="184" t="s">
        <v>9140</v>
      </c>
      <c r="J319" s="184" t="s">
        <v>167</v>
      </c>
      <c r="K319" s="184" t="s">
        <v>166</v>
      </c>
      <c r="L319" s="177">
        <v>2</v>
      </c>
      <c r="M319" s="177">
        <v>368</v>
      </c>
    </row>
    <row r="320" spans="1:13" ht="120" customHeight="1" x14ac:dyDescent="0.3">
      <c r="A320" s="180" t="s">
        <v>86</v>
      </c>
      <c r="B320" s="180">
        <v>2025</v>
      </c>
      <c r="C320" s="180" t="s">
        <v>145</v>
      </c>
      <c r="D320" s="189">
        <f>'Published Ratio Reconciliation'!D369</f>
        <v>0.02</v>
      </c>
      <c r="E320" s="189">
        <f>'27 Calculations'!H290</f>
        <v>4.7175167844291127E-2</v>
      </c>
      <c r="F320" s="189">
        <f>'Published Ratio Reconciliation'!F369</f>
        <v>2.1953369467390581E-2</v>
      </c>
      <c r="G320" s="180" t="str">
        <f t="shared" si="4"/>
        <v>Numeric reproduction</v>
      </c>
      <c r="H320" s="183" t="s">
        <v>165</v>
      </c>
      <c r="I320" s="183" t="s">
        <v>9140</v>
      </c>
      <c r="J320" s="183" t="s">
        <v>167</v>
      </c>
      <c r="K320" s="183" t="s">
        <v>166</v>
      </c>
      <c r="L320" s="180">
        <v>2</v>
      </c>
      <c r="M320" s="180">
        <v>369</v>
      </c>
    </row>
    <row r="321" spans="1:13" ht="120" customHeight="1" x14ac:dyDescent="0.3">
      <c r="A321" s="177" t="s">
        <v>86</v>
      </c>
      <c r="B321" s="177">
        <v>2021</v>
      </c>
      <c r="C321" s="177" t="s">
        <v>151</v>
      </c>
      <c r="D321" s="190">
        <f>'Published Ratio Reconciliation'!D375</f>
        <v>0.37340000000000001</v>
      </c>
      <c r="E321" s="190">
        <f>'27 Calculations'!H331</f>
        <v>0.59600006385595838</v>
      </c>
      <c r="F321" s="190">
        <f>'Published Ratio Reconciliation'!F375</f>
        <v>0.37343360902882045</v>
      </c>
      <c r="G321" s="177" t="str">
        <f t="shared" si="4"/>
        <v>Numeric reproduction</v>
      </c>
      <c r="H321" s="184" t="s">
        <v>169</v>
      </c>
      <c r="I321" s="184" t="s">
        <v>9140</v>
      </c>
      <c r="J321" s="184" t="s">
        <v>167</v>
      </c>
      <c r="K321" s="184" t="s">
        <v>128</v>
      </c>
      <c r="L321" s="177">
        <v>2</v>
      </c>
      <c r="M321" s="177">
        <v>375</v>
      </c>
    </row>
    <row r="322" spans="1:13" ht="120" customHeight="1" x14ac:dyDescent="0.3">
      <c r="A322" s="180" t="s">
        <v>86</v>
      </c>
      <c r="B322" s="180">
        <v>2022</v>
      </c>
      <c r="C322" s="180" t="s">
        <v>151</v>
      </c>
      <c r="D322" s="189">
        <f>'Published Ratio Reconciliation'!D376</f>
        <v>0.39929999999999999</v>
      </c>
      <c r="E322" s="189">
        <f>'27 Calculations'!H332</f>
        <v>0.66471914526512743</v>
      </c>
      <c r="F322" s="189">
        <f>'Published Ratio Reconciliation'!F376</f>
        <v>0.39929807208366225</v>
      </c>
      <c r="G322" s="180" t="str">
        <f t="shared" si="4"/>
        <v>Numeric reproduction</v>
      </c>
      <c r="H322" s="183" t="s">
        <v>169</v>
      </c>
      <c r="I322" s="183" t="s">
        <v>9140</v>
      </c>
      <c r="J322" s="183" t="s">
        <v>167</v>
      </c>
      <c r="K322" s="183" t="s">
        <v>128</v>
      </c>
      <c r="L322" s="180">
        <v>2</v>
      </c>
      <c r="M322" s="180">
        <v>376</v>
      </c>
    </row>
    <row r="323" spans="1:13" ht="120" customHeight="1" x14ac:dyDescent="0.3">
      <c r="A323" s="177" t="s">
        <v>86</v>
      </c>
      <c r="B323" s="177">
        <v>2023</v>
      </c>
      <c r="C323" s="177" t="s">
        <v>151</v>
      </c>
      <c r="D323" s="190">
        <f>'Published Ratio Reconciliation'!D377</f>
        <v>0.39850000000000002</v>
      </c>
      <c r="E323" s="190">
        <f>'27 Calculations'!H333</f>
        <v>0.66251390334697124</v>
      </c>
      <c r="F323" s="190">
        <f>'Published Ratio Reconciliation'!F377</f>
        <v>0.39850127088453147</v>
      </c>
      <c r="G323" s="177" t="str">
        <f t="shared" si="4"/>
        <v>Numeric reproduction</v>
      </c>
      <c r="H323" s="184" t="s">
        <v>169</v>
      </c>
      <c r="I323" s="184" t="s">
        <v>9140</v>
      </c>
      <c r="J323" s="184" t="s">
        <v>167</v>
      </c>
      <c r="K323" s="184" t="s">
        <v>128</v>
      </c>
      <c r="L323" s="177">
        <v>2</v>
      </c>
      <c r="M323" s="177">
        <v>377</v>
      </c>
    </row>
    <row r="324" spans="1:13" ht="120" customHeight="1" x14ac:dyDescent="0.3">
      <c r="A324" s="180" t="s">
        <v>86</v>
      </c>
      <c r="B324" s="180">
        <v>2024</v>
      </c>
      <c r="C324" s="180" t="s">
        <v>151</v>
      </c>
      <c r="D324" s="189">
        <f>'Published Ratio Reconciliation'!D378</f>
        <v>0.3115</v>
      </c>
      <c r="E324" s="189">
        <f>'27 Calculations'!H334</f>
        <v>0.45251048227827784</v>
      </c>
      <c r="F324" s="189">
        <f>'Published Ratio Reconciliation'!F378</f>
        <v>0.31153681009483003</v>
      </c>
      <c r="G324" s="180" t="str">
        <f t="shared" si="4"/>
        <v>Numeric reproduction</v>
      </c>
      <c r="H324" s="183" t="s">
        <v>169</v>
      </c>
      <c r="I324" s="183" t="s">
        <v>9140</v>
      </c>
      <c r="J324" s="183" t="s">
        <v>167</v>
      </c>
      <c r="K324" s="183" t="s">
        <v>128</v>
      </c>
      <c r="L324" s="180">
        <v>2</v>
      </c>
      <c r="M324" s="180">
        <v>378</v>
      </c>
    </row>
    <row r="325" spans="1:13" ht="120" customHeight="1" x14ac:dyDescent="0.3">
      <c r="A325" s="177" t="s">
        <v>86</v>
      </c>
      <c r="B325" s="177">
        <v>2025</v>
      </c>
      <c r="C325" s="177" t="s">
        <v>151</v>
      </c>
      <c r="D325" s="190">
        <f>'Published Ratio Reconciliation'!D379</f>
        <v>0.18790000000000001</v>
      </c>
      <c r="E325" s="190">
        <f>'27 Calculations'!H335</f>
        <v>0.23141104487858016</v>
      </c>
      <c r="F325" s="190">
        <f>'Published Ratio Reconciliation'!F379</f>
        <v>0.18792347676351873</v>
      </c>
      <c r="G325" s="177" t="str">
        <f t="shared" si="4"/>
        <v>Numeric reproduction</v>
      </c>
      <c r="H325" s="184" t="s">
        <v>169</v>
      </c>
      <c r="I325" s="184" t="s">
        <v>9140</v>
      </c>
      <c r="J325" s="184" t="s">
        <v>167</v>
      </c>
      <c r="K325" s="184" t="s">
        <v>128</v>
      </c>
      <c r="L325" s="177">
        <v>2</v>
      </c>
      <c r="M325" s="177">
        <v>379</v>
      </c>
    </row>
    <row r="326" spans="1:13" ht="120" customHeight="1" x14ac:dyDescent="0.3">
      <c r="A326" s="180" t="s">
        <v>86</v>
      </c>
      <c r="B326" s="180">
        <v>2021</v>
      </c>
      <c r="C326" s="180" t="s">
        <v>139</v>
      </c>
      <c r="D326" s="189">
        <f>'Published Ratio Reconciliation'!D380</f>
        <v>167.71</v>
      </c>
      <c r="E326" s="189">
        <f>'27 Calculations'!H386</f>
        <v>167.71209700741193</v>
      </c>
      <c r="F326" s="189">
        <f>'Published Ratio Reconciliation'!F380</f>
        <v>167.71209700741193</v>
      </c>
      <c r="G326" s="180" t="str">
        <f t="shared" ref="G326:G389" si="5">IF(AND(ISNUMBER(D326),ISNUMBER(F326)),IF(ROUND(D326,L326)=ROUND(F326,L326),"Numeric reproduction","Not reproduced"),"Not comparable")</f>
        <v>Numeric reproduction</v>
      </c>
      <c r="H326" s="183" t="s">
        <v>121</v>
      </c>
      <c r="I326" s="183" t="s">
        <v>9140</v>
      </c>
      <c r="J326" s="183" t="s">
        <v>167</v>
      </c>
      <c r="K326" s="183" t="s">
        <v>22</v>
      </c>
      <c r="L326" s="180">
        <v>2</v>
      </c>
      <c r="M326" s="180">
        <v>380</v>
      </c>
    </row>
    <row r="327" spans="1:13" ht="120" customHeight="1" x14ac:dyDescent="0.3">
      <c r="A327" s="177" t="s">
        <v>86</v>
      </c>
      <c r="B327" s="177">
        <v>2022</v>
      </c>
      <c r="C327" s="177" t="s">
        <v>139</v>
      </c>
      <c r="D327" s="190">
        <f>'Published Ratio Reconciliation'!D381</f>
        <v>159.59</v>
      </c>
      <c r="E327" s="190">
        <f>'27 Calculations'!H387</f>
        <v>159.58697532246367</v>
      </c>
      <c r="F327" s="190">
        <f>'Published Ratio Reconciliation'!F381</f>
        <v>159.58697532246367</v>
      </c>
      <c r="G327" s="177" t="str">
        <f t="shared" si="5"/>
        <v>Numeric reproduction</v>
      </c>
      <c r="H327" s="184" t="s">
        <v>121</v>
      </c>
      <c r="I327" s="184" t="s">
        <v>9140</v>
      </c>
      <c r="J327" s="184" t="s">
        <v>167</v>
      </c>
      <c r="K327" s="184" t="s">
        <v>22</v>
      </c>
      <c r="L327" s="177">
        <v>2</v>
      </c>
      <c r="M327" s="177">
        <v>381</v>
      </c>
    </row>
    <row r="328" spans="1:13" ht="120" customHeight="1" x14ac:dyDescent="0.3">
      <c r="A328" s="180" t="s">
        <v>86</v>
      </c>
      <c r="B328" s="180">
        <v>2023</v>
      </c>
      <c r="C328" s="180" t="s">
        <v>139</v>
      </c>
      <c r="D328" s="189">
        <f>'Published Ratio Reconciliation'!D382</f>
        <v>146.52000000000001</v>
      </c>
      <c r="E328" s="189">
        <f>'27 Calculations'!H388</f>
        <v>146.51786922779672</v>
      </c>
      <c r="F328" s="189">
        <f>'Published Ratio Reconciliation'!F382</f>
        <v>146.51786922779672</v>
      </c>
      <c r="G328" s="180" t="str">
        <f t="shared" si="5"/>
        <v>Numeric reproduction</v>
      </c>
      <c r="H328" s="183" t="s">
        <v>121</v>
      </c>
      <c r="I328" s="183" t="s">
        <v>9140</v>
      </c>
      <c r="J328" s="183" t="s">
        <v>167</v>
      </c>
      <c r="K328" s="183" t="s">
        <v>22</v>
      </c>
      <c r="L328" s="180">
        <v>2</v>
      </c>
      <c r="M328" s="180">
        <v>382</v>
      </c>
    </row>
    <row r="329" spans="1:13" ht="120" customHeight="1" x14ac:dyDescent="0.3">
      <c r="A329" s="177" t="s">
        <v>86</v>
      </c>
      <c r="B329" s="177">
        <v>2024</v>
      </c>
      <c r="C329" s="177" t="s">
        <v>139</v>
      </c>
      <c r="D329" s="190">
        <f>'Published Ratio Reconciliation'!D383</f>
        <v>173.12</v>
      </c>
      <c r="E329" s="190">
        <f>'27 Calculations'!H389</f>
        <v>173.12082034314415</v>
      </c>
      <c r="F329" s="190">
        <f>'Published Ratio Reconciliation'!F383</f>
        <v>173.12082034314415</v>
      </c>
      <c r="G329" s="177" t="str">
        <f t="shared" si="5"/>
        <v>Numeric reproduction</v>
      </c>
      <c r="H329" s="184" t="s">
        <v>121</v>
      </c>
      <c r="I329" s="184" t="s">
        <v>9140</v>
      </c>
      <c r="J329" s="184" t="s">
        <v>167</v>
      </c>
      <c r="K329" s="184" t="s">
        <v>22</v>
      </c>
      <c r="L329" s="177">
        <v>2</v>
      </c>
      <c r="M329" s="177">
        <v>383</v>
      </c>
    </row>
    <row r="330" spans="1:13" ht="120" customHeight="1" x14ac:dyDescent="0.3">
      <c r="A330" s="180" t="s">
        <v>86</v>
      </c>
      <c r="B330" s="180">
        <v>2025</v>
      </c>
      <c r="C330" s="180" t="s">
        <v>139</v>
      </c>
      <c r="D330" s="189">
        <f>'Published Ratio Reconciliation'!D384</f>
        <v>216.08</v>
      </c>
      <c r="E330" s="189">
        <f>'27 Calculations'!H390</f>
        <v>216.07703932560804</v>
      </c>
      <c r="F330" s="189">
        <f>'Published Ratio Reconciliation'!F384</f>
        <v>216.07703932560804</v>
      </c>
      <c r="G330" s="180" t="str">
        <f t="shared" si="5"/>
        <v>Numeric reproduction</v>
      </c>
      <c r="H330" s="183" t="s">
        <v>121</v>
      </c>
      <c r="I330" s="183" t="s">
        <v>9140</v>
      </c>
      <c r="J330" s="183" t="s">
        <v>167</v>
      </c>
      <c r="K330" s="183" t="s">
        <v>22</v>
      </c>
      <c r="L330" s="180">
        <v>2</v>
      </c>
      <c r="M330" s="180">
        <v>384</v>
      </c>
    </row>
    <row r="331" spans="1:13" ht="120" customHeight="1" x14ac:dyDescent="0.3">
      <c r="A331" s="177" t="s">
        <v>86</v>
      </c>
      <c r="B331" s="177">
        <v>2021</v>
      </c>
      <c r="C331" s="177" t="s">
        <v>162</v>
      </c>
      <c r="D331" s="190">
        <f>'Published Ratio Reconciliation'!D385</f>
        <v>0.7</v>
      </c>
      <c r="E331" s="190">
        <f>'27 Calculations'!H396</f>
        <v>0.7031096868032638</v>
      </c>
      <c r="F331" s="190">
        <f>'Published Ratio Reconciliation'!F385</f>
        <v>0.7031184783256812</v>
      </c>
      <c r="G331" s="177" t="str">
        <f t="shared" si="5"/>
        <v>Numeric reproduction</v>
      </c>
      <c r="H331" s="184" t="s">
        <v>59</v>
      </c>
      <c r="I331" s="184" t="s">
        <v>9140</v>
      </c>
      <c r="J331" s="184" t="s">
        <v>167</v>
      </c>
      <c r="K331" s="184" t="s">
        <v>22</v>
      </c>
      <c r="L331" s="177">
        <v>2</v>
      </c>
      <c r="M331" s="177">
        <v>385</v>
      </c>
    </row>
    <row r="332" spans="1:13" ht="120" customHeight="1" x14ac:dyDescent="0.3">
      <c r="A332" s="180" t="s">
        <v>86</v>
      </c>
      <c r="B332" s="180">
        <v>2022</v>
      </c>
      <c r="C332" s="180" t="s">
        <v>162</v>
      </c>
      <c r="D332" s="189">
        <f>'Published Ratio Reconciliation'!D386</f>
        <v>0.39</v>
      </c>
      <c r="E332" s="189">
        <f>'27 Calculations'!H397</f>
        <v>0.39163597075332512</v>
      </c>
      <c r="F332" s="189">
        <f>'Published Ratio Reconciliation'!F386</f>
        <v>0.39162854815464626</v>
      </c>
      <c r="G332" s="180" t="str">
        <f t="shared" si="5"/>
        <v>Numeric reproduction</v>
      </c>
      <c r="H332" s="183" t="s">
        <v>59</v>
      </c>
      <c r="I332" s="183" t="s">
        <v>9140</v>
      </c>
      <c r="J332" s="183" t="s">
        <v>167</v>
      </c>
      <c r="K332" s="183" t="s">
        <v>22</v>
      </c>
      <c r="L332" s="180">
        <v>2</v>
      </c>
      <c r="M332" s="180">
        <v>386</v>
      </c>
    </row>
    <row r="333" spans="1:13" ht="120" customHeight="1" x14ac:dyDescent="0.3">
      <c r="A333" s="177" t="s">
        <v>86</v>
      </c>
      <c r="B333" s="177">
        <v>2023</v>
      </c>
      <c r="C333" s="177" t="s">
        <v>162</v>
      </c>
      <c r="D333" s="190">
        <f>'Published Ratio Reconciliation'!D387</f>
        <v>0.35</v>
      </c>
      <c r="E333" s="190">
        <f>'27 Calculations'!H398</f>
        <v>0.35012794187063967</v>
      </c>
      <c r="F333" s="190">
        <f>'Published Ratio Reconciliation'!F387</f>
        <v>0.3501228501228501</v>
      </c>
      <c r="G333" s="177" t="str">
        <f t="shared" si="5"/>
        <v>Numeric reproduction</v>
      </c>
      <c r="H333" s="184" t="s">
        <v>59</v>
      </c>
      <c r="I333" s="184" t="s">
        <v>9140</v>
      </c>
      <c r="J333" s="184" t="s">
        <v>167</v>
      </c>
      <c r="K333" s="184" t="s">
        <v>22</v>
      </c>
      <c r="L333" s="177">
        <v>2</v>
      </c>
      <c r="M333" s="177">
        <v>387</v>
      </c>
    </row>
    <row r="334" spans="1:13" ht="120" customHeight="1" x14ac:dyDescent="0.3">
      <c r="A334" s="180" t="s">
        <v>86</v>
      </c>
      <c r="B334" s="180">
        <v>2024</v>
      </c>
      <c r="C334" s="180" t="s">
        <v>162</v>
      </c>
      <c r="D334" s="189">
        <f>'Published Ratio Reconciliation'!D388</f>
        <v>0.52</v>
      </c>
      <c r="E334" s="189">
        <f>'27 Calculations'!H399</f>
        <v>0.52142775098382221</v>
      </c>
      <c r="F334" s="189">
        <f>'Published Ratio Reconciliation'!F388</f>
        <v>0.52143022181146026</v>
      </c>
      <c r="G334" s="180" t="str">
        <f t="shared" si="5"/>
        <v>Numeric reproduction</v>
      </c>
      <c r="H334" s="183" t="s">
        <v>59</v>
      </c>
      <c r="I334" s="183" t="s">
        <v>9140</v>
      </c>
      <c r="J334" s="183" t="s">
        <v>167</v>
      </c>
      <c r="K334" s="183" t="s">
        <v>22</v>
      </c>
      <c r="L334" s="180">
        <v>2</v>
      </c>
      <c r="M334" s="180">
        <v>388</v>
      </c>
    </row>
    <row r="335" spans="1:13" ht="120" customHeight="1" x14ac:dyDescent="0.3">
      <c r="A335" s="177" t="s">
        <v>86</v>
      </c>
      <c r="B335" s="177">
        <v>2025</v>
      </c>
      <c r="C335" s="177" t="s">
        <v>162</v>
      </c>
      <c r="D335" s="190">
        <f>'Published Ratio Reconciliation'!D389</f>
        <v>0.77</v>
      </c>
      <c r="E335" s="190">
        <f>'27 Calculations'!H400</f>
        <v>0.76620820294800718</v>
      </c>
      <c r="F335" s="190">
        <f>'Published Ratio Reconciliation'!F389</f>
        <v>0.76619770455386893</v>
      </c>
      <c r="G335" s="177" t="str">
        <f t="shared" si="5"/>
        <v>Numeric reproduction</v>
      </c>
      <c r="H335" s="184" t="s">
        <v>59</v>
      </c>
      <c r="I335" s="184" t="s">
        <v>9140</v>
      </c>
      <c r="J335" s="184" t="s">
        <v>167</v>
      </c>
      <c r="K335" s="184" t="s">
        <v>22</v>
      </c>
      <c r="L335" s="177">
        <v>2</v>
      </c>
      <c r="M335" s="177">
        <v>389</v>
      </c>
    </row>
    <row r="336" spans="1:13" ht="120" customHeight="1" x14ac:dyDescent="0.3">
      <c r="A336" s="180" t="s">
        <v>86</v>
      </c>
      <c r="B336" s="180">
        <v>2021</v>
      </c>
      <c r="C336" s="180" t="s">
        <v>143</v>
      </c>
      <c r="D336" s="189">
        <f>'Published Ratio Reconciliation'!D390</f>
        <v>8.49</v>
      </c>
      <c r="E336" s="189">
        <f>'27 Calculations'!H381</f>
        <v>8.4937471274650029</v>
      </c>
      <c r="F336" s="189">
        <f>'Published Ratio Reconciliation'!F390</f>
        <v>8.4937471274650029</v>
      </c>
      <c r="G336" s="180" t="str">
        <f t="shared" si="5"/>
        <v>Numeric reproduction</v>
      </c>
      <c r="H336" s="183" t="s">
        <v>83</v>
      </c>
      <c r="I336" s="183" t="s">
        <v>9140</v>
      </c>
      <c r="J336" s="183" t="s">
        <v>167</v>
      </c>
      <c r="K336" s="183" t="s">
        <v>22</v>
      </c>
      <c r="L336" s="180">
        <v>2</v>
      </c>
      <c r="M336" s="180">
        <v>390</v>
      </c>
    </row>
    <row r="337" spans="1:13" ht="120" customHeight="1" x14ac:dyDescent="0.3">
      <c r="A337" s="177" t="s">
        <v>86</v>
      </c>
      <c r="B337" s="177">
        <v>2022</v>
      </c>
      <c r="C337" s="177" t="s">
        <v>143</v>
      </c>
      <c r="D337" s="190">
        <f>'Published Ratio Reconciliation'!D391</f>
        <v>6.78</v>
      </c>
      <c r="E337" s="190">
        <f>'27 Calculations'!H382</f>
        <v>6.7838445707817723</v>
      </c>
      <c r="F337" s="190">
        <f>'Published Ratio Reconciliation'!F391</f>
        <v>6.7838445707817723</v>
      </c>
      <c r="G337" s="177" t="str">
        <f t="shared" si="5"/>
        <v>Numeric reproduction</v>
      </c>
      <c r="H337" s="184" t="s">
        <v>83</v>
      </c>
      <c r="I337" s="184" t="s">
        <v>9140</v>
      </c>
      <c r="J337" s="184" t="s">
        <v>167</v>
      </c>
      <c r="K337" s="184" t="s">
        <v>22</v>
      </c>
      <c r="L337" s="177">
        <v>2</v>
      </c>
      <c r="M337" s="177">
        <v>391</v>
      </c>
    </row>
    <row r="338" spans="1:13" ht="120" customHeight="1" x14ac:dyDescent="0.3">
      <c r="A338" s="180" t="s">
        <v>86</v>
      </c>
      <c r="B338" s="180">
        <v>2023</v>
      </c>
      <c r="C338" s="180" t="s">
        <v>143</v>
      </c>
      <c r="D338" s="189">
        <f>'Published Ratio Reconciliation'!D392</f>
        <v>-8.3000000000000007</v>
      </c>
      <c r="E338" s="189" t="str">
        <f>'27 Calculations'!H383</f>
        <v>n/m</v>
      </c>
      <c r="F338" s="189">
        <f>'Published Ratio Reconciliation'!F392</f>
        <v>-8.2990580657564443</v>
      </c>
      <c r="G338" s="180" t="str">
        <f t="shared" si="5"/>
        <v>Numeric reproduction</v>
      </c>
      <c r="H338" s="183" t="s">
        <v>83</v>
      </c>
      <c r="I338" s="183" t="s">
        <v>9140</v>
      </c>
      <c r="J338" s="183" t="s">
        <v>167</v>
      </c>
      <c r="K338" s="183" t="s">
        <v>22</v>
      </c>
      <c r="L338" s="180">
        <v>2</v>
      </c>
      <c r="M338" s="180">
        <v>392</v>
      </c>
    </row>
    <row r="339" spans="1:13" ht="120" customHeight="1" x14ac:dyDescent="0.3">
      <c r="A339" s="177" t="s">
        <v>86</v>
      </c>
      <c r="B339" s="177">
        <v>2024</v>
      </c>
      <c r="C339" s="177" t="s">
        <v>143</v>
      </c>
      <c r="D339" s="190">
        <f>'Published Ratio Reconciliation'!D393</f>
        <v>1.24</v>
      </c>
      <c r="E339" s="190">
        <f>'27 Calculations'!H384</f>
        <v>1.2380103440270365</v>
      </c>
      <c r="F339" s="190">
        <f>'Published Ratio Reconciliation'!F393</f>
        <v>1.2380103440270365</v>
      </c>
      <c r="G339" s="177" t="str">
        <f t="shared" si="5"/>
        <v>Numeric reproduction</v>
      </c>
      <c r="H339" s="184" t="s">
        <v>83</v>
      </c>
      <c r="I339" s="184" t="s">
        <v>9140</v>
      </c>
      <c r="J339" s="184" t="s">
        <v>167</v>
      </c>
      <c r="K339" s="184" t="s">
        <v>22</v>
      </c>
      <c r="L339" s="177">
        <v>2</v>
      </c>
      <c r="M339" s="177">
        <v>393</v>
      </c>
    </row>
    <row r="340" spans="1:13" ht="120" customHeight="1" x14ac:dyDescent="0.3">
      <c r="A340" s="180" t="s">
        <v>86</v>
      </c>
      <c r="B340" s="180">
        <v>2025</v>
      </c>
      <c r="C340" s="180" t="s">
        <v>143</v>
      </c>
      <c r="D340" s="189">
        <f>'Published Ratio Reconciliation'!D394</f>
        <v>19.8</v>
      </c>
      <c r="E340" s="189">
        <f>'27 Calculations'!H385</f>
        <v>19.800685803443983</v>
      </c>
      <c r="F340" s="189">
        <f>'Published Ratio Reconciliation'!F394</f>
        <v>19.800685803443983</v>
      </c>
      <c r="G340" s="180" t="str">
        <f t="shared" si="5"/>
        <v>Numeric reproduction</v>
      </c>
      <c r="H340" s="183" t="s">
        <v>83</v>
      </c>
      <c r="I340" s="183" t="s">
        <v>9140</v>
      </c>
      <c r="J340" s="183" t="s">
        <v>167</v>
      </c>
      <c r="K340" s="183" t="s">
        <v>22</v>
      </c>
      <c r="L340" s="180">
        <v>2</v>
      </c>
      <c r="M340" s="180">
        <v>394</v>
      </c>
    </row>
    <row r="341" spans="1:13" ht="120" customHeight="1" x14ac:dyDescent="0.3">
      <c r="A341" s="177" t="s">
        <v>106</v>
      </c>
      <c r="B341" s="177">
        <v>2021</v>
      </c>
      <c r="C341" s="177" t="s">
        <v>145</v>
      </c>
      <c r="D341" s="190">
        <f>'Published Ratio Reconciliation'!D400</f>
        <v>0.04</v>
      </c>
      <c r="E341" s="190">
        <f>'27 Calculations'!H421</f>
        <v>4.2825558053104403E-2</v>
      </c>
      <c r="F341" s="190">
        <f>'Published Ratio Reconciliation'!F400</f>
        <v>4.2825558053104403E-2</v>
      </c>
      <c r="G341" s="177" t="str">
        <f t="shared" si="5"/>
        <v>Numeric reproduction</v>
      </c>
      <c r="H341" s="184" t="s">
        <v>165</v>
      </c>
      <c r="I341" s="184" t="s">
        <v>9140</v>
      </c>
      <c r="J341" s="184" t="s">
        <v>171</v>
      </c>
      <c r="K341" s="184" t="s">
        <v>22</v>
      </c>
      <c r="L341" s="177">
        <v>2</v>
      </c>
      <c r="M341" s="177">
        <v>400</v>
      </c>
    </row>
    <row r="342" spans="1:13" ht="120" customHeight="1" x14ac:dyDescent="0.3">
      <c r="A342" s="180" t="s">
        <v>106</v>
      </c>
      <c r="B342" s="180">
        <v>2022</v>
      </c>
      <c r="C342" s="180" t="s">
        <v>145</v>
      </c>
      <c r="D342" s="189">
        <f>'Published Ratio Reconciliation'!D401</f>
        <v>0.05</v>
      </c>
      <c r="E342" s="189">
        <f>'27 Calculations'!H422</f>
        <v>4.9006165540003331E-2</v>
      </c>
      <c r="F342" s="189">
        <f>'Published Ratio Reconciliation'!F401</f>
        <v>4.9006165540003331E-2</v>
      </c>
      <c r="G342" s="180" t="str">
        <f t="shared" si="5"/>
        <v>Numeric reproduction</v>
      </c>
      <c r="H342" s="183" t="s">
        <v>165</v>
      </c>
      <c r="I342" s="183" t="s">
        <v>9140</v>
      </c>
      <c r="J342" s="183" t="s">
        <v>171</v>
      </c>
      <c r="K342" s="183" t="s">
        <v>22</v>
      </c>
      <c r="L342" s="180">
        <v>2</v>
      </c>
      <c r="M342" s="180">
        <v>401</v>
      </c>
    </row>
    <row r="343" spans="1:13" ht="120" customHeight="1" x14ac:dyDescent="0.3">
      <c r="A343" s="177" t="s">
        <v>106</v>
      </c>
      <c r="B343" s="177">
        <v>2023</v>
      </c>
      <c r="C343" s="177" t="s">
        <v>145</v>
      </c>
      <c r="D343" s="190">
        <f>'Published Ratio Reconciliation'!D402</f>
        <v>0.05</v>
      </c>
      <c r="E343" s="190">
        <f>'27 Calculations'!H423</f>
        <v>4.5680298533070048E-2</v>
      </c>
      <c r="F343" s="190">
        <f>'Published Ratio Reconciliation'!F402</f>
        <v>4.5680298533070048E-2</v>
      </c>
      <c r="G343" s="177" t="str">
        <f t="shared" si="5"/>
        <v>Numeric reproduction</v>
      </c>
      <c r="H343" s="184" t="s">
        <v>165</v>
      </c>
      <c r="I343" s="184" t="s">
        <v>9140</v>
      </c>
      <c r="J343" s="184" t="s">
        <v>171</v>
      </c>
      <c r="K343" s="184" t="s">
        <v>22</v>
      </c>
      <c r="L343" s="177">
        <v>2</v>
      </c>
      <c r="M343" s="177">
        <v>402</v>
      </c>
    </row>
    <row r="344" spans="1:13" ht="120" customHeight="1" x14ac:dyDescent="0.3">
      <c r="A344" s="180" t="s">
        <v>106</v>
      </c>
      <c r="B344" s="180">
        <v>2024</v>
      </c>
      <c r="C344" s="180" t="s">
        <v>145</v>
      </c>
      <c r="D344" s="189">
        <f>'Published Ratio Reconciliation'!D403</f>
        <v>0.06</v>
      </c>
      <c r="E344" s="189">
        <f>'27 Calculations'!H424</f>
        <v>7.3767434857886421E-2</v>
      </c>
      <c r="F344" s="189">
        <f>'Published Ratio Reconciliation'!F403</f>
        <v>6.0943337383991658E-2</v>
      </c>
      <c r="G344" s="180" t="str">
        <f t="shared" si="5"/>
        <v>Numeric reproduction</v>
      </c>
      <c r="H344" s="183" t="s">
        <v>165</v>
      </c>
      <c r="I344" s="183" t="s">
        <v>9140</v>
      </c>
      <c r="J344" s="183" t="s">
        <v>171</v>
      </c>
      <c r="K344" s="183" t="s">
        <v>22</v>
      </c>
      <c r="L344" s="180">
        <v>2</v>
      </c>
      <c r="M344" s="180">
        <v>403</v>
      </c>
    </row>
    <row r="345" spans="1:13" ht="120" customHeight="1" x14ac:dyDescent="0.3">
      <c r="A345" s="177" t="s">
        <v>106</v>
      </c>
      <c r="B345" s="177">
        <v>2025</v>
      </c>
      <c r="C345" s="177" t="s">
        <v>145</v>
      </c>
      <c r="D345" s="190">
        <f>'Published Ratio Reconciliation'!D404</f>
        <v>7.0000000000000007E-2</v>
      </c>
      <c r="E345" s="190">
        <f>'27 Calculations'!H425</f>
        <v>6.9243334827372452E-2</v>
      </c>
      <c r="F345" s="190">
        <f>'Published Ratio Reconciliation'!F404</f>
        <v>6.9243334827372452E-2</v>
      </c>
      <c r="G345" s="177" t="str">
        <f t="shared" si="5"/>
        <v>Numeric reproduction</v>
      </c>
      <c r="H345" s="184" t="s">
        <v>165</v>
      </c>
      <c r="I345" s="184" t="s">
        <v>9140</v>
      </c>
      <c r="J345" s="184" t="s">
        <v>171</v>
      </c>
      <c r="K345" s="184" t="s">
        <v>22</v>
      </c>
      <c r="L345" s="177">
        <v>2</v>
      </c>
      <c r="M345" s="177">
        <v>404</v>
      </c>
    </row>
    <row r="346" spans="1:13" ht="120" customHeight="1" x14ac:dyDescent="0.3">
      <c r="A346" s="180" t="s">
        <v>106</v>
      </c>
      <c r="B346" s="180">
        <v>2021</v>
      </c>
      <c r="C346" s="180" t="s">
        <v>31</v>
      </c>
      <c r="D346" s="189">
        <f>'Published Ratio Reconciliation'!D405</f>
        <v>14.04</v>
      </c>
      <c r="E346" s="189">
        <f>'27 Calculations'!H431</f>
        <v>2.5503561154199565</v>
      </c>
      <c r="F346" s="189">
        <f>'Forensic Tests'!I465</f>
        <v>14.043069157140435</v>
      </c>
      <c r="G346" s="180" t="str">
        <f t="shared" si="5"/>
        <v>Numeric reproduction</v>
      </c>
      <c r="H346" s="183" t="s">
        <v>5925</v>
      </c>
      <c r="I346" s="183" t="s">
        <v>5704</v>
      </c>
      <c r="J346" s="183" t="s">
        <v>171</v>
      </c>
      <c r="K346" s="183" t="s">
        <v>5803</v>
      </c>
      <c r="L346" s="180">
        <v>2</v>
      </c>
      <c r="M346" s="180">
        <v>405</v>
      </c>
    </row>
    <row r="347" spans="1:13" ht="120" customHeight="1" x14ac:dyDescent="0.3">
      <c r="A347" s="177" t="s">
        <v>106</v>
      </c>
      <c r="B347" s="177">
        <v>2022</v>
      </c>
      <c r="C347" s="177" t="s">
        <v>31</v>
      </c>
      <c r="D347" s="190">
        <f>'Published Ratio Reconciliation'!D406</f>
        <v>14.67</v>
      </c>
      <c r="E347" s="190">
        <f>'27 Calculations'!H432</f>
        <v>2.6418827583195736</v>
      </c>
      <c r="F347" s="190">
        <f>'Forensic Tests'!I469</f>
        <v>14.670214478340439</v>
      </c>
      <c r="G347" s="177" t="str">
        <f t="shared" si="5"/>
        <v>Numeric reproduction</v>
      </c>
      <c r="H347" s="184" t="s">
        <v>5925</v>
      </c>
      <c r="I347" s="184" t="s">
        <v>5704</v>
      </c>
      <c r="J347" s="184" t="s">
        <v>171</v>
      </c>
      <c r="K347" s="184" t="s">
        <v>5803</v>
      </c>
      <c r="L347" s="177">
        <v>2</v>
      </c>
      <c r="M347" s="177">
        <v>406</v>
      </c>
    </row>
    <row r="348" spans="1:13" ht="120" customHeight="1" x14ac:dyDescent="0.3">
      <c r="A348" s="180" t="s">
        <v>106</v>
      </c>
      <c r="B348" s="180">
        <v>2023</v>
      </c>
      <c r="C348" s="180" t="s">
        <v>31</v>
      </c>
      <c r="D348" s="189">
        <f>'Published Ratio Reconciliation'!D407</f>
        <v>13.36</v>
      </c>
      <c r="E348" s="189">
        <f>'27 Calculations'!H433</f>
        <v>2.991643999189634</v>
      </c>
      <c r="F348" s="189">
        <f>'Published Ratio Reconciliation'!F407</f>
        <v>13.363895245003748</v>
      </c>
      <c r="G348" s="180" t="str">
        <f t="shared" si="5"/>
        <v>Numeric reproduction</v>
      </c>
      <c r="H348" s="183" t="s">
        <v>172</v>
      </c>
      <c r="I348" s="183" t="s">
        <v>9140</v>
      </c>
      <c r="J348" s="183" t="s">
        <v>171</v>
      </c>
      <c r="K348" s="183" t="s">
        <v>22</v>
      </c>
      <c r="L348" s="180">
        <v>2</v>
      </c>
      <c r="M348" s="180">
        <v>407</v>
      </c>
    </row>
    <row r="349" spans="1:13" ht="120" customHeight="1" x14ac:dyDescent="0.3">
      <c r="A349" s="177" t="s">
        <v>106</v>
      </c>
      <c r="B349" s="177">
        <v>2024</v>
      </c>
      <c r="C349" s="177" t="s">
        <v>31</v>
      </c>
      <c r="D349" s="190">
        <f>'Published Ratio Reconciliation'!D408</f>
        <v>12.76</v>
      </c>
      <c r="E349" s="190">
        <f>'27 Calculations'!H434</f>
        <v>3.1013565995658121</v>
      </c>
      <c r="F349" s="190">
        <f>'Published Ratio Reconciliation'!F408</f>
        <v>12.757553261335676</v>
      </c>
      <c r="G349" s="177" t="str">
        <f t="shared" si="5"/>
        <v>Numeric reproduction</v>
      </c>
      <c r="H349" s="184" t="s">
        <v>172</v>
      </c>
      <c r="I349" s="184" t="s">
        <v>9140</v>
      </c>
      <c r="J349" s="184" t="s">
        <v>171</v>
      </c>
      <c r="K349" s="184" t="s">
        <v>22</v>
      </c>
      <c r="L349" s="177">
        <v>2</v>
      </c>
      <c r="M349" s="177">
        <v>408</v>
      </c>
    </row>
    <row r="350" spans="1:13" ht="120" customHeight="1" x14ac:dyDescent="0.3">
      <c r="A350" s="180" t="s">
        <v>106</v>
      </c>
      <c r="B350" s="180">
        <v>2025</v>
      </c>
      <c r="C350" s="180" t="s">
        <v>31</v>
      </c>
      <c r="D350" s="189">
        <f>'Published Ratio Reconciliation'!D409</f>
        <v>11.74</v>
      </c>
      <c r="E350" s="189">
        <f>'27 Calculations'!H435</f>
        <v>2.7865732877055658</v>
      </c>
      <c r="F350" s="189">
        <f>'Published Ratio Reconciliation'!F409</f>
        <v>11.739822966093309</v>
      </c>
      <c r="G350" s="180" t="str">
        <f t="shared" si="5"/>
        <v>Numeric reproduction</v>
      </c>
      <c r="H350" s="183" t="s">
        <v>172</v>
      </c>
      <c r="I350" s="183" t="s">
        <v>9140</v>
      </c>
      <c r="J350" s="183" t="s">
        <v>171</v>
      </c>
      <c r="K350" s="183" t="s">
        <v>22</v>
      </c>
      <c r="L350" s="180">
        <v>2</v>
      </c>
      <c r="M350" s="180">
        <v>409</v>
      </c>
    </row>
    <row r="351" spans="1:13" ht="120" customHeight="1" x14ac:dyDescent="0.3">
      <c r="A351" s="177" t="s">
        <v>106</v>
      </c>
      <c r="B351" s="177">
        <v>2021</v>
      </c>
      <c r="C351" s="177" t="s">
        <v>129</v>
      </c>
      <c r="D351" s="190">
        <f>'Published Ratio Reconciliation'!D410</f>
        <v>15.02</v>
      </c>
      <c r="E351" s="190">
        <f>'27 Calculations'!H436</f>
        <v>15.020941563038772</v>
      </c>
      <c r="F351" s="190">
        <f>'Published Ratio Reconciliation'!F410</f>
        <v>15.020941563038772</v>
      </c>
      <c r="G351" s="177" t="str">
        <f t="shared" si="5"/>
        <v>Numeric reproduction</v>
      </c>
      <c r="H351" s="184" t="s">
        <v>148</v>
      </c>
      <c r="I351" s="184" t="s">
        <v>9140</v>
      </c>
      <c r="J351" s="184" t="s">
        <v>171</v>
      </c>
      <c r="K351" s="184" t="s">
        <v>22</v>
      </c>
      <c r="L351" s="177">
        <v>2</v>
      </c>
      <c r="M351" s="177">
        <v>410</v>
      </c>
    </row>
    <row r="352" spans="1:13" ht="120" customHeight="1" x14ac:dyDescent="0.3">
      <c r="A352" s="180" t="s">
        <v>106</v>
      </c>
      <c r="B352" s="180">
        <v>2022</v>
      </c>
      <c r="C352" s="180" t="s">
        <v>129</v>
      </c>
      <c r="D352" s="189">
        <f>'Published Ratio Reconciliation'!D411</f>
        <v>25.91</v>
      </c>
      <c r="E352" s="189">
        <f>'27 Calculations'!H437</f>
        <v>25.905344380386534</v>
      </c>
      <c r="F352" s="189">
        <f>'Published Ratio Reconciliation'!F411</f>
        <v>25.905344380386534</v>
      </c>
      <c r="G352" s="180" t="str">
        <f t="shared" si="5"/>
        <v>Numeric reproduction</v>
      </c>
      <c r="H352" s="183" t="s">
        <v>148</v>
      </c>
      <c r="I352" s="183" t="s">
        <v>9140</v>
      </c>
      <c r="J352" s="183" t="s">
        <v>171</v>
      </c>
      <c r="K352" s="183" t="s">
        <v>22</v>
      </c>
      <c r="L352" s="180">
        <v>2</v>
      </c>
      <c r="M352" s="180">
        <v>411</v>
      </c>
    </row>
    <row r="353" spans="1:13" ht="120" customHeight="1" x14ac:dyDescent="0.3">
      <c r="A353" s="177" t="s">
        <v>106</v>
      </c>
      <c r="B353" s="177">
        <v>2023</v>
      </c>
      <c r="C353" s="177" t="s">
        <v>129</v>
      </c>
      <c r="D353" s="190">
        <f>'Published Ratio Reconciliation'!D412</f>
        <v>26.6</v>
      </c>
      <c r="E353" s="190">
        <f>'27 Calculations'!H438</f>
        <v>26.600659453629234</v>
      </c>
      <c r="F353" s="190">
        <f>'Published Ratio Reconciliation'!F412</f>
        <v>26.600659453629234</v>
      </c>
      <c r="G353" s="177" t="str">
        <f t="shared" si="5"/>
        <v>Numeric reproduction</v>
      </c>
      <c r="H353" s="184" t="s">
        <v>148</v>
      </c>
      <c r="I353" s="184" t="s">
        <v>9140</v>
      </c>
      <c r="J353" s="184" t="s">
        <v>171</v>
      </c>
      <c r="K353" s="184" t="s">
        <v>22</v>
      </c>
      <c r="L353" s="177">
        <v>2</v>
      </c>
      <c r="M353" s="177">
        <v>412</v>
      </c>
    </row>
    <row r="354" spans="1:13" ht="120" customHeight="1" x14ac:dyDescent="0.3">
      <c r="A354" s="180" t="s">
        <v>106</v>
      </c>
      <c r="B354" s="180">
        <v>2024</v>
      </c>
      <c r="C354" s="180" t="s">
        <v>129</v>
      </c>
      <c r="D354" s="189">
        <f>'Published Ratio Reconciliation'!D413</f>
        <v>19.57</v>
      </c>
      <c r="E354" s="189">
        <f>'27 Calculations'!H439</f>
        <v>19.574371293114748</v>
      </c>
      <c r="F354" s="189">
        <f>'Published Ratio Reconciliation'!F413</f>
        <v>19.574371293114748</v>
      </c>
      <c r="G354" s="180" t="str">
        <f t="shared" si="5"/>
        <v>Numeric reproduction</v>
      </c>
      <c r="H354" s="183" t="s">
        <v>148</v>
      </c>
      <c r="I354" s="183" t="s">
        <v>9140</v>
      </c>
      <c r="J354" s="183" t="s">
        <v>171</v>
      </c>
      <c r="K354" s="183" t="s">
        <v>22</v>
      </c>
      <c r="L354" s="180">
        <v>2</v>
      </c>
      <c r="M354" s="180">
        <v>413</v>
      </c>
    </row>
    <row r="355" spans="1:13" ht="120" customHeight="1" x14ac:dyDescent="0.3">
      <c r="A355" s="177" t="s">
        <v>106</v>
      </c>
      <c r="B355" s="177">
        <v>2025</v>
      </c>
      <c r="C355" s="177" t="s">
        <v>129</v>
      </c>
      <c r="D355" s="190">
        <f>'Published Ratio Reconciliation'!D414</f>
        <v>15.67</v>
      </c>
      <c r="E355" s="190">
        <f>'27 Calculations'!H440</f>
        <v>15.67064847793373</v>
      </c>
      <c r="F355" s="190">
        <f>'Published Ratio Reconciliation'!F414</f>
        <v>15.67064847793373</v>
      </c>
      <c r="G355" s="177" t="str">
        <f t="shared" si="5"/>
        <v>Numeric reproduction</v>
      </c>
      <c r="H355" s="184" t="s">
        <v>148</v>
      </c>
      <c r="I355" s="184" t="s">
        <v>9140</v>
      </c>
      <c r="J355" s="184" t="s">
        <v>171</v>
      </c>
      <c r="K355" s="184" t="s">
        <v>22</v>
      </c>
      <c r="L355" s="177">
        <v>2</v>
      </c>
      <c r="M355" s="177">
        <v>414</v>
      </c>
    </row>
    <row r="356" spans="1:13" ht="120" customHeight="1" x14ac:dyDescent="0.3">
      <c r="A356" s="180" t="s">
        <v>106</v>
      </c>
      <c r="B356" s="180">
        <v>2021</v>
      </c>
      <c r="C356" s="180" t="s">
        <v>151</v>
      </c>
      <c r="D356" s="189">
        <f>'Published Ratio Reconciliation'!D425</f>
        <v>0.28000000000000003</v>
      </c>
      <c r="E356" s="189">
        <f>'27 Calculations'!H466</f>
        <v>0.43245543768601064</v>
      </c>
      <c r="F356" s="189">
        <f>'Published Ratio Reconciliation'!F425</f>
        <v>0.27779845315437596</v>
      </c>
      <c r="G356" s="180" t="str">
        <f t="shared" si="5"/>
        <v>Numeric reproduction</v>
      </c>
      <c r="H356" s="183" t="s">
        <v>174</v>
      </c>
      <c r="I356" s="183" t="s">
        <v>9140</v>
      </c>
      <c r="J356" s="183" t="s">
        <v>171</v>
      </c>
      <c r="K356" s="183" t="s">
        <v>175</v>
      </c>
      <c r="L356" s="180">
        <v>2</v>
      </c>
      <c r="M356" s="180">
        <v>425</v>
      </c>
    </row>
    <row r="357" spans="1:13" ht="120" customHeight="1" x14ac:dyDescent="0.3">
      <c r="A357" s="177" t="s">
        <v>106</v>
      </c>
      <c r="B357" s="177">
        <v>2022</v>
      </c>
      <c r="C357" s="177" t="s">
        <v>151</v>
      </c>
      <c r="D357" s="190">
        <f>'Published Ratio Reconciliation'!D426</f>
        <v>0.36</v>
      </c>
      <c r="E357" s="190">
        <f>'27 Calculations'!H467</f>
        <v>0.61573768495117542</v>
      </c>
      <c r="F357" s="190">
        <f>'Published Ratio Reconciliation'!F426</f>
        <v>0.35551036920968176</v>
      </c>
      <c r="G357" s="177" t="str">
        <f t="shared" si="5"/>
        <v>Numeric reproduction</v>
      </c>
      <c r="H357" s="184" t="s">
        <v>174</v>
      </c>
      <c r="I357" s="184" t="s">
        <v>9140</v>
      </c>
      <c r="J357" s="184" t="s">
        <v>171</v>
      </c>
      <c r="K357" s="184" t="s">
        <v>175</v>
      </c>
      <c r="L357" s="177">
        <v>2</v>
      </c>
      <c r="M357" s="177">
        <v>426</v>
      </c>
    </row>
    <row r="358" spans="1:13" ht="120" customHeight="1" x14ac:dyDescent="0.3">
      <c r="A358" s="180" t="s">
        <v>106</v>
      </c>
      <c r="B358" s="180">
        <v>2023</v>
      </c>
      <c r="C358" s="180" t="s">
        <v>151</v>
      </c>
      <c r="D358" s="189">
        <f>'Published Ratio Reconciliation'!D427</f>
        <v>0.32</v>
      </c>
      <c r="E358" s="189">
        <f>'27 Calculations'!H468</f>
        <v>0.44250779404874935</v>
      </c>
      <c r="F358" s="189">
        <f>'Published Ratio Reconciliation'!F427</f>
        <v>0.31506914660833507</v>
      </c>
      <c r="G358" s="180" t="str">
        <f t="shared" si="5"/>
        <v>Numeric reproduction</v>
      </c>
      <c r="H358" s="183" t="s">
        <v>174</v>
      </c>
      <c r="I358" s="183" t="s">
        <v>9140</v>
      </c>
      <c r="J358" s="183" t="s">
        <v>171</v>
      </c>
      <c r="K358" s="183" t="s">
        <v>175</v>
      </c>
      <c r="L358" s="180">
        <v>2</v>
      </c>
      <c r="M358" s="180">
        <v>427</v>
      </c>
    </row>
    <row r="359" spans="1:13" ht="120" customHeight="1" x14ac:dyDescent="0.3">
      <c r="A359" s="177" t="s">
        <v>106</v>
      </c>
      <c r="B359" s="177">
        <v>2024</v>
      </c>
      <c r="C359" s="177" t="s">
        <v>151</v>
      </c>
      <c r="D359" s="190">
        <f>'Published Ratio Reconciliation'!D428</f>
        <v>0.26</v>
      </c>
      <c r="E359" s="190">
        <f>'27 Calculations'!H469</f>
        <v>0.36846998820204724</v>
      </c>
      <c r="F359" s="190">
        <f>'Published Ratio Reconciliation'!F428</f>
        <v>0.2585538948880502</v>
      </c>
      <c r="G359" s="177" t="str">
        <f t="shared" si="5"/>
        <v>Numeric reproduction</v>
      </c>
      <c r="H359" s="184" t="s">
        <v>174</v>
      </c>
      <c r="I359" s="184" t="s">
        <v>9140</v>
      </c>
      <c r="J359" s="184" t="s">
        <v>171</v>
      </c>
      <c r="K359" s="184" t="s">
        <v>175</v>
      </c>
      <c r="L359" s="177">
        <v>2</v>
      </c>
      <c r="M359" s="177">
        <v>428</v>
      </c>
    </row>
    <row r="360" spans="1:13" ht="120" customHeight="1" x14ac:dyDescent="0.3">
      <c r="A360" s="180" t="s">
        <v>106</v>
      </c>
      <c r="B360" s="180">
        <v>2025</v>
      </c>
      <c r="C360" s="180" t="s">
        <v>151</v>
      </c>
      <c r="D360" s="189">
        <f>'Published Ratio Reconciliation'!D429</f>
        <v>0.17</v>
      </c>
      <c r="E360" s="189">
        <f>'27 Calculations'!H470</f>
        <v>0.20402666092297522</v>
      </c>
      <c r="F360" s="189">
        <f>'Published Ratio Reconciliation'!F429</f>
        <v>0.16584912519529621</v>
      </c>
      <c r="G360" s="180" t="str">
        <f t="shared" si="5"/>
        <v>Numeric reproduction</v>
      </c>
      <c r="H360" s="183" t="s">
        <v>174</v>
      </c>
      <c r="I360" s="183" t="s">
        <v>9140</v>
      </c>
      <c r="J360" s="183" t="s">
        <v>171</v>
      </c>
      <c r="K360" s="183" t="s">
        <v>175</v>
      </c>
      <c r="L360" s="180">
        <v>2</v>
      </c>
      <c r="M360" s="180">
        <v>429</v>
      </c>
    </row>
    <row r="361" spans="1:13" ht="120" customHeight="1" x14ac:dyDescent="0.3">
      <c r="A361" s="177" t="s">
        <v>106</v>
      </c>
      <c r="B361" s="177">
        <v>2021</v>
      </c>
      <c r="C361" s="177" t="s">
        <v>154</v>
      </c>
      <c r="D361" s="190">
        <f>'Published Ratio Reconciliation'!D430</f>
        <v>0.22359999999999999</v>
      </c>
      <c r="E361" s="190">
        <f>'27 Calculations'!H481</f>
        <v>0.20830714445240356</v>
      </c>
      <c r="F361" s="190">
        <f>'Forensic Tests'!I490</f>
        <v>0.22360579364781666</v>
      </c>
      <c r="G361" s="177" t="str">
        <f t="shared" si="5"/>
        <v>Numeric reproduction</v>
      </c>
      <c r="H361" s="184" t="s">
        <v>5953</v>
      </c>
      <c r="I361" s="184" t="s">
        <v>5704</v>
      </c>
      <c r="J361" s="184" t="s">
        <v>171</v>
      </c>
      <c r="K361" s="184" t="s">
        <v>5803</v>
      </c>
      <c r="L361" s="177">
        <v>4</v>
      </c>
      <c r="M361" s="177">
        <v>430</v>
      </c>
    </row>
    <row r="362" spans="1:13" ht="120" customHeight="1" x14ac:dyDescent="0.3">
      <c r="A362" s="180" t="s">
        <v>106</v>
      </c>
      <c r="B362" s="180">
        <v>2022</v>
      </c>
      <c r="C362" s="180" t="s">
        <v>154</v>
      </c>
      <c r="D362" s="189">
        <f>'Published Ratio Reconciliation'!D431</f>
        <v>0.26740000000000003</v>
      </c>
      <c r="E362" s="189">
        <f>'27 Calculations'!H482</f>
        <v>0.25300003367709667</v>
      </c>
      <c r="F362" s="189">
        <f>'Forensic Tests'!I492</f>
        <v>0.26742026143567227</v>
      </c>
      <c r="G362" s="180" t="str">
        <f t="shared" si="5"/>
        <v>Numeric reproduction</v>
      </c>
      <c r="H362" s="183" t="s">
        <v>5953</v>
      </c>
      <c r="I362" s="183" t="s">
        <v>5704</v>
      </c>
      <c r="J362" s="183" t="s">
        <v>171</v>
      </c>
      <c r="K362" s="183" t="s">
        <v>5803</v>
      </c>
      <c r="L362" s="180">
        <v>4</v>
      </c>
      <c r="M362" s="180">
        <v>431</v>
      </c>
    </row>
    <row r="363" spans="1:13" ht="120" customHeight="1" x14ac:dyDescent="0.3">
      <c r="A363" s="177" t="s">
        <v>106</v>
      </c>
      <c r="B363" s="177">
        <v>2023</v>
      </c>
      <c r="C363" s="177" t="s">
        <v>154</v>
      </c>
      <c r="D363" s="190">
        <f>'Published Ratio Reconciliation'!D432</f>
        <v>0.2928</v>
      </c>
      <c r="E363" s="190">
        <f>'27 Calculations'!H483</f>
        <v>0.29276322471727417</v>
      </c>
      <c r="F363" s="190">
        <f>'Published Ratio Reconciliation'!F432</f>
        <v>0.29276322471727417</v>
      </c>
      <c r="G363" s="177" t="str">
        <f t="shared" si="5"/>
        <v>Numeric reproduction</v>
      </c>
      <c r="H363" s="184" t="s">
        <v>21</v>
      </c>
      <c r="I363" s="184" t="s">
        <v>9140</v>
      </c>
      <c r="J363" s="184" t="s">
        <v>171</v>
      </c>
      <c r="K363" s="184" t="s">
        <v>176</v>
      </c>
      <c r="L363" s="177">
        <v>4</v>
      </c>
      <c r="M363" s="177">
        <v>432</v>
      </c>
    </row>
    <row r="364" spans="1:13" ht="120" customHeight="1" x14ac:dyDescent="0.3">
      <c r="A364" s="180" t="s">
        <v>106</v>
      </c>
      <c r="B364" s="180">
        <v>2024</v>
      </c>
      <c r="C364" s="180" t="s">
        <v>154</v>
      </c>
      <c r="D364" s="189">
        <f>'Published Ratio Reconciliation'!D433</f>
        <v>0.3155</v>
      </c>
      <c r="E364" s="189">
        <f>'27 Calculations'!H484</f>
        <v>0.31547845382378364</v>
      </c>
      <c r="F364" s="189">
        <f>'Published Ratio Reconciliation'!F433</f>
        <v>0.31547845382378364</v>
      </c>
      <c r="G364" s="180" t="str">
        <f t="shared" si="5"/>
        <v>Numeric reproduction</v>
      </c>
      <c r="H364" s="183" t="s">
        <v>21</v>
      </c>
      <c r="I364" s="183" t="s">
        <v>9140</v>
      </c>
      <c r="J364" s="183" t="s">
        <v>171</v>
      </c>
      <c r="K364" s="183" t="s">
        <v>176</v>
      </c>
      <c r="L364" s="180">
        <v>4</v>
      </c>
      <c r="M364" s="180">
        <v>433</v>
      </c>
    </row>
    <row r="365" spans="1:13" ht="120" customHeight="1" x14ac:dyDescent="0.3">
      <c r="A365" s="177" t="s">
        <v>106</v>
      </c>
      <c r="B365" s="177">
        <v>2025</v>
      </c>
      <c r="C365" s="177" t="s">
        <v>154</v>
      </c>
      <c r="D365" s="190">
        <f>'Published Ratio Reconciliation'!D434</f>
        <v>0.34439999999999998</v>
      </c>
      <c r="E365" s="190">
        <f>'27 Calculations'!H485</f>
        <v>0.34444405990469212</v>
      </c>
      <c r="F365" s="190">
        <f>'Published Ratio Reconciliation'!F434</f>
        <v>0.34444405990469212</v>
      </c>
      <c r="G365" s="177" t="str">
        <f t="shared" si="5"/>
        <v>Numeric reproduction</v>
      </c>
      <c r="H365" s="184" t="s">
        <v>21</v>
      </c>
      <c r="I365" s="184" t="s">
        <v>9140</v>
      </c>
      <c r="J365" s="184" t="s">
        <v>171</v>
      </c>
      <c r="K365" s="184" t="s">
        <v>176</v>
      </c>
      <c r="L365" s="177">
        <v>4</v>
      </c>
      <c r="M365" s="177">
        <v>434</v>
      </c>
    </row>
    <row r="366" spans="1:13" ht="120" customHeight="1" x14ac:dyDescent="0.3">
      <c r="A366" s="180" t="s">
        <v>106</v>
      </c>
      <c r="B366" s="180">
        <v>2021</v>
      </c>
      <c r="C366" s="180" t="s">
        <v>155</v>
      </c>
      <c r="D366" s="189">
        <f>'Published Ratio Reconciliation'!D435</f>
        <v>0.17599999999999999</v>
      </c>
      <c r="E366" s="189">
        <f>'27 Calculations'!H491</f>
        <v>0.1759822170452098</v>
      </c>
      <c r="F366" s="189">
        <f>'Published Ratio Reconciliation'!F435</f>
        <v>0.1759822170452098</v>
      </c>
      <c r="G366" s="180" t="str">
        <f t="shared" si="5"/>
        <v>Numeric reproduction</v>
      </c>
      <c r="H366" s="183" t="s">
        <v>21</v>
      </c>
      <c r="I366" s="183" t="s">
        <v>9140</v>
      </c>
      <c r="J366" s="183" t="s">
        <v>171</v>
      </c>
      <c r="K366" s="183" t="s">
        <v>22</v>
      </c>
      <c r="L366" s="180">
        <v>4</v>
      </c>
      <c r="M366" s="180">
        <v>435</v>
      </c>
    </row>
    <row r="367" spans="1:13" ht="120" customHeight="1" x14ac:dyDescent="0.3">
      <c r="A367" s="177" t="s">
        <v>106</v>
      </c>
      <c r="B367" s="177">
        <v>2022</v>
      </c>
      <c r="C367" s="177" t="s">
        <v>155</v>
      </c>
      <c r="D367" s="190">
        <f>'Published Ratio Reconciliation'!D436</f>
        <v>7.4700000000000003E-2</v>
      </c>
      <c r="E367" s="190">
        <f>'27 Calculations'!H492</f>
        <v>7.4739658936337147E-2</v>
      </c>
      <c r="F367" s="190">
        <f>'Published Ratio Reconciliation'!F436</f>
        <v>7.4739658936337147E-2</v>
      </c>
      <c r="G367" s="177" t="str">
        <f t="shared" si="5"/>
        <v>Numeric reproduction</v>
      </c>
      <c r="H367" s="184" t="s">
        <v>21</v>
      </c>
      <c r="I367" s="184" t="s">
        <v>9140</v>
      </c>
      <c r="J367" s="184" t="s">
        <v>171</v>
      </c>
      <c r="K367" s="184" t="s">
        <v>22</v>
      </c>
      <c r="L367" s="177">
        <v>4</v>
      </c>
      <c r="M367" s="177">
        <v>436</v>
      </c>
    </row>
    <row r="368" spans="1:13" ht="120" customHeight="1" x14ac:dyDescent="0.3">
      <c r="A368" s="180" t="s">
        <v>106</v>
      </c>
      <c r="B368" s="180">
        <v>2023</v>
      </c>
      <c r="C368" s="180" t="s">
        <v>155</v>
      </c>
      <c r="D368" s="189">
        <f>'Published Ratio Reconciliation'!D437</f>
        <v>7.2400000000000006E-2</v>
      </c>
      <c r="E368" s="189">
        <f>'27 Calculations'!H493</f>
        <v>7.2358441549152441E-2</v>
      </c>
      <c r="F368" s="189">
        <f>'Published Ratio Reconciliation'!F437</f>
        <v>7.2358441549152441E-2</v>
      </c>
      <c r="G368" s="180" t="str">
        <f t="shared" si="5"/>
        <v>Numeric reproduction</v>
      </c>
      <c r="H368" s="183" t="s">
        <v>21</v>
      </c>
      <c r="I368" s="183" t="s">
        <v>9140</v>
      </c>
      <c r="J368" s="183" t="s">
        <v>171</v>
      </c>
      <c r="K368" s="183" t="s">
        <v>22</v>
      </c>
      <c r="L368" s="180">
        <v>4</v>
      </c>
      <c r="M368" s="180">
        <v>437</v>
      </c>
    </row>
    <row r="369" spans="1:13" ht="120" customHeight="1" x14ac:dyDescent="0.3">
      <c r="A369" s="177" t="s">
        <v>106</v>
      </c>
      <c r="B369" s="177">
        <v>2024</v>
      </c>
      <c r="C369" s="177" t="s">
        <v>155</v>
      </c>
      <c r="D369" s="190">
        <f>'Published Ratio Reconciliation'!D438</f>
        <v>7.9299999999999995E-2</v>
      </c>
      <c r="E369" s="190">
        <f>'27 Calculations'!H494</f>
        <v>7.9342975209845082E-2</v>
      </c>
      <c r="F369" s="190">
        <f>'Published Ratio Reconciliation'!F438</f>
        <v>7.9342975209845082E-2</v>
      </c>
      <c r="G369" s="177" t="str">
        <f t="shared" si="5"/>
        <v>Numeric reproduction</v>
      </c>
      <c r="H369" s="184" t="s">
        <v>21</v>
      </c>
      <c r="I369" s="184" t="s">
        <v>9140</v>
      </c>
      <c r="J369" s="184" t="s">
        <v>171</v>
      </c>
      <c r="K369" s="184" t="s">
        <v>22</v>
      </c>
      <c r="L369" s="177">
        <v>4</v>
      </c>
      <c r="M369" s="177">
        <v>438</v>
      </c>
    </row>
    <row r="370" spans="1:13" ht="120" customHeight="1" x14ac:dyDescent="0.3">
      <c r="A370" s="180" t="s">
        <v>106</v>
      </c>
      <c r="B370" s="180">
        <v>2025</v>
      </c>
      <c r="C370" s="180" t="s">
        <v>155</v>
      </c>
      <c r="D370" s="189">
        <f>'Published Ratio Reconciliation'!D439</f>
        <v>0.24709999999999999</v>
      </c>
      <c r="E370" s="189">
        <f>'27 Calculations'!H495</f>
        <v>0.24711008947956384</v>
      </c>
      <c r="F370" s="189">
        <f>'Published Ratio Reconciliation'!F439</f>
        <v>0.24711008947956384</v>
      </c>
      <c r="G370" s="180" t="str">
        <f t="shared" si="5"/>
        <v>Numeric reproduction</v>
      </c>
      <c r="H370" s="183" t="s">
        <v>21</v>
      </c>
      <c r="I370" s="183" t="s">
        <v>9140</v>
      </c>
      <c r="J370" s="183" t="s">
        <v>171</v>
      </c>
      <c r="K370" s="183" t="s">
        <v>22</v>
      </c>
      <c r="L370" s="180">
        <v>4</v>
      </c>
      <c r="M370" s="180">
        <v>439</v>
      </c>
    </row>
    <row r="371" spans="1:13" ht="120" customHeight="1" x14ac:dyDescent="0.3">
      <c r="A371" s="177" t="s">
        <v>106</v>
      </c>
      <c r="B371" s="177">
        <v>2021</v>
      </c>
      <c r="C371" s="177" t="s">
        <v>53</v>
      </c>
      <c r="D371" s="190">
        <f>'Published Ratio Reconciliation'!D440</f>
        <v>0.1666</v>
      </c>
      <c r="E371" s="190">
        <f>'27 Calculations'!H501</f>
        <v>0.16658725897109622</v>
      </c>
      <c r="F371" s="190">
        <f>'Published Ratio Reconciliation'!F440</f>
        <v>0.16658725897109622</v>
      </c>
      <c r="G371" s="177" t="str">
        <f t="shared" si="5"/>
        <v>Numeric reproduction</v>
      </c>
      <c r="H371" s="184" t="s">
        <v>54</v>
      </c>
      <c r="I371" s="184" t="s">
        <v>9140</v>
      </c>
      <c r="J371" s="184" t="s">
        <v>171</v>
      </c>
      <c r="K371" s="184" t="s">
        <v>22</v>
      </c>
      <c r="L371" s="177">
        <v>4</v>
      </c>
      <c r="M371" s="177">
        <v>440</v>
      </c>
    </row>
    <row r="372" spans="1:13" ht="120" customHeight="1" x14ac:dyDescent="0.3">
      <c r="A372" s="180" t="s">
        <v>106</v>
      </c>
      <c r="B372" s="180">
        <v>2022</v>
      </c>
      <c r="C372" s="180" t="s">
        <v>53</v>
      </c>
      <c r="D372" s="189">
        <f>'Published Ratio Reconciliation'!D441</f>
        <v>8.9399999999999993E-2</v>
      </c>
      <c r="E372" s="189">
        <f>'27 Calculations'!H502</f>
        <v>8.9408976031592494E-2</v>
      </c>
      <c r="F372" s="189">
        <f>'Published Ratio Reconciliation'!F441</f>
        <v>8.9408976031592494E-2</v>
      </c>
      <c r="G372" s="180" t="str">
        <f t="shared" si="5"/>
        <v>Numeric reproduction</v>
      </c>
      <c r="H372" s="183" t="s">
        <v>54</v>
      </c>
      <c r="I372" s="183" t="s">
        <v>9140</v>
      </c>
      <c r="J372" s="183" t="s">
        <v>171</v>
      </c>
      <c r="K372" s="183" t="s">
        <v>22</v>
      </c>
      <c r="L372" s="180">
        <v>4</v>
      </c>
      <c r="M372" s="180">
        <v>441</v>
      </c>
    </row>
    <row r="373" spans="1:13" ht="120" customHeight="1" x14ac:dyDescent="0.3">
      <c r="A373" s="177" t="s">
        <v>106</v>
      </c>
      <c r="B373" s="177">
        <v>2023</v>
      </c>
      <c r="C373" s="177" t="s">
        <v>53</v>
      </c>
      <c r="D373" s="190">
        <f>'Published Ratio Reconciliation'!D442</f>
        <v>0.1</v>
      </c>
      <c r="E373" s="190">
        <f>'27 Calculations'!H503</f>
        <v>0.10000796203977304</v>
      </c>
      <c r="F373" s="190">
        <f>'Published Ratio Reconciliation'!F442</f>
        <v>0.10000796203977304</v>
      </c>
      <c r="G373" s="177" t="str">
        <f t="shared" si="5"/>
        <v>Numeric reproduction</v>
      </c>
      <c r="H373" s="184" t="s">
        <v>54</v>
      </c>
      <c r="I373" s="184" t="s">
        <v>9140</v>
      </c>
      <c r="J373" s="184" t="s">
        <v>171</v>
      </c>
      <c r="K373" s="184" t="s">
        <v>22</v>
      </c>
      <c r="L373" s="177">
        <v>4</v>
      </c>
      <c r="M373" s="177">
        <v>442</v>
      </c>
    </row>
    <row r="374" spans="1:13" ht="120" customHeight="1" x14ac:dyDescent="0.3">
      <c r="A374" s="180" t="s">
        <v>106</v>
      </c>
      <c r="B374" s="180">
        <v>2024</v>
      </c>
      <c r="C374" s="180" t="s">
        <v>53</v>
      </c>
      <c r="D374" s="189">
        <f>'Published Ratio Reconciliation'!D443</f>
        <v>0.1002</v>
      </c>
      <c r="E374" s="189">
        <f>'27 Calculations'!H504</f>
        <v>0.10020784968682853</v>
      </c>
      <c r="F374" s="189">
        <f>'Published Ratio Reconciliation'!F443</f>
        <v>0.10020784968682853</v>
      </c>
      <c r="G374" s="180" t="str">
        <f t="shared" si="5"/>
        <v>Numeric reproduction</v>
      </c>
      <c r="H374" s="183" t="s">
        <v>54</v>
      </c>
      <c r="I374" s="183" t="s">
        <v>9140</v>
      </c>
      <c r="J374" s="183" t="s">
        <v>171</v>
      </c>
      <c r="K374" s="183" t="s">
        <v>22</v>
      </c>
      <c r="L374" s="180">
        <v>4</v>
      </c>
      <c r="M374" s="180">
        <v>443</v>
      </c>
    </row>
    <row r="375" spans="1:13" ht="120" customHeight="1" x14ac:dyDescent="0.3">
      <c r="A375" s="177" t="s">
        <v>106</v>
      </c>
      <c r="B375" s="177">
        <v>2025</v>
      </c>
      <c r="C375" s="177" t="s">
        <v>53</v>
      </c>
      <c r="D375" s="190">
        <f>'Published Ratio Reconciliation'!D444</f>
        <v>0.2384</v>
      </c>
      <c r="E375" s="190">
        <f>'27 Calculations'!H505</f>
        <v>0.2383990269906105</v>
      </c>
      <c r="F375" s="190">
        <f>'Published Ratio Reconciliation'!F444</f>
        <v>0.2383990269906105</v>
      </c>
      <c r="G375" s="177" t="str">
        <f t="shared" si="5"/>
        <v>Numeric reproduction</v>
      </c>
      <c r="H375" s="184" t="s">
        <v>54</v>
      </c>
      <c r="I375" s="184" t="s">
        <v>9140</v>
      </c>
      <c r="J375" s="184" t="s">
        <v>171</v>
      </c>
      <c r="K375" s="184" t="s">
        <v>22</v>
      </c>
      <c r="L375" s="177">
        <v>4</v>
      </c>
      <c r="M375" s="177">
        <v>444</v>
      </c>
    </row>
    <row r="376" spans="1:13" ht="120" customHeight="1" x14ac:dyDescent="0.3">
      <c r="A376" s="180" t="s">
        <v>106</v>
      </c>
      <c r="B376" s="180">
        <v>2021</v>
      </c>
      <c r="C376" s="180" t="s">
        <v>139</v>
      </c>
      <c r="D376" s="189">
        <f>'Published Ratio Reconciliation'!D445</f>
        <v>34.18</v>
      </c>
      <c r="E376" s="189">
        <f>'27 Calculations'!H521</f>
        <v>34.180972265393187</v>
      </c>
      <c r="F376" s="189">
        <f>'Published Ratio Reconciliation'!F445</f>
        <v>34.180972265393187</v>
      </c>
      <c r="G376" s="180" t="str">
        <f t="shared" si="5"/>
        <v>Numeric reproduction</v>
      </c>
      <c r="H376" s="183" t="s">
        <v>121</v>
      </c>
      <c r="I376" s="183" t="s">
        <v>9140</v>
      </c>
      <c r="J376" s="183" t="s">
        <v>171</v>
      </c>
      <c r="K376" s="183" t="s">
        <v>178</v>
      </c>
      <c r="L376" s="180">
        <v>2</v>
      </c>
      <c r="M376" s="180">
        <v>445</v>
      </c>
    </row>
    <row r="377" spans="1:13" ht="120" customHeight="1" x14ac:dyDescent="0.3">
      <c r="A377" s="177" t="s">
        <v>106</v>
      </c>
      <c r="B377" s="177">
        <v>2022</v>
      </c>
      <c r="C377" s="177" t="s">
        <v>139</v>
      </c>
      <c r="D377" s="190">
        <f>'Published Ratio Reconciliation'!D446</f>
        <v>36.93</v>
      </c>
      <c r="E377" s="190">
        <f>'27 Calculations'!H522</f>
        <v>37.561557627459578</v>
      </c>
      <c r="F377" s="190">
        <f>'Published Ratio Reconciliation'!F446</f>
        <v>36.927350411008845</v>
      </c>
      <c r="G377" s="177" t="str">
        <f t="shared" si="5"/>
        <v>Numeric reproduction</v>
      </c>
      <c r="H377" s="184" t="s">
        <v>121</v>
      </c>
      <c r="I377" s="184" t="s">
        <v>9140</v>
      </c>
      <c r="J377" s="184" t="s">
        <v>171</v>
      </c>
      <c r="K377" s="184" t="s">
        <v>178</v>
      </c>
      <c r="L377" s="177">
        <v>2</v>
      </c>
      <c r="M377" s="177">
        <v>446</v>
      </c>
    </row>
    <row r="378" spans="1:13" ht="120" customHeight="1" x14ac:dyDescent="0.3">
      <c r="A378" s="180" t="s">
        <v>106</v>
      </c>
      <c r="B378" s="180">
        <v>2023</v>
      </c>
      <c r="C378" s="180" t="s">
        <v>139</v>
      </c>
      <c r="D378" s="189">
        <f>'Published Ratio Reconciliation'!D447</f>
        <v>41.84</v>
      </c>
      <c r="E378" s="189">
        <f>'27 Calculations'!H523</f>
        <v>41.844014540695262</v>
      </c>
      <c r="F378" s="189">
        <f>'Published Ratio Reconciliation'!F447</f>
        <v>41.844014540695262</v>
      </c>
      <c r="G378" s="180" t="str">
        <f t="shared" si="5"/>
        <v>Numeric reproduction</v>
      </c>
      <c r="H378" s="183" t="s">
        <v>121</v>
      </c>
      <c r="I378" s="183" t="s">
        <v>9140</v>
      </c>
      <c r="J378" s="183" t="s">
        <v>171</v>
      </c>
      <c r="K378" s="183" t="s">
        <v>178</v>
      </c>
      <c r="L378" s="180">
        <v>2</v>
      </c>
      <c r="M378" s="180">
        <v>447</v>
      </c>
    </row>
    <row r="379" spans="1:13" ht="120" customHeight="1" x14ac:dyDescent="0.3">
      <c r="A379" s="177" t="s">
        <v>106</v>
      </c>
      <c r="B379" s="177">
        <v>2024</v>
      </c>
      <c r="C379" s="177" t="s">
        <v>139</v>
      </c>
      <c r="D379" s="190">
        <f>'Published Ratio Reconciliation'!D448</f>
        <v>49.69</v>
      </c>
      <c r="E379" s="190">
        <f>'27 Calculations'!H524</f>
        <v>50.226982139301263</v>
      </c>
      <c r="F379" s="190">
        <f>'Forensic Tests'!I494</f>
        <v>49.688697161517815</v>
      </c>
      <c r="G379" s="177" t="str">
        <f t="shared" si="5"/>
        <v>Numeric reproduction</v>
      </c>
      <c r="H379" s="184" t="s">
        <v>5962</v>
      </c>
      <c r="I379" s="184" t="s">
        <v>5704</v>
      </c>
      <c r="J379" s="184" t="s">
        <v>171</v>
      </c>
      <c r="K379" s="184" t="s">
        <v>5964</v>
      </c>
      <c r="L379" s="177">
        <v>2</v>
      </c>
      <c r="M379" s="177">
        <v>448</v>
      </c>
    </row>
    <row r="380" spans="1:13" ht="120" customHeight="1" x14ac:dyDescent="0.3">
      <c r="A380" s="180" t="s">
        <v>106</v>
      </c>
      <c r="B380" s="180">
        <v>2025</v>
      </c>
      <c r="C380" s="180" t="s">
        <v>139</v>
      </c>
      <c r="D380" s="189">
        <f>'Published Ratio Reconciliation'!D449</f>
        <v>68.22</v>
      </c>
      <c r="E380" s="189">
        <f>'27 Calculations'!H525</f>
        <v>68.217013474898792</v>
      </c>
      <c r="F380" s="189">
        <f>'Published Ratio Reconciliation'!F449</f>
        <v>68.217013474898792</v>
      </c>
      <c r="G380" s="180" t="str">
        <f t="shared" si="5"/>
        <v>Numeric reproduction</v>
      </c>
      <c r="H380" s="183" t="s">
        <v>121</v>
      </c>
      <c r="I380" s="183" t="s">
        <v>9140</v>
      </c>
      <c r="J380" s="183" t="s">
        <v>171</v>
      </c>
      <c r="K380" s="183" t="s">
        <v>178</v>
      </c>
      <c r="L380" s="180">
        <v>2</v>
      </c>
      <c r="M380" s="180">
        <v>449</v>
      </c>
    </row>
    <row r="381" spans="1:13" ht="120" customHeight="1" x14ac:dyDescent="0.3">
      <c r="A381" s="177" t="s">
        <v>106</v>
      </c>
      <c r="B381" s="177">
        <v>2021</v>
      </c>
      <c r="C381" s="177" t="s">
        <v>162</v>
      </c>
      <c r="D381" s="190">
        <f>'Published Ratio Reconciliation'!D450</f>
        <v>1.37</v>
      </c>
      <c r="E381" s="190">
        <f>'27 Calculations'!H531</f>
        <v>1.3744489078669448</v>
      </c>
      <c r="F381" s="190">
        <f>'Published Ratio Reconciliation'!F450</f>
        <v>1.3744880046810999</v>
      </c>
      <c r="G381" s="177" t="str">
        <f t="shared" si="5"/>
        <v>Numeric reproduction</v>
      </c>
      <c r="H381" s="184" t="s">
        <v>59</v>
      </c>
      <c r="I381" s="184" t="s">
        <v>9140</v>
      </c>
      <c r="J381" s="184" t="s">
        <v>171</v>
      </c>
      <c r="K381" s="184" t="s">
        <v>22</v>
      </c>
      <c r="L381" s="177">
        <v>2</v>
      </c>
      <c r="M381" s="177">
        <v>450</v>
      </c>
    </row>
    <row r="382" spans="1:13" ht="120" customHeight="1" x14ac:dyDescent="0.3">
      <c r="A382" s="180" t="s">
        <v>106</v>
      </c>
      <c r="B382" s="180">
        <v>2022</v>
      </c>
      <c r="C382" s="180" t="s">
        <v>162</v>
      </c>
      <c r="D382" s="189">
        <f>'Published Ratio Reconciliation'!D451</f>
        <v>0.74</v>
      </c>
      <c r="E382" s="189">
        <f>'27 Calculations'!H532</f>
        <v>0.72813806794864222</v>
      </c>
      <c r="F382" s="189">
        <f>'Published Ratio Reconciliation'!F451</f>
        <v>0.74059030598429465</v>
      </c>
      <c r="G382" s="180" t="str">
        <f t="shared" si="5"/>
        <v>Numeric reproduction</v>
      </c>
      <c r="H382" s="183" t="s">
        <v>59</v>
      </c>
      <c r="I382" s="183" t="s">
        <v>9140</v>
      </c>
      <c r="J382" s="183" t="s">
        <v>171</v>
      </c>
      <c r="K382" s="183" t="s">
        <v>22</v>
      </c>
      <c r="L382" s="180">
        <v>2</v>
      </c>
      <c r="M382" s="180">
        <v>451</v>
      </c>
    </row>
    <row r="383" spans="1:13" ht="120" customHeight="1" x14ac:dyDescent="0.3">
      <c r="A383" s="177" t="s">
        <v>106</v>
      </c>
      <c r="B383" s="177">
        <v>2023</v>
      </c>
      <c r="C383" s="177" t="s">
        <v>162</v>
      </c>
      <c r="D383" s="190">
        <f>'Published Ratio Reconciliation'!D452</f>
        <v>0.68</v>
      </c>
      <c r="E383" s="190">
        <f>'27 Calculations'!H533</f>
        <v>0.67703828877240613</v>
      </c>
      <c r="F383" s="190">
        <f>'Published Ratio Reconciliation'!F452</f>
        <v>0.67710325047801134</v>
      </c>
      <c r="G383" s="177" t="str">
        <f t="shared" si="5"/>
        <v>Numeric reproduction</v>
      </c>
      <c r="H383" s="184" t="s">
        <v>59</v>
      </c>
      <c r="I383" s="184" t="s">
        <v>9140</v>
      </c>
      <c r="J383" s="184" t="s">
        <v>171</v>
      </c>
      <c r="K383" s="184" t="s">
        <v>22</v>
      </c>
      <c r="L383" s="177">
        <v>2</v>
      </c>
      <c r="M383" s="177">
        <v>452</v>
      </c>
    </row>
    <row r="384" spans="1:13" ht="120" customHeight="1" x14ac:dyDescent="0.3">
      <c r="A384" s="180" t="s">
        <v>106</v>
      </c>
      <c r="B384" s="180">
        <v>2024</v>
      </c>
      <c r="C384" s="180" t="s">
        <v>162</v>
      </c>
      <c r="D384" s="189">
        <f>'Published Ratio Reconciliation'!D453</f>
        <v>0.76</v>
      </c>
      <c r="E384" s="189">
        <f>'27 Calculations'!H534</f>
        <v>0.75656546305349337</v>
      </c>
      <c r="F384" s="189">
        <f>'Published Ratio Reconciliation'!F453</f>
        <v>0.76474139665928764</v>
      </c>
      <c r="G384" s="180" t="str">
        <f t="shared" si="5"/>
        <v>Numeric reproduction</v>
      </c>
      <c r="H384" s="183" t="s">
        <v>59</v>
      </c>
      <c r="I384" s="183" t="s">
        <v>9140</v>
      </c>
      <c r="J384" s="183" t="s">
        <v>171</v>
      </c>
      <c r="K384" s="183" t="s">
        <v>22</v>
      </c>
      <c r="L384" s="180">
        <v>2</v>
      </c>
      <c r="M384" s="180">
        <v>453</v>
      </c>
    </row>
    <row r="385" spans="1:13" ht="120" customHeight="1" x14ac:dyDescent="0.3">
      <c r="A385" s="177" t="s">
        <v>106</v>
      </c>
      <c r="B385" s="177">
        <v>2025</v>
      </c>
      <c r="C385" s="177" t="s">
        <v>162</v>
      </c>
      <c r="D385" s="190">
        <f>'Published Ratio Reconciliation'!D454</f>
        <v>1.24</v>
      </c>
      <c r="E385" s="190">
        <f>'27 Calculations'!H535</f>
        <v>1.2354689205356633</v>
      </c>
      <c r="F385" s="190">
        <f>'Published Ratio Reconciliation'!F454</f>
        <v>1.2354148343594253</v>
      </c>
      <c r="G385" s="177" t="str">
        <f t="shared" si="5"/>
        <v>Numeric reproduction</v>
      </c>
      <c r="H385" s="184" t="s">
        <v>59</v>
      </c>
      <c r="I385" s="184" t="s">
        <v>9140</v>
      </c>
      <c r="J385" s="184" t="s">
        <v>171</v>
      </c>
      <c r="K385" s="184" t="s">
        <v>22</v>
      </c>
      <c r="L385" s="177">
        <v>2</v>
      </c>
      <c r="M385" s="177">
        <v>454</v>
      </c>
    </row>
    <row r="386" spans="1:13" ht="120" customHeight="1" x14ac:dyDescent="0.3">
      <c r="A386" s="180" t="s">
        <v>106</v>
      </c>
      <c r="B386" s="180">
        <v>2021</v>
      </c>
      <c r="C386" s="180" t="s">
        <v>143</v>
      </c>
      <c r="D386" s="189">
        <f>'Published Ratio Reconciliation'!D455</f>
        <v>5.69</v>
      </c>
      <c r="E386" s="189">
        <f>'27 Calculations'!H516</f>
        <v>5.6941155155115029</v>
      </c>
      <c r="F386" s="189">
        <f>'Published Ratio Reconciliation'!F455</f>
        <v>5.6941155155115029</v>
      </c>
      <c r="G386" s="180" t="str">
        <f t="shared" si="5"/>
        <v>Numeric reproduction</v>
      </c>
      <c r="H386" s="183" t="s">
        <v>83</v>
      </c>
      <c r="I386" s="183" t="s">
        <v>9140</v>
      </c>
      <c r="J386" s="183" t="s">
        <v>171</v>
      </c>
      <c r="K386" s="183" t="s">
        <v>22</v>
      </c>
      <c r="L386" s="180">
        <v>2</v>
      </c>
      <c r="M386" s="180">
        <v>455</v>
      </c>
    </row>
    <row r="387" spans="1:13" ht="120" customHeight="1" x14ac:dyDescent="0.3">
      <c r="A387" s="177" t="s">
        <v>106</v>
      </c>
      <c r="B387" s="177">
        <v>2022</v>
      </c>
      <c r="C387" s="177" t="s">
        <v>143</v>
      </c>
      <c r="D387" s="190">
        <f>'Published Ratio Reconciliation'!D456</f>
        <v>3.3</v>
      </c>
      <c r="E387" s="190">
        <f>'27 Calculations'!H517</f>
        <v>3.3041099784606085</v>
      </c>
      <c r="F387" s="190">
        <f>'Published Ratio Reconciliation'!F456</f>
        <v>3.3041099784606085</v>
      </c>
      <c r="G387" s="177" t="str">
        <f t="shared" si="5"/>
        <v>Numeric reproduction</v>
      </c>
      <c r="H387" s="184" t="s">
        <v>83</v>
      </c>
      <c r="I387" s="184" t="s">
        <v>9140</v>
      </c>
      <c r="J387" s="184" t="s">
        <v>171</v>
      </c>
      <c r="K387" s="184" t="s">
        <v>22</v>
      </c>
      <c r="L387" s="177">
        <v>2</v>
      </c>
      <c r="M387" s="177">
        <v>456</v>
      </c>
    </row>
    <row r="388" spans="1:13" ht="120" customHeight="1" x14ac:dyDescent="0.3">
      <c r="A388" s="180" t="s">
        <v>106</v>
      </c>
      <c r="B388" s="180">
        <v>2023</v>
      </c>
      <c r="C388" s="180" t="s">
        <v>143</v>
      </c>
      <c r="D388" s="189">
        <f>'Published Ratio Reconciliation'!D457</f>
        <v>4.18</v>
      </c>
      <c r="E388" s="189">
        <f>'27 Calculations'!H518</f>
        <v>4.1845053824045904</v>
      </c>
      <c r="F388" s="189">
        <f>'Published Ratio Reconciliation'!F457</f>
        <v>4.1845053824045904</v>
      </c>
      <c r="G388" s="180" t="str">
        <f t="shared" si="5"/>
        <v>Numeric reproduction</v>
      </c>
      <c r="H388" s="183" t="s">
        <v>83</v>
      </c>
      <c r="I388" s="183" t="s">
        <v>9140</v>
      </c>
      <c r="J388" s="183" t="s">
        <v>171</v>
      </c>
      <c r="K388" s="183" t="s">
        <v>22</v>
      </c>
      <c r="L388" s="180">
        <v>2</v>
      </c>
      <c r="M388" s="180">
        <v>457</v>
      </c>
    </row>
    <row r="389" spans="1:13" ht="120" customHeight="1" x14ac:dyDescent="0.3">
      <c r="A389" s="177" t="s">
        <v>106</v>
      </c>
      <c r="B389" s="177">
        <v>2024</v>
      </c>
      <c r="C389" s="177" t="s">
        <v>143</v>
      </c>
      <c r="D389" s="190">
        <f>'Published Ratio Reconciliation'!D458</f>
        <v>4.9800000000000004</v>
      </c>
      <c r="E389" s="190">
        <f>'27 Calculations'!H519</f>
        <v>4.9791974962957211</v>
      </c>
      <c r="F389" s="190">
        <f>'Published Ratio Reconciliation'!F458</f>
        <v>4.9791974962957211</v>
      </c>
      <c r="G389" s="177" t="str">
        <f t="shared" si="5"/>
        <v>Numeric reproduction</v>
      </c>
      <c r="H389" s="184" t="s">
        <v>83</v>
      </c>
      <c r="I389" s="184" t="s">
        <v>9140</v>
      </c>
      <c r="J389" s="184" t="s">
        <v>171</v>
      </c>
      <c r="K389" s="184" t="s">
        <v>22</v>
      </c>
      <c r="L389" s="177">
        <v>2</v>
      </c>
      <c r="M389" s="177">
        <v>458</v>
      </c>
    </row>
    <row r="390" spans="1:13" ht="120" customHeight="1" x14ac:dyDescent="0.3">
      <c r="A390" s="180" t="s">
        <v>106</v>
      </c>
      <c r="B390" s="180">
        <v>2025</v>
      </c>
      <c r="C390" s="180" t="s">
        <v>143</v>
      </c>
      <c r="D390" s="189">
        <f>'Published Ratio Reconciliation'!D459</f>
        <v>16.260000000000002</v>
      </c>
      <c r="E390" s="189">
        <f>'27 Calculations'!H520</f>
        <v>16.262863426829693</v>
      </c>
      <c r="F390" s="189">
        <f>'Published Ratio Reconciliation'!F459</f>
        <v>16.262863426829693</v>
      </c>
      <c r="G390" s="180" t="str">
        <f t="shared" ref="G390:G453" si="6">IF(AND(ISNUMBER(D390),ISNUMBER(F390)),IF(ROUND(D390,L390)=ROUND(F390,L390),"Numeric reproduction","Not reproduced"),"Not comparable")</f>
        <v>Numeric reproduction</v>
      </c>
      <c r="H390" s="183" t="s">
        <v>83</v>
      </c>
      <c r="I390" s="183" t="s">
        <v>9140</v>
      </c>
      <c r="J390" s="183" t="s">
        <v>171</v>
      </c>
      <c r="K390" s="183" t="s">
        <v>22</v>
      </c>
      <c r="L390" s="180">
        <v>2</v>
      </c>
      <c r="M390" s="180">
        <v>459</v>
      </c>
    </row>
    <row r="391" spans="1:13" ht="120" customHeight="1" x14ac:dyDescent="0.3">
      <c r="A391" s="177" t="s">
        <v>106</v>
      </c>
      <c r="B391" s="177">
        <v>2021</v>
      </c>
      <c r="C391" s="177" t="s">
        <v>104</v>
      </c>
      <c r="D391" s="190">
        <f>'Published Ratio Reconciliation'!D460</f>
        <v>0</v>
      </c>
      <c r="E391" s="190">
        <f>'27 Calculations'!H536</f>
        <v>0</v>
      </c>
      <c r="F391" s="190">
        <f>'Published Ratio Reconciliation'!F460</f>
        <v>0</v>
      </c>
      <c r="G391" s="177" t="str">
        <f t="shared" si="6"/>
        <v>Numeric reproduction</v>
      </c>
      <c r="H391" s="184" t="s">
        <v>105</v>
      </c>
      <c r="I391" s="184" t="s">
        <v>9140</v>
      </c>
      <c r="J391" s="184" t="s">
        <v>171</v>
      </c>
      <c r="K391" s="184" t="s">
        <v>22</v>
      </c>
      <c r="L391" s="177">
        <v>4</v>
      </c>
      <c r="M391" s="177">
        <v>460</v>
      </c>
    </row>
    <row r="392" spans="1:13" ht="120" customHeight="1" x14ac:dyDescent="0.3">
      <c r="A392" s="180" t="s">
        <v>106</v>
      </c>
      <c r="B392" s="180">
        <v>2022</v>
      </c>
      <c r="C392" s="180" t="s">
        <v>104</v>
      </c>
      <c r="D392" s="189">
        <f>'Published Ratio Reconciliation'!D461</f>
        <v>0</v>
      </c>
      <c r="E392" s="189">
        <f>'27 Calculations'!H537</f>
        <v>0</v>
      </c>
      <c r="F392" s="189">
        <f>'Published Ratio Reconciliation'!F461</f>
        <v>0</v>
      </c>
      <c r="G392" s="180" t="str">
        <f t="shared" si="6"/>
        <v>Numeric reproduction</v>
      </c>
      <c r="H392" s="183" t="s">
        <v>105</v>
      </c>
      <c r="I392" s="183" t="s">
        <v>9140</v>
      </c>
      <c r="J392" s="183" t="s">
        <v>171</v>
      </c>
      <c r="K392" s="183" t="s">
        <v>22</v>
      </c>
      <c r="L392" s="180">
        <v>4</v>
      </c>
      <c r="M392" s="180">
        <v>461</v>
      </c>
    </row>
    <row r="393" spans="1:13" ht="120" customHeight="1" x14ac:dyDescent="0.3">
      <c r="A393" s="177" t="s">
        <v>106</v>
      </c>
      <c r="B393" s="177">
        <v>2023</v>
      </c>
      <c r="C393" s="177" t="s">
        <v>104</v>
      </c>
      <c r="D393" s="190">
        <f>'Published Ratio Reconciliation'!D462</f>
        <v>0</v>
      </c>
      <c r="E393" s="190">
        <f>'27 Calculations'!H538</f>
        <v>0</v>
      </c>
      <c r="F393" s="190">
        <f>'Published Ratio Reconciliation'!F462</f>
        <v>0</v>
      </c>
      <c r="G393" s="177" t="str">
        <f t="shared" si="6"/>
        <v>Numeric reproduction</v>
      </c>
      <c r="H393" s="184" t="s">
        <v>105</v>
      </c>
      <c r="I393" s="184" t="s">
        <v>9140</v>
      </c>
      <c r="J393" s="184" t="s">
        <v>171</v>
      </c>
      <c r="K393" s="184" t="s">
        <v>22</v>
      </c>
      <c r="L393" s="177">
        <v>4</v>
      </c>
      <c r="M393" s="177">
        <v>462</v>
      </c>
    </row>
    <row r="394" spans="1:13" ht="120" customHeight="1" x14ac:dyDescent="0.3">
      <c r="A394" s="180" t="s">
        <v>106</v>
      </c>
      <c r="B394" s="180">
        <v>2024</v>
      </c>
      <c r="C394" s="180" t="s">
        <v>104</v>
      </c>
      <c r="D394" s="189">
        <f>'Published Ratio Reconciliation'!D463</f>
        <v>0</v>
      </c>
      <c r="E394" s="189">
        <f>'27 Calculations'!H539</f>
        <v>0</v>
      </c>
      <c r="F394" s="189">
        <f>'Published Ratio Reconciliation'!F463</f>
        <v>0</v>
      </c>
      <c r="G394" s="180" t="str">
        <f t="shared" si="6"/>
        <v>Numeric reproduction</v>
      </c>
      <c r="H394" s="183" t="s">
        <v>105</v>
      </c>
      <c r="I394" s="183" t="s">
        <v>9140</v>
      </c>
      <c r="J394" s="183" t="s">
        <v>171</v>
      </c>
      <c r="K394" s="183" t="s">
        <v>22</v>
      </c>
      <c r="L394" s="180">
        <v>4</v>
      </c>
      <c r="M394" s="180">
        <v>463</v>
      </c>
    </row>
    <row r="395" spans="1:13" ht="120" customHeight="1" x14ac:dyDescent="0.3">
      <c r="A395" s="177" t="s">
        <v>106</v>
      </c>
      <c r="B395" s="177">
        <v>2025</v>
      </c>
      <c r="C395" s="177" t="s">
        <v>104</v>
      </c>
      <c r="D395" s="190">
        <f>'Published Ratio Reconciliation'!D464</f>
        <v>0</v>
      </c>
      <c r="E395" s="190">
        <f>'27 Calculations'!H540</f>
        <v>0</v>
      </c>
      <c r="F395" s="190">
        <f>'Published Ratio Reconciliation'!F464</f>
        <v>0</v>
      </c>
      <c r="G395" s="177" t="str">
        <f t="shared" si="6"/>
        <v>Numeric reproduction</v>
      </c>
      <c r="H395" s="184" t="s">
        <v>105</v>
      </c>
      <c r="I395" s="184" t="s">
        <v>9140</v>
      </c>
      <c r="J395" s="184" t="s">
        <v>171</v>
      </c>
      <c r="K395" s="184" t="s">
        <v>22</v>
      </c>
      <c r="L395" s="177">
        <v>4</v>
      </c>
      <c r="M395" s="177">
        <v>464</v>
      </c>
    </row>
    <row r="396" spans="1:13" ht="120" customHeight="1" x14ac:dyDescent="0.3">
      <c r="A396" s="180" t="s">
        <v>114</v>
      </c>
      <c r="B396" s="180">
        <v>2021</v>
      </c>
      <c r="C396" s="180" t="s">
        <v>19</v>
      </c>
      <c r="D396" s="189">
        <f>'Published Ratio Reconciliation'!D470</f>
        <v>2.02</v>
      </c>
      <c r="E396" s="189">
        <f>'27 Calculations'!H546</f>
        <v>2.01862288296847</v>
      </c>
      <c r="F396" s="189">
        <f>'Published Ratio Reconciliation'!F470</f>
        <v>2.01862288296847</v>
      </c>
      <c r="G396" s="180" t="str">
        <f t="shared" si="6"/>
        <v>Numeric reproduction</v>
      </c>
      <c r="H396" s="183" t="s">
        <v>180</v>
      </c>
      <c r="I396" s="183" t="s">
        <v>9140</v>
      </c>
      <c r="J396" s="183" t="s">
        <v>182</v>
      </c>
      <c r="K396" s="183" t="s">
        <v>181</v>
      </c>
      <c r="L396" s="180">
        <v>2</v>
      </c>
      <c r="M396" s="180">
        <v>470</v>
      </c>
    </row>
    <row r="397" spans="1:13" ht="120" customHeight="1" x14ac:dyDescent="0.3">
      <c r="A397" s="177" t="s">
        <v>114</v>
      </c>
      <c r="B397" s="177">
        <v>2022</v>
      </c>
      <c r="C397" s="177" t="s">
        <v>19</v>
      </c>
      <c r="D397" s="190">
        <f>'Published Ratio Reconciliation'!D471</f>
        <v>1.46</v>
      </c>
      <c r="E397" s="190">
        <f>'27 Calculations'!H547</f>
        <v>1.0559688948718087</v>
      </c>
      <c r="F397" s="190">
        <f>'Published Ratio Reconciliation'!F471</f>
        <v>1.4594208527218508</v>
      </c>
      <c r="G397" s="177" t="str">
        <f t="shared" si="6"/>
        <v>Numeric reproduction</v>
      </c>
      <c r="H397" s="184" t="s">
        <v>180</v>
      </c>
      <c r="I397" s="184" t="s">
        <v>9140</v>
      </c>
      <c r="J397" s="184" t="s">
        <v>182</v>
      </c>
      <c r="K397" s="184" t="s">
        <v>181</v>
      </c>
      <c r="L397" s="177">
        <v>2</v>
      </c>
      <c r="M397" s="177">
        <v>471</v>
      </c>
    </row>
    <row r="398" spans="1:13" ht="120" customHeight="1" x14ac:dyDescent="0.3">
      <c r="A398" s="180" t="s">
        <v>114</v>
      </c>
      <c r="B398" s="180">
        <v>2023</v>
      </c>
      <c r="C398" s="180" t="s">
        <v>19</v>
      </c>
      <c r="D398" s="189">
        <f>'Published Ratio Reconciliation'!D472</f>
        <v>1.1000000000000001</v>
      </c>
      <c r="E398" s="189">
        <f>'27 Calculations'!H548</f>
        <v>0.81211137558007007</v>
      </c>
      <c r="F398" s="189">
        <f>'Published Ratio Reconciliation'!F472</f>
        <v>1.0964292882581419</v>
      </c>
      <c r="G398" s="180" t="str">
        <f t="shared" si="6"/>
        <v>Numeric reproduction</v>
      </c>
      <c r="H398" s="183" t="s">
        <v>180</v>
      </c>
      <c r="I398" s="183" t="s">
        <v>9140</v>
      </c>
      <c r="J398" s="183" t="s">
        <v>182</v>
      </c>
      <c r="K398" s="183" t="s">
        <v>181</v>
      </c>
      <c r="L398" s="180">
        <v>2</v>
      </c>
      <c r="M398" s="180">
        <v>472</v>
      </c>
    </row>
    <row r="399" spans="1:13" ht="120" customHeight="1" x14ac:dyDescent="0.3">
      <c r="A399" s="177" t="s">
        <v>114</v>
      </c>
      <c r="B399" s="177">
        <v>2024</v>
      </c>
      <c r="C399" s="177" t="s">
        <v>19</v>
      </c>
      <c r="D399" s="190">
        <f>'Published Ratio Reconciliation'!D473</f>
        <v>1.32</v>
      </c>
      <c r="E399" s="190">
        <f>'27 Calculations'!H549</f>
        <v>0.95974773116730094</v>
      </c>
      <c r="F399" s="190">
        <f>'Published Ratio Reconciliation'!F473</f>
        <v>1.3237217795425069</v>
      </c>
      <c r="G399" s="177" t="str">
        <f t="shared" si="6"/>
        <v>Numeric reproduction</v>
      </c>
      <c r="H399" s="184" t="s">
        <v>180</v>
      </c>
      <c r="I399" s="184" t="s">
        <v>9140</v>
      </c>
      <c r="J399" s="184" t="s">
        <v>182</v>
      </c>
      <c r="K399" s="184" t="s">
        <v>181</v>
      </c>
      <c r="L399" s="177">
        <v>2</v>
      </c>
      <c r="M399" s="177">
        <v>473</v>
      </c>
    </row>
    <row r="400" spans="1:13" ht="120" customHeight="1" x14ac:dyDescent="0.3">
      <c r="A400" s="180" t="s">
        <v>114</v>
      </c>
      <c r="B400" s="180">
        <v>2025</v>
      </c>
      <c r="C400" s="180" t="s">
        <v>19</v>
      </c>
      <c r="D400" s="189">
        <f>'Published Ratio Reconciliation'!D474</f>
        <v>1.75</v>
      </c>
      <c r="E400" s="189">
        <f>'27 Calculations'!H550</f>
        <v>1.3210140828410366</v>
      </c>
      <c r="F400" s="189">
        <f>'Published Ratio Reconciliation'!F474</f>
        <v>1.7546940945214227</v>
      </c>
      <c r="G400" s="180" t="str">
        <f t="shared" si="6"/>
        <v>Numeric reproduction</v>
      </c>
      <c r="H400" s="183" t="s">
        <v>180</v>
      </c>
      <c r="I400" s="183" t="s">
        <v>9140</v>
      </c>
      <c r="J400" s="183" t="s">
        <v>182</v>
      </c>
      <c r="K400" s="183" t="s">
        <v>181</v>
      </c>
      <c r="L400" s="180">
        <v>2</v>
      </c>
      <c r="M400" s="180">
        <v>474</v>
      </c>
    </row>
    <row r="401" spans="1:13" ht="120" customHeight="1" x14ac:dyDescent="0.3">
      <c r="A401" s="177" t="s">
        <v>114</v>
      </c>
      <c r="B401" s="177">
        <v>2021</v>
      </c>
      <c r="C401" s="177" t="s">
        <v>30</v>
      </c>
      <c r="D401" s="190">
        <f>'Published Ratio Reconciliation'!D475</f>
        <v>1.1399999999999999</v>
      </c>
      <c r="E401" s="190">
        <f>'27 Calculations'!H551</f>
        <v>1.1357988467684703</v>
      </c>
      <c r="F401" s="190">
        <f>'Published Ratio Reconciliation'!F475</f>
        <v>1.1357988467684703</v>
      </c>
      <c r="G401" s="177" t="str">
        <f t="shared" si="6"/>
        <v>Numeric reproduction</v>
      </c>
      <c r="H401" s="184" t="s">
        <v>180</v>
      </c>
      <c r="I401" s="184" t="s">
        <v>9140</v>
      </c>
      <c r="J401" s="184" t="s">
        <v>182</v>
      </c>
      <c r="K401" s="184" t="s">
        <v>181</v>
      </c>
      <c r="L401" s="177">
        <v>2</v>
      </c>
      <c r="M401" s="177">
        <v>475</v>
      </c>
    </row>
    <row r="402" spans="1:13" ht="120" customHeight="1" x14ac:dyDescent="0.3">
      <c r="A402" s="180" t="s">
        <v>114</v>
      </c>
      <c r="B402" s="180">
        <v>2022</v>
      </c>
      <c r="C402" s="180" t="s">
        <v>30</v>
      </c>
      <c r="D402" s="189">
        <f>'Published Ratio Reconciliation'!D476</f>
        <v>0.65</v>
      </c>
      <c r="E402" s="189">
        <f>'27 Calculations'!H552</f>
        <v>0.47078421060569281</v>
      </c>
      <c r="F402" s="189">
        <f>'Published Ratio Reconciliation'!F476</f>
        <v>0.65065580759701458</v>
      </c>
      <c r="G402" s="180" t="str">
        <f t="shared" si="6"/>
        <v>Numeric reproduction</v>
      </c>
      <c r="H402" s="183" t="s">
        <v>180</v>
      </c>
      <c r="I402" s="183" t="s">
        <v>9140</v>
      </c>
      <c r="J402" s="183" t="s">
        <v>182</v>
      </c>
      <c r="K402" s="183" t="s">
        <v>181</v>
      </c>
      <c r="L402" s="180">
        <v>2</v>
      </c>
      <c r="M402" s="180">
        <v>476</v>
      </c>
    </row>
    <row r="403" spans="1:13" ht="120" customHeight="1" x14ac:dyDescent="0.3">
      <c r="A403" s="177" t="s">
        <v>114</v>
      </c>
      <c r="B403" s="177">
        <v>2023</v>
      </c>
      <c r="C403" s="177" t="s">
        <v>30</v>
      </c>
      <c r="D403" s="190">
        <f>'Published Ratio Reconciliation'!D477</f>
        <v>0.38</v>
      </c>
      <c r="E403" s="190">
        <f>'27 Calculations'!H553</f>
        <v>0.28121710873313321</v>
      </c>
      <c r="F403" s="190">
        <f>'Published Ratio Reconciliation'!F477</f>
        <v>0.37967042901479647</v>
      </c>
      <c r="G403" s="177" t="str">
        <f t="shared" si="6"/>
        <v>Numeric reproduction</v>
      </c>
      <c r="H403" s="184" t="s">
        <v>180</v>
      </c>
      <c r="I403" s="184" t="s">
        <v>9140</v>
      </c>
      <c r="J403" s="184" t="s">
        <v>182</v>
      </c>
      <c r="K403" s="184" t="s">
        <v>181</v>
      </c>
      <c r="L403" s="177">
        <v>2</v>
      </c>
      <c r="M403" s="177">
        <v>477</v>
      </c>
    </row>
    <row r="404" spans="1:13" ht="120" customHeight="1" x14ac:dyDescent="0.3">
      <c r="A404" s="180" t="s">
        <v>114</v>
      </c>
      <c r="B404" s="180">
        <v>2024</v>
      </c>
      <c r="C404" s="180" t="s">
        <v>30</v>
      </c>
      <c r="D404" s="189">
        <f>'Published Ratio Reconciliation'!D478</f>
        <v>0.47</v>
      </c>
      <c r="E404" s="189">
        <f>'27 Calculations'!H554</f>
        <v>0.3420463898878065</v>
      </c>
      <c r="F404" s="189">
        <f>'Published Ratio Reconciliation'!F478</f>
        <v>0.47176382001725281</v>
      </c>
      <c r="G404" s="180" t="str">
        <f t="shared" si="6"/>
        <v>Numeric reproduction</v>
      </c>
      <c r="H404" s="183" t="s">
        <v>180</v>
      </c>
      <c r="I404" s="183" t="s">
        <v>9140</v>
      </c>
      <c r="J404" s="183" t="s">
        <v>182</v>
      </c>
      <c r="K404" s="183" t="s">
        <v>181</v>
      </c>
      <c r="L404" s="180">
        <v>2</v>
      </c>
      <c r="M404" s="180">
        <v>478</v>
      </c>
    </row>
    <row r="405" spans="1:13" ht="120" customHeight="1" x14ac:dyDescent="0.3">
      <c r="A405" s="177" t="s">
        <v>114</v>
      </c>
      <c r="B405" s="177">
        <v>2025</v>
      </c>
      <c r="C405" s="177" t="s">
        <v>30</v>
      </c>
      <c r="D405" s="190">
        <f>'Published Ratio Reconciliation'!D479</f>
        <v>0.9</v>
      </c>
      <c r="E405" s="190">
        <f>'27 Calculations'!H555</f>
        <v>0.67753380767364924</v>
      </c>
      <c r="F405" s="190">
        <f>'Published Ratio Reconciliation'!F479</f>
        <v>0.89996358601017812</v>
      </c>
      <c r="G405" s="177" t="str">
        <f t="shared" si="6"/>
        <v>Numeric reproduction</v>
      </c>
      <c r="H405" s="184" t="s">
        <v>180</v>
      </c>
      <c r="I405" s="184" t="s">
        <v>9140</v>
      </c>
      <c r="J405" s="184" t="s">
        <v>182</v>
      </c>
      <c r="K405" s="184" t="s">
        <v>181</v>
      </c>
      <c r="L405" s="177">
        <v>2</v>
      </c>
      <c r="M405" s="177">
        <v>479</v>
      </c>
    </row>
    <row r="406" spans="1:13" ht="120" customHeight="1" x14ac:dyDescent="0.3">
      <c r="A406" s="180" t="s">
        <v>114</v>
      </c>
      <c r="B406" s="180">
        <v>2021</v>
      </c>
      <c r="C406" s="180" t="s">
        <v>145</v>
      </c>
      <c r="D406" s="189">
        <f>'Published Ratio Reconciliation'!D480</f>
        <v>0.86</v>
      </c>
      <c r="E406" s="189">
        <f>'27 Calculations'!H556</f>
        <v>0.14618299383526975</v>
      </c>
      <c r="F406" s="189">
        <f>'Published Ratio Reconciliation'!F480</f>
        <v>0.85986472874261866</v>
      </c>
      <c r="G406" s="180" t="str">
        <f t="shared" si="6"/>
        <v>Numeric reproduction</v>
      </c>
      <c r="H406" s="183" t="s">
        <v>183</v>
      </c>
      <c r="I406" s="183" t="s">
        <v>9140</v>
      </c>
      <c r="J406" s="183" t="s">
        <v>182</v>
      </c>
      <c r="K406" s="183" t="s">
        <v>22</v>
      </c>
      <c r="L406" s="180">
        <v>2</v>
      </c>
      <c r="M406" s="180">
        <v>480</v>
      </c>
    </row>
    <row r="407" spans="1:13" ht="120" customHeight="1" x14ac:dyDescent="0.3">
      <c r="A407" s="177" t="s">
        <v>114</v>
      </c>
      <c r="B407" s="177">
        <v>2022</v>
      </c>
      <c r="C407" s="177" t="s">
        <v>145</v>
      </c>
      <c r="D407" s="190">
        <f>'Published Ratio Reconciliation'!D481</f>
        <v>0.23</v>
      </c>
      <c r="E407" s="190">
        <f>'27 Calculations'!H557</f>
        <v>8.632203736853207E-2</v>
      </c>
      <c r="F407" s="190">
        <f>'Published Ratio Reconciliation'!F481</f>
        <v>0.23014051773694894</v>
      </c>
      <c r="G407" s="177" t="str">
        <f t="shared" si="6"/>
        <v>Numeric reproduction</v>
      </c>
      <c r="H407" s="184" t="s">
        <v>183</v>
      </c>
      <c r="I407" s="184" t="s">
        <v>9140</v>
      </c>
      <c r="J407" s="184" t="s">
        <v>182</v>
      </c>
      <c r="K407" s="184" t="s">
        <v>22</v>
      </c>
      <c r="L407" s="177">
        <v>2</v>
      </c>
      <c r="M407" s="177">
        <v>481</v>
      </c>
    </row>
    <row r="408" spans="1:13" ht="120" customHeight="1" x14ac:dyDescent="0.3">
      <c r="A408" s="180" t="s">
        <v>114</v>
      </c>
      <c r="B408" s="180">
        <v>2023</v>
      </c>
      <c r="C408" s="180" t="s">
        <v>145</v>
      </c>
      <c r="D408" s="189">
        <f>'Published Ratio Reconciliation'!D482</f>
        <v>0.04</v>
      </c>
      <c r="E408" s="189">
        <f>'27 Calculations'!H558</f>
        <v>3.0925035424233385E-2</v>
      </c>
      <c r="F408" s="189">
        <f>'Published Ratio Reconciliation'!F482</f>
        <v>4.2842812939511914E-2</v>
      </c>
      <c r="G408" s="180" t="str">
        <f t="shared" si="6"/>
        <v>Numeric reproduction</v>
      </c>
      <c r="H408" s="183" t="s">
        <v>183</v>
      </c>
      <c r="I408" s="183" t="s">
        <v>9140</v>
      </c>
      <c r="J408" s="183" t="s">
        <v>182</v>
      </c>
      <c r="K408" s="183" t="s">
        <v>22</v>
      </c>
      <c r="L408" s="180">
        <v>2</v>
      </c>
      <c r="M408" s="180">
        <v>482</v>
      </c>
    </row>
    <row r="409" spans="1:13" ht="120" customHeight="1" x14ac:dyDescent="0.3">
      <c r="A409" s="177" t="s">
        <v>114</v>
      </c>
      <c r="B409" s="177">
        <v>2024</v>
      </c>
      <c r="C409" s="177" t="s">
        <v>145</v>
      </c>
      <c r="D409" s="190">
        <f>'Published Ratio Reconciliation'!D483</f>
        <v>0.12</v>
      </c>
      <c r="E409" s="190">
        <f>'27 Calculations'!H559</f>
        <v>0.10599048957533475</v>
      </c>
      <c r="F409" s="190">
        <f>'Published Ratio Reconciliation'!F483</f>
        <v>0.11847864025590918</v>
      </c>
      <c r="G409" s="177" t="str">
        <f t="shared" si="6"/>
        <v>Numeric reproduction</v>
      </c>
      <c r="H409" s="184" t="s">
        <v>183</v>
      </c>
      <c r="I409" s="184" t="s">
        <v>9140</v>
      </c>
      <c r="J409" s="184" t="s">
        <v>182</v>
      </c>
      <c r="K409" s="184" t="s">
        <v>22</v>
      </c>
      <c r="L409" s="177">
        <v>2</v>
      </c>
      <c r="M409" s="177">
        <v>483</v>
      </c>
    </row>
    <row r="410" spans="1:13" ht="120" customHeight="1" x14ac:dyDescent="0.3">
      <c r="A410" s="180" t="s">
        <v>114</v>
      </c>
      <c r="B410" s="180">
        <v>2025</v>
      </c>
      <c r="C410" s="180" t="s">
        <v>145</v>
      </c>
      <c r="D410" s="189">
        <f>'Published Ratio Reconciliation'!D484</f>
        <v>0.39</v>
      </c>
      <c r="E410" s="189">
        <f>'27 Calculations'!H560</f>
        <v>8.4205246923402408E-2</v>
      </c>
      <c r="F410" s="189">
        <f>'Published Ratio Reconciliation'!F484</f>
        <v>0.38761123338502496</v>
      </c>
      <c r="G410" s="180" t="str">
        <f t="shared" si="6"/>
        <v>Numeric reproduction</v>
      </c>
      <c r="H410" s="183" t="s">
        <v>183</v>
      </c>
      <c r="I410" s="183" t="s">
        <v>9140</v>
      </c>
      <c r="J410" s="183" t="s">
        <v>182</v>
      </c>
      <c r="K410" s="183" t="s">
        <v>22</v>
      </c>
      <c r="L410" s="180">
        <v>2</v>
      </c>
      <c r="M410" s="180">
        <v>484</v>
      </c>
    </row>
    <row r="411" spans="1:13" ht="120" customHeight="1" x14ac:dyDescent="0.3">
      <c r="A411" s="177" t="s">
        <v>114</v>
      </c>
      <c r="B411" s="177">
        <v>2021</v>
      </c>
      <c r="C411" s="177" t="s">
        <v>134</v>
      </c>
      <c r="D411" s="190">
        <f>'Published Ratio Reconciliation'!D485</f>
        <v>24</v>
      </c>
      <c r="E411" s="190">
        <f>'27 Calculations'!H576</f>
        <v>101.57512558439446</v>
      </c>
      <c r="F411" s="190">
        <f>'Published Ratio Reconciliation'!F485</f>
        <v>23.825794150343164</v>
      </c>
      <c r="G411" s="177" t="str">
        <f t="shared" si="6"/>
        <v>Numeric reproduction</v>
      </c>
      <c r="H411" s="184" t="s">
        <v>109</v>
      </c>
      <c r="I411" s="184" t="s">
        <v>9140</v>
      </c>
      <c r="J411" s="184" t="s">
        <v>182</v>
      </c>
      <c r="K411" s="184" t="s">
        <v>22</v>
      </c>
      <c r="L411" s="177">
        <v>0</v>
      </c>
      <c r="M411" s="177">
        <v>485</v>
      </c>
    </row>
    <row r="412" spans="1:13" ht="120" customHeight="1" x14ac:dyDescent="0.3">
      <c r="A412" s="180" t="s">
        <v>114</v>
      </c>
      <c r="B412" s="180">
        <v>2022</v>
      </c>
      <c r="C412" s="180" t="s">
        <v>134</v>
      </c>
      <c r="D412" s="189">
        <f>'Published Ratio Reconciliation'!D486</f>
        <v>22</v>
      </c>
      <c r="E412" s="189">
        <f>'27 Calculations'!H577</f>
        <v>99.189403784088</v>
      </c>
      <c r="F412" s="189">
        <f>'Published Ratio Reconciliation'!F486</f>
        <v>22.383948717708034</v>
      </c>
      <c r="G412" s="180" t="str">
        <f t="shared" si="6"/>
        <v>Numeric reproduction</v>
      </c>
      <c r="H412" s="183" t="s">
        <v>184</v>
      </c>
      <c r="I412" s="183" t="s">
        <v>9140</v>
      </c>
      <c r="J412" s="183" t="s">
        <v>182</v>
      </c>
      <c r="K412" s="183" t="s">
        <v>185</v>
      </c>
      <c r="L412" s="180">
        <v>0</v>
      </c>
      <c r="M412" s="180">
        <v>486</v>
      </c>
    </row>
    <row r="413" spans="1:13" ht="120" customHeight="1" x14ac:dyDescent="0.3">
      <c r="A413" s="177" t="s">
        <v>114</v>
      </c>
      <c r="B413" s="177">
        <v>2023</v>
      </c>
      <c r="C413" s="177" t="s">
        <v>134</v>
      </c>
      <c r="D413" s="190">
        <f>'Published Ratio Reconciliation'!D487</f>
        <v>41</v>
      </c>
      <c r="E413" s="190">
        <f>'27 Calculations'!H578</f>
        <v>117.81056267061489</v>
      </c>
      <c r="F413" s="190">
        <f>'Published Ratio Reconciliation'!F487</f>
        <v>41.401894351888124</v>
      </c>
      <c r="G413" s="177" t="str">
        <f t="shared" si="6"/>
        <v>Numeric reproduction</v>
      </c>
      <c r="H413" s="184" t="s">
        <v>109</v>
      </c>
      <c r="I413" s="184" t="s">
        <v>9140</v>
      </c>
      <c r="J413" s="184" t="s">
        <v>182</v>
      </c>
      <c r="K413" s="184" t="s">
        <v>22</v>
      </c>
      <c r="L413" s="177">
        <v>0</v>
      </c>
      <c r="M413" s="177">
        <v>487</v>
      </c>
    </row>
    <row r="414" spans="1:13" ht="120" customHeight="1" x14ac:dyDescent="0.3">
      <c r="A414" s="180" t="s">
        <v>114</v>
      </c>
      <c r="B414" s="180">
        <v>2024</v>
      </c>
      <c r="C414" s="180" t="s">
        <v>134</v>
      </c>
      <c r="D414" s="189">
        <f>'Published Ratio Reconciliation'!D488</f>
        <v>49</v>
      </c>
      <c r="E414" s="189">
        <f>'27 Calculations'!H579</f>
        <v>106.51412548353994</v>
      </c>
      <c r="F414" s="189">
        <f>'Published Ratio Reconciliation'!F488</f>
        <v>49.055581292993985</v>
      </c>
      <c r="G414" s="180" t="str">
        <f t="shared" si="6"/>
        <v>Numeric reproduction</v>
      </c>
      <c r="H414" s="183" t="s">
        <v>109</v>
      </c>
      <c r="I414" s="183" t="s">
        <v>9140</v>
      </c>
      <c r="J414" s="183" t="s">
        <v>182</v>
      </c>
      <c r="K414" s="183" t="s">
        <v>22</v>
      </c>
      <c r="L414" s="180">
        <v>0</v>
      </c>
      <c r="M414" s="180">
        <v>488</v>
      </c>
    </row>
    <row r="415" spans="1:13" ht="120" customHeight="1" x14ac:dyDescent="0.3">
      <c r="A415" s="177" t="s">
        <v>114</v>
      </c>
      <c r="B415" s="177">
        <v>2025</v>
      </c>
      <c r="C415" s="177" t="s">
        <v>134</v>
      </c>
      <c r="D415" s="190">
        <f>'Published Ratio Reconciliation'!D489</f>
        <v>54</v>
      </c>
      <c r="E415" s="190">
        <f>'27 Calculations'!H580</f>
        <v>115.47406099903009</v>
      </c>
      <c r="F415" s="190">
        <f>'Published Ratio Reconciliation'!F489</f>
        <v>53.534589923516222</v>
      </c>
      <c r="G415" s="177" t="str">
        <f t="shared" si="6"/>
        <v>Numeric reproduction</v>
      </c>
      <c r="H415" s="184" t="s">
        <v>109</v>
      </c>
      <c r="I415" s="184" t="s">
        <v>9140</v>
      </c>
      <c r="J415" s="184" t="s">
        <v>182</v>
      </c>
      <c r="K415" s="184" t="s">
        <v>22</v>
      </c>
      <c r="L415" s="177">
        <v>0</v>
      </c>
      <c r="M415" s="177">
        <v>489</v>
      </c>
    </row>
    <row r="416" spans="1:13" ht="120" customHeight="1" x14ac:dyDescent="0.3">
      <c r="A416" s="180" t="s">
        <v>114</v>
      </c>
      <c r="B416" s="180">
        <v>2021</v>
      </c>
      <c r="C416" s="180" t="s">
        <v>187</v>
      </c>
      <c r="D416" s="189">
        <f>'Published Ratio Reconciliation'!D490</f>
        <v>19</v>
      </c>
      <c r="E416" s="189">
        <f>'27 Calculations'!H581</f>
        <v>18.799738044359827</v>
      </c>
      <c r="F416" s="189">
        <f>'Published Ratio Reconciliation'!F490</f>
        <v>18.799738044359827</v>
      </c>
      <c r="G416" s="180" t="str">
        <f t="shared" si="6"/>
        <v>Numeric reproduction</v>
      </c>
      <c r="H416" s="183" t="s">
        <v>72</v>
      </c>
      <c r="I416" s="183" t="s">
        <v>9140</v>
      </c>
      <c r="J416" s="183" t="s">
        <v>182</v>
      </c>
      <c r="K416" s="183" t="s">
        <v>188</v>
      </c>
      <c r="L416" s="180">
        <v>0</v>
      </c>
      <c r="M416" s="180">
        <v>490</v>
      </c>
    </row>
    <row r="417" spans="1:13" ht="120" customHeight="1" x14ac:dyDescent="0.3">
      <c r="A417" s="177" t="s">
        <v>114</v>
      </c>
      <c r="B417" s="177">
        <v>2022</v>
      </c>
      <c r="C417" s="177" t="s">
        <v>187</v>
      </c>
      <c r="D417" s="190">
        <f>'Published Ratio Reconciliation'!D491</f>
        <v>13</v>
      </c>
      <c r="E417" s="190">
        <f>'27 Calculations'!H582</f>
        <v>12.994834386179642</v>
      </c>
      <c r="F417" s="190">
        <f>'Published Ratio Reconciliation'!F491</f>
        <v>12.994834386179642</v>
      </c>
      <c r="G417" s="177" t="str">
        <f t="shared" si="6"/>
        <v>Numeric reproduction</v>
      </c>
      <c r="H417" s="184" t="s">
        <v>72</v>
      </c>
      <c r="I417" s="184" t="s">
        <v>9140</v>
      </c>
      <c r="J417" s="184" t="s">
        <v>182</v>
      </c>
      <c r="K417" s="184" t="s">
        <v>188</v>
      </c>
      <c r="L417" s="177">
        <v>0</v>
      </c>
      <c r="M417" s="177">
        <v>491</v>
      </c>
    </row>
    <row r="418" spans="1:13" ht="120" customHeight="1" x14ac:dyDescent="0.3">
      <c r="A418" s="180" t="s">
        <v>114</v>
      </c>
      <c r="B418" s="180">
        <v>2023</v>
      </c>
      <c r="C418" s="180" t="s">
        <v>187</v>
      </c>
      <c r="D418" s="189">
        <f>'Published Ratio Reconciliation'!D492</f>
        <v>18</v>
      </c>
      <c r="E418" s="189">
        <f>'27 Calculations'!H583</f>
        <v>16.046879229606091</v>
      </c>
      <c r="F418" s="189">
        <f>'Forensic Tests'!I510</f>
        <v>19.173699966454762</v>
      </c>
      <c r="G418" s="180" t="str">
        <f t="shared" si="6"/>
        <v>Not reproduced</v>
      </c>
      <c r="H418" s="183" t="s">
        <v>5969</v>
      </c>
      <c r="I418" s="183" t="s">
        <v>5707</v>
      </c>
      <c r="J418" s="183" t="s">
        <v>182</v>
      </c>
      <c r="K418" s="183" t="s">
        <v>5971</v>
      </c>
      <c r="L418" s="180">
        <v>0</v>
      </c>
      <c r="M418" s="180">
        <v>492</v>
      </c>
    </row>
    <row r="419" spans="1:13" ht="120" customHeight="1" x14ac:dyDescent="0.3">
      <c r="A419" s="177" t="s">
        <v>114</v>
      </c>
      <c r="B419" s="177">
        <v>2024</v>
      </c>
      <c r="C419" s="177" t="s">
        <v>187</v>
      </c>
      <c r="D419" s="190">
        <f>'Published Ratio Reconciliation'!D493</f>
        <v>26</v>
      </c>
      <c r="E419" s="190">
        <f>'27 Calculations'!H584</f>
        <v>20.792904753499183</v>
      </c>
      <c r="F419" s="190">
        <f>'Forensic Tests'!I527</f>
        <v>25.306835411681167</v>
      </c>
      <c r="G419" s="177" t="str">
        <f t="shared" si="6"/>
        <v>Not reproduced</v>
      </c>
      <c r="H419" s="184" t="s">
        <v>5969</v>
      </c>
      <c r="I419" s="184" t="s">
        <v>5707</v>
      </c>
      <c r="J419" s="184" t="s">
        <v>182</v>
      </c>
      <c r="K419" s="184" t="s">
        <v>5971</v>
      </c>
      <c r="L419" s="177">
        <v>0</v>
      </c>
      <c r="M419" s="177">
        <v>493</v>
      </c>
    </row>
    <row r="420" spans="1:13" ht="120" customHeight="1" x14ac:dyDescent="0.3">
      <c r="A420" s="180" t="s">
        <v>114</v>
      </c>
      <c r="B420" s="180">
        <v>2025</v>
      </c>
      <c r="C420" s="180" t="s">
        <v>187</v>
      </c>
      <c r="D420" s="189">
        <f>'Published Ratio Reconciliation'!D494</f>
        <v>23</v>
      </c>
      <c r="E420" s="189">
        <f>'27 Calculations'!H585</f>
        <v>25.555492212987932</v>
      </c>
      <c r="F420" s="189">
        <f>'Forensic Tests'!I544</f>
        <v>28.371563347354002</v>
      </c>
      <c r="G420" s="180" t="str">
        <f t="shared" si="6"/>
        <v>Not reproduced</v>
      </c>
      <c r="H420" s="183" t="s">
        <v>5969</v>
      </c>
      <c r="I420" s="183" t="s">
        <v>5707</v>
      </c>
      <c r="J420" s="183" t="s">
        <v>182</v>
      </c>
      <c r="K420" s="183" t="s">
        <v>5971</v>
      </c>
      <c r="L420" s="180">
        <v>0</v>
      </c>
      <c r="M420" s="180">
        <v>494</v>
      </c>
    </row>
    <row r="421" spans="1:13" ht="120" customHeight="1" x14ac:dyDescent="0.3">
      <c r="A421" s="177" t="s">
        <v>114</v>
      </c>
      <c r="B421" s="177">
        <v>2021</v>
      </c>
      <c r="C421" s="177" t="s">
        <v>196</v>
      </c>
      <c r="D421" s="190">
        <f>'Published Ratio Reconciliation'!D505</f>
        <v>0.71</v>
      </c>
      <c r="E421" s="190">
        <f>'27 Calculations'!H591</f>
        <v>0.71276636764269574</v>
      </c>
      <c r="F421" s="190">
        <f>'Published Ratio Reconciliation'!F505</f>
        <v>0.71276636764269574</v>
      </c>
      <c r="G421" s="177" t="str">
        <f t="shared" si="6"/>
        <v>Numeric reproduction</v>
      </c>
      <c r="H421" s="184" t="s">
        <v>46</v>
      </c>
      <c r="I421" s="184" t="s">
        <v>9140</v>
      </c>
      <c r="J421" s="184" t="s">
        <v>182</v>
      </c>
      <c r="K421" s="184" t="s">
        <v>197</v>
      </c>
      <c r="L421" s="177">
        <v>2</v>
      </c>
      <c r="M421" s="177">
        <v>505</v>
      </c>
    </row>
    <row r="422" spans="1:13" ht="120" customHeight="1" x14ac:dyDescent="0.3">
      <c r="A422" s="180" t="s">
        <v>114</v>
      </c>
      <c r="B422" s="180">
        <v>2022</v>
      </c>
      <c r="C422" s="180" t="s">
        <v>196</v>
      </c>
      <c r="D422" s="189">
        <f>'Published Ratio Reconciliation'!D506</f>
        <v>0.08</v>
      </c>
      <c r="E422" s="189">
        <f>'27 Calculations'!H592</f>
        <v>0.4770803467502796</v>
      </c>
      <c r="F422" s="189">
        <f>'Forensic Tests'!I793</f>
        <v>0.4770803467502796</v>
      </c>
      <c r="G422" s="180" t="str">
        <f t="shared" si="6"/>
        <v>Not reproduced</v>
      </c>
      <c r="H422" s="183" t="s">
        <v>6009</v>
      </c>
      <c r="I422" s="183" t="s">
        <v>5702</v>
      </c>
      <c r="J422" s="183" t="s">
        <v>182</v>
      </c>
      <c r="K422" s="183" t="s">
        <v>6011</v>
      </c>
      <c r="L422" s="180">
        <v>2</v>
      </c>
      <c r="M422" s="180">
        <v>506</v>
      </c>
    </row>
    <row r="423" spans="1:13" ht="120" customHeight="1" x14ac:dyDescent="0.3">
      <c r="A423" s="177" t="s">
        <v>114</v>
      </c>
      <c r="B423" s="177">
        <v>2023</v>
      </c>
      <c r="C423" s="177" t="s">
        <v>196</v>
      </c>
      <c r="D423" s="190">
        <f>'Published Ratio Reconciliation'!D507</f>
        <v>7.0000000000000007E-2</v>
      </c>
      <c r="E423" s="190">
        <f>'27 Calculations'!H593</f>
        <v>0.49031202866080159</v>
      </c>
      <c r="F423" s="190">
        <f>'Forensic Tests'!I849</f>
        <v>0.49031202866080159</v>
      </c>
      <c r="G423" s="177" t="str">
        <f t="shared" si="6"/>
        <v>Not reproduced</v>
      </c>
      <c r="H423" s="184" t="s">
        <v>6009</v>
      </c>
      <c r="I423" s="184" t="s">
        <v>5702</v>
      </c>
      <c r="J423" s="184" t="s">
        <v>182</v>
      </c>
      <c r="K423" s="184" t="s">
        <v>6011</v>
      </c>
      <c r="L423" s="177">
        <v>2</v>
      </c>
      <c r="M423" s="177">
        <v>507</v>
      </c>
    </row>
    <row r="424" spans="1:13" ht="120" customHeight="1" x14ac:dyDescent="0.3">
      <c r="A424" s="180" t="s">
        <v>114</v>
      </c>
      <c r="B424" s="180">
        <v>2024</v>
      </c>
      <c r="C424" s="180" t="s">
        <v>196</v>
      </c>
      <c r="D424" s="189">
        <f>'Published Ratio Reconciliation'!D508</f>
        <v>7.0000000000000007E-2</v>
      </c>
      <c r="E424" s="189">
        <f>'27 Calculations'!H594</f>
        <v>0.54204979765850125</v>
      </c>
      <c r="F424" s="189">
        <f>'Forensic Tests'!I905</f>
        <v>0.54204979765850125</v>
      </c>
      <c r="G424" s="180" t="str">
        <f t="shared" si="6"/>
        <v>Not reproduced</v>
      </c>
      <c r="H424" s="183" t="s">
        <v>6009</v>
      </c>
      <c r="I424" s="183" t="s">
        <v>5702</v>
      </c>
      <c r="J424" s="183" t="s">
        <v>182</v>
      </c>
      <c r="K424" s="183" t="s">
        <v>6011</v>
      </c>
      <c r="L424" s="180">
        <v>2</v>
      </c>
      <c r="M424" s="180">
        <v>508</v>
      </c>
    </row>
    <row r="425" spans="1:13" ht="120" customHeight="1" x14ac:dyDescent="0.3">
      <c r="A425" s="177" t="s">
        <v>114</v>
      </c>
      <c r="B425" s="177">
        <v>2025</v>
      </c>
      <c r="C425" s="177" t="s">
        <v>196</v>
      </c>
      <c r="D425" s="190">
        <f>'Published Ratio Reconciliation'!D509</f>
        <v>0.08</v>
      </c>
      <c r="E425" s="190">
        <f>'27 Calculations'!H595</f>
        <v>0.55305556508680442</v>
      </c>
      <c r="F425" s="190">
        <f>'Forensic Tests'!I961</f>
        <v>0.55305556508680442</v>
      </c>
      <c r="G425" s="177" t="str">
        <f t="shared" si="6"/>
        <v>Not reproduced</v>
      </c>
      <c r="H425" s="184" t="s">
        <v>6009</v>
      </c>
      <c r="I425" s="184" t="s">
        <v>5702</v>
      </c>
      <c r="J425" s="184" t="s">
        <v>182</v>
      </c>
      <c r="K425" s="184" t="s">
        <v>6011</v>
      </c>
      <c r="L425" s="177">
        <v>2</v>
      </c>
      <c r="M425" s="177">
        <v>509</v>
      </c>
    </row>
    <row r="426" spans="1:13" ht="120" customHeight="1" x14ac:dyDescent="0.3">
      <c r="A426" s="180" t="s">
        <v>114</v>
      </c>
      <c r="B426" s="180">
        <v>2021</v>
      </c>
      <c r="C426" s="180" t="s">
        <v>199</v>
      </c>
      <c r="D426" s="189">
        <f>'Published Ratio Reconciliation'!D510</f>
        <v>1.1299999999999999</v>
      </c>
      <c r="E426" s="189">
        <f>'27 Calculations'!H586</f>
        <v>1.1329960510619466</v>
      </c>
      <c r="F426" s="189">
        <f>'Published Ratio Reconciliation'!F510</f>
        <v>1.1329960510619466</v>
      </c>
      <c r="G426" s="180" t="str">
        <f t="shared" si="6"/>
        <v>Numeric reproduction</v>
      </c>
      <c r="H426" s="183" t="s">
        <v>113</v>
      </c>
      <c r="I426" s="183" t="s">
        <v>9140</v>
      </c>
      <c r="J426" s="183" t="s">
        <v>182</v>
      </c>
      <c r="K426" s="183" t="s">
        <v>197</v>
      </c>
      <c r="L426" s="180">
        <v>2</v>
      </c>
      <c r="M426" s="180">
        <v>510</v>
      </c>
    </row>
    <row r="427" spans="1:13" ht="120" customHeight="1" x14ac:dyDescent="0.3">
      <c r="A427" s="177" t="s">
        <v>114</v>
      </c>
      <c r="B427" s="177">
        <v>2022</v>
      </c>
      <c r="C427" s="177" t="s">
        <v>199</v>
      </c>
      <c r="D427" s="190">
        <f>'Published Ratio Reconciliation'!D511</f>
        <v>0.16</v>
      </c>
      <c r="E427" s="190">
        <f>'27 Calculations'!H587</f>
        <v>0.73176601318978285</v>
      </c>
      <c r="F427" s="190">
        <f>'Forensic Tests'!I1019</f>
        <v>0.73176601318978285</v>
      </c>
      <c r="G427" s="177" t="str">
        <f t="shared" si="6"/>
        <v>Not reproduced</v>
      </c>
      <c r="H427" s="184" t="s">
        <v>6025</v>
      </c>
      <c r="I427" s="184" t="s">
        <v>5702</v>
      </c>
      <c r="J427" s="184" t="s">
        <v>182</v>
      </c>
      <c r="K427" s="184" t="s">
        <v>6011</v>
      </c>
      <c r="L427" s="177">
        <v>2</v>
      </c>
      <c r="M427" s="177">
        <v>511</v>
      </c>
    </row>
    <row r="428" spans="1:13" ht="120" customHeight="1" x14ac:dyDescent="0.3">
      <c r="A428" s="180" t="s">
        <v>114</v>
      </c>
      <c r="B428" s="180">
        <v>2023</v>
      </c>
      <c r="C428" s="180" t="s">
        <v>199</v>
      </c>
      <c r="D428" s="189">
        <f>'Published Ratio Reconciliation'!D512</f>
        <v>0.11</v>
      </c>
      <c r="E428" s="189">
        <f>'27 Calculations'!H588</f>
        <v>0.65184739301529204</v>
      </c>
      <c r="F428" s="189">
        <f>'Forensic Tests'!I1075</f>
        <v>0.65184739301529204</v>
      </c>
      <c r="G428" s="180" t="str">
        <f t="shared" si="6"/>
        <v>Not reproduced</v>
      </c>
      <c r="H428" s="183" t="s">
        <v>6025</v>
      </c>
      <c r="I428" s="183" t="s">
        <v>5702</v>
      </c>
      <c r="J428" s="183" t="s">
        <v>182</v>
      </c>
      <c r="K428" s="183" t="s">
        <v>6011</v>
      </c>
      <c r="L428" s="180">
        <v>2</v>
      </c>
      <c r="M428" s="180">
        <v>512</v>
      </c>
    </row>
    <row r="429" spans="1:13" ht="120" customHeight="1" x14ac:dyDescent="0.3">
      <c r="A429" s="177" t="s">
        <v>114</v>
      </c>
      <c r="B429" s="177">
        <v>2024</v>
      </c>
      <c r="C429" s="177" t="s">
        <v>199</v>
      </c>
      <c r="D429" s="190">
        <f>'Published Ratio Reconciliation'!D513</f>
        <v>0.09</v>
      </c>
      <c r="E429" s="190">
        <f>'27 Calculations'!H589</f>
        <v>0.72196082222901214</v>
      </c>
      <c r="F429" s="190">
        <f>'Forensic Tests'!I1131</f>
        <v>0.72196082222901214</v>
      </c>
      <c r="G429" s="177" t="str">
        <f t="shared" si="6"/>
        <v>Not reproduced</v>
      </c>
      <c r="H429" s="184" t="s">
        <v>6025</v>
      </c>
      <c r="I429" s="184" t="s">
        <v>5702</v>
      </c>
      <c r="J429" s="184" t="s">
        <v>182</v>
      </c>
      <c r="K429" s="184" t="s">
        <v>6011</v>
      </c>
      <c r="L429" s="177">
        <v>2</v>
      </c>
      <c r="M429" s="177">
        <v>513</v>
      </c>
    </row>
    <row r="430" spans="1:13" ht="120" customHeight="1" x14ac:dyDescent="0.3">
      <c r="A430" s="180" t="s">
        <v>114</v>
      </c>
      <c r="B430" s="180">
        <v>2025</v>
      </c>
      <c r="C430" s="180" t="s">
        <v>199</v>
      </c>
      <c r="D430" s="189">
        <f>'Published Ratio Reconciliation'!D514</f>
        <v>0.12</v>
      </c>
      <c r="E430" s="189">
        <f>'27 Calculations'!H590</f>
        <v>0.81180021491144161</v>
      </c>
      <c r="F430" s="189">
        <f>'Forensic Tests'!I1187</f>
        <v>0.81180021491144161</v>
      </c>
      <c r="G430" s="180" t="str">
        <f t="shared" si="6"/>
        <v>Not reproduced</v>
      </c>
      <c r="H430" s="183" t="s">
        <v>6025</v>
      </c>
      <c r="I430" s="183" t="s">
        <v>5702</v>
      </c>
      <c r="J430" s="183" t="s">
        <v>182</v>
      </c>
      <c r="K430" s="183" t="s">
        <v>6011</v>
      </c>
      <c r="L430" s="180">
        <v>2</v>
      </c>
      <c r="M430" s="180">
        <v>514</v>
      </c>
    </row>
    <row r="431" spans="1:13" ht="120" customHeight="1" x14ac:dyDescent="0.3">
      <c r="A431" s="177" t="s">
        <v>114</v>
      </c>
      <c r="B431" s="177">
        <v>2021</v>
      </c>
      <c r="C431" s="177" t="s">
        <v>154</v>
      </c>
      <c r="D431" s="190">
        <f>'Published Ratio Reconciliation'!D515</f>
        <v>0.25</v>
      </c>
      <c r="E431" s="190">
        <f>'27 Calculations'!H616</f>
        <v>0.24985924725452316</v>
      </c>
      <c r="F431" s="190">
        <f>'Published Ratio Reconciliation'!F515</f>
        <v>0.24985924725452316</v>
      </c>
      <c r="G431" s="177" t="str">
        <f t="shared" si="6"/>
        <v>Numeric reproduction</v>
      </c>
      <c r="H431" s="184" t="s">
        <v>21</v>
      </c>
      <c r="I431" s="184" t="s">
        <v>9140</v>
      </c>
      <c r="J431" s="184" t="s">
        <v>182</v>
      </c>
      <c r="K431" s="184" t="s">
        <v>22</v>
      </c>
      <c r="L431" s="177">
        <v>2</v>
      </c>
      <c r="M431" s="177">
        <v>515</v>
      </c>
    </row>
    <row r="432" spans="1:13" ht="120" customHeight="1" x14ac:dyDescent="0.3">
      <c r="A432" s="180" t="s">
        <v>114</v>
      </c>
      <c r="B432" s="180">
        <v>2022</v>
      </c>
      <c r="C432" s="180" t="s">
        <v>154</v>
      </c>
      <c r="D432" s="189">
        <f>'Published Ratio Reconciliation'!D516</f>
        <v>0.28999999999999998</v>
      </c>
      <c r="E432" s="189">
        <f>'27 Calculations'!H617</f>
        <v>0.28507903988852556</v>
      </c>
      <c r="F432" s="189">
        <f>'Published Ratio Reconciliation'!F516</f>
        <v>0.28507903988852556</v>
      </c>
      <c r="G432" s="180" t="str">
        <f t="shared" si="6"/>
        <v>Numeric reproduction</v>
      </c>
      <c r="H432" s="183" t="s">
        <v>21</v>
      </c>
      <c r="I432" s="183" t="s">
        <v>9140</v>
      </c>
      <c r="J432" s="183" t="s">
        <v>182</v>
      </c>
      <c r="K432" s="183" t="s">
        <v>22</v>
      </c>
      <c r="L432" s="180">
        <v>2</v>
      </c>
      <c r="M432" s="180">
        <v>516</v>
      </c>
    </row>
    <row r="433" spans="1:13" ht="120" customHeight="1" x14ac:dyDescent="0.3">
      <c r="A433" s="177" t="s">
        <v>114</v>
      </c>
      <c r="B433" s="177">
        <v>2023</v>
      </c>
      <c r="C433" s="177" t="s">
        <v>154</v>
      </c>
      <c r="D433" s="190">
        <f>'Published Ratio Reconciliation'!D517</f>
        <v>0.3</v>
      </c>
      <c r="E433" s="190">
        <f>'27 Calculations'!H618</f>
        <v>0.29996604048210768</v>
      </c>
      <c r="F433" s="190">
        <f>'Published Ratio Reconciliation'!F517</f>
        <v>0.29996604048210768</v>
      </c>
      <c r="G433" s="177" t="str">
        <f t="shared" si="6"/>
        <v>Numeric reproduction</v>
      </c>
      <c r="H433" s="184" t="s">
        <v>21</v>
      </c>
      <c r="I433" s="184" t="s">
        <v>9140</v>
      </c>
      <c r="J433" s="184" t="s">
        <v>182</v>
      </c>
      <c r="K433" s="184" t="s">
        <v>22</v>
      </c>
      <c r="L433" s="177">
        <v>2</v>
      </c>
      <c r="M433" s="177">
        <v>517</v>
      </c>
    </row>
    <row r="434" spans="1:13" ht="120" customHeight="1" x14ac:dyDescent="0.3">
      <c r="A434" s="180" t="s">
        <v>114</v>
      </c>
      <c r="B434" s="180">
        <v>2024</v>
      </c>
      <c r="C434" s="180" t="s">
        <v>154</v>
      </c>
      <c r="D434" s="189">
        <f>'Published Ratio Reconciliation'!D518</f>
        <v>0.32</v>
      </c>
      <c r="E434" s="189">
        <f>'27 Calculations'!H619</f>
        <v>0.32089986350224731</v>
      </c>
      <c r="F434" s="189">
        <f>'Published Ratio Reconciliation'!F518</f>
        <v>0.32089986350224731</v>
      </c>
      <c r="G434" s="180" t="str">
        <f t="shared" si="6"/>
        <v>Numeric reproduction</v>
      </c>
      <c r="H434" s="183" t="s">
        <v>21</v>
      </c>
      <c r="I434" s="183" t="s">
        <v>9140</v>
      </c>
      <c r="J434" s="183" t="s">
        <v>182</v>
      </c>
      <c r="K434" s="183" t="s">
        <v>22</v>
      </c>
      <c r="L434" s="180">
        <v>2</v>
      </c>
      <c r="M434" s="180">
        <v>518</v>
      </c>
    </row>
    <row r="435" spans="1:13" ht="120" customHeight="1" x14ac:dyDescent="0.3">
      <c r="A435" s="177" t="s">
        <v>114</v>
      </c>
      <c r="B435" s="177">
        <v>2025</v>
      </c>
      <c r="C435" s="177" t="s">
        <v>154</v>
      </c>
      <c r="D435" s="190">
        <f>'Published Ratio Reconciliation'!D519</f>
        <v>0.35</v>
      </c>
      <c r="E435" s="190">
        <f>'27 Calculations'!H620</f>
        <v>0.35490842202929052</v>
      </c>
      <c r="F435" s="190">
        <f>'Published Ratio Reconciliation'!F519</f>
        <v>0.35490842202929052</v>
      </c>
      <c r="G435" s="177" t="str">
        <f t="shared" si="6"/>
        <v>Numeric reproduction</v>
      </c>
      <c r="H435" s="184" t="s">
        <v>21</v>
      </c>
      <c r="I435" s="184" t="s">
        <v>9140</v>
      </c>
      <c r="J435" s="184" t="s">
        <v>182</v>
      </c>
      <c r="K435" s="184" t="s">
        <v>22</v>
      </c>
      <c r="L435" s="177">
        <v>2</v>
      </c>
      <c r="M435" s="177">
        <v>519</v>
      </c>
    </row>
    <row r="436" spans="1:13" ht="120" customHeight="1" x14ac:dyDescent="0.3">
      <c r="A436" s="180" t="s">
        <v>114</v>
      </c>
      <c r="B436" s="180">
        <v>2021</v>
      </c>
      <c r="C436" s="180" t="s">
        <v>155</v>
      </c>
      <c r="D436" s="189">
        <f>'Published Ratio Reconciliation'!D520</f>
        <v>0.14000000000000001</v>
      </c>
      <c r="E436" s="189">
        <f>'27 Calculations'!H626</f>
        <v>0.14302295902338913</v>
      </c>
      <c r="F436" s="189">
        <f>'Published Ratio Reconciliation'!F520</f>
        <v>0.14302295902338913</v>
      </c>
      <c r="G436" s="180" t="str">
        <f t="shared" si="6"/>
        <v>Numeric reproduction</v>
      </c>
      <c r="H436" s="183" t="s">
        <v>21</v>
      </c>
      <c r="I436" s="183" t="s">
        <v>9140</v>
      </c>
      <c r="J436" s="183" t="s">
        <v>182</v>
      </c>
      <c r="K436" s="183" t="s">
        <v>22</v>
      </c>
      <c r="L436" s="180">
        <v>2</v>
      </c>
      <c r="M436" s="180">
        <v>520</v>
      </c>
    </row>
    <row r="437" spans="1:13" ht="120" customHeight="1" x14ac:dyDescent="0.3">
      <c r="A437" s="177" t="s">
        <v>114</v>
      </c>
      <c r="B437" s="177">
        <v>2022</v>
      </c>
      <c r="C437" s="177" t="s">
        <v>155</v>
      </c>
      <c r="D437" s="190">
        <f>'Published Ratio Reconciliation'!D521</f>
        <v>0.13</v>
      </c>
      <c r="E437" s="190">
        <f>'27 Calculations'!H627</f>
        <v>0.13112336204567002</v>
      </c>
      <c r="F437" s="190">
        <f>'Published Ratio Reconciliation'!F521</f>
        <v>0.13112336204567002</v>
      </c>
      <c r="G437" s="177" t="str">
        <f t="shared" si="6"/>
        <v>Numeric reproduction</v>
      </c>
      <c r="H437" s="184" t="s">
        <v>21</v>
      </c>
      <c r="I437" s="184" t="s">
        <v>9140</v>
      </c>
      <c r="J437" s="184" t="s">
        <v>182</v>
      </c>
      <c r="K437" s="184" t="s">
        <v>22</v>
      </c>
      <c r="L437" s="177">
        <v>2</v>
      </c>
      <c r="M437" s="177">
        <v>521</v>
      </c>
    </row>
    <row r="438" spans="1:13" ht="120" customHeight="1" x14ac:dyDescent="0.3">
      <c r="A438" s="180" t="s">
        <v>114</v>
      </c>
      <c r="B438" s="180">
        <v>2023</v>
      </c>
      <c r="C438" s="180" t="s">
        <v>155</v>
      </c>
      <c r="D438" s="189">
        <f>'Published Ratio Reconciliation'!D522</f>
        <v>0.11</v>
      </c>
      <c r="E438" s="189">
        <f>'27 Calculations'!H628</f>
        <v>0.10929571726641699</v>
      </c>
      <c r="F438" s="189">
        <f>'Published Ratio Reconciliation'!F522</f>
        <v>0.10929571726641699</v>
      </c>
      <c r="G438" s="180" t="str">
        <f t="shared" si="6"/>
        <v>Numeric reproduction</v>
      </c>
      <c r="H438" s="183" t="s">
        <v>21</v>
      </c>
      <c r="I438" s="183" t="s">
        <v>9140</v>
      </c>
      <c r="J438" s="183" t="s">
        <v>182</v>
      </c>
      <c r="K438" s="183" t="s">
        <v>22</v>
      </c>
      <c r="L438" s="180">
        <v>2</v>
      </c>
      <c r="M438" s="180">
        <v>522</v>
      </c>
    </row>
    <row r="439" spans="1:13" ht="120" customHeight="1" x14ac:dyDescent="0.3">
      <c r="A439" s="177" t="s">
        <v>114</v>
      </c>
      <c r="B439" s="177">
        <v>2024</v>
      </c>
      <c r="C439" s="177" t="s">
        <v>155</v>
      </c>
      <c r="D439" s="190">
        <f>'Published Ratio Reconciliation'!D523</f>
        <v>0.1</v>
      </c>
      <c r="E439" s="190">
        <f>'27 Calculations'!H629</f>
        <v>0.10275526425549537</v>
      </c>
      <c r="F439" s="190">
        <f>'Published Ratio Reconciliation'!F523</f>
        <v>0.10275526425549537</v>
      </c>
      <c r="G439" s="177" t="str">
        <f t="shared" si="6"/>
        <v>Numeric reproduction</v>
      </c>
      <c r="H439" s="184" t="s">
        <v>21</v>
      </c>
      <c r="I439" s="184" t="s">
        <v>9140</v>
      </c>
      <c r="J439" s="184" t="s">
        <v>182</v>
      </c>
      <c r="K439" s="184" t="s">
        <v>22</v>
      </c>
      <c r="L439" s="177">
        <v>2</v>
      </c>
      <c r="M439" s="177">
        <v>523</v>
      </c>
    </row>
    <row r="440" spans="1:13" ht="120" customHeight="1" x14ac:dyDescent="0.3">
      <c r="A440" s="180" t="s">
        <v>114</v>
      </c>
      <c r="B440" s="180">
        <v>2025</v>
      </c>
      <c r="C440" s="180" t="s">
        <v>155</v>
      </c>
      <c r="D440" s="189">
        <f>'Published Ratio Reconciliation'!D524</f>
        <v>0.15</v>
      </c>
      <c r="E440" s="189">
        <f>'27 Calculations'!H630</f>
        <v>0.14980611609777766</v>
      </c>
      <c r="F440" s="189">
        <f>'Published Ratio Reconciliation'!F524</f>
        <v>0.14980611609777766</v>
      </c>
      <c r="G440" s="180" t="str">
        <f t="shared" si="6"/>
        <v>Numeric reproduction</v>
      </c>
      <c r="H440" s="183" t="s">
        <v>21</v>
      </c>
      <c r="I440" s="183" t="s">
        <v>9140</v>
      </c>
      <c r="J440" s="183" t="s">
        <v>182</v>
      </c>
      <c r="K440" s="183" t="s">
        <v>22</v>
      </c>
      <c r="L440" s="180">
        <v>2</v>
      </c>
      <c r="M440" s="180">
        <v>524</v>
      </c>
    </row>
    <row r="441" spans="1:13" ht="120" customHeight="1" x14ac:dyDescent="0.3">
      <c r="A441" s="177" t="s">
        <v>114</v>
      </c>
      <c r="B441" s="177">
        <v>2021</v>
      </c>
      <c r="C441" s="177" t="s">
        <v>53</v>
      </c>
      <c r="D441" s="190">
        <f>'Published Ratio Reconciliation'!D525</f>
        <v>0.15</v>
      </c>
      <c r="E441" s="190">
        <f>'27 Calculations'!H636</f>
        <v>0.14914074872427949</v>
      </c>
      <c r="F441" s="190">
        <f>'Published Ratio Reconciliation'!F525</f>
        <v>0.14914074872427949</v>
      </c>
      <c r="G441" s="177" t="str">
        <f t="shared" si="6"/>
        <v>Numeric reproduction</v>
      </c>
      <c r="H441" s="184" t="s">
        <v>54</v>
      </c>
      <c r="I441" s="184" t="s">
        <v>9140</v>
      </c>
      <c r="J441" s="184" t="s">
        <v>182</v>
      </c>
      <c r="K441" s="184" t="s">
        <v>22</v>
      </c>
      <c r="L441" s="177">
        <v>2</v>
      </c>
      <c r="M441" s="177">
        <v>525</v>
      </c>
    </row>
    <row r="442" spans="1:13" ht="120" customHeight="1" x14ac:dyDescent="0.3">
      <c r="A442" s="180" t="s">
        <v>114</v>
      </c>
      <c r="B442" s="180">
        <v>2022</v>
      </c>
      <c r="C442" s="180" t="s">
        <v>53</v>
      </c>
      <c r="D442" s="189">
        <f>'Published Ratio Reconciliation'!D526</f>
        <v>0.12</v>
      </c>
      <c r="E442" s="189">
        <f>'27 Calculations'!H637</f>
        <v>0.12319061073378482</v>
      </c>
      <c r="F442" s="189">
        <f>'Published Ratio Reconciliation'!F526</f>
        <v>0.12319061073378482</v>
      </c>
      <c r="G442" s="180" t="str">
        <f t="shared" si="6"/>
        <v>Numeric reproduction</v>
      </c>
      <c r="H442" s="183" t="s">
        <v>54</v>
      </c>
      <c r="I442" s="183" t="s">
        <v>9140</v>
      </c>
      <c r="J442" s="183" t="s">
        <v>182</v>
      </c>
      <c r="K442" s="183" t="s">
        <v>22</v>
      </c>
      <c r="L442" s="180">
        <v>2</v>
      </c>
      <c r="M442" s="180">
        <v>526</v>
      </c>
    </row>
    <row r="443" spans="1:13" ht="120" customHeight="1" x14ac:dyDescent="0.3">
      <c r="A443" s="177" t="s">
        <v>114</v>
      </c>
      <c r="B443" s="177">
        <v>2023</v>
      </c>
      <c r="C443" s="177" t="s">
        <v>53</v>
      </c>
      <c r="D443" s="190">
        <f>'Published Ratio Reconciliation'!D527</f>
        <v>0.11</v>
      </c>
      <c r="E443" s="190">
        <f>'27 Calculations'!H638</f>
        <v>0.11414801492770245</v>
      </c>
      <c r="F443" s="190">
        <f>'Published Ratio Reconciliation'!F527</f>
        <v>0.11414801492770245</v>
      </c>
      <c r="G443" s="177" t="str">
        <f t="shared" si="6"/>
        <v>Numeric reproduction</v>
      </c>
      <c r="H443" s="184" t="s">
        <v>54</v>
      </c>
      <c r="I443" s="184" t="s">
        <v>9140</v>
      </c>
      <c r="J443" s="184" t="s">
        <v>182</v>
      </c>
      <c r="K443" s="184" t="s">
        <v>22</v>
      </c>
      <c r="L443" s="177">
        <v>2</v>
      </c>
      <c r="M443" s="177">
        <v>527</v>
      </c>
    </row>
    <row r="444" spans="1:13" ht="120" customHeight="1" x14ac:dyDescent="0.3">
      <c r="A444" s="180" t="s">
        <v>114</v>
      </c>
      <c r="B444" s="180">
        <v>2024</v>
      </c>
      <c r="C444" s="180" t="s">
        <v>53</v>
      </c>
      <c r="D444" s="189">
        <f>'Published Ratio Reconciliation'!D528</f>
        <v>0.11</v>
      </c>
      <c r="E444" s="189">
        <f>'27 Calculations'!H639</f>
        <v>0.1120333038446799</v>
      </c>
      <c r="F444" s="189">
        <f>'Published Ratio Reconciliation'!F528</f>
        <v>0.1120333038446799</v>
      </c>
      <c r="G444" s="180" t="str">
        <f t="shared" si="6"/>
        <v>Numeric reproduction</v>
      </c>
      <c r="H444" s="183" t="s">
        <v>54</v>
      </c>
      <c r="I444" s="183" t="s">
        <v>9140</v>
      </c>
      <c r="J444" s="183" t="s">
        <v>182</v>
      </c>
      <c r="K444" s="183" t="s">
        <v>22</v>
      </c>
      <c r="L444" s="180">
        <v>2</v>
      </c>
      <c r="M444" s="180">
        <v>528</v>
      </c>
    </row>
    <row r="445" spans="1:13" ht="120" customHeight="1" x14ac:dyDescent="0.3">
      <c r="A445" s="177" t="s">
        <v>114</v>
      </c>
      <c r="B445" s="177">
        <v>2025</v>
      </c>
      <c r="C445" s="177" t="s">
        <v>53</v>
      </c>
      <c r="D445" s="190">
        <f>'Published Ratio Reconciliation'!D529</f>
        <v>0.16</v>
      </c>
      <c r="E445" s="190">
        <f>'27 Calculations'!H640</f>
        <v>0.15813282120245373</v>
      </c>
      <c r="F445" s="190">
        <f>'Published Ratio Reconciliation'!F529</f>
        <v>0.15813282120245373</v>
      </c>
      <c r="G445" s="177" t="str">
        <f t="shared" si="6"/>
        <v>Numeric reproduction</v>
      </c>
      <c r="H445" s="184" t="s">
        <v>54</v>
      </c>
      <c r="I445" s="184" t="s">
        <v>9140</v>
      </c>
      <c r="J445" s="184" t="s">
        <v>182</v>
      </c>
      <c r="K445" s="184" t="s">
        <v>22</v>
      </c>
      <c r="L445" s="177">
        <v>2</v>
      </c>
      <c r="M445" s="177">
        <v>529</v>
      </c>
    </row>
    <row r="446" spans="1:13" ht="120" customHeight="1" x14ac:dyDescent="0.3">
      <c r="A446" s="180" t="s">
        <v>114</v>
      </c>
      <c r="B446" s="180">
        <v>2021</v>
      </c>
      <c r="C446" s="180" t="s">
        <v>162</v>
      </c>
      <c r="D446" s="189">
        <f>'Published Ratio Reconciliation'!D530</f>
        <v>1.36</v>
      </c>
      <c r="E446" s="189">
        <f>'27 Calculations'!H666</f>
        <v>1.3634728296339984</v>
      </c>
      <c r="F446" s="189">
        <f>'Published Ratio Reconciliation'!F530</f>
        <v>1.3633669235328985</v>
      </c>
      <c r="G446" s="180" t="str">
        <f t="shared" si="6"/>
        <v>Numeric reproduction</v>
      </c>
      <c r="H446" s="183" t="s">
        <v>59</v>
      </c>
      <c r="I446" s="183" t="s">
        <v>9140</v>
      </c>
      <c r="J446" s="183" t="s">
        <v>200</v>
      </c>
      <c r="K446" s="183" t="s">
        <v>22</v>
      </c>
      <c r="L446" s="180">
        <v>2</v>
      </c>
      <c r="M446" s="180">
        <v>530</v>
      </c>
    </row>
    <row r="447" spans="1:13" ht="120" customHeight="1" x14ac:dyDescent="0.3">
      <c r="A447" s="177" t="s">
        <v>114</v>
      </c>
      <c r="B447" s="177">
        <v>2022</v>
      </c>
      <c r="C447" s="177" t="s">
        <v>162</v>
      </c>
      <c r="D447" s="190">
        <f>'Published Ratio Reconciliation'!D531</f>
        <v>0.54</v>
      </c>
      <c r="E447" s="190">
        <f>'27 Calculations'!H667</f>
        <v>0.53510718726613404</v>
      </c>
      <c r="F447" s="190">
        <f>'Published Ratio Reconciliation'!F531</f>
        <v>0.53512084592145015</v>
      </c>
      <c r="G447" s="177" t="str">
        <f t="shared" si="6"/>
        <v>Numeric reproduction</v>
      </c>
      <c r="H447" s="184" t="s">
        <v>59</v>
      </c>
      <c r="I447" s="184" t="s">
        <v>9140</v>
      </c>
      <c r="J447" s="184" t="s">
        <v>200</v>
      </c>
      <c r="K447" s="184" t="s">
        <v>22</v>
      </c>
      <c r="L447" s="177">
        <v>2</v>
      </c>
      <c r="M447" s="177">
        <v>531</v>
      </c>
    </row>
    <row r="448" spans="1:13" ht="120" customHeight="1" x14ac:dyDescent="0.3">
      <c r="A448" s="180" t="s">
        <v>114</v>
      </c>
      <c r="B448" s="180">
        <v>2023</v>
      </c>
      <c r="C448" s="180" t="s">
        <v>162</v>
      </c>
      <c r="D448" s="189">
        <f>'Published Ratio Reconciliation'!D532</f>
        <v>0.44</v>
      </c>
      <c r="E448" s="189">
        <f>'27 Calculations'!H668</f>
        <v>0.44258015488186969</v>
      </c>
      <c r="F448" s="189">
        <f>'Published Ratio Reconciliation'!F532</f>
        <v>0.44260444109898378</v>
      </c>
      <c r="G448" s="180" t="str">
        <f t="shared" si="6"/>
        <v>Numeric reproduction</v>
      </c>
      <c r="H448" s="183" t="s">
        <v>59</v>
      </c>
      <c r="I448" s="183" t="s">
        <v>9140</v>
      </c>
      <c r="J448" s="183" t="s">
        <v>200</v>
      </c>
      <c r="K448" s="183" t="s">
        <v>22</v>
      </c>
      <c r="L448" s="180">
        <v>2</v>
      </c>
      <c r="M448" s="180">
        <v>532</v>
      </c>
    </row>
    <row r="449" spans="1:13" ht="120" customHeight="1" x14ac:dyDescent="0.3">
      <c r="A449" s="177" t="s">
        <v>114</v>
      </c>
      <c r="B449" s="177">
        <v>2024</v>
      </c>
      <c r="C449" s="177" t="s">
        <v>162</v>
      </c>
      <c r="D449" s="190">
        <f>'Published Ratio Reconciliation'!D533</f>
        <v>0.77</v>
      </c>
      <c r="E449" s="190">
        <f>'27 Calculations'!H669</f>
        <v>0.76560785651514207</v>
      </c>
      <c r="F449" s="190">
        <f>'Published Ratio Reconciliation'!F533</f>
        <v>0.76570855614973254</v>
      </c>
      <c r="G449" s="177" t="str">
        <f t="shared" si="6"/>
        <v>Numeric reproduction</v>
      </c>
      <c r="H449" s="184" t="s">
        <v>59</v>
      </c>
      <c r="I449" s="184" t="s">
        <v>9140</v>
      </c>
      <c r="J449" s="184" t="s">
        <v>200</v>
      </c>
      <c r="K449" s="184" t="s">
        <v>22</v>
      </c>
      <c r="L449" s="177">
        <v>2</v>
      </c>
      <c r="M449" s="177">
        <v>533</v>
      </c>
    </row>
    <row r="450" spans="1:13" ht="120" customHeight="1" x14ac:dyDescent="0.3">
      <c r="A450" s="180" t="s">
        <v>114</v>
      </c>
      <c r="B450" s="180">
        <v>2025</v>
      </c>
      <c r="C450" s="180" t="s">
        <v>162</v>
      </c>
      <c r="D450" s="189">
        <f>'Published Ratio Reconciliation'!D534</f>
        <v>1.3</v>
      </c>
      <c r="E450" s="189">
        <f>'27 Calculations'!H670</f>
        <v>1.3001759998029245</v>
      </c>
      <c r="F450" s="189">
        <f>'Published Ratio Reconciliation'!F534</f>
        <v>1.3000582072176952</v>
      </c>
      <c r="G450" s="180" t="str">
        <f t="shared" si="6"/>
        <v>Numeric reproduction</v>
      </c>
      <c r="H450" s="183" t="s">
        <v>59</v>
      </c>
      <c r="I450" s="183" t="s">
        <v>9140</v>
      </c>
      <c r="J450" s="183" t="s">
        <v>200</v>
      </c>
      <c r="K450" s="183" t="s">
        <v>22</v>
      </c>
      <c r="L450" s="180">
        <v>2</v>
      </c>
      <c r="M450" s="180">
        <v>534</v>
      </c>
    </row>
    <row r="451" spans="1:13" ht="120" customHeight="1" x14ac:dyDescent="0.3">
      <c r="A451" s="177" t="s">
        <v>106</v>
      </c>
      <c r="B451" s="177">
        <v>2021</v>
      </c>
      <c r="C451" s="177" t="s">
        <v>201</v>
      </c>
      <c r="D451" s="190">
        <f>'Published Ratio Reconciliation'!D535</f>
        <v>5473.9679999999998</v>
      </c>
      <c r="E451" s="190">
        <f>'27 Calculations'!H426</f>
        <v>5473.9680000000026</v>
      </c>
      <c r="F451" s="190">
        <f>'Published Ratio Reconciliation'!F535</f>
        <v>5473.9680000000026</v>
      </c>
      <c r="G451" s="177" t="str">
        <f t="shared" si="6"/>
        <v>Numeric reproduction</v>
      </c>
      <c r="H451" s="184" t="s">
        <v>202</v>
      </c>
      <c r="I451" s="184" t="s">
        <v>9140</v>
      </c>
      <c r="J451" s="184" t="s">
        <v>204</v>
      </c>
      <c r="K451" s="184" t="s">
        <v>203</v>
      </c>
      <c r="L451" s="177">
        <v>3</v>
      </c>
      <c r="M451" s="177">
        <v>535</v>
      </c>
    </row>
    <row r="452" spans="1:13" ht="120" customHeight="1" x14ac:dyDescent="0.3">
      <c r="A452" s="180" t="s">
        <v>106</v>
      </c>
      <c r="B452" s="180">
        <v>2022</v>
      </c>
      <c r="C452" s="180" t="s">
        <v>201</v>
      </c>
      <c r="D452" s="189">
        <f>'Published Ratio Reconciliation'!D536</f>
        <v>4128.598</v>
      </c>
      <c r="E452" s="189">
        <f>'27 Calculations'!H427</f>
        <v>4128.5980000000036</v>
      </c>
      <c r="F452" s="189">
        <f>'Published Ratio Reconciliation'!F536</f>
        <v>4128.5980000000036</v>
      </c>
      <c r="G452" s="180" t="str">
        <f t="shared" si="6"/>
        <v>Numeric reproduction</v>
      </c>
      <c r="H452" s="183" t="s">
        <v>202</v>
      </c>
      <c r="I452" s="183" t="s">
        <v>9140</v>
      </c>
      <c r="J452" s="183" t="s">
        <v>204</v>
      </c>
      <c r="K452" s="183" t="s">
        <v>203</v>
      </c>
      <c r="L452" s="180">
        <v>3</v>
      </c>
      <c r="M452" s="180">
        <v>536</v>
      </c>
    </row>
    <row r="453" spans="1:13" ht="120" customHeight="1" x14ac:dyDescent="0.3">
      <c r="A453" s="177" t="s">
        <v>106</v>
      </c>
      <c r="B453" s="177">
        <v>2023</v>
      </c>
      <c r="C453" s="177" t="s">
        <v>201</v>
      </c>
      <c r="D453" s="190">
        <f>'Published Ratio Reconciliation'!D537</f>
        <v>6024.6459999999997</v>
      </c>
      <c r="E453" s="190">
        <f>'27 Calculations'!H428</f>
        <v>6024.645999999997</v>
      </c>
      <c r="F453" s="190">
        <f>'Published Ratio Reconciliation'!F537</f>
        <v>6024.645999999997</v>
      </c>
      <c r="G453" s="177" t="str">
        <f t="shared" si="6"/>
        <v>Numeric reproduction</v>
      </c>
      <c r="H453" s="184" t="s">
        <v>202</v>
      </c>
      <c r="I453" s="184" t="s">
        <v>9140</v>
      </c>
      <c r="J453" s="184" t="s">
        <v>204</v>
      </c>
      <c r="K453" s="184" t="s">
        <v>203</v>
      </c>
      <c r="L453" s="177">
        <v>3</v>
      </c>
      <c r="M453" s="177">
        <v>537</v>
      </c>
    </row>
    <row r="454" spans="1:13" ht="120" customHeight="1" x14ac:dyDescent="0.3">
      <c r="A454" s="180" t="s">
        <v>106</v>
      </c>
      <c r="B454" s="180">
        <v>2024</v>
      </c>
      <c r="C454" s="180" t="s">
        <v>201</v>
      </c>
      <c r="D454" s="189">
        <f>'Published Ratio Reconciliation'!D538</f>
        <v>8270.0370000000003</v>
      </c>
      <c r="E454" s="189">
        <f>'27 Calculations'!H429</f>
        <v>8270.0370000000003</v>
      </c>
      <c r="F454" s="189">
        <f>'Published Ratio Reconciliation'!F538</f>
        <v>8270.0370000000003</v>
      </c>
      <c r="G454" s="180" t="str">
        <f t="shared" ref="G454:G460" si="7">IF(AND(ISNUMBER(D454),ISNUMBER(F454)),IF(ROUND(D454,L454)=ROUND(F454,L454),"Numeric reproduction","Not reproduced"),"Not comparable")</f>
        <v>Numeric reproduction</v>
      </c>
      <c r="H454" s="183" t="s">
        <v>202</v>
      </c>
      <c r="I454" s="183" t="s">
        <v>9140</v>
      </c>
      <c r="J454" s="183" t="s">
        <v>204</v>
      </c>
      <c r="K454" s="183" t="s">
        <v>203</v>
      </c>
      <c r="L454" s="180">
        <v>3</v>
      </c>
      <c r="M454" s="180">
        <v>538</v>
      </c>
    </row>
    <row r="455" spans="1:13" ht="120" customHeight="1" x14ac:dyDescent="0.3">
      <c r="A455" s="177" t="s">
        <v>106</v>
      </c>
      <c r="B455" s="177">
        <v>2025</v>
      </c>
      <c r="C455" s="177" t="s">
        <v>201</v>
      </c>
      <c r="D455" s="190">
        <f>'Published Ratio Reconciliation'!D539</f>
        <v>12422.112999999999</v>
      </c>
      <c r="E455" s="190">
        <f>'27 Calculations'!H430</f>
        <v>12422.112999999994</v>
      </c>
      <c r="F455" s="190">
        <f>'Published Ratio Reconciliation'!F539</f>
        <v>12422.112999999994</v>
      </c>
      <c r="G455" s="177" t="str">
        <f t="shared" si="7"/>
        <v>Numeric reproduction</v>
      </c>
      <c r="H455" s="184" t="s">
        <v>202</v>
      </c>
      <c r="I455" s="184" t="s">
        <v>9140</v>
      </c>
      <c r="J455" s="184" t="s">
        <v>204</v>
      </c>
      <c r="K455" s="184" t="s">
        <v>203</v>
      </c>
      <c r="L455" s="177">
        <v>3</v>
      </c>
      <c r="M455" s="177">
        <v>539</v>
      </c>
    </row>
    <row r="456" spans="1:13" ht="120" customHeight="1" x14ac:dyDescent="0.3">
      <c r="A456" s="180" t="s">
        <v>18</v>
      </c>
      <c r="B456" s="180">
        <v>2021</v>
      </c>
      <c r="C456" s="180" t="s">
        <v>104</v>
      </c>
      <c r="D456" s="189">
        <f>'Published Ratio Reconciliation'!D540</f>
        <v>0</v>
      </c>
      <c r="E456" s="189">
        <f>'27 Calculations'!H131</f>
        <v>0</v>
      </c>
      <c r="F456" s="189">
        <f>'Published Ratio Reconciliation'!F540</f>
        <v>0</v>
      </c>
      <c r="G456" s="180" t="str">
        <f t="shared" si="7"/>
        <v>Numeric reproduction</v>
      </c>
      <c r="H456" s="183" t="s">
        <v>206</v>
      </c>
      <c r="I456" s="183" t="s">
        <v>9140</v>
      </c>
      <c r="J456" s="183" t="s">
        <v>208</v>
      </c>
      <c r="K456" s="183" t="s">
        <v>207</v>
      </c>
      <c r="L456" s="180">
        <v>4</v>
      </c>
      <c r="M456" s="180">
        <v>540</v>
      </c>
    </row>
    <row r="457" spans="1:13" ht="120" customHeight="1" x14ac:dyDescent="0.3">
      <c r="A457" s="177" t="s">
        <v>18</v>
      </c>
      <c r="B457" s="177">
        <v>2022</v>
      </c>
      <c r="C457" s="177" t="s">
        <v>104</v>
      </c>
      <c r="D457" s="190">
        <f>'Published Ratio Reconciliation'!D541</f>
        <v>0</v>
      </c>
      <c r="E457" s="190">
        <f>'27 Calculations'!H132</f>
        <v>0</v>
      </c>
      <c r="F457" s="190">
        <f>'Published Ratio Reconciliation'!F541</f>
        <v>0</v>
      </c>
      <c r="G457" s="177" t="str">
        <f t="shared" si="7"/>
        <v>Numeric reproduction</v>
      </c>
      <c r="H457" s="184" t="s">
        <v>206</v>
      </c>
      <c r="I457" s="184" t="s">
        <v>9140</v>
      </c>
      <c r="J457" s="184" t="s">
        <v>208</v>
      </c>
      <c r="K457" s="184" t="s">
        <v>207</v>
      </c>
      <c r="L457" s="177">
        <v>4</v>
      </c>
      <c r="M457" s="177">
        <v>541</v>
      </c>
    </row>
    <row r="458" spans="1:13" ht="120" customHeight="1" x14ac:dyDescent="0.3">
      <c r="A458" s="180" t="s">
        <v>18</v>
      </c>
      <c r="B458" s="180">
        <v>2023</v>
      </c>
      <c r="C458" s="180" t="s">
        <v>104</v>
      </c>
      <c r="D458" s="189">
        <f>'Published Ratio Reconciliation'!D542</f>
        <v>0</v>
      </c>
      <c r="E458" s="189">
        <f>'27 Calculations'!H133</f>
        <v>0</v>
      </c>
      <c r="F458" s="189">
        <f>'Published Ratio Reconciliation'!F542</f>
        <v>0</v>
      </c>
      <c r="G458" s="180" t="str">
        <f t="shared" si="7"/>
        <v>Numeric reproduction</v>
      </c>
      <c r="H458" s="183" t="s">
        <v>206</v>
      </c>
      <c r="I458" s="183" t="s">
        <v>9140</v>
      </c>
      <c r="J458" s="183" t="s">
        <v>208</v>
      </c>
      <c r="K458" s="183" t="s">
        <v>207</v>
      </c>
      <c r="L458" s="180">
        <v>4</v>
      </c>
      <c r="M458" s="180">
        <v>542</v>
      </c>
    </row>
    <row r="459" spans="1:13" ht="120" customHeight="1" x14ac:dyDescent="0.3">
      <c r="A459" s="177" t="s">
        <v>18</v>
      </c>
      <c r="B459" s="177">
        <v>2024</v>
      </c>
      <c r="C459" s="177" t="s">
        <v>104</v>
      </c>
      <c r="D459" s="190">
        <f>'Published Ratio Reconciliation'!D543</f>
        <v>0</v>
      </c>
      <c r="E459" s="190">
        <f>'27 Calculations'!H134</f>
        <v>0</v>
      </c>
      <c r="F459" s="190">
        <f>'Published Ratio Reconciliation'!F543</f>
        <v>0</v>
      </c>
      <c r="G459" s="177" t="str">
        <f t="shared" si="7"/>
        <v>Numeric reproduction</v>
      </c>
      <c r="H459" s="184" t="s">
        <v>206</v>
      </c>
      <c r="I459" s="184" t="s">
        <v>9140</v>
      </c>
      <c r="J459" s="184" t="s">
        <v>208</v>
      </c>
      <c r="K459" s="184" t="s">
        <v>207</v>
      </c>
      <c r="L459" s="177">
        <v>4</v>
      </c>
      <c r="M459" s="177">
        <v>543</v>
      </c>
    </row>
    <row r="460" spans="1:13" ht="120" customHeight="1" x14ac:dyDescent="0.3">
      <c r="A460" s="180" t="s">
        <v>114</v>
      </c>
      <c r="B460" s="180">
        <v>2025</v>
      </c>
      <c r="C460" s="180" t="s">
        <v>210</v>
      </c>
      <c r="D460" s="189">
        <f>'Published Ratio Reconciliation'!D548</f>
        <v>8.2500000000000004E-2</v>
      </c>
      <c r="E460" s="189">
        <f>'27 Calculations'!H635</f>
        <v>8.2851106191915852E-2</v>
      </c>
      <c r="F460" s="189">
        <f>'Published Ratio Reconciliation'!F548</f>
        <v>8.2500000000000004E-2</v>
      </c>
      <c r="G460" s="180" t="str">
        <f t="shared" si="7"/>
        <v>Numeric reproduction</v>
      </c>
      <c r="H460" s="183" t="s">
        <v>211</v>
      </c>
      <c r="I460" s="183" t="s">
        <v>9140</v>
      </c>
      <c r="J460" s="183" t="s">
        <v>213</v>
      </c>
      <c r="K460" s="183" t="s">
        <v>212</v>
      </c>
      <c r="L460" s="180">
        <v>4</v>
      </c>
      <c r="M460" s="180">
        <v>548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427"/>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1" width="14" customWidth="1"/>
    <col min="2" max="2" width="12" customWidth="1"/>
    <col min="3" max="3" width="43" customWidth="1"/>
    <col min="4" max="4" width="15" customWidth="1"/>
    <col min="5" max="7" width="25" customWidth="1"/>
    <col min="8" max="8" width="24" customWidth="1"/>
    <col min="9" max="9" width="30" customWidth="1"/>
    <col min="10" max="10" width="12" customWidth="1"/>
    <col min="11" max="11" width="105" customWidth="1"/>
    <col min="12" max="12" width="100" customWidth="1"/>
  </cols>
  <sheetData>
    <row r="1" spans="1:12" ht="27" customHeight="1" x14ac:dyDescent="0.3">
      <c r="A1" s="177"/>
      <c r="B1" s="177"/>
      <c r="C1" s="177"/>
      <c r="D1" s="177"/>
      <c r="E1" s="177"/>
      <c r="F1" s="177"/>
      <c r="G1" s="177"/>
      <c r="H1" s="177"/>
      <c r="I1" s="177"/>
      <c r="J1" s="177"/>
      <c r="K1" s="177"/>
      <c r="L1" s="177"/>
    </row>
    <row r="2" spans="1:12" ht="27" customHeight="1" x14ac:dyDescent="0.3">
      <c r="A2" s="178" t="s">
        <v>9141</v>
      </c>
      <c r="B2" s="177"/>
      <c r="C2" s="177"/>
      <c r="D2" s="177"/>
      <c r="E2" s="177"/>
      <c r="F2" s="177"/>
      <c r="G2" s="177"/>
      <c r="H2" s="177"/>
      <c r="I2" s="177"/>
      <c r="J2" s="177"/>
      <c r="K2" s="177"/>
      <c r="L2" s="177"/>
    </row>
    <row r="3" spans="1:12" ht="27" customHeight="1" x14ac:dyDescent="0.3">
      <c r="A3" s="177" t="s">
        <v>9142</v>
      </c>
      <c r="B3" s="177"/>
      <c r="C3" s="177"/>
      <c r="D3" s="177"/>
      <c r="E3" s="177"/>
      <c r="F3" s="177"/>
      <c r="G3" s="177"/>
      <c r="H3" s="177"/>
      <c r="I3" s="177"/>
      <c r="J3" s="177"/>
      <c r="K3" s="177"/>
      <c r="L3" s="177"/>
    </row>
    <row r="4" spans="1:12" ht="27" customHeight="1" x14ac:dyDescent="0.3">
      <c r="A4" s="177"/>
      <c r="B4" s="177"/>
      <c r="C4" s="177"/>
      <c r="D4" s="177"/>
      <c r="E4" s="177"/>
      <c r="F4" s="177"/>
      <c r="G4" s="177"/>
      <c r="H4" s="177"/>
      <c r="I4" s="177"/>
      <c r="J4" s="177"/>
      <c r="K4" s="177"/>
      <c r="L4" s="177"/>
    </row>
    <row r="5" spans="1:12" ht="40.049999999999997" customHeight="1" x14ac:dyDescent="0.3">
      <c r="A5" s="179" t="s">
        <v>1</v>
      </c>
      <c r="B5" s="179" t="s">
        <v>3</v>
      </c>
      <c r="C5" s="179" t="s">
        <v>908</v>
      </c>
      <c r="D5" s="179" t="s">
        <v>9143</v>
      </c>
      <c r="E5" s="179" t="s">
        <v>6040</v>
      </c>
      <c r="F5" s="179" t="s">
        <v>6041</v>
      </c>
      <c r="G5" s="179" t="s">
        <v>9144</v>
      </c>
      <c r="H5" s="179" t="s">
        <v>9145</v>
      </c>
      <c r="I5" s="179" t="s">
        <v>9146</v>
      </c>
      <c r="J5" s="179" t="s">
        <v>15</v>
      </c>
      <c r="K5" s="179" t="s">
        <v>9147</v>
      </c>
      <c r="L5" s="179" t="s">
        <v>6048</v>
      </c>
    </row>
    <row r="6" spans="1:12" ht="64.05" customHeight="1" x14ac:dyDescent="0.3">
      <c r="A6" s="180" t="s">
        <v>18</v>
      </c>
      <c r="B6" s="180">
        <v>2021</v>
      </c>
      <c r="C6" s="180" t="s">
        <v>9036</v>
      </c>
      <c r="D6" s="180" t="s">
        <v>9148</v>
      </c>
      <c r="E6" s="189">
        <f>-KOHC!D85</f>
        <v>18092.026933000001</v>
      </c>
      <c r="F6" s="189">
        <f>KOHC!D65</f>
        <v>4183.5453669999997</v>
      </c>
      <c r="G6" s="189">
        <f t="shared" ref="G6:G69" si="0">IF(AND(ISNUMBER(E6),ISNUMBER(F6),F6&lt;&gt;0),E6/F6,"n/m")</f>
        <v>4.3245681224615726</v>
      </c>
      <c r="H6" s="189">
        <v>5.75</v>
      </c>
      <c r="I6" s="180" t="str">
        <f t="shared" ref="I6:I69" si="1">IF(ISNUMBER(H6),IF(ROUND(G6,J6)=ROUND(H6,J6),"Numeric fit","No fit"),"No identical published series")</f>
        <v>No fit</v>
      </c>
      <c r="J6" s="180">
        <v>2</v>
      </c>
      <c r="K6" s="183" t="s">
        <v>23</v>
      </c>
      <c r="L6" s="183" t="s">
        <v>32</v>
      </c>
    </row>
    <row r="7" spans="1:12" ht="64.05" customHeight="1" x14ac:dyDescent="0.3">
      <c r="A7" s="177" t="s">
        <v>18</v>
      </c>
      <c r="B7" s="177">
        <v>2021</v>
      </c>
      <c r="C7" s="177" t="s">
        <v>9036</v>
      </c>
      <c r="D7" s="177" t="s">
        <v>9149</v>
      </c>
      <c r="E7" s="190">
        <f>-KOHC!D85</f>
        <v>18092.026933000001</v>
      </c>
      <c r="F7" s="190">
        <f>AVERAGE(KOHC!C65,KOHC!D65)</f>
        <v>3724.8630134999999</v>
      </c>
      <c r="G7" s="190">
        <f t="shared" si="0"/>
        <v>4.8570986013255171</v>
      </c>
      <c r="H7" s="190">
        <v>5.75</v>
      </c>
      <c r="I7" s="177" t="str">
        <f t="shared" si="1"/>
        <v>No fit</v>
      </c>
      <c r="J7" s="177">
        <v>2</v>
      </c>
      <c r="K7" s="184" t="s">
        <v>23</v>
      </c>
      <c r="L7" s="184" t="s">
        <v>32</v>
      </c>
    </row>
    <row r="8" spans="1:12" ht="64.05" customHeight="1" x14ac:dyDescent="0.3">
      <c r="A8" s="180" t="s">
        <v>18</v>
      </c>
      <c r="B8" s="180">
        <v>2022</v>
      </c>
      <c r="C8" s="180" t="s">
        <v>9036</v>
      </c>
      <c r="D8" s="180" t="s">
        <v>9148</v>
      </c>
      <c r="E8" s="189">
        <f>-KOHC!E85</f>
        <v>23065.180670000002</v>
      </c>
      <c r="F8" s="189">
        <f>KOHC!E65</f>
        <v>5670.9864180000004</v>
      </c>
      <c r="G8" s="189">
        <f t="shared" si="0"/>
        <v>4.0672255177317904</v>
      </c>
      <c r="H8" s="189">
        <v>5.8</v>
      </c>
      <c r="I8" s="180" t="str">
        <f t="shared" si="1"/>
        <v>No fit</v>
      </c>
      <c r="J8" s="180">
        <v>2</v>
      </c>
      <c r="K8" s="183" t="s">
        <v>23</v>
      </c>
      <c r="L8" s="183" t="s">
        <v>32</v>
      </c>
    </row>
    <row r="9" spans="1:12" ht="64.05" customHeight="1" x14ac:dyDescent="0.3">
      <c r="A9" s="177" t="s">
        <v>18</v>
      </c>
      <c r="B9" s="177">
        <v>2022</v>
      </c>
      <c r="C9" s="177" t="s">
        <v>9036</v>
      </c>
      <c r="D9" s="177" t="s">
        <v>9149</v>
      </c>
      <c r="E9" s="190">
        <f>-KOHC!E85</f>
        <v>23065.180670000002</v>
      </c>
      <c r="F9" s="190">
        <f>AVERAGE(KOHC!D65,KOHC!E65)</f>
        <v>4927.2658924999996</v>
      </c>
      <c r="G9" s="190">
        <f t="shared" si="0"/>
        <v>4.6811317215716919</v>
      </c>
      <c r="H9" s="190">
        <v>5.8</v>
      </c>
      <c r="I9" s="177" t="str">
        <f t="shared" si="1"/>
        <v>No fit</v>
      </c>
      <c r="J9" s="177">
        <v>2</v>
      </c>
      <c r="K9" s="184" t="s">
        <v>23</v>
      </c>
      <c r="L9" s="184" t="s">
        <v>32</v>
      </c>
    </row>
    <row r="10" spans="1:12" ht="64.05" customHeight="1" x14ac:dyDescent="0.3">
      <c r="A10" s="180" t="s">
        <v>18</v>
      </c>
      <c r="B10" s="180">
        <v>2023</v>
      </c>
      <c r="C10" s="180" t="s">
        <v>9036</v>
      </c>
      <c r="D10" s="180" t="s">
        <v>9148</v>
      </c>
      <c r="E10" s="189">
        <f>-KOHC!F85</f>
        <v>28488.941331000002</v>
      </c>
      <c r="F10" s="189">
        <f>KOHC!F65</f>
        <v>7655.9913180000003</v>
      </c>
      <c r="G10" s="189">
        <f t="shared" si="0"/>
        <v>3.7211303079745734</v>
      </c>
      <c r="H10" s="189">
        <v>5.08</v>
      </c>
      <c r="I10" s="180" t="str">
        <f t="shared" si="1"/>
        <v>No fit</v>
      </c>
      <c r="J10" s="180">
        <v>2</v>
      </c>
      <c r="K10" s="183" t="s">
        <v>23</v>
      </c>
      <c r="L10" s="183" t="s">
        <v>32</v>
      </c>
    </row>
    <row r="11" spans="1:12" ht="64.05" customHeight="1" x14ac:dyDescent="0.3">
      <c r="A11" s="177" t="s">
        <v>18</v>
      </c>
      <c r="B11" s="177">
        <v>2023</v>
      </c>
      <c r="C11" s="177" t="s">
        <v>9036</v>
      </c>
      <c r="D11" s="177" t="s">
        <v>9149</v>
      </c>
      <c r="E11" s="190">
        <f>-KOHC!F85</f>
        <v>28488.941331000002</v>
      </c>
      <c r="F11" s="190">
        <f>AVERAGE(KOHC!E65,KOHC!F65)</f>
        <v>6663.4888680000004</v>
      </c>
      <c r="G11" s="190">
        <f t="shared" si="0"/>
        <v>4.2753791437713859</v>
      </c>
      <c r="H11" s="190">
        <v>5.08</v>
      </c>
      <c r="I11" s="177" t="str">
        <f t="shared" si="1"/>
        <v>No fit</v>
      </c>
      <c r="J11" s="177">
        <v>2</v>
      </c>
      <c r="K11" s="184" t="s">
        <v>23</v>
      </c>
      <c r="L11" s="184" t="s">
        <v>32</v>
      </c>
    </row>
    <row r="12" spans="1:12" ht="64.05" customHeight="1" x14ac:dyDescent="0.3">
      <c r="A12" s="180" t="s">
        <v>18</v>
      </c>
      <c r="B12" s="180">
        <v>2024</v>
      </c>
      <c r="C12" s="180" t="s">
        <v>9036</v>
      </c>
      <c r="D12" s="180" t="s">
        <v>9148</v>
      </c>
      <c r="E12" s="189">
        <f>-KOHC!G85</f>
        <v>27391.276476999999</v>
      </c>
      <c r="F12" s="189">
        <f>KOHC!G65</f>
        <v>7579.4259259999999</v>
      </c>
      <c r="G12" s="189">
        <f t="shared" si="0"/>
        <v>3.6138985649346655</v>
      </c>
      <c r="H12" s="189">
        <v>5.0999999999999996</v>
      </c>
      <c r="I12" s="180" t="str">
        <f t="shared" si="1"/>
        <v>No fit</v>
      </c>
      <c r="J12" s="180">
        <v>2</v>
      </c>
      <c r="K12" s="183" t="s">
        <v>23</v>
      </c>
      <c r="L12" s="183" t="s">
        <v>32</v>
      </c>
    </row>
    <row r="13" spans="1:12" ht="64.05" customHeight="1" x14ac:dyDescent="0.3">
      <c r="A13" s="177" t="s">
        <v>18</v>
      </c>
      <c r="B13" s="177">
        <v>2024</v>
      </c>
      <c r="C13" s="177" t="s">
        <v>9036</v>
      </c>
      <c r="D13" s="177" t="s">
        <v>9149</v>
      </c>
      <c r="E13" s="190">
        <f>-KOHC!G85</f>
        <v>27391.276476999999</v>
      </c>
      <c r="F13" s="190">
        <f>AVERAGE(KOHC!F65,KOHC!G65)</f>
        <v>7617.7086220000001</v>
      </c>
      <c r="G13" s="190">
        <f t="shared" si="0"/>
        <v>3.5957369645110586</v>
      </c>
      <c r="H13" s="190">
        <v>5.0999999999999996</v>
      </c>
      <c r="I13" s="177" t="str">
        <f t="shared" si="1"/>
        <v>No fit</v>
      </c>
      <c r="J13" s="177">
        <v>2</v>
      </c>
      <c r="K13" s="184" t="s">
        <v>23</v>
      </c>
      <c r="L13" s="184" t="s">
        <v>32</v>
      </c>
    </row>
    <row r="14" spans="1:12" ht="64.05" customHeight="1" x14ac:dyDescent="0.3">
      <c r="A14" s="180" t="s">
        <v>18</v>
      </c>
      <c r="B14" s="180">
        <v>2025</v>
      </c>
      <c r="C14" s="180" t="s">
        <v>9036</v>
      </c>
      <c r="D14" s="180" t="s">
        <v>9148</v>
      </c>
      <c r="E14" s="189">
        <f>-KOHC!H85</f>
        <v>22814.094271000002</v>
      </c>
      <c r="F14" s="189">
        <f>KOHC!H65</f>
        <v>7504.8680270000004</v>
      </c>
      <c r="G14" s="189">
        <f t="shared" si="0"/>
        <v>3.0399061234551406</v>
      </c>
      <c r="H14" s="189">
        <v>5</v>
      </c>
      <c r="I14" s="180" t="str">
        <f t="shared" si="1"/>
        <v>No fit</v>
      </c>
      <c r="J14" s="180">
        <v>2</v>
      </c>
      <c r="K14" s="183" t="s">
        <v>23</v>
      </c>
      <c r="L14" s="183" t="s">
        <v>32</v>
      </c>
    </row>
    <row r="15" spans="1:12" ht="64.05" customHeight="1" x14ac:dyDescent="0.3">
      <c r="A15" s="177" t="s">
        <v>18</v>
      </c>
      <c r="B15" s="177">
        <v>2025</v>
      </c>
      <c r="C15" s="177" t="s">
        <v>9036</v>
      </c>
      <c r="D15" s="177" t="s">
        <v>9149</v>
      </c>
      <c r="E15" s="190">
        <f>-KOHC!H85</f>
        <v>22814.094271000002</v>
      </c>
      <c r="F15" s="190">
        <f>AVERAGE(KOHC!G65,KOHC!H65)</f>
        <v>7542.1469765000002</v>
      </c>
      <c r="G15" s="190">
        <f t="shared" si="0"/>
        <v>3.024880626442934</v>
      </c>
      <c r="H15" s="190">
        <v>5</v>
      </c>
      <c r="I15" s="177" t="str">
        <f t="shared" si="1"/>
        <v>No fit</v>
      </c>
      <c r="J15" s="177">
        <v>2</v>
      </c>
      <c r="K15" s="184" t="s">
        <v>23</v>
      </c>
      <c r="L15" s="184" t="s">
        <v>32</v>
      </c>
    </row>
    <row r="16" spans="1:12" ht="64.05" customHeight="1" x14ac:dyDescent="0.3">
      <c r="A16" s="180" t="s">
        <v>18</v>
      </c>
      <c r="B16" s="180">
        <v>2021</v>
      </c>
      <c r="C16" s="180" t="s">
        <v>9045</v>
      </c>
      <c r="D16" s="180" t="s">
        <v>9148</v>
      </c>
      <c r="E16" s="189">
        <f>365*KOHC!D32</f>
        <v>359002.40139499999</v>
      </c>
      <c r="F16" s="189">
        <f>KOHC!D84</f>
        <v>24057.375992000001</v>
      </c>
      <c r="G16" s="189">
        <f t="shared" si="0"/>
        <v>14.922758056172961</v>
      </c>
      <c r="H16" s="189">
        <v>14.92</v>
      </c>
      <c r="I16" s="180" t="str">
        <f t="shared" si="1"/>
        <v>Numeric fit</v>
      </c>
      <c r="J16" s="180">
        <v>2</v>
      </c>
      <c r="K16" s="183" t="s">
        <v>23</v>
      </c>
      <c r="L16" s="183" t="s">
        <v>37</v>
      </c>
    </row>
    <row r="17" spans="1:12" ht="64.05" customHeight="1" x14ac:dyDescent="0.3">
      <c r="A17" s="177" t="s">
        <v>18</v>
      </c>
      <c r="B17" s="177">
        <v>2021</v>
      </c>
      <c r="C17" s="177" t="s">
        <v>9045</v>
      </c>
      <c r="D17" s="177" t="s">
        <v>9149</v>
      </c>
      <c r="E17" s="190">
        <f>365*AVERAGE(KOHC!C32,KOHC!D32)</f>
        <v>269713.72579250002</v>
      </c>
      <c r="F17" s="190">
        <f>KOHC!D84</f>
        <v>24057.375992000001</v>
      </c>
      <c r="G17" s="190">
        <f t="shared" si="0"/>
        <v>11.211269503464973</v>
      </c>
      <c r="H17" s="190">
        <v>14.92</v>
      </c>
      <c r="I17" s="177" t="str">
        <f t="shared" si="1"/>
        <v>No fit</v>
      </c>
      <c r="J17" s="177">
        <v>2</v>
      </c>
      <c r="K17" s="184" t="s">
        <v>23</v>
      </c>
      <c r="L17" s="184" t="s">
        <v>37</v>
      </c>
    </row>
    <row r="18" spans="1:12" ht="64.05" customHeight="1" x14ac:dyDescent="0.3">
      <c r="A18" s="180" t="s">
        <v>18</v>
      </c>
      <c r="B18" s="180">
        <v>2022</v>
      </c>
      <c r="C18" s="180" t="s">
        <v>9045</v>
      </c>
      <c r="D18" s="180" t="s">
        <v>9148</v>
      </c>
      <c r="E18" s="189">
        <f>365*KOHC!E32</f>
        <v>334354.40618500003</v>
      </c>
      <c r="F18" s="189">
        <f>KOHC!E84</f>
        <v>32876.949179000003</v>
      </c>
      <c r="G18" s="189">
        <f t="shared" si="0"/>
        <v>10.169873255714595</v>
      </c>
      <c r="H18" s="189">
        <v>10.17</v>
      </c>
      <c r="I18" s="180" t="str">
        <f t="shared" si="1"/>
        <v>Numeric fit</v>
      </c>
      <c r="J18" s="180">
        <v>2</v>
      </c>
      <c r="K18" s="183" t="s">
        <v>23</v>
      </c>
      <c r="L18" s="183" t="s">
        <v>37</v>
      </c>
    </row>
    <row r="19" spans="1:12" ht="64.05" customHeight="1" x14ac:dyDescent="0.3">
      <c r="A19" s="177" t="s">
        <v>18</v>
      </c>
      <c r="B19" s="177">
        <v>2022</v>
      </c>
      <c r="C19" s="177" t="s">
        <v>9045</v>
      </c>
      <c r="D19" s="177" t="s">
        <v>9149</v>
      </c>
      <c r="E19" s="190">
        <f>365*AVERAGE(KOHC!D32,KOHC!E32)</f>
        <v>346678.40379000001</v>
      </c>
      <c r="F19" s="190">
        <f>KOHC!E84</f>
        <v>32876.949179000003</v>
      </c>
      <c r="G19" s="190">
        <f t="shared" si="0"/>
        <v>10.544725482358297</v>
      </c>
      <c r="H19" s="190">
        <v>10.17</v>
      </c>
      <c r="I19" s="177" t="str">
        <f t="shared" si="1"/>
        <v>No fit</v>
      </c>
      <c r="J19" s="177">
        <v>2</v>
      </c>
      <c r="K19" s="184" t="s">
        <v>23</v>
      </c>
      <c r="L19" s="184" t="s">
        <v>37</v>
      </c>
    </row>
    <row r="20" spans="1:12" ht="64.05" customHeight="1" x14ac:dyDescent="0.3">
      <c r="A20" s="180" t="s">
        <v>18</v>
      </c>
      <c r="B20" s="180">
        <v>2023</v>
      </c>
      <c r="C20" s="180" t="s">
        <v>9045</v>
      </c>
      <c r="D20" s="180" t="s">
        <v>9148</v>
      </c>
      <c r="E20" s="189">
        <f>365*KOHC!F32</f>
        <v>440026.981875</v>
      </c>
      <c r="F20" s="189">
        <f>KOHC!F84</f>
        <v>38921.635349999997</v>
      </c>
      <c r="G20" s="189">
        <f t="shared" si="0"/>
        <v>11.305459750549767</v>
      </c>
      <c r="H20" s="189">
        <v>11.31</v>
      </c>
      <c r="I20" s="180" t="str">
        <f t="shared" si="1"/>
        <v>Numeric fit</v>
      </c>
      <c r="J20" s="180">
        <v>2</v>
      </c>
      <c r="K20" s="183" t="s">
        <v>23</v>
      </c>
      <c r="L20" s="183" t="s">
        <v>37</v>
      </c>
    </row>
    <row r="21" spans="1:12" ht="64.05" customHeight="1" x14ac:dyDescent="0.3">
      <c r="A21" s="177" t="s">
        <v>18</v>
      </c>
      <c r="B21" s="177">
        <v>2023</v>
      </c>
      <c r="C21" s="177" t="s">
        <v>9045</v>
      </c>
      <c r="D21" s="177" t="s">
        <v>9149</v>
      </c>
      <c r="E21" s="190">
        <f>365*AVERAGE(KOHC!E32,KOHC!F32)</f>
        <v>387190.69402999996</v>
      </c>
      <c r="F21" s="190">
        <f>KOHC!F84</f>
        <v>38921.635349999997</v>
      </c>
      <c r="G21" s="190">
        <f t="shared" si="0"/>
        <v>9.9479554378487851</v>
      </c>
      <c r="H21" s="190">
        <v>11.31</v>
      </c>
      <c r="I21" s="177" t="str">
        <f t="shared" si="1"/>
        <v>No fit</v>
      </c>
      <c r="J21" s="177">
        <v>2</v>
      </c>
      <c r="K21" s="184" t="s">
        <v>23</v>
      </c>
      <c r="L21" s="184" t="s">
        <v>37</v>
      </c>
    </row>
    <row r="22" spans="1:12" ht="64.05" customHeight="1" x14ac:dyDescent="0.3">
      <c r="A22" s="180" t="s">
        <v>18</v>
      </c>
      <c r="B22" s="180">
        <v>2024</v>
      </c>
      <c r="C22" s="180" t="s">
        <v>9045</v>
      </c>
      <c r="D22" s="180" t="s">
        <v>9148</v>
      </c>
      <c r="E22" s="189">
        <f>365*KOHC!G32</f>
        <v>770240.48423000006</v>
      </c>
      <c r="F22" s="189">
        <f>KOHC!G84</f>
        <v>38647.767972000001</v>
      </c>
      <c r="G22" s="189">
        <f t="shared" si="0"/>
        <v>19.929753376392476</v>
      </c>
      <c r="H22" s="189">
        <v>19.93</v>
      </c>
      <c r="I22" s="180" t="str">
        <f t="shared" si="1"/>
        <v>Numeric fit</v>
      </c>
      <c r="J22" s="180">
        <v>2</v>
      </c>
      <c r="K22" s="183" t="s">
        <v>23</v>
      </c>
      <c r="L22" s="183" t="s">
        <v>37</v>
      </c>
    </row>
    <row r="23" spans="1:12" ht="64.05" customHeight="1" x14ac:dyDescent="0.3">
      <c r="A23" s="177" t="s">
        <v>18</v>
      </c>
      <c r="B23" s="177">
        <v>2024</v>
      </c>
      <c r="C23" s="177" t="s">
        <v>9045</v>
      </c>
      <c r="D23" s="177" t="s">
        <v>9149</v>
      </c>
      <c r="E23" s="190">
        <f>365*AVERAGE(KOHC!F32,KOHC!G32)</f>
        <v>605133.73305250006</v>
      </c>
      <c r="F23" s="190">
        <f>KOHC!G84</f>
        <v>38647.767972000001</v>
      </c>
      <c r="G23" s="190">
        <f t="shared" si="0"/>
        <v>15.657663166755571</v>
      </c>
      <c r="H23" s="190">
        <v>19.93</v>
      </c>
      <c r="I23" s="177" t="str">
        <f t="shared" si="1"/>
        <v>No fit</v>
      </c>
      <c r="J23" s="177">
        <v>2</v>
      </c>
      <c r="K23" s="184" t="s">
        <v>23</v>
      </c>
      <c r="L23" s="184" t="s">
        <v>37</v>
      </c>
    </row>
    <row r="24" spans="1:12" ht="64.05" customHeight="1" x14ac:dyDescent="0.3">
      <c r="A24" s="180" t="s">
        <v>18</v>
      </c>
      <c r="B24" s="180">
        <v>2025</v>
      </c>
      <c r="C24" s="180" t="s">
        <v>9045</v>
      </c>
      <c r="D24" s="180" t="s">
        <v>9148</v>
      </c>
      <c r="E24" s="189">
        <f>365*KOHC!H32</f>
        <v>617659.50867999997</v>
      </c>
      <c r="F24" s="189">
        <f>KOHC!H84</f>
        <v>37535.700371999999</v>
      </c>
      <c r="G24" s="189">
        <f t="shared" si="0"/>
        <v>16.455254665788708</v>
      </c>
      <c r="H24" s="189">
        <v>16.46</v>
      </c>
      <c r="I24" s="180" t="str">
        <f t="shared" si="1"/>
        <v>Numeric fit</v>
      </c>
      <c r="J24" s="180">
        <v>2</v>
      </c>
      <c r="K24" s="183" t="s">
        <v>23</v>
      </c>
      <c r="L24" s="183" t="s">
        <v>37</v>
      </c>
    </row>
    <row r="25" spans="1:12" ht="64.05" customHeight="1" x14ac:dyDescent="0.3">
      <c r="A25" s="177" t="s">
        <v>18</v>
      </c>
      <c r="B25" s="177">
        <v>2025</v>
      </c>
      <c r="C25" s="177" t="s">
        <v>9045</v>
      </c>
      <c r="D25" s="177" t="s">
        <v>9149</v>
      </c>
      <c r="E25" s="190">
        <f>365*AVERAGE(KOHC!G32,KOHC!H32)</f>
        <v>693949.99645500001</v>
      </c>
      <c r="F25" s="190">
        <f>KOHC!H84</f>
        <v>37535.700371999999</v>
      </c>
      <c r="G25" s="190">
        <f t="shared" si="0"/>
        <v>18.487732733839078</v>
      </c>
      <c r="H25" s="190">
        <v>16.46</v>
      </c>
      <c r="I25" s="177" t="str">
        <f t="shared" si="1"/>
        <v>No fit</v>
      </c>
      <c r="J25" s="177">
        <v>2</v>
      </c>
      <c r="K25" s="184" t="s">
        <v>23</v>
      </c>
      <c r="L25" s="184" t="s">
        <v>37</v>
      </c>
    </row>
    <row r="26" spans="1:12" ht="64.05" customHeight="1" x14ac:dyDescent="0.3">
      <c r="A26" s="180" t="s">
        <v>18</v>
      </c>
      <c r="B26" s="180">
        <v>2021</v>
      </c>
      <c r="C26" s="180" t="s">
        <v>9052</v>
      </c>
      <c r="D26" s="180" t="s">
        <v>9148</v>
      </c>
      <c r="E26" s="189">
        <f>KOHC!D84</f>
        <v>24057.375992000001</v>
      </c>
      <c r="F26" s="189">
        <f>KOHC!D37</f>
        <v>36086.921437000005</v>
      </c>
      <c r="G26" s="189">
        <f t="shared" si="0"/>
        <v>0.66665082622797289</v>
      </c>
      <c r="H26" s="189">
        <v>0.67</v>
      </c>
      <c r="I26" s="180" t="str">
        <f t="shared" si="1"/>
        <v>Numeric fit</v>
      </c>
      <c r="J26" s="180">
        <v>2</v>
      </c>
      <c r="K26" s="183" t="s">
        <v>23</v>
      </c>
      <c r="L26" s="183" t="s">
        <v>46</v>
      </c>
    </row>
    <row r="27" spans="1:12" ht="64.05" customHeight="1" x14ac:dyDescent="0.3">
      <c r="A27" s="177" t="s">
        <v>18</v>
      </c>
      <c r="B27" s="177">
        <v>2021</v>
      </c>
      <c r="C27" s="177" t="s">
        <v>9052</v>
      </c>
      <c r="D27" s="177" t="s">
        <v>9149</v>
      </c>
      <c r="E27" s="190">
        <f>KOHC!D84</f>
        <v>24057.375992000001</v>
      </c>
      <c r="F27" s="190">
        <f>AVERAGE(KOHC!C37,KOHC!D37)</f>
        <v>33921.794372000004</v>
      </c>
      <c r="G27" s="190">
        <f t="shared" si="0"/>
        <v>0.70920116218432216</v>
      </c>
      <c r="H27" s="190">
        <v>0.67</v>
      </c>
      <c r="I27" s="177" t="str">
        <f t="shared" si="1"/>
        <v>No fit</v>
      </c>
      <c r="J27" s="177">
        <v>2</v>
      </c>
      <c r="K27" s="184" t="s">
        <v>23</v>
      </c>
      <c r="L27" s="184" t="s">
        <v>46</v>
      </c>
    </row>
    <row r="28" spans="1:12" ht="64.05" customHeight="1" x14ac:dyDescent="0.3">
      <c r="A28" s="180" t="s">
        <v>18</v>
      </c>
      <c r="B28" s="180">
        <v>2022</v>
      </c>
      <c r="C28" s="180" t="s">
        <v>9052</v>
      </c>
      <c r="D28" s="180" t="s">
        <v>9148</v>
      </c>
      <c r="E28" s="189">
        <f>KOHC!E84</f>
        <v>32876.949179000003</v>
      </c>
      <c r="F28" s="189">
        <f>KOHC!E37</f>
        <v>43350.667843999996</v>
      </c>
      <c r="G28" s="189">
        <f t="shared" si="0"/>
        <v>0.7583954484233022</v>
      </c>
      <c r="H28" s="189">
        <v>0.76</v>
      </c>
      <c r="I28" s="180" t="str">
        <f t="shared" si="1"/>
        <v>Numeric fit</v>
      </c>
      <c r="J28" s="180">
        <v>2</v>
      </c>
      <c r="K28" s="183" t="s">
        <v>23</v>
      </c>
      <c r="L28" s="183" t="s">
        <v>46</v>
      </c>
    </row>
    <row r="29" spans="1:12" ht="64.05" customHeight="1" x14ac:dyDescent="0.3">
      <c r="A29" s="177" t="s">
        <v>18</v>
      </c>
      <c r="B29" s="177">
        <v>2022</v>
      </c>
      <c r="C29" s="177" t="s">
        <v>9052</v>
      </c>
      <c r="D29" s="177" t="s">
        <v>9149</v>
      </c>
      <c r="E29" s="190">
        <f>KOHC!E84</f>
        <v>32876.949179000003</v>
      </c>
      <c r="F29" s="190">
        <f>AVERAGE(KOHC!D37,KOHC!E37)</f>
        <v>39718.794640499997</v>
      </c>
      <c r="G29" s="190">
        <f t="shared" si="0"/>
        <v>0.82774287277782643</v>
      </c>
      <c r="H29" s="190">
        <v>0.76</v>
      </c>
      <c r="I29" s="177" t="str">
        <f t="shared" si="1"/>
        <v>No fit</v>
      </c>
      <c r="J29" s="177">
        <v>2</v>
      </c>
      <c r="K29" s="184" t="s">
        <v>23</v>
      </c>
      <c r="L29" s="184" t="s">
        <v>46</v>
      </c>
    </row>
    <row r="30" spans="1:12" ht="64.05" customHeight="1" x14ac:dyDescent="0.3">
      <c r="A30" s="180" t="s">
        <v>18</v>
      </c>
      <c r="B30" s="180">
        <v>2023</v>
      </c>
      <c r="C30" s="180" t="s">
        <v>9052</v>
      </c>
      <c r="D30" s="180" t="s">
        <v>9148</v>
      </c>
      <c r="E30" s="189">
        <f>KOHC!F84</f>
        <v>38921.635349999997</v>
      </c>
      <c r="F30" s="189">
        <f>KOHC!F37</f>
        <v>49530.075545</v>
      </c>
      <c r="G30" s="189">
        <f t="shared" si="0"/>
        <v>0.78581821088962756</v>
      </c>
      <c r="H30" s="189">
        <v>0.79</v>
      </c>
      <c r="I30" s="180" t="str">
        <f t="shared" si="1"/>
        <v>Numeric fit</v>
      </c>
      <c r="J30" s="180">
        <v>2</v>
      </c>
      <c r="K30" s="183" t="s">
        <v>23</v>
      </c>
      <c r="L30" s="183" t="s">
        <v>46</v>
      </c>
    </row>
    <row r="31" spans="1:12" ht="64.05" customHeight="1" x14ac:dyDescent="0.3">
      <c r="A31" s="177" t="s">
        <v>18</v>
      </c>
      <c r="B31" s="177">
        <v>2023</v>
      </c>
      <c r="C31" s="177" t="s">
        <v>9052</v>
      </c>
      <c r="D31" s="177" t="s">
        <v>9149</v>
      </c>
      <c r="E31" s="190">
        <f>KOHC!F84</f>
        <v>38921.635349999997</v>
      </c>
      <c r="F31" s="190">
        <f>AVERAGE(KOHC!E37,KOHC!F37)</f>
        <v>46440.371694499998</v>
      </c>
      <c r="G31" s="190">
        <f t="shared" si="0"/>
        <v>0.83809913508098699</v>
      </c>
      <c r="H31" s="190">
        <v>0.79</v>
      </c>
      <c r="I31" s="177" t="str">
        <f t="shared" si="1"/>
        <v>No fit</v>
      </c>
      <c r="J31" s="177">
        <v>2</v>
      </c>
      <c r="K31" s="184" t="s">
        <v>23</v>
      </c>
      <c r="L31" s="184" t="s">
        <v>46</v>
      </c>
    </row>
    <row r="32" spans="1:12" ht="64.05" customHeight="1" x14ac:dyDescent="0.3">
      <c r="A32" s="180" t="s">
        <v>18</v>
      </c>
      <c r="B32" s="180">
        <v>2024</v>
      </c>
      <c r="C32" s="180" t="s">
        <v>9052</v>
      </c>
      <c r="D32" s="180" t="s">
        <v>9148</v>
      </c>
      <c r="E32" s="189">
        <f>KOHC!G84</f>
        <v>38647.767972000001</v>
      </c>
      <c r="F32" s="189">
        <f>KOHC!G37</f>
        <v>58843.295196999999</v>
      </c>
      <c r="G32" s="189">
        <f t="shared" si="0"/>
        <v>0.65679136157504614</v>
      </c>
      <c r="H32" s="189">
        <v>0.66</v>
      </c>
      <c r="I32" s="180" t="str">
        <f t="shared" si="1"/>
        <v>Numeric fit</v>
      </c>
      <c r="J32" s="180">
        <v>2</v>
      </c>
      <c r="K32" s="183" t="s">
        <v>23</v>
      </c>
      <c r="L32" s="183" t="s">
        <v>46</v>
      </c>
    </row>
    <row r="33" spans="1:12" ht="64.05" customHeight="1" x14ac:dyDescent="0.3">
      <c r="A33" s="177" t="s">
        <v>18</v>
      </c>
      <c r="B33" s="177">
        <v>2024</v>
      </c>
      <c r="C33" s="177" t="s">
        <v>9052</v>
      </c>
      <c r="D33" s="177" t="s">
        <v>9149</v>
      </c>
      <c r="E33" s="190">
        <f>KOHC!G84</f>
        <v>38647.767972000001</v>
      </c>
      <c r="F33" s="190">
        <f>AVERAGE(KOHC!F37,KOHC!G37)</f>
        <v>54186.685371</v>
      </c>
      <c r="G33" s="190">
        <f t="shared" si="0"/>
        <v>0.71323366076722194</v>
      </c>
      <c r="H33" s="190">
        <v>0.66</v>
      </c>
      <c r="I33" s="177" t="str">
        <f t="shared" si="1"/>
        <v>No fit</v>
      </c>
      <c r="J33" s="177">
        <v>2</v>
      </c>
      <c r="K33" s="184" t="s">
        <v>23</v>
      </c>
      <c r="L33" s="184" t="s">
        <v>46</v>
      </c>
    </row>
    <row r="34" spans="1:12" ht="64.05" customHeight="1" x14ac:dyDescent="0.3">
      <c r="A34" s="180" t="s">
        <v>18</v>
      </c>
      <c r="B34" s="180">
        <v>2025</v>
      </c>
      <c r="C34" s="180" t="s">
        <v>9052</v>
      </c>
      <c r="D34" s="180" t="s">
        <v>9148</v>
      </c>
      <c r="E34" s="189">
        <f>KOHC!H84</f>
        <v>37535.700371999999</v>
      </c>
      <c r="F34" s="189">
        <f>KOHC!H37</f>
        <v>66794.311768</v>
      </c>
      <c r="G34" s="189">
        <f t="shared" si="0"/>
        <v>0.56195953485342598</v>
      </c>
      <c r="H34" s="189">
        <v>0.56000000000000005</v>
      </c>
      <c r="I34" s="180" t="str">
        <f t="shared" si="1"/>
        <v>Numeric fit</v>
      </c>
      <c r="J34" s="180">
        <v>2</v>
      </c>
      <c r="K34" s="183" t="s">
        <v>23</v>
      </c>
      <c r="L34" s="183" t="s">
        <v>46</v>
      </c>
    </row>
    <row r="35" spans="1:12" ht="64.05" customHeight="1" x14ac:dyDescent="0.3">
      <c r="A35" s="177" t="s">
        <v>18</v>
      </c>
      <c r="B35" s="177">
        <v>2025</v>
      </c>
      <c r="C35" s="177" t="s">
        <v>9052</v>
      </c>
      <c r="D35" s="177" t="s">
        <v>9149</v>
      </c>
      <c r="E35" s="190">
        <f>KOHC!H84</f>
        <v>37535.700371999999</v>
      </c>
      <c r="F35" s="190">
        <f>AVERAGE(KOHC!G37,KOHC!H37)</f>
        <v>62818.8034825</v>
      </c>
      <c r="G35" s="190">
        <f t="shared" si="0"/>
        <v>0.59752332567837996</v>
      </c>
      <c r="H35" s="190">
        <v>0.56000000000000005</v>
      </c>
      <c r="I35" s="177" t="str">
        <f t="shared" si="1"/>
        <v>No fit</v>
      </c>
      <c r="J35" s="177">
        <v>2</v>
      </c>
      <c r="K35" s="184" t="s">
        <v>23</v>
      </c>
      <c r="L35" s="184" t="s">
        <v>46</v>
      </c>
    </row>
    <row r="36" spans="1:12" ht="64.05" customHeight="1" x14ac:dyDescent="0.3">
      <c r="A36" s="180" t="s">
        <v>18</v>
      </c>
      <c r="B36" s="180">
        <v>2021</v>
      </c>
      <c r="C36" s="180" t="s">
        <v>9048</v>
      </c>
      <c r="D36" s="180" t="s">
        <v>9148</v>
      </c>
      <c r="E36" s="189">
        <f>KOHC!D84</f>
        <v>24057.375992000001</v>
      </c>
      <c r="F36" s="189">
        <f>KOHC!D20</f>
        <v>22027.544913000002</v>
      </c>
      <c r="G36" s="189">
        <f t="shared" si="0"/>
        <v>1.0921496738296084</v>
      </c>
      <c r="H36" s="189">
        <v>1.1100000000000001</v>
      </c>
      <c r="I36" s="180" t="str">
        <f t="shared" si="1"/>
        <v>No fit</v>
      </c>
      <c r="J36" s="180">
        <v>2</v>
      </c>
      <c r="K36" s="183" t="s">
        <v>23</v>
      </c>
      <c r="L36" s="183" t="s">
        <v>48</v>
      </c>
    </row>
    <row r="37" spans="1:12" ht="64.05" customHeight="1" x14ac:dyDescent="0.3">
      <c r="A37" s="177" t="s">
        <v>18</v>
      </c>
      <c r="B37" s="177">
        <v>2021</v>
      </c>
      <c r="C37" s="177" t="s">
        <v>9048</v>
      </c>
      <c r="D37" s="177" t="s">
        <v>9149</v>
      </c>
      <c r="E37" s="190">
        <f>KOHC!D84</f>
        <v>24057.375992000001</v>
      </c>
      <c r="F37" s="190">
        <f>AVERAGE(KOHC!C20,KOHC!D20)</f>
        <v>22402.605592</v>
      </c>
      <c r="G37" s="190">
        <f t="shared" si="0"/>
        <v>1.0738650865054251</v>
      </c>
      <c r="H37" s="190">
        <v>1.1100000000000001</v>
      </c>
      <c r="I37" s="177" t="str">
        <f t="shared" si="1"/>
        <v>No fit</v>
      </c>
      <c r="J37" s="177">
        <v>2</v>
      </c>
      <c r="K37" s="184" t="s">
        <v>23</v>
      </c>
      <c r="L37" s="184" t="s">
        <v>48</v>
      </c>
    </row>
    <row r="38" spans="1:12" ht="64.05" customHeight="1" x14ac:dyDescent="0.3">
      <c r="A38" s="180" t="s">
        <v>18</v>
      </c>
      <c r="B38" s="180">
        <v>2022</v>
      </c>
      <c r="C38" s="180" t="s">
        <v>9048</v>
      </c>
      <c r="D38" s="180" t="s">
        <v>9148</v>
      </c>
      <c r="E38" s="189">
        <f>KOHC!E84</f>
        <v>32876.949179000003</v>
      </c>
      <c r="F38" s="189">
        <f>KOHC!E20</f>
        <v>21331.296362000001</v>
      </c>
      <c r="G38" s="189">
        <f t="shared" si="0"/>
        <v>1.5412541563844033</v>
      </c>
      <c r="H38" s="189">
        <v>1.55</v>
      </c>
      <c r="I38" s="180" t="str">
        <f t="shared" si="1"/>
        <v>No fit</v>
      </c>
      <c r="J38" s="180">
        <v>2</v>
      </c>
      <c r="K38" s="183" t="s">
        <v>23</v>
      </c>
      <c r="L38" s="183" t="s">
        <v>48</v>
      </c>
    </row>
    <row r="39" spans="1:12" ht="64.05" customHeight="1" x14ac:dyDescent="0.3">
      <c r="A39" s="177" t="s">
        <v>18</v>
      </c>
      <c r="B39" s="177">
        <v>2022</v>
      </c>
      <c r="C39" s="177" t="s">
        <v>9048</v>
      </c>
      <c r="D39" s="177" t="s">
        <v>9149</v>
      </c>
      <c r="E39" s="190">
        <f>KOHC!E84</f>
        <v>32876.949179000003</v>
      </c>
      <c r="F39" s="190">
        <f>AVERAGE(KOHC!D20,KOHC!E20)</f>
        <v>21679.420637499999</v>
      </c>
      <c r="G39" s="190">
        <f t="shared" si="0"/>
        <v>1.5165049716379906</v>
      </c>
      <c r="H39" s="190">
        <v>1.55</v>
      </c>
      <c r="I39" s="177" t="str">
        <f t="shared" si="1"/>
        <v>No fit</v>
      </c>
      <c r="J39" s="177">
        <v>2</v>
      </c>
      <c r="K39" s="184" t="s">
        <v>23</v>
      </c>
      <c r="L39" s="184" t="s">
        <v>48</v>
      </c>
    </row>
    <row r="40" spans="1:12" ht="64.05" customHeight="1" x14ac:dyDescent="0.3">
      <c r="A40" s="180" t="s">
        <v>18</v>
      </c>
      <c r="B40" s="180">
        <v>2023</v>
      </c>
      <c r="C40" s="180" t="s">
        <v>9048</v>
      </c>
      <c r="D40" s="180" t="s">
        <v>9148</v>
      </c>
      <c r="E40" s="189">
        <f>KOHC!F84</f>
        <v>38921.635349999997</v>
      </c>
      <c r="F40" s="189">
        <f>KOHC!F20</f>
        <v>22229.434463000001</v>
      </c>
      <c r="G40" s="189">
        <f t="shared" si="0"/>
        <v>1.7509053329621809</v>
      </c>
      <c r="H40" s="189">
        <v>1.92</v>
      </c>
      <c r="I40" s="180" t="str">
        <f t="shared" si="1"/>
        <v>No fit</v>
      </c>
      <c r="J40" s="180">
        <v>2</v>
      </c>
      <c r="K40" s="183" t="s">
        <v>23</v>
      </c>
      <c r="L40" s="183" t="s">
        <v>48</v>
      </c>
    </row>
    <row r="41" spans="1:12" ht="64.05" customHeight="1" x14ac:dyDescent="0.3">
      <c r="A41" s="177" t="s">
        <v>18</v>
      </c>
      <c r="B41" s="177">
        <v>2023</v>
      </c>
      <c r="C41" s="177" t="s">
        <v>9048</v>
      </c>
      <c r="D41" s="177" t="s">
        <v>9149</v>
      </c>
      <c r="E41" s="190">
        <f>KOHC!F84</f>
        <v>38921.635349999997</v>
      </c>
      <c r="F41" s="190">
        <f>AVERAGE(KOHC!E20,KOHC!F20)</f>
        <v>21780.365412500003</v>
      </c>
      <c r="G41" s="190">
        <f t="shared" si="0"/>
        <v>1.7870056178057703</v>
      </c>
      <c r="H41" s="190">
        <v>1.92</v>
      </c>
      <c r="I41" s="177" t="str">
        <f t="shared" si="1"/>
        <v>No fit</v>
      </c>
      <c r="J41" s="177">
        <v>2</v>
      </c>
      <c r="K41" s="184" t="s">
        <v>23</v>
      </c>
      <c r="L41" s="184" t="s">
        <v>48</v>
      </c>
    </row>
    <row r="42" spans="1:12" ht="64.05" customHeight="1" x14ac:dyDescent="0.3">
      <c r="A42" s="180" t="s">
        <v>18</v>
      </c>
      <c r="B42" s="180">
        <v>2024</v>
      </c>
      <c r="C42" s="180" t="s">
        <v>9048</v>
      </c>
      <c r="D42" s="180" t="s">
        <v>9148</v>
      </c>
      <c r="E42" s="189">
        <f>KOHC!G84</f>
        <v>38647.767972000001</v>
      </c>
      <c r="F42" s="189">
        <f>KOHC!G20</f>
        <v>22156.640533000002</v>
      </c>
      <c r="G42" s="189">
        <f t="shared" si="0"/>
        <v>1.7442972870565909</v>
      </c>
      <c r="H42" s="189">
        <v>1.83</v>
      </c>
      <c r="I42" s="180" t="str">
        <f t="shared" si="1"/>
        <v>No fit</v>
      </c>
      <c r="J42" s="180">
        <v>2</v>
      </c>
      <c r="K42" s="183" t="s">
        <v>23</v>
      </c>
      <c r="L42" s="183" t="s">
        <v>48</v>
      </c>
    </row>
    <row r="43" spans="1:12" ht="64.05" customHeight="1" x14ac:dyDescent="0.3">
      <c r="A43" s="177" t="s">
        <v>18</v>
      </c>
      <c r="B43" s="177">
        <v>2024</v>
      </c>
      <c r="C43" s="177" t="s">
        <v>9048</v>
      </c>
      <c r="D43" s="177" t="s">
        <v>9149</v>
      </c>
      <c r="E43" s="190">
        <f>KOHC!G84</f>
        <v>38647.767972000001</v>
      </c>
      <c r="F43" s="190">
        <f>AVERAGE(KOHC!F20,KOHC!G20)</f>
        <v>22193.037498000002</v>
      </c>
      <c r="G43" s="190">
        <f t="shared" si="0"/>
        <v>1.7414366093637643</v>
      </c>
      <c r="H43" s="190">
        <v>1.83</v>
      </c>
      <c r="I43" s="177" t="str">
        <f t="shared" si="1"/>
        <v>No fit</v>
      </c>
      <c r="J43" s="177">
        <v>2</v>
      </c>
      <c r="K43" s="184" t="s">
        <v>23</v>
      </c>
      <c r="L43" s="184" t="s">
        <v>48</v>
      </c>
    </row>
    <row r="44" spans="1:12" ht="64.05" customHeight="1" x14ac:dyDescent="0.3">
      <c r="A44" s="180" t="s">
        <v>18</v>
      </c>
      <c r="B44" s="180">
        <v>2025</v>
      </c>
      <c r="C44" s="180" t="s">
        <v>9048</v>
      </c>
      <c r="D44" s="180" t="s">
        <v>9148</v>
      </c>
      <c r="E44" s="189">
        <f>KOHC!H84</f>
        <v>37535.700371999999</v>
      </c>
      <c r="F44" s="189">
        <f>KOHC!H20</f>
        <v>23359.980509000001</v>
      </c>
      <c r="G44" s="189">
        <f t="shared" si="0"/>
        <v>1.606837829232711</v>
      </c>
      <c r="H44" s="189">
        <v>1.8</v>
      </c>
      <c r="I44" s="180" t="str">
        <f t="shared" si="1"/>
        <v>No fit</v>
      </c>
      <c r="J44" s="180">
        <v>2</v>
      </c>
      <c r="K44" s="183" t="s">
        <v>23</v>
      </c>
      <c r="L44" s="183" t="s">
        <v>48</v>
      </c>
    </row>
    <row r="45" spans="1:12" ht="64.05" customHeight="1" x14ac:dyDescent="0.3">
      <c r="A45" s="177" t="s">
        <v>18</v>
      </c>
      <c r="B45" s="177">
        <v>2025</v>
      </c>
      <c r="C45" s="177" t="s">
        <v>9048</v>
      </c>
      <c r="D45" s="177" t="s">
        <v>9149</v>
      </c>
      <c r="E45" s="190">
        <f>KOHC!H84</f>
        <v>37535.700371999999</v>
      </c>
      <c r="F45" s="190">
        <f>AVERAGE(KOHC!G20,KOHC!H20)</f>
        <v>22758.310520999999</v>
      </c>
      <c r="G45" s="190">
        <f t="shared" si="0"/>
        <v>1.6493184033746404</v>
      </c>
      <c r="H45" s="190">
        <v>1.8</v>
      </c>
      <c r="I45" s="177" t="str">
        <f t="shared" si="1"/>
        <v>No fit</v>
      </c>
      <c r="J45" s="177">
        <v>2</v>
      </c>
      <c r="K45" s="184" t="s">
        <v>23</v>
      </c>
      <c r="L45" s="184" t="s">
        <v>48</v>
      </c>
    </row>
    <row r="46" spans="1:12" ht="64.05" customHeight="1" x14ac:dyDescent="0.3">
      <c r="A46" s="180" t="s">
        <v>18</v>
      </c>
      <c r="B46" s="180">
        <v>2021</v>
      </c>
      <c r="C46" s="180" t="s">
        <v>9079</v>
      </c>
      <c r="D46" s="180" t="s">
        <v>9148</v>
      </c>
      <c r="E46" s="189">
        <f>KOHC!D99</f>
        <v>3497.5072470000005</v>
      </c>
      <c r="F46" s="189">
        <f>KOHC!D41</f>
        <v>22223.539370999999</v>
      </c>
      <c r="G46" s="189">
        <f t="shared" si="0"/>
        <v>0.15737849802466555</v>
      </c>
      <c r="H46" s="189">
        <v>0.15740000000000001</v>
      </c>
      <c r="I46" s="180" t="str">
        <f t="shared" si="1"/>
        <v>Numeric fit</v>
      </c>
      <c r="J46" s="180">
        <v>4</v>
      </c>
      <c r="K46" s="183" t="s">
        <v>23</v>
      </c>
      <c r="L46" s="183" t="s">
        <v>54</v>
      </c>
    </row>
    <row r="47" spans="1:12" ht="64.05" customHeight="1" x14ac:dyDescent="0.3">
      <c r="A47" s="177" t="s">
        <v>18</v>
      </c>
      <c r="B47" s="177">
        <v>2021</v>
      </c>
      <c r="C47" s="177" t="s">
        <v>9079</v>
      </c>
      <c r="D47" s="177" t="s">
        <v>9149</v>
      </c>
      <c r="E47" s="190">
        <f>KOHC!D99</f>
        <v>3497.5072470000005</v>
      </c>
      <c r="F47" s="190">
        <f>AVERAGE(KOHC!C41,KOHC!D41)</f>
        <v>20475.106347499997</v>
      </c>
      <c r="G47" s="190">
        <f t="shared" si="0"/>
        <v>0.17081753753269491</v>
      </c>
      <c r="H47" s="190">
        <v>0.15740000000000001</v>
      </c>
      <c r="I47" s="177" t="str">
        <f t="shared" si="1"/>
        <v>No fit</v>
      </c>
      <c r="J47" s="177">
        <v>4</v>
      </c>
      <c r="K47" s="184" t="s">
        <v>23</v>
      </c>
      <c r="L47" s="184" t="s">
        <v>54</v>
      </c>
    </row>
    <row r="48" spans="1:12" ht="64.05" customHeight="1" x14ac:dyDescent="0.3">
      <c r="A48" s="180" t="s">
        <v>18</v>
      </c>
      <c r="B48" s="180">
        <v>2022</v>
      </c>
      <c r="C48" s="180" t="s">
        <v>9079</v>
      </c>
      <c r="D48" s="180" t="s">
        <v>9148</v>
      </c>
      <c r="E48" s="189">
        <f>KOHC!E99</f>
        <v>5024.2802600000005</v>
      </c>
      <c r="F48" s="189">
        <f>KOHC!E41</f>
        <v>27246.220230999999</v>
      </c>
      <c r="G48" s="189">
        <f t="shared" si="0"/>
        <v>0.18440283523376622</v>
      </c>
      <c r="H48" s="189">
        <v>0.18440000000000001</v>
      </c>
      <c r="I48" s="180" t="str">
        <f t="shared" si="1"/>
        <v>Numeric fit</v>
      </c>
      <c r="J48" s="180">
        <v>4</v>
      </c>
      <c r="K48" s="183" t="s">
        <v>23</v>
      </c>
      <c r="L48" s="183" t="s">
        <v>54</v>
      </c>
    </row>
    <row r="49" spans="1:12" ht="64.05" customHeight="1" x14ac:dyDescent="0.3">
      <c r="A49" s="177" t="s">
        <v>18</v>
      </c>
      <c r="B49" s="177">
        <v>2022</v>
      </c>
      <c r="C49" s="177" t="s">
        <v>9079</v>
      </c>
      <c r="D49" s="177" t="s">
        <v>9149</v>
      </c>
      <c r="E49" s="190">
        <f>KOHC!E99</f>
        <v>5024.2802600000005</v>
      </c>
      <c r="F49" s="190">
        <f>AVERAGE(KOHC!D41,KOHC!E41)</f>
        <v>24734.879800999999</v>
      </c>
      <c r="G49" s="190">
        <f t="shared" si="0"/>
        <v>0.20312531536122019</v>
      </c>
      <c r="H49" s="190">
        <v>0.18440000000000001</v>
      </c>
      <c r="I49" s="177" t="str">
        <f t="shared" si="1"/>
        <v>No fit</v>
      </c>
      <c r="J49" s="177">
        <v>4</v>
      </c>
      <c r="K49" s="184" t="s">
        <v>23</v>
      </c>
      <c r="L49" s="184" t="s">
        <v>54</v>
      </c>
    </row>
    <row r="50" spans="1:12" ht="64.05" customHeight="1" x14ac:dyDescent="0.3">
      <c r="A50" s="180" t="s">
        <v>18</v>
      </c>
      <c r="B50" s="180">
        <v>2023</v>
      </c>
      <c r="C50" s="180" t="s">
        <v>9079</v>
      </c>
      <c r="D50" s="180" t="s">
        <v>9148</v>
      </c>
      <c r="E50" s="189">
        <f>KOHC!F99</f>
        <v>5820.7511449999965</v>
      </c>
      <c r="F50" s="189">
        <f>KOHC!F41</f>
        <v>32610.044972</v>
      </c>
      <c r="G50" s="189">
        <f t="shared" si="0"/>
        <v>0.17849564911664104</v>
      </c>
      <c r="H50" s="189">
        <v>0.17849999999999999</v>
      </c>
      <c r="I50" s="180" t="str">
        <f t="shared" si="1"/>
        <v>Numeric fit</v>
      </c>
      <c r="J50" s="180">
        <v>4</v>
      </c>
      <c r="K50" s="183" t="s">
        <v>23</v>
      </c>
      <c r="L50" s="183" t="s">
        <v>54</v>
      </c>
    </row>
    <row r="51" spans="1:12" ht="64.05" customHeight="1" x14ac:dyDescent="0.3">
      <c r="A51" s="177" t="s">
        <v>18</v>
      </c>
      <c r="B51" s="177">
        <v>2023</v>
      </c>
      <c r="C51" s="177" t="s">
        <v>9079</v>
      </c>
      <c r="D51" s="177" t="s">
        <v>9149</v>
      </c>
      <c r="E51" s="190">
        <f>KOHC!F99</f>
        <v>5820.7511449999965</v>
      </c>
      <c r="F51" s="190">
        <f>AVERAGE(KOHC!E41,KOHC!F41)</f>
        <v>29928.132601500001</v>
      </c>
      <c r="G51" s="190">
        <f t="shared" si="0"/>
        <v>0.19449095680324069</v>
      </c>
      <c r="H51" s="190">
        <v>0.17849999999999999</v>
      </c>
      <c r="I51" s="177" t="str">
        <f t="shared" si="1"/>
        <v>No fit</v>
      </c>
      <c r="J51" s="177">
        <v>4</v>
      </c>
      <c r="K51" s="184" t="s">
        <v>23</v>
      </c>
      <c r="L51" s="184" t="s">
        <v>54</v>
      </c>
    </row>
    <row r="52" spans="1:12" ht="64.05" customHeight="1" x14ac:dyDescent="0.3">
      <c r="A52" s="180" t="s">
        <v>18</v>
      </c>
      <c r="B52" s="180">
        <v>2024</v>
      </c>
      <c r="C52" s="180" t="s">
        <v>9079</v>
      </c>
      <c r="D52" s="180" t="s">
        <v>9148</v>
      </c>
      <c r="E52" s="189">
        <f>KOHC!G99</f>
        <v>8893.4547870000024</v>
      </c>
      <c r="F52" s="189">
        <f>KOHC!G41</f>
        <v>41090.305291000004</v>
      </c>
      <c r="G52" s="189">
        <f t="shared" si="0"/>
        <v>0.21643681457260755</v>
      </c>
      <c r="H52" s="189">
        <v>0.21640000000000001</v>
      </c>
      <c r="I52" s="180" t="str">
        <f t="shared" si="1"/>
        <v>Numeric fit</v>
      </c>
      <c r="J52" s="180">
        <v>4</v>
      </c>
      <c r="K52" s="183" t="s">
        <v>23</v>
      </c>
      <c r="L52" s="183" t="s">
        <v>54</v>
      </c>
    </row>
    <row r="53" spans="1:12" ht="64.05" customHeight="1" x14ac:dyDescent="0.3">
      <c r="A53" s="177" t="s">
        <v>18</v>
      </c>
      <c r="B53" s="177">
        <v>2024</v>
      </c>
      <c r="C53" s="177" t="s">
        <v>9079</v>
      </c>
      <c r="D53" s="177" t="s">
        <v>9149</v>
      </c>
      <c r="E53" s="190">
        <f>KOHC!G99</f>
        <v>8893.4547870000024</v>
      </c>
      <c r="F53" s="190">
        <f>AVERAGE(KOHC!F41,KOHC!G41)</f>
        <v>36850.1751315</v>
      </c>
      <c r="G53" s="190">
        <f t="shared" si="0"/>
        <v>0.24134090965005384</v>
      </c>
      <c r="H53" s="190">
        <v>0.21640000000000001</v>
      </c>
      <c r="I53" s="177" t="str">
        <f t="shared" si="1"/>
        <v>No fit</v>
      </c>
      <c r="J53" s="177">
        <v>4</v>
      </c>
      <c r="K53" s="184" t="s">
        <v>23</v>
      </c>
      <c r="L53" s="184" t="s">
        <v>54</v>
      </c>
    </row>
    <row r="54" spans="1:12" ht="64.05" customHeight="1" x14ac:dyDescent="0.3">
      <c r="A54" s="180" t="s">
        <v>18</v>
      </c>
      <c r="B54" s="180">
        <v>2025</v>
      </c>
      <c r="C54" s="180" t="s">
        <v>9079</v>
      </c>
      <c r="D54" s="180" t="s">
        <v>9148</v>
      </c>
      <c r="E54" s="189">
        <f>KOHC!H99</f>
        <v>11575.154071000001</v>
      </c>
      <c r="F54" s="189">
        <f>KOHC!H41</f>
        <v>47955.194787</v>
      </c>
      <c r="G54" s="189">
        <f t="shared" si="0"/>
        <v>0.24137435208870983</v>
      </c>
      <c r="H54" s="189">
        <v>0.2414</v>
      </c>
      <c r="I54" s="180" t="str">
        <f t="shared" si="1"/>
        <v>Numeric fit</v>
      </c>
      <c r="J54" s="180">
        <v>4</v>
      </c>
      <c r="K54" s="183" t="s">
        <v>23</v>
      </c>
      <c r="L54" s="183" t="s">
        <v>54</v>
      </c>
    </row>
    <row r="55" spans="1:12" ht="64.05" customHeight="1" x14ac:dyDescent="0.3">
      <c r="A55" s="177" t="s">
        <v>18</v>
      </c>
      <c r="B55" s="177">
        <v>2025</v>
      </c>
      <c r="C55" s="177" t="s">
        <v>9079</v>
      </c>
      <c r="D55" s="177" t="s">
        <v>9149</v>
      </c>
      <c r="E55" s="190">
        <f>KOHC!H99</f>
        <v>11575.154071000001</v>
      </c>
      <c r="F55" s="190">
        <f>AVERAGE(KOHC!G41,KOHC!H41)</f>
        <v>44522.750039000006</v>
      </c>
      <c r="G55" s="190">
        <f t="shared" si="0"/>
        <v>0.25998290898160303</v>
      </c>
      <c r="H55" s="190">
        <v>0.2414</v>
      </c>
      <c r="I55" s="177" t="str">
        <f t="shared" si="1"/>
        <v>No fit</v>
      </c>
      <c r="J55" s="177">
        <v>4</v>
      </c>
      <c r="K55" s="184" t="s">
        <v>23</v>
      </c>
      <c r="L55" s="184" t="s">
        <v>54</v>
      </c>
    </row>
    <row r="56" spans="1:12" ht="64.05" customHeight="1" x14ac:dyDescent="0.3">
      <c r="A56" s="180" t="s">
        <v>68</v>
      </c>
      <c r="B56" s="180">
        <v>2021</v>
      </c>
      <c r="C56" s="180" t="s">
        <v>9036</v>
      </c>
      <c r="D56" s="180" t="s">
        <v>9148</v>
      </c>
      <c r="E56" s="189">
        <f>-LUCK!D85</f>
        <v>43984.873</v>
      </c>
      <c r="F56" s="189">
        <f>LUCK!D65</f>
        <v>13631.61</v>
      </c>
      <c r="G56" s="189">
        <f t="shared" si="0"/>
        <v>3.2266821747394472</v>
      </c>
      <c r="H56" s="189">
        <v>3.81</v>
      </c>
      <c r="I56" s="180" t="str">
        <f t="shared" si="1"/>
        <v>No fit</v>
      </c>
      <c r="J56" s="180">
        <v>2</v>
      </c>
      <c r="K56" s="183" t="s">
        <v>70</v>
      </c>
      <c r="L56" s="183" t="s">
        <v>69</v>
      </c>
    </row>
    <row r="57" spans="1:12" ht="64.05" customHeight="1" x14ac:dyDescent="0.3">
      <c r="A57" s="177" t="s">
        <v>68</v>
      </c>
      <c r="B57" s="177">
        <v>2021</v>
      </c>
      <c r="C57" s="177" t="s">
        <v>9036</v>
      </c>
      <c r="D57" s="177" t="s">
        <v>9149</v>
      </c>
      <c r="E57" s="190">
        <f>-LUCK!D85</f>
        <v>43984.873</v>
      </c>
      <c r="F57" s="190">
        <f>AVERAGE(LUCK!C65,LUCK!D65)</f>
        <v>11533.666000000001</v>
      </c>
      <c r="G57" s="190">
        <f t="shared" si="0"/>
        <v>3.8136073127139278</v>
      </c>
      <c r="H57" s="190">
        <v>3.81</v>
      </c>
      <c r="I57" s="177" t="str">
        <f t="shared" si="1"/>
        <v>Numeric fit</v>
      </c>
      <c r="J57" s="177">
        <v>2</v>
      </c>
      <c r="K57" s="184" t="s">
        <v>70</v>
      </c>
      <c r="L57" s="184" t="s">
        <v>69</v>
      </c>
    </row>
    <row r="58" spans="1:12" ht="64.05" customHeight="1" x14ac:dyDescent="0.3">
      <c r="A58" s="180" t="s">
        <v>68</v>
      </c>
      <c r="B58" s="180">
        <v>2022</v>
      </c>
      <c r="C58" s="180" t="s">
        <v>9036</v>
      </c>
      <c r="D58" s="180" t="s">
        <v>9148</v>
      </c>
      <c r="E58" s="189">
        <f>-LUCK!E85</f>
        <v>58541.684000000001</v>
      </c>
      <c r="F58" s="189">
        <f>LUCK!E65</f>
        <v>18378.207000000002</v>
      </c>
      <c r="G58" s="189">
        <f t="shared" si="0"/>
        <v>3.185386039018931</v>
      </c>
      <c r="H58" s="189">
        <v>3.66</v>
      </c>
      <c r="I58" s="180" t="str">
        <f t="shared" si="1"/>
        <v>No fit</v>
      </c>
      <c r="J58" s="180">
        <v>2</v>
      </c>
      <c r="K58" s="183" t="s">
        <v>70</v>
      </c>
      <c r="L58" s="183" t="s">
        <v>69</v>
      </c>
    </row>
    <row r="59" spans="1:12" ht="64.05" customHeight="1" x14ac:dyDescent="0.3">
      <c r="A59" s="177" t="s">
        <v>68</v>
      </c>
      <c r="B59" s="177">
        <v>2022</v>
      </c>
      <c r="C59" s="177" t="s">
        <v>9036</v>
      </c>
      <c r="D59" s="177" t="s">
        <v>9149</v>
      </c>
      <c r="E59" s="190">
        <f>-LUCK!E85</f>
        <v>58541.684000000001</v>
      </c>
      <c r="F59" s="190">
        <f>AVERAGE(LUCK!D65,LUCK!E65)</f>
        <v>16004.908500000001</v>
      </c>
      <c r="G59" s="190">
        <f t="shared" si="0"/>
        <v>3.657733126059421</v>
      </c>
      <c r="H59" s="190">
        <v>3.66</v>
      </c>
      <c r="I59" s="177" t="str">
        <f t="shared" si="1"/>
        <v>Numeric fit</v>
      </c>
      <c r="J59" s="177">
        <v>2</v>
      </c>
      <c r="K59" s="184" t="s">
        <v>70</v>
      </c>
      <c r="L59" s="184" t="s">
        <v>69</v>
      </c>
    </row>
    <row r="60" spans="1:12" ht="64.05" customHeight="1" x14ac:dyDescent="0.3">
      <c r="A60" s="180" t="s">
        <v>68</v>
      </c>
      <c r="B60" s="180">
        <v>2023</v>
      </c>
      <c r="C60" s="180" t="s">
        <v>9036</v>
      </c>
      <c r="D60" s="180" t="s">
        <v>9148</v>
      </c>
      <c r="E60" s="189">
        <f>-LUCK!F85</f>
        <v>69771.468999999997</v>
      </c>
      <c r="F60" s="189">
        <f>LUCK!F65</f>
        <v>20132.525000000001</v>
      </c>
      <c r="G60" s="189">
        <f t="shared" si="0"/>
        <v>3.46560945534651</v>
      </c>
      <c r="H60" s="189">
        <v>3.62</v>
      </c>
      <c r="I60" s="180" t="str">
        <f t="shared" si="1"/>
        <v>No fit</v>
      </c>
      <c r="J60" s="180">
        <v>2</v>
      </c>
      <c r="K60" s="183" t="s">
        <v>70</v>
      </c>
      <c r="L60" s="183" t="s">
        <v>69</v>
      </c>
    </row>
    <row r="61" spans="1:12" ht="64.05" customHeight="1" x14ac:dyDescent="0.3">
      <c r="A61" s="177" t="s">
        <v>68</v>
      </c>
      <c r="B61" s="177">
        <v>2023</v>
      </c>
      <c r="C61" s="177" t="s">
        <v>9036</v>
      </c>
      <c r="D61" s="177" t="s">
        <v>9149</v>
      </c>
      <c r="E61" s="190">
        <f>-LUCK!F85</f>
        <v>69771.468999999997</v>
      </c>
      <c r="F61" s="190">
        <f>AVERAGE(LUCK!E65,LUCK!F65)</f>
        <v>19255.366000000002</v>
      </c>
      <c r="G61" s="190">
        <f t="shared" si="0"/>
        <v>3.6234818387767853</v>
      </c>
      <c r="H61" s="190">
        <v>3.62</v>
      </c>
      <c r="I61" s="177" t="str">
        <f t="shared" si="1"/>
        <v>Numeric fit</v>
      </c>
      <c r="J61" s="177">
        <v>2</v>
      </c>
      <c r="K61" s="184" t="s">
        <v>70</v>
      </c>
      <c r="L61" s="184" t="s">
        <v>69</v>
      </c>
    </row>
    <row r="62" spans="1:12" ht="64.05" customHeight="1" x14ac:dyDescent="0.3">
      <c r="A62" s="180" t="s">
        <v>68</v>
      </c>
      <c r="B62" s="180">
        <v>2024</v>
      </c>
      <c r="C62" s="180" t="s">
        <v>9036</v>
      </c>
      <c r="D62" s="180" t="s">
        <v>9148</v>
      </c>
      <c r="E62" s="189">
        <f>-LUCK!G85</f>
        <v>76520.37</v>
      </c>
      <c r="F62" s="189">
        <f>LUCK!G65</f>
        <v>23097.246999999999</v>
      </c>
      <c r="G62" s="189">
        <f t="shared" si="0"/>
        <v>3.3129649607158811</v>
      </c>
      <c r="H62" s="189">
        <v>3.54</v>
      </c>
      <c r="I62" s="180" t="str">
        <f t="shared" si="1"/>
        <v>No fit</v>
      </c>
      <c r="J62" s="180">
        <v>2</v>
      </c>
      <c r="K62" s="183" t="s">
        <v>70</v>
      </c>
      <c r="L62" s="183" t="s">
        <v>69</v>
      </c>
    </row>
    <row r="63" spans="1:12" ht="64.05" customHeight="1" x14ac:dyDescent="0.3">
      <c r="A63" s="177" t="s">
        <v>68</v>
      </c>
      <c r="B63" s="177">
        <v>2024</v>
      </c>
      <c r="C63" s="177" t="s">
        <v>9036</v>
      </c>
      <c r="D63" s="177" t="s">
        <v>9149</v>
      </c>
      <c r="E63" s="190">
        <f>-LUCK!G85</f>
        <v>76520.37</v>
      </c>
      <c r="F63" s="190">
        <f>AVERAGE(LUCK!F65,LUCK!G65)</f>
        <v>21614.885999999999</v>
      </c>
      <c r="G63" s="190">
        <f t="shared" si="0"/>
        <v>3.5401699550948362</v>
      </c>
      <c r="H63" s="190">
        <v>3.54</v>
      </c>
      <c r="I63" s="177" t="str">
        <f t="shared" si="1"/>
        <v>Numeric fit</v>
      </c>
      <c r="J63" s="177">
        <v>2</v>
      </c>
      <c r="K63" s="184" t="s">
        <v>70</v>
      </c>
      <c r="L63" s="184" t="s">
        <v>69</v>
      </c>
    </row>
    <row r="64" spans="1:12" ht="64.05" customHeight="1" x14ac:dyDescent="0.3">
      <c r="A64" s="180" t="s">
        <v>68</v>
      </c>
      <c r="B64" s="180">
        <v>2025</v>
      </c>
      <c r="C64" s="180" t="s">
        <v>9036</v>
      </c>
      <c r="D64" s="180" t="s">
        <v>9148</v>
      </c>
      <c r="E64" s="189">
        <f>-LUCK!H85</f>
        <v>81827.06</v>
      </c>
      <c r="F64" s="189">
        <f>LUCK!H65</f>
        <v>24669.707000000002</v>
      </c>
      <c r="G64" s="189">
        <f t="shared" si="0"/>
        <v>3.316904412362903</v>
      </c>
      <c r="H64" s="189">
        <v>3.43</v>
      </c>
      <c r="I64" s="180" t="str">
        <f t="shared" si="1"/>
        <v>No fit</v>
      </c>
      <c r="J64" s="180">
        <v>2</v>
      </c>
      <c r="K64" s="183" t="s">
        <v>70</v>
      </c>
      <c r="L64" s="183" t="s">
        <v>69</v>
      </c>
    </row>
    <row r="65" spans="1:12" ht="64.05" customHeight="1" x14ac:dyDescent="0.3">
      <c r="A65" s="177" t="s">
        <v>68</v>
      </c>
      <c r="B65" s="177">
        <v>2025</v>
      </c>
      <c r="C65" s="177" t="s">
        <v>9036</v>
      </c>
      <c r="D65" s="177" t="s">
        <v>9149</v>
      </c>
      <c r="E65" s="190">
        <f>-LUCK!H85</f>
        <v>81827.06</v>
      </c>
      <c r="F65" s="190">
        <f>AVERAGE(LUCK!G65,LUCK!H65)</f>
        <v>23883.476999999999</v>
      </c>
      <c r="G65" s="190">
        <f t="shared" si="0"/>
        <v>3.4260949525900268</v>
      </c>
      <c r="H65" s="190">
        <v>3.43</v>
      </c>
      <c r="I65" s="177" t="str">
        <f t="shared" si="1"/>
        <v>Numeric fit</v>
      </c>
      <c r="J65" s="177">
        <v>2</v>
      </c>
      <c r="K65" s="184" t="s">
        <v>70</v>
      </c>
      <c r="L65" s="184" t="s">
        <v>69</v>
      </c>
    </row>
    <row r="66" spans="1:12" ht="64.05" customHeight="1" x14ac:dyDescent="0.3">
      <c r="A66" s="180" t="s">
        <v>68</v>
      </c>
      <c r="B66" s="180">
        <v>2021</v>
      </c>
      <c r="C66" s="180" t="s">
        <v>9045</v>
      </c>
      <c r="D66" s="180" t="s">
        <v>9148</v>
      </c>
      <c r="E66" s="189">
        <f>365*LUCK!D32</f>
        <v>989179.56500000006</v>
      </c>
      <c r="F66" s="189">
        <f>LUCK!D84</f>
        <v>62940.805</v>
      </c>
      <c r="G66" s="189">
        <f t="shared" si="0"/>
        <v>15.716029767970079</v>
      </c>
      <c r="H66" s="189">
        <v>17.78</v>
      </c>
      <c r="I66" s="180" t="str">
        <f t="shared" si="1"/>
        <v>No fit</v>
      </c>
      <c r="J66" s="180">
        <v>2</v>
      </c>
      <c r="K66" s="183" t="s">
        <v>70</v>
      </c>
      <c r="L66" s="183" t="s">
        <v>72</v>
      </c>
    </row>
    <row r="67" spans="1:12" ht="64.05" customHeight="1" x14ac:dyDescent="0.3">
      <c r="A67" s="177" t="s">
        <v>68</v>
      </c>
      <c r="B67" s="177">
        <v>2021</v>
      </c>
      <c r="C67" s="177" t="s">
        <v>9045</v>
      </c>
      <c r="D67" s="177" t="s">
        <v>9149</v>
      </c>
      <c r="E67" s="190">
        <f>365*AVERAGE(LUCK!C32,LUCK!D32)</f>
        <v>1119244.76</v>
      </c>
      <c r="F67" s="190">
        <f>LUCK!D84</f>
        <v>62940.805</v>
      </c>
      <c r="G67" s="190">
        <f t="shared" si="0"/>
        <v>17.782498333156049</v>
      </c>
      <c r="H67" s="190">
        <v>17.78</v>
      </c>
      <c r="I67" s="177" t="str">
        <f t="shared" si="1"/>
        <v>Numeric fit</v>
      </c>
      <c r="J67" s="177">
        <v>2</v>
      </c>
      <c r="K67" s="184" t="s">
        <v>70</v>
      </c>
      <c r="L67" s="184" t="s">
        <v>72</v>
      </c>
    </row>
    <row r="68" spans="1:12" ht="64.05" customHeight="1" x14ac:dyDescent="0.3">
      <c r="A68" s="180" t="s">
        <v>68</v>
      </c>
      <c r="B68" s="180">
        <v>2022</v>
      </c>
      <c r="C68" s="180" t="s">
        <v>9045</v>
      </c>
      <c r="D68" s="180" t="s">
        <v>9148</v>
      </c>
      <c r="E68" s="189">
        <f>365*LUCK!E32</f>
        <v>1285869.8149999999</v>
      </c>
      <c r="F68" s="189">
        <f>LUCK!E84</f>
        <v>81093.524999999994</v>
      </c>
      <c r="G68" s="189">
        <f t="shared" si="0"/>
        <v>15.856627455767892</v>
      </c>
      <c r="H68" s="189">
        <v>14.03</v>
      </c>
      <c r="I68" s="180" t="str">
        <f t="shared" si="1"/>
        <v>No fit</v>
      </c>
      <c r="J68" s="180">
        <v>2</v>
      </c>
      <c r="K68" s="183" t="s">
        <v>70</v>
      </c>
      <c r="L68" s="183" t="s">
        <v>72</v>
      </c>
    </row>
    <row r="69" spans="1:12" ht="64.05" customHeight="1" x14ac:dyDescent="0.3">
      <c r="A69" s="177" t="s">
        <v>68</v>
      </c>
      <c r="B69" s="177">
        <v>2022</v>
      </c>
      <c r="C69" s="177" t="s">
        <v>9045</v>
      </c>
      <c r="D69" s="177" t="s">
        <v>9149</v>
      </c>
      <c r="E69" s="190">
        <f>365*AVERAGE(LUCK!D32,LUCK!E32)</f>
        <v>1137524.6900000002</v>
      </c>
      <c r="F69" s="190">
        <f>LUCK!E84</f>
        <v>81093.524999999994</v>
      </c>
      <c r="G69" s="190">
        <f t="shared" si="0"/>
        <v>14.027318333985361</v>
      </c>
      <c r="H69" s="190">
        <v>14.03</v>
      </c>
      <c r="I69" s="177" t="str">
        <f t="shared" si="1"/>
        <v>Numeric fit</v>
      </c>
      <c r="J69" s="177">
        <v>2</v>
      </c>
      <c r="K69" s="184" t="s">
        <v>70</v>
      </c>
      <c r="L69" s="184" t="s">
        <v>72</v>
      </c>
    </row>
    <row r="70" spans="1:12" ht="64.05" customHeight="1" x14ac:dyDescent="0.3">
      <c r="A70" s="180" t="s">
        <v>68</v>
      </c>
      <c r="B70" s="180">
        <v>2023</v>
      </c>
      <c r="C70" s="180" t="s">
        <v>9045</v>
      </c>
      <c r="D70" s="180" t="s">
        <v>9148</v>
      </c>
      <c r="E70" s="189">
        <f>365*LUCK!F32</f>
        <v>1857728.4550000001</v>
      </c>
      <c r="F70" s="189">
        <f>LUCK!F84</f>
        <v>95832.146999999997</v>
      </c>
      <c r="G70" s="189">
        <f t="shared" ref="G70:G133" si="2">IF(AND(ISNUMBER(E70),ISNUMBER(F70),F70&lt;&gt;0),E70/F70,"n/m")</f>
        <v>19.385232546235244</v>
      </c>
      <c r="H70" s="189">
        <v>16.399999999999999</v>
      </c>
      <c r="I70" s="180" t="str">
        <f t="shared" ref="I70:I133" si="3">IF(ISNUMBER(H70),IF(ROUND(G70,J70)=ROUND(H70,J70),"Numeric fit","No fit"),"No identical published series")</f>
        <v>No fit</v>
      </c>
      <c r="J70" s="180">
        <v>2</v>
      </c>
      <c r="K70" s="183" t="s">
        <v>70</v>
      </c>
      <c r="L70" s="183" t="s">
        <v>72</v>
      </c>
    </row>
    <row r="71" spans="1:12" ht="64.05" customHeight="1" x14ac:dyDescent="0.3">
      <c r="A71" s="177" t="s">
        <v>68</v>
      </c>
      <c r="B71" s="177">
        <v>2023</v>
      </c>
      <c r="C71" s="177" t="s">
        <v>9045</v>
      </c>
      <c r="D71" s="177" t="s">
        <v>9149</v>
      </c>
      <c r="E71" s="190">
        <f>365*AVERAGE(LUCK!E32,LUCK!F32)</f>
        <v>1571799.135</v>
      </c>
      <c r="F71" s="190">
        <f>LUCK!F84</f>
        <v>95832.146999999997</v>
      </c>
      <c r="G71" s="190">
        <f t="shared" si="2"/>
        <v>16.401585315624828</v>
      </c>
      <c r="H71" s="190">
        <v>16.399999999999999</v>
      </c>
      <c r="I71" s="177" t="str">
        <f t="shared" si="3"/>
        <v>Numeric fit</v>
      </c>
      <c r="J71" s="177">
        <v>2</v>
      </c>
      <c r="K71" s="184" t="s">
        <v>70</v>
      </c>
      <c r="L71" s="184" t="s">
        <v>72</v>
      </c>
    </row>
    <row r="72" spans="1:12" ht="64.05" customHeight="1" x14ac:dyDescent="0.3">
      <c r="A72" s="180" t="s">
        <v>68</v>
      </c>
      <c r="B72" s="180">
        <v>2024</v>
      </c>
      <c r="C72" s="180" t="s">
        <v>9045</v>
      </c>
      <c r="D72" s="180" t="s">
        <v>9148</v>
      </c>
      <c r="E72" s="189">
        <f>365*LUCK!G32</f>
        <v>2530354.835</v>
      </c>
      <c r="F72" s="189">
        <f>LUCK!G84</f>
        <v>115324.942</v>
      </c>
      <c r="G72" s="189">
        <f t="shared" si="2"/>
        <v>21.941089161787744</v>
      </c>
      <c r="H72" s="189">
        <v>19.02</v>
      </c>
      <c r="I72" s="180" t="str">
        <f t="shared" si="3"/>
        <v>No fit</v>
      </c>
      <c r="J72" s="180">
        <v>2</v>
      </c>
      <c r="K72" s="183" t="s">
        <v>70</v>
      </c>
      <c r="L72" s="183" t="s">
        <v>72</v>
      </c>
    </row>
    <row r="73" spans="1:12" ht="64.05" customHeight="1" x14ac:dyDescent="0.3">
      <c r="A73" s="177" t="s">
        <v>68</v>
      </c>
      <c r="B73" s="177">
        <v>2024</v>
      </c>
      <c r="C73" s="177" t="s">
        <v>9045</v>
      </c>
      <c r="D73" s="177" t="s">
        <v>9149</v>
      </c>
      <c r="E73" s="190">
        <f>365*AVERAGE(LUCK!F32,LUCK!G32)</f>
        <v>2194041.645</v>
      </c>
      <c r="F73" s="190">
        <f>LUCK!G84</f>
        <v>115324.942</v>
      </c>
      <c r="G73" s="190">
        <f t="shared" si="2"/>
        <v>19.024866667611246</v>
      </c>
      <c r="H73" s="190">
        <v>19.02</v>
      </c>
      <c r="I73" s="177" t="str">
        <f t="shared" si="3"/>
        <v>Numeric fit</v>
      </c>
      <c r="J73" s="177">
        <v>2</v>
      </c>
      <c r="K73" s="184" t="s">
        <v>70</v>
      </c>
      <c r="L73" s="184" t="s">
        <v>72</v>
      </c>
    </row>
    <row r="74" spans="1:12" ht="64.05" customHeight="1" x14ac:dyDescent="0.3">
      <c r="A74" s="180" t="s">
        <v>68</v>
      </c>
      <c r="B74" s="180">
        <v>2025</v>
      </c>
      <c r="C74" s="180" t="s">
        <v>9045</v>
      </c>
      <c r="D74" s="180" t="s">
        <v>9148</v>
      </c>
      <c r="E74" s="189">
        <f>365*LUCK!H32</f>
        <v>2318915.81</v>
      </c>
      <c r="F74" s="189">
        <f>LUCK!H84</f>
        <v>124511.74400000001</v>
      </c>
      <c r="G74" s="189">
        <f t="shared" si="2"/>
        <v>18.624073003105636</v>
      </c>
      <c r="H74" s="189">
        <v>19.48</v>
      </c>
      <c r="I74" s="180" t="str">
        <f t="shared" si="3"/>
        <v>No fit</v>
      </c>
      <c r="J74" s="180">
        <v>2</v>
      </c>
      <c r="K74" s="183" t="s">
        <v>70</v>
      </c>
      <c r="L74" s="183" t="s">
        <v>5762</v>
      </c>
    </row>
    <row r="75" spans="1:12" ht="64.05" customHeight="1" x14ac:dyDescent="0.3">
      <c r="A75" s="177" t="s">
        <v>68</v>
      </c>
      <c r="B75" s="177">
        <v>2025</v>
      </c>
      <c r="C75" s="177" t="s">
        <v>9045</v>
      </c>
      <c r="D75" s="177" t="s">
        <v>9149</v>
      </c>
      <c r="E75" s="190">
        <f>365*AVERAGE(LUCK!G32,LUCK!H32)</f>
        <v>2424635.3225000002</v>
      </c>
      <c r="F75" s="190">
        <f>LUCK!H84</f>
        <v>124511.74400000001</v>
      </c>
      <c r="G75" s="190">
        <f t="shared" si="2"/>
        <v>19.473145621508603</v>
      </c>
      <c r="H75" s="190">
        <v>19.48</v>
      </c>
      <c r="I75" s="177" t="str">
        <f t="shared" si="3"/>
        <v>No fit</v>
      </c>
      <c r="J75" s="177">
        <v>2</v>
      </c>
      <c r="K75" s="184" t="s">
        <v>70</v>
      </c>
      <c r="L75" s="184" t="s">
        <v>5762</v>
      </c>
    </row>
    <row r="76" spans="1:12" ht="64.05" customHeight="1" x14ac:dyDescent="0.3">
      <c r="A76" s="180" t="s">
        <v>68</v>
      </c>
      <c r="B76" s="180">
        <v>2021</v>
      </c>
      <c r="C76" s="180" t="s">
        <v>9052</v>
      </c>
      <c r="D76" s="180" t="s">
        <v>9148</v>
      </c>
      <c r="E76" s="189">
        <f>LUCK!D84</f>
        <v>62940.805</v>
      </c>
      <c r="F76" s="189">
        <f>LUCK!D37</f>
        <v>156368.06200000001</v>
      </c>
      <c r="G76" s="189">
        <f t="shared" si="2"/>
        <v>0.40251701143421476</v>
      </c>
      <c r="H76" s="189">
        <v>0.4</v>
      </c>
      <c r="I76" s="180" t="str">
        <f t="shared" si="3"/>
        <v>Numeric fit</v>
      </c>
      <c r="J76" s="180">
        <v>2</v>
      </c>
      <c r="K76" s="183" t="s">
        <v>70</v>
      </c>
      <c r="L76" s="183" t="s">
        <v>46</v>
      </c>
    </row>
    <row r="77" spans="1:12" ht="64.05" customHeight="1" x14ac:dyDescent="0.3">
      <c r="A77" s="177" t="s">
        <v>68</v>
      </c>
      <c r="B77" s="177">
        <v>2021</v>
      </c>
      <c r="C77" s="177" t="s">
        <v>9052</v>
      </c>
      <c r="D77" s="177" t="s">
        <v>9149</v>
      </c>
      <c r="E77" s="190">
        <f>LUCK!D84</f>
        <v>62940.805</v>
      </c>
      <c r="F77" s="190">
        <f>AVERAGE(LUCK!C37,LUCK!D37)</f>
        <v>146118.26799999998</v>
      </c>
      <c r="G77" s="190">
        <f t="shared" si="2"/>
        <v>0.43075247100519976</v>
      </c>
      <c r="H77" s="190">
        <v>0.4</v>
      </c>
      <c r="I77" s="177" t="str">
        <f t="shared" si="3"/>
        <v>No fit</v>
      </c>
      <c r="J77" s="177">
        <v>2</v>
      </c>
      <c r="K77" s="184" t="s">
        <v>70</v>
      </c>
      <c r="L77" s="184" t="s">
        <v>46</v>
      </c>
    </row>
    <row r="78" spans="1:12" ht="64.05" customHeight="1" x14ac:dyDescent="0.3">
      <c r="A78" s="180" t="s">
        <v>68</v>
      </c>
      <c r="B78" s="180">
        <v>2022</v>
      </c>
      <c r="C78" s="180" t="s">
        <v>9052</v>
      </c>
      <c r="D78" s="180" t="s">
        <v>9148</v>
      </c>
      <c r="E78" s="189">
        <f>LUCK!E84</f>
        <v>81093.524999999994</v>
      </c>
      <c r="F78" s="189">
        <f>LUCK!E37</f>
        <v>184962.36800000002</v>
      </c>
      <c r="G78" s="189">
        <f t="shared" si="2"/>
        <v>0.4384325626713429</v>
      </c>
      <c r="H78" s="189">
        <v>0.44</v>
      </c>
      <c r="I78" s="180" t="str">
        <f t="shared" si="3"/>
        <v>Numeric fit</v>
      </c>
      <c r="J78" s="180">
        <v>2</v>
      </c>
      <c r="K78" s="183" t="s">
        <v>70</v>
      </c>
      <c r="L78" s="183" t="s">
        <v>46</v>
      </c>
    </row>
    <row r="79" spans="1:12" ht="64.05" customHeight="1" x14ac:dyDescent="0.3">
      <c r="A79" s="177" t="s">
        <v>68</v>
      </c>
      <c r="B79" s="177">
        <v>2022</v>
      </c>
      <c r="C79" s="177" t="s">
        <v>9052</v>
      </c>
      <c r="D79" s="177" t="s">
        <v>9149</v>
      </c>
      <c r="E79" s="190">
        <f>LUCK!E84</f>
        <v>81093.524999999994</v>
      </c>
      <c r="F79" s="190">
        <f>AVERAGE(LUCK!D37,LUCK!E37)</f>
        <v>170665.21500000003</v>
      </c>
      <c r="G79" s="190">
        <f t="shared" si="2"/>
        <v>0.47516141470304879</v>
      </c>
      <c r="H79" s="190">
        <v>0.44</v>
      </c>
      <c r="I79" s="177" t="str">
        <f t="shared" si="3"/>
        <v>No fit</v>
      </c>
      <c r="J79" s="177">
        <v>2</v>
      </c>
      <c r="K79" s="184" t="s">
        <v>70</v>
      </c>
      <c r="L79" s="184" t="s">
        <v>46</v>
      </c>
    </row>
    <row r="80" spans="1:12" ht="64.05" customHeight="1" x14ac:dyDescent="0.3">
      <c r="A80" s="180" t="s">
        <v>68</v>
      </c>
      <c r="B80" s="180">
        <v>2023</v>
      </c>
      <c r="C80" s="180" t="s">
        <v>9052</v>
      </c>
      <c r="D80" s="180" t="s">
        <v>9148</v>
      </c>
      <c r="E80" s="189">
        <f>LUCK!F84</f>
        <v>95832.146999999997</v>
      </c>
      <c r="F80" s="189">
        <f>LUCK!F37</f>
        <v>213079.06700000001</v>
      </c>
      <c r="G80" s="189">
        <f t="shared" si="2"/>
        <v>0.44974923322711935</v>
      </c>
      <c r="H80" s="189">
        <v>0.45</v>
      </c>
      <c r="I80" s="180" t="str">
        <f t="shared" si="3"/>
        <v>Numeric fit</v>
      </c>
      <c r="J80" s="180">
        <v>2</v>
      </c>
      <c r="K80" s="183" t="s">
        <v>70</v>
      </c>
      <c r="L80" s="183" t="s">
        <v>46</v>
      </c>
    </row>
    <row r="81" spans="1:12" ht="64.05" customHeight="1" x14ac:dyDescent="0.3">
      <c r="A81" s="177" t="s">
        <v>68</v>
      </c>
      <c r="B81" s="177">
        <v>2023</v>
      </c>
      <c r="C81" s="177" t="s">
        <v>9052</v>
      </c>
      <c r="D81" s="177" t="s">
        <v>9149</v>
      </c>
      <c r="E81" s="190">
        <f>LUCK!F84</f>
        <v>95832.146999999997</v>
      </c>
      <c r="F81" s="190">
        <f>AVERAGE(LUCK!E37,LUCK!F37)</f>
        <v>199020.71750000003</v>
      </c>
      <c r="G81" s="190">
        <f t="shared" si="2"/>
        <v>0.4815184479475107</v>
      </c>
      <c r="H81" s="190">
        <v>0.45</v>
      </c>
      <c r="I81" s="177" t="str">
        <f t="shared" si="3"/>
        <v>No fit</v>
      </c>
      <c r="J81" s="177">
        <v>2</v>
      </c>
      <c r="K81" s="184" t="s">
        <v>70</v>
      </c>
      <c r="L81" s="184" t="s">
        <v>46</v>
      </c>
    </row>
    <row r="82" spans="1:12" ht="64.05" customHeight="1" x14ac:dyDescent="0.3">
      <c r="A82" s="180" t="s">
        <v>68</v>
      </c>
      <c r="B82" s="180">
        <v>2024</v>
      </c>
      <c r="C82" s="180" t="s">
        <v>9052</v>
      </c>
      <c r="D82" s="180" t="s">
        <v>9148</v>
      </c>
      <c r="E82" s="189">
        <f>LUCK!G84</f>
        <v>115324.942</v>
      </c>
      <c r="F82" s="189">
        <f>LUCK!G37</f>
        <v>234018.09</v>
      </c>
      <c r="G82" s="189">
        <f t="shared" si="2"/>
        <v>0.49280353497458251</v>
      </c>
      <c r="H82" s="189">
        <v>0.49</v>
      </c>
      <c r="I82" s="180" t="str">
        <f t="shared" si="3"/>
        <v>Numeric fit</v>
      </c>
      <c r="J82" s="180">
        <v>2</v>
      </c>
      <c r="K82" s="183" t="s">
        <v>70</v>
      </c>
      <c r="L82" s="183" t="s">
        <v>46</v>
      </c>
    </row>
    <row r="83" spans="1:12" ht="64.05" customHeight="1" x14ac:dyDescent="0.3">
      <c r="A83" s="177" t="s">
        <v>68</v>
      </c>
      <c r="B83" s="177">
        <v>2024</v>
      </c>
      <c r="C83" s="177" t="s">
        <v>9052</v>
      </c>
      <c r="D83" s="177" t="s">
        <v>9149</v>
      </c>
      <c r="E83" s="190">
        <f>LUCK!G84</f>
        <v>115324.942</v>
      </c>
      <c r="F83" s="190">
        <f>AVERAGE(LUCK!F37,LUCK!G37)</f>
        <v>223548.5785</v>
      </c>
      <c r="G83" s="190">
        <f t="shared" si="2"/>
        <v>0.51588313723050583</v>
      </c>
      <c r="H83" s="190">
        <v>0.49</v>
      </c>
      <c r="I83" s="177" t="str">
        <f t="shared" si="3"/>
        <v>No fit</v>
      </c>
      <c r="J83" s="177">
        <v>2</v>
      </c>
      <c r="K83" s="184" t="s">
        <v>70</v>
      </c>
      <c r="L83" s="184" t="s">
        <v>46</v>
      </c>
    </row>
    <row r="84" spans="1:12" ht="64.05" customHeight="1" x14ac:dyDescent="0.3">
      <c r="A84" s="180" t="s">
        <v>68</v>
      </c>
      <c r="B84" s="180">
        <v>2025</v>
      </c>
      <c r="C84" s="180" t="s">
        <v>9052</v>
      </c>
      <c r="D84" s="180" t="s">
        <v>9148</v>
      </c>
      <c r="E84" s="189">
        <f>LUCK!H84</f>
        <v>124511.74400000001</v>
      </c>
      <c r="F84" s="189">
        <f>LUCK!H37</f>
        <v>266748.03000000003</v>
      </c>
      <c r="G84" s="189">
        <f t="shared" si="2"/>
        <v>0.46677662061834158</v>
      </c>
      <c r="H84" s="189">
        <v>0.47</v>
      </c>
      <c r="I84" s="180" t="str">
        <f t="shared" si="3"/>
        <v>Numeric fit</v>
      </c>
      <c r="J84" s="180">
        <v>2</v>
      </c>
      <c r="K84" s="183" t="s">
        <v>70</v>
      </c>
      <c r="L84" s="183" t="s">
        <v>46</v>
      </c>
    </row>
    <row r="85" spans="1:12" ht="64.05" customHeight="1" x14ac:dyDescent="0.3">
      <c r="A85" s="177" t="s">
        <v>68</v>
      </c>
      <c r="B85" s="177">
        <v>2025</v>
      </c>
      <c r="C85" s="177" t="s">
        <v>9052</v>
      </c>
      <c r="D85" s="177" t="s">
        <v>9149</v>
      </c>
      <c r="E85" s="190">
        <f>LUCK!H84</f>
        <v>124511.74400000001</v>
      </c>
      <c r="F85" s="190">
        <f>AVERAGE(LUCK!G37,LUCK!H37)</f>
        <v>250383.06</v>
      </c>
      <c r="G85" s="190">
        <f t="shared" si="2"/>
        <v>0.49728501600707337</v>
      </c>
      <c r="H85" s="190">
        <v>0.47</v>
      </c>
      <c r="I85" s="177" t="str">
        <f t="shared" si="3"/>
        <v>No fit</v>
      </c>
      <c r="J85" s="177">
        <v>2</v>
      </c>
      <c r="K85" s="184" t="s">
        <v>70</v>
      </c>
      <c r="L85" s="184" t="s">
        <v>46</v>
      </c>
    </row>
    <row r="86" spans="1:12" ht="64.05" customHeight="1" x14ac:dyDescent="0.3">
      <c r="A86" s="180" t="s">
        <v>68</v>
      </c>
      <c r="B86" s="180">
        <v>2021</v>
      </c>
      <c r="C86" s="180" t="s">
        <v>9048</v>
      </c>
      <c r="D86" s="180" t="s">
        <v>9148</v>
      </c>
      <c r="E86" s="189">
        <f>LUCK!D84</f>
        <v>62940.805</v>
      </c>
      <c r="F86" s="189">
        <f>LUCK!D20</f>
        <v>62389.947</v>
      </c>
      <c r="G86" s="189">
        <f t="shared" si="2"/>
        <v>1.0088292750112451</v>
      </c>
      <c r="H86" s="189">
        <v>1.01</v>
      </c>
      <c r="I86" s="180" t="str">
        <f t="shared" si="3"/>
        <v>Numeric fit</v>
      </c>
      <c r="J86" s="180">
        <v>2</v>
      </c>
      <c r="K86" s="183" t="s">
        <v>70</v>
      </c>
      <c r="L86" s="183" t="s">
        <v>77</v>
      </c>
    </row>
    <row r="87" spans="1:12" ht="64.05" customHeight="1" x14ac:dyDescent="0.3">
      <c r="A87" s="177" t="s">
        <v>68</v>
      </c>
      <c r="B87" s="177">
        <v>2021</v>
      </c>
      <c r="C87" s="177" t="s">
        <v>9048</v>
      </c>
      <c r="D87" s="177" t="s">
        <v>9149</v>
      </c>
      <c r="E87" s="190">
        <f>LUCK!D84</f>
        <v>62940.805</v>
      </c>
      <c r="F87" s="190">
        <f>AVERAGE(LUCK!C20,LUCK!D20)</f>
        <v>61318.758499999996</v>
      </c>
      <c r="G87" s="190">
        <f t="shared" si="2"/>
        <v>1.0264526963637075</v>
      </c>
      <c r="H87" s="190">
        <v>1.01</v>
      </c>
      <c r="I87" s="177" t="str">
        <f t="shared" si="3"/>
        <v>No fit</v>
      </c>
      <c r="J87" s="177">
        <v>2</v>
      </c>
      <c r="K87" s="184" t="s">
        <v>70</v>
      </c>
      <c r="L87" s="184" t="s">
        <v>77</v>
      </c>
    </row>
    <row r="88" spans="1:12" ht="64.05" customHeight="1" x14ac:dyDescent="0.3">
      <c r="A88" s="180" t="s">
        <v>68</v>
      </c>
      <c r="B88" s="180">
        <v>2022</v>
      </c>
      <c r="C88" s="180" t="s">
        <v>9048</v>
      </c>
      <c r="D88" s="180" t="s">
        <v>9148</v>
      </c>
      <c r="E88" s="189">
        <f>LUCK!E84</f>
        <v>81093.524999999994</v>
      </c>
      <c r="F88" s="189">
        <f>LUCK!E20</f>
        <v>82301.05</v>
      </c>
      <c r="G88" s="189">
        <f t="shared" si="2"/>
        <v>0.98532795146598973</v>
      </c>
      <c r="H88" s="189">
        <v>0.98</v>
      </c>
      <c r="I88" s="180" t="str">
        <f t="shared" si="3"/>
        <v>No fit</v>
      </c>
      <c r="J88" s="180">
        <v>2</v>
      </c>
      <c r="K88" s="183" t="s">
        <v>70</v>
      </c>
      <c r="L88" s="183" t="s">
        <v>77</v>
      </c>
    </row>
    <row r="89" spans="1:12" ht="64.05" customHeight="1" x14ac:dyDescent="0.3">
      <c r="A89" s="177" t="s">
        <v>68</v>
      </c>
      <c r="B89" s="177">
        <v>2022</v>
      </c>
      <c r="C89" s="177" t="s">
        <v>9048</v>
      </c>
      <c r="D89" s="177" t="s">
        <v>9149</v>
      </c>
      <c r="E89" s="190">
        <f>LUCK!E84</f>
        <v>81093.524999999994</v>
      </c>
      <c r="F89" s="190">
        <f>AVERAGE(LUCK!D20,LUCK!E20)</f>
        <v>72345.498500000002</v>
      </c>
      <c r="G89" s="190">
        <f t="shared" si="2"/>
        <v>1.120920121934055</v>
      </c>
      <c r="H89" s="190">
        <v>0.98</v>
      </c>
      <c r="I89" s="177" t="str">
        <f t="shared" si="3"/>
        <v>No fit</v>
      </c>
      <c r="J89" s="177">
        <v>2</v>
      </c>
      <c r="K89" s="184" t="s">
        <v>70</v>
      </c>
      <c r="L89" s="184" t="s">
        <v>77</v>
      </c>
    </row>
    <row r="90" spans="1:12" ht="64.05" customHeight="1" x14ac:dyDescent="0.3">
      <c r="A90" s="180" t="s">
        <v>68</v>
      </c>
      <c r="B90" s="180">
        <v>2023</v>
      </c>
      <c r="C90" s="180" t="s">
        <v>9048</v>
      </c>
      <c r="D90" s="180" t="s">
        <v>9148</v>
      </c>
      <c r="E90" s="189">
        <f>LUCK!F84</f>
        <v>95832.146999999997</v>
      </c>
      <c r="F90" s="189">
        <f>LUCK!F20</f>
        <v>95620.305999999997</v>
      </c>
      <c r="G90" s="189">
        <f t="shared" si="2"/>
        <v>1.0022154394695202</v>
      </c>
      <c r="H90" s="189">
        <v>1</v>
      </c>
      <c r="I90" s="180" t="str">
        <f t="shared" si="3"/>
        <v>Numeric fit</v>
      </c>
      <c r="J90" s="180">
        <v>2</v>
      </c>
      <c r="K90" s="183" t="s">
        <v>70</v>
      </c>
      <c r="L90" s="183" t="s">
        <v>77</v>
      </c>
    </row>
    <row r="91" spans="1:12" ht="64.05" customHeight="1" x14ac:dyDescent="0.3">
      <c r="A91" s="177" t="s">
        <v>68</v>
      </c>
      <c r="B91" s="177">
        <v>2023</v>
      </c>
      <c r="C91" s="177" t="s">
        <v>9048</v>
      </c>
      <c r="D91" s="177" t="s">
        <v>9149</v>
      </c>
      <c r="E91" s="190">
        <f>LUCK!F84</f>
        <v>95832.146999999997</v>
      </c>
      <c r="F91" s="190">
        <f>AVERAGE(LUCK!E20,LUCK!F20)</f>
        <v>88960.678</v>
      </c>
      <c r="G91" s="190">
        <f t="shared" si="2"/>
        <v>1.0772416437743426</v>
      </c>
      <c r="H91" s="190">
        <v>1</v>
      </c>
      <c r="I91" s="177" t="str">
        <f t="shared" si="3"/>
        <v>No fit</v>
      </c>
      <c r="J91" s="177">
        <v>2</v>
      </c>
      <c r="K91" s="184" t="s">
        <v>70</v>
      </c>
      <c r="L91" s="184" t="s">
        <v>77</v>
      </c>
    </row>
    <row r="92" spans="1:12" ht="64.05" customHeight="1" x14ac:dyDescent="0.3">
      <c r="A92" s="180" t="s">
        <v>68</v>
      </c>
      <c r="B92" s="180">
        <v>2024</v>
      </c>
      <c r="C92" s="180" t="s">
        <v>9048</v>
      </c>
      <c r="D92" s="180" t="s">
        <v>9148</v>
      </c>
      <c r="E92" s="189">
        <f>LUCK!G84</f>
        <v>115324.942</v>
      </c>
      <c r="F92" s="189">
        <f>LUCK!G20</f>
        <v>107258.973</v>
      </c>
      <c r="G92" s="189">
        <f t="shared" si="2"/>
        <v>1.0752008785316265</v>
      </c>
      <c r="H92" s="189">
        <v>1.07</v>
      </c>
      <c r="I92" s="180" t="str">
        <f t="shared" si="3"/>
        <v>No fit</v>
      </c>
      <c r="J92" s="180">
        <v>2</v>
      </c>
      <c r="K92" s="183" t="s">
        <v>70</v>
      </c>
      <c r="L92" s="183" t="s">
        <v>77</v>
      </c>
    </row>
    <row r="93" spans="1:12" ht="64.05" customHeight="1" x14ac:dyDescent="0.3">
      <c r="A93" s="177" t="s">
        <v>68</v>
      </c>
      <c r="B93" s="177">
        <v>2024</v>
      </c>
      <c r="C93" s="177" t="s">
        <v>9048</v>
      </c>
      <c r="D93" s="177" t="s">
        <v>9149</v>
      </c>
      <c r="E93" s="190">
        <f>LUCK!G84</f>
        <v>115324.942</v>
      </c>
      <c r="F93" s="190">
        <f>AVERAGE(LUCK!F20,LUCK!G20)</f>
        <v>101439.63949999999</v>
      </c>
      <c r="G93" s="190">
        <f t="shared" si="2"/>
        <v>1.1368824117321514</v>
      </c>
      <c r="H93" s="190">
        <v>1.07</v>
      </c>
      <c r="I93" s="177" t="str">
        <f t="shared" si="3"/>
        <v>No fit</v>
      </c>
      <c r="J93" s="177">
        <v>2</v>
      </c>
      <c r="K93" s="184" t="s">
        <v>70</v>
      </c>
      <c r="L93" s="184" t="s">
        <v>77</v>
      </c>
    </row>
    <row r="94" spans="1:12" ht="64.05" customHeight="1" x14ac:dyDescent="0.3">
      <c r="A94" s="180" t="s">
        <v>68</v>
      </c>
      <c r="B94" s="180">
        <v>2025</v>
      </c>
      <c r="C94" s="180" t="s">
        <v>9048</v>
      </c>
      <c r="D94" s="180" t="s">
        <v>9148</v>
      </c>
      <c r="E94" s="189">
        <f>LUCK!H84</f>
        <v>124511.74400000001</v>
      </c>
      <c r="F94" s="189">
        <f>LUCK!H20</f>
        <v>107409.588</v>
      </c>
      <c r="G94" s="189">
        <f t="shared" si="2"/>
        <v>1.1592237370838812</v>
      </c>
      <c r="H94" s="189">
        <v>1.1599999999999999</v>
      </c>
      <c r="I94" s="180" t="str">
        <f t="shared" si="3"/>
        <v>Numeric fit</v>
      </c>
      <c r="J94" s="180">
        <v>2</v>
      </c>
      <c r="K94" s="183" t="s">
        <v>70</v>
      </c>
      <c r="L94" s="183" t="s">
        <v>77</v>
      </c>
    </row>
    <row r="95" spans="1:12" ht="64.05" customHeight="1" x14ac:dyDescent="0.3">
      <c r="A95" s="177" t="s">
        <v>68</v>
      </c>
      <c r="B95" s="177">
        <v>2025</v>
      </c>
      <c r="C95" s="177" t="s">
        <v>9048</v>
      </c>
      <c r="D95" s="177" t="s">
        <v>9149</v>
      </c>
      <c r="E95" s="190">
        <f>LUCK!H84</f>
        <v>124511.74400000001</v>
      </c>
      <c r="F95" s="190">
        <f>AVERAGE(LUCK!G20,LUCK!H20)</f>
        <v>107334.28049999999</v>
      </c>
      <c r="G95" s="190">
        <f t="shared" si="2"/>
        <v>1.1600370675610949</v>
      </c>
      <c r="H95" s="190">
        <v>1.1599999999999999</v>
      </c>
      <c r="I95" s="177" t="str">
        <f t="shared" si="3"/>
        <v>Numeric fit</v>
      </c>
      <c r="J95" s="177">
        <v>2</v>
      </c>
      <c r="K95" s="184" t="s">
        <v>70</v>
      </c>
      <c r="L95" s="184" t="s">
        <v>77</v>
      </c>
    </row>
    <row r="96" spans="1:12" ht="64.05" customHeight="1" x14ac:dyDescent="0.3">
      <c r="A96" s="180" t="s">
        <v>86</v>
      </c>
      <c r="B96" s="180">
        <v>2021</v>
      </c>
      <c r="C96" s="180" t="s">
        <v>9042</v>
      </c>
      <c r="D96" s="180" t="s">
        <v>9148</v>
      </c>
      <c r="E96" s="189">
        <f>365*DGKC!D65</f>
        <v>5696897.0049999999</v>
      </c>
      <c r="F96" s="189">
        <f>-DGKC!D85</f>
        <v>37035.798000000003</v>
      </c>
      <c r="G96" s="189">
        <f t="shared" si="2"/>
        <v>153.82136507494721</v>
      </c>
      <c r="H96" s="189">
        <v>154</v>
      </c>
      <c r="I96" s="180" t="str">
        <f t="shared" si="3"/>
        <v>Numeric fit</v>
      </c>
      <c r="J96" s="180">
        <v>0</v>
      </c>
      <c r="K96" s="183" t="s">
        <v>87</v>
      </c>
      <c r="L96" s="183" t="s">
        <v>92</v>
      </c>
    </row>
    <row r="97" spans="1:12" ht="64.05" customHeight="1" x14ac:dyDescent="0.3">
      <c r="A97" s="177" t="s">
        <v>86</v>
      </c>
      <c r="B97" s="177">
        <v>2021</v>
      </c>
      <c r="C97" s="177" t="s">
        <v>9042</v>
      </c>
      <c r="D97" s="177" t="s">
        <v>9149</v>
      </c>
      <c r="E97" s="190">
        <f>365*AVERAGE(DGKC!C65,DGKC!D65)</f>
        <v>5146303.2649999997</v>
      </c>
      <c r="F97" s="190">
        <f>-DGKC!D85</f>
        <v>37035.798000000003</v>
      </c>
      <c r="G97" s="190">
        <f t="shared" si="2"/>
        <v>138.95483675010863</v>
      </c>
      <c r="H97" s="190">
        <v>154</v>
      </c>
      <c r="I97" s="177" t="str">
        <f t="shared" si="3"/>
        <v>No fit</v>
      </c>
      <c r="J97" s="177">
        <v>0</v>
      </c>
      <c r="K97" s="184" t="s">
        <v>87</v>
      </c>
      <c r="L97" s="184" t="s">
        <v>92</v>
      </c>
    </row>
    <row r="98" spans="1:12" ht="64.05" customHeight="1" x14ac:dyDescent="0.3">
      <c r="A98" s="180" t="s">
        <v>86</v>
      </c>
      <c r="B98" s="180">
        <v>2022</v>
      </c>
      <c r="C98" s="180" t="s">
        <v>9042</v>
      </c>
      <c r="D98" s="180" t="s">
        <v>9148</v>
      </c>
      <c r="E98" s="189">
        <f>365*DGKC!E65</f>
        <v>8320320.2700000005</v>
      </c>
      <c r="F98" s="189">
        <f>-DGKC!E85</f>
        <v>47615.550999999999</v>
      </c>
      <c r="G98" s="189">
        <f t="shared" si="2"/>
        <v>174.73955662090313</v>
      </c>
      <c r="H98" s="189">
        <v>175</v>
      </c>
      <c r="I98" s="180" t="str">
        <f t="shared" si="3"/>
        <v>Numeric fit</v>
      </c>
      <c r="J98" s="180">
        <v>0</v>
      </c>
      <c r="K98" s="183" t="s">
        <v>87</v>
      </c>
      <c r="L98" s="183" t="s">
        <v>92</v>
      </c>
    </row>
    <row r="99" spans="1:12" ht="64.05" customHeight="1" x14ac:dyDescent="0.3">
      <c r="A99" s="177" t="s">
        <v>86</v>
      </c>
      <c r="B99" s="177">
        <v>2022</v>
      </c>
      <c r="C99" s="177" t="s">
        <v>9042</v>
      </c>
      <c r="D99" s="177" t="s">
        <v>9149</v>
      </c>
      <c r="E99" s="190">
        <f>365*AVERAGE(DGKC!D65,DGKC!E65)</f>
        <v>7008608.6375000002</v>
      </c>
      <c r="F99" s="190">
        <f>-DGKC!E85</f>
        <v>47615.550999999999</v>
      </c>
      <c r="G99" s="190">
        <f t="shared" si="2"/>
        <v>147.19158951872677</v>
      </c>
      <c r="H99" s="190">
        <v>175</v>
      </c>
      <c r="I99" s="177" t="str">
        <f t="shared" si="3"/>
        <v>No fit</v>
      </c>
      <c r="J99" s="177">
        <v>0</v>
      </c>
      <c r="K99" s="184" t="s">
        <v>87</v>
      </c>
      <c r="L99" s="184" t="s">
        <v>92</v>
      </c>
    </row>
    <row r="100" spans="1:12" ht="64.05" customHeight="1" x14ac:dyDescent="0.3">
      <c r="A100" s="180" t="s">
        <v>86</v>
      </c>
      <c r="B100" s="180">
        <v>2023</v>
      </c>
      <c r="C100" s="180" t="s">
        <v>9042</v>
      </c>
      <c r="D100" s="180" t="s">
        <v>9148</v>
      </c>
      <c r="E100" s="189">
        <f>365*DGKC!F65</f>
        <v>8294688.875</v>
      </c>
      <c r="F100" s="189">
        <f>-DGKC!F85</f>
        <v>55428.046000000002</v>
      </c>
      <c r="G100" s="189">
        <f t="shared" si="2"/>
        <v>149.64786734498992</v>
      </c>
      <c r="H100" s="189">
        <v>150</v>
      </c>
      <c r="I100" s="180" t="str">
        <f t="shared" si="3"/>
        <v>Numeric fit</v>
      </c>
      <c r="J100" s="180">
        <v>0</v>
      </c>
      <c r="K100" s="183" t="s">
        <v>87</v>
      </c>
      <c r="L100" s="183" t="s">
        <v>92</v>
      </c>
    </row>
    <row r="101" spans="1:12" ht="64.05" customHeight="1" x14ac:dyDescent="0.3">
      <c r="A101" s="177" t="s">
        <v>86</v>
      </c>
      <c r="B101" s="177">
        <v>2023</v>
      </c>
      <c r="C101" s="177" t="s">
        <v>9042</v>
      </c>
      <c r="D101" s="177" t="s">
        <v>9149</v>
      </c>
      <c r="E101" s="190">
        <f>365*AVERAGE(DGKC!E65,DGKC!F65)</f>
        <v>8307504.5725000007</v>
      </c>
      <c r="F101" s="190">
        <f>-DGKC!F85</f>
        <v>55428.046000000002</v>
      </c>
      <c r="G101" s="190">
        <f t="shared" si="2"/>
        <v>149.87908057411946</v>
      </c>
      <c r="H101" s="190">
        <v>150</v>
      </c>
      <c r="I101" s="177" t="str">
        <f t="shared" si="3"/>
        <v>Numeric fit</v>
      </c>
      <c r="J101" s="177">
        <v>0</v>
      </c>
      <c r="K101" s="184" t="s">
        <v>87</v>
      </c>
      <c r="L101" s="184" t="s">
        <v>92</v>
      </c>
    </row>
    <row r="102" spans="1:12" ht="64.05" customHeight="1" x14ac:dyDescent="0.3">
      <c r="A102" s="180" t="s">
        <v>86</v>
      </c>
      <c r="B102" s="180">
        <v>2024</v>
      </c>
      <c r="C102" s="180" t="s">
        <v>9042</v>
      </c>
      <c r="D102" s="180" t="s">
        <v>9148</v>
      </c>
      <c r="E102" s="189">
        <f>365*DGKC!G65</f>
        <v>7392286.9649999999</v>
      </c>
      <c r="F102" s="189">
        <f>-DGKC!G85</f>
        <v>55510.428999999996</v>
      </c>
      <c r="G102" s="189">
        <f t="shared" si="2"/>
        <v>133.16933589181954</v>
      </c>
      <c r="H102" s="189">
        <v>133</v>
      </c>
      <c r="I102" s="180" t="str">
        <f t="shared" si="3"/>
        <v>Numeric fit</v>
      </c>
      <c r="J102" s="180">
        <v>0</v>
      </c>
      <c r="K102" s="183" t="s">
        <v>87</v>
      </c>
      <c r="L102" s="183" t="s">
        <v>92</v>
      </c>
    </row>
    <row r="103" spans="1:12" ht="64.05" customHeight="1" x14ac:dyDescent="0.3">
      <c r="A103" s="177" t="s">
        <v>86</v>
      </c>
      <c r="B103" s="177">
        <v>2024</v>
      </c>
      <c r="C103" s="177" t="s">
        <v>9042</v>
      </c>
      <c r="D103" s="177" t="s">
        <v>9149</v>
      </c>
      <c r="E103" s="190">
        <f>365*AVERAGE(DGKC!F65,DGKC!G65)</f>
        <v>7843487.9200000009</v>
      </c>
      <c r="F103" s="190">
        <f>-DGKC!G85</f>
        <v>55510.428999999996</v>
      </c>
      <c r="G103" s="190">
        <f t="shared" si="2"/>
        <v>141.29755545575051</v>
      </c>
      <c r="H103" s="190">
        <v>133</v>
      </c>
      <c r="I103" s="177" t="str">
        <f t="shared" si="3"/>
        <v>No fit</v>
      </c>
      <c r="J103" s="177">
        <v>0</v>
      </c>
      <c r="K103" s="184" t="s">
        <v>87</v>
      </c>
      <c r="L103" s="184" t="s">
        <v>92</v>
      </c>
    </row>
    <row r="104" spans="1:12" ht="64.05" customHeight="1" x14ac:dyDescent="0.3">
      <c r="A104" s="180" t="s">
        <v>86</v>
      </c>
      <c r="B104" s="180">
        <v>2025</v>
      </c>
      <c r="C104" s="180" t="s">
        <v>9042</v>
      </c>
      <c r="D104" s="180" t="s">
        <v>9148</v>
      </c>
      <c r="E104" s="189">
        <f>365*DGKC!H65</f>
        <v>7480805.3049999997</v>
      </c>
      <c r="F104" s="189">
        <f>-DGKC!H85</f>
        <v>53387.165999999997</v>
      </c>
      <c r="G104" s="189">
        <f t="shared" si="2"/>
        <v>140.12366389704971</v>
      </c>
      <c r="H104" s="189">
        <v>140</v>
      </c>
      <c r="I104" s="180" t="str">
        <f t="shared" si="3"/>
        <v>Numeric fit</v>
      </c>
      <c r="J104" s="180">
        <v>0</v>
      </c>
      <c r="K104" s="183" t="s">
        <v>87</v>
      </c>
      <c r="L104" s="183" t="s">
        <v>92</v>
      </c>
    </row>
    <row r="105" spans="1:12" ht="64.05" customHeight="1" x14ac:dyDescent="0.3">
      <c r="A105" s="177" t="s">
        <v>86</v>
      </c>
      <c r="B105" s="177">
        <v>2025</v>
      </c>
      <c r="C105" s="177" t="s">
        <v>9042</v>
      </c>
      <c r="D105" s="177" t="s">
        <v>9149</v>
      </c>
      <c r="E105" s="190">
        <f>365*AVERAGE(DGKC!G65,DGKC!H65)</f>
        <v>7436546.1350000007</v>
      </c>
      <c r="F105" s="190">
        <f>-DGKC!H85</f>
        <v>53387.165999999997</v>
      </c>
      <c r="G105" s="190">
        <f t="shared" si="2"/>
        <v>139.29464124392746</v>
      </c>
      <c r="H105" s="190">
        <v>140</v>
      </c>
      <c r="I105" s="177" t="str">
        <f t="shared" si="3"/>
        <v>No fit</v>
      </c>
      <c r="J105" s="177">
        <v>0</v>
      </c>
      <c r="K105" s="184" t="s">
        <v>87</v>
      </c>
      <c r="L105" s="184" t="s">
        <v>92</v>
      </c>
    </row>
    <row r="106" spans="1:12" ht="64.05" customHeight="1" x14ac:dyDescent="0.3">
      <c r="A106" s="180" t="s">
        <v>86</v>
      </c>
      <c r="B106" s="180">
        <v>2021</v>
      </c>
      <c r="C106" s="180" t="s">
        <v>9045</v>
      </c>
      <c r="D106" s="180" t="s">
        <v>9148</v>
      </c>
      <c r="E106" s="189">
        <f>365*DGKC!D32</f>
        <v>611829.42499999993</v>
      </c>
      <c r="F106" s="189">
        <f>DGKC!D84</f>
        <v>45107.69</v>
      </c>
      <c r="G106" s="189">
        <f t="shared" si="2"/>
        <v>13.563749883888976</v>
      </c>
      <c r="H106" s="189">
        <v>14</v>
      </c>
      <c r="I106" s="180" t="str">
        <f t="shared" si="3"/>
        <v>Numeric fit</v>
      </c>
      <c r="J106" s="180">
        <v>0</v>
      </c>
      <c r="K106" s="183" t="s">
        <v>87</v>
      </c>
      <c r="L106" s="183" t="s">
        <v>37</v>
      </c>
    </row>
    <row r="107" spans="1:12" ht="64.05" customHeight="1" x14ac:dyDescent="0.3">
      <c r="A107" s="177" t="s">
        <v>86</v>
      </c>
      <c r="B107" s="177">
        <v>2021</v>
      </c>
      <c r="C107" s="177" t="s">
        <v>9045</v>
      </c>
      <c r="D107" s="177" t="s">
        <v>9149</v>
      </c>
      <c r="E107" s="190">
        <f>365*AVERAGE(DGKC!C32,DGKC!D32)</f>
        <v>723125.04249999998</v>
      </c>
      <c r="F107" s="190">
        <f>DGKC!D84</f>
        <v>45107.69</v>
      </c>
      <c r="G107" s="190">
        <f t="shared" si="2"/>
        <v>16.031081230273596</v>
      </c>
      <c r="H107" s="190">
        <v>14</v>
      </c>
      <c r="I107" s="177" t="str">
        <f t="shared" si="3"/>
        <v>No fit</v>
      </c>
      <c r="J107" s="177">
        <v>0</v>
      </c>
      <c r="K107" s="184" t="s">
        <v>87</v>
      </c>
      <c r="L107" s="184" t="s">
        <v>37</v>
      </c>
    </row>
    <row r="108" spans="1:12" ht="64.05" customHeight="1" x14ac:dyDescent="0.3">
      <c r="A108" s="180" t="s">
        <v>86</v>
      </c>
      <c r="B108" s="180">
        <v>2022</v>
      </c>
      <c r="C108" s="180" t="s">
        <v>9045</v>
      </c>
      <c r="D108" s="180" t="s">
        <v>9148</v>
      </c>
      <c r="E108" s="189">
        <f>365*DGKC!E32</f>
        <v>535769.63</v>
      </c>
      <c r="F108" s="189">
        <f>DGKC!E84</f>
        <v>58043.862999999998</v>
      </c>
      <c r="G108" s="189">
        <f t="shared" si="2"/>
        <v>9.2304268239348577</v>
      </c>
      <c r="H108" s="189">
        <v>9</v>
      </c>
      <c r="I108" s="180" t="str">
        <f t="shared" si="3"/>
        <v>Numeric fit</v>
      </c>
      <c r="J108" s="180">
        <v>0</v>
      </c>
      <c r="K108" s="183" t="s">
        <v>87</v>
      </c>
      <c r="L108" s="183" t="s">
        <v>37</v>
      </c>
    </row>
    <row r="109" spans="1:12" ht="64.05" customHeight="1" x14ac:dyDescent="0.3">
      <c r="A109" s="177" t="s">
        <v>86</v>
      </c>
      <c r="B109" s="177">
        <v>2022</v>
      </c>
      <c r="C109" s="177" t="s">
        <v>9045</v>
      </c>
      <c r="D109" s="177" t="s">
        <v>9149</v>
      </c>
      <c r="E109" s="190">
        <f>365*AVERAGE(DGKC!D32,DGKC!E32)</f>
        <v>573799.52749999997</v>
      </c>
      <c r="F109" s="190">
        <f>DGKC!E84</f>
        <v>58043.862999999998</v>
      </c>
      <c r="G109" s="190">
        <f t="shared" si="2"/>
        <v>9.8856192169704489</v>
      </c>
      <c r="H109" s="190">
        <v>9</v>
      </c>
      <c r="I109" s="177" t="str">
        <f t="shared" si="3"/>
        <v>No fit</v>
      </c>
      <c r="J109" s="177">
        <v>0</v>
      </c>
      <c r="K109" s="184" t="s">
        <v>87</v>
      </c>
      <c r="L109" s="184" t="s">
        <v>37</v>
      </c>
    </row>
    <row r="110" spans="1:12" ht="64.05" customHeight="1" x14ac:dyDescent="0.3">
      <c r="A110" s="180" t="s">
        <v>86</v>
      </c>
      <c r="B110" s="180">
        <v>2023</v>
      </c>
      <c r="C110" s="180" t="s">
        <v>9045</v>
      </c>
      <c r="D110" s="180" t="s">
        <v>9148</v>
      </c>
      <c r="E110" s="189">
        <f>365*DGKC!F32</f>
        <v>435605.60000000003</v>
      </c>
      <c r="F110" s="189">
        <f>DGKC!F84</f>
        <v>64983.821000000004</v>
      </c>
      <c r="G110" s="189">
        <f t="shared" si="2"/>
        <v>6.7032931166051322</v>
      </c>
      <c r="H110" s="189">
        <v>7</v>
      </c>
      <c r="I110" s="180" t="str">
        <f t="shared" si="3"/>
        <v>Numeric fit</v>
      </c>
      <c r="J110" s="180">
        <v>0</v>
      </c>
      <c r="K110" s="183" t="s">
        <v>87</v>
      </c>
      <c r="L110" s="183" t="s">
        <v>37</v>
      </c>
    </row>
    <row r="111" spans="1:12" ht="64.05" customHeight="1" x14ac:dyDescent="0.3">
      <c r="A111" s="177" t="s">
        <v>86</v>
      </c>
      <c r="B111" s="177">
        <v>2023</v>
      </c>
      <c r="C111" s="177" t="s">
        <v>9045</v>
      </c>
      <c r="D111" s="177" t="s">
        <v>9149</v>
      </c>
      <c r="E111" s="190">
        <f>365*AVERAGE(DGKC!E32,DGKC!F32)</f>
        <v>485687.61500000005</v>
      </c>
      <c r="F111" s="190">
        <f>DGKC!F84</f>
        <v>64983.821000000004</v>
      </c>
      <c r="G111" s="190">
        <f t="shared" si="2"/>
        <v>7.4739774843341396</v>
      </c>
      <c r="H111" s="190">
        <v>7</v>
      </c>
      <c r="I111" s="177" t="str">
        <f t="shared" si="3"/>
        <v>Numeric fit</v>
      </c>
      <c r="J111" s="177">
        <v>0</v>
      </c>
      <c r="K111" s="184" t="s">
        <v>87</v>
      </c>
      <c r="L111" s="184" t="s">
        <v>37</v>
      </c>
    </row>
    <row r="112" spans="1:12" ht="64.05" customHeight="1" x14ac:dyDescent="0.3">
      <c r="A112" s="180" t="s">
        <v>86</v>
      </c>
      <c r="B112" s="180">
        <v>2024</v>
      </c>
      <c r="C112" s="180" t="s">
        <v>9045</v>
      </c>
      <c r="D112" s="180" t="s">
        <v>9148</v>
      </c>
      <c r="E112" s="189">
        <f>365*DGKC!G32</f>
        <v>312345.82999999996</v>
      </c>
      <c r="F112" s="189">
        <f>DGKC!G84</f>
        <v>66038.688999999998</v>
      </c>
      <c r="G112" s="189">
        <f t="shared" si="2"/>
        <v>4.7297400164924532</v>
      </c>
      <c r="H112" s="189">
        <v>5</v>
      </c>
      <c r="I112" s="180" t="str">
        <f t="shared" si="3"/>
        <v>Numeric fit</v>
      </c>
      <c r="J112" s="180">
        <v>0</v>
      </c>
      <c r="K112" s="183" t="s">
        <v>87</v>
      </c>
      <c r="L112" s="183" t="s">
        <v>37</v>
      </c>
    </row>
    <row r="113" spans="1:12" ht="64.05" customHeight="1" x14ac:dyDescent="0.3">
      <c r="A113" s="177" t="s">
        <v>86</v>
      </c>
      <c r="B113" s="177">
        <v>2024</v>
      </c>
      <c r="C113" s="177" t="s">
        <v>9045</v>
      </c>
      <c r="D113" s="177" t="s">
        <v>9149</v>
      </c>
      <c r="E113" s="190">
        <f>365*AVERAGE(DGKC!F32,DGKC!G32)</f>
        <v>373975.71499999997</v>
      </c>
      <c r="F113" s="190">
        <f>DGKC!G84</f>
        <v>66038.688999999998</v>
      </c>
      <c r="G113" s="190">
        <f t="shared" si="2"/>
        <v>5.6629790909386459</v>
      </c>
      <c r="H113" s="190">
        <v>5</v>
      </c>
      <c r="I113" s="177" t="str">
        <f t="shared" si="3"/>
        <v>No fit</v>
      </c>
      <c r="J113" s="177">
        <v>0</v>
      </c>
      <c r="K113" s="184" t="s">
        <v>87</v>
      </c>
      <c r="L113" s="184" t="s">
        <v>37</v>
      </c>
    </row>
    <row r="114" spans="1:12" ht="64.05" customHeight="1" x14ac:dyDescent="0.3">
      <c r="A114" s="180" t="s">
        <v>86</v>
      </c>
      <c r="B114" s="180">
        <v>2025</v>
      </c>
      <c r="C114" s="180" t="s">
        <v>9045</v>
      </c>
      <c r="D114" s="180" t="s">
        <v>9148</v>
      </c>
      <c r="E114" s="189">
        <f>365*DGKC!H32</f>
        <v>544974.19999999995</v>
      </c>
      <c r="F114" s="189">
        <f>DGKC!H84</f>
        <v>71892.837</v>
      </c>
      <c r="G114" s="189">
        <f t="shared" si="2"/>
        <v>7.5803685421400182</v>
      </c>
      <c r="H114" s="189">
        <v>8</v>
      </c>
      <c r="I114" s="180" t="str">
        <f t="shared" si="3"/>
        <v>Numeric fit</v>
      </c>
      <c r="J114" s="180">
        <v>0</v>
      </c>
      <c r="K114" s="183" t="s">
        <v>87</v>
      </c>
      <c r="L114" s="183" t="s">
        <v>37</v>
      </c>
    </row>
    <row r="115" spans="1:12" ht="64.05" customHeight="1" x14ac:dyDescent="0.3">
      <c r="A115" s="177" t="s">
        <v>86</v>
      </c>
      <c r="B115" s="177">
        <v>2025</v>
      </c>
      <c r="C115" s="177" t="s">
        <v>9045</v>
      </c>
      <c r="D115" s="177" t="s">
        <v>9149</v>
      </c>
      <c r="E115" s="190">
        <f>365*AVERAGE(DGKC!G32,DGKC!H32)</f>
        <v>428660.01500000001</v>
      </c>
      <c r="F115" s="190">
        <f>DGKC!H84</f>
        <v>71892.837</v>
      </c>
      <c r="G115" s="190">
        <f t="shared" si="2"/>
        <v>5.9624857341490083</v>
      </c>
      <c r="H115" s="190">
        <v>8</v>
      </c>
      <c r="I115" s="177" t="str">
        <f t="shared" si="3"/>
        <v>No fit</v>
      </c>
      <c r="J115" s="177">
        <v>0</v>
      </c>
      <c r="K115" s="184" t="s">
        <v>87</v>
      </c>
      <c r="L115" s="184" t="s">
        <v>37</v>
      </c>
    </row>
    <row r="116" spans="1:12" ht="64.05" customHeight="1" x14ac:dyDescent="0.3">
      <c r="A116" s="180" t="s">
        <v>86</v>
      </c>
      <c r="B116" s="180">
        <v>2021</v>
      </c>
      <c r="C116" s="180" t="s">
        <v>9052</v>
      </c>
      <c r="D116" s="180" t="s">
        <v>9148</v>
      </c>
      <c r="E116" s="189">
        <f>DGKC!D84</f>
        <v>45107.69</v>
      </c>
      <c r="F116" s="189">
        <f>DGKC!D37</f>
        <v>137894.69700000001</v>
      </c>
      <c r="G116" s="189">
        <f t="shared" si="2"/>
        <v>0.32711693039218176</v>
      </c>
      <c r="H116" s="189">
        <v>0.33729999999999999</v>
      </c>
      <c r="I116" s="180" t="str">
        <f t="shared" si="3"/>
        <v>No fit</v>
      </c>
      <c r="J116" s="180">
        <v>4</v>
      </c>
      <c r="K116" s="183" t="s">
        <v>87</v>
      </c>
      <c r="L116" s="183" t="s">
        <v>97</v>
      </c>
    </row>
    <row r="117" spans="1:12" ht="64.05" customHeight="1" x14ac:dyDescent="0.3">
      <c r="A117" s="177" t="s">
        <v>86</v>
      </c>
      <c r="B117" s="177">
        <v>2021</v>
      </c>
      <c r="C117" s="177" t="s">
        <v>9052</v>
      </c>
      <c r="D117" s="177" t="s">
        <v>9149</v>
      </c>
      <c r="E117" s="190">
        <f>DGKC!D84</f>
        <v>45107.69</v>
      </c>
      <c r="F117" s="190">
        <f>AVERAGE(DGKC!C37,DGKC!D37)</f>
        <v>133723.11550000001</v>
      </c>
      <c r="G117" s="190">
        <f t="shared" si="2"/>
        <v>0.33732156053453599</v>
      </c>
      <c r="H117" s="190">
        <v>0.33729999999999999</v>
      </c>
      <c r="I117" s="177" t="str">
        <f t="shared" si="3"/>
        <v>Numeric fit</v>
      </c>
      <c r="J117" s="177">
        <v>4</v>
      </c>
      <c r="K117" s="184" t="s">
        <v>87</v>
      </c>
      <c r="L117" s="184" t="s">
        <v>97</v>
      </c>
    </row>
    <row r="118" spans="1:12" ht="64.05" customHeight="1" x14ac:dyDescent="0.3">
      <c r="A118" s="180" t="s">
        <v>86</v>
      </c>
      <c r="B118" s="180">
        <v>2022</v>
      </c>
      <c r="C118" s="180" t="s">
        <v>9052</v>
      </c>
      <c r="D118" s="180" t="s">
        <v>9148</v>
      </c>
      <c r="E118" s="189">
        <f>DGKC!E84</f>
        <v>58043.862999999998</v>
      </c>
      <c r="F118" s="189">
        <f>DGKC!E37</f>
        <v>136562.01300000001</v>
      </c>
      <c r="G118" s="189">
        <f t="shared" si="2"/>
        <v>0.42503666813991675</v>
      </c>
      <c r="H118" s="189">
        <v>0.42299999999999999</v>
      </c>
      <c r="I118" s="180" t="str">
        <f t="shared" si="3"/>
        <v>No fit</v>
      </c>
      <c r="J118" s="180">
        <v>4</v>
      </c>
      <c r="K118" s="183" t="s">
        <v>87</v>
      </c>
      <c r="L118" s="183" t="s">
        <v>97</v>
      </c>
    </row>
    <row r="119" spans="1:12" ht="64.05" customHeight="1" x14ac:dyDescent="0.3">
      <c r="A119" s="177" t="s">
        <v>86</v>
      </c>
      <c r="B119" s="177">
        <v>2022</v>
      </c>
      <c r="C119" s="177" t="s">
        <v>9052</v>
      </c>
      <c r="D119" s="177" t="s">
        <v>9149</v>
      </c>
      <c r="E119" s="190">
        <f>DGKC!E84</f>
        <v>58043.862999999998</v>
      </c>
      <c r="F119" s="190">
        <f>AVERAGE(DGKC!D37,DGKC!E37)</f>
        <v>137228.35500000001</v>
      </c>
      <c r="G119" s="190">
        <f t="shared" si="2"/>
        <v>0.42297281053904634</v>
      </c>
      <c r="H119" s="190">
        <v>0.42299999999999999</v>
      </c>
      <c r="I119" s="177" t="str">
        <f t="shared" si="3"/>
        <v>Numeric fit</v>
      </c>
      <c r="J119" s="177">
        <v>4</v>
      </c>
      <c r="K119" s="184" t="s">
        <v>87</v>
      </c>
      <c r="L119" s="184" t="s">
        <v>97</v>
      </c>
    </row>
    <row r="120" spans="1:12" ht="64.05" customHeight="1" x14ac:dyDescent="0.3">
      <c r="A120" s="180" t="s">
        <v>86</v>
      </c>
      <c r="B120" s="180">
        <v>2023</v>
      </c>
      <c r="C120" s="180" t="s">
        <v>9052</v>
      </c>
      <c r="D120" s="180" t="s">
        <v>9148</v>
      </c>
      <c r="E120" s="189">
        <f>DGKC!F84</f>
        <v>64983.821000000004</v>
      </c>
      <c r="F120" s="189">
        <f>DGKC!F37</f>
        <v>134713.25400000002</v>
      </c>
      <c r="G120" s="189">
        <f t="shared" si="2"/>
        <v>0.4823862468647665</v>
      </c>
      <c r="H120" s="189">
        <v>0.47910000000000003</v>
      </c>
      <c r="I120" s="180" t="str">
        <f t="shared" si="3"/>
        <v>No fit</v>
      </c>
      <c r="J120" s="180">
        <v>4</v>
      </c>
      <c r="K120" s="183" t="s">
        <v>87</v>
      </c>
      <c r="L120" s="183" t="s">
        <v>97</v>
      </c>
    </row>
    <row r="121" spans="1:12" ht="64.05" customHeight="1" x14ac:dyDescent="0.3">
      <c r="A121" s="177" t="s">
        <v>86</v>
      </c>
      <c r="B121" s="177">
        <v>2023</v>
      </c>
      <c r="C121" s="177" t="s">
        <v>9052</v>
      </c>
      <c r="D121" s="177" t="s">
        <v>9149</v>
      </c>
      <c r="E121" s="190">
        <f>DGKC!F84</f>
        <v>64983.821000000004</v>
      </c>
      <c r="F121" s="190">
        <f>AVERAGE(DGKC!E37,DGKC!F37)</f>
        <v>135637.6335</v>
      </c>
      <c r="G121" s="190">
        <f t="shared" si="2"/>
        <v>0.47909875248597583</v>
      </c>
      <c r="H121" s="190">
        <v>0.47910000000000003</v>
      </c>
      <c r="I121" s="177" t="str">
        <f t="shared" si="3"/>
        <v>Numeric fit</v>
      </c>
      <c r="J121" s="177">
        <v>4</v>
      </c>
      <c r="K121" s="184" t="s">
        <v>87</v>
      </c>
      <c r="L121" s="184" t="s">
        <v>97</v>
      </c>
    </row>
    <row r="122" spans="1:12" ht="64.05" customHeight="1" x14ac:dyDescent="0.3">
      <c r="A122" s="180" t="s">
        <v>86</v>
      </c>
      <c r="B122" s="180">
        <v>2024</v>
      </c>
      <c r="C122" s="180" t="s">
        <v>9052</v>
      </c>
      <c r="D122" s="180" t="s">
        <v>9148</v>
      </c>
      <c r="E122" s="189">
        <f>DGKC!G84</f>
        <v>66038.688999999998</v>
      </c>
      <c r="F122" s="189">
        <f>DGKC!G37</f>
        <v>138385.75400000002</v>
      </c>
      <c r="G122" s="189">
        <f t="shared" si="2"/>
        <v>0.47720727814222835</v>
      </c>
      <c r="H122" s="189">
        <v>0.48359999999999997</v>
      </c>
      <c r="I122" s="180" t="str">
        <f t="shared" si="3"/>
        <v>No fit</v>
      </c>
      <c r="J122" s="180">
        <v>4</v>
      </c>
      <c r="K122" s="183" t="s">
        <v>87</v>
      </c>
      <c r="L122" s="183" t="s">
        <v>97</v>
      </c>
    </row>
    <row r="123" spans="1:12" ht="64.05" customHeight="1" x14ac:dyDescent="0.3">
      <c r="A123" s="177" t="s">
        <v>86</v>
      </c>
      <c r="B123" s="177">
        <v>2024</v>
      </c>
      <c r="C123" s="177" t="s">
        <v>9052</v>
      </c>
      <c r="D123" s="177" t="s">
        <v>9149</v>
      </c>
      <c r="E123" s="190">
        <f>DGKC!G84</f>
        <v>66038.688999999998</v>
      </c>
      <c r="F123" s="190">
        <f>AVERAGE(DGKC!F37,DGKC!G37)</f>
        <v>136549.50400000002</v>
      </c>
      <c r="G123" s="190">
        <f t="shared" si="2"/>
        <v>0.48362452491954855</v>
      </c>
      <c r="H123" s="190">
        <v>0.48359999999999997</v>
      </c>
      <c r="I123" s="177" t="str">
        <f t="shared" si="3"/>
        <v>Numeric fit</v>
      </c>
      <c r="J123" s="177">
        <v>4</v>
      </c>
      <c r="K123" s="184" t="s">
        <v>87</v>
      </c>
      <c r="L123" s="184" t="s">
        <v>97</v>
      </c>
    </row>
    <row r="124" spans="1:12" ht="64.05" customHeight="1" x14ac:dyDescent="0.3">
      <c r="A124" s="180" t="s">
        <v>86</v>
      </c>
      <c r="B124" s="180">
        <v>2025</v>
      </c>
      <c r="C124" s="180" t="s">
        <v>9052</v>
      </c>
      <c r="D124" s="180" t="s">
        <v>9148</v>
      </c>
      <c r="E124" s="189">
        <f>DGKC!H84</f>
        <v>71892.837</v>
      </c>
      <c r="F124" s="189">
        <f>DGKC!H37</f>
        <v>145924.23499999999</v>
      </c>
      <c r="G124" s="189">
        <f t="shared" si="2"/>
        <v>0.49267235836459933</v>
      </c>
      <c r="H124" s="189">
        <v>0.50570000000000004</v>
      </c>
      <c r="I124" s="180" t="str">
        <f t="shared" si="3"/>
        <v>No fit</v>
      </c>
      <c r="J124" s="180">
        <v>4</v>
      </c>
      <c r="K124" s="183" t="s">
        <v>87</v>
      </c>
      <c r="L124" s="183" t="s">
        <v>97</v>
      </c>
    </row>
    <row r="125" spans="1:12" ht="64.05" customHeight="1" x14ac:dyDescent="0.3">
      <c r="A125" s="177" t="s">
        <v>86</v>
      </c>
      <c r="B125" s="177">
        <v>2025</v>
      </c>
      <c r="C125" s="177" t="s">
        <v>9052</v>
      </c>
      <c r="D125" s="177" t="s">
        <v>9149</v>
      </c>
      <c r="E125" s="190">
        <f>DGKC!H84</f>
        <v>71892.837</v>
      </c>
      <c r="F125" s="190">
        <f>AVERAGE(DGKC!G37,DGKC!H37)</f>
        <v>142154.9945</v>
      </c>
      <c r="G125" s="190">
        <f t="shared" si="2"/>
        <v>0.50573556879142922</v>
      </c>
      <c r="H125" s="190">
        <v>0.50570000000000004</v>
      </c>
      <c r="I125" s="177" t="str">
        <f t="shared" si="3"/>
        <v>Numeric fit</v>
      </c>
      <c r="J125" s="177">
        <v>4</v>
      </c>
      <c r="K125" s="184" t="s">
        <v>87</v>
      </c>
      <c r="L125" s="184" t="s">
        <v>97</v>
      </c>
    </row>
    <row r="126" spans="1:12" ht="64.05" customHeight="1" x14ac:dyDescent="0.3">
      <c r="A126" s="180" t="s">
        <v>86</v>
      </c>
      <c r="B126" s="180">
        <v>2021</v>
      </c>
      <c r="C126" s="180" t="s">
        <v>9048</v>
      </c>
      <c r="D126" s="180" t="s">
        <v>9148</v>
      </c>
      <c r="E126" s="189">
        <f>DGKC!D84</f>
        <v>45107.69</v>
      </c>
      <c r="F126" s="189">
        <f>DGKC!D20</f>
        <v>85020.108999999997</v>
      </c>
      <c r="G126" s="189">
        <f t="shared" si="2"/>
        <v>0.53055318948132613</v>
      </c>
      <c r="H126" s="189">
        <v>0.53520000000000001</v>
      </c>
      <c r="I126" s="180" t="str">
        <f t="shared" si="3"/>
        <v>No fit</v>
      </c>
      <c r="J126" s="180">
        <v>4</v>
      </c>
      <c r="K126" s="183" t="s">
        <v>87</v>
      </c>
      <c r="L126" s="183" t="s">
        <v>98</v>
      </c>
    </row>
    <row r="127" spans="1:12" ht="64.05" customHeight="1" x14ac:dyDescent="0.3">
      <c r="A127" s="177" t="s">
        <v>86</v>
      </c>
      <c r="B127" s="177">
        <v>2021</v>
      </c>
      <c r="C127" s="177" t="s">
        <v>9048</v>
      </c>
      <c r="D127" s="177" t="s">
        <v>9149</v>
      </c>
      <c r="E127" s="190">
        <f>DGKC!D84</f>
        <v>45107.69</v>
      </c>
      <c r="F127" s="190">
        <f>AVERAGE(DGKC!C20,DGKC!D20)</f>
        <v>84278.70199999999</v>
      </c>
      <c r="G127" s="190">
        <f t="shared" si="2"/>
        <v>0.53522051158310446</v>
      </c>
      <c r="H127" s="190">
        <v>0.53520000000000001</v>
      </c>
      <c r="I127" s="177" t="str">
        <f t="shared" si="3"/>
        <v>Numeric fit</v>
      </c>
      <c r="J127" s="177">
        <v>4</v>
      </c>
      <c r="K127" s="184" t="s">
        <v>87</v>
      </c>
      <c r="L127" s="184" t="s">
        <v>98</v>
      </c>
    </row>
    <row r="128" spans="1:12" ht="64.05" customHeight="1" x14ac:dyDescent="0.3">
      <c r="A128" s="180" t="s">
        <v>86</v>
      </c>
      <c r="B128" s="180">
        <v>2022</v>
      </c>
      <c r="C128" s="180" t="s">
        <v>9048</v>
      </c>
      <c r="D128" s="180" t="s">
        <v>9148</v>
      </c>
      <c r="E128" s="189">
        <f>DGKC!E84</f>
        <v>58043.862999999998</v>
      </c>
      <c r="F128" s="189">
        <f>DGKC!E20</f>
        <v>82803.86</v>
      </c>
      <c r="G128" s="189">
        <f t="shared" si="2"/>
        <v>0.70098015962057802</v>
      </c>
      <c r="H128" s="189">
        <v>0.69169999999999998</v>
      </c>
      <c r="I128" s="180" t="str">
        <f t="shared" si="3"/>
        <v>No fit</v>
      </c>
      <c r="J128" s="180">
        <v>4</v>
      </c>
      <c r="K128" s="183" t="s">
        <v>87</v>
      </c>
      <c r="L128" s="183" t="s">
        <v>98</v>
      </c>
    </row>
    <row r="129" spans="1:12" ht="64.05" customHeight="1" x14ac:dyDescent="0.3">
      <c r="A129" s="177" t="s">
        <v>86</v>
      </c>
      <c r="B129" s="177">
        <v>2022</v>
      </c>
      <c r="C129" s="177" t="s">
        <v>9048</v>
      </c>
      <c r="D129" s="177" t="s">
        <v>9149</v>
      </c>
      <c r="E129" s="190">
        <f>DGKC!E84</f>
        <v>58043.862999999998</v>
      </c>
      <c r="F129" s="190">
        <f>AVERAGE(DGKC!D20,DGKC!E20)</f>
        <v>83911.984499999991</v>
      </c>
      <c r="G129" s="190">
        <f t="shared" si="2"/>
        <v>0.69172315904410531</v>
      </c>
      <c r="H129" s="190">
        <v>0.69169999999999998</v>
      </c>
      <c r="I129" s="177" t="str">
        <f t="shared" si="3"/>
        <v>Numeric fit</v>
      </c>
      <c r="J129" s="177">
        <v>4</v>
      </c>
      <c r="K129" s="184" t="s">
        <v>87</v>
      </c>
      <c r="L129" s="184" t="s">
        <v>98</v>
      </c>
    </row>
    <row r="130" spans="1:12" ht="64.05" customHeight="1" x14ac:dyDescent="0.3">
      <c r="A130" s="180" t="s">
        <v>86</v>
      </c>
      <c r="B130" s="180">
        <v>2023</v>
      </c>
      <c r="C130" s="180" t="s">
        <v>9048</v>
      </c>
      <c r="D130" s="180" t="s">
        <v>9148</v>
      </c>
      <c r="E130" s="189">
        <f>DGKC!F84</f>
        <v>64983.821000000004</v>
      </c>
      <c r="F130" s="189">
        <f>DGKC!F20</f>
        <v>82245.649999999994</v>
      </c>
      <c r="G130" s="189">
        <f t="shared" si="2"/>
        <v>0.79011863849334296</v>
      </c>
      <c r="H130" s="189">
        <v>0.78739999999999999</v>
      </c>
      <c r="I130" s="180" t="str">
        <f t="shared" si="3"/>
        <v>No fit</v>
      </c>
      <c r="J130" s="180">
        <v>4</v>
      </c>
      <c r="K130" s="183" t="s">
        <v>87</v>
      </c>
      <c r="L130" s="183" t="s">
        <v>98</v>
      </c>
    </row>
    <row r="131" spans="1:12" ht="64.05" customHeight="1" x14ac:dyDescent="0.3">
      <c r="A131" s="177" t="s">
        <v>86</v>
      </c>
      <c r="B131" s="177">
        <v>2023</v>
      </c>
      <c r="C131" s="177" t="s">
        <v>9048</v>
      </c>
      <c r="D131" s="177" t="s">
        <v>9149</v>
      </c>
      <c r="E131" s="190">
        <f>DGKC!F84</f>
        <v>64983.821000000004</v>
      </c>
      <c r="F131" s="190">
        <f>AVERAGE(DGKC!E20,DGKC!F20)</f>
        <v>82524.755000000005</v>
      </c>
      <c r="G131" s="190">
        <f t="shared" si="2"/>
        <v>0.78744639714471132</v>
      </c>
      <c r="H131" s="190">
        <v>0.78739999999999999</v>
      </c>
      <c r="I131" s="177" t="str">
        <f t="shared" si="3"/>
        <v>Numeric fit</v>
      </c>
      <c r="J131" s="177">
        <v>4</v>
      </c>
      <c r="K131" s="184" t="s">
        <v>87</v>
      </c>
      <c r="L131" s="184" t="s">
        <v>98</v>
      </c>
    </row>
    <row r="132" spans="1:12" ht="64.05" customHeight="1" x14ac:dyDescent="0.3">
      <c r="A132" s="180" t="s">
        <v>86</v>
      </c>
      <c r="B132" s="180">
        <v>2024</v>
      </c>
      <c r="C132" s="180" t="s">
        <v>9048</v>
      </c>
      <c r="D132" s="180" t="s">
        <v>9148</v>
      </c>
      <c r="E132" s="189">
        <f>DGKC!G84</f>
        <v>66038.688999999998</v>
      </c>
      <c r="F132" s="189">
        <f>DGKC!G20</f>
        <v>79877.839000000007</v>
      </c>
      <c r="G132" s="189">
        <f t="shared" si="2"/>
        <v>0.82674606407416695</v>
      </c>
      <c r="H132" s="189">
        <v>0.81469999999999998</v>
      </c>
      <c r="I132" s="180" t="str">
        <f t="shared" si="3"/>
        <v>No fit</v>
      </c>
      <c r="J132" s="180">
        <v>4</v>
      </c>
      <c r="K132" s="183" t="s">
        <v>87</v>
      </c>
      <c r="L132" s="183" t="s">
        <v>98</v>
      </c>
    </row>
    <row r="133" spans="1:12" ht="64.05" customHeight="1" x14ac:dyDescent="0.3">
      <c r="A133" s="177" t="s">
        <v>86</v>
      </c>
      <c r="B133" s="177">
        <v>2024</v>
      </c>
      <c r="C133" s="177" t="s">
        <v>9048</v>
      </c>
      <c r="D133" s="177" t="s">
        <v>9149</v>
      </c>
      <c r="E133" s="190">
        <f>DGKC!G84</f>
        <v>66038.688999999998</v>
      </c>
      <c r="F133" s="190">
        <f>AVERAGE(DGKC!F20,DGKC!G20)</f>
        <v>81061.744500000001</v>
      </c>
      <c r="G133" s="190">
        <f t="shared" si="2"/>
        <v>0.8146714508469528</v>
      </c>
      <c r="H133" s="190">
        <v>0.81469999999999998</v>
      </c>
      <c r="I133" s="177" t="str">
        <f t="shared" si="3"/>
        <v>Numeric fit</v>
      </c>
      <c r="J133" s="177">
        <v>4</v>
      </c>
      <c r="K133" s="184" t="s">
        <v>87</v>
      </c>
      <c r="L133" s="184" t="s">
        <v>98</v>
      </c>
    </row>
    <row r="134" spans="1:12" ht="64.05" customHeight="1" x14ac:dyDescent="0.3">
      <c r="A134" s="180" t="s">
        <v>86</v>
      </c>
      <c r="B134" s="180">
        <v>2025</v>
      </c>
      <c r="C134" s="180" t="s">
        <v>9048</v>
      </c>
      <c r="D134" s="180" t="s">
        <v>9148</v>
      </c>
      <c r="E134" s="189">
        <f>DGKC!H84</f>
        <v>71892.837</v>
      </c>
      <c r="F134" s="189">
        <f>DGKC!H20</f>
        <v>77252.558999999994</v>
      </c>
      <c r="G134" s="189">
        <f t="shared" ref="G134:G197" si="4">IF(AND(ISNUMBER(E134),ISNUMBER(F134),F134&lt;&gt;0),E134/F134,"n/m")</f>
        <v>0.93062078370763102</v>
      </c>
      <c r="H134" s="189">
        <v>0.91510000000000002</v>
      </c>
      <c r="I134" s="180" t="str">
        <f t="shared" ref="I134:I197" si="5">IF(ISNUMBER(H134),IF(ROUND(G134,J134)=ROUND(H134,J134),"Numeric fit","No fit"),"No identical published series")</f>
        <v>No fit</v>
      </c>
      <c r="J134" s="180">
        <v>4</v>
      </c>
      <c r="K134" s="183" t="s">
        <v>87</v>
      </c>
      <c r="L134" s="183" t="s">
        <v>98</v>
      </c>
    </row>
    <row r="135" spans="1:12" ht="64.05" customHeight="1" x14ac:dyDescent="0.3">
      <c r="A135" s="177" t="s">
        <v>86</v>
      </c>
      <c r="B135" s="177">
        <v>2025</v>
      </c>
      <c r="C135" s="177" t="s">
        <v>9048</v>
      </c>
      <c r="D135" s="177" t="s">
        <v>9149</v>
      </c>
      <c r="E135" s="190">
        <f>DGKC!H84</f>
        <v>71892.837</v>
      </c>
      <c r="F135" s="190">
        <f>AVERAGE(DGKC!G20,DGKC!H20)</f>
        <v>78565.198999999993</v>
      </c>
      <c r="G135" s="190">
        <f t="shared" si="4"/>
        <v>0.91507229555925906</v>
      </c>
      <c r="H135" s="190">
        <v>0.91510000000000002</v>
      </c>
      <c r="I135" s="177" t="str">
        <f t="shared" si="5"/>
        <v>Numeric fit</v>
      </c>
      <c r="J135" s="177">
        <v>4</v>
      </c>
      <c r="K135" s="184" t="s">
        <v>87</v>
      </c>
      <c r="L135" s="184" t="s">
        <v>98</v>
      </c>
    </row>
    <row r="136" spans="1:12" ht="64.05" customHeight="1" x14ac:dyDescent="0.3">
      <c r="A136" s="180" t="s">
        <v>86</v>
      </c>
      <c r="B136" s="180">
        <v>2021</v>
      </c>
      <c r="C136" s="180" t="s">
        <v>9079</v>
      </c>
      <c r="D136" s="180" t="s">
        <v>9148</v>
      </c>
      <c r="E136" s="189">
        <f>DGKC!D99</f>
        <v>3721.2730000000006</v>
      </c>
      <c r="F136" s="189">
        <f>DGKC!D41</f>
        <v>73477.873000000007</v>
      </c>
      <c r="G136" s="189">
        <f t="shared" si="4"/>
        <v>5.0644811125656837E-2</v>
      </c>
      <c r="H136" s="189">
        <v>5.3100000000000001E-2</v>
      </c>
      <c r="I136" s="180" t="str">
        <f t="shared" si="5"/>
        <v>No fit</v>
      </c>
      <c r="J136" s="180">
        <v>4</v>
      </c>
      <c r="K136" s="183" t="s">
        <v>87</v>
      </c>
      <c r="L136" s="183" t="s">
        <v>102</v>
      </c>
    </row>
    <row r="137" spans="1:12" ht="64.05" customHeight="1" x14ac:dyDescent="0.3">
      <c r="A137" s="177" t="s">
        <v>86</v>
      </c>
      <c r="B137" s="177">
        <v>2021</v>
      </c>
      <c r="C137" s="177" t="s">
        <v>9079</v>
      </c>
      <c r="D137" s="177" t="s">
        <v>9149</v>
      </c>
      <c r="E137" s="190">
        <f>DGKC!D99</f>
        <v>3721.2730000000006</v>
      </c>
      <c r="F137" s="190">
        <f>AVERAGE(DGKC!C41,DGKC!D41)</f>
        <v>70061.015000000014</v>
      </c>
      <c r="G137" s="190">
        <f t="shared" si="4"/>
        <v>5.3114745768384881E-2</v>
      </c>
      <c r="H137" s="190">
        <v>5.3100000000000001E-2</v>
      </c>
      <c r="I137" s="177" t="str">
        <f t="shared" si="5"/>
        <v>Numeric fit</v>
      </c>
      <c r="J137" s="177">
        <v>4</v>
      </c>
      <c r="K137" s="184" t="s">
        <v>87</v>
      </c>
      <c r="L137" s="184" t="s">
        <v>102</v>
      </c>
    </row>
    <row r="138" spans="1:12" ht="64.05" customHeight="1" x14ac:dyDescent="0.3">
      <c r="A138" s="180" t="s">
        <v>86</v>
      </c>
      <c r="B138" s="180">
        <v>2022</v>
      </c>
      <c r="C138" s="180" t="s">
        <v>9079</v>
      </c>
      <c r="D138" s="180" t="s">
        <v>9148</v>
      </c>
      <c r="E138" s="189">
        <f>DGKC!E99</f>
        <v>2972.1319999999987</v>
      </c>
      <c r="F138" s="189">
        <f>DGKC!E41</f>
        <v>69918.101999999999</v>
      </c>
      <c r="G138" s="189">
        <f t="shared" si="4"/>
        <v>4.2508762609145177E-2</v>
      </c>
      <c r="H138" s="189">
        <v>4.1500000000000002E-2</v>
      </c>
      <c r="I138" s="180" t="str">
        <f t="shared" si="5"/>
        <v>No fit</v>
      </c>
      <c r="J138" s="180">
        <v>4</v>
      </c>
      <c r="K138" s="183" t="s">
        <v>87</v>
      </c>
      <c r="L138" s="183" t="s">
        <v>102</v>
      </c>
    </row>
    <row r="139" spans="1:12" ht="64.05" customHeight="1" x14ac:dyDescent="0.3">
      <c r="A139" s="177" t="s">
        <v>86</v>
      </c>
      <c r="B139" s="177">
        <v>2022</v>
      </c>
      <c r="C139" s="177" t="s">
        <v>9079</v>
      </c>
      <c r="D139" s="177" t="s">
        <v>9149</v>
      </c>
      <c r="E139" s="190">
        <f>DGKC!E99</f>
        <v>2972.1319999999987</v>
      </c>
      <c r="F139" s="190">
        <f>AVERAGE(DGKC!D41,DGKC!E41)</f>
        <v>71697.987500000003</v>
      </c>
      <c r="G139" s="190">
        <f t="shared" si="4"/>
        <v>4.1453492679972344E-2</v>
      </c>
      <c r="H139" s="190">
        <v>4.1500000000000002E-2</v>
      </c>
      <c r="I139" s="177" t="str">
        <f t="shared" si="5"/>
        <v>Numeric fit</v>
      </c>
      <c r="J139" s="177">
        <v>4</v>
      </c>
      <c r="K139" s="184" t="s">
        <v>87</v>
      </c>
      <c r="L139" s="184" t="s">
        <v>102</v>
      </c>
    </row>
    <row r="140" spans="1:12" ht="64.05" customHeight="1" x14ac:dyDescent="0.3">
      <c r="A140" s="180" t="s">
        <v>86</v>
      </c>
      <c r="B140" s="180">
        <v>2023</v>
      </c>
      <c r="C140" s="180" t="s">
        <v>9079</v>
      </c>
      <c r="D140" s="180" t="s">
        <v>9148</v>
      </c>
      <c r="E140" s="189">
        <f>DGKC!F99</f>
        <v>-3635.9759999999997</v>
      </c>
      <c r="F140" s="189">
        <f>DGKC!F41</f>
        <v>64192.277000000002</v>
      </c>
      <c r="G140" s="189">
        <f t="shared" si="4"/>
        <v>-5.6641953984589134E-2</v>
      </c>
      <c r="H140" s="189">
        <v>-5.4199999999999998E-2</v>
      </c>
      <c r="I140" s="180" t="str">
        <f t="shared" si="5"/>
        <v>No fit</v>
      </c>
      <c r="J140" s="180">
        <v>4</v>
      </c>
      <c r="K140" s="183" t="s">
        <v>87</v>
      </c>
      <c r="L140" s="183" t="s">
        <v>102</v>
      </c>
    </row>
    <row r="141" spans="1:12" ht="64.05" customHeight="1" x14ac:dyDescent="0.3">
      <c r="A141" s="177" t="s">
        <v>86</v>
      </c>
      <c r="B141" s="177">
        <v>2023</v>
      </c>
      <c r="C141" s="177" t="s">
        <v>9079</v>
      </c>
      <c r="D141" s="177" t="s">
        <v>9149</v>
      </c>
      <c r="E141" s="190">
        <f>DGKC!F99</f>
        <v>-3635.9759999999997</v>
      </c>
      <c r="F141" s="190">
        <f>AVERAGE(DGKC!E41,DGKC!F41)</f>
        <v>67055.189500000008</v>
      </c>
      <c r="G141" s="190">
        <f t="shared" si="4"/>
        <v>-5.4223633205898243E-2</v>
      </c>
      <c r="H141" s="190">
        <v>-5.4199999999999998E-2</v>
      </c>
      <c r="I141" s="177" t="str">
        <f t="shared" si="5"/>
        <v>Numeric fit</v>
      </c>
      <c r="J141" s="177">
        <v>4</v>
      </c>
      <c r="K141" s="184" t="s">
        <v>87</v>
      </c>
      <c r="L141" s="184" t="s">
        <v>102</v>
      </c>
    </row>
    <row r="142" spans="1:12" ht="64.05" customHeight="1" x14ac:dyDescent="0.3">
      <c r="A142" s="180" t="s">
        <v>86</v>
      </c>
      <c r="B142" s="180">
        <v>2024</v>
      </c>
      <c r="C142" s="180" t="s">
        <v>9079</v>
      </c>
      <c r="D142" s="180" t="s">
        <v>9148</v>
      </c>
      <c r="E142" s="189">
        <f>DGKC!G99</f>
        <v>542.39600000000178</v>
      </c>
      <c r="F142" s="189">
        <f>DGKC!G41</f>
        <v>75847.538</v>
      </c>
      <c r="G142" s="189">
        <f t="shared" si="4"/>
        <v>7.1511352154898129E-3</v>
      </c>
      <c r="H142" s="189">
        <v>7.7000000000000002E-3</v>
      </c>
      <c r="I142" s="180" t="str">
        <f t="shared" si="5"/>
        <v>No fit</v>
      </c>
      <c r="J142" s="180">
        <v>4</v>
      </c>
      <c r="K142" s="183" t="s">
        <v>87</v>
      </c>
      <c r="L142" s="183" t="s">
        <v>102</v>
      </c>
    </row>
    <row r="143" spans="1:12" ht="64.05" customHeight="1" x14ac:dyDescent="0.3">
      <c r="A143" s="177" t="s">
        <v>86</v>
      </c>
      <c r="B143" s="177">
        <v>2024</v>
      </c>
      <c r="C143" s="177" t="s">
        <v>9079</v>
      </c>
      <c r="D143" s="177" t="s">
        <v>9149</v>
      </c>
      <c r="E143" s="190">
        <f>DGKC!G99</f>
        <v>542.39600000000178</v>
      </c>
      <c r="F143" s="190">
        <f>AVERAGE(DGKC!F41,DGKC!G41)</f>
        <v>70019.907500000001</v>
      </c>
      <c r="G143" s="190">
        <f t="shared" si="4"/>
        <v>7.7463112901141971E-3</v>
      </c>
      <c r="H143" s="190">
        <v>7.7000000000000002E-3</v>
      </c>
      <c r="I143" s="177" t="str">
        <f t="shared" si="5"/>
        <v>Numeric fit</v>
      </c>
      <c r="J143" s="177">
        <v>4</v>
      </c>
      <c r="K143" s="184" t="s">
        <v>87</v>
      </c>
      <c r="L143" s="184" t="s">
        <v>102</v>
      </c>
    </row>
    <row r="144" spans="1:12" ht="64.05" customHeight="1" x14ac:dyDescent="0.3">
      <c r="A144" s="180" t="s">
        <v>86</v>
      </c>
      <c r="B144" s="180">
        <v>2025</v>
      </c>
      <c r="C144" s="180" t="s">
        <v>9079</v>
      </c>
      <c r="D144" s="180" t="s">
        <v>9148</v>
      </c>
      <c r="E144" s="189">
        <f>DGKC!H99</f>
        <v>8675.0589999999993</v>
      </c>
      <c r="F144" s="189">
        <f>DGKC!H41</f>
        <v>94667.478000000003</v>
      </c>
      <c r="G144" s="189">
        <f t="shared" si="4"/>
        <v>9.1637161813901913E-2</v>
      </c>
      <c r="H144" s="189">
        <v>0.1018</v>
      </c>
      <c r="I144" s="180" t="str">
        <f t="shared" si="5"/>
        <v>No fit</v>
      </c>
      <c r="J144" s="180">
        <v>4</v>
      </c>
      <c r="K144" s="183" t="s">
        <v>87</v>
      </c>
      <c r="L144" s="183" t="s">
        <v>102</v>
      </c>
    </row>
    <row r="145" spans="1:12" ht="64.05" customHeight="1" x14ac:dyDescent="0.3">
      <c r="A145" s="177" t="s">
        <v>86</v>
      </c>
      <c r="B145" s="177">
        <v>2025</v>
      </c>
      <c r="C145" s="177" t="s">
        <v>9079</v>
      </c>
      <c r="D145" s="177" t="s">
        <v>9149</v>
      </c>
      <c r="E145" s="190">
        <f>DGKC!H99</f>
        <v>8675.0589999999993</v>
      </c>
      <c r="F145" s="190">
        <f>AVERAGE(DGKC!G41,DGKC!H41)</f>
        <v>85257.508000000002</v>
      </c>
      <c r="G145" s="190">
        <f t="shared" si="4"/>
        <v>0.10175126160150023</v>
      </c>
      <c r="H145" s="190">
        <v>0.1018</v>
      </c>
      <c r="I145" s="177" t="str">
        <f t="shared" si="5"/>
        <v>Numeric fit</v>
      </c>
      <c r="J145" s="177">
        <v>4</v>
      </c>
      <c r="K145" s="184" t="s">
        <v>87</v>
      </c>
      <c r="L145" s="184" t="s">
        <v>102</v>
      </c>
    </row>
    <row r="146" spans="1:12" ht="64.05" customHeight="1" x14ac:dyDescent="0.3">
      <c r="A146" s="180" t="s">
        <v>106</v>
      </c>
      <c r="B146" s="180">
        <v>2021</v>
      </c>
      <c r="C146" s="180" t="s">
        <v>9042</v>
      </c>
      <c r="D146" s="180" t="s">
        <v>9148</v>
      </c>
      <c r="E146" s="189">
        <f>365*MLCF!D65</f>
        <v>4339448.5000000009</v>
      </c>
      <c r="F146" s="189">
        <f>-MLCF!D85</f>
        <v>28135.419000000002</v>
      </c>
      <c r="G146" s="189">
        <f t="shared" si="4"/>
        <v>154.23436558737586</v>
      </c>
      <c r="H146" s="189">
        <v>25.99</v>
      </c>
      <c r="I146" s="180" t="str">
        <f t="shared" si="5"/>
        <v>No fit</v>
      </c>
      <c r="J146" s="180">
        <v>2</v>
      </c>
      <c r="K146" s="183" t="s">
        <v>107</v>
      </c>
      <c r="L146" s="183" t="s">
        <v>5801</v>
      </c>
    </row>
    <row r="147" spans="1:12" ht="64.05" customHeight="1" x14ac:dyDescent="0.3">
      <c r="A147" s="177" t="s">
        <v>106</v>
      </c>
      <c r="B147" s="177">
        <v>2021</v>
      </c>
      <c r="C147" s="177" t="s">
        <v>9042</v>
      </c>
      <c r="D147" s="177" t="s">
        <v>9149</v>
      </c>
      <c r="E147" s="190">
        <f>365*AVERAGE(MLCF!C65,MLCF!D65)</f>
        <v>4026664.3050000006</v>
      </c>
      <c r="F147" s="190">
        <f>-MLCF!D85</f>
        <v>28135.419000000002</v>
      </c>
      <c r="G147" s="190">
        <f t="shared" si="4"/>
        <v>143.11726813096334</v>
      </c>
      <c r="H147" s="190">
        <v>25.99</v>
      </c>
      <c r="I147" s="177" t="str">
        <f t="shared" si="5"/>
        <v>No fit</v>
      </c>
      <c r="J147" s="177">
        <v>2</v>
      </c>
      <c r="K147" s="184" t="s">
        <v>107</v>
      </c>
      <c r="L147" s="184" t="s">
        <v>5801</v>
      </c>
    </row>
    <row r="148" spans="1:12" ht="64.05" customHeight="1" x14ac:dyDescent="0.3">
      <c r="A148" s="180" t="s">
        <v>106</v>
      </c>
      <c r="B148" s="180">
        <v>2022</v>
      </c>
      <c r="C148" s="180" t="s">
        <v>9042</v>
      </c>
      <c r="D148" s="180" t="s">
        <v>9148</v>
      </c>
      <c r="E148" s="189">
        <f>365*MLCF!E65</f>
        <v>5675467.4899999993</v>
      </c>
      <c r="F148" s="189">
        <f>-MLCF!E85</f>
        <v>36244.156000000003</v>
      </c>
      <c r="G148" s="189">
        <f t="shared" si="4"/>
        <v>156.5898648598687</v>
      </c>
      <c r="H148" s="189">
        <v>24.88</v>
      </c>
      <c r="I148" s="180" t="str">
        <f t="shared" si="5"/>
        <v>No fit</v>
      </c>
      <c r="J148" s="180">
        <v>2</v>
      </c>
      <c r="K148" s="183" t="s">
        <v>107</v>
      </c>
      <c r="L148" s="183" t="s">
        <v>5801</v>
      </c>
    </row>
    <row r="149" spans="1:12" ht="64.05" customHeight="1" x14ac:dyDescent="0.3">
      <c r="A149" s="177" t="s">
        <v>106</v>
      </c>
      <c r="B149" s="177">
        <v>2022</v>
      </c>
      <c r="C149" s="177" t="s">
        <v>9042</v>
      </c>
      <c r="D149" s="177" t="s">
        <v>9149</v>
      </c>
      <c r="E149" s="190">
        <f>365*AVERAGE(MLCF!D65,MLCF!E65)</f>
        <v>5007457.9950000001</v>
      </c>
      <c r="F149" s="190">
        <f>-MLCF!E85</f>
        <v>36244.156000000003</v>
      </c>
      <c r="G149" s="190">
        <f t="shared" si="4"/>
        <v>138.1590454196257</v>
      </c>
      <c r="H149" s="190">
        <v>24.88</v>
      </c>
      <c r="I149" s="177" t="str">
        <f t="shared" si="5"/>
        <v>No fit</v>
      </c>
      <c r="J149" s="177">
        <v>2</v>
      </c>
      <c r="K149" s="184" t="s">
        <v>107</v>
      </c>
      <c r="L149" s="184" t="s">
        <v>5801</v>
      </c>
    </row>
    <row r="150" spans="1:12" ht="64.05" customHeight="1" x14ac:dyDescent="0.3">
      <c r="A150" s="180" t="s">
        <v>106</v>
      </c>
      <c r="B150" s="180">
        <v>2023</v>
      </c>
      <c r="C150" s="180" t="s">
        <v>9042</v>
      </c>
      <c r="D150" s="180" t="s">
        <v>9148</v>
      </c>
      <c r="E150" s="189">
        <f>365*MLCF!F65</f>
        <v>5037167.8999999994</v>
      </c>
      <c r="F150" s="189">
        <f>-MLCF!F85</f>
        <v>43901.906000000003</v>
      </c>
      <c r="G150" s="189">
        <f t="shared" si="4"/>
        <v>114.7368840888138</v>
      </c>
      <c r="H150" s="189">
        <v>27.31</v>
      </c>
      <c r="I150" s="180" t="str">
        <f t="shared" si="5"/>
        <v>No fit</v>
      </c>
      <c r="J150" s="180">
        <v>2</v>
      </c>
      <c r="K150" s="183" t="s">
        <v>107</v>
      </c>
      <c r="L150" s="183" t="s">
        <v>109</v>
      </c>
    </row>
    <row r="151" spans="1:12" ht="64.05" customHeight="1" x14ac:dyDescent="0.3">
      <c r="A151" s="177" t="s">
        <v>106</v>
      </c>
      <c r="B151" s="177">
        <v>2023</v>
      </c>
      <c r="C151" s="177" t="s">
        <v>9042</v>
      </c>
      <c r="D151" s="177" t="s">
        <v>9149</v>
      </c>
      <c r="E151" s="190">
        <f>365*AVERAGE(MLCF!E65,MLCF!F65)</f>
        <v>5356317.6949999994</v>
      </c>
      <c r="F151" s="190">
        <f>-MLCF!F85</f>
        <v>43901.906000000003</v>
      </c>
      <c r="G151" s="190">
        <f t="shared" si="4"/>
        <v>122.0064954583065</v>
      </c>
      <c r="H151" s="190">
        <v>27.31</v>
      </c>
      <c r="I151" s="177" t="str">
        <f t="shared" si="5"/>
        <v>No fit</v>
      </c>
      <c r="J151" s="177">
        <v>2</v>
      </c>
      <c r="K151" s="184" t="s">
        <v>107</v>
      </c>
      <c r="L151" s="184" t="s">
        <v>109</v>
      </c>
    </row>
    <row r="152" spans="1:12" ht="64.05" customHeight="1" x14ac:dyDescent="0.3">
      <c r="A152" s="180" t="s">
        <v>106</v>
      </c>
      <c r="B152" s="180">
        <v>2024</v>
      </c>
      <c r="C152" s="180" t="s">
        <v>9042</v>
      </c>
      <c r="D152" s="180" t="s">
        <v>9148</v>
      </c>
      <c r="E152" s="189">
        <f>365*MLCF!G65</f>
        <v>5669851.9649999999</v>
      </c>
      <c r="F152" s="189">
        <f>-MLCF!G85</f>
        <v>45488.063999999998</v>
      </c>
      <c r="G152" s="189">
        <f t="shared" si="4"/>
        <v>124.6448291358366</v>
      </c>
      <c r="H152" s="189">
        <v>28.69</v>
      </c>
      <c r="I152" s="180" t="str">
        <f t="shared" si="5"/>
        <v>No fit</v>
      </c>
      <c r="J152" s="180">
        <v>2</v>
      </c>
      <c r="K152" s="183" t="s">
        <v>107</v>
      </c>
      <c r="L152" s="183" t="s">
        <v>5801</v>
      </c>
    </row>
    <row r="153" spans="1:12" ht="64.05" customHeight="1" x14ac:dyDescent="0.3">
      <c r="A153" s="177" t="s">
        <v>106</v>
      </c>
      <c r="B153" s="177">
        <v>2024</v>
      </c>
      <c r="C153" s="177" t="s">
        <v>9042</v>
      </c>
      <c r="D153" s="177" t="s">
        <v>9149</v>
      </c>
      <c r="E153" s="190">
        <f>365*AVERAGE(MLCF!F65,MLCF!G65)</f>
        <v>5353509.9325000001</v>
      </c>
      <c r="F153" s="190">
        <f>-MLCF!G85</f>
        <v>45488.063999999998</v>
      </c>
      <c r="G153" s="190">
        <f t="shared" si="4"/>
        <v>117.69043264844159</v>
      </c>
      <c r="H153" s="190">
        <v>28.69</v>
      </c>
      <c r="I153" s="177" t="str">
        <f t="shared" si="5"/>
        <v>No fit</v>
      </c>
      <c r="J153" s="177">
        <v>2</v>
      </c>
      <c r="K153" s="184" t="s">
        <v>107</v>
      </c>
      <c r="L153" s="184" t="s">
        <v>5801</v>
      </c>
    </row>
    <row r="154" spans="1:12" ht="64.05" customHeight="1" x14ac:dyDescent="0.3">
      <c r="A154" s="180" t="s">
        <v>106</v>
      </c>
      <c r="B154" s="180">
        <v>2025</v>
      </c>
      <c r="C154" s="180" t="s">
        <v>9042</v>
      </c>
      <c r="D154" s="180" t="s">
        <v>9148</v>
      </c>
      <c r="E154" s="189">
        <f>365*MLCF!H65</f>
        <v>6170069.8650000002</v>
      </c>
      <c r="F154" s="189">
        <f>-MLCF!H85</f>
        <v>45195.63</v>
      </c>
      <c r="G154" s="189">
        <f t="shared" si="4"/>
        <v>136.51916933119421</v>
      </c>
      <c r="H154" s="189">
        <v>31.09</v>
      </c>
      <c r="I154" s="180" t="str">
        <f t="shared" si="5"/>
        <v>No fit</v>
      </c>
      <c r="J154" s="180">
        <v>2</v>
      </c>
      <c r="K154" s="183" t="s">
        <v>107</v>
      </c>
      <c r="L154" s="183" t="s">
        <v>109</v>
      </c>
    </row>
    <row r="155" spans="1:12" ht="64.05" customHeight="1" x14ac:dyDescent="0.3">
      <c r="A155" s="177" t="s">
        <v>106</v>
      </c>
      <c r="B155" s="177">
        <v>2025</v>
      </c>
      <c r="C155" s="177" t="s">
        <v>9042</v>
      </c>
      <c r="D155" s="177" t="s">
        <v>9149</v>
      </c>
      <c r="E155" s="190">
        <f>365*AVERAGE(MLCF!G65,MLCF!H65)</f>
        <v>5919960.915</v>
      </c>
      <c r="F155" s="190">
        <f>-MLCF!H85</f>
        <v>45195.63</v>
      </c>
      <c r="G155" s="190">
        <f t="shared" si="4"/>
        <v>130.98525045452405</v>
      </c>
      <c r="H155" s="190">
        <v>31.09</v>
      </c>
      <c r="I155" s="177" t="str">
        <f t="shared" si="5"/>
        <v>No fit</v>
      </c>
      <c r="J155" s="177">
        <v>2</v>
      </c>
      <c r="K155" s="184" t="s">
        <v>107</v>
      </c>
      <c r="L155" s="184" t="s">
        <v>109</v>
      </c>
    </row>
    <row r="156" spans="1:12" ht="64.05" customHeight="1" x14ac:dyDescent="0.3">
      <c r="A156" s="180" t="s">
        <v>106</v>
      </c>
      <c r="B156" s="180">
        <v>2021</v>
      </c>
      <c r="C156" s="180" t="s">
        <v>9045</v>
      </c>
      <c r="D156" s="180" t="s">
        <v>9148</v>
      </c>
      <c r="E156" s="189">
        <f>365*MLCF!D32</f>
        <v>613091.96</v>
      </c>
      <c r="F156" s="189">
        <f>MLCF!D84</f>
        <v>35538.300999999999</v>
      </c>
      <c r="G156" s="189">
        <f t="shared" si="4"/>
        <v>17.251583298818925</v>
      </c>
      <c r="H156" s="189">
        <v>24.3</v>
      </c>
      <c r="I156" s="180" t="str">
        <f t="shared" si="5"/>
        <v>No fit</v>
      </c>
      <c r="J156" s="180">
        <v>2</v>
      </c>
      <c r="K156" s="183" t="s">
        <v>107</v>
      </c>
      <c r="L156" s="183" t="s">
        <v>72</v>
      </c>
    </row>
    <row r="157" spans="1:12" ht="64.05" customHeight="1" x14ac:dyDescent="0.3">
      <c r="A157" s="177" t="s">
        <v>106</v>
      </c>
      <c r="B157" s="177">
        <v>2021</v>
      </c>
      <c r="C157" s="177" t="s">
        <v>9045</v>
      </c>
      <c r="D157" s="177" t="s">
        <v>9149</v>
      </c>
      <c r="E157" s="190">
        <f>365*AVERAGE(MLCF!C32,MLCF!D32)</f>
        <v>863559.70499999996</v>
      </c>
      <c r="F157" s="190">
        <f>MLCF!D84</f>
        <v>35538.300999999999</v>
      </c>
      <c r="G157" s="190">
        <f t="shared" si="4"/>
        <v>24.299408826550263</v>
      </c>
      <c r="H157" s="190">
        <v>24.3</v>
      </c>
      <c r="I157" s="177" t="str">
        <f t="shared" si="5"/>
        <v>Numeric fit</v>
      </c>
      <c r="J157" s="177">
        <v>2</v>
      </c>
      <c r="K157" s="184" t="s">
        <v>107</v>
      </c>
      <c r="L157" s="184" t="s">
        <v>72</v>
      </c>
    </row>
    <row r="158" spans="1:12" ht="64.05" customHeight="1" x14ac:dyDescent="0.3">
      <c r="A158" s="180" t="s">
        <v>106</v>
      </c>
      <c r="B158" s="180">
        <v>2022</v>
      </c>
      <c r="C158" s="180" t="s">
        <v>9045</v>
      </c>
      <c r="D158" s="180" t="s">
        <v>9148</v>
      </c>
      <c r="E158" s="189">
        <f>365*MLCF!E32</f>
        <v>754167.38</v>
      </c>
      <c r="F158" s="189">
        <f>MLCF!E84</f>
        <v>48519.622000000003</v>
      </c>
      <c r="G158" s="189">
        <f t="shared" si="4"/>
        <v>15.543554317055479</v>
      </c>
      <c r="H158" s="189">
        <v>14.09</v>
      </c>
      <c r="I158" s="180" t="str">
        <f t="shared" si="5"/>
        <v>No fit</v>
      </c>
      <c r="J158" s="180">
        <v>2</v>
      </c>
      <c r="K158" s="183" t="s">
        <v>107</v>
      </c>
      <c r="L158" s="183" t="s">
        <v>72</v>
      </c>
    </row>
    <row r="159" spans="1:12" ht="64.05" customHeight="1" x14ac:dyDescent="0.3">
      <c r="A159" s="177" t="s">
        <v>106</v>
      </c>
      <c r="B159" s="177">
        <v>2022</v>
      </c>
      <c r="C159" s="177" t="s">
        <v>9045</v>
      </c>
      <c r="D159" s="177" t="s">
        <v>9149</v>
      </c>
      <c r="E159" s="190">
        <f>365*AVERAGE(MLCF!D32,MLCF!E32)</f>
        <v>683629.67</v>
      </c>
      <c r="F159" s="190">
        <f>MLCF!E84</f>
        <v>48519.622000000003</v>
      </c>
      <c r="G159" s="190">
        <f t="shared" si="4"/>
        <v>14.089756717395696</v>
      </c>
      <c r="H159" s="190">
        <v>14.09</v>
      </c>
      <c r="I159" s="177" t="str">
        <f t="shared" si="5"/>
        <v>Numeric fit</v>
      </c>
      <c r="J159" s="177">
        <v>2</v>
      </c>
      <c r="K159" s="184" t="s">
        <v>107</v>
      </c>
      <c r="L159" s="184" t="s">
        <v>72</v>
      </c>
    </row>
    <row r="160" spans="1:12" ht="64.05" customHeight="1" x14ac:dyDescent="0.3">
      <c r="A160" s="180" t="s">
        <v>106</v>
      </c>
      <c r="B160" s="180">
        <v>2023</v>
      </c>
      <c r="C160" s="180" t="s">
        <v>9045</v>
      </c>
      <c r="D160" s="180" t="s">
        <v>9148</v>
      </c>
      <c r="E160" s="189">
        <f>365*MLCF!F32</f>
        <v>949359.52500000002</v>
      </c>
      <c r="F160" s="189">
        <f>MLCF!F84</f>
        <v>62075.258999999998</v>
      </c>
      <c r="G160" s="189">
        <f t="shared" si="4"/>
        <v>15.293686088365737</v>
      </c>
      <c r="H160" s="189">
        <v>13.72</v>
      </c>
      <c r="I160" s="180" t="str">
        <f t="shared" si="5"/>
        <v>No fit</v>
      </c>
      <c r="J160" s="180">
        <v>2</v>
      </c>
      <c r="K160" s="183" t="s">
        <v>107</v>
      </c>
      <c r="L160" s="183" t="s">
        <v>72</v>
      </c>
    </row>
    <row r="161" spans="1:12" ht="64.05" customHeight="1" x14ac:dyDescent="0.3">
      <c r="A161" s="177" t="s">
        <v>106</v>
      </c>
      <c r="B161" s="177">
        <v>2023</v>
      </c>
      <c r="C161" s="177" t="s">
        <v>9045</v>
      </c>
      <c r="D161" s="177" t="s">
        <v>9149</v>
      </c>
      <c r="E161" s="190">
        <f>365*AVERAGE(MLCF!E32,MLCF!F32)</f>
        <v>851763.45250000001</v>
      </c>
      <c r="F161" s="190">
        <f>MLCF!F84</f>
        <v>62075.258999999998</v>
      </c>
      <c r="G161" s="190">
        <f t="shared" si="4"/>
        <v>13.72146433573479</v>
      </c>
      <c r="H161" s="190">
        <v>13.72</v>
      </c>
      <c r="I161" s="177" t="str">
        <f t="shared" si="5"/>
        <v>Numeric fit</v>
      </c>
      <c r="J161" s="177">
        <v>2</v>
      </c>
      <c r="K161" s="184" t="s">
        <v>107</v>
      </c>
      <c r="L161" s="184" t="s">
        <v>72</v>
      </c>
    </row>
    <row r="162" spans="1:12" ht="64.05" customHeight="1" x14ac:dyDescent="0.3">
      <c r="A162" s="180" t="s">
        <v>106</v>
      </c>
      <c r="B162" s="180">
        <v>2024</v>
      </c>
      <c r="C162" s="180" t="s">
        <v>9045</v>
      </c>
      <c r="D162" s="180" t="s">
        <v>9148</v>
      </c>
      <c r="E162" s="189">
        <f>365*MLCF!G32</f>
        <v>1528891.925</v>
      </c>
      <c r="F162" s="189">
        <f>MLCF!G84</f>
        <v>66452.347999999998</v>
      </c>
      <c r="G162" s="189">
        <f t="shared" si="4"/>
        <v>23.007342419262599</v>
      </c>
      <c r="H162" s="189">
        <v>18.7</v>
      </c>
      <c r="I162" s="180" t="str">
        <f t="shared" si="5"/>
        <v>No fit</v>
      </c>
      <c r="J162" s="180">
        <v>2</v>
      </c>
      <c r="K162" s="183" t="s">
        <v>107</v>
      </c>
      <c r="L162" s="183" t="s">
        <v>5814</v>
      </c>
    </row>
    <row r="163" spans="1:12" ht="64.05" customHeight="1" x14ac:dyDescent="0.3">
      <c r="A163" s="177" t="s">
        <v>106</v>
      </c>
      <c r="B163" s="177">
        <v>2024</v>
      </c>
      <c r="C163" s="177" t="s">
        <v>9045</v>
      </c>
      <c r="D163" s="177" t="s">
        <v>9149</v>
      </c>
      <c r="E163" s="190">
        <f>365*AVERAGE(MLCF!F32,MLCF!G32)</f>
        <v>1239125.7249999999</v>
      </c>
      <c r="F163" s="190">
        <f>MLCF!G84</f>
        <v>66452.347999999998</v>
      </c>
      <c r="G163" s="190">
        <f t="shared" si="4"/>
        <v>18.646831335440545</v>
      </c>
      <c r="H163" s="190">
        <v>18.7</v>
      </c>
      <c r="I163" s="177" t="str">
        <f t="shared" si="5"/>
        <v>No fit</v>
      </c>
      <c r="J163" s="177">
        <v>2</v>
      </c>
      <c r="K163" s="184" t="s">
        <v>107</v>
      </c>
      <c r="L163" s="184" t="s">
        <v>5814</v>
      </c>
    </row>
    <row r="164" spans="1:12" ht="64.05" customHeight="1" x14ac:dyDescent="0.3">
      <c r="A164" s="180" t="s">
        <v>106</v>
      </c>
      <c r="B164" s="180">
        <v>2025</v>
      </c>
      <c r="C164" s="180" t="s">
        <v>9045</v>
      </c>
      <c r="D164" s="180" t="s">
        <v>9148</v>
      </c>
      <c r="E164" s="189">
        <f>365*MLCF!H32</f>
        <v>1682716.43</v>
      </c>
      <c r="F164" s="189">
        <f>MLCF!H84</f>
        <v>68942.445999999996</v>
      </c>
      <c r="G164" s="189">
        <f t="shared" si="4"/>
        <v>24.407553367050539</v>
      </c>
      <c r="H164" s="189">
        <v>23.29</v>
      </c>
      <c r="I164" s="180" t="str">
        <f t="shared" si="5"/>
        <v>No fit</v>
      </c>
      <c r="J164" s="180">
        <v>2</v>
      </c>
      <c r="K164" s="183" t="s">
        <v>107</v>
      </c>
      <c r="L164" s="183" t="s">
        <v>72</v>
      </c>
    </row>
    <row r="165" spans="1:12" ht="64.05" customHeight="1" x14ac:dyDescent="0.3">
      <c r="A165" s="177" t="s">
        <v>106</v>
      </c>
      <c r="B165" s="177">
        <v>2025</v>
      </c>
      <c r="C165" s="177" t="s">
        <v>9045</v>
      </c>
      <c r="D165" s="177" t="s">
        <v>9149</v>
      </c>
      <c r="E165" s="190">
        <f>365*AVERAGE(MLCF!G32,MLCF!H32)</f>
        <v>1605804.1775</v>
      </c>
      <c r="F165" s="190">
        <f>MLCF!H84</f>
        <v>68942.445999999996</v>
      </c>
      <c r="G165" s="190">
        <f t="shared" si="4"/>
        <v>23.291952500495849</v>
      </c>
      <c r="H165" s="190">
        <v>23.29</v>
      </c>
      <c r="I165" s="177" t="str">
        <f t="shared" si="5"/>
        <v>Numeric fit</v>
      </c>
      <c r="J165" s="177">
        <v>2</v>
      </c>
      <c r="K165" s="184" t="s">
        <v>107</v>
      </c>
      <c r="L165" s="184" t="s">
        <v>72</v>
      </c>
    </row>
    <row r="166" spans="1:12" ht="64.05" customHeight="1" x14ac:dyDescent="0.3">
      <c r="A166" s="180" t="s">
        <v>106</v>
      </c>
      <c r="B166" s="180">
        <v>2021</v>
      </c>
      <c r="C166" s="180" t="s">
        <v>9052</v>
      </c>
      <c r="D166" s="180" t="s">
        <v>9148</v>
      </c>
      <c r="E166" s="189">
        <f>MLCF!D84</f>
        <v>35538.300999999999</v>
      </c>
      <c r="F166" s="189">
        <f>MLCF!D37</f>
        <v>66239.277999999991</v>
      </c>
      <c r="G166" s="189">
        <f t="shared" si="4"/>
        <v>0.53651401514370378</v>
      </c>
      <c r="H166" s="189">
        <v>0.54</v>
      </c>
      <c r="I166" s="180" t="str">
        <f t="shared" si="5"/>
        <v>Numeric fit</v>
      </c>
      <c r="J166" s="180">
        <v>2</v>
      </c>
      <c r="K166" s="183" t="s">
        <v>107</v>
      </c>
      <c r="L166" s="183" t="s">
        <v>46</v>
      </c>
    </row>
    <row r="167" spans="1:12" ht="64.05" customHeight="1" x14ac:dyDescent="0.3">
      <c r="A167" s="177" t="s">
        <v>106</v>
      </c>
      <c r="B167" s="177">
        <v>2021</v>
      </c>
      <c r="C167" s="177" t="s">
        <v>9052</v>
      </c>
      <c r="D167" s="177" t="s">
        <v>9149</v>
      </c>
      <c r="E167" s="190">
        <f>MLCF!D84</f>
        <v>35538.300999999999</v>
      </c>
      <c r="F167" s="190">
        <f>AVERAGE(MLCF!C37,MLCF!D37)</f>
        <v>66124.5245</v>
      </c>
      <c r="G167" s="190">
        <f t="shared" si="4"/>
        <v>0.53744508968075833</v>
      </c>
      <c r="H167" s="190">
        <v>0.54</v>
      </c>
      <c r="I167" s="177" t="str">
        <f t="shared" si="5"/>
        <v>Numeric fit</v>
      </c>
      <c r="J167" s="177">
        <v>2</v>
      </c>
      <c r="K167" s="184" t="s">
        <v>107</v>
      </c>
      <c r="L167" s="184" t="s">
        <v>46</v>
      </c>
    </row>
    <row r="168" spans="1:12" ht="64.05" customHeight="1" x14ac:dyDescent="0.3">
      <c r="A168" s="180" t="s">
        <v>106</v>
      </c>
      <c r="B168" s="180">
        <v>2022</v>
      </c>
      <c r="C168" s="180" t="s">
        <v>9052</v>
      </c>
      <c r="D168" s="180" t="s">
        <v>9148</v>
      </c>
      <c r="E168" s="189">
        <f>MLCF!E84</f>
        <v>48519.622000000003</v>
      </c>
      <c r="F168" s="189">
        <f>MLCF!E37</f>
        <v>82214.209999999992</v>
      </c>
      <c r="G168" s="189">
        <f t="shared" si="4"/>
        <v>0.59016101960962719</v>
      </c>
      <c r="H168" s="189">
        <v>0.59</v>
      </c>
      <c r="I168" s="180" t="str">
        <f t="shared" si="5"/>
        <v>Numeric fit</v>
      </c>
      <c r="J168" s="180">
        <v>2</v>
      </c>
      <c r="K168" s="183" t="s">
        <v>107</v>
      </c>
      <c r="L168" s="183" t="s">
        <v>46</v>
      </c>
    </row>
    <row r="169" spans="1:12" ht="64.05" customHeight="1" x14ac:dyDescent="0.3">
      <c r="A169" s="177" t="s">
        <v>106</v>
      </c>
      <c r="B169" s="177">
        <v>2022</v>
      </c>
      <c r="C169" s="177" t="s">
        <v>9052</v>
      </c>
      <c r="D169" s="177" t="s">
        <v>9149</v>
      </c>
      <c r="E169" s="190">
        <f>MLCF!E84</f>
        <v>48519.622000000003</v>
      </c>
      <c r="F169" s="190">
        <f>AVERAGE(MLCF!D37,MLCF!E37)</f>
        <v>74226.743999999992</v>
      </c>
      <c r="G169" s="190">
        <f t="shared" si="4"/>
        <v>0.65366765919302627</v>
      </c>
      <c r="H169" s="190">
        <v>0.59</v>
      </c>
      <c r="I169" s="177" t="str">
        <f t="shared" si="5"/>
        <v>No fit</v>
      </c>
      <c r="J169" s="177">
        <v>2</v>
      </c>
      <c r="K169" s="184" t="s">
        <v>107</v>
      </c>
      <c r="L169" s="184" t="s">
        <v>46</v>
      </c>
    </row>
    <row r="170" spans="1:12" ht="64.05" customHeight="1" x14ac:dyDescent="0.3">
      <c r="A170" s="180" t="s">
        <v>106</v>
      </c>
      <c r="B170" s="180">
        <v>2023</v>
      </c>
      <c r="C170" s="180" t="s">
        <v>9052</v>
      </c>
      <c r="D170" s="180" t="s">
        <v>9148</v>
      </c>
      <c r="E170" s="189">
        <f>MLCF!F84</f>
        <v>62075.258999999998</v>
      </c>
      <c r="F170" s="189">
        <f>MLCF!F37</f>
        <v>89707.71100000001</v>
      </c>
      <c r="G170" s="189">
        <f t="shared" si="4"/>
        <v>0.69197238797008198</v>
      </c>
      <c r="H170" s="189">
        <v>0.69</v>
      </c>
      <c r="I170" s="180" t="str">
        <f t="shared" si="5"/>
        <v>Numeric fit</v>
      </c>
      <c r="J170" s="180">
        <v>2</v>
      </c>
      <c r="K170" s="183" t="s">
        <v>107</v>
      </c>
      <c r="L170" s="183" t="s">
        <v>46</v>
      </c>
    </row>
    <row r="171" spans="1:12" ht="64.05" customHeight="1" x14ac:dyDescent="0.3">
      <c r="A171" s="177" t="s">
        <v>106</v>
      </c>
      <c r="B171" s="177">
        <v>2023</v>
      </c>
      <c r="C171" s="177" t="s">
        <v>9052</v>
      </c>
      <c r="D171" s="177" t="s">
        <v>9149</v>
      </c>
      <c r="E171" s="190">
        <f>MLCF!F84</f>
        <v>62075.258999999998</v>
      </c>
      <c r="F171" s="190">
        <f>AVERAGE(MLCF!E37,MLCF!F37)</f>
        <v>85960.960500000001</v>
      </c>
      <c r="G171" s="190">
        <f t="shared" si="4"/>
        <v>0.72213314787239957</v>
      </c>
      <c r="H171" s="190">
        <v>0.69</v>
      </c>
      <c r="I171" s="177" t="str">
        <f t="shared" si="5"/>
        <v>No fit</v>
      </c>
      <c r="J171" s="177">
        <v>2</v>
      </c>
      <c r="K171" s="184" t="s">
        <v>107</v>
      </c>
      <c r="L171" s="184" t="s">
        <v>46</v>
      </c>
    </row>
    <row r="172" spans="1:12" ht="64.05" customHeight="1" x14ac:dyDescent="0.3">
      <c r="A172" s="180" t="s">
        <v>106</v>
      </c>
      <c r="B172" s="180">
        <v>2024</v>
      </c>
      <c r="C172" s="180" t="s">
        <v>9052</v>
      </c>
      <c r="D172" s="180" t="s">
        <v>9148</v>
      </c>
      <c r="E172" s="189">
        <f>MLCF!G84</f>
        <v>66452.347999999998</v>
      </c>
      <c r="F172" s="189">
        <f>MLCF!G37</f>
        <v>99365.682000000001</v>
      </c>
      <c r="G172" s="189">
        <f t="shared" si="4"/>
        <v>0.66876558045462819</v>
      </c>
      <c r="H172" s="189">
        <v>0.67</v>
      </c>
      <c r="I172" s="180" t="str">
        <f t="shared" si="5"/>
        <v>Numeric fit</v>
      </c>
      <c r="J172" s="180">
        <v>2</v>
      </c>
      <c r="K172" s="183" t="s">
        <v>107</v>
      </c>
      <c r="L172" s="183" t="s">
        <v>46</v>
      </c>
    </row>
    <row r="173" spans="1:12" ht="64.05" customHeight="1" x14ac:dyDescent="0.3">
      <c r="A173" s="177" t="s">
        <v>106</v>
      </c>
      <c r="B173" s="177">
        <v>2024</v>
      </c>
      <c r="C173" s="177" t="s">
        <v>9052</v>
      </c>
      <c r="D173" s="177" t="s">
        <v>9149</v>
      </c>
      <c r="E173" s="190">
        <f>MLCF!G84</f>
        <v>66452.347999999998</v>
      </c>
      <c r="F173" s="190">
        <f>AVERAGE(MLCF!F37,MLCF!G37)</f>
        <v>94536.696500000005</v>
      </c>
      <c r="G173" s="190">
        <f t="shared" si="4"/>
        <v>0.70292648738788954</v>
      </c>
      <c r="H173" s="190">
        <v>0.67</v>
      </c>
      <c r="I173" s="177" t="str">
        <f t="shared" si="5"/>
        <v>No fit</v>
      </c>
      <c r="J173" s="177">
        <v>2</v>
      </c>
      <c r="K173" s="184" t="s">
        <v>107</v>
      </c>
      <c r="L173" s="184" t="s">
        <v>46</v>
      </c>
    </row>
    <row r="174" spans="1:12" ht="64.05" customHeight="1" x14ac:dyDescent="0.3">
      <c r="A174" s="180" t="s">
        <v>106</v>
      </c>
      <c r="B174" s="180">
        <v>2025</v>
      </c>
      <c r="C174" s="180" t="s">
        <v>9052</v>
      </c>
      <c r="D174" s="180" t="s">
        <v>9148</v>
      </c>
      <c r="E174" s="189">
        <f>MLCF!H84</f>
        <v>68942.445999999996</v>
      </c>
      <c r="F174" s="189">
        <f>MLCF!H37</f>
        <v>119106.27099999998</v>
      </c>
      <c r="G174" s="189">
        <f t="shared" si="4"/>
        <v>0.57883136984449801</v>
      </c>
      <c r="H174" s="189">
        <v>0.57999999999999996</v>
      </c>
      <c r="I174" s="180" t="str">
        <f t="shared" si="5"/>
        <v>Numeric fit</v>
      </c>
      <c r="J174" s="180">
        <v>2</v>
      </c>
      <c r="K174" s="183" t="s">
        <v>107</v>
      </c>
      <c r="L174" s="183" t="s">
        <v>46</v>
      </c>
    </row>
    <row r="175" spans="1:12" ht="64.05" customHeight="1" x14ac:dyDescent="0.3">
      <c r="A175" s="177" t="s">
        <v>106</v>
      </c>
      <c r="B175" s="177">
        <v>2025</v>
      </c>
      <c r="C175" s="177" t="s">
        <v>9052</v>
      </c>
      <c r="D175" s="177" t="s">
        <v>9149</v>
      </c>
      <c r="E175" s="190">
        <f>MLCF!H84</f>
        <v>68942.445999999996</v>
      </c>
      <c r="F175" s="190">
        <f>AVERAGE(MLCF!G37,MLCF!H37)</f>
        <v>109235.97649999999</v>
      </c>
      <c r="G175" s="190">
        <f t="shared" si="4"/>
        <v>0.63113315053305719</v>
      </c>
      <c r="H175" s="190">
        <v>0.57999999999999996</v>
      </c>
      <c r="I175" s="177" t="str">
        <f t="shared" si="5"/>
        <v>No fit</v>
      </c>
      <c r="J175" s="177">
        <v>2</v>
      </c>
      <c r="K175" s="184" t="s">
        <v>107</v>
      </c>
      <c r="L175" s="184" t="s">
        <v>46</v>
      </c>
    </row>
    <row r="176" spans="1:12" ht="64.05" customHeight="1" x14ac:dyDescent="0.3">
      <c r="A176" s="180" t="s">
        <v>106</v>
      </c>
      <c r="B176" s="180">
        <v>2021</v>
      </c>
      <c r="C176" s="180" t="s">
        <v>9048</v>
      </c>
      <c r="D176" s="180" t="s">
        <v>9148</v>
      </c>
      <c r="E176" s="189">
        <f>MLCF!D84</f>
        <v>35538.300999999999</v>
      </c>
      <c r="F176" s="189">
        <f>MLCF!D20</f>
        <v>44215.538999999997</v>
      </c>
      <c r="G176" s="189">
        <f t="shared" si="4"/>
        <v>0.8037513915639477</v>
      </c>
      <c r="H176" s="189">
        <v>0.8</v>
      </c>
      <c r="I176" s="180" t="str">
        <f t="shared" si="5"/>
        <v>Numeric fit</v>
      </c>
      <c r="J176" s="180">
        <v>2</v>
      </c>
      <c r="K176" s="183" t="s">
        <v>107</v>
      </c>
      <c r="L176" s="183" t="s">
        <v>113</v>
      </c>
    </row>
    <row r="177" spans="1:12" ht="64.05" customHeight="1" x14ac:dyDescent="0.3">
      <c r="A177" s="177" t="s">
        <v>106</v>
      </c>
      <c r="B177" s="177">
        <v>2021</v>
      </c>
      <c r="C177" s="177" t="s">
        <v>9048</v>
      </c>
      <c r="D177" s="177" t="s">
        <v>9149</v>
      </c>
      <c r="E177" s="190">
        <f>MLCF!D84</f>
        <v>35538.300999999999</v>
      </c>
      <c r="F177" s="190">
        <f>AVERAGE(MLCF!C20,MLCF!D20)</f>
        <v>44256.74</v>
      </c>
      <c r="G177" s="190">
        <f t="shared" si="4"/>
        <v>0.80300313579355376</v>
      </c>
      <c r="H177" s="190">
        <v>0.8</v>
      </c>
      <c r="I177" s="177" t="str">
        <f t="shared" si="5"/>
        <v>Numeric fit</v>
      </c>
      <c r="J177" s="177">
        <v>2</v>
      </c>
      <c r="K177" s="184" t="s">
        <v>107</v>
      </c>
      <c r="L177" s="184" t="s">
        <v>113</v>
      </c>
    </row>
    <row r="178" spans="1:12" ht="64.05" customHeight="1" x14ac:dyDescent="0.3">
      <c r="A178" s="180" t="s">
        <v>106</v>
      </c>
      <c r="B178" s="180">
        <v>2022</v>
      </c>
      <c r="C178" s="180" t="s">
        <v>9048</v>
      </c>
      <c r="D178" s="180" t="s">
        <v>9148</v>
      </c>
      <c r="E178" s="189">
        <f>MLCF!E84</f>
        <v>48519.622000000003</v>
      </c>
      <c r="F178" s="189">
        <f>MLCF!E20</f>
        <v>56784.84</v>
      </c>
      <c r="G178" s="189">
        <f t="shared" si="4"/>
        <v>0.85444675022417971</v>
      </c>
      <c r="H178" s="189">
        <v>0.85</v>
      </c>
      <c r="I178" s="180" t="str">
        <f t="shared" si="5"/>
        <v>Numeric fit</v>
      </c>
      <c r="J178" s="180">
        <v>2</v>
      </c>
      <c r="K178" s="183" t="s">
        <v>107</v>
      </c>
      <c r="L178" s="183" t="s">
        <v>113</v>
      </c>
    </row>
    <row r="179" spans="1:12" ht="64.05" customHeight="1" x14ac:dyDescent="0.3">
      <c r="A179" s="177" t="s">
        <v>106</v>
      </c>
      <c r="B179" s="177">
        <v>2022</v>
      </c>
      <c r="C179" s="177" t="s">
        <v>9048</v>
      </c>
      <c r="D179" s="177" t="s">
        <v>9149</v>
      </c>
      <c r="E179" s="190">
        <f>MLCF!E84</f>
        <v>48519.622000000003</v>
      </c>
      <c r="F179" s="190">
        <f>AVERAGE(MLCF!D20,MLCF!E20)</f>
        <v>50500.189499999993</v>
      </c>
      <c r="G179" s="190">
        <f t="shared" si="4"/>
        <v>0.9607809887525276</v>
      </c>
      <c r="H179" s="190">
        <v>0.85</v>
      </c>
      <c r="I179" s="177" t="str">
        <f t="shared" si="5"/>
        <v>No fit</v>
      </c>
      <c r="J179" s="177">
        <v>2</v>
      </c>
      <c r="K179" s="184" t="s">
        <v>107</v>
      </c>
      <c r="L179" s="184" t="s">
        <v>113</v>
      </c>
    </row>
    <row r="180" spans="1:12" ht="64.05" customHeight="1" x14ac:dyDescent="0.3">
      <c r="A180" s="180" t="s">
        <v>106</v>
      </c>
      <c r="B180" s="180">
        <v>2023</v>
      </c>
      <c r="C180" s="180" t="s">
        <v>9048</v>
      </c>
      <c r="D180" s="180" t="s">
        <v>9148</v>
      </c>
      <c r="E180" s="189">
        <f>MLCF!F84</f>
        <v>62075.258999999998</v>
      </c>
      <c r="F180" s="189">
        <f>MLCF!F20</f>
        <v>62354.608</v>
      </c>
      <c r="G180" s="189">
        <f t="shared" si="4"/>
        <v>0.99551999428815263</v>
      </c>
      <c r="H180" s="189">
        <v>1</v>
      </c>
      <c r="I180" s="180" t="str">
        <f t="shared" si="5"/>
        <v>Numeric fit</v>
      </c>
      <c r="J180" s="180">
        <v>2</v>
      </c>
      <c r="K180" s="183" t="s">
        <v>107</v>
      </c>
      <c r="L180" s="183" t="s">
        <v>113</v>
      </c>
    </row>
    <row r="181" spans="1:12" ht="64.05" customHeight="1" x14ac:dyDescent="0.3">
      <c r="A181" s="177" t="s">
        <v>106</v>
      </c>
      <c r="B181" s="177">
        <v>2023</v>
      </c>
      <c r="C181" s="177" t="s">
        <v>9048</v>
      </c>
      <c r="D181" s="177" t="s">
        <v>9149</v>
      </c>
      <c r="E181" s="190">
        <f>MLCF!F84</f>
        <v>62075.258999999998</v>
      </c>
      <c r="F181" s="190">
        <f>AVERAGE(MLCF!E20,MLCF!F20)</f>
        <v>59569.724000000002</v>
      </c>
      <c r="G181" s="190">
        <f t="shared" si="4"/>
        <v>1.0420605440441524</v>
      </c>
      <c r="H181" s="190">
        <v>1</v>
      </c>
      <c r="I181" s="177" t="str">
        <f t="shared" si="5"/>
        <v>No fit</v>
      </c>
      <c r="J181" s="177">
        <v>2</v>
      </c>
      <c r="K181" s="184" t="s">
        <v>107</v>
      </c>
      <c r="L181" s="184" t="s">
        <v>113</v>
      </c>
    </row>
    <row r="182" spans="1:12" ht="64.05" customHeight="1" x14ac:dyDescent="0.3">
      <c r="A182" s="180" t="s">
        <v>106</v>
      </c>
      <c r="B182" s="180">
        <v>2024</v>
      </c>
      <c r="C182" s="180" t="s">
        <v>9048</v>
      </c>
      <c r="D182" s="180" t="s">
        <v>9148</v>
      </c>
      <c r="E182" s="189">
        <f>MLCF!G84</f>
        <v>66452.347999999998</v>
      </c>
      <c r="F182" s="189">
        <f>MLCF!G20</f>
        <v>65995.597999999998</v>
      </c>
      <c r="G182" s="189">
        <f t="shared" si="4"/>
        <v>1.0069209161495893</v>
      </c>
      <c r="H182" s="189">
        <v>1.01</v>
      </c>
      <c r="I182" s="180" t="str">
        <f t="shared" si="5"/>
        <v>Numeric fit</v>
      </c>
      <c r="J182" s="180">
        <v>2</v>
      </c>
      <c r="K182" s="183" t="s">
        <v>107</v>
      </c>
      <c r="L182" s="183" t="s">
        <v>113</v>
      </c>
    </row>
    <row r="183" spans="1:12" ht="64.05" customHeight="1" x14ac:dyDescent="0.3">
      <c r="A183" s="177" t="s">
        <v>106</v>
      </c>
      <c r="B183" s="177">
        <v>2024</v>
      </c>
      <c r="C183" s="177" t="s">
        <v>9048</v>
      </c>
      <c r="D183" s="177" t="s">
        <v>9149</v>
      </c>
      <c r="E183" s="190">
        <f>MLCF!G84</f>
        <v>66452.347999999998</v>
      </c>
      <c r="F183" s="190">
        <f>AVERAGE(MLCF!F20,MLCF!G20)</f>
        <v>64175.103000000003</v>
      </c>
      <c r="G183" s="190">
        <f t="shared" si="4"/>
        <v>1.0354848670831116</v>
      </c>
      <c r="H183" s="190">
        <v>1.01</v>
      </c>
      <c r="I183" s="177" t="str">
        <f t="shared" si="5"/>
        <v>No fit</v>
      </c>
      <c r="J183" s="177">
        <v>2</v>
      </c>
      <c r="K183" s="184" t="s">
        <v>107</v>
      </c>
      <c r="L183" s="184" t="s">
        <v>113</v>
      </c>
    </row>
    <row r="184" spans="1:12" ht="64.05" customHeight="1" x14ac:dyDescent="0.3">
      <c r="A184" s="180" t="s">
        <v>106</v>
      </c>
      <c r="B184" s="180">
        <v>2025</v>
      </c>
      <c r="C184" s="180" t="s">
        <v>9048</v>
      </c>
      <c r="D184" s="180" t="s">
        <v>9148</v>
      </c>
      <c r="E184" s="189">
        <f>MLCF!H84</f>
        <v>68942.445999999996</v>
      </c>
      <c r="F184" s="189">
        <f>MLCF!H20</f>
        <v>62836.212</v>
      </c>
      <c r="G184" s="189">
        <f t="shared" si="4"/>
        <v>1.0971769908727151</v>
      </c>
      <c r="H184" s="189">
        <v>1.1000000000000001</v>
      </c>
      <c r="I184" s="180" t="str">
        <f t="shared" si="5"/>
        <v>Numeric fit</v>
      </c>
      <c r="J184" s="180">
        <v>2</v>
      </c>
      <c r="K184" s="183" t="s">
        <v>107</v>
      </c>
      <c r="L184" s="183" t="s">
        <v>113</v>
      </c>
    </row>
    <row r="185" spans="1:12" ht="64.05" customHeight="1" x14ac:dyDescent="0.3">
      <c r="A185" s="177" t="s">
        <v>106</v>
      </c>
      <c r="B185" s="177">
        <v>2025</v>
      </c>
      <c r="C185" s="177" t="s">
        <v>9048</v>
      </c>
      <c r="D185" s="177" t="s">
        <v>9149</v>
      </c>
      <c r="E185" s="190">
        <f>MLCF!H84</f>
        <v>68942.445999999996</v>
      </c>
      <c r="F185" s="190">
        <f>AVERAGE(MLCF!G20,MLCF!H20)</f>
        <v>64415.904999999999</v>
      </c>
      <c r="G185" s="190">
        <f t="shared" si="4"/>
        <v>1.070270548865222</v>
      </c>
      <c r="H185" s="190">
        <v>1.1000000000000001</v>
      </c>
      <c r="I185" s="177" t="str">
        <f t="shared" si="5"/>
        <v>No fit</v>
      </c>
      <c r="J185" s="177">
        <v>2</v>
      </c>
      <c r="K185" s="184" t="s">
        <v>107</v>
      </c>
      <c r="L185" s="184" t="s">
        <v>113</v>
      </c>
    </row>
    <row r="186" spans="1:12" ht="64.05" customHeight="1" x14ac:dyDescent="0.3">
      <c r="A186" s="180" t="s">
        <v>18</v>
      </c>
      <c r="B186" s="180">
        <v>2021</v>
      </c>
      <c r="C186" s="180" t="s">
        <v>9039</v>
      </c>
      <c r="D186" s="180" t="s">
        <v>9148</v>
      </c>
      <c r="E186" s="189">
        <f>KOHC!D84</f>
        <v>24057.375992000001</v>
      </c>
      <c r="F186" s="189">
        <f>KOHC!D32</f>
        <v>983.56822299999999</v>
      </c>
      <c r="G186" s="189">
        <f t="shared" si="4"/>
        <v>24.459285517197927</v>
      </c>
      <c r="H186" s="189">
        <v>24.46</v>
      </c>
      <c r="I186" s="180" t="str">
        <f t="shared" si="5"/>
        <v>Numeric fit</v>
      </c>
      <c r="J186" s="180">
        <v>2</v>
      </c>
      <c r="K186" s="183" t="s">
        <v>131</v>
      </c>
      <c r="L186" s="183" t="s">
        <v>130</v>
      </c>
    </row>
    <row r="187" spans="1:12" ht="64.05" customHeight="1" x14ac:dyDescent="0.3">
      <c r="A187" s="177" t="s">
        <v>18</v>
      </c>
      <c r="B187" s="177">
        <v>2021</v>
      </c>
      <c r="C187" s="177" t="s">
        <v>9039</v>
      </c>
      <c r="D187" s="177" t="s">
        <v>9149</v>
      </c>
      <c r="E187" s="190">
        <f>KOHC!D84</f>
        <v>24057.375992000001</v>
      </c>
      <c r="F187" s="190">
        <f>AVERAGE(KOHC!C32,KOHC!D32)</f>
        <v>738.94171449999999</v>
      </c>
      <c r="G187" s="190">
        <f t="shared" si="4"/>
        <v>32.556527152183129</v>
      </c>
      <c r="H187" s="190">
        <v>24.46</v>
      </c>
      <c r="I187" s="177" t="str">
        <f t="shared" si="5"/>
        <v>No fit</v>
      </c>
      <c r="J187" s="177">
        <v>2</v>
      </c>
      <c r="K187" s="184" t="s">
        <v>131</v>
      </c>
      <c r="L187" s="184" t="s">
        <v>130</v>
      </c>
    </row>
    <row r="188" spans="1:12" ht="64.05" customHeight="1" x14ac:dyDescent="0.3">
      <c r="A188" s="180" t="s">
        <v>18</v>
      </c>
      <c r="B188" s="180">
        <v>2022</v>
      </c>
      <c r="C188" s="180" t="s">
        <v>9039</v>
      </c>
      <c r="D188" s="180" t="s">
        <v>9148</v>
      </c>
      <c r="E188" s="189">
        <f>KOHC!E84</f>
        <v>32876.949179000003</v>
      </c>
      <c r="F188" s="189">
        <f>KOHC!E32</f>
        <v>916.03946900000005</v>
      </c>
      <c r="G188" s="189">
        <f t="shared" si="4"/>
        <v>35.890319458494865</v>
      </c>
      <c r="H188" s="189">
        <v>35.89</v>
      </c>
      <c r="I188" s="180" t="str">
        <f t="shared" si="5"/>
        <v>Numeric fit</v>
      </c>
      <c r="J188" s="180">
        <v>2</v>
      </c>
      <c r="K188" s="183" t="s">
        <v>131</v>
      </c>
      <c r="L188" s="183" t="s">
        <v>130</v>
      </c>
    </row>
    <row r="189" spans="1:12" ht="64.05" customHeight="1" x14ac:dyDescent="0.3">
      <c r="A189" s="177" t="s">
        <v>18</v>
      </c>
      <c r="B189" s="177">
        <v>2022</v>
      </c>
      <c r="C189" s="177" t="s">
        <v>9039</v>
      </c>
      <c r="D189" s="177" t="s">
        <v>9149</v>
      </c>
      <c r="E189" s="190">
        <f>KOHC!E84</f>
        <v>32876.949179000003</v>
      </c>
      <c r="F189" s="190">
        <f>AVERAGE(KOHC!D32,KOHC!E32)</f>
        <v>949.80384600000002</v>
      </c>
      <c r="G189" s="190">
        <f t="shared" si="4"/>
        <v>34.614462046513971</v>
      </c>
      <c r="H189" s="190">
        <v>35.89</v>
      </c>
      <c r="I189" s="177" t="str">
        <f t="shared" si="5"/>
        <v>No fit</v>
      </c>
      <c r="J189" s="177">
        <v>2</v>
      </c>
      <c r="K189" s="184" t="s">
        <v>131</v>
      </c>
      <c r="L189" s="184" t="s">
        <v>130</v>
      </c>
    </row>
    <row r="190" spans="1:12" ht="64.05" customHeight="1" x14ac:dyDescent="0.3">
      <c r="A190" s="180" t="s">
        <v>18</v>
      </c>
      <c r="B190" s="180">
        <v>2023</v>
      </c>
      <c r="C190" s="180" t="s">
        <v>9039</v>
      </c>
      <c r="D190" s="180" t="s">
        <v>9148</v>
      </c>
      <c r="E190" s="189">
        <f>KOHC!F84</f>
        <v>38921.635349999997</v>
      </c>
      <c r="F190" s="189">
        <f>KOHC!F32</f>
        <v>1205.553375</v>
      </c>
      <c r="G190" s="189">
        <f t="shared" si="4"/>
        <v>32.285285875459472</v>
      </c>
      <c r="H190" s="189">
        <v>32.29</v>
      </c>
      <c r="I190" s="180" t="str">
        <f t="shared" si="5"/>
        <v>Numeric fit</v>
      </c>
      <c r="J190" s="180">
        <v>2</v>
      </c>
      <c r="K190" s="183" t="s">
        <v>131</v>
      </c>
      <c r="L190" s="183" t="s">
        <v>130</v>
      </c>
    </row>
    <row r="191" spans="1:12" ht="64.05" customHeight="1" x14ac:dyDescent="0.3">
      <c r="A191" s="177" t="s">
        <v>18</v>
      </c>
      <c r="B191" s="177">
        <v>2023</v>
      </c>
      <c r="C191" s="177" t="s">
        <v>9039</v>
      </c>
      <c r="D191" s="177" t="s">
        <v>9149</v>
      </c>
      <c r="E191" s="190">
        <f>KOHC!F84</f>
        <v>38921.635349999997</v>
      </c>
      <c r="F191" s="190">
        <f>AVERAGE(KOHC!E32,KOHC!F32)</f>
        <v>1060.7964219999999</v>
      </c>
      <c r="G191" s="190">
        <f t="shared" si="4"/>
        <v>36.690956476472735</v>
      </c>
      <c r="H191" s="190">
        <v>32.29</v>
      </c>
      <c r="I191" s="177" t="str">
        <f t="shared" si="5"/>
        <v>No fit</v>
      </c>
      <c r="J191" s="177">
        <v>2</v>
      </c>
      <c r="K191" s="184" t="s">
        <v>131</v>
      </c>
      <c r="L191" s="184" t="s">
        <v>130</v>
      </c>
    </row>
    <row r="192" spans="1:12" ht="64.05" customHeight="1" x14ac:dyDescent="0.3">
      <c r="A192" s="180" t="s">
        <v>18</v>
      </c>
      <c r="B192" s="180">
        <v>2024</v>
      </c>
      <c r="C192" s="180" t="s">
        <v>9039</v>
      </c>
      <c r="D192" s="180" t="s">
        <v>9148</v>
      </c>
      <c r="E192" s="189">
        <f>KOHC!G84</f>
        <v>38647.767972000001</v>
      </c>
      <c r="F192" s="189">
        <f>KOHC!G32</f>
        <v>2110.2479020000001</v>
      </c>
      <c r="G192" s="189">
        <f t="shared" si="4"/>
        <v>18.314325978180737</v>
      </c>
      <c r="H192" s="189">
        <v>18.309999999999999</v>
      </c>
      <c r="I192" s="180" t="str">
        <f t="shared" si="5"/>
        <v>Numeric fit</v>
      </c>
      <c r="J192" s="180">
        <v>2</v>
      </c>
      <c r="K192" s="183" t="s">
        <v>131</v>
      </c>
      <c r="L192" s="183" t="s">
        <v>130</v>
      </c>
    </row>
    <row r="193" spans="1:12" ht="64.05" customHeight="1" x14ac:dyDescent="0.3">
      <c r="A193" s="177" t="s">
        <v>18</v>
      </c>
      <c r="B193" s="177">
        <v>2024</v>
      </c>
      <c r="C193" s="177" t="s">
        <v>9039</v>
      </c>
      <c r="D193" s="177" t="s">
        <v>9149</v>
      </c>
      <c r="E193" s="190">
        <f>KOHC!G84</f>
        <v>38647.767972000001</v>
      </c>
      <c r="F193" s="190">
        <f>AVERAGE(KOHC!F32,KOHC!G32)</f>
        <v>1657.9006385</v>
      </c>
      <c r="G193" s="190">
        <f t="shared" si="4"/>
        <v>23.311269128267483</v>
      </c>
      <c r="H193" s="190">
        <v>18.309999999999999</v>
      </c>
      <c r="I193" s="177" t="str">
        <f t="shared" si="5"/>
        <v>No fit</v>
      </c>
      <c r="J193" s="177">
        <v>2</v>
      </c>
      <c r="K193" s="184" t="s">
        <v>131</v>
      </c>
      <c r="L193" s="184" t="s">
        <v>130</v>
      </c>
    </row>
    <row r="194" spans="1:12" ht="64.05" customHeight="1" x14ac:dyDescent="0.3">
      <c r="A194" s="180" t="s">
        <v>18</v>
      </c>
      <c r="B194" s="180">
        <v>2025</v>
      </c>
      <c r="C194" s="180" t="s">
        <v>9039</v>
      </c>
      <c r="D194" s="180" t="s">
        <v>9148</v>
      </c>
      <c r="E194" s="189">
        <f>KOHC!H84</f>
        <v>37535.700371999999</v>
      </c>
      <c r="F194" s="189">
        <f>KOHC!H32</f>
        <v>1692.217832</v>
      </c>
      <c r="G194" s="189">
        <f t="shared" si="4"/>
        <v>22.181364397772164</v>
      </c>
      <c r="H194" s="189">
        <v>22.18</v>
      </c>
      <c r="I194" s="180" t="str">
        <f t="shared" si="5"/>
        <v>Numeric fit</v>
      </c>
      <c r="J194" s="180">
        <v>2</v>
      </c>
      <c r="K194" s="183" t="s">
        <v>131</v>
      </c>
      <c r="L194" s="183" t="s">
        <v>130</v>
      </c>
    </row>
    <row r="195" spans="1:12" ht="64.05" customHeight="1" x14ac:dyDescent="0.3">
      <c r="A195" s="177" t="s">
        <v>18</v>
      </c>
      <c r="B195" s="177">
        <v>2025</v>
      </c>
      <c r="C195" s="177" t="s">
        <v>9039</v>
      </c>
      <c r="D195" s="177" t="s">
        <v>9149</v>
      </c>
      <c r="E195" s="190">
        <f>KOHC!H84</f>
        <v>37535.700371999999</v>
      </c>
      <c r="F195" s="190">
        <f>AVERAGE(KOHC!G32,KOHC!H32)</f>
        <v>1901.2328670000002</v>
      </c>
      <c r="G195" s="190">
        <f t="shared" si="4"/>
        <v>19.742821104933064</v>
      </c>
      <c r="H195" s="190">
        <v>22.18</v>
      </c>
      <c r="I195" s="177" t="str">
        <f t="shared" si="5"/>
        <v>No fit</v>
      </c>
      <c r="J195" s="177">
        <v>2</v>
      </c>
      <c r="K195" s="184" t="s">
        <v>131</v>
      </c>
      <c r="L195" s="184" t="s">
        <v>130</v>
      </c>
    </row>
    <row r="196" spans="1:12" ht="64.05" customHeight="1" x14ac:dyDescent="0.3">
      <c r="A196" s="180" t="s">
        <v>18</v>
      </c>
      <c r="B196" s="180">
        <v>2021</v>
      </c>
      <c r="C196" s="180" t="s">
        <v>9042</v>
      </c>
      <c r="D196" s="180" t="s">
        <v>9148</v>
      </c>
      <c r="E196" s="189">
        <f>365*KOHC!D65</f>
        <v>1526994.0589549998</v>
      </c>
      <c r="F196" s="189">
        <f>-KOHC!D85</f>
        <v>18092.026933000001</v>
      </c>
      <c r="G196" s="189">
        <f t="shared" si="4"/>
        <v>84.401491585763139</v>
      </c>
      <c r="H196" s="189">
        <v>63.47</v>
      </c>
      <c r="I196" s="180" t="str">
        <f t="shared" si="5"/>
        <v>No fit</v>
      </c>
      <c r="J196" s="180">
        <v>2</v>
      </c>
      <c r="K196" s="183" t="s">
        <v>131</v>
      </c>
      <c r="L196" s="183" t="s">
        <v>135</v>
      </c>
    </row>
    <row r="197" spans="1:12" ht="64.05" customHeight="1" x14ac:dyDescent="0.3">
      <c r="A197" s="177" t="s">
        <v>18</v>
      </c>
      <c r="B197" s="177">
        <v>2021</v>
      </c>
      <c r="C197" s="177" t="s">
        <v>9042</v>
      </c>
      <c r="D197" s="177" t="s">
        <v>9149</v>
      </c>
      <c r="E197" s="190">
        <f>365*AVERAGE(KOHC!C65,KOHC!D65)</f>
        <v>1359574.9999275</v>
      </c>
      <c r="F197" s="190">
        <f>-KOHC!D85</f>
        <v>18092.026933000001</v>
      </c>
      <c r="G197" s="190">
        <f t="shared" si="4"/>
        <v>75.147743531578783</v>
      </c>
      <c r="H197" s="190">
        <v>63.47</v>
      </c>
      <c r="I197" s="177" t="str">
        <f t="shared" si="5"/>
        <v>No fit</v>
      </c>
      <c r="J197" s="177">
        <v>2</v>
      </c>
      <c r="K197" s="184" t="s">
        <v>131</v>
      </c>
      <c r="L197" s="184" t="s">
        <v>135</v>
      </c>
    </row>
    <row r="198" spans="1:12" ht="64.05" customHeight="1" x14ac:dyDescent="0.3">
      <c r="A198" s="180" t="s">
        <v>18</v>
      </c>
      <c r="B198" s="180">
        <v>2022</v>
      </c>
      <c r="C198" s="180" t="s">
        <v>9042</v>
      </c>
      <c r="D198" s="180" t="s">
        <v>9148</v>
      </c>
      <c r="E198" s="189">
        <f>365*KOHC!E65</f>
        <v>2069910.04257</v>
      </c>
      <c r="F198" s="189">
        <f>-KOHC!E85</f>
        <v>23065.180670000002</v>
      </c>
      <c r="G198" s="189">
        <f t="shared" ref="G198:G261" si="6">IF(AND(ISNUMBER(E198),ISNUMBER(F198),F198&lt;&gt;0),E198/F198,"n/m")</f>
        <v>89.741765832437324</v>
      </c>
      <c r="H198" s="189">
        <v>62.96</v>
      </c>
      <c r="I198" s="180" t="str">
        <f t="shared" ref="I198:I261" si="7">IF(ISNUMBER(H198),IF(ROUND(G198,J198)=ROUND(H198,J198),"Numeric fit","No fit"),"No identical published series")</f>
        <v>No fit</v>
      </c>
      <c r="J198" s="180">
        <v>2</v>
      </c>
      <c r="K198" s="183" t="s">
        <v>131</v>
      </c>
      <c r="L198" s="183" t="s">
        <v>135</v>
      </c>
    </row>
    <row r="199" spans="1:12" ht="64.05" customHeight="1" x14ac:dyDescent="0.3">
      <c r="A199" s="177" t="s">
        <v>18</v>
      </c>
      <c r="B199" s="177">
        <v>2022</v>
      </c>
      <c r="C199" s="177" t="s">
        <v>9042</v>
      </c>
      <c r="D199" s="177" t="s">
        <v>9149</v>
      </c>
      <c r="E199" s="190">
        <f>365*AVERAGE(KOHC!D65,KOHC!E65)</f>
        <v>1798452.0507624999</v>
      </c>
      <c r="F199" s="190">
        <f>-KOHC!E85</f>
        <v>23065.180670000002</v>
      </c>
      <c r="G199" s="190">
        <f t="shared" si="6"/>
        <v>77.972597591731756</v>
      </c>
      <c r="H199" s="190">
        <v>62.96</v>
      </c>
      <c r="I199" s="177" t="str">
        <f t="shared" si="7"/>
        <v>No fit</v>
      </c>
      <c r="J199" s="177">
        <v>2</v>
      </c>
      <c r="K199" s="184" t="s">
        <v>131</v>
      </c>
      <c r="L199" s="184" t="s">
        <v>135</v>
      </c>
    </row>
    <row r="200" spans="1:12" ht="64.05" customHeight="1" x14ac:dyDescent="0.3">
      <c r="A200" s="180" t="s">
        <v>18</v>
      </c>
      <c r="B200" s="180">
        <v>2023</v>
      </c>
      <c r="C200" s="180" t="s">
        <v>9042</v>
      </c>
      <c r="D200" s="180" t="s">
        <v>9148</v>
      </c>
      <c r="E200" s="189">
        <f>365*KOHC!F65</f>
        <v>2794436.8310700003</v>
      </c>
      <c r="F200" s="189">
        <f>-KOHC!F85</f>
        <v>28488.941331000002</v>
      </c>
      <c r="G200" s="189">
        <f t="shared" si="6"/>
        <v>98.088475756354526</v>
      </c>
      <c r="H200" s="189">
        <v>71.8</v>
      </c>
      <c r="I200" s="180" t="str">
        <f t="shared" si="7"/>
        <v>No fit</v>
      </c>
      <c r="J200" s="180">
        <v>2</v>
      </c>
      <c r="K200" s="183" t="s">
        <v>131</v>
      </c>
      <c r="L200" s="183" t="s">
        <v>135</v>
      </c>
    </row>
    <row r="201" spans="1:12" ht="64.05" customHeight="1" x14ac:dyDescent="0.3">
      <c r="A201" s="177" t="s">
        <v>18</v>
      </c>
      <c r="B201" s="177">
        <v>2023</v>
      </c>
      <c r="C201" s="177" t="s">
        <v>9042</v>
      </c>
      <c r="D201" s="177" t="s">
        <v>9149</v>
      </c>
      <c r="E201" s="190">
        <f>365*AVERAGE(KOHC!E65,KOHC!F65)</f>
        <v>2432173.4368199999</v>
      </c>
      <c r="F201" s="190">
        <f>-KOHC!F85</f>
        <v>28488.941331000002</v>
      </c>
      <c r="G201" s="190">
        <f t="shared" si="6"/>
        <v>85.372545387407953</v>
      </c>
      <c r="H201" s="190">
        <v>71.8</v>
      </c>
      <c r="I201" s="177" t="str">
        <f t="shared" si="7"/>
        <v>No fit</v>
      </c>
      <c r="J201" s="177">
        <v>2</v>
      </c>
      <c r="K201" s="184" t="s">
        <v>131</v>
      </c>
      <c r="L201" s="184" t="s">
        <v>135</v>
      </c>
    </row>
    <row r="202" spans="1:12" ht="64.05" customHeight="1" x14ac:dyDescent="0.3">
      <c r="A202" s="180" t="s">
        <v>18</v>
      </c>
      <c r="B202" s="180">
        <v>2024</v>
      </c>
      <c r="C202" s="180" t="s">
        <v>9042</v>
      </c>
      <c r="D202" s="180" t="s">
        <v>9148</v>
      </c>
      <c r="E202" s="189">
        <f>365*KOHC!G65</f>
        <v>2766490.4629899999</v>
      </c>
      <c r="F202" s="189">
        <f>-KOHC!G85</f>
        <v>27391.276476999999</v>
      </c>
      <c r="G202" s="189">
        <f t="shared" si="6"/>
        <v>100.99896093973481</v>
      </c>
      <c r="H202" s="189">
        <v>71.58</v>
      </c>
      <c r="I202" s="180" t="str">
        <f t="shared" si="7"/>
        <v>No fit</v>
      </c>
      <c r="J202" s="180">
        <v>2</v>
      </c>
      <c r="K202" s="183" t="s">
        <v>131</v>
      </c>
      <c r="L202" s="183" t="s">
        <v>135</v>
      </c>
    </row>
    <row r="203" spans="1:12" ht="64.05" customHeight="1" x14ac:dyDescent="0.3">
      <c r="A203" s="177" t="s">
        <v>18</v>
      </c>
      <c r="B203" s="177">
        <v>2024</v>
      </c>
      <c r="C203" s="177" t="s">
        <v>9042</v>
      </c>
      <c r="D203" s="177" t="s">
        <v>9149</v>
      </c>
      <c r="E203" s="190">
        <f>365*AVERAGE(KOHC!F65,KOHC!G65)</f>
        <v>2780463.6470300001</v>
      </c>
      <c r="F203" s="190">
        <f>-KOHC!G85</f>
        <v>27391.276476999999</v>
      </c>
      <c r="G203" s="190">
        <f t="shared" si="6"/>
        <v>101.50909357454404</v>
      </c>
      <c r="H203" s="190">
        <v>71.58</v>
      </c>
      <c r="I203" s="177" t="str">
        <f t="shared" si="7"/>
        <v>No fit</v>
      </c>
      <c r="J203" s="177">
        <v>2</v>
      </c>
      <c r="K203" s="184" t="s">
        <v>131</v>
      </c>
      <c r="L203" s="184" t="s">
        <v>135</v>
      </c>
    </row>
    <row r="204" spans="1:12" ht="64.05" customHeight="1" x14ac:dyDescent="0.3">
      <c r="A204" s="180" t="s">
        <v>18</v>
      </c>
      <c r="B204" s="180">
        <v>2025</v>
      </c>
      <c r="C204" s="180" t="s">
        <v>9042</v>
      </c>
      <c r="D204" s="180" t="s">
        <v>9148</v>
      </c>
      <c r="E204" s="189">
        <f>365*KOHC!H65</f>
        <v>2739276.8298550001</v>
      </c>
      <c r="F204" s="189">
        <f>-KOHC!H85</f>
        <v>22814.094271000002</v>
      </c>
      <c r="G204" s="189">
        <f t="shared" si="6"/>
        <v>120.06949727287729</v>
      </c>
      <c r="H204" s="189">
        <v>72.98</v>
      </c>
      <c r="I204" s="180" t="str">
        <f t="shared" si="7"/>
        <v>No fit</v>
      </c>
      <c r="J204" s="180">
        <v>2</v>
      </c>
      <c r="K204" s="183" t="s">
        <v>131</v>
      </c>
      <c r="L204" s="183" t="s">
        <v>135</v>
      </c>
    </row>
    <row r="205" spans="1:12" ht="64.05" customHeight="1" x14ac:dyDescent="0.3">
      <c r="A205" s="177" t="s">
        <v>18</v>
      </c>
      <c r="B205" s="177">
        <v>2025</v>
      </c>
      <c r="C205" s="177" t="s">
        <v>9042</v>
      </c>
      <c r="D205" s="177" t="s">
        <v>9149</v>
      </c>
      <c r="E205" s="190">
        <f>365*AVERAGE(KOHC!G65,KOHC!H65)</f>
        <v>2752883.6464225003</v>
      </c>
      <c r="F205" s="190">
        <f>-KOHC!H85</f>
        <v>22814.094271000002</v>
      </c>
      <c r="G205" s="190">
        <f t="shared" si="6"/>
        <v>120.66591878345184</v>
      </c>
      <c r="H205" s="190">
        <v>72.98</v>
      </c>
      <c r="I205" s="177" t="str">
        <f t="shared" si="7"/>
        <v>No fit</v>
      </c>
      <c r="J205" s="177">
        <v>2</v>
      </c>
      <c r="K205" s="184" t="s">
        <v>131</v>
      </c>
      <c r="L205" s="184" t="s">
        <v>135</v>
      </c>
    </row>
    <row r="206" spans="1:12" ht="64.05" customHeight="1" x14ac:dyDescent="0.3">
      <c r="A206" s="180" t="s">
        <v>18</v>
      </c>
      <c r="B206" s="180">
        <v>2021</v>
      </c>
      <c r="C206" s="180" t="s">
        <v>9077</v>
      </c>
      <c r="D206" s="180" t="s">
        <v>9148</v>
      </c>
      <c r="E206" s="189">
        <f>KOHC!D99</f>
        <v>3497.5072470000005</v>
      </c>
      <c r="F206" s="189">
        <f>KOHC!D37</f>
        <v>36086.921437000005</v>
      </c>
      <c r="G206" s="189">
        <f t="shared" si="6"/>
        <v>9.6918969746585204E-2</v>
      </c>
      <c r="H206" s="189">
        <v>0.1497</v>
      </c>
      <c r="I206" s="180" t="str">
        <f t="shared" si="7"/>
        <v>No fit</v>
      </c>
      <c r="J206" s="180">
        <v>4</v>
      </c>
      <c r="K206" s="183" t="s">
        <v>131</v>
      </c>
      <c r="L206" s="183" t="s">
        <v>137</v>
      </c>
    </row>
    <row r="207" spans="1:12" ht="64.05" customHeight="1" x14ac:dyDescent="0.3">
      <c r="A207" s="177" t="s">
        <v>18</v>
      </c>
      <c r="B207" s="177">
        <v>2021</v>
      </c>
      <c r="C207" s="177" t="s">
        <v>9077</v>
      </c>
      <c r="D207" s="177" t="s">
        <v>9149</v>
      </c>
      <c r="E207" s="190">
        <f>KOHC!D99</f>
        <v>3497.5072470000005</v>
      </c>
      <c r="F207" s="190">
        <f>AVERAGE(KOHC!C37,KOHC!D37)</f>
        <v>33921.794372000004</v>
      </c>
      <c r="G207" s="190">
        <f t="shared" si="6"/>
        <v>0.10310501881607244</v>
      </c>
      <c r="H207" s="190">
        <v>0.1497</v>
      </c>
      <c r="I207" s="177" t="str">
        <f t="shared" si="7"/>
        <v>No fit</v>
      </c>
      <c r="J207" s="177">
        <v>4</v>
      </c>
      <c r="K207" s="184" t="s">
        <v>131</v>
      </c>
      <c r="L207" s="184" t="s">
        <v>137</v>
      </c>
    </row>
    <row r="208" spans="1:12" ht="64.05" customHeight="1" x14ac:dyDescent="0.3">
      <c r="A208" s="180" t="s">
        <v>18</v>
      </c>
      <c r="B208" s="180">
        <v>2022</v>
      </c>
      <c r="C208" s="180" t="s">
        <v>9077</v>
      </c>
      <c r="D208" s="180" t="s">
        <v>9148</v>
      </c>
      <c r="E208" s="189">
        <f>KOHC!E99</f>
        <v>5024.2802600000005</v>
      </c>
      <c r="F208" s="189">
        <f>KOHC!E37</f>
        <v>43350.667843999996</v>
      </c>
      <c r="G208" s="189">
        <f t="shared" si="6"/>
        <v>0.11589856650144761</v>
      </c>
      <c r="H208" s="189">
        <v>0.21829999999999999</v>
      </c>
      <c r="I208" s="180" t="str">
        <f t="shared" si="7"/>
        <v>No fit</v>
      </c>
      <c r="J208" s="180">
        <v>4</v>
      </c>
      <c r="K208" s="183" t="s">
        <v>131</v>
      </c>
      <c r="L208" s="183" t="s">
        <v>137</v>
      </c>
    </row>
    <row r="209" spans="1:12" ht="64.05" customHeight="1" x14ac:dyDescent="0.3">
      <c r="A209" s="177" t="s">
        <v>18</v>
      </c>
      <c r="B209" s="177">
        <v>2022</v>
      </c>
      <c r="C209" s="177" t="s">
        <v>9077</v>
      </c>
      <c r="D209" s="177" t="s">
        <v>9149</v>
      </c>
      <c r="E209" s="190">
        <f>KOHC!E99</f>
        <v>5024.2802600000005</v>
      </c>
      <c r="F209" s="190">
        <f>AVERAGE(KOHC!D37,KOHC!E37)</f>
        <v>39718.794640499997</v>
      </c>
      <c r="G209" s="190">
        <f t="shared" si="6"/>
        <v>0.12649629238438423</v>
      </c>
      <c r="H209" s="190">
        <v>0.21829999999999999</v>
      </c>
      <c r="I209" s="177" t="str">
        <f t="shared" si="7"/>
        <v>No fit</v>
      </c>
      <c r="J209" s="177">
        <v>4</v>
      </c>
      <c r="K209" s="184" t="s">
        <v>131</v>
      </c>
      <c r="L209" s="184" t="s">
        <v>137</v>
      </c>
    </row>
    <row r="210" spans="1:12" ht="64.05" customHeight="1" x14ac:dyDescent="0.3">
      <c r="A210" s="180" t="s">
        <v>18</v>
      </c>
      <c r="B210" s="180">
        <v>2023</v>
      </c>
      <c r="C210" s="180" t="s">
        <v>9077</v>
      </c>
      <c r="D210" s="180" t="s">
        <v>9148</v>
      </c>
      <c r="E210" s="189">
        <f>KOHC!F99</f>
        <v>5820.7511449999965</v>
      </c>
      <c r="F210" s="189">
        <f>KOHC!F37</f>
        <v>49530.075545</v>
      </c>
      <c r="G210" s="189">
        <f t="shared" si="6"/>
        <v>0.11751952891151191</v>
      </c>
      <c r="H210" s="189">
        <v>0.2263</v>
      </c>
      <c r="I210" s="180" t="str">
        <f t="shared" si="7"/>
        <v>No fit</v>
      </c>
      <c r="J210" s="180">
        <v>4</v>
      </c>
      <c r="K210" s="183" t="s">
        <v>131</v>
      </c>
      <c r="L210" s="183" t="s">
        <v>137</v>
      </c>
    </row>
    <row r="211" spans="1:12" ht="64.05" customHeight="1" x14ac:dyDescent="0.3">
      <c r="A211" s="177" t="s">
        <v>18</v>
      </c>
      <c r="B211" s="177">
        <v>2023</v>
      </c>
      <c r="C211" s="177" t="s">
        <v>9077</v>
      </c>
      <c r="D211" s="177" t="s">
        <v>9149</v>
      </c>
      <c r="E211" s="190">
        <f>KOHC!F99</f>
        <v>5820.7511449999965</v>
      </c>
      <c r="F211" s="190">
        <f>AVERAGE(KOHC!E37,KOHC!F37)</f>
        <v>46440.371694499998</v>
      </c>
      <c r="G211" s="190">
        <f t="shared" si="6"/>
        <v>0.12533816876597817</v>
      </c>
      <c r="H211" s="190">
        <v>0.2263</v>
      </c>
      <c r="I211" s="177" t="str">
        <f t="shared" si="7"/>
        <v>No fit</v>
      </c>
      <c r="J211" s="177">
        <v>4</v>
      </c>
      <c r="K211" s="184" t="s">
        <v>131</v>
      </c>
      <c r="L211" s="184" t="s">
        <v>137</v>
      </c>
    </row>
    <row r="212" spans="1:12" ht="64.05" customHeight="1" x14ac:dyDescent="0.3">
      <c r="A212" s="180" t="s">
        <v>18</v>
      </c>
      <c r="B212" s="180">
        <v>2024</v>
      </c>
      <c r="C212" s="180" t="s">
        <v>9077</v>
      </c>
      <c r="D212" s="180" t="s">
        <v>9148</v>
      </c>
      <c r="E212" s="189">
        <f>KOHC!G99</f>
        <v>8893.4547870000024</v>
      </c>
      <c r="F212" s="189">
        <f>KOHC!G37</f>
        <v>58843.295196999999</v>
      </c>
      <c r="G212" s="189">
        <f t="shared" si="6"/>
        <v>0.15113794625582791</v>
      </c>
      <c r="H212" s="189">
        <v>0.24560000000000001</v>
      </c>
      <c r="I212" s="180" t="str">
        <f t="shared" si="7"/>
        <v>No fit</v>
      </c>
      <c r="J212" s="180">
        <v>4</v>
      </c>
      <c r="K212" s="183" t="s">
        <v>131</v>
      </c>
      <c r="L212" s="183" t="s">
        <v>137</v>
      </c>
    </row>
    <row r="213" spans="1:12" ht="64.05" customHeight="1" x14ac:dyDescent="0.3">
      <c r="A213" s="177" t="s">
        <v>18</v>
      </c>
      <c r="B213" s="177">
        <v>2024</v>
      </c>
      <c r="C213" s="177" t="s">
        <v>9077</v>
      </c>
      <c r="D213" s="177" t="s">
        <v>9149</v>
      </c>
      <c r="E213" s="190">
        <f>KOHC!G99</f>
        <v>8893.4547870000024</v>
      </c>
      <c r="F213" s="190">
        <f>AVERAGE(KOHC!F37,KOHC!G37)</f>
        <v>54186.685371</v>
      </c>
      <c r="G213" s="190">
        <f t="shared" si="6"/>
        <v>0.16412620048835211</v>
      </c>
      <c r="H213" s="190">
        <v>0.24560000000000001</v>
      </c>
      <c r="I213" s="177" t="str">
        <f t="shared" si="7"/>
        <v>No fit</v>
      </c>
      <c r="J213" s="177">
        <v>4</v>
      </c>
      <c r="K213" s="184" t="s">
        <v>131</v>
      </c>
      <c r="L213" s="184" t="s">
        <v>137</v>
      </c>
    </row>
    <row r="214" spans="1:12" ht="64.05" customHeight="1" x14ac:dyDescent="0.3">
      <c r="A214" s="180" t="s">
        <v>18</v>
      </c>
      <c r="B214" s="180">
        <v>2025</v>
      </c>
      <c r="C214" s="180" t="s">
        <v>9077</v>
      </c>
      <c r="D214" s="180" t="s">
        <v>9148</v>
      </c>
      <c r="E214" s="189">
        <f>KOHC!H99</f>
        <v>11575.154071000001</v>
      </c>
      <c r="F214" s="189">
        <f>KOHC!H37</f>
        <v>66794.311768</v>
      </c>
      <c r="G214" s="189">
        <f t="shared" si="6"/>
        <v>0.17329550622820336</v>
      </c>
      <c r="H214" s="189">
        <v>0.27089999999999997</v>
      </c>
      <c r="I214" s="180" t="str">
        <f t="shared" si="7"/>
        <v>No fit</v>
      </c>
      <c r="J214" s="180">
        <v>4</v>
      </c>
      <c r="K214" s="183" t="s">
        <v>131</v>
      </c>
      <c r="L214" s="183" t="s">
        <v>137</v>
      </c>
    </row>
    <row r="215" spans="1:12" ht="64.05" customHeight="1" x14ac:dyDescent="0.3">
      <c r="A215" s="177" t="s">
        <v>18</v>
      </c>
      <c r="B215" s="177">
        <v>2025</v>
      </c>
      <c r="C215" s="177" t="s">
        <v>9077</v>
      </c>
      <c r="D215" s="177" t="s">
        <v>9149</v>
      </c>
      <c r="E215" s="190">
        <f>KOHC!H99</f>
        <v>11575.154071000001</v>
      </c>
      <c r="F215" s="190">
        <f>AVERAGE(KOHC!G37,KOHC!H37)</f>
        <v>62818.8034825</v>
      </c>
      <c r="G215" s="190">
        <f t="shared" si="6"/>
        <v>0.184262568360198</v>
      </c>
      <c r="H215" s="190">
        <v>0.27089999999999997</v>
      </c>
      <c r="I215" s="177" t="str">
        <f t="shared" si="7"/>
        <v>No fit</v>
      </c>
      <c r="J215" s="177">
        <v>4</v>
      </c>
      <c r="K215" s="184" t="s">
        <v>131</v>
      </c>
      <c r="L215" s="184" t="s">
        <v>137</v>
      </c>
    </row>
    <row r="216" spans="1:12" ht="64.05" customHeight="1" x14ac:dyDescent="0.3">
      <c r="A216" s="180" t="s">
        <v>68</v>
      </c>
      <c r="B216" s="180">
        <v>2021</v>
      </c>
      <c r="C216" s="180" t="s">
        <v>9039</v>
      </c>
      <c r="D216" s="180" t="s">
        <v>9148</v>
      </c>
      <c r="E216" s="189">
        <f>LUCK!D84</f>
        <v>62940.805</v>
      </c>
      <c r="F216" s="189">
        <f>LUCK!D32</f>
        <v>2710.0810000000001</v>
      </c>
      <c r="G216" s="189">
        <f t="shared" si="6"/>
        <v>23.224695129038576</v>
      </c>
      <c r="H216" s="189">
        <v>20.53</v>
      </c>
      <c r="I216" s="180" t="str">
        <f t="shared" si="7"/>
        <v>No fit</v>
      </c>
      <c r="J216" s="180">
        <v>2</v>
      </c>
      <c r="K216" s="183" t="s">
        <v>144</v>
      </c>
      <c r="L216" s="183" t="s">
        <v>148</v>
      </c>
    </row>
    <row r="217" spans="1:12" ht="64.05" customHeight="1" x14ac:dyDescent="0.3">
      <c r="A217" s="177" t="s">
        <v>68</v>
      </c>
      <c r="B217" s="177">
        <v>2021</v>
      </c>
      <c r="C217" s="177" t="s">
        <v>9039</v>
      </c>
      <c r="D217" s="177" t="s">
        <v>9149</v>
      </c>
      <c r="E217" s="190">
        <f>LUCK!D84</f>
        <v>62940.805</v>
      </c>
      <c r="F217" s="190">
        <f>AVERAGE(LUCK!C32,LUCK!D32)</f>
        <v>3066.424</v>
      </c>
      <c r="G217" s="190">
        <f t="shared" si="6"/>
        <v>20.525799758937445</v>
      </c>
      <c r="H217" s="190">
        <v>20.53</v>
      </c>
      <c r="I217" s="177" t="str">
        <f t="shared" si="7"/>
        <v>Numeric fit</v>
      </c>
      <c r="J217" s="177">
        <v>2</v>
      </c>
      <c r="K217" s="184" t="s">
        <v>144</v>
      </c>
      <c r="L217" s="184" t="s">
        <v>148</v>
      </c>
    </row>
    <row r="218" spans="1:12" ht="64.05" customHeight="1" x14ac:dyDescent="0.3">
      <c r="A218" s="180" t="s">
        <v>68</v>
      </c>
      <c r="B218" s="180">
        <v>2022</v>
      </c>
      <c r="C218" s="180" t="s">
        <v>9039</v>
      </c>
      <c r="D218" s="180" t="s">
        <v>9148</v>
      </c>
      <c r="E218" s="189">
        <f>LUCK!E84</f>
        <v>81093.524999999994</v>
      </c>
      <c r="F218" s="189">
        <f>LUCK!E32</f>
        <v>3522.931</v>
      </c>
      <c r="G218" s="189">
        <f t="shared" si="6"/>
        <v>23.018766192128087</v>
      </c>
      <c r="H218" s="189">
        <v>26.02</v>
      </c>
      <c r="I218" s="180" t="str">
        <f t="shared" si="7"/>
        <v>No fit</v>
      </c>
      <c r="J218" s="180">
        <v>2</v>
      </c>
      <c r="K218" s="183" t="s">
        <v>144</v>
      </c>
      <c r="L218" s="183" t="s">
        <v>148</v>
      </c>
    </row>
    <row r="219" spans="1:12" ht="64.05" customHeight="1" x14ac:dyDescent="0.3">
      <c r="A219" s="177" t="s">
        <v>68</v>
      </c>
      <c r="B219" s="177">
        <v>2022</v>
      </c>
      <c r="C219" s="177" t="s">
        <v>9039</v>
      </c>
      <c r="D219" s="177" t="s">
        <v>9149</v>
      </c>
      <c r="E219" s="190">
        <f>LUCK!E84</f>
        <v>81093.524999999994</v>
      </c>
      <c r="F219" s="190">
        <f>AVERAGE(LUCK!D32,LUCK!E32)</f>
        <v>3116.5060000000003</v>
      </c>
      <c r="G219" s="190">
        <f t="shared" si="6"/>
        <v>26.020654219821807</v>
      </c>
      <c r="H219" s="190">
        <v>26.02</v>
      </c>
      <c r="I219" s="177" t="str">
        <f t="shared" si="7"/>
        <v>Numeric fit</v>
      </c>
      <c r="J219" s="177">
        <v>2</v>
      </c>
      <c r="K219" s="184" t="s">
        <v>144</v>
      </c>
      <c r="L219" s="184" t="s">
        <v>148</v>
      </c>
    </row>
    <row r="220" spans="1:12" ht="64.05" customHeight="1" x14ac:dyDescent="0.3">
      <c r="A220" s="180" t="s">
        <v>68</v>
      </c>
      <c r="B220" s="180">
        <v>2023</v>
      </c>
      <c r="C220" s="180" t="s">
        <v>9039</v>
      </c>
      <c r="D220" s="180" t="s">
        <v>9148</v>
      </c>
      <c r="E220" s="189">
        <f>LUCK!F84</f>
        <v>95832.146999999997</v>
      </c>
      <c r="F220" s="189">
        <f>LUCK!F32</f>
        <v>5089.6670000000004</v>
      </c>
      <c r="G220" s="189">
        <f t="shared" si="6"/>
        <v>18.82876561472489</v>
      </c>
      <c r="H220" s="189">
        <v>22.25</v>
      </c>
      <c r="I220" s="180" t="str">
        <f t="shared" si="7"/>
        <v>No fit</v>
      </c>
      <c r="J220" s="180">
        <v>2</v>
      </c>
      <c r="K220" s="183" t="s">
        <v>144</v>
      </c>
      <c r="L220" s="183" t="s">
        <v>148</v>
      </c>
    </row>
    <row r="221" spans="1:12" ht="64.05" customHeight="1" x14ac:dyDescent="0.3">
      <c r="A221" s="177" t="s">
        <v>68</v>
      </c>
      <c r="B221" s="177">
        <v>2023</v>
      </c>
      <c r="C221" s="177" t="s">
        <v>9039</v>
      </c>
      <c r="D221" s="177" t="s">
        <v>9149</v>
      </c>
      <c r="E221" s="190">
        <f>LUCK!F84</f>
        <v>95832.146999999997</v>
      </c>
      <c r="F221" s="190">
        <f>AVERAGE(LUCK!E32,LUCK!F32)</f>
        <v>4306.299</v>
      </c>
      <c r="G221" s="190">
        <f t="shared" si="6"/>
        <v>22.253946370189343</v>
      </c>
      <c r="H221" s="190">
        <v>22.25</v>
      </c>
      <c r="I221" s="177" t="str">
        <f t="shared" si="7"/>
        <v>Numeric fit</v>
      </c>
      <c r="J221" s="177">
        <v>2</v>
      </c>
      <c r="K221" s="184" t="s">
        <v>144</v>
      </c>
      <c r="L221" s="184" t="s">
        <v>148</v>
      </c>
    </row>
    <row r="222" spans="1:12" ht="64.05" customHeight="1" x14ac:dyDescent="0.3">
      <c r="A222" s="180" t="s">
        <v>68</v>
      </c>
      <c r="B222" s="180">
        <v>2024</v>
      </c>
      <c r="C222" s="180" t="s">
        <v>9039</v>
      </c>
      <c r="D222" s="180" t="s">
        <v>9148</v>
      </c>
      <c r="E222" s="189">
        <f>LUCK!G84</f>
        <v>115324.942</v>
      </c>
      <c r="F222" s="189">
        <f>LUCK!G32</f>
        <v>6932.4790000000003</v>
      </c>
      <c r="G222" s="189">
        <f t="shared" si="6"/>
        <v>16.635454936105827</v>
      </c>
      <c r="H222" s="189">
        <v>19.190000000000001</v>
      </c>
      <c r="I222" s="180" t="str">
        <f t="shared" si="7"/>
        <v>No fit</v>
      </c>
      <c r="J222" s="180">
        <v>2</v>
      </c>
      <c r="K222" s="183" t="s">
        <v>144</v>
      </c>
      <c r="L222" s="183" t="s">
        <v>148</v>
      </c>
    </row>
    <row r="223" spans="1:12" ht="64.05" customHeight="1" x14ac:dyDescent="0.3">
      <c r="A223" s="177" t="s">
        <v>68</v>
      </c>
      <c r="B223" s="177">
        <v>2024</v>
      </c>
      <c r="C223" s="177" t="s">
        <v>9039</v>
      </c>
      <c r="D223" s="177" t="s">
        <v>9149</v>
      </c>
      <c r="E223" s="190">
        <f>LUCK!G84</f>
        <v>115324.942</v>
      </c>
      <c r="F223" s="190">
        <f>AVERAGE(LUCK!F32,LUCK!G32)</f>
        <v>6011.0730000000003</v>
      </c>
      <c r="G223" s="190">
        <f t="shared" si="6"/>
        <v>19.185416979630755</v>
      </c>
      <c r="H223" s="190">
        <v>19.190000000000001</v>
      </c>
      <c r="I223" s="177" t="str">
        <f t="shared" si="7"/>
        <v>Numeric fit</v>
      </c>
      <c r="J223" s="177">
        <v>2</v>
      </c>
      <c r="K223" s="184" t="s">
        <v>144</v>
      </c>
      <c r="L223" s="184" t="s">
        <v>148</v>
      </c>
    </row>
    <row r="224" spans="1:12" ht="64.05" customHeight="1" x14ac:dyDescent="0.3">
      <c r="A224" s="180" t="s">
        <v>68</v>
      </c>
      <c r="B224" s="180">
        <v>2025</v>
      </c>
      <c r="C224" s="180" t="s">
        <v>9039</v>
      </c>
      <c r="D224" s="180" t="s">
        <v>9148</v>
      </c>
      <c r="E224" s="189">
        <f>LUCK!H84</f>
        <v>124511.74400000001</v>
      </c>
      <c r="F224" s="189">
        <f>LUCK!H32</f>
        <v>6353.1940000000004</v>
      </c>
      <c r="G224" s="189">
        <f t="shared" si="6"/>
        <v>19.598290875424237</v>
      </c>
      <c r="H224" s="189">
        <v>18.739999999999998</v>
      </c>
      <c r="I224" s="180" t="str">
        <f t="shared" si="7"/>
        <v>No fit</v>
      </c>
      <c r="J224" s="180">
        <v>2</v>
      </c>
      <c r="K224" s="183" t="s">
        <v>144</v>
      </c>
      <c r="L224" s="183" t="s">
        <v>148</v>
      </c>
    </row>
    <row r="225" spans="1:12" ht="64.05" customHeight="1" x14ac:dyDescent="0.3">
      <c r="A225" s="177" t="s">
        <v>68</v>
      </c>
      <c r="B225" s="177">
        <v>2025</v>
      </c>
      <c r="C225" s="177" t="s">
        <v>9039</v>
      </c>
      <c r="D225" s="177" t="s">
        <v>9149</v>
      </c>
      <c r="E225" s="190">
        <f>LUCK!H84</f>
        <v>124511.74400000001</v>
      </c>
      <c r="F225" s="190">
        <f>AVERAGE(LUCK!G32,LUCK!H32)</f>
        <v>6642.8365000000003</v>
      </c>
      <c r="G225" s="190">
        <f t="shared" si="6"/>
        <v>18.743761644592638</v>
      </c>
      <c r="H225" s="190">
        <v>18.739999999999998</v>
      </c>
      <c r="I225" s="177" t="str">
        <f t="shared" si="7"/>
        <v>Numeric fit</v>
      </c>
      <c r="J225" s="177">
        <v>2</v>
      </c>
      <c r="K225" s="184" t="s">
        <v>144</v>
      </c>
      <c r="L225" s="184" t="s">
        <v>148</v>
      </c>
    </row>
    <row r="226" spans="1:12" ht="64.05" customHeight="1" x14ac:dyDescent="0.3">
      <c r="A226" s="180" t="s">
        <v>68</v>
      </c>
      <c r="B226" s="180">
        <v>2021</v>
      </c>
      <c r="C226" s="180" t="s">
        <v>9042</v>
      </c>
      <c r="D226" s="180" t="s">
        <v>9148</v>
      </c>
      <c r="E226" s="189">
        <f>365*LUCK!D65</f>
        <v>4975537.6500000004</v>
      </c>
      <c r="F226" s="189">
        <f>-LUCK!D85</f>
        <v>43984.873</v>
      </c>
      <c r="G226" s="189">
        <f t="shared" si="6"/>
        <v>113.1192910344427</v>
      </c>
      <c r="H226" s="189">
        <v>95.8</v>
      </c>
      <c r="I226" s="180" t="str">
        <f t="shared" si="7"/>
        <v>No fit</v>
      </c>
      <c r="J226" s="180">
        <v>2</v>
      </c>
      <c r="K226" s="183" t="s">
        <v>144</v>
      </c>
      <c r="L226" s="183" t="s">
        <v>149</v>
      </c>
    </row>
    <row r="227" spans="1:12" ht="64.05" customHeight="1" x14ac:dyDescent="0.3">
      <c r="A227" s="177" t="s">
        <v>68</v>
      </c>
      <c r="B227" s="177">
        <v>2021</v>
      </c>
      <c r="C227" s="177" t="s">
        <v>9042</v>
      </c>
      <c r="D227" s="177" t="s">
        <v>9149</v>
      </c>
      <c r="E227" s="190">
        <f>365*AVERAGE(LUCK!C65,LUCK!D65)</f>
        <v>4209788.0900000008</v>
      </c>
      <c r="F227" s="190">
        <f>-LUCK!D85</f>
        <v>43984.873</v>
      </c>
      <c r="G227" s="190">
        <f t="shared" si="6"/>
        <v>95.709906676324849</v>
      </c>
      <c r="H227" s="190">
        <v>95.8</v>
      </c>
      <c r="I227" s="177" t="str">
        <f t="shared" si="7"/>
        <v>No fit</v>
      </c>
      <c r="J227" s="177">
        <v>2</v>
      </c>
      <c r="K227" s="184" t="s">
        <v>144</v>
      </c>
      <c r="L227" s="184" t="s">
        <v>149</v>
      </c>
    </row>
    <row r="228" spans="1:12" ht="64.05" customHeight="1" x14ac:dyDescent="0.3">
      <c r="A228" s="180" t="s">
        <v>68</v>
      </c>
      <c r="B228" s="180">
        <v>2022</v>
      </c>
      <c r="C228" s="180" t="s">
        <v>9042</v>
      </c>
      <c r="D228" s="180" t="s">
        <v>9148</v>
      </c>
      <c r="E228" s="189">
        <f>365*LUCK!E65</f>
        <v>6708045.5550000006</v>
      </c>
      <c r="F228" s="189">
        <f>-LUCK!E85</f>
        <v>58541.684000000001</v>
      </c>
      <c r="G228" s="189">
        <f t="shared" si="6"/>
        <v>114.58579761730121</v>
      </c>
      <c r="H228" s="189">
        <v>99.73</v>
      </c>
      <c r="I228" s="180" t="str">
        <f t="shared" si="7"/>
        <v>No fit</v>
      </c>
      <c r="J228" s="180">
        <v>2</v>
      </c>
      <c r="K228" s="183" t="s">
        <v>144</v>
      </c>
      <c r="L228" s="183" t="s">
        <v>149</v>
      </c>
    </row>
    <row r="229" spans="1:12" ht="64.05" customHeight="1" x14ac:dyDescent="0.3">
      <c r="A229" s="177" t="s">
        <v>68</v>
      </c>
      <c r="B229" s="177">
        <v>2022</v>
      </c>
      <c r="C229" s="177" t="s">
        <v>9042</v>
      </c>
      <c r="D229" s="177" t="s">
        <v>9149</v>
      </c>
      <c r="E229" s="190">
        <f>365*AVERAGE(LUCK!D65,LUCK!E65)</f>
        <v>5841791.6025</v>
      </c>
      <c r="F229" s="190">
        <f>-LUCK!E85</f>
        <v>58541.684000000001</v>
      </c>
      <c r="G229" s="190">
        <f t="shared" si="6"/>
        <v>99.788581457615734</v>
      </c>
      <c r="H229" s="190">
        <v>99.73</v>
      </c>
      <c r="I229" s="177" t="str">
        <f t="shared" si="7"/>
        <v>No fit</v>
      </c>
      <c r="J229" s="177">
        <v>2</v>
      </c>
      <c r="K229" s="184" t="s">
        <v>144</v>
      </c>
      <c r="L229" s="184" t="s">
        <v>149</v>
      </c>
    </row>
    <row r="230" spans="1:12" ht="64.05" customHeight="1" x14ac:dyDescent="0.3">
      <c r="A230" s="180" t="s">
        <v>68</v>
      </c>
      <c r="B230" s="180">
        <v>2023</v>
      </c>
      <c r="C230" s="180" t="s">
        <v>9042</v>
      </c>
      <c r="D230" s="180" t="s">
        <v>9148</v>
      </c>
      <c r="E230" s="189">
        <f>365*LUCK!F65</f>
        <v>7348371.6250000009</v>
      </c>
      <c r="F230" s="189">
        <f>-LUCK!F85</f>
        <v>69771.468999999997</v>
      </c>
      <c r="G230" s="189">
        <f t="shared" si="6"/>
        <v>105.3205806086726</v>
      </c>
      <c r="H230" s="189">
        <v>100.83</v>
      </c>
      <c r="I230" s="180" t="str">
        <f t="shared" si="7"/>
        <v>No fit</v>
      </c>
      <c r="J230" s="180">
        <v>2</v>
      </c>
      <c r="K230" s="183" t="s">
        <v>144</v>
      </c>
      <c r="L230" s="183" t="s">
        <v>149</v>
      </c>
    </row>
    <row r="231" spans="1:12" ht="64.05" customHeight="1" x14ac:dyDescent="0.3">
      <c r="A231" s="177" t="s">
        <v>68</v>
      </c>
      <c r="B231" s="177">
        <v>2023</v>
      </c>
      <c r="C231" s="177" t="s">
        <v>9042</v>
      </c>
      <c r="D231" s="177" t="s">
        <v>9149</v>
      </c>
      <c r="E231" s="190">
        <f>365*AVERAGE(LUCK!E65,LUCK!F65)</f>
        <v>7028208.5900000008</v>
      </c>
      <c r="F231" s="190">
        <f>-LUCK!F85</f>
        <v>69771.468999999997</v>
      </c>
      <c r="G231" s="190">
        <f t="shared" si="6"/>
        <v>100.73184197970664</v>
      </c>
      <c r="H231" s="190">
        <v>100.83</v>
      </c>
      <c r="I231" s="177" t="str">
        <f t="shared" si="7"/>
        <v>No fit</v>
      </c>
      <c r="J231" s="177">
        <v>2</v>
      </c>
      <c r="K231" s="184" t="s">
        <v>144</v>
      </c>
      <c r="L231" s="184" t="s">
        <v>149</v>
      </c>
    </row>
    <row r="232" spans="1:12" ht="64.05" customHeight="1" x14ac:dyDescent="0.3">
      <c r="A232" s="180" t="s">
        <v>68</v>
      </c>
      <c r="B232" s="180">
        <v>2024</v>
      </c>
      <c r="C232" s="180" t="s">
        <v>9042</v>
      </c>
      <c r="D232" s="180" t="s">
        <v>9148</v>
      </c>
      <c r="E232" s="189">
        <f>365*LUCK!G65</f>
        <v>8430495.1549999993</v>
      </c>
      <c r="F232" s="189">
        <f>-LUCK!G85</f>
        <v>76520.37</v>
      </c>
      <c r="G232" s="189">
        <f t="shared" si="6"/>
        <v>110.17321472700668</v>
      </c>
      <c r="H232" s="189">
        <v>103.11</v>
      </c>
      <c r="I232" s="180" t="str">
        <f t="shared" si="7"/>
        <v>No fit</v>
      </c>
      <c r="J232" s="180">
        <v>2</v>
      </c>
      <c r="K232" s="183" t="s">
        <v>144</v>
      </c>
      <c r="L232" s="183" t="s">
        <v>149</v>
      </c>
    </row>
    <row r="233" spans="1:12" ht="64.05" customHeight="1" x14ac:dyDescent="0.3">
      <c r="A233" s="177" t="s">
        <v>68</v>
      </c>
      <c r="B233" s="177">
        <v>2024</v>
      </c>
      <c r="C233" s="177" t="s">
        <v>9042</v>
      </c>
      <c r="D233" s="177" t="s">
        <v>9149</v>
      </c>
      <c r="E233" s="190">
        <f>365*AVERAGE(LUCK!F65,LUCK!G65)</f>
        <v>7889433.3899999997</v>
      </c>
      <c r="F233" s="190">
        <f>-LUCK!G85</f>
        <v>76520.37</v>
      </c>
      <c r="G233" s="190">
        <f t="shared" si="6"/>
        <v>103.10239469568691</v>
      </c>
      <c r="H233" s="190">
        <v>103.11</v>
      </c>
      <c r="I233" s="177" t="str">
        <f t="shared" si="7"/>
        <v>No fit</v>
      </c>
      <c r="J233" s="177">
        <v>2</v>
      </c>
      <c r="K233" s="184" t="s">
        <v>144</v>
      </c>
      <c r="L233" s="184" t="s">
        <v>149</v>
      </c>
    </row>
    <row r="234" spans="1:12" ht="64.05" customHeight="1" x14ac:dyDescent="0.3">
      <c r="A234" s="180" t="s">
        <v>68</v>
      </c>
      <c r="B234" s="180">
        <v>2025</v>
      </c>
      <c r="C234" s="180" t="s">
        <v>9042</v>
      </c>
      <c r="D234" s="180" t="s">
        <v>9148</v>
      </c>
      <c r="E234" s="189">
        <f>365*LUCK!H65</f>
        <v>9004443.0550000016</v>
      </c>
      <c r="F234" s="189">
        <f>-LUCK!H85</f>
        <v>81827.06</v>
      </c>
      <c r="G234" s="189">
        <f t="shared" si="6"/>
        <v>110.04236318645692</v>
      </c>
      <c r="H234" s="189">
        <v>106.41</v>
      </c>
      <c r="I234" s="180" t="str">
        <f t="shared" si="7"/>
        <v>No fit</v>
      </c>
      <c r="J234" s="180">
        <v>2</v>
      </c>
      <c r="K234" s="183" t="s">
        <v>144</v>
      </c>
      <c r="L234" s="183" t="s">
        <v>149</v>
      </c>
    </row>
    <row r="235" spans="1:12" ht="64.05" customHeight="1" x14ac:dyDescent="0.3">
      <c r="A235" s="177" t="s">
        <v>68</v>
      </c>
      <c r="B235" s="177">
        <v>2025</v>
      </c>
      <c r="C235" s="177" t="s">
        <v>9042</v>
      </c>
      <c r="D235" s="177" t="s">
        <v>9149</v>
      </c>
      <c r="E235" s="190">
        <f>365*AVERAGE(LUCK!G65,LUCK!H65)</f>
        <v>8717469.1050000004</v>
      </c>
      <c r="F235" s="190">
        <f>-LUCK!H85</f>
        <v>81827.06</v>
      </c>
      <c r="G235" s="190">
        <f t="shared" si="6"/>
        <v>106.53528435458882</v>
      </c>
      <c r="H235" s="190">
        <v>106.41</v>
      </c>
      <c r="I235" s="177" t="str">
        <f t="shared" si="7"/>
        <v>No fit</v>
      </c>
      <c r="J235" s="177">
        <v>2</v>
      </c>
      <c r="K235" s="184" t="s">
        <v>144</v>
      </c>
      <c r="L235" s="184" t="s">
        <v>149</v>
      </c>
    </row>
    <row r="236" spans="1:12" ht="64.05" customHeight="1" x14ac:dyDescent="0.3">
      <c r="A236" s="180" t="s">
        <v>68</v>
      </c>
      <c r="B236" s="180">
        <v>2021</v>
      </c>
      <c r="C236" s="180" t="s">
        <v>9079</v>
      </c>
      <c r="D236" s="180" t="s">
        <v>9148</v>
      </c>
      <c r="E236" s="189">
        <f>LUCK!D99</f>
        <v>14070.189000000004</v>
      </c>
      <c r="F236" s="189">
        <f>LUCK!D41</f>
        <v>113200.258</v>
      </c>
      <c r="G236" s="189">
        <f t="shared" si="6"/>
        <v>0.12429467254394423</v>
      </c>
      <c r="H236" s="189">
        <v>0.12379999999999999</v>
      </c>
      <c r="I236" s="180" t="str">
        <f t="shared" si="7"/>
        <v>No fit</v>
      </c>
      <c r="J236" s="180">
        <v>4</v>
      </c>
      <c r="K236" s="183" t="s">
        <v>144</v>
      </c>
      <c r="L236" s="183" t="s">
        <v>5867</v>
      </c>
    </row>
    <row r="237" spans="1:12" ht="64.05" customHeight="1" x14ac:dyDescent="0.3">
      <c r="A237" s="177" t="s">
        <v>68</v>
      </c>
      <c r="B237" s="177">
        <v>2021</v>
      </c>
      <c r="C237" s="177" t="s">
        <v>9079</v>
      </c>
      <c r="D237" s="177" t="s">
        <v>9149</v>
      </c>
      <c r="E237" s="190">
        <f>LUCK!D99</f>
        <v>14070.189000000004</v>
      </c>
      <c r="F237" s="190">
        <f>AVERAGE(LUCK!C41,LUCK!D41)</f>
        <v>106192.0595</v>
      </c>
      <c r="G237" s="190">
        <f t="shared" si="6"/>
        <v>0.13249756211762712</v>
      </c>
      <c r="H237" s="190">
        <v>0.12379999999999999</v>
      </c>
      <c r="I237" s="177" t="str">
        <f t="shared" si="7"/>
        <v>No fit</v>
      </c>
      <c r="J237" s="177">
        <v>4</v>
      </c>
      <c r="K237" s="184" t="s">
        <v>144</v>
      </c>
      <c r="L237" s="184" t="s">
        <v>5867</v>
      </c>
    </row>
    <row r="238" spans="1:12" ht="64.05" customHeight="1" x14ac:dyDescent="0.3">
      <c r="A238" s="180" t="s">
        <v>68</v>
      </c>
      <c r="B238" s="180">
        <v>2022</v>
      </c>
      <c r="C238" s="180" t="s">
        <v>9079</v>
      </c>
      <c r="D238" s="180" t="s">
        <v>9148</v>
      </c>
      <c r="E238" s="189">
        <f>LUCK!E99</f>
        <v>15298.617999999993</v>
      </c>
      <c r="F238" s="189">
        <f>LUCK!E41</f>
        <v>128540.32399999999</v>
      </c>
      <c r="G238" s="189">
        <f t="shared" si="6"/>
        <v>0.11901804448540206</v>
      </c>
      <c r="H238" s="189">
        <v>0.1193</v>
      </c>
      <c r="I238" s="180" t="str">
        <f t="shared" si="7"/>
        <v>No fit</v>
      </c>
      <c r="J238" s="180">
        <v>4</v>
      </c>
      <c r="K238" s="183" t="s">
        <v>144</v>
      </c>
      <c r="L238" s="183" t="s">
        <v>5867</v>
      </c>
    </row>
    <row r="239" spans="1:12" ht="64.05" customHeight="1" x14ac:dyDescent="0.3">
      <c r="A239" s="177" t="s">
        <v>68</v>
      </c>
      <c r="B239" s="177">
        <v>2022</v>
      </c>
      <c r="C239" s="177" t="s">
        <v>9079</v>
      </c>
      <c r="D239" s="177" t="s">
        <v>9149</v>
      </c>
      <c r="E239" s="190">
        <f>LUCK!E99</f>
        <v>15298.617999999993</v>
      </c>
      <c r="F239" s="190">
        <f>AVERAGE(LUCK!D41,LUCK!E41)</f>
        <v>120870.291</v>
      </c>
      <c r="G239" s="190">
        <f t="shared" si="6"/>
        <v>0.12657053998488341</v>
      </c>
      <c r="H239" s="190">
        <v>0.1193</v>
      </c>
      <c r="I239" s="177" t="str">
        <f t="shared" si="7"/>
        <v>No fit</v>
      </c>
      <c r="J239" s="177">
        <v>4</v>
      </c>
      <c r="K239" s="184" t="s">
        <v>144</v>
      </c>
      <c r="L239" s="184" t="s">
        <v>5867</v>
      </c>
    </row>
    <row r="240" spans="1:12" ht="64.05" customHeight="1" x14ac:dyDescent="0.3">
      <c r="A240" s="180" t="s">
        <v>68</v>
      </c>
      <c r="B240" s="180">
        <v>2023</v>
      </c>
      <c r="C240" s="180" t="s">
        <v>9079</v>
      </c>
      <c r="D240" s="180" t="s">
        <v>9148</v>
      </c>
      <c r="E240" s="189">
        <f>LUCK!F99</f>
        <v>13725.813999999998</v>
      </c>
      <c r="F240" s="189">
        <f>LUCK!F41</f>
        <v>137366.326</v>
      </c>
      <c r="G240" s="189">
        <f t="shared" si="6"/>
        <v>9.9921242706891636E-2</v>
      </c>
      <c r="H240" s="189">
        <v>0.1018</v>
      </c>
      <c r="I240" s="180" t="str">
        <f t="shared" si="7"/>
        <v>No fit</v>
      </c>
      <c r="J240" s="180">
        <v>4</v>
      </c>
      <c r="K240" s="183" t="s">
        <v>144</v>
      </c>
      <c r="L240" s="183" t="s">
        <v>5867</v>
      </c>
    </row>
    <row r="241" spans="1:12" ht="64.05" customHeight="1" x14ac:dyDescent="0.3">
      <c r="A241" s="177" t="s">
        <v>68</v>
      </c>
      <c r="B241" s="177">
        <v>2023</v>
      </c>
      <c r="C241" s="177" t="s">
        <v>9079</v>
      </c>
      <c r="D241" s="177" t="s">
        <v>9149</v>
      </c>
      <c r="E241" s="190">
        <f>LUCK!F99</f>
        <v>13725.813999999998</v>
      </c>
      <c r="F241" s="190">
        <f>AVERAGE(LUCK!E41,LUCK!F41)</f>
        <v>132953.32500000001</v>
      </c>
      <c r="G241" s="190">
        <f t="shared" si="6"/>
        <v>0.10323783929435384</v>
      </c>
      <c r="H241" s="190">
        <v>0.1018</v>
      </c>
      <c r="I241" s="177" t="str">
        <f t="shared" si="7"/>
        <v>No fit</v>
      </c>
      <c r="J241" s="177">
        <v>4</v>
      </c>
      <c r="K241" s="184" t="s">
        <v>144</v>
      </c>
      <c r="L241" s="184" t="s">
        <v>5867</v>
      </c>
    </row>
    <row r="242" spans="1:12" ht="64.05" customHeight="1" x14ac:dyDescent="0.3">
      <c r="A242" s="180" t="s">
        <v>68</v>
      </c>
      <c r="B242" s="180">
        <v>2024</v>
      </c>
      <c r="C242" s="180" t="s">
        <v>9079</v>
      </c>
      <c r="D242" s="180" t="s">
        <v>9148</v>
      </c>
      <c r="E242" s="189">
        <f>LUCK!G99</f>
        <v>28106.539000000004</v>
      </c>
      <c r="F242" s="189">
        <f>LUCK!G41</f>
        <v>147761.277</v>
      </c>
      <c r="G242" s="189">
        <f t="shared" si="6"/>
        <v>0.19021586420101122</v>
      </c>
      <c r="H242" s="189">
        <v>0.1893</v>
      </c>
      <c r="I242" s="180" t="str">
        <f t="shared" si="7"/>
        <v>No fit</v>
      </c>
      <c r="J242" s="180">
        <v>4</v>
      </c>
      <c r="K242" s="183" t="s">
        <v>144</v>
      </c>
      <c r="L242" s="183" t="s">
        <v>5867</v>
      </c>
    </row>
    <row r="243" spans="1:12" ht="64.05" customHeight="1" x14ac:dyDescent="0.3">
      <c r="A243" s="177" t="s">
        <v>68</v>
      </c>
      <c r="B243" s="177">
        <v>2024</v>
      </c>
      <c r="C243" s="177" t="s">
        <v>9079</v>
      </c>
      <c r="D243" s="177" t="s">
        <v>9149</v>
      </c>
      <c r="E243" s="190">
        <f>LUCK!G99</f>
        <v>28106.539000000004</v>
      </c>
      <c r="F243" s="190">
        <f>AVERAGE(LUCK!F41,LUCK!G41)</f>
        <v>142563.8015</v>
      </c>
      <c r="G243" s="190">
        <f t="shared" si="6"/>
        <v>0.19715059997190104</v>
      </c>
      <c r="H243" s="190">
        <v>0.1893</v>
      </c>
      <c r="I243" s="177" t="str">
        <f t="shared" si="7"/>
        <v>No fit</v>
      </c>
      <c r="J243" s="177">
        <v>4</v>
      </c>
      <c r="K243" s="184" t="s">
        <v>144</v>
      </c>
      <c r="L243" s="184" t="s">
        <v>5867</v>
      </c>
    </row>
    <row r="244" spans="1:12" ht="64.05" customHeight="1" x14ac:dyDescent="0.3">
      <c r="A244" s="180" t="s">
        <v>68</v>
      </c>
      <c r="B244" s="180">
        <v>2025</v>
      </c>
      <c r="C244" s="180" t="s">
        <v>9079</v>
      </c>
      <c r="D244" s="180" t="s">
        <v>9148</v>
      </c>
      <c r="E244" s="189">
        <f>LUCK!H99</f>
        <v>33092.162000000004</v>
      </c>
      <c r="F244" s="189">
        <f>LUCK!H41</f>
        <v>175910.39999999999</v>
      </c>
      <c r="G244" s="189">
        <f t="shared" si="6"/>
        <v>0.18811941761260281</v>
      </c>
      <c r="H244" s="189">
        <v>0.185</v>
      </c>
      <c r="I244" s="180" t="str">
        <f t="shared" si="7"/>
        <v>No fit</v>
      </c>
      <c r="J244" s="180">
        <v>4</v>
      </c>
      <c r="K244" s="183" t="s">
        <v>144</v>
      </c>
      <c r="L244" s="183" t="s">
        <v>5867</v>
      </c>
    </row>
    <row r="245" spans="1:12" ht="64.05" customHeight="1" x14ac:dyDescent="0.3">
      <c r="A245" s="177" t="s">
        <v>68</v>
      </c>
      <c r="B245" s="177">
        <v>2025</v>
      </c>
      <c r="C245" s="177" t="s">
        <v>9079</v>
      </c>
      <c r="D245" s="177" t="s">
        <v>9149</v>
      </c>
      <c r="E245" s="190">
        <f>LUCK!H99</f>
        <v>33092.162000000004</v>
      </c>
      <c r="F245" s="190">
        <f>AVERAGE(LUCK!G41,LUCK!H41)</f>
        <v>161835.83850000001</v>
      </c>
      <c r="G245" s="190">
        <f t="shared" si="6"/>
        <v>0.2044798130421526</v>
      </c>
      <c r="H245" s="190">
        <v>0.185</v>
      </c>
      <c r="I245" s="177" t="str">
        <f t="shared" si="7"/>
        <v>No fit</v>
      </c>
      <c r="J245" s="177">
        <v>4</v>
      </c>
      <c r="K245" s="184" t="s">
        <v>144</v>
      </c>
      <c r="L245" s="184" t="s">
        <v>5867</v>
      </c>
    </row>
    <row r="246" spans="1:12" ht="64.05" customHeight="1" x14ac:dyDescent="0.3">
      <c r="A246" s="180" t="s">
        <v>106</v>
      </c>
      <c r="B246" s="180">
        <v>2021</v>
      </c>
      <c r="C246" s="180" t="s">
        <v>9036</v>
      </c>
      <c r="D246" s="180" t="s">
        <v>9148</v>
      </c>
      <c r="E246" s="189">
        <f>-MLCF!D85</f>
        <v>28135.419000000002</v>
      </c>
      <c r="F246" s="189">
        <f>MLCF!D65</f>
        <v>11888.900000000001</v>
      </c>
      <c r="G246" s="189">
        <f t="shared" si="6"/>
        <v>2.3665283583847114</v>
      </c>
      <c r="H246" s="189">
        <v>14.04</v>
      </c>
      <c r="I246" s="180" t="str">
        <f t="shared" si="7"/>
        <v>No fit</v>
      </c>
      <c r="J246" s="180">
        <v>2</v>
      </c>
      <c r="K246" s="183" t="s">
        <v>171</v>
      </c>
      <c r="L246" s="183" t="s">
        <v>5925</v>
      </c>
    </row>
    <row r="247" spans="1:12" ht="64.05" customHeight="1" x14ac:dyDescent="0.3">
      <c r="A247" s="177" t="s">
        <v>106</v>
      </c>
      <c r="B247" s="177">
        <v>2021</v>
      </c>
      <c r="C247" s="177" t="s">
        <v>9036</v>
      </c>
      <c r="D247" s="177" t="s">
        <v>9149</v>
      </c>
      <c r="E247" s="190">
        <f>-MLCF!D85</f>
        <v>28135.419000000002</v>
      </c>
      <c r="F247" s="190">
        <f>AVERAGE(MLCF!C65,MLCF!D65)</f>
        <v>11031.957000000002</v>
      </c>
      <c r="G247" s="190">
        <f t="shared" si="6"/>
        <v>2.5503561154199565</v>
      </c>
      <c r="H247" s="190">
        <v>14.04</v>
      </c>
      <c r="I247" s="177" t="str">
        <f t="shared" si="7"/>
        <v>No fit</v>
      </c>
      <c r="J247" s="177">
        <v>2</v>
      </c>
      <c r="K247" s="184" t="s">
        <v>171</v>
      </c>
      <c r="L247" s="184" t="s">
        <v>5925</v>
      </c>
    </row>
    <row r="248" spans="1:12" ht="64.05" customHeight="1" x14ac:dyDescent="0.3">
      <c r="A248" s="180" t="s">
        <v>106</v>
      </c>
      <c r="B248" s="180">
        <v>2022</v>
      </c>
      <c r="C248" s="180" t="s">
        <v>9036</v>
      </c>
      <c r="D248" s="180" t="s">
        <v>9148</v>
      </c>
      <c r="E248" s="189">
        <f>-MLCF!E85</f>
        <v>36244.156000000003</v>
      </c>
      <c r="F248" s="189">
        <f>MLCF!E65</f>
        <v>15549.225999999999</v>
      </c>
      <c r="G248" s="189">
        <f t="shared" si="6"/>
        <v>2.3309299125242635</v>
      </c>
      <c r="H248" s="189">
        <v>14.67</v>
      </c>
      <c r="I248" s="180" t="str">
        <f t="shared" si="7"/>
        <v>No fit</v>
      </c>
      <c r="J248" s="180">
        <v>2</v>
      </c>
      <c r="K248" s="183" t="s">
        <v>171</v>
      </c>
      <c r="L248" s="183" t="s">
        <v>5925</v>
      </c>
    </row>
    <row r="249" spans="1:12" ht="64.05" customHeight="1" x14ac:dyDescent="0.3">
      <c r="A249" s="177" t="s">
        <v>106</v>
      </c>
      <c r="B249" s="177">
        <v>2022</v>
      </c>
      <c r="C249" s="177" t="s">
        <v>9036</v>
      </c>
      <c r="D249" s="177" t="s">
        <v>9149</v>
      </c>
      <c r="E249" s="190">
        <f>-MLCF!E85</f>
        <v>36244.156000000003</v>
      </c>
      <c r="F249" s="190">
        <f>AVERAGE(MLCF!D65,MLCF!E65)</f>
        <v>13719.063</v>
      </c>
      <c r="G249" s="190">
        <f t="shared" si="6"/>
        <v>2.6418827583195736</v>
      </c>
      <c r="H249" s="190">
        <v>14.67</v>
      </c>
      <c r="I249" s="177" t="str">
        <f t="shared" si="7"/>
        <v>No fit</v>
      </c>
      <c r="J249" s="177">
        <v>2</v>
      </c>
      <c r="K249" s="184" t="s">
        <v>171</v>
      </c>
      <c r="L249" s="184" t="s">
        <v>5925</v>
      </c>
    </row>
    <row r="250" spans="1:12" ht="64.05" customHeight="1" x14ac:dyDescent="0.3">
      <c r="A250" s="180" t="s">
        <v>106</v>
      </c>
      <c r="B250" s="180">
        <v>2023</v>
      </c>
      <c r="C250" s="180" t="s">
        <v>9036</v>
      </c>
      <c r="D250" s="180" t="s">
        <v>9148</v>
      </c>
      <c r="E250" s="189">
        <f>-MLCF!F85</f>
        <v>43901.906000000003</v>
      </c>
      <c r="F250" s="189">
        <f>MLCF!F65</f>
        <v>13800.46</v>
      </c>
      <c r="G250" s="189">
        <f t="shared" si="6"/>
        <v>3.1811914965153338</v>
      </c>
      <c r="H250" s="189">
        <v>13.36</v>
      </c>
      <c r="I250" s="180" t="str">
        <f t="shared" si="7"/>
        <v>No fit</v>
      </c>
      <c r="J250" s="180">
        <v>2</v>
      </c>
      <c r="K250" s="183" t="s">
        <v>171</v>
      </c>
      <c r="L250" s="183" t="s">
        <v>172</v>
      </c>
    </row>
    <row r="251" spans="1:12" ht="64.05" customHeight="1" x14ac:dyDescent="0.3">
      <c r="A251" s="177" t="s">
        <v>106</v>
      </c>
      <c r="B251" s="177">
        <v>2023</v>
      </c>
      <c r="C251" s="177" t="s">
        <v>9036</v>
      </c>
      <c r="D251" s="177" t="s">
        <v>9149</v>
      </c>
      <c r="E251" s="190">
        <f>-MLCF!F85</f>
        <v>43901.906000000003</v>
      </c>
      <c r="F251" s="190">
        <f>AVERAGE(MLCF!E65,MLCF!F65)</f>
        <v>14674.842999999999</v>
      </c>
      <c r="G251" s="190">
        <f t="shared" si="6"/>
        <v>2.991643999189634</v>
      </c>
      <c r="H251" s="190">
        <v>13.36</v>
      </c>
      <c r="I251" s="177" t="str">
        <f t="shared" si="7"/>
        <v>No fit</v>
      </c>
      <c r="J251" s="177">
        <v>2</v>
      </c>
      <c r="K251" s="184" t="s">
        <v>171</v>
      </c>
      <c r="L251" s="184" t="s">
        <v>172</v>
      </c>
    </row>
    <row r="252" spans="1:12" ht="64.05" customHeight="1" x14ac:dyDescent="0.3">
      <c r="A252" s="180" t="s">
        <v>106</v>
      </c>
      <c r="B252" s="180">
        <v>2024</v>
      </c>
      <c r="C252" s="180" t="s">
        <v>9036</v>
      </c>
      <c r="D252" s="180" t="s">
        <v>9148</v>
      </c>
      <c r="E252" s="189">
        <f>-MLCF!G85</f>
        <v>45488.063999999998</v>
      </c>
      <c r="F252" s="189">
        <f>MLCF!G65</f>
        <v>15533.841</v>
      </c>
      <c r="G252" s="189">
        <f t="shared" si="6"/>
        <v>2.9283204327892887</v>
      </c>
      <c r="H252" s="189">
        <v>12.76</v>
      </c>
      <c r="I252" s="180" t="str">
        <f t="shared" si="7"/>
        <v>No fit</v>
      </c>
      <c r="J252" s="180">
        <v>2</v>
      </c>
      <c r="K252" s="183" t="s">
        <v>171</v>
      </c>
      <c r="L252" s="183" t="s">
        <v>172</v>
      </c>
    </row>
    <row r="253" spans="1:12" ht="64.05" customHeight="1" x14ac:dyDescent="0.3">
      <c r="A253" s="177" t="s">
        <v>106</v>
      </c>
      <c r="B253" s="177">
        <v>2024</v>
      </c>
      <c r="C253" s="177" t="s">
        <v>9036</v>
      </c>
      <c r="D253" s="177" t="s">
        <v>9149</v>
      </c>
      <c r="E253" s="190">
        <f>-MLCF!G85</f>
        <v>45488.063999999998</v>
      </c>
      <c r="F253" s="190">
        <f>AVERAGE(MLCF!F65,MLCF!G65)</f>
        <v>14667.1505</v>
      </c>
      <c r="G253" s="190">
        <f t="shared" si="6"/>
        <v>3.1013565995658121</v>
      </c>
      <c r="H253" s="190">
        <v>12.76</v>
      </c>
      <c r="I253" s="177" t="str">
        <f t="shared" si="7"/>
        <v>No fit</v>
      </c>
      <c r="J253" s="177">
        <v>2</v>
      </c>
      <c r="K253" s="184" t="s">
        <v>171</v>
      </c>
      <c r="L253" s="184" t="s">
        <v>172</v>
      </c>
    </row>
    <row r="254" spans="1:12" ht="64.05" customHeight="1" x14ac:dyDescent="0.3">
      <c r="A254" s="180" t="s">
        <v>106</v>
      </c>
      <c r="B254" s="180">
        <v>2025</v>
      </c>
      <c r="C254" s="180" t="s">
        <v>9036</v>
      </c>
      <c r="D254" s="180" t="s">
        <v>9148</v>
      </c>
      <c r="E254" s="189">
        <f>-MLCF!H85</f>
        <v>45195.63</v>
      </c>
      <c r="F254" s="189">
        <f>MLCF!H65</f>
        <v>16904.300999999999</v>
      </c>
      <c r="G254" s="189">
        <f t="shared" si="6"/>
        <v>2.6736172054674134</v>
      </c>
      <c r="H254" s="189">
        <v>11.74</v>
      </c>
      <c r="I254" s="180" t="str">
        <f t="shared" si="7"/>
        <v>No fit</v>
      </c>
      <c r="J254" s="180">
        <v>2</v>
      </c>
      <c r="K254" s="183" t="s">
        <v>171</v>
      </c>
      <c r="L254" s="183" t="s">
        <v>172</v>
      </c>
    </row>
    <row r="255" spans="1:12" ht="64.05" customHeight="1" x14ac:dyDescent="0.3">
      <c r="A255" s="177" t="s">
        <v>106</v>
      </c>
      <c r="B255" s="177">
        <v>2025</v>
      </c>
      <c r="C255" s="177" t="s">
        <v>9036</v>
      </c>
      <c r="D255" s="177" t="s">
        <v>9149</v>
      </c>
      <c r="E255" s="190">
        <f>-MLCF!H85</f>
        <v>45195.63</v>
      </c>
      <c r="F255" s="190">
        <f>AVERAGE(MLCF!G65,MLCF!H65)</f>
        <v>16219.071</v>
      </c>
      <c r="G255" s="190">
        <f t="shared" si="6"/>
        <v>2.7865732877055658</v>
      </c>
      <c r="H255" s="190">
        <v>11.74</v>
      </c>
      <c r="I255" s="177" t="str">
        <f t="shared" si="7"/>
        <v>No fit</v>
      </c>
      <c r="J255" s="177">
        <v>2</v>
      </c>
      <c r="K255" s="184" t="s">
        <v>171</v>
      </c>
      <c r="L255" s="184" t="s">
        <v>172</v>
      </c>
    </row>
    <row r="256" spans="1:12" ht="64.05" customHeight="1" x14ac:dyDescent="0.3">
      <c r="A256" s="180" t="s">
        <v>106</v>
      </c>
      <c r="B256" s="180">
        <v>2021</v>
      </c>
      <c r="C256" s="180" t="s">
        <v>9039</v>
      </c>
      <c r="D256" s="180" t="s">
        <v>9148</v>
      </c>
      <c r="E256" s="189">
        <f>MLCF!D84</f>
        <v>35538.300999999999</v>
      </c>
      <c r="F256" s="189">
        <f>MLCF!D32</f>
        <v>1679.704</v>
      </c>
      <c r="G256" s="189">
        <f t="shared" si="6"/>
        <v>21.15747834142206</v>
      </c>
      <c r="H256" s="189">
        <v>15.02</v>
      </c>
      <c r="I256" s="180" t="str">
        <f t="shared" si="7"/>
        <v>No fit</v>
      </c>
      <c r="J256" s="180">
        <v>2</v>
      </c>
      <c r="K256" s="183" t="s">
        <v>171</v>
      </c>
      <c r="L256" s="183" t="s">
        <v>148</v>
      </c>
    </row>
    <row r="257" spans="1:12" ht="64.05" customHeight="1" x14ac:dyDescent="0.3">
      <c r="A257" s="177" t="s">
        <v>106</v>
      </c>
      <c r="B257" s="177">
        <v>2021</v>
      </c>
      <c r="C257" s="177" t="s">
        <v>9039</v>
      </c>
      <c r="D257" s="177" t="s">
        <v>9149</v>
      </c>
      <c r="E257" s="190">
        <f>MLCF!D84</f>
        <v>35538.300999999999</v>
      </c>
      <c r="F257" s="190">
        <f>AVERAGE(MLCF!C32,MLCF!D32)</f>
        <v>2365.9169999999999</v>
      </c>
      <c r="G257" s="190">
        <f t="shared" si="6"/>
        <v>15.020941563038772</v>
      </c>
      <c r="H257" s="190">
        <v>15.02</v>
      </c>
      <c r="I257" s="177" t="str">
        <f t="shared" si="7"/>
        <v>Numeric fit</v>
      </c>
      <c r="J257" s="177">
        <v>2</v>
      </c>
      <c r="K257" s="184" t="s">
        <v>171</v>
      </c>
      <c r="L257" s="184" t="s">
        <v>148</v>
      </c>
    </row>
    <row r="258" spans="1:12" ht="64.05" customHeight="1" x14ac:dyDescent="0.3">
      <c r="A258" s="180" t="s">
        <v>106</v>
      </c>
      <c r="B258" s="180">
        <v>2022</v>
      </c>
      <c r="C258" s="180" t="s">
        <v>9039</v>
      </c>
      <c r="D258" s="180" t="s">
        <v>9148</v>
      </c>
      <c r="E258" s="189">
        <f>MLCF!E84</f>
        <v>48519.622000000003</v>
      </c>
      <c r="F258" s="189">
        <f>MLCF!E32</f>
        <v>2066.212</v>
      </c>
      <c r="G258" s="189">
        <f t="shared" si="6"/>
        <v>23.482402580180544</v>
      </c>
      <c r="H258" s="189">
        <v>25.91</v>
      </c>
      <c r="I258" s="180" t="str">
        <f t="shared" si="7"/>
        <v>No fit</v>
      </c>
      <c r="J258" s="180">
        <v>2</v>
      </c>
      <c r="K258" s="183" t="s">
        <v>171</v>
      </c>
      <c r="L258" s="183" t="s">
        <v>148</v>
      </c>
    </row>
    <row r="259" spans="1:12" ht="64.05" customHeight="1" x14ac:dyDescent="0.3">
      <c r="A259" s="177" t="s">
        <v>106</v>
      </c>
      <c r="B259" s="177">
        <v>2022</v>
      </c>
      <c r="C259" s="177" t="s">
        <v>9039</v>
      </c>
      <c r="D259" s="177" t="s">
        <v>9149</v>
      </c>
      <c r="E259" s="190">
        <f>MLCF!E84</f>
        <v>48519.622000000003</v>
      </c>
      <c r="F259" s="190">
        <f>AVERAGE(MLCF!D32,MLCF!E32)</f>
        <v>1872.9580000000001</v>
      </c>
      <c r="G259" s="190">
        <f t="shared" si="6"/>
        <v>25.905344380386534</v>
      </c>
      <c r="H259" s="190">
        <v>25.91</v>
      </c>
      <c r="I259" s="177" t="str">
        <f t="shared" si="7"/>
        <v>Numeric fit</v>
      </c>
      <c r="J259" s="177">
        <v>2</v>
      </c>
      <c r="K259" s="184" t="s">
        <v>171</v>
      </c>
      <c r="L259" s="184" t="s">
        <v>148</v>
      </c>
    </row>
    <row r="260" spans="1:12" ht="64.05" customHeight="1" x14ac:dyDescent="0.3">
      <c r="A260" s="180" t="s">
        <v>106</v>
      </c>
      <c r="B260" s="180">
        <v>2023</v>
      </c>
      <c r="C260" s="180" t="s">
        <v>9039</v>
      </c>
      <c r="D260" s="180" t="s">
        <v>9148</v>
      </c>
      <c r="E260" s="189">
        <f>MLCF!F84</f>
        <v>62075.258999999998</v>
      </c>
      <c r="F260" s="189">
        <f>MLCF!F32</f>
        <v>2600.9850000000001</v>
      </c>
      <c r="G260" s="189">
        <f t="shared" si="6"/>
        <v>23.86605805108449</v>
      </c>
      <c r="H260" s="189">
        <v>26.6</v>
      </c>
      <c r="I260" s="180" t="str">
        <f t="shared" si="7"/>
        <v>No fit</v>
      </c>
      <c r="J260" s="180">
        <v>2</v>
      </c>
      <c r="K260" s="183" t="s">
        <v>171</v>
      </c>
      <c r="L260" s="183" t="s">
        <v>148</v>
      </c>
    </row>
    <row r="261" spans="1:12" ht="64.05" customHeight="1" x14ac:dyDescent="0.3">
      <c r="A261" s="177" t="s">
        <v>106</v>
      </c>
      <c r="B261" s="177">
        <v>2023</v>
      </c>
      <c r="C261" s="177" t="s">
        <v>9039</v>
      </c>
      <c r="D261" s="177" t="s">
        <v>9149</v>
      </c>
      <c r="E261" s="190">
        <f>MLCF!F84</f>
        <v>62075.258999999998</v>
      </c>
      <c r="F261" s="190">
        <f>AVERAGE(MLCF!E32,MLCF!F32)</f>
        <v>2333.5985000000001</v>
      </c>
      <c r="G261" s="190">
        <f t="shared" si="6"/>
        <v>26.600659453629234</v>
      </c>
      <c r="H261" s="190">
        <v>26.6</v>
      </c>
      <c r="I261" s="177" t="str">
        <f t="shared" si="7"/>
        <v>Numeric fit</v>
      </c>
      <c r="J261" s="177">
        <v>2</v>
      </c>
      <c r="K261" s="184" t="s">
        <v>171</v>
      </c>
      <c r="L261" s="184" t="s">
        <v>148</v>
      </c>
    </row>
    <row r="262" spans="1:12" ht="64.05" customHeight="1" x14ac:dyDescent="0.3">
      <c r="A262" s="180" t="s">
        <v>106</v>
      </c>
      <c r="B262" s="180">
        <v>2024</v>
      </c>
      <c r="C262" s="180" t="s">
        <v>9039</v>
      </c>
      <c r="D262" s="180" t="s">
        <v>9148</v>
      </c>
      <c r="E262" s="189">
        <f>MLCF!G84</f>
        <v>66452.347999999998</v>
      </c>
      <c r="F262" s="189">
        <f>MLCF!G32</f>
        <v>4188.7449999999999</v>
      </c>
      <c r="G262" s="189">
        <f t="shared" ref="G262:G325" si="8">IF(AND(ISNUMBER(E262),ISNUMBER(F262),F262&lt;&gt;0),E262/F262,"n/m")</f>
        <v>15.864500703671386</v>
      </c>
      <c r="H262" s="189">
        <v>19.57</v>
      </c>
      <c r="I262" s="180" t="str">
        <f t="shared" ref="I262:I325" si="9">IF(ISNUMBER(H262),IF(ROUND(G262,J262)=ROUND(H262,J262),"Numeric fit","No fit"),"No identical published series")</f>
        <v>No fit</v>
      </c>
      <c r="J262" s="180">
        <v>2</v>
      </c>
      <c r="K262" s="183" t="s">
        <v>171</v>
      </c>
      <c r="L262" s="183" t="s">
        <v>148</v>
      </c>
    </row>
    <row r="263" spans="1:12" ht="64.05" customHeight="1" x14ac:dyDescent="0.3">
      <c r="A263" s="177" t="s">
        <v>106</v>
      </c>
      <c r="B263" s="177">
        <v>2024</v>
      </c>
      <c r="C263" s="177" t="s">
        <v>9039</v>
      </c>
      <c r="D263" s="177" t="s">
        <v>9149</v>
      </c>
      <c r="E263" s="190">
        <f>MLCF!G84</f>
        <v>66452.347999999998</v>
      </c>
      <c r="F263" s="190">
        <f>AVERAGE(MLCF!F32,MLCF!G32)</f>
        <v>3394.8649999999998</v>
      </c>
      <c r="G263" s="190">
        <f t="shared" si="8"/>
        <v>19.574371293114748</v>
      </c>
      <c r="H263" s="190">
        <v>19.57</v>
      </c>
      <c r="I263" s="177" t="str">
        <f t="shared" si="9"/>
        <v>Numeric fit</v>
      </c>
      <c r="J263" s="177">
        <v>2</v>
      </c>
      <c r="K263" s="184" t="s">
        <v>171</v>
      </c>
      <c r="L263" s="184" t="s">
        <v>148</v>
      </c>
    </row>
    <row r="264" spans="1:12" ht="64.05" customHeight="1" x14ac:dyDescent="0.3">
      <c r="A264" s="180" t="s">
        <v>106</v>
      </c>
      <c r="B264" s="180">
        <v>2025</v>
      </c>
      <c r="C264" s="180" t="s">
        <v>9039</v>
      </c>
      <c r="D264" s="180" t="s">
        <v>9148</v>
      </c>
      <c r="E264" s="189">
        <f>MLCF!H84</f>
        <v>68942.445999999996</v>
      </c>
      <c r="F264" s="189">
        <f>MLCF!H32</f>
        <v>4610.1819999999998</v>
      </c>
      <c r="G264" s="189">
        <f t="shared" si="8"/>
        <v>14.954387050229254</v>
      </c>
      <c r="H264" s="189">
        <v>15.67</v>
      </c>
      <c r="I264" s="180" t="str">
        <f t="shared" si="9"/>
        <v>No fit</v>
      </c>
      <c r="J264" s="180">
        <v>2</v>
      </c>
      <c r="K264" s="183" t="s">
        <v>171</v>
      </c>
      <c r="L264" s="183" t="s">
        <v>148</v>
      </c>
    </row>
    <row r="265" spans="1:12" ht="64.05" customHeight="1" x14ac:dyDescent="0.3">
      <c r="A265" s="177" t="s">
        <v>106</v>
      </c>
      <c r="B265" s="177">
        <v>2025</v>
      </c>
      <c r="C265" s="177" t="s">
        <v>9039</v>
      </c>
      <c r="D265" s="177" t="s">
        <v>9149</v>
      </c>
      <c r="E265" s="190">
        <f>MLCF!H84</f>
        <v>68942.445999999996</v>
      </c>
      <c r="F265" s="190">
        <f>AVERAGE(MLCF!G32,MLCF!H32)</f>
        <v>4399.4634999999998</v>
      </c>
      <c r="G265" s="190">
        <f t="shared" si="8"/>
        <v>15.67064847793373</v>
      </c>
      <c r="H265" s="190">
        <v>15.67</v>
      </c>
      <c r="I265" s="177" t="str">
        <f t="shared" si="9"/>
        <v>Numeric fit</v>
      </c>
      <c r="J265" s="177">
        <v>2</v>
      </c>
      <c r="K265" s="184" t="s">
        <v>171</v>
      </c>
      <c r="L265" s="184" t="s">
        <v>148</v>
      </c>
    </row>
    <row r="266" spans="1:12" ht="64.05" customHeight="1" x14ac:dyDescent="0.3">
      <c r="A266" s="180" t="s">
        <v>106</v>
      </c>
      <c r="B266" s="180">
        <v>2021</v>
      </c>
      <c r="C266" s="180" t="s">
        <v>9079</v>
      </c>
      <c r="D266" s="180" t="s">
        <v>9148</v>
      </c>
      <c r="E266" s="189">
        <f>MLCF!D99</f>
        <v>6254.1089999999967</v>
      </c>
      <c r="F266" s="189">
        <f>MLCF!D41</f>
        <v>37542.540999999997</v>
      </c>
      <c r="G266" s="189">
        <f t="shared" si="8"/>
        <v>0.16658725897109622</v>
      </c>
      <c r="H266" s="189">
        <v>0.1666</v>
      </c>
      <c r="I266" s="180" t="str">
        <f t="shared" si="9"/>
        <v>Numeric fit</v>
      </c>
      <c r="J266" s="180">
        <v>4</v>
      </c>
      <c r="K266" s="183" t="s">
        <v>171</v>
      </c>
      <c r="L266" s="183" t="s">
        <v>54</v>
      </c>
    </row>
    <row r="267" spans="1:12" ht="64.05" customHeight="1" x14ac:dyDescent="0.3">
      <c r="A267" s="177" t="s">
        <v>106</v>
      </c>
      <c r="B267" s="177">
        <v>2021</v>
      </c>
      <c r="C267" s="177" t="s">
        <v>9079</v>
      </c>
      <c r="D267" s="177" t="s">
        <v>9149</v>
      </c>
      <c r="E267" s="190">
        <f>MLCF!D99</f>
        <v>6254.1089999999967</v>
      </c>
      <c r="F267" s="190">
        <f>AVERAGE(MLCF!C41,MLCF!D41)</f>
        <v>34431.686000000002</v>
      </c>
      <c r="G267" s="190">
        <f t="shared" si="8"/>
        <v>0.18163818640771748</v>
      </c>
      <c r="H267" s="190">
        <v>0.1666</v>
      </c>
      <c r="I267" s="177" t="str">
        <f t="shared" si="9"/>
        <v>No fit</v>
      </c>
      <c r="J267" s="177">
        <v>4</v>
      </c>
      <c r="K267" s="184" t="s">
        <v>171</v>
      </c>
      <c r="L267" s="184" t="s">
        <v>54</v>
      </c>
    </row>
    <row r="268" spans="1:12" ht="64.05" customHeight="1" x14ac:dyDescent="0.3">
      <c r="A268" s="180" t="s">
        <v>106</v>
      </c>
      <c r="B268" s="180">
        <v>2022</v>
      </c>
      <c r="C268" s="180" t="s">
        <v>9079</v>
      </c>
      <c r="D268" s="180" t="s">
        <v>9148</v>
      </c>
      <c r="E268" s="189">
        <f>MLCF!E99</f>
        <v>3626.3400000000006</v>
      </c>
      <c r="F268" s="189">
        <f>MLCF!E41</f>
        <v>40559.014999999999</v>
      </c>
      <c r="G268" s="189">
        <f t="shared" si="8"/>
        <v>8.9408976031592494E-2</v>
      </c>
      <c r="H268" s="189">
        <v>8.9399999999999993E-2</v>
      </c>
      <c r="I268" s="180" t="str">
        <f t="shared" si="9"/>
        <v>Numeric fit</v>
      </c>
      <c r="J268" s="180">
        <v>4</v>
      </c>
      <c r="K268" s="183" t="s">
        <v>171</v>
      </c>
      <c r="L268" s="183" t="s">
        <v>54</v>
      </c>
    </row>
    <row r="269" spans="1:12" ht="64.05" customHeight="1" x14ac:dyDescent="0.3">
      <c r="A269" s="177" t="s">
        <v>106</v>
      </c>
      <c r="B269" s="177">
        <v>2022</v>
      </c>
      <c r="C269" s="177" t="s">
        <v>9079</v>
      </c>
      <c r="D269" s="177" t="s">
        <v>9149</v>
      </c>
      <c r="E269" s="190">
        <f>MLCF!E99</f>
        <v>3626.3400000000006</v>
      </c>
      <c r="F269" s="190">
        <f>AVERAGE(MLCF!D41,MLCF!E41)</f>
        <v>39050.777999999998</v>
      </c>
      <c r="G269" s="190">
        <f t="shared" si="8"/>
        <v>9.286217037724577E-2</v>
      </c>
      <c r="H269" s="190">
        <v>8.9399999999999993E-2</v>
      </c>
      <c r="I269" s="177" t="str">
        <f t="shared" si="9"/>
        <v>No fit</v>
      </c>
      <c r="J269" s="177">
        <v>4</v>
      </c>
      <c r="K269" s="184" t="s">
        <v>171</v>
      </c>
      <c r="L269" s="184" t="s">
        <v>54</v>
      </c>
    </row>
    <row r="270" spans="1:12" ht="64.05" customHeight="1" x14ac:dyDescent="0.3">
      <c r="A270" s="180" t="s">
        <v>106</v>
      </c>
      <c r="B270" s="180">
        <v>2023</v>
      </c>
      <c r="C270" s="180" t="s">
        <v>9079</v>
      </c>
      <c r="D270" s="180" t="s">
        <v>9148</v>
      </c>
      <c r="E270" s="189">
        <f>MLCF!F99</f>
        <v>4491.668999999999</v>
      </c>
      <c r="F270" s="189">
        <f>MLCF!F41</f>
        <v>44913.114000000001</v>
      </c>
      <c r="G270" s="189">
        <f t="shared" si="8"/>
        <v>0.10000796203977304</v>
      </c>
      <c r="H270" s="189">
        <v>0.1</v>
      </c>
      <c r="I270" s="180" t="str">
        <f t="shared" si="9"/>
        <v>Numeric fit</v>
      </c>
      <c r="J270" s="180">
        <v>4</v>
      </c>
      <c r="K270" s="183" t="s">
        <v>171</v>
      </c>
      <c r="L270" s="183" t="s">
        <v>54</v>
      </c>
    </row>
    <row r="271" spans="1:12" ht="64.05" customHeight="1" x14ac:dyDescent="0.3">
      <c r="A271" s="177" t="s">
        <v>106</v>
      </c>
      <c r="B271" s="177">
        <v>2023</v>
      </c>
      <c r="C271" s="177" t="s">
        <v>9079</v>
      </c>
      <c r="D271" s="177" t="s">
        <v>9149</v>
      </c>
      <c r="E271" s="190">
        <f>MLCF!F99</f>
        <v>4491.668999999999</v>
      </c>
      <c r="F271" s="190">
        <f>AVERAGE(MLCF!E41,MLCF!F41)</f>
        <v>42736.0645</v>
      </c>
      <c r="G271" s="190">
        <f t="shared" si="8"/>
        <v>0.10510254167180039</v>
      </c>
      <c r="H271" s="190">
        <v>0.1</v>
      </c>
      <c r="I271" s="177" t="str">
        <f t="shared" si="9"/>
        <v>No fit</v>
      </c>
      <c r="J271" s="177">
        <v>4</v>
      </c>
      <c r="K271" s="184" t="s">
        <v>171</v>
      </c>
      <c r="L271" s="184" t="s">
        <v>54</v>
      </c>
    </row>
    <row r="272" spans="1:12" ht="64.05" customHeight="1" x14ac:dyDescent="0.3">
      <c r="A272" s="180" t="s">
        <v>106</v>
      </c>
      <c r="B272" s="180">
        <v>2024</v>
      </c>
      <c r="C272" s="180" t="s">
        <v>9079</v>
      </c>
      <c r="D272" s="180" t="s">
        <v>9148</v>
      </c>
      <c r="E272" s="189">
        <f>MLCF!G99</f>
        <v>5272.5269999999982</v>
      </c>
      <c r="F272" s="189">
        <f>MLCF!G41</f>
        <v>52615.907999999996</v>
      </c>
      <c r="G272" s="189">
        <f t="shared" si="8"/>
        <v>0.10020784968682853</v>
      </c>
      <c r="H272" s="189">
        <v>0.1002</v>
      </c>
      <c r="I272" s="180" t="str">
        <f t="shared" si="9"/>
        <v>Numeric fit</v>
      </c>
      <c r="J272" s="180">
        <v>4</v>
      </c>
      <c r="K272" s="183" t="s">
        <v>171</v>
      </c>
      <c r="L272" s="183" t="s">
        <v>54</v>
      </c>
    </row>
    <row r="273" spans="1:12" ht="64.05" customHeight="1" x14ac:dyDescent="0.3">
      <c r="A273" s="177" t="s">
        <v>106</v>
      </c>
      <c r="B273" s="177">
        <v>2024</v>
      </c>
      <c r="C273" s="177" t="s">
        <v>9079</v>
      </c>
      <c r="D273" s="177" t="s">
        <v>9149</v>
      </c>
      <c r="E273" s="190">
        <f>MLCF!G99</f>
        <v>5272.5269999999982</v>
      </c>
      <c r="F273" s="190">
        <f>AVERAGE(MLCF!F41,MLCF!G41)</f>
        <v>48764.510999999999</v>
      </c>
      <c r="G273" s="190">
        <f t="shared" si="8"/>
        <v>0.10812221617479151</v>
      </c>
      <c r="H273" s="190">
        <v>0.1002</v>
      </c>
      <c r="I273" s="177" t="str">
        <f t="shared" si="9"/>
        <v>No fit</v>
      </c>
      <c r="J273" s="177">
        <v>4</v>
      </c>
      <c r="K273" s="184" t="s">
        <v>171</v>
      </c>
      <c r="L273" s="184" t="s">
        <v>54</v>
      </c>
    </row>
    <row r="274" spans="1:12" ht="64.05" customHeight="1" x14ac:dyDescent="0.3">
      <c r="A274" s="180" t="s">
        <v>106</v>
      </c>
      <c r="B274" s="180">
        <v>2025</v>
      </c>
      <c r="C274" s="180" t="s">
        <v>9079</v>
      </c>
      <c r="D274" s="180" t="s">
        <v>9148</v>
      </c>
      <c r="E274" s="189">
        <f>MLCF!H99</f>
        <v>17036.373999999996</v>
      </c>
      <c r="F274" s="189">
        <f>MLCF!H41</f>
        <v>71461.592000000004</v>
      </c>
      <c r="G274" s="189">
        <f t="shared" si="8"/>
        <v>0.2383990269906105</v>
      </c>
      <c r="H274" s="189">
        <v>0.2384</v>
      </c>
      <c r="I274" s="180" t="str">
        <f t="shared" si="9"/>
        <v>Numeric fit</v>
      </c>
      <c r="J274" s="180">
        <v>4</v>
      </c>
      <c r="K274" s="183" t="s">
        <v>171</v>
      </c>
      <c r="L274" s="183" t="s">
        <v>54</v>
      </c>
    </row>
    <row r="275" spans="1:12" ht="64.05" customHeight="1" x14ac:dyDescent="0.3">
      <c r="A275" s="177" t="s">
        <v>106</v>
      </c>
      <c r="B275" s="177">
        <v>2025</v>
      </c>
      <c r="C275" s="177" t="s">
        <v>9079</v>
      </c>
      <c r="D275" s="177" t="s">
        <v>9149</v>
      </c>
      <c r="E275" s="190">
        <f>MLCF!H99</f>
        <v>17036.373999999996</v>
      </c>
      <c r="F275" s="190">
        <f>AVERAGE(MLCF!G41,MLCF!H41)</f>
        <v>62038.75</v>
      </c>
      <c r="G275" s="190">
        <f t="shared" si="8"/>
        <v>0.2746085954343051</v>
      </c>
      <c r="H275" s="190">
        <v>0.2384</v>
      </c>
      <c r="I275" s="177" t="str">
        <f t="shared" si="9"/>
        <v>No fit</v>
      </c>
      <c r="J275" s="177">
        <v>4</v>
      </c>
      <c r="K275" s="184" t="s">
        <v>171</v>
      </c>
      <c r="L275" s="184" t="s">
        <v>54</v>
      </c>
    </row>
    <row r="276" spans="1:12" ht="64.05" customHeight="1" x14ac:dyDescent="0.3">
      <c r="A276" s="180" t="s">
        <v>114</v>
      </c>
      <c r="B276" s="180">
        <v>2021</v>
      </c>
      <c r="C276" s="180" t="s">
        <v>9042</v>
      </c>
      <c r="D276" s="180" t="s">
        <v>9148</v>
      </c>
      <c r="E276" s="189">
        <f>365*FCCL!D65</f>
        <v>1985582.48</v>
      </c>
      <c r="F276" s="189">
        <f>-FCCL!D85</f>
        <v>18206.88</v>
      </c>
      <c r="G276" s="189">
        <f t="shared" si="8"/>
        <v>109.0567126273145</v>
      </c>
      <c r="H276" s="189">
        <v>24</v>
      </c>
      <c r="I276" s="180" t="str">
        <f t="shared" si="9"/>
        <v>No fit</v>
      </c>
      <c r="J276" s="180">
        <v>0</v>
      </c>
      <c r="K276" s="183" t="s">
        <v>182</v>
      </c>
      <c r="L276" s="183" t="s">
        <v>109</v>
      </c>
    </row>
    <row r="277" spans="1:12" ht="64.05" customHeight="1" x14ac:dyDescent="0.3">
      <c r="A277" s="177" t="s">
        <v>114</v>
      </c>
      <c r="B277" s="177">
        <v>2021</v>
      </c>
      <c r="C277" s="177" t="s">
        <v>9042</v>
      </c>
      <c r="D277" s="177" t="s">
        <v>9149</v>
      </c>
      <c r="E277" s="190">
        <f>365*AVERAGE(FCCL!C65,FCCL!D65)</f>
        <v>1849366.1224999998</v>
      </c>
      <c r="F277" s="190">
        <f>-FCCL!D85</f>
        <v>18206.88</v>
      </c>
      <c r="G277" s="190">
        <f t="shared" si="8"/>
        <v>101.57512558439446</v>
      </c>
      <c r="H277" s="190">
        <v>24</v>
      </c>
      <c r="I277" s="177" t="str">
        <f t="shared" si="9"/>
        <v>No fit</v>
      </c>
      <c r="J277" s="177">
        <v>0</v>
      </c>
      <c r="K277" s="184" t="s">
        <v>182</v>
      </c>
      <c r="L277" s="184" t="s">
        <v>109</v>
      </c>
    </row>
    <row r="278" spans="1:12" ht="64.05" customHeight="1" x14ac:dyDescent="0.3">
      <c r="A278" s="180" t="s">
        <v>114</v>
      </c>
      <c r="B278" s="180">
        <v>2022</v>
      </c>
      <c r="C278" s="180" t="s">
        <v>9042</v>
      </c>
      <c r="D278" s="180" t="s">
        <v>9148</v>
      </c>
      <c r="E278" s="189">
        <f>365*FCCL!E65</f>
        <v>5707456.8200000003</v>
      </c>
      <c r="F278" s="189">
        <f>-FCCL!E85</f>
        <v>38779.542000000001</v>
      </c>
      <c r="G278" s="189">
        <f t="shared" si="8"/>
        <v>147.17700430809626</v>
      </c>
      <c r="H278" s="189">
        <v>22</v>
      </c>
      <c r="I278" s="180" t="str">
        <f t="shared" si="9"/>
        <v>No fit</v>
      </c>
      <c r="J278" s="180">
        <v>0</v>
      </c>
      <c r="K278" s="183" t="s">
        <v>182</v>
      </c>
      <c r="L278" s="183" t="s">
        <v>184</v>
      </c>
    </row>
    <row r="279" spans="1:12" ht="64.05" customHeight="1" x14ac:dyDescent="0.3">
      <c r="A279" s="177" t="s">
        <v>114</v>
      </c>
      <c r="B279" s="177">
        <v>2022</v>
      </c>
      <c r="C279" s="177" t="s">
        <v>9042</v>
      </c>
      <c r="D279" s="177" t="s">
        <v>9149</v>
      </c>
      <c r="E279" s="190">
        <f>365*AVERAGE(FCCL!D65,FCCL!E65)</f>
        <v>3846519.65</v>
      </c>
      <c r="F279" s="190">
        <f>-FCCL!E85</f>
        <v>38779.542000000001</v>
      </c>
      <c r="G279" s="190">
        <f t="shared" si="8"/>
        <v>99.189403784088</v>
      </c>
      <c r="H279" s="190">
        <v>22</v>
      </c>
      <c r="I279" s="177" t="str">
        <f t="shared" si="9"/>
        <v>No fit</v>
      </c>
      <c r="J279" s="177">
        <v>0</v>
      </c>
      <c r="K279" s="184" t="s">
        <v>182</v>
      </c>
      <c r="L279" s="184" t="s">
        <v>184</v>
      </c>
    </row>
    <row r="280" spans="1:12" ht="64.05" customHeight="1" x14ac:dyDescent="0.3">
      <c r="A280" s="180" t="s">
        <v>114</v>
      </c>
      <c r="B280" s="180">
        <v>2023</v>
      </c>
      <c r="C280" s="180" t="s">
        <v>9042</v>
      </c>
      <c r="D280" s="180" t="s">
        <v>9148</v>
      </c>
      <c r="E280" s="189">
        <f>365*FCCL!F65</f>
        <v>5520080.4199999999</v>
      </c>
      <c r="F280" s="189">
        <f>-FCCL!F85</f>
        <v>47650.809000000001</v>
      </c>
      <c r="G280" s="189">
        <f t="shared" si="8"/>
        <v>115.84442186490475</v>
      </c>
      <c r="H280" s="189">
        <v>41</v>
      </c>
      <c r="I280" s="180" t="str">
        <f t="shared" si="9"/>
        <v>No fit</v>
      </c>
      <c r="J280" s="180">
        <v>0</v>
      </c>
      <c r="K280" s="183" t="s">
        <v>182</v>
      </c>
      <c r="L280" s="183" t="s">
        <v>109</v>
      </c>
    </row>
    <row r="281" spans="1:12" ht="64.05" customHeight="1" x14ac:dyDescent="0.3">
      <c r="A281" s="177" t="s">
        <v>114</v>
      </c>
      <c r="B281" s="177">
        <v>2023</v>
      </c>
      <c r="C281" s="177" t="s">
        <v>9042</v>
      </c>
      <c r="D281" s="177" t="s">
        <v>9149</v>
      </c>
      <c r="E281" s="190">
        <f>365*AVERAGE(FCCL!E65,FCCL!F65)</f>
        <v>5613768.6200000001</v>
      </c>
      <c r="F281" s="190">
        <f>-FCCL!F85</f>
        <v>47650.809000000001</v>
      </c>
      <c r="G281" s="190">
        <f t="shared" si="8"/>
        <v>117.81056267061489</v>
      </c>
      <c r="H281" s="190">
        <v>41</v>
      </c>
      <c r="I281" s="177" t="str">
        <f t="shared" si="9"/>
        <v>No fit</v>
      </c>
      <c r="J281" s="177">
        <v>0</v>
      </c>
      <c r="K281" s="184" t="s">
        <v>182</v>
      </c>
      <c r="L281" s="184" t="s">
        <v>109</v>
      </c>
    </row>
    <row r="282" spans="1:12" ht="64.05" customHeight="1" x14ac:dyDescent="0.3">
      <c r="A282" s="180" t="s">
        <v>114</v>
      </c>
      <c r="B282" s="180">
        <v>2024</v>
      </c>
      <c r="C282" s="180" t="s">
        <v>9042</v>
      </c>
      <c r="D282" s="180" t="s">
        <v>9148</v>
      </c>
      <c r="E282" s="189">
        <f>365*FCCL!G65</f>
        <v>6057114.7749999994</v>
      </c>
      <c r="F282" s="189">
        <f>-FCCL!G85</f>
        <v>54345.821000000004</v>
      </c>
      <c r="G282" s="189">
        <f t="shared" si="8"/>
        <v>111.45502383706742</v>
      </c>
      <c r="H282" s="189">
        <v>49</v>
      </c>
      <c r="I282" s="180" t="str">
        <f t="shared" si="9"/>
        <v>No fit</v>
      </c>
      <c r="J282" s="180">
        <v>0</v>
      </c>
      <c r="K282" s="183" t="s">
        <v>182</v>
      </c>
      <c r="L282" s="183" t="s">
        <v>109</v>
      </c>
    </row>
    <row r="283" spans="1:12" ht="64.05" customHeight="1" x14ac:dyDescent="0.3">
      <c r="A283" s="177" t="s">
        <v>114</v>
      </c>
      <c r="B283" s="177">
        <v>2024</v>
      </c>
      <c r="C283" s="177" t="s">
        <v>9042</v>
      </c>
      <c r="D283" s="177" t="s">
        <v>9149</v>
      </c>
      <c r="E283" s="190">
        <f>365*AVERAGE(FCCL!F65,FCCL!G65)</f>
        <v>5788597.5975000001</v>
      </c>
      <c r="F283" s="190">
        <f>-FCCL!G85</f>
        <v>54345.821000000004</v>
      </c>
      <c r="G283" s="190">
        <f t="shared" si="8"/>
        <v>106.51412548353994</v>
      </c>
      <c r="H283" s="190">
        <v>49</v>
      </c>
      <c r="I283" s="177" t="str">
        <f t="shared" si="9"/>
        <v>No fit</v>
      </c>
      <c r="J283" s="177">
        <v>0</v>
      </c>
      <c r="K283" s="184" t="s">
        <v>182</v>
      </c>
      <c r="L283" s="184" t="s">
        <v>109</v>
      </c>
    </row>
    <row r="284" spans="1:12" ht="64.05" customHeight="1" x14ac:dyDescent="0.3">
      <c r="A284" s="180" t="s">
        <v>114</v>
      </c>
      <c r="B284" s="180">
        <v>2025</v>
      </c>
      <c r="C284" s="180" t="s">
        <v>9042</v>
      </c>
      <c r="D284" s="180" t="s">
        <v>9148</v>
      </c>
      <c r="E284" s="189">
        <f>365*FCCL!H65</f>
        <v>7195838.125</v>
      </c>
      <c r="F284" s="189">
        <f>-FCCL!H85</f>
        <v>57384.978000000003</v>
      </c>
      <c r="G284" s="189">
        <f t="shared" si="8"/>
        <v>125.39585054820444</v>
      </c>
      <c r="H284" s="189">
        <v>54</v>
      </c>
      <c r="I284" s="180" t="str">
        <f t="shared" si="9"/>
        <v>No fit</v>
      </c>
      <c r="J284" s="180">
        <v>0</v>
      </c>
      <c r="K284" s="183" t="s">
        <v>182</v>
      </c>
      <c r="L284" s="183" t="s">
        <v>109</v>
      </c>
    </row>
    <row r="285" spans="1:12" ht="64.05" customHeight="1" x14ac:dyDescent="0.3">
      <c r="A285" s="177" t="s">
        <v>114</v>
      </c>
      <c r="B285" s="177">
        <v>2025</v>
      </c>
      <c r="C285" s="177" t="s">
        <v>9042</v>
      </c>
      <c r="D285" s="177" t="s">
        <v>9149</v>
      </c>
      <c r="E285" s="190">
        <f>365*AVERAGE(FCCL!G65,FCCL!H65)</f>
        <v>6626476.4500000002</v>
      </c>
      <c r="F285" s="190">
        <f>-FCCL!H85</f>
        <v>57384.978000000003</v>
      </c>
      <c r="G285" s="190">
        <f t="shared" si="8"/>
        <v>115.47406099903009</v>
      </c>
      <c r="H285" s="190">
        <v>54</v>
      </c>
      <c r="I285" s="177" t="str">
        <f t="shared" si="9"/>
        <v>No fit</v>
      </c>
      <c r="J285" s="177">
        <v>0</v>
      </c>
      <c r="K285" s="184" t="s">
        <v>182</v>
      </c>
      <c r="L285" s="184" t="s">
        <v>109</v>
      </c>
    </row>
    <row r="286" spans="1:12" ht="64.05" customHeight="1" x14ac:dyDescent="0.3">
      <c r="A286" s="180" t="s">
        <v>114</v>
      </c>
      <c r="B286" s="180">
        <v>2021</v>
      </c>
      <c r="C286" s="180" t="s">
        <v>9045</v>
      </c>
      <c r="D286" s="180" t="s">
        <v>9148</v>
      </c>
      <c r="E286" s="189">
        <f>365*FCCL!D32</f>
        <v>529104</v>
      </c>
      <c r="F286" s="189">
        <f>FCCL!D84</f>
        <v>24271.285</v>
      </c>
      <c r="G286" s="189">
        <f t="shared" si="8"/>
        <v>21.799587454887536</v>
      </c>
      <c r="H286" s="189">
        <v>19</v>
      </c>
      <c r="I286" s="180" t="str">
        <f t="shared" si="9"/>
        <v>No fit</v>
      </c>
      <c r="J286" s="180">
        <v>0</v>
      </c>
      <c r="K286" s="183" t="s">
        <v>182</v>
      </c>
      <c r="L286" s="183" t="s">
        <v>72</v>
      </c>
    </row>
    <row r="287" spans="1:12" ht="64.05" customHeight="1" x14ac:dyDescent="0.3">
      <c r="A287" s="177" t="s">
        <v>114</v>
      </c>
      <c r="B287" s="177">
        <v>2021</v>
      </c>
      <c r="C287" s="177" t="s">
        <v>9045</v>
      </c>
      <c r="D287" s="177" t="s">
        <v>9149</v>
      </c>
      <c r="E287" s="190">
        <f>365*AVERAGE(FCCL!C32,FCCL!D32)</f>
        <v>456293.8</v>
      </c>
      <c r="F287" s="190">
        <f>FCCL!D84</f>
        <v>24271.285</v>
      </c>
      <c r="G287" s="190">
        <f t="shared" si="8"/>
        <v>18.799738044359827</v>
      </c>
      <c r="H287" s="190">
        <v>19</v>
      </c>
      <c r="I287" s="177" t="str">
        <f t="shared" si="9"/>
        <v>Numeric fit</v>
      </c>
      <c r="J287" s="177">
        <v>0</v>
      </c>
      <c r="K287" s="184" t="s">
        <v>182</v>
      </c>
      <c r="L287" s="184" t="s">
        <v>72</v>
      </c>
    </row>
    <row r="288" spans="1:12" ht="64.05" customHeight="1" x14ac:dyDescent="0.3">
      <c r="A288" s="180" t="s">
        <v>114</v>
      </c>
      <c r="B288" s="180">
        <v>2022</v>
      </c>
      <c r="C288" s="180" t="s">
        <v>9045</v>
      </c>
      <c r="D288" s="180" t="s">
        <v>9148</v>
      </c>
      <c r="E288" s="189">
        <f>365*FCCL!E32</f>
        <v>880656.66999999993</v>
      </c>
      <c r="F288" s="189">
        <f>FCCL!E84</f>
        <v>54243.118000000002</v>
      </c>
      <c r="G288" s="189">
        <f t="shared" si="8"/>
        <v>16.235362244478644</v>
      </c>
      <c r="H288" s="189">
        <v>13</v>
      </c>
      <c r="I288" s="180" t="str">
        <f t="shared" si="9"/>
        <v>No fit</v>
      </c>
      <c r="J288" s="180">
        <v>0</v>
      </c>
      <c r="K288" s="183" t="s">
        <v>182</v>
      </c>
      <c r="L288" s="183" t="s">
        <v>72</v>
      </c>
    </row>
    <row r="289" spans="1:12" ht="64.05" customHeight="1" x14ac:dyDescent="0.3">
      <c r="A289" s="177" t="s">
        <v>114</v>
      </c>
      <c r="B289" s="177">
        <v>2022</v>
      </c>
      <c r="C289" s="177" t="s">
        <v>9045</v>
      </c>
      <c r="D289" s="177" t="s">
        <v>9149</v>
      </c>
      <c r="E289" s="190">
        <f>365*AVERAGE(FCCL!D32,FCCL!E32)</f>
        <v>704880.33499999996</v>
      </c>
      <c r="F289" s="190">
        <f>FCCL!E84</f>
        <v>54243.118000000002</v>
      </c>
      <c r="G289" s="190">
        <f t="shared" si="8"/>
        <v>12.994834386179642</v>
      </c>
      <c r="H289" s="190">
        <v>13</v>
      </c>
      <c r="I289" s="177" t="str">
        <f t="shared" si="9"/>
        <v>Numeric fit</v>
      </c>
      <c r="J289" s="177">
        <v>0</v>
      </c>
      <c r="K289" s="184" t="s">
        <v>182</v>
      </c>
      <c r="L289" s="184" t="s">
        <v>72</v>
      </c>
    </row>
    <row r="290" spans="1:12" ht="64.05" customHeight="1" x14ac:dyDescent="0.3">
      <c r="A290" s="180" t="s">
        <v>114</v>
      </c>
      <c r="B290" s="180">
        <v>2023</v>
      </c>
      <c r="C290" s="180" t="s">
        <v>9045</v>
      </c>
      <c r="D290" s="180" t="s">
        <v>9148</v>
      </c>
      <c r="E290" s="189">
        <f>365*FCCL!F32</f>
        <v>1303942.425</v>
      </c>
      <c r="F290" s="189">
        <f>FCCL!F84</f>
        <v>68069.282000000007</v>
      </c>
      <c r="G290" s="189">
        <f t="shared" si="8"/>
        <v>19.156106641465676</v>
      </c>
      <c r="H290" s="189">
        <v>18</v>
      </c>
      <c r="I290" s="180" t="str">
        <f t="shared" si="9"/>
        <v>No fit</v>
      </c>
      <c r="J290" s="180">
        <v>0</v>
      </c>
      <c r="K290" s="183" t="s">
        <v>182</v>
      </c>
      <c r="L290" s="183" t="s">
        <v>5969</v>
      </c>
    </row>
    <row r="291" spans="1:12" ht="64.05" customHeight="1" x14ac:dyDescent="0.3">
      <c r="A291" s="177" t="s">
        <v>114</v>
      </c>
      <c r="B291" s="177">
        <v>2023</v>
      </c>
      <c r="C291" s="177" t="s">
        <v>9045</v>
      </c>
      <c r="D291" s="177" t="s">
        <v>9149</v>
      </c>
      <c r="E291" s="190">
        <f>365*AVERAGE(FCCL!E32,FCCL!F32)</f>
        <v>1092299.5474999999</v>
      </c>
      <c r="F291" s="190">
        <f>FCCL!F84</f>
        <v>68069.282000000007</v>
      </c>
      <c r="G291" s="190">
        <f t="shared" si="8"/>
        <v>16.046879229606091</v>
      </c>
      <c r="H291" s="190">
        <v>18</v>
      </c>
      <c r="I291" s="177" t="str">
        <f t="shared" si="9"/>
        <v>No fit</v>
      </c>
      <c r="J291" s="177">
        <v>0</v>
      </c>
      <c r="K291" s="184" t="s">
        <v>182</v>
      </c>
      <c r="L291" s="184" t="s">
        <v>5969</v>
      </c>
    </row>
    <row r="292" spans="1:12" ht="64.05" customHeight="1" x14ac:dyDescent="0.3">
      <c r="A292" s="180" t="s">
        <v>114</v>
      </c>
      <c r="B292" s="180">
        <v>2024</v>
      </c>
      <c r="C292" s="180" t="s">
        <v>9045</v>
      </c>
      <c r="D292" s="180" t="s">
        <v>9148</v>
      </c>
      <c r="E292" s="189">
        <f>365*FCCL!G32</f>
        <v>2024012.9650000001</v>
      </c>
      <c r="F292" s="189">
        <f>FCCL!G84</f>
        <v>80026.225999999995</v>
      </c>
      <c r="G292" s="189">
        <f t="shared" si="8"/>
        <v>25.291870754969754</v>
      </c>
      <c r="H292" s="189">
        <v>26</v>
      </c>
      <c r="I292" s="180" t="str">
        <f t="shared" si="9"/>
        <v>No fit</v>
      </c>
      <c r="J292" s="180">
        <v>0</v>
      </c>
      <c r="K292" s="183" t="s">
        <v>182</v>
      </c>
      <c r="L292" s="183" t="s">
        <v>5969</v>
      </c>
    </row>
    <row r="293" spans="1:12" ht="64.05" customHeight="1" x14ac:dyDescent="0.3">
      <c r="A293" s="177" t="s">
        <v>114</v>
      </c>
      <c r="B293" s="177">
        <v>2024</v>
      </c>
      <c r="C293" s="177" t="s">
        <v>9045</v>
      </c>
      <c r="D293" s="177" t="s">
        <v>9149</v>
      </c>
      <c r="E293" s="190">
        <f>365*AVERAGE(FCCL!F32,FCCL!G32)</f>
        <v>1663977.6949999998</v>
      </c>
      <c r="F293" s="190">
        <f>FCCL!G84</f>
        <v>80026.225999999995</v>
      </c>
      <c r="G293" s="190">
        <f t="shared" si="8"/>
        <v>20.792904753499183</v>
      </c>
      <c r="H293" s="190">
        <v>26</v>
      </c>
      <c r="I293" s="177" t="str">
        <f t="shared" si="9"/>
        <v>No fit</v>
      </c>
      <c r="J293" s="177">
        <v>0</v>
      </c>
      <c r="K293" s="184" t="s">
        <v>182</v>
      </c>
      <c r="L293" s="184" t="s">
        <v>5969</v>
      </c>
    </row>
    <row r="294" spans="1:12" ht="64.05" customHeight="1" x14ac:dyDescent="0.3">
      <c r="A294" s="180" t="s">
        <v>114</v>
      </c>
      <c r="B294" s="180">
        <v>2025</v>
      </c>
      <c r="C294" s="180" t="s">
        <v>9045</v>
      </c>
      <c r="D294" s="180" t="s">
        <v>9148</v>
      </c>
      <c r="E294" s="189">
        <f>365*FCCL!H32</f>
        <v>2522632.5300000003</v>
      </c>
      <c r="F294" s="189">
        <f>FCCL!H84</f>
        <v>88956.327999999994</v>
      </c>
      <c r="G294" s="189">
        <f t="shared" si="8"/>
        <v>28.358100954886542</v>
      </c>
      <c r="H294" s="189">
        <v>23</v>
      </c>
      <c r="I294" s="180" t="str">
        <f t="shared" si="9"/>
        <v>No fit</v>
      </c>
      <c r="J294" s="180">
        <v>0</v>
      </c>
      <c r="K294" s="183" t="s">
        <v>182</v>
      </c>
      <c r="L294" s="183" t="s">
        <v>5969</v>
      </c>
    </row>
    <row r="295" spans="1:12" ht="64.05" customHeight="1" x14ac:dyDescent="0.3">
      <c r="A295" s="177" t="s">
        <v>114</v>
      </c>
      <c r="B295" s="177">
        <v>2025</v>
      </c>
      <c r="C295" s="177" t="s">
        <v>9045</v>
      </c>
      <c r="D295" s="177" t="s">
        <v>9149</v>
      </c>
      <c r="E295" s="190">
        <f>365*AVERAGE(FCCL!G32,FCCL!H32)</f>
        <v>2273322.7475000001</v>
      </c>
      <c r="F295" s="190">
        <f>FCCL!H84</f>
        <v>88956.327999999994</v>
      </c>
      <c r="G295" s="190">
        <f t="shared" si="8"/>
        <v>25.555492212987932</v>
      </c>
      <c r="H295" s="190">
        <v>23</v>
      </c>
      <c r="I295" s="177" t="str">
        <f t="shared" si="9"/>
        <v>No fit</v>
      </c>
      <c r="J295" s="177">
        <v>0</v>
      </c>
      <c r="K295" s="184" t="s">
        <v>182</v>
      </c>
      <c r="L295" s="184" t="s">
        <v>5969</v>
      </c>
    </row>
    <row r="296" spans="1:12" ht="64.05" customHeight="1" x14ac:dyDescent="0.3">
      <c r="A296" s="180" t="s">
        <v>114</v>
      </c>
      <c r="B296" s="180">
        <v>2021</v>
      </c>
      <c r="C296" s="180" t="s">
        <v>9052</v>
      </c>
      <c r="D296" s="180" t="s">
        <v>9148</v>
      </c>
      <c r="E296" s="189">
        <f>FCCL!D84</f>
        <v>24271.285</v>
      </c>
      <c r="F296" s="189">
        <f>FCCL!D37</f>
        <v>34052.231</v>
      </c>
      <c r="G296" s="189">
        <f t="shared" si="8"/>
        <v>0.71276636764269574</v>
      </c>
      <c r="H296" s="189">
        <v>0.71</v>
      </c>
      <c r="I296" s="180" t="str">
        <f t="shared" si="9"/>
        <v>Numeric fit</v>
      </c>
      <c r="J296" s="180">
        <v>2</v>
      </c>
      <c r="K296" s="183" t="s">
        <v>182</v>
      </c>
      <c r="L296" s="183" t="s">
        <v>46</v>
      </c>
    </row>
    <row r="297" spans="1:12" ht="64.05" customHeight="1" x14ac:dyDescent="0.3">
      <c r="A297" s="177" t="s">
        <v>114</v>
      </c>
      <c r="B297" s="177">
        <v>2021</v>
      </c>
      <c r="C297" s="177" t="s">
        <v>9052</v>
      </c>
      <c r="D297" s="177" t="s">
        <v>9149</v>
      </c>
      <c r="E297" s="190">
        <f>FCCL!D84</f>
        <v>24271.285</v>
      </c>
      <c r="F297" s="190">
        <f>AVERAGE(FCCL!C37,FCCL!D37)</f>
        <v>31630.073499999999</v>
      </c>
      <c r="G297" s="190">
        <f t="shared" si="8"/>
        <v>0.76734835914940258</v>
      </c>
      <c r="H297" s="190">
        <v>0.71</v>
      </c>
      <c r="I297" s="177" t="str">
        <f t="shared" si="9"/>
        <v>No fit</v>
      </c>
      <c r="J297" s="177">
        <v>2</v>
      </c>
      <c r="K297" s="184" t="s">
        <v>182</v>
      </c>
      <c r="L297" s="184" t="s">
        <v>46</v>
      </c>
    </row>
    <row r="298" spans="1:12" ht="64.05" customHeight="1" x14ac:dyDescent="0.3">
      <c r="A298" s="180" t="s">
        <v>114</v>
      </c>
      <c r="B298" s="180">
        <v>2022</v>
      </c>
      <c r="C298" s="180" t="s">
        <v>9052</v>
      </c>
      <c r="D298" s="180" t="s">
        <v>9148</v>
      </c>
      <c r="E298" s="189">
        <f>FCCL!E84</f>
        <v>54243.118000000002</v>
      </c>
      <c r="F298" s="189">
        <f>FCCL!E37</f>
        <v>113698.07700000002</v>
      </c>
      <c r="G298" s="189">
        <f t="shared" si="8"/>
        <v>0.4770803467502796</v>
      </c>
      <c r="H298" s="189">
        <v>0.08</v>
      </c>
      <c r="I298" s="180" t="str">
        <f t="shared" si="9"/>
        <v>No fit</v>
      </c>
      <c r="J298" s="180">
        <v>2</v>
      </c>
      <c r="K298" s="183" t="s">
        <v>182</v>
      </c>
      <c r="L298" s="183" t="s">
        <v>6009</v>
      </c>
    </row>
    <row r="299" spans="1:12" ht="64.05" customHeight="1" x14ac:dyDescent="0.3">
      <c r="A299" s="177" t="s">
        <v>114</v>
      </c>
      <c r="B299" s="177">
        <v>2022</v>
      </c>
      <c r="C299" s="177" t="s">
        <v>9052</v>
      </c>
      <c r="D299" s="177" t="s">
        <v>9149</v>
      </c>
      <c r="E299" s="190">
        <f>FCCL!E84</f>
        <v>54243.118000000002</v>
      </c>
      <c r="F299" s="190">
        <f>AVERAGE(FCCL!D37,FCCL!E37)</f>
        <v>73875.15400000001</v>
      </c>
      <c r="G299" s="190">
        <f t="shared" si="8"/>
        <v>0.7342538737719585</v>
      </c>
      <c r="H299" s="190">
        <v>0.08</v>
      </c>
      <c r="I299" s="177" t="str">
        <f t="shared" si="9"/>
        <v>No fit</v>
      </c>
      <c r="J299" s="177">
        <v>2</v>
      </c>
      <c r="K299" s="184" t="s">
        <v>182</v>
      </c>
      <c r="L299" s="184" t="s">
        <v>6009</v>
      </c>
    </row>
    <row r="300" spans="1:12" ht="64.05" customHeight="1" x14ac:dyDescent="0.3">
      <c r="A300" s="180" t="s">
        <v>114</v>
      </c>
      <c r="B300" s="180">
        <v>2023</v>
      </c>
      <c r="C300" s="180" t="s">
        <v>9052</v>
      </c>
      <c r="D300" s="180" t="s">
        <v>9148</v>
      </c>
      <c r="E300" s="189">
        <f>FCCL!F84</f>
        <v>68069.282000000007</v>
      </c>
      <c r="F300" s="189">
        <f>FCCL!F37</f>
        <v>138828.497</v>
      </c>
      <c r="G300" s="189">
        <f t="shared" si="8"/>
        <v>0.49031202866080159</v>
      </c>
      <c r="H300" s="189">
        <v>7.0000000000000007E-2</v>
      </c>
      <c r="I300" s="180" t="str">
        <f t="shared" si="9"/>
        <v>No fit</v>
      </c>
      <c r="J300" s="180">
        <v>2</v>
      </c>
      <c r="K300" s="183" t="s">
        <v>182</v>
      </c>
      <c r="L300" s="183" t="s">
        <v>6009</v>
      </c>
    </row>
    <row r="301" spans="1:12" ht="64.05" customHeight="1" x14ac:dyDescent="0.3">
      <c r="A301" s="177" t="s">
        <v>114</v>
      </c>
      <c r="B301" s="177">
        <v>2023</v>
      </c>
      <c r="C301" s="177" t="s">
        <v>9052</v>
      </c>
      <c r="D301" s="177" t="s">
        <v>9149</v>
      </c>
      <c r="E301" s="190">
        <f>FCCL!F84</f>
        <v>68069.282000000007</v>
      </c>
      <c r="F301" s="190">
        <f>AVERAGE(FCCL!E37,FCCL!F37)</f>
        <v>126263.28700000001</v>
      </c>
      <c r="G301" s="190">
        <f t="shared" si="8"/>
        <v>0.53910589227730144</v>
      </c>
      <c r="H301" s="190">
        <v>7.0000000000000007E-2</v>
      </c>
      <c r="I301" s="177" t="str">
        <f t="shared" si="9"/>
        <v>No fit</v>
      </c>
      <c r="J301" s="177">
        <v>2</v>
      </c>
      <c r="K301" s="184" t="s">
        <v>182</v>
      </c>
      <c r="L301" s="184" t="s">
        <v>6009</v>
      </c>
    </row>
    <row r="302" spans="1:12" ht="64.05" customHeight="1" x14ac:dyDescent="0.3">
      <c r="A302" s="180" t="s">
        <v>114</v>
      </c>
      <c r="B302" s="180">
        <v>2024</v>
      </c>
      <c r="C302" s="180" t="s">
        <v>9052</v>
      </c>
      <c r="D302" s="180" t="s">
        <v>9148</v>
      </c>
      <c r="E302" s="189">
        <f>FCCL!G84</f>
        <v>80026.225999999995</v>
      </c>
      <c r="F302" s="189">
        <f>FCCL!G37</f>
        <v>147636.299</v>
      </c>
      <c r="G302" s="189">
        <f t="shared" si="8"/>
        <v>0.54204979765850125</v>
      </c>
      <c r="H302" s="189">
        <v>7.0000000000000007E-2</v>
      </c>
      <c r="I302" s="180" t="str">
        <f t="shared" si="9"/>
        <v>No fit</v>
      </c>
      <c r="J302" s="180">
        <v>2</v>
      </c>
      <c r="K302" s="183" t="s">
        <v>182</v>
      </c>
      <c r="L302" s="183" t="s">
        <v>6009</v>
      </c>
    </row>
    <row r="303" spans="1:12" ht="64.05" customHeight="1" x14ac:dyDescent="0.3">
      <c r="A303" s="177" t="s">
        <v>114</v>
      </c>
      <c r="B303" s="177">
        <v>2024</v>
      </c>
      <c r="C303" s="177" t="s">
        <v>9052</v>
      </c>
      <c r="D303" s="177" t="s">
        <v>9149</v>
      </c>
      <c r="E303" s="190">
        <f>FCCL!G84</f>
        <v>80026.225999999995</v>
      </c>
      <c r="F303" s="190">
        <f>AVERAGE(FCCL!F37,FCCL!G37)</f>
        <v>143232.39799999999</v>
      </c>
      <c r="G303" s="190">
        <f t="shared" si="8"/>
        <v>0.55871595475208058</v>
      </c>
      <c r="H303" s="190">
        <v>7.0000000000000007E-2</v>
      </c>
      <c r="I303" s="177" t="str">
        <f t="shared" si="9"/>
        <v>No fit</v>
      </c>
      <c r="J303" s="177">
        <v>2</v>
      </c>
      <c r="K303" s="184" t="s">
        <v>182</v>
      </c>
      <c r="L303" s="184" t="s">
        <v>6009</v>
      </c>
    </row>
    <row r="304" spans="1:12" ht="64.05" customHeight="1" x14ac:dyDescent="0.3">
      <c r="A304" s="180" t="s">
        <v>114</v>
      </c>
      <c r="B304" s="180">
        <v>2025</v>
      </c>
      <c r="C304" s="180" t="s">
        <v>9052</v>
      </c>
      <c r="D304" s="180" t="s">
        <v>9148</v>
      </c>
      <c r="E304" s="189">
        <f>FCCL!H84</f>
        <v>88956.327999999994</v>
      </c>
      <c r="F304" s="189">
        <f>FCCL!H37</f>
        <v>160845.19100000002</v>
      </c>
      <c r="G304" s="189">
        <f t="shared" si="8"/>
        <v>0.55305556508680442</v>
      </c>
      <c r="H304" s="189">
        <v>0.08</v>
      </c>
      <c r="I304" s="180" t="str">
        <f t="shared" si="9"/>
        <v>No fit</v>
      </c>
      <c r="J304" s="180">
        <v>2</v>
      </c>
      <c r="K304" s="183" t="s">
        <v>182</v>
      </c>
      <c r="L304" s="183" t="s">
        <v>6009</v>
      </c>
    </row>
    <row r="305" spans="1:12" ht="64.05" customHeight="1" x14ac:dyDescent="0.3">
      <c r="A305" s="177" t="s">
        <v>114</v>
      </c>
      <c r="B305" s="177">
        <v>2025</v>
      </c>
      <c r="C305" s="177" t="s">
        <v>9052</v>
      </c>
      <c r="D305" s="177" t="s">
        <v>9149</v>
      </c>
      <c r="E305" s="190">
        <f>FCCL!H84</f>
        <v>88956.327999999994</v>
      </c>
      <c r="F305" s="190">
        <f>AVERAGE(FCCL!G37,FCCL!H37)</f>
        <v>154240.745</v>
      </c>
      <c r="G305" s="190">
        <f t="shared" si="8"/>
        <v>0.57673689270626904</v>
      </c>
      <c r="H305" s="190">
        <v>0.08</v>
      </c>
      <c r="I305" s="177" t="str">
        <f t="shared" si="9"/>
        <v>No fit</v>
      </c>
      <c r="J305" s="177">
        <v>2</v>
      </c>
      <c r="K305" s="184" t="s">
        <v>182</v>
      </c>
      <c r="L305" s="184" t="s">
        <v>6009</v>
      </c>
    </row>
    <row r="306" spans="1:12" ht="64.05" customHeight="1" x14ac:dyDescent="0.3">
      <c r="A306" s="180" t="s">
        <v>114</v>
      </c>
      <c r="B306" s="180">
        <v>2021</v>
      </c>
      <c r="C306" s="180" t="s">
        <v>9048</v>
      </c>
      <c r="D306" s="180" t="s">
        <v>9148</v>
      </c>
      <c r="E306" s="189">
        <f>FCCL!D84</f>
        <v>24271.285</v>
      </c>
      <c r="F306" s="189">
        <f>FCCL!D20</f>
        <v>21422.215</v>
      </c>
      <c r="G306" s="189">
        <f t="shared" si="8"/>
        <v>1.1329960510619466</v>
      </c>
      <c r="H306" s="189">
        <v>1.1299999999999999</v>
      </c>
      <c r="I306" s="180" t="str">
        <f t="shared" si="9"/>
        <v>Numeric fit</v>
      </c>
      <c r="J306" s="180">
        <v>2</v>
      </c>
      <c r="K306" s="183" t="s">
        <v>182</v>
      </c>
      <c r="L306" s="183" t="s">
        <v>113</v>
      </c>
    </row>
    <row r="307" spans="1:12" ht="64.05" customHeight="1" x14ac:dyDescent="0.3">
      <c r="A307" s="177" t="s">
        <v>114</v>
      </c>
      <c r="B307" s="177">
        <v>2021</v>
      </c>
      <c r="C307" s="177" t="s">
        <v>9048</v>
      </c>
      <c r="D307" s="177" t="s">
        <v>9149</v>
      </c>
      <c r="E307" s="190">
        <f>FCCL!D84</f>
        <v>24271.285</v>
      </c>
      <c r="F307" s="190">
        <f>AVERAGE(FCCL!C20,FCCL!D20)</f>
        <v>21743.693500000001</v>
      </c>
      <c r="G307" s="190">
        <f t="shared" si="8"/>
        <v>1.1162448090983255</v>
      </c>
      <c r="H307" s="190">
        <v>1.1299999999999999</v>
      </c>
      <c r="I307" s="177" t="str">
        <f t="shared" si="9"/>
        <v>No fit</v>
      </c>
      <c r="J307" s="177">
        <v>2</v>
      </c>
      <c r="K307" s="184" t="s">
        <v>182</v>
      </c>
      <c r="L307" s="184" t="s">
        <v>113</v>
      </c>
    </row>
    <row r="308" spans="1:12" ht="64.05" customHeight="1" x14ac:dyDescent="0.3">
      <c r="A308" s="180" t="s">
        <v>114</v>
      </c>
      <c r="B308" s="180">
        <v>2022</v>
      </c>
      <c r="C308" s="180" t="s">
        <v>9048</v>
      </c>
      <c r="D308" s="180" t="s">
        <v>9148</v>
      </c>
      <c r="E308" s="189">
        <f>FCCL!E84</f>
        <v>54243.118000000002</v>
      </c>
      <c r="F308" s="189">
        <f>FCCL!E20</f>
        <v>74126.315000000002</v>
      </c>
      <c r="G308" s="189">
        <f t="shared" si="8"/>
        <v>0.73176601318978285</v>
      </c>
      <c r="H308" s="189">
        <v>0.16</v>
      </c>
      <c r="I308" s="180" t="str">
        <f t="shared" si="9"/>
        <v>No fit</v>
      </c>
      <c r="J308" s="180">
        <v>2</v>
      </c>
      <c r="K308" s="183" t="s">
        <v>182</v>
      </c>
      <c r="L308" s="183" t="s">
        <v>6025</v>
      </c>
    </row>
    <row r="309" spans="1:12" ht="64.05" customHeight="1" x14ac:dyDescent="0.3">
      <c r="A309" s="177" t="s">
        <v>114</v>
      </c>
      <c r="B309" s="177">
        <v>2022</v>
      </c>
      <c r="C309" s="177" t="s">
        <v>9048</v>
      </c>
      <c r="D309" s="177" t="s">
        <v>9149</v>
      </c>
      <c r="E309" s="190">
        <f>FCCL!E84</f>
        <v>54243.118000000002</v>
      </c>
      <c r="F309" s="190">
        <f>AVERAGE(FCCL!D20,FCCL!E20)</f>
        <v>47774.264999999999</v>
      </c>
      <c r="G309" s="190">
        <f t="shared" si="8"/>
        <v>1.1354045530580115</v>
      </c>
      <c r="H309" s="190">
        <v>0.16</v>
      </c>
      <c r="I309" s="177" t="str">
        <f t="shared" si="9"/>
        <v>No fit</v>
      </c>
      <c r="J309" s="177">
        <v>2</v>
      </c>
      <c r="K309" s="184" t="s">
        <v>182</v>
      </c>
      <c r="L309" s="184" t="s">
        <v>6025</v>
      </c>
    </row>
    <row r="310" spans="1:12" ht="64.05" customHeight="1" x14ac:dyDescent="0.3">
      <c r="A310" s="180" t="s">
        <v>114</v>
      </c>
      <c r="B310" s="180">
        <v>2023</v>
      </c>
      <c r="C310" s="180" t="s">
        <v>9048</v>
      </c>
      <c r="D310" s="180" t="s">
        <v>9148</v>
      </c>
      <c r="E310" s="189">
        <f>FCCL!F84</f>
        <v>68069.282000000007</v>
      </c>
      <c r="F310" s="189">
        <f>FCCL!F20</f>
        <v>104425.181</v>
      </c>
      <c r="G310" s="189">
        <f t="shared" si="8"/>
        <v>0.65184739301529204</v>
      </c>
      <c r="H310" s="189">
        <v>0.11</v>
      </c>
      <c r="I310" s="180" t="str">
        <f t="shared" si="9"/>
        <v>No fit</v>
      </c>
      <c r="J310" s="180">
        <v>2</v>
      </c>
      <c r="K310" s="183" t="s">
        <v>182</v>
      </c>
      <c r="L310" s="183" t="s">
        <v>6025</v>
      </c>
    </row>
    <row r="311" spans="1:12" ht="64.05" customHeight="1" x14ac:dyDescent="0.3">
      <c r="A311" s="177" t="s">
        <v>114</v>
      </c>
      <c r="B311" s="177">
        <v>2023</v>
      </c>
      <c r="C311" s="177" t="s">
        <v>9048</v>
      </c>
      <c r="D311" s="177" t="s">
        <v>9149</v>
      </c>
      <c r="E311" s="190">
        <f>FCCL!F84</f>
        <v>68069.282000000007</v>
      </c>
      <c r="F311" s="190">
        <f>AVERAGE(FCCL!E20,FCCL!F20)</f>
        <v>89275.747999999992</v>
      </c>
      <c r="G311" s="190">
        <f t="shared" si="8"/>
        <v>0.76246106613410858</v>
      </c>
      <c r="H311" s="190">
        <v>0.11</v>
      </c>
      <c r="I311" s="177" t="str">
        <f t="shared" si="9"/>
        <v>No fit</v>
      </c>
      <c r="J311" s="177">
        <v>2</v>
      </c>
      <c r="K311" s="184" t="s">
        <v>182</v>
      </c>
      <c r="L311" s="184" t="s">
        <v>6025</v>
      </c>
    </row>
    <row r="312" spans="1:12" ht="64.05" customHeight="1" x14ac:dyDescent="0.3">
      <c r="A312" s="180" t="s">
        <v>114</v>
      </c>
      <c r="B312" s="180">
        <v>2024</v>
      </c>
      <c r="C312" s="180" t="s">
        <v>9048</v>
      </c>
      <c r="D312" s="180" t="s">
        <v>9148</v>
      </c>
      <c r="E312" s="189">
        <f>FCCL!G84</f>
        <v>80026.225999999995</v>
      </c>
      <c r="F312" s="189">
        <f>FCCL!G20</f>
        <v>110845.663</v>
      </c>
      <c r="G312" s="189">
        <f t="shared" si="8"/>
        <v>0.72196082222901214</v>
      </c>
      <c r="H312" s="189">
        <v>0.09</v>
      </c>
      <c r="I312" s="180" t="str">
        <f t="shared" si="9"/>
        <v>No fit</v>
      </c>
      <c r="J312" s="180">
        <v>2</v>
      </c>
      <c r="K312" s="183" t="s">
        <v>182</v>
      </c>
      <c r="L312" s="183" t="s">
        <v>6025</v>
      </c>
    </row>
    <row r="313" spans="1:12" ht="64.05" customHeight="1" x14ac:dyDescent="0.3">
      <c r="A313" s="177" t="s">
        <v>114</v>
      </c>
      <c r="B313" s="177">
        <v>2024</v>
      </c>
      <c r="C313" s="177" t="s">
        <v>9048</v>
      </c>
      <c r="D313" s="177" t="s">
        <v>9149</v>
      </c>
      <c r="E313" s="190">
        <f>FCCL!G84</f>
        <v>80026.225999999995</v>
      </c>
      <c r="F313" s="190">
        <f>AVERAGE(FCCL!F20,FCCL!G20)</f>
        <v>107635.42199999999</v>
      </c>
      <c r="G313" s="190">
        <f t="shared" si="8"/>
        <v>0.74349340127081953</v>
      </c>
      <c r="H313" s="190">
        <v>0.09</v>
      </c>
      <c r="I313" s="177" t="str">
        <f t="shared" si="9"/>
        <v>No fit</v>
      </c>
      <c r="J313" s="177">
        <v>2</v>
      </c>
      <c r="K313" s="184" t="s">
        <v>182</v>
      </c>
      <c r="L313" s="184" t="s">
        <v>6025</v>
      </c>
    </row>
    <row r="314" spans="1:12" ht="64.05" customHeight="1" x14ac:dyDescent="0.3">
      <c r="A314" s="180" t="s">
        <v>114</v>
      </c>
      <c r="B314" s="180">
        <v>2025</v>
      </c>
      <c r="C314" s="180" t="s">
        <v>9048</v>
      </c>
      <c r="D314" s="180" t="s">
        <v>9148</v>
      </c>
      <c r="E314" s="189">
        <f>FCCL!H84</f>
        <v>88956.327999999994</v>
      </c>
      <c r="F314" s="189">
        <f>FCCL!H20</f>
        <v>109579.08900000001</v>
      </c>
      <c r="G314" s="189">
        <f t="shared" si="8"/>
        <v>0.81180021491144161</v>
      </c>
      <c r="H314" s="189">
        <v>0.12</v>
      </c>
      <c r="I314" s="180" t="str">
        <f t="shared" si="9"/>
        <v>No fit</v>
      </c>
      <c r="J314" s="180">
        <v>2</v>
      </c>
      <c r="K314" s="183" t="s">
        <v>182</v>
      </c>
      <c r="L314" s="183" t="s">
        <v>6025</v>
      </c>
    </row>
    <row r="315" spans="1:12" ht="64.05" customHeight="1" x14ac:dyDescent="0.3">
      <c r="A315" s="177" t="s">
        <v>114</v>
      </c>
      <c r="B315" s="177">
        <v>2025</v>
      </c>
      <c r="C315" s="177" t="s">
        <v>9048</v>
      </c>
      <c r="D315" s="177" t="s">
        <v>9149</v>
      </c>
      <c r="E315" s="190">
        <f>FCCL!H84</f>
        <v>88956.327999999994</v>
      </c>
      <c r="F315" s="190">
        <f>AVERAGE(FCCL!G20,FCCL!H20)</f>
        <v>110212.376</v>
      </c>
      <c r="G315" s="190">
        <f t="shared" si="8"/>
        <v>0.80713556161787126</v>
      </c>
      <c r="H315" s="190">
        <v>0.12</v>
      </c>
      <c r="I315" s="177" t="str">
        <f t="shared" si="9"/>
        <v>No fit</v>
      </c>
      <c r="J315" s="177">
        <v>2</v>
      </c>
      <c r="K315" s="184" t="s">
        <v>182</v>
      </c>
      <c r="L315" s="184" t="s">
        <v>6025</v>
      </c>
    </row>
    <row r="316" spans="1:12" ht="64.05" customHeight="1" x14ac:dyDescent="0.3">
      <c r="A316" s="180" t="s">
        <v>114</v>
      </c>
      <c r="B316" s="180">
        <v>2021</v>
      </c>
      <c r="C316" s="180" t="s">
        <v>9079</v>
      </c>
      <c r="D316" s="180" t="s">
        <v>9148</v>
      </c>
      <c r="E316" s="189">
        <f>FCCL!D99</f>
        <v>3471.3509999999992</v>
      </c>
      <c r="F316" s="189">
        <f>FCCL!D41</f>
        <v>23275.671000000002</v>
      </c>
      <c r="G316" s="189">
        <f t="shared" si="8"/>
        <v>0.14914074872427949</v>
      </c>
      <c r="H316" s="189">
        <v>0.15</v>
      </c>
      <c r="I316" s="180" t="str">
        <f t="shared" si="9"/>
        <v>Numeric fit</v>
      </c>
      <c r="J316" s="180">
        <v>2</v>
      </c>
      <c r="K316" s="183" t="s">
        <v>182</v>
      </c>
      <c r="L316" s="183" t="s">
        <v>54</v>
      </c>
    </row>
    <row r="317" spans="1:12" ht="64.05" customHeight="1" x14ac:dyDescent="0.3">
      <c r="A317" s="177" t="s">
        <v>114</v>
      </c>
      <c r="B317" s="177">
        <v>2021</v>
      </c>
      <c r="C317" s="177" t="s">
        <v>9079</v>
      </c>
      <c r="D317" s="177" t="s">
        <v>9149</v>
      </c>
      <c r="E317" s="190">
        <f>FCCL!D99</f>
        <v>3471.3509999999992</v>
      </c>
      <c r="F317" s="190">
        <f>AVERAGE(FCCL!C41,FCCL!D41)</f>
        <v>21539.995500000001</v>
      </c>
      <c r="G317" s="190">
        <f t="shared" si="8"/>
        <v>0.16115839021414832</v>
      </c>
      <c r="H317" s="190">
        <v>0.15</v>
      </c>
      <c r="I317" s="177" t="str">
        <f t="shared" si="9"/>
        <v>No fit</v>
      </c>
      <c r="J317" s="177">
        <v>2</v>
      </c>
      <c r="K317" s="184" t="s">
        <v>182</v>
      </c>
      <c r="L317" s="184" t="s">
        <v>54</v>
      </c>
    </row>
    <row r="318" spans="1:12" ht="64.05" customHeight="1" x14ac:dyDescent="0.3">
      <c r="A318" s="180" t="s">
        <v>114</v>
      </c>
      <c r="B318" s="180">
        <v>2022</v>
      </c>
      <c r="C318" s="180" t="s">
        <v>9079</v>
      </c>
      <c r="D318" s="180" t="s">
        <v>9148</v>
      </c>
      <c r="E318" s="189">
        <f>FCCL!E99</f>
        <v>7112.5400000000009</v>
      </c>
      <c r="F318" s="189">
        <f>FCCL!E41</f>
        <v>57736.055999999997</v>
      </c>
      <c r="G318" s="189">
        <f t="shared" si="8"/>
        <v>0.12319061073378482</v>
      </c>
      <c r="H318" s="189">
        <v>0.12</v>
      </c>
      <c r="I318" s="180" t="str">
        <f t="shared" si="9"/>
        <v>Numeric fit</v>
      </c>
      <c r="J318" s="180">
        <v>2</v>
      </c>
      <c r="K318" s="183" t="s">
        <v>182</v>
      </c>
      <c r="L318" s="183" t="s">
        <v>54</v>
      </c>
    </row>
    <row r="319" spans="1:12" ht="64.05" customHeight="1" x14ac:dyDescent="0.3">
      <c r="A319" s="177" t="s">
        <v>114</v>
      </c>
      <c r="B319" s="177">
        <v>2022</v>
      </c>
      <c r="C319" s="177" t="s">
        <v>9079</v>
      </c>
      <c r="D319" s="177" t="s">
        <v>9149</v>
      </c>
      <c r="E319" s="190">
        <f>FCCL!E99</f>
        <v>7112.5400000000009</v>
      </c>
      <c r="F319" s="190">
        <f>AVERAGE(FCCL!D41,FCCL!E41)</f>
        <v>40505.863499999999</v>
      </c>
      <c r="G319" s="190">
        <f t="shared" si="8"/>
        <v>0.17559284966237051</v>
      </c>
      <c r="H319" s="190">
        <v>0.12</v>
      </c>
      <c r="I319" s="177" t="str">
        <f t="shared" si="9"/>
        <v>No fit</v>
      </c>
      <c r="J319" s="177">
        <v>2</v>
      </c>
      <c r="K319" s="184" t="s">
        <v>182</v>
      </c>
      <c r="L319" s="184" t="s">
        <v>54</v>
      </c>
    </row>
    <row r="320" spans="1:12" ht="64.05" customHeight="1" x14ac:dyDescent="0.3">
      <c r="A320" s="180" t="s">
        <v>114</v>
      </c>
      <c r="B320" s="180">
        <v>2023</v>
      </c>
      <c r="C320" s="180" t="s">
        <v>9079</v>
      </c>
      <c r="D320" s="180" t="s">
        <v>9148</v>
      </c>
      <c r="E320" s="189">
        <f>FCCL!F99</f>
        <v>7439.6810000000078</v>
      </c>
      <c r="F320" s="189">
        <f>FCCL!F41</f>
        <v>65175.736999999994</v>
      </c>
      <c r="G320" s="189">
        <f t="shared" si="8"/>
        <v>0.11414801492770245</v>
      </c>
      <c r="H320" s="189">
        <v>0.11</v>
      </c>
      <c r="I320" s="180" t="str">
        <f t="shared" si="9"/>
        <v>Numeric fit</v>
      </c>
      <c r="J320" s="180">
        <v>2</v>
      </c>
      <c r="K320" s="183" t="s">
        <v>182</v>
      </c>
      <c r="L320" s="183" t="s">
        <v>54</v>
      </c>
    </row>
    <row r="321" spans="1:12" ht="64.05" customHeight="1" x14ac:dyDescent="0.3">
      <c r="A321" s="177" t="s">
        <v>114</v>
      </c>
      <c r="B321" s="177">
        <v>2023</v>
      </c>
      <c r="C321" s="177" t="s">
        <v>9079</v>
      </c>
      <c r="D321" s="177" t="s">
        <v>9149</v>
      </c>
      <c r="E321" s="190">
        <f>FCCL!F99</f>
        <v>7439.6810000000078</v>
      </c>
      <c r="F321" s="190">
        <f>AVERAGE(FCCL!E41,FCCL!F41)</f>
        <v>61455.896499999995</v>
      </c>
      <c r="G321" s="190">
        <f t="shared" si="8"/>
        <v>0.12105723655011702</v>
      </c>
      <c r="H321" s="190">
        <v>0.11</v>
      </c>
      <c r="I321" s="177" t="str">
        <f t="shared" si="9"/>
        <v>No fit</v>
      </c>
      <c r="J321" s="177">
        <v>2</v>
      </c>
      <c r="K321" s="184" t="s">
        <v>182</v>
      </c>
      <c r="L321" s="184" t="s">
        <v>54</v>
      </c>
    </row>
    <row r="322" spans="1:12" ht="64.05" customHeight="1" x14ac:dyDescent="0.3">
      <c r="A322" s="180" t="s">
        <v>114</v>
      </c>
      <c r="B322" s="180">
        <v>2024</v>
      </c>
      <c r="C322" s="180" t="s">
        <v>9079</v>
      </c>
      <c r="D322" s="180" t="s">
        <v>9148</v>
      </c>
      <c r="E322" s="189">
        <f>FCCL!G99</f>
        <v>8223.1159999999945</v>
      </c>
      <c r="F322" s="189">
        <f>FCCL!G41</f>
        <v>73398.853000000003</v>
      </c>
      <c r="G322" s="189">
        <f t="shared" si="8"/>
        <v>0.1120333038446799</v>
      </c>
      <c r="H322" s="189">
        <v>0.11</v>
      </c>
      <c r="I322" s="180" t="str">
        <f t="shared" si="9"/>
        <v>Numeric fit</v>
      </c>
      <c r="J322" s="180">
        <v>2</v>
      </c>
      <c r="K322" s="183" t="s">
        <v>182</v>
      </c>
      <c r="L322" s="183" t="s">
        <v>54</v>
      </c>
    </row>
    <row r="323" spans="1:12" ht="64.05" customHeight="1" x14ac:dyDescent="0.3">
      <c r="A323" s="177" t="s">
        <v>114</v>
      </c>
      <c r="B323" s="177">
        <v>2024</v>
      </c>
      <c r="C323" s="177" t="s">
        <v>9079</v>
      </c>
      <c r="D323" s="177" t="s">
        <v>9149</v>
      </c>
      <c r="E323" s="190">
        <f>FCCL!G99</f>
        <v>8223.1159999999945</v>
      </c>
      <c r="F323" s="190">
        <f>AVERAGE(FCCL!F41,FCCL!G41)</f>
        <v>69287.294999999998</v>
      </c>
      <c r="G323" s="190">
        <f t="shared" si="8"/>
        <v>0.11868144080382984</v>
      </c>
      <c r="H323" s="190">
        <v>0.11</v>
      </c>
      <c r="I323" s="177" t="str">
        <f t="shared" si="9"/>
        <v>No fit</v>
      </c>
      <c r="J323" s="177">
        <v>2</v>
      </c>
      <c r="K323" s="184" t="s">
        <v>182</v>
      </c>
      <c r="L323" s="184" t="s">
        <v>54</v>
      </c>
    </row>
    <row r="324" spans="1:12" ht="64.05" customHeight="1" x14ac:dyDescent="0.3">
      <c r="A324" s="180" t="s">
        <v>114</v>
      </c>
      <c r="B324" s="180">
        <v>2025</v>
      </c>
      <c r="C324" s="180" t="s">
        <v>9079</v>
      </c>
      <c r="D324" s="180" t="s">
        <v>9148</v>
      </c>
      <c r="E324" s="189">
        <f>FCCL!H99</f>
        <v>13326.20199999999</v>
      </c>
      <c r="F324" s="189">
        <f>FCCL!H41</f>
        <v>84272.207999999999</v>
      </c>
      <c r="G324" s="189">
        <f t="shared" si="8"/>
        <v>0.15813282120245373</v>
      </c>
      <c r="H324" s="189">
        <v>0.16</v>
      </c>
      <c r="I324" s="180" t="str">
        <f t="shared" si="9"/>
        <v>Numeric fit</v>
      </c>
      <c r="J324" s="180">
        <v>2</v>
      </c>
      <c r="K324" s="183" t="s">
        <v>182</v>
      </c>
      <c r="L324" s="183" t="s">
        <v>54</v>
      </c>
    </row>
    <row r="325" spans="1:12" ht="64.05" customHeight="1" x14ac:dyDescent="0.3">
      <c r="A325" s="177" t="s">
        <v>114</v>
      </c>
      <c r="B325" s="177">
        <v>2025</v>
      </c>
      <c r="C325" s="177" t="s">
        <v>9079</v>
      </c>
      <c r="D325" s="177" t="s">
        <v>9149</v>
      </c>
      <c r="E325" s="190">
        <f>FCCL!H99</f>
        <v>13326.20199999999</v>
      </c>
      <c r="F325" s="190">
        <f>AVERAGE(FCCL!G41,FCCL!H41)</f>
        <v>78835.530499999993</v>
      </c>
      <c r="G325" s="190">
        <f t="shared" si="8"/>
        <v>0.16903802023631961</v>
      </c>
      <c r="H325" s="190">
        <v>0.16</v>
      </c>
      <c r="I325" s="177" t="str">
        <f t="shared" si="9"/>
        <v>No fit</v>
      </c>
      <c r="J325" s="177">
        <v>2</v>
      </c>
      <c r="K325" s="184" t="s">
        <v>182</v>
      </c>
      <c r="L325" s="184" t="s">
        <v>54</v>
      </c>
    </row>
    <row r="326" spans="1:12" ht="64.05" customHeight="1" x14ac:dyDescent="0.3">
      <c r="A326" s="180" t="s">
        <v>114</v>
      </c>
      <c r="B326" s="180">
        <v>2025</v>
      </c>
      <c r="C326" s="180" t="s">
        <v>9077</v>
      </c>
      <c r="D326" s="180" t="s">
        <v>9148</v>
      </c>
      <c r="E326" s="189">
        <f>FCCL!H99</f>
        <v>13326.20199999999</v>
      </c>
      <c r="F326" s="189">
        <f>FCCL!H37</f>
        <v>160845.19100000002</v>
      </c>
      <c r="G326" s="189">
        <f t="shared" ref="G326:G389" si="10">IF(AND(ISNUMBER(E326),ISNUMBER(F326),F326&lt;&gt;0),E326/F326,"n/m")</f>
        <v>8.2851106191915852E-2</v>
      </c>
      <c r="H326" s="189">
        <v>8.2500000000000004E-2</v>
      </c>
      <c r="I326" s="180" t="str">
        <f t="shared" ref="I326:I389" si="11">IF(ISNUMBER(H326),IF(ROUND(G326,J326)=ROUND(H326,J326),"Numeric fit","No fit"),"No identical published series")</f>
        <v>No fit</v>
      </c>
      <c r="J326" s="180">
        <v>4</v>
      </c>
      <c r="K326" s="183" t="s">
        <v>213</v>
      </c>
      <c r="L326" s="183" t="s">
        <v>211</v>
      </c>
    </row>
    <row r="327" spans="1:12" ht="64.05" customHeight="1" x14ac:dyDescent="0.3">
      <c r="A327" s="177" t="s">
        <v>114</v>
      </c>
      <c r="B327" s="177">
        <v>2025</v>
      </c>
      <c r="C327" s="177" t="s">
        <v>9077</v>
      </c>
      <c r="D327" s="177" t="s">
        <v>9149</v>
      </c>
      <c r="E327" s="190">
        <f>FCCL!H99</f>
        <v>13326.20199999999</v>
      </c>
      <c r="F327" s="190">
        <f>AVERAGE(FCCL!G37,FCCL!H37)</f>
        <v>154240.745</v>
      </c>
      <c r="G327" s="190">
        <f t="shared" si="10"/>
        <v>8.6398713906626887E-2</v>
      </c>
      <c r="H327" s="190">
        <v>8.2500000000000004E-2</v>
      </c>
      <c r="I327" s="177" t="str">
        <f t="shared" si="11"/>
        <v>No fit</v>
      </c>
      <c r="J327" s="177">
        <v>4</v>
      </c>
      <c r="K327" s="184" t="s">
        <v>213</v>
      </c>
      <c r="L327" s="184" t="s">
        <v>211</v>
      </c>
    </row>
    <row r="328" spans="1:12" ht="64.05" customHeight="1" x14ac:dyDescent="0.3">
      <c r="A328" s="180" t="s">
        <v>18</v>
      </c>
      <c r="B328" s="180">
        <v>2021</v>
      </c>
      <c r="C328" s="180" t="s">
        <v>9082</v>
      </c>
      <c r="D328" s="180" t="s">
        <v>9148</v>
      </c>
      <c r="E328" s="189">
        <f>((KOHC!D96+KOHC!D106)*(1-(-KOHC!D97-KOHC!D98)/KOHC!D96))</f>
        <v>3848.4812303544859</v>
      </c>
      <c r="F328" s="189">
        <f>KOHC!D70</f>
        <v>28274.325519999999</v>
      </c>
      <c r="G328" s="189">
        <f t="shared" si="10"/>
        <v>0.13611222052431424</v>
      </c>
      <c r="H328" s="189"/>
      <c r="I328" s="180" t="str">
        <f t="shared" si="11"/>
        <v>No identical published series</v>
      </c>
      <c r="J328" s="180">
        <v>4</v>
      </c>
      <c r="K328" s="183" t="s">
        <v>9150</v>
      </c>
      <c r="L328" s="183" t="s">
        <v>9151</v>
      </c>
    </row>
    <row r="329" spans="1:12" ht="64.05" customHeight="1" x14ac:dyDescent="0.3">
      <c r="A329" s="177" t="s">
        <v>18</v>
      </c>
      <c r="B329" s="177">
        <v>2021</v>
      </c>
      <c r="C329" s="177" t="s">
        <v>9082</v>
      </c>
      <c r="D329" s="177" t="s">
        <v>9149</v>
      </c>
      <c r="E329" s="190">
        <f>((KOHC!D96+KOHC!D106)*(1-(-KOHC!D97-KOHC!D98)/KOHC!D96))</f>
        <v>3848.4812303544859</v>
      </c>
      <c r="F329" s="190">
        <f>AVERAGE(KOHC!C70,KOHC!D70)</f>
        <v>26995.165203999997</v>
      </c>
      <c r="G329" s="190">
        <f t="shared" si="10"/>
        <v>0.14256186992270153</v>
      </c>
      <c r="H329" s="190"/>
      <c r="I329" s="177" t="str">
        <f t="shared" si="11"/>
        <v>No identical published series</v>
      </c>
      <c r="J329" s="177">
        <v>4</v>
      </c>
      <c r="K329" s="184" t="s">
        <v>9150</v>
      </c>
      <c r="L329" s="184" t="s">
        <v>9151</v>
      </c>
    </row>
    <row r="330" spans="1:12" ht="64.05" customHeight="1" x14ac:dyDescent="0.3">
      <c r="A330" s="180" t="s">
        <v>18</v>
      </c>
      <c r="B330" s="180">
        <v>2022</v>
      </c>
      <c r="C330" s="180" t="s">
        <v>9082</v>
      </c>
      <c r="D330" s="180" t="s">
        <v>9148</v>
      </c>
      <c r="E330" s="189">
        <f>((KOHC!E96+KOHC!E106)*(1-(-KOHC!E97-KOHC!E98)/KOHC!E96))</f>
        <v>5314.3701597231238</v>
      </c>
      <c r="F330" s="189">
        <f>KOHC!E70</f>
        <v>31497.532704999998</v>
      </c>
      <c r="G330" s="189">
        <f t="shared" si="10"/>
        <v>0.16872337936741016</v>
      </c>
      <c r="H330" s="189"/>
      <c r="I330" s="180" t="str">
        <f t="shared" si="11"/>
        <v>No identical published series</v>
      </c>
      <c r="J330" s="180">
        <v>4</v>
      </c>
      <c r="K330" s="183" t="s">
        <v>9150</v>
      </c>
      <c r="L330" s="183" t="s">
        <v>9151</v>
      </c>
    </row>
    <row r="331" spans="1:12" ht="64.05" customHeight="1" x14ac:dyDescent="0.3">
      <c r="A331" s="177" t="s">
        <v>18</v>
      </c>
      <c r="B331" s="177">
        <v>2022</v>
      </c>
      <c r="C331" s="177" t="s">
        <v>9082</v>
      </c>
      <c r="D331" s="177" t="s">
        <v>9149</v>
      </c>
      <c r="E331" s="190">
        <f>((KOHC!E96+KOHC!E106)*(1-(-KOHC!E97-KOHC!E98)/KOHC!E96))</f>
        <v>5314.3701597231238</v>
      </c>
      <c r="F331" s="190">
        <f>AVERAGE(KOHC!D70,KOHC!E70)</f>
        <v>29885.929112499998</v>
      </c>
      <c r="G331" s="190">
        <f t="shared" si="10"/>
        <v>0.17782181506615269</v>
      </c>
      <c r="H331" s="190"/>
      <c r="I331" s="177" t="str">
        <f t="shared" si="11"/>
        <v>No identical published series</v>
      </c>
      <c r="J331" s="177">
        <v>4</v>
      </c>
      <c r="K331" s="184" t="s">
        <v>9150</v>
      </c>
      <c r="L331" s="184" t="s">
        <v>9151</v>
      </c>
    </row>
    <row r="332" spans="1:12" ht="64.05" customHeight="1" x14ac:dyDescent="0.3">
      <c r="A332" s="180" t="s">
        <v>18</v>
      </c>
      <c r="B332" s="180">
        <v>2023</v>
      </c>
      <c r="C332" s="180" t="s">
        <v>9082</v>
      </c>
      <c r="D332" s="180" t="s">
        <v>9148</v>
      </c>
      <c r="E332" s="189">
        <f>((KOHC!F96+KOHC!F106)*(1-(-KOHC!F97-KOHC!F98)/KOHC!F96))</f>
        <v>6200.7996156683239</v>
      </c>
      <c r="F332" s="189">
        <f>KOHC!F70</f>
        <v>35793.41822</v>
      </c>
      <c r="G332" s="189">
        <f t="shared" si="10"/>
        <v>0.17323854283924056</v>
      </c>
      <c r="H332" s="189"/>
      <c r="I332" s="180" t="str">
        <f t="shared" si="11"/>
        <v>No identical published series</v>
      </c>
      <c r="J332" s="180">
        <v>4</v>
      </c>
      <c r="K332" s="183" t="s">
        <v>9150</v>
      </c>
      <c r="L332" s="183" t="s">
        <v>9151</v>
      </c>
    </row>
    <row r="333" spans="1:12" ht="64.05" customHeight="1" x14ac:dyDescent="0.3">
      <c r="A333" s="177" t="s">
        <v>18</v>
      </c>
      <c r="B333" s="177">
        <v>2023</v>
      </c>
      <c r="C333" s="177" t="s">
        <v>9082</v>
      </c>
      <c r="D333" s="177" t="s">
        <v>9149</v>
      </c>
      <c r="E333" s="190">
        <f>((KOHC!F96+KOHC!F106)*(1-(-KOHC!F97-KOHC!F98)/KOHC!F96))</f>
        <v>6200.7996156683239</v>
      </c>
      <c r="F333" s="190">
        <f>AVERAGE(KOHC!E70,KOHC!F70)</f>
        <v>33645.475462499999</v>
      </c>
      <c r="G333" s="190">
        <f t="shared" si="10"/>
        <v>0.18429817175802748</v>
      </c>
      <c r="H333" s="190"/>
      <c r="I333" s="177" t="str">
        <f t="shared" si="11"/>
        <v>No identical published series</v>
      </c>
      <c r="J333" s="177">
        <v>4</v>
      </c>
      <c r="K333" s="184" t="s">
        <v>9150</v>
      </c>
      <c r="L333" s="184" t="s">
        <v>9151</v>
      </c>
    </row>
    <row r="334" spans="1:12" ht="64.05" customHeight="1" x14ac:dyDescent="0.3">
      <c r="A334" s="180" t="s">
        <v>18</v>
      </c>
      <c r="B334" s="180">
        <v>2024</v>
      </c>
      <c r="C334" s="180" t="s">
        <v>9082</v>
      </c>
      <c r="D334" s="180" t="s">
        <v>9148</v>
      </c>
      <c r="E334" s="189">
        <f>((KOHC!G96+KOHC!G106)*(1-(-KOHC!G97-KOHC!G98)/KOHC!G96))</f>
        <v>9310.6071141320244</v>
      </c>
      <c r="F334" s="189">
        <f>KOHC!G70</f>
        <v>43243.364895000006</v>
      </c>
      <c r="G334" s="189">
        <f t="shared" si="10"/>
        <v>0.21530718381280636</v>
      </c>
      <c r="H334" s="189"/>
      <c r="I334" s="180" t="str">
        <f t="shared" si="11"/>
        <v>No identical published series</v>
      </c>
      <c r="J334" s="180">
        <v>4</v>
      </c>
      <c r="K334" s="183" t="s">
        <v>9150</v>
      </c>
      <c r="L334" s="183" t="s">
        <v>9151</v>
      </c>
    </row>
    <row r="335" spans="1:12" ht="64.05" customHeight="1" x14ac:dyDescent="0.3">
      <c r="A335" s="177" t="s">
        <v>18</v>
      </c>
      <c r="B335" s="177">
        <v>2024</v>
      </c>
      <c r="C335" s="177" t="s">
        <v>9082</v>
      </c>
      <c r="D335" s="177" t="s">
        <v>9149</v>
      </c>
      <c r="E335" s="190">
        <f>((KOHC!G96+KOHC!G106)*(1-(-KOHC!G97-KOHC!G98)/KOHC!G96))</f>
        <v>9310.6071141320244</v>
      </c>
      <c r="F335" s="190">
        <f>AVERAGE(KOHC!F70,KOHC!G70)</f>
        <v>39518.391557499999</v>
      </c>
      <c r="G335" s="190">
        <f t="shared" si="10"/>
        <v>0.23560187414472364</v>
      </c>
      <c r="H335" s="190"/>
      <c r="I335" s="177" t="str">
        <f t="shared" si="11"/>
        <v>No identical published series</v>
      </c>
      <c r="J335" s="177">
        <v>4</v>
      </c>
      <c r="K335" s="184" t="s">
        <v>9150</v>
      </c>
      <c r="L335" s="184" t="s">
        <v>9151</v>
      </c>
    </row>
    <row r="336" spans="1:12" ht="64.05" customHeight="1" x14ac:dyDescent="0.3">
      <c r="A336" s="180" t="s">
        <v>18</v>
      </c>
      <c r="B336" s="180">
        <v>2025</v>
      </c>
      <c r="C336" s="180" t="s">
        <v>9082</v>
      </c>
      <c r="D336" s="180" t="s">
        <v>9148</v>
      </c>
      <c r="E336" s="189">
        <f>((KOHC!H96+KOHC!H106)*(1-(-KOHC!H97-KOHC!H98)/KOHC!H96))</f>
        <v>11774.87637616051</v>
      </c>
      <c r="F336" s="189">
        <f>KOHC!H70</f>
        <v>50197.816331000002</v>
      </c>
      <c r="G336" s="189">
        <f t="shared" si="10"/>
        <v>0.23456949398989801</v>
      </c>
      <c r="H336" s="189"/>
      <c r="I336" s="180" t="str">
        <f t="shared" si="11"/>
        <v>No identical published series</v>
      </c>
      <c r="J336" s="180">
        <v>4</v>
      </c>
      <c r="K336" s="183" t="s">
        <v>9150</v>
      </c>
      <c r="L336" s="183" t="s">
        <v>9151</v>
      </c>
    </row>
    <row r="337" spans="1:12" ht="64.05" customHeight="1" x14ac:dyDescent="0.3">
      <c r="A337" s="177" t="s">
        <v>18</v>
      </c>
      <c r="B337" s="177">
        <v>2025</v>
      </c>
      <c r="C337" s="177" t="s">
        <v>9082</v>
      </c>
      <c r="D337" s="177" t="s">
        <v>9149</v>
      </c>
      <c r="E337" s="190">
        <f>((KOHC!H96+KOHC!H106)*(1-(-KOHC!H97-KOHC!H98)/KOHC!H96))</f>
        <v>11774.87637616051</v>
      </c>
      <c r="F337" s="190">
        <f>AVERAGE(KOHC!G70,KOHC!H70)</f>
        <v>46720.590613000008</v>
      </c>
      <c r="G337" s="190">
        <f t="shared" si="10"/>
        <v>0.25202755833493573</v>
      </c>
      <c r="H337" s="190"/>
      <c r="I337" s="177" t="str">
        <f t="shared" si="11"/>
        <v>No identical published series</v>
      </c>
      <c r="J337" s="177">
        <v>4</v>
      </c>
      <c r="K337" s="184" t="s">
        <v>9150</v>
      </c>
      <c r="L337" s="184" t="s">
        <v>9151</v>
      </c>
    </row>
    <row r="338" spans="1:12" ht="64.05" customHeight="1" x14ac:dyDescent="0.3">
      <c r="A338" s="180" t="s">
        <v>18</v>
      </c>
      <c r="B338" s="180">
        <v>2021</v>
      </c>
      <c r="C338" s="180" t="s">
        <v>9086</v>
      </c>
      <c r="D338" s="180" t="s">
        <v>9148</v>
      </c>
      <c r="E338" s="189">
        <f>(KOHC!D96+KOHC!D106)</f>
        <v>5376.2589380000009</v>
      </c>
      <c r="F338" s="189">
        <f>KOHC!D37</f>
        <v>36086.921437000005</v>
      </c>
      <c r="G338" s="189">
        <f t="shared" si="10"/>
        <v>0.14898081420954101</v>
      </c>
      <c r="H338" s="189"/>
      <c r="I338" s="180" t="str">
        <f t="shared" si="11"/>
        <v>No identical published series</v>
      </c>
      <c r="J338" s="180">
        <v>4</v>
      </c>
      <c r="K338" s="183" t="s">
        <v>9150</v>
      </c>
      <c r="L338" s="183" t="s">
        <v>9151</v>
      </c>
    </row>
    <row r="339" spans="1:12" ht="64.05" customHeight="1" x14ac:dyDescent="0.3">
      <c r="A339" s="177" t="s">
        <v>18</v>
      </c>
      <c r="B339" s="177">
        <v>2021</v>
      </c>
      <c r="C339" s="177" t="s">
        <v>9086</v>
      </c>
      <c r="D339" s="177" t="s">
        <v>9149</v>
      </c>
      <c r="E339" s="190">
        <f>(KOHC!D96+KOHC!D106)</f>
        <v>5376.2589380000009</v>
      </c>
      <c r="F339" s="190">
        <f>AVERAGE(KOHC!C37,KOHC!D37)</f>
        <v>33921.794372000004</v>
      </c>
      <c r="G339" s="190">
        <f t="shared" si="10"/>
        <v>0.15848981569317322</v>
      </c>
      <c r="H339" s="190"/>
      <c r="I339" s="177" t="str">
        <f t="shared" si="11"/>
        <v>No identical published series</v>
      </c>
      <c r="J339" s="177">
        <v>4</v>
      </c>
      <c r="K339" s="184" t="s">
        <v>9150</v>
      </c>
      <c r="L339" s="184" t="s">
        <v>9151</v>
      </c>
    </row>
    <row r="340" spans="1:12" ht="64.05" customHeight="1" x14ac:dyDescent="0.3">
      <c r="A340" s="180" t="s">
        <v>18</v>
      </c>
      <c r="B340" s="180">
        <v>2022</v>
      </c>
      <c r="C340" s="180" t="s">
        <v>9086</v>
      </c>
      <c r="D340" s="180" t="s">
        <v>9148</v>
      </c>
      <c r="E340" s="189">
        <f>(KOHC!E96+KOHC!E106)</f>
        <v>9440.8254749999996</v>
      </c>
      <c r="F340" s="189">
        <f>KOHC!E37</f>
        <v>43350.667843999996</v>
      </c>
      <c r="G340" s="189">
        <f t="shared" si="10"/>
        <v>0.21777808611792054</v>
      </c>
      <c r="H340" s="189"/>
      <c r="I340" s="180" t="str">
        <f t="shared" si="11"/>
        <v>No identical published series</v>
      </c>
      <c r="J340" s="180">
        <v>4</v>
      </c>
      <c r="K340" s="183" t="s">
        <v>9150</v>
      </c>
      <c r="L340" s="183" t="s">
        <v>9151</v>
      </c>
    </row>
    <row r="341" spans="1:12" ht="64.05" customHeight="1" x14ac:dyDescent="0.3">
      <c r="A341" s="177" t="s">
        <v>18</v>
      </c>
      <c r="B341" s="177">
        <v>2022</v>
      </c>
      <c r="C341" s="177" t="s">
        <v>9086</v>
      </c>
      <c r="D341" s="177" t="s">
        <v>9149</v>
      </c>
      <c r="E341" s="190">
        <f>(KOHC!E96+KOHC!E106)</f>
        <v>9440.8254749999996</v>
      </c>
      <c r="F341" s="190">
        <f>AVERAGE(KOHC!D37,KOHC!E37)</f>
        <v>39718.794640499997</v>
      </c>
      <c r="G341" s="190">
        <f t="shared" si="10"/>
        <v>0.23769164095864806</v>
      </c>
      <c r="H341" s="190"/>
      <c r="I341" s="177" t="str">
        <f t="shared" si="11"/>
        <v>No identical published series</v>
      </c>
      <c r="J341" s="177">
        <v>4</v>
      </c>
      <c r="K341" s="184" t="s">
        <v>9150</v>
      </c>
      <c r="L341" s="184" t="s">
        <v>9151</v>
      </c>
    </row>
    <row r="342" spans="1:12" ht="64.05" customHeight="1" x14ac:dyDescent="0.3">
      <c r="A342" s="180" t="s">
        <v>18</v>
      </c>
      <c r="B342" s="180">
        <v>2023</v>
      </c>
      <c r="C342" s="180" t="s">
        <v>9086</v>
      </c>
      <c r="D342" s="180" t="s">
        <v>9148</v>
      </c>
      <c r="E342" s="189">
        <f>(KOHC!F96+KOHC!F106)</f>
        <v>11152.891156999996</v>
      </c>
      <c r="F342" s="189">
        <f>KOHC!F37</f>
        <v>49530.075545</v>
      </c>
      <c r="G342" s="189">
        <f t="shared" si="10"/>
        <v>0.22517411964912432</v>
      </c>
      <c r="H342" s="189"/>
      <c r="I342" s="180" t="str">
        <f t="shared" si="11"/>
        <v>No identical published series</v>
      </c>
      <c r="J342" s="180">
        <v>4</v>
      </c>
      <c r="K342" s="183" t="s">
        <v>9150</v>
      </c>
      <c r="L342" s="183" t="s">
        <v>9151</v>
      </c>
    </row>
    <row r="343" spans="1:12" ht="64.05" customHeight="1" x14ac:dyDescent="0.3">
      <c r="A343" s="177" t="s">
        <v>18</v>
      </c>
      <c r="B343" s="177">
        <v>2023</v>
      </c>
      <c r="C343" s="177" t="s">
        <v>9086</v>
      </c>
      <c r="D343" s="177" t="s">
        <v>9149</v>
      </c>
      <c r="E343" s="190">
        <f>(KOHC!F96+KOHC!F106)</f>
        <v>11152.891156999996</v>
      </c>
      <c r="F343" s="190">
        <f>AVERAGE(KOHC!E37,KOHC!F37)</f>
        <v>46440.371694499998</v>
      </c>
      <c r="G343" s="190">
        <f t="shared" si="10"/>
        <v>0.24015507951502571</v>
      </c>
      <c r="H343" s="190"/>
      <c r="I343" s="177" t="str">
        <f t="shared" si="11"/>
        <v>No identical published series</v>
      </c>
      <c r="J343" s="177">
        <v>4</v>
      </c>
      <c r="K343" s="184" t="s">
        <v>9150</v>
      </c>
      <c r="L343" s="184" t="s">
        <v>9151</v>
      </c>
    </row>
    <row r="344" spans="1:12" ht="64.05" customHeight="1" x14ac:dyDescent="0.3">
      <c r="A344" s="180" t="s">
        <v>18</v>
      </c>
      <c r="B344" s="180">
        <v>2024</v>
      </c>
      <c r="C344" s="180" t="s">
        <v>9086</v>
      </c>
      <c r="D344" s="180" t="s">
        <v>9148</v>
      </c>
      <c r="E344" s="189">
        <f>(KOHC!G96+KOHC!G106)</f>
        <v>14422.469235000002</v>
      </c>
      <c r="F344" s="189">
        <f>KOHC!G37</f>
        <v>58843.295196999999</v>
      </c>
      <c r="G344" s="189">
        <f t="shared" si="10"/>
        <v>0.24509961902567451</v>
      </c>
      <c r="H344" s="189"/>
      <c r="I344" s="180" t="str">
        <f t="shared" si="11"/>
        <v>No identical published series</v>
      </c>
      <c r="J344" s="180">
        <v>4</v>
      </c>
      <c r="K344" s="183" t="s">
        <v>9150</v>
      </c>
      <c r="L344" s="183" t="s">
        <v>9151</v>
      </c>
    </row>
    <row r="345" spans="1:12" ht="64.05" customHeight="1" x14ac:dyDescent="0.3">
      <c r="A345" s="177" t="s">
        <v>18</v>
      </c>
      <c r="B345" s="177">
        <v>2024</v>
      </c>
      <c r="C345" s="177" t="s">
        <v>9086</v>
      </c>
      <c r="D345" s="177" t="s">
        <v>9149</v>
      </c>
      <c r="E345" s="190">
        <f>(KOHC!G96+KOHC!G106)</f>
        <v>14422.469235000002</v>
      </c>
      <c r="F345" s="190">
        <f>AVERAGE(KOHC!F37,KOHC!G37)</f>
        <v>54186.685371</v>
      </c>
      <c r="G345" s="190">
        <f t="shared" si="10"/>
        <v>0.26616260316078899</v>
      </c>
      <c r="H345" s="190"/>
      <c r="I345" s="177" t="str">
        <f t="shared" si="11"/>
        <v>No identical published series</v>
      </c>
      <c r="J345" s="177">
        <v>4</v>
      </c>
      <c r="K345" s="184" t="s">
        <v>9150</v>
      </c>
      <c r="L345" s="184" t="s">
        <v>9151</v>
      </c>
    </row>
    <row r="346" spans="1:12" ht="64.05" customHeight="1" x14ac:dyDescent="0.3">
      <c r="A346" s="180" t="s">
        <v>18</v>
      </c>
      <c r="B346" s="180">
        <v>2025</v>
      </c>
      <c r="C346" s="180" t="s">
        <v>9086</v>
      </c>
      <c r="D346" s="180" t="s">
        <v>9148</v>
      </c>
      <c r="E346" s="189">
        <f>(KOHC!H96+KOHC!H106)</f>
        <v>18053.034155999998</v>
      </c>
      <c r="F346" s="189">
        <f>KOHC!H37</f>
        <v>66794.311768</v>
      </c>
      <c r="G346" s="189">
        <f t="shared" si="10"/>
        <v>0.2702780173662766</v>
      </c>
      <c r="H346" s="189"/>
      <c r="I346" s="180" t="str">
        <f t="shared" si="11"/>
        <v>No identical published series</v>
      </c>
      <c r="J346" s="180">
        <v>4</v>
      </c>
      <c r="K346" s="183" t="s">
        <v>9150</v>
      </c>
      <c r="L346" s="183" t="s">
        <v>9151</v>
      </c>
    </row>
    <row r="347" spans="1:12" ht="64.05" customHeight="1" x14ac:dyDescent="0.3">
      <c r="A347" s="177" t="s">
        <v>18</v>
      </c>
      <c r="B347" s="177">
        <v>2025</v>
      </c>
      <c r="C347" s="177" t="s">
        <v>9086</v>
      </c>
      <c r="D347" s="177" t="s">
        <v>9149</v>
      </c>
      <c r="E347" s="190">
        <f>(KOHC!H96+KOHC!H106)</f>
        <v>18053.034155999998</v>
      </c>
      <c r="F347" s="190">
        <f>AVERAGE(KOHC!G37,KOHC!H37)</f>
        <v>62818.8034825</v>
      </c>
      <c r="G347" s="190">
        <f t="shared" si="10"/>
        <v>0.28738264906667943</v>
      </c>
      <c r="H347" s="190"/>
      <c r="I347" s="177" t="str">
        <f t="shared" si="11"/>
        <v>No identical published series</v>
      </c>
      <c r="J347" s="177">
        <v>4</v>
      </c>
      <c r="K347" s="184" t="s">
        <v>9150</v>
      </c>
      <c r="L347" s="184" t="s">
        <v>9151</v>
      </c>
    </row>
    <row r="348" spans="1:12" ht="64.05" customHeight="1" x14ac:dyDescent="0.3">
      <c r="A348" s="180" t="s">
        <v>68</v>
      </c>
      <c r="B348" s="180">
        <v>2021</v>
      </c>
      <c r="C348" s="180" t="s">
        <v>9082</v>
      </c>
      <c r="D348" s="180" t="s">
        <v>9148</v>
      </c>
      <c r="E348" s="189">
        <f>((LUCK!D96+LUCK!D106)*(1-(-LUCK!D97-LUCK!D98)/LUCK!D96))</f>
        <v>14345.846812731341</v>
      </c>
      <c r="F348" s="189">
        <f>LUCK!D70</f>
        <v>123691.21</v>
      </c>
      <c r="G348" s="189">
        <f t="shared" si="10"/>
        <v>0.11598113408973314</v>
      </c>
      <c r="H348" s="189"/>
      <c r="I348" s="180" t="str">
        <f t="shared" si="11"/>
        <v>No identical published series</v>
      </c>
      <c r="J348" s="180">
        <v>4</v>
      </c>
      <c r="K348" s="183" t="s">
        <v>9150</v>
      </c>
      <c r="L348" s="183" t="s">
        <v>9151</v>
      </c>
    </row>
    <row r="349" spans="1:12" ht="64.05" customHeight="1" x14ac:dyDescent="0.3">
      <c r="A349" s="177" t="s">
        <v>68</v>
      </c>
      <c r="B349" s="177">
        <v>2021</v>
      </c>
      <c r="C349" s="177" t="s">
        <v>9082</v>
      </c>
      <c r="D349" s="177" t="s">
        <v>9149</v>
      </c>
      <c r="E349" s="190">
        <f>((LUCK!D96+LUCK!D106)*(1-(-LUCK!D97-LUCK!D98)/LUCK!D96))</f>
        <v>14345.846812731341</v>
      </c>
      <c r="F349" s="190">
        <f>AVERAGE(LUCK!C70,LUCK!D70)</f>
        <v>115626.8515</v>
      </c>
      <c r="G349" s="190">
        <f t="shared" si="10"/>
        <v>0.12407020191785936</v>
      </c>
      <c r="H349" s="190"/>
      <c r="I349" s="177" t="str">
        <f t="shared" si="11"/>
        <v>No identical published series</v>
      </c>
      <c r="J349" s="177">
        <v>4</v>
      </c>
      <c r="K349" s="184" t="s">
        <v>9150</v>
      </c>
      <c r="L349" s="184" t="s">
        <v>9151</v>
      </c>
    </row>
    <row r="350" spans="1:12" ht="64.05" customHeight="1" x14ac:dyDescent="0.3">
      <c r="A350" s="180" t="s">
        <v>68</v>
      </c>
      <c r="B350" s="180">
        <v>2022</v>
      </c>
      <c r="C350" s="180" t="s">
        <v>9082</v>
      </c>
      <c r="D350" s="180" t="s">
        <v>9148</v>
      </c>
      <c r="E350" s="189">
        <f>((LUCK!E96+LUCK!E106)*(1-(-LUCK!E97-LUCK!E98)/LUCK!E96))</f>
        <v>15580.374197659679</v>
      </c>
      <c r="F350" s="189">
        <f>LUCK!E70</f>
        <v>144135.97199999998</v>
      </c>
      <c r="G350" s="189">
        <f t="shared" si="10"/>
        <v>0.10809497435976413</v>
      </c>
      <c r="H350" s="189"/>
      <c r="I350" s="180" t="str">
        <f t="shared" si="11"/>
        <v>No identical published series</v>
      </c>
      <c r="J350" s="180">
        <v>4</v>
      </c>
      <c r="K350" s="183" t="s">
        <v>9150</v>
      </c>
      <c r="L350" s="183" t="s">
        <v>9151</v>
      </c>
    </row>
    <row r="351" spans="1:12" ht="64.05" customHeight="1" x14ac:dyDescent="0.3">
      <c r="A351" s="177" t="s">
        <v>68</v>
      </c>
      <c r="B351" s="177">
        <v>2022</v>
      </c>
      <c r="C351" s="177" t="s">
        <v>9082</v>
      </c>
      <c r="D351" s="177" t="s">
        <v>9149</v>
      </c>
      <c r="E351" s="190">
        <f>((LUCK!E96+LUCK!E106)*(1-(-LUCK!E97-LUCK!E98)/LUCK!E96))</f>
        <v>15580.374197659679</v>
      </c>
      <c r="F351" s="190">
        <f>AVERAGE(LUCK!D70,LUCK!E70)</f>
        <v>133913.59099999999</v>
      </c>
      <c r="G351" s="190">
        <f t="shared" si="10"/>
        <v>0.11634647447890245</v>
      </c>
      <c r="H351" s="190"/>
      <c r="I351" s="177" t="str">
        <f t="shared" si="11"/>
        <v>No identical published series</v>
      </c>
      <c r="J351" s="177">
        <v>4</v>
      </c>
      <c r="K351" s="184" t="s">
        <v>9150</v>
      </c>
      <c r="L351" s="184" t="s">
        <v>9151</v>
      </c>
    </row>
    <row r="352" spans="1:12" ht="64.05" customHeight="1" x14ac:dyDescent="0.3">
      <c r="A352" s="180" t="s">
        <v>68</v>
      </c>
      <c r="B352" s="180">
        <v>2023</v>
      </c>
      <c r="C352" s="180" t="s">
        <v>9082</v>
      </c>
      <c r="D352" s="180" t="s">
        <v>9148</v>
      </c>
      <c r="E352" s="189">
        <f>((LUCK!F96+LUCK!F106)*(1-(-LUCK!F97-LUCK!F98)/LUCK!F96))</f>
        <v>14471.033236746149</v>
      </c>
      <c r="F352" s="189">
        <f>LUCK!F70</f>
        <v>158408.27299999999</v>
      </c>
      <c r="G352" s="189">
        <f t="shared" si="10"/>
        <v>9.1352761839314733E-2</v>
      </c>
      <c r="H352" s="189"/>
      <c r="I352" s="180" t="str">
        <f t="shared" si="11"/>
        <v>No identical published series</v>
      </c>
      <c r="J352" s="180">
        <v>4</v>
      </c>
      <c r="K352" s="183" t="s">
        <v>9150</v>
      </c>
      <c r="L352" s="183" t="s">
        <v>9151</v>
      </c>
    </row>
    <row r="353" spans="1:12" ht="64.05" customHeight="1" x14ac:dyDescent="0.3">
      <c r="A353" s="177" t="s">
        <v>68</v>
      </c>
      <c r="B353" s="177">
        <v>2023</v>
      </c>
      <c r="C353" s="177" t="s">
        <v>9082</v>
      </c>
      <c r="D353" s="177" t="s">
        <v>9149</v>
      </c>
      <c r="E353" s="190">
        <f>((LUCK!F96+LUCK!F106)*(1-(-LUCK!F97-LUCK!F98)/LUCK!F96))</f>
        <v>14471.033236746149</v>
      </c>
      <c r="F353" s="190">
        <f>AVERAGE(LUCK!E70,LUCK!F70)</f>
        <v>151272.1225</v>
      </c>
      <c r="G353" s="190">
        <f t="shared" si="10"/>
        <v>9.5662260815743819E-2</v>
      </c>
      <c r="H353" s="190"/>
      <c r="I353" s="177" t="str">
        <f t="shared" si="11"/>
        <v>No identical published series</v>
      </c>
      <c r="J353" s="177">
        <v>4</v>
      </c>
      <c r="K353" s="184" t="s">
        <v>9150</v>
      </c>
      <c r="L353" s="184" t="s">
        <v>9151</v>
      </c>
    </row>
    <row r="354" spans="1:12" ht="64.05" customHeight="1" x14ac:dyDescent="0.3">
      <c r="A354" s="180" t="s">
        <v>68</v>
      </c>
      <c r="B354" s="180">
        <v>2024</v>
      </c>
      <c r="C354" s="180" t="s">
        <v>9082</v>
      </c>
      <c r="D354" s="180" t="s">
        <v>9148</v>
      </c>
      <c r="E354" s="189">
        <f>((LUCK!G96+LUCK!G106)*(1-(-LUCK!G97-LUCK!G98)/LUCK!G96))</f>
        <v>29166.307529463709</v>
      </c>
      <c r="F354" s="189">
        <f>LUCK!G70</f>
        <v>168106.06100000002</v>
      </c>
      <c r="G354" s="189">
        <f t="shared" si="10"/>
        <v>0.17349944050776198</v>
      </c>
      <c r="H354" s="189"/>
      <c r="I354" s="180" t="str">
        <f t="shared" si="11"/>
        <v>No identical published series</v>
      </c>
      <c r="J354" s="180">
        <v>4</v>
      </c>
      <c r="K354" s="183" t="s">
        <v>9150</v>
      </c>
      <c r="L354" s="183" t="s">
        <v>9151</v>
      </c>
    </row>
    <row r="355" spans="1:12" ht="64.05" customHeight="1" x14ac:dyDescent="0.3">
      <c r="A355" s="177" t="s">
        <v>68</v>
      </c>
      <c r="B355" s="177">
        <v>2024</v>
      </c>
      <c r="C355" s="177" t="s">
        <v>9082</v>
      </c>
      <c r="D355" s="177" t="s">
        <v>9149</v>
      </c>
      <c r="E355" s="190">
        <f>((LUCK!G96+LUCK!G106)*(1-(-LUCK!G97-LUCK!G98)/LUCK!G96))</f>
        <v>29166.307529463709</v>
      </c>
      <c r="F355" s="190">
        <f>AVERAGE(LUCK!F70,LUCK!G70)</f>
        <v>163257.16700000002</v>
      </c>
      <c r="G355" s="190">
        <f t="shared" si="10"/>
        <v>0.1786525398267122</v>
      </c>
      <c r="H355" s="190"/>
      <c r="I355" s="177" t="str">
        <f t="shared" si="11"/>
        <v>No identical published series</v>
      </c>
      <c r="J355" s="177">
        <v>4</v>
      </c>
      <c r="K355" s="184" t="s">
        <v>9150</v>
      </c>
      <c r="L355" s="184" t="s">
        <v>9151</v>
      </c>
    </row>
    <row r="356" spans="1:12" ht="64.05" customHeight="1" x14ac:dyDescent="0.3">
      <c r="A356" s="180" t="s">
        <v>68</v>
      </c>
      <c r="B356" s="180">
        <v>2025</v>
      </c>
      <c r="C356" s="180" t="s">
        <v>9082</v>
      </c>
      <c r="D356" s="180" t="s">
        <v>9148</v>
      </c>
      <c r="E356" s="189">
        <f>((LUCK!H96+LUCK!H106)*(1-(-LUCK!H97-LUCK!H98)/LUCK!H96))</f>
        <v>34019.442760603699</v>
      </c>
      <c r="F356" s="189">
        <f>LUCK!H70</f>
        <v>193446.00699999998</v>
      </c>
      <c r="G356" s="189">
        <f t="shared" si="10"/>
        <v>0.17586014458599655</v>
      </c>
      <c r="H356" s="189"/>
      <c r="I356" s="180" t="str">
        <f t="shared" si="11"/>
        <v>No identical published series</v>
      </c>
      <c r="J356" s="180">
        <v>4</v>
      </c>
      <c r="K356" s="183" t="s">
        <v>9150</v>
      </c>
      <c r="L356" s="183" t="s">
        <v>9151</v>
      </c>
    </row>
    <row r="357" spans="1:12" ht="64.05" customHeight="1" x14ac:dyDescent="0.3">
      <c r="A357" s="177" t="s">
        <v>68</v>
      </c>
      <c r="B357" s="177">
        <v>2025</v>
      </c>
      <c r="C357" s="177" t="s">
        <v>9082</v>
      </c>
      <c r="D357" s="177" t="s">
        <v>9149</v>
      </c>
      <c r="E357" s="190">
        <f>((LUCK!H96+LUCK!H106)*(1-(-LUCK!H97-LUCK!H98)/LUCK!H96))</f>
        <v>34019.442760603699</v>
      </c>
      <c r="F357" s="190">
        <f>AVERAGE(LUCK!G70,LUCK!H70)</f>
        <v>180776.03399999999</v>
      </c>
      <c r="G357" s="190">
        <f t="shared" si="10"/>
        <v>0.18818557973566177</v>
      </c>
      <c r="H357" s="190"/>
      <c r="I357" s="177" t="str">
        <f t="shared" si="11"/>
        <v>No identical published series</v>
      </c>
      <c r="J357" s="177">
        <v>4</v>
      </c>
      <c r="K357" s="184" t="s">
        <v>9150</v>
      </c>
      <c r="L357" s="184" t="s">
        <v>9151</v>
      </c>
    </row>
    <row r="358" spans="1:12" ht="64.05" customHeight="1" x14ac:dyDescent="0.3">
      <c r="A358" s="180" t="s">
        <v>68</v>
      </c>
      <c r="B358" s="180">
        <v>2021</v>
      </c>
      <c r="C358" s="180" t="s">
        <v>9086</v>
      </c>
      <c r="D358" s="180" t="s">
        <v>9148</v>
      </c>
      <c r="E358" s="189">
        <f>(LUCK!D96+LUCK!D106)</f>
        <v>17325.118000000002</v>
      </c>
      <c r="F358" s="189">
        <f>LUCK!D37</f>
        <v>156368.06200000001</v>
      </c>
      <c r="G358" s="189">
        <f t="shared" si="10"/>
        <v>0.11079703731315671</v>
      </c>
      <c r="H358" s="189"/>
      <c r="I358" s="180" t="str">
        <f t="shared" si="11"/>
        <v>No identical published series</v>
      </c>
      <c r="J358" s="180">
        <v>4</v>
      </c>
      <c r="K358" s="183" t="s">
        <v>9150</v>
      </c>
      <c r="L358" s="183" t="s">
        <v>9151</v>
      </c>
    </row>
    <row r="359" spans="1:12" ht="64.05" customHeight="1" x14ac:dyDescent="0.3">
      <c r="A359" s="177" t="s">
        <v>68</v>
      </c>
      <c r="B359" s="177">
        <v>2021</v>
      </c>
      <c r="C359" s="177" t="s">
        <v>9086</v>
      </c>
      <c r="D359" s="177" t="s">
        <v>9149</v>
      </c>
      <c r="E359" s="190">
        <f>(LUCK!D96+LUCK!D106)</f>
        <v>17325.118000000002</v>
      </c>
      <c r="F359" s="190">
        <f>AVERAGE(LUCK!C37,LUCK!D37)</f>
        <v>146118.26799999998</v>
      </c>
      <c r="G359" s="190">
        <f t="shared" si="10"/>
        <v>0.11856914427701815</v>
      </c>
      <c r="H359" s="190"/>
      <c r="I359" s="177" t="str">
        <f t="shared" si="11"/>
        <v>No identical published series</v>
      </c>
      <c r="J359" s="177">
        <v>4</v>
      </c>
      <c r="K359" s="184" t="s">
        <v>9150</v>
      </c>
      <c r="L359" s="184" t="s">
        <v>9151</v>
      </c>
    </row>
    <row r="360" spans="1:12" ht="64.05" customHeight="1" x14ac:dyDescent="0.3">
      <c r="A360" s="180" t="s">
        <v>68</v>
      </c>
      <c r="B360" s="180">
        <v>2022</v>
      </c>
      <c r="C360" s="180" t="s">
        <v>9086</v>
      </c>
      <c r="D360" s="180" t="s">
        <v>9148</v>
      </c>
      <c r="E360" s="189">
        <f>(LUCK!E96+LUCK!E106)</f>
        <v>21815.748999999993</v>
      </c>
      <c r="F360" s="189">
        <f>LUCK!E37</f>
        <v>184962.36800000002</v>
      </c>
      <c r="G360" s="189">
        <f t="shared" si="10"/>
        <v>0.11794695989186292</v>
      </c>
      <c r="H360" s="189"/>
      <c r="I360" s="180" t="str">
        <f t="shared" si="11"/>
        <v>No identical published series</v>
      </c>
      <c r="J360" s="180">
        <v>4</v>
      </c>
      <c r="K360" s="183" t="s">
        <v>9150</v>
      </c>
      <c r="L360" s="183" t="s">
        <v>9151</v>
      </c>
    </row>
    <row r="361" spans="1:12" ht="64.05" customHeight="1" x14ac:dyDescent="0.3">
      <c r="A361" s="177" t="s">
        <v>68</v>
      </c>
      <c r="B361" s="177">
        <v>2022</v>
      </c>
      <c r="C361" s="177" t="s">
        <v>9086</v>
      </c>
      <c r="D361" s="177" t="s">
        <v>9149</v>
      </c>
      <c r="E361" s="190">
        <f>(LUCK!E96+LUCK!E106)</f>
        <v>21815.748999999993</v>
      </c>
      <c r="F361" s="190">
        <f>AVERAGE(LUCK!D37,LUCK!E37)</f>
        <v>170665.21500000003</v>
      </c>
      <c r="G361" s="190">
        <f t="shared" si="10"/>
        <v>0.12782774158166904</v>
      </c>
      <c r="H361" s="190"/>
      <c r="I361" s="177" t="str">
        <f t="shared" si="11"/>
        <v>No identical published series</v>
      </c>
      <c r="J361" s="177">
        <v>4</v>
      </c>
      <c r="K361" s="184" t="s">
        <v>9150</v>
      </c>
      <c r="L361" s="184" t="s">
        <v>9151</v>
      </c>
    </row>
    <row r="362" spans="1:12" ht="64.05" customHeight="1" x14ac:dyDescent="0.3">
      <c r="A362" s="180" t="s">
        <v>68</v>
      </c>
      <c r="B362" s="180">
        <v>2023</v>
      </c>
      <c r="C362" s="180" t="s">
        <v>9086</v>
      </c>
      <c r="D362" s="180" t="s">
        <v>9148</v>
      </c>
      <c r="E362" s="189">
        <f>(LUCK!F96+LUCK!F106)</f>
        <v>22502.069999999996</v>
      </c>
      <c r="F362" s="189">
        <f>LUCK!F37</f>
        <v>213079.06700000001</v>
      </c>
      <c r="G362" s="189">
        <f t="shared" si="10"/>
        <v>0.10560432010902317</v>
      </c>
      <c r="H362" s="189"/>
      <c r="I362" s="180" t="str">
        <f t="shared" si="11"/>
        <v>No identical published series</v>
      </c>
      <c r="J362" s="180">
        <v>4</v>
      </c>
      <c r="K362" s="183" t="s">
        <v>9150</v>
      </c>
      <c r="L362" s="183" t="s">
        <v>9151</v>
      </c>
    </row>
    <row r="363" spans="1:12" ht="64.05" customHeight="1" x14ac:dyDescent="0.3">
      <c r="A363" s="177" t="s">
        <v>68</v>
      </c>
      <c r="B363" s="177">
        <v>2023</v>
      </c>
      <c r="C363" s="177" t="s">
        <v>9086</v>
      </c>
      <c r="D363" s="177" t="s">
        <v>9149</v>
      </c>
      <c r="E363" s="190">
        <f>(LUCK!F96+LUCK!F106)</f>
        <v>22502.069999999996</v>
      </c>
      <c r="F363" s="190">
        <f>AVERAGE(LUCK!E37,LUCK!F37)</f>
        <v>199020.71750000003</v>
      </c>
      <c r="G363" s="190">
        <f t="shared" si="10"/>
        <v>0.11306395777615461</v>
      </c>
      <c r="H363" s="190"/>
      <c r="I363" s="177" t="str">
        <f t="shared" si="11"/>
        <v>No identical published series</v>
      </c>
      <c r="J363" s="177">
        <v>4</v>
      </c>
      <c r="K363" s="184" t="s">
        <v>9150</v>
      </c>
      <c r="L363" s="184" t="s">
        <v>9151</v>
      </c>
    </row>
    <row r="364" spans="1:12" ht="64.05" customHeight="1" x14ac:dyDescent="0.3">
      <c r="A364" s="180" t="s">
        <v>68</v>
      </c>
      <c r="B364" s="180">
        <v>2024</v>
      </c>
      <c r="C364" s="180" t="s">
        <v>9086</v>
      </c>
      <c r="D364" s="180" t="s">
        <v>9148</v>
      </c>
      <c r="E364" s="189">
        <f>(LUCK!G96+LUCK!G106)</f>
        <v>42948.099000000002</v>
      </c>
      <c r="F364" s="189">
        <f>LUCK!G37</f>
        <v>234018.09</v>
      </c>
      <c r="G364" s="189">
        <f t="shared" si="10"/>
        <v>0.18352469674459784</v>
      </c>
      <c r="H364" s="189"/>
      <c r="I364" s="180" t="str">
        <f t="shared" si="11"/>
        <v>No identical published series</v>
      </c>
      <c r="J364" s="180">
        <v>4</v>
      </c>
      <c r="K364" s="183" t="s">
        <v>9150</v>
      </c>
      <c r="L364" s="183" t="s">
        <v>9151</v>
      </c>
    </row>
    <row r="365" spans="1:12" ht="64.05" customHeight="1" x14ac:dyDescent="0.3">
      <c r="A365" s="177" t="s">
        <v>68</v>
      </c>
      <c r="B365" s="177">
        <v>2024</v>
      </c>
      <c r="C365" s="177" t="s">
        <v>9086</v>
      </c>
      <c r="D365" s="177" t="s">
        <v>9149</v>
      </c>
      <c r="E365" s="190">
        <f>(LUCK!G96+LUCK!G106)</f>
        <v>42948.099000000002</v>
      </c>
      <c r="F365" s="190">
        <f>AVERAGE(LUCK!F37,LUCK!G37)</f>
        <v>223548.5785</v>
      </c>
      <c r="G365" s="190">
        <f t="shared" si="10"/>
        <v>0.19211975888274324</v>
      </c>
      <c r="H365" s="190"/>
      <c r="I365" s="177" t="str">
        <f t="shared" si="11"/>
        <v>No identical published series</v>
      </c>
      <c r="J365" s="177">
        <v>4</v>
      </c>
      <c r="K365" s="184" t="s">
        <v>9150</v>
      </c>
      <c r="L365" s="184" t="s">
        <v>9151</v>
      </c>
    </row>
    <row r="366" spans="1:12" ht="64.05" customHeight="1" x14ac:dyDescent="0.3">
      <c r="A366" s="180" t="s">
        <v>68</v>
      </c>
      <c r="B366" s="180">
        <v>2025</v>
      </c>
      <c r="C366" s="180" t="s">
        <v>9086</v>
      </c>
      <c r="D366" s="180" t="s">
        <v>9148</v>
      </c>
      <c r="E366" s="189">
        <f>(LUCK!H96+LUCK!H106)</f>
        <v>48649.106</v>
      </c>
      <c r="F366" s="189">
        <f>LUCK!H37</f>
        <v>266748.03000000003</v>
      </c>
      <c r="G366" s="189">
        <f t="shared" si="10"/>
        <v>0.18237850153944901</v>
      </c>
      <c r="H366" s="189"/>
      <c r="I366" s="180" t="str">
        <f t="shared" si="11"/>
        <v>No identical published series</v>
      </c>
      <c r="J366" s="180">
        <v>4</v>
      </c>
      <c r="K366" s="183" t="s">
        <v>9150</v>
      </c>
      <c r="L366" s="183" t="s">
        <v>9151</v>
      </c>
    </row>
    <row r="367" spans="1:12" ht="64.05" customHeight="1" x14ac:dyDescent="0.3">
      <c r="A367" s="177" t="s">
        <v>68</v>
      </c>
      <c r="B367" s="177">
        <v>2025</v>
      </c>
      <c r="C367" s="177" t="s">
        <v>9086</v>
      </c>
      <c r="D367" s="177" t="s">
        <v>9149</v>
      </c>
      <c r="E367" s="190">
        <f>(LUCK!H96+LUCK!H106)</f>
        <v>48649.106</v>
      </c>
      <c r="F367" s="190">
        <f>AVERAGE(LUCK!G37,LUCK!H37)</f>
        <v>250383.06</v>
      </c>
      <c r="G367" s="190">
        <f t="shared" si="10"/>
        <v>0.19429871174192057</v>
      </c>
      <c r="H367" s="190"/>
      <c r="I367" s="177" t="str">
        <f t="shared" si="11"/>
        <v>No identical published series</v>
      </c>
      <c r="J367" s="177">
        <v>4</v>
      </c>
      <c r="K367" s="184" t="s">
        <v>9150</v>
      </c>
      <c r="L367" s="184" t="s">
        <v>9151</v>
      </c>
    </row>
    <row r="368" spans="1:12" ht="64.05" customHeight="1" x14ac:dyDescent="0.3">
      <c r="A368" s="180" t="s">
        <v>86</v>
      </c>
      <c r="B368" s="180">
        <v>2021</v>
      </c>
      <c r="C368" s="180" t="s">
        <v>9082</v>
      </c>
      <c r="D368" s="180" t="s">
        <v>9148</v>
      </c>
      <c r="E368" s="189">
        <f>((DGKC!D96+DGKC!D106)*(1-(-DGKC!D97-DGKC!D98)/DGKC!D96))</f>
        <v>5972.182217883832</v>
      </c>
      <c r="F368" s="189">
        <f>DGKC!D70</f>
        <v>117270.69</v>
      </c>
      <c r="G368" s="189">
        <f t="shared" si="10"/>
        <v>5.0926469503026137E-2</v>
      </c>
      <c r="H368" s="189"/>
      <c r="I368" s="180" t="str">
        <f t="shared" si="11"/>
        <v>No identical published series</v>
      </c>
      <c r="J368" s="180">
        <v>4</v>
      </c>
      <c r="K368" s="183" t="s">
        <v>9150</v>
      </c>
      <c r="L368" s="183" t="s">
        <v>9151</v>
      </c>
    </row>
    <row r="369" spans="1:12" ht="64.05" customHeight="1" x14ac:dyDescent="0.3">
      <c r="A369" s="177" t="s">
        <v>86</v>
      </c>
      <c r="B369" s="177">
        <v>2021</v>
      </c>
      <c r="C369" s="177" t="s">
        <v>9082</v>
      </c>
      <c r="D369" s="177" t="s">
        <v>9149</v>
      </c>
      <c r="E369" s="190">
        <f>((DGKC!D96+DGKC!D106)*(1-(-DGKC!D97-DGKC!D98)/DGKC!D96))</f>
        <v>5972.182217883832</v>
      </c>
      <c r="F369" s="190">
        <f>AVERAGE(DGKC!C70,DGKC!D70)</f>
        <v>115696.7175</v>
      </c>
      <c r="G369" s="190">
        <f t="shared" si="10"/>
        <v>5.1619288316315737E-2</v>
      </c>
      <c r="H369" s="190"/>
      <c r="I369" s="177" t="str">
        <f t="shared" si="11"/>
        <v>No identical published series</v>
      </c>
      <c r="J369" s="177">
        <v>4</v>
      </c>
      <c r="K369" s="184" t="s">
        <v>9150</v>
      </c>
      <c r="L369" s="184" t="s">
        <v>9151</v>
      </c>
    </row>
    <row r="370" spans="1:12" ht="64.05" customHeight="1" x14ac:dyDescent="0.3">
      <c r="A370" s="180" t="s">
        <v>86</v>
      </c>
      <c r="B370" s="180">
        <v>2022</v>
      </c>
      <c r="C370" s="180" t="s">
        <v>9082</v>
      </c>
      <c r="D370" s="180" t="s">
        <v>9148</v>
      </c>
      <c r="E370" s="189">
        <f>((DGKC!E96+DGKC!E106)*(1-(-DGKC!E97-DGKC!E98)/DGKC!E96))</f>
        <v>4722.2327928261584</v>
      </c>
      <c r="F370" s="189">
        <f>DGKC!E70</f>
        <v>116394.003</v>
      </c>
      <c r="G370" s="189">
        <f t="shared" si="10"/>
        <v>4.0571100495840479E-2</v>
      </c>
      <c r="H370" s="189"/>
      <c r="I370" s="180" t="str">
        <f t="shared" si="11"/>
        <v>No identical published series</v>
      </c>
      <c r="J370" s="180">
        <v>4</v>
      </c>
      <c r="K370" s="183" t="s">
        <v>9150</v>
      </c>
      <c r="L370" s="183" t="s">
        <v>9151</v>
      </c>
    </row>
    <row r="371" spans="1:12" ht="64.05" customHeight="1" x14ac:dyDescent="0.3">
      <c r="A371" s="177" t="s">
        <v>86</v>
      </c>
      <c r="B371" s="177">
        <v>2022</v>
      </c>
      <c r="C371" s="177" t="s">
        <v>9082</v>
      </c>
      <c r="D371" s="177" t="s">
        <v>9149</v>
      </c>
      <c r="E371" s="190">
        <f>((DGKC!E96+DGKC!E106)*(1-(-DGKC!E97-DGKC!E98)/DGKC!E96))</f>
        <v>4722.2327928261584</v>
      </c>
      <c r="F371" s="190">
        <f>AVERAGE(DGKC!D70,DGKC!E70)</f>
        <v>116832.3465</v>
      </c>
      <c r="G371" s="190">
        <f t="shared" si="10"/>
        <v>4.0418881707782517E-2</v>
      </c>
      <c r="H371" s="190"/>
      <c r="I371" s="177" t="str">
        <f t="shared" si="11"/>
        <v>No identical published series</v>
      </c>
      <c r="J371" s="177">
        <v>4</v>
      </c>
      <c r="K371" s="184" t="s">
        <v>9150</v>
      </c>
      <c r="L371" s="184" t="s">
        <v>9151</v>
      </c>
    </row>
    <row r="372" spans="1:12" ht="64.05" customHeight="1" x14ac:dyDescent="0.3">
      <c r="A372" s="180" t="s">
        <v>86</v>
      </c>
      <c r="B372" s="180">
        <v>2023</v>
      </c>
      <c r="C372" s="180" t="s">
        <v>9082</v>
      </c>
      <c r="D372" s="180" t="s">
        <v>9148</v>
      </c>
      <c r="E372" s="189">
        <f>((DGKC!F96+DGKC!F106)*(1-(-DGKC!F97-DGKC!F98)/DGKC!F96))</f>
        <v>-11343.33437356962</v>
      </c>
      <c r="F372" s="189">
        <f>DGKC!F70</f>
        <v>106720.55300000001</v>
      </c>
      <c r="G372" s="189">
        <f t="shared" si="10"/>
        <v>-0.10629006367282991</v>
      </c>
      <c r="H372" s="189"/>
      <c r="I372" s="180" t="str">
        <f t="shared" si="11"/>
        <v>No identical published series</v>
      </c>
      <c r="J372" s="180">
        <v>4</v>
      </c>
      <c r="K372" s="183" t="s">
        <v>9150</v>
      </c>
      <c r="L372" s="183" t="s">
        <v>9151</v>
      </c>
    </row>
    <row r="373" spans="1:12" ht="64.05" customHeight="1" x14ac:dyDescent="0.3">
      <c r="A373" s="177" t="s">
        <v>86</v>
      </c>
      <c r="B373" s="177">
        <v>2023</v>
      </c>
      <c r="C373" s="177" t="s">
        <v>9082</v>
      </c>
      <c r="D373" s="177" t="s">
        <v>9149</v>
      </c>
      <c r="E373" s="190">
        <f>((DGKC!F96+DGKC!F106)*(1-(-DGKC!F97-DGKC!F98)/DGKC!F96))</f>
        <v>-11343.33437356962</v>
      </c>
      <c r="F373" s="190">
        <f>AVERAGE(DGKC!E70,DGKC!F70)</f>
        <v>111557.27800000001</v>
      </c>
      <c r="G373" s="190">
        <f t="shared" si="10"/>
        <v>-0.10168170626724703</v>
      </c>
      <c r="H373" s="190"/>
      <c r="I373" s="177" t="str">
        <f t="shared" si="11"/>
        <v>No identical published series</v>
      </c>
      <c r="J373" s="177">
        <v>4</v>
      </c>
      <c r="K373" s="184" t="s">
        <v>9150</v>
      </c>
      <c r="L373" s="184" t="s">
        <v>9151</v>
      </c>
    </row>
    <row r="374" spans="1:12" ht="64.05" customHeight="1" x14ac:dyDescent="0.3">
      <c r="A374" s="180" t="s">
        <v>86</v>
      </c>
      <c r="B374" s="180">
        <v>2024</v>
      </c>
      <c r="C374" s="180" t="s">
        <v>9082</v>
      </c>
      <c r="D374" s="180" t="s">
        <v>9148</v>
      </c>
      <c r="E374" s="189">
        <f>((DGKC!G96+DGKC!G106)*(1-(-DGKC!G97-DGKC!G98)/DGKC!G96))</f>
        <v>2056.5251436812068</v>
      </c>
      <c r="F374" s="189">
        <f>DGKC!G70</f>
        <v>110169.34400000001</v>
      </c>
      <c r="G374" s="189">
        <f t="shared" si="10"/>
        <v>1.8666945531428475E-2</v>
      </c>
      <c r="H374" s="189"/>
      <c r="I374" s="180" t="str">
        <f t="shared" si="11"/>
        <v>No identical published series</v>
      </c>
      <c r="J374" s="180">
        <v>4</v>
      </c>
      <c r="K374" s="183" t="s">
        <v>9150</v>
      </c>
      <c r="L374" s="183" t="s">
        <v>9151</v>
      </c>
    </row>
    <row r="375" spans="1:12" ht="64.05" customHeight="1" x14ac:dyDescent="0.3">
      <c r="A375" s="177" t="s">
        <v>86</v>
      </c>
      <c r="B375" s="177">
        <v>2024</v>
      </c>
      <c r="C375" s="177" t="s">
        <v>9082</v>
      </c>
      <c r="D375" s="177" t="s">
        <v>9149</v>
      </c>
      <c r="E375" s="190">
        <f>((DGKC!G96+DGKC!G106)*(1-(-DGKC!G97-DGKC!G98)/DGKC!G96))</f>
        <v>2056.5251436812068</v>
      </c>
      <c r="F375" s="190">
        <f>AVERAGE(DGKC!F70,DGKC!G70)</f>
        <v>108444.94850000001</v>
      </c>
      <c r="G375" s="190">
        <f t="shared" si="10"/>
        <v>1.8963770762279505E-2</v>
      </c>
      <c r="H375" s="190"/>
      <c r="I375" s="177" t="str">
        <f t="shared" si="11"/>
        <v>No identical published series</v>
      </c>
      <c r="J375" s="177">
        <v>4</v>
      </c>
      <c r="K375" s="184" t="s">
        <v>9150</v>
      </c>
      <c r="L375" s="184" t="s">
        <v>9151</v>
      </c>
    </row>
    <row r="376" spans="1:12" ht="64.05" customHeight="1" x14ac:dyDescent="0.3">
      <c r="A376" s="180" t="s">
        <v>86</v>
      </c>
      <c r="B376" s="180">
        <v>2025</v>
      </c>
      <c r="C376" s="180" t="s">
        <v>9082</v>
      </c>
      <c r="D376" s="180" t="s">
        <v>9148</v>
      </c>
      <c r="E376" s="189">
        <f>((DGKC!H96+DGKC!H106)*(1-(-DGKC!H97-DGKC!H98)/DGKC!H96))</f>
        <v>11221.110353736964</v>
      </c>
      <c r="F376" s="189">
        <f>DGKC!H70</f>
        <v>116574.57800000001</v>
      </c>
      <c r="G376" s="189">
        <f t="shared" si="10"/>
        <v>9.6256924504903307E-2</v>
      </c>
      <c r="H376" s="189"/>
      <c r="I376" s="180" t="str">
        <f t="shared" si="11"/>
        <v>No identical published series</v>
      </c>
      <c r="J376" s="180">
        <v>4</v>
      </c>
      <c r="K376" s="183" t="s">
        <v>9150</v>
      </c>
      <c r="L376" s="183" t="s">
        <v>9151</v>
      </c>
    </row>
    <row r="377" spans="1:12" ht="64.05" customHeight="1" x14ac:dyDescent="0.3">
      <c r="A377" s="177" t="s">
        <v>86</v>
      </c>
      <c r="B377" s="177">
        <v>2025</v>
      </c>
      <c r="C377" s="177" t="s">
        <v>9082</v>
      </c>
      <c r="D377" s="177" t="s">
        <v>9149</v>
      </c>
      <c r="E377" s="190">
        <f>((DGKC!H96+DGKC!H106)*(1-(-DGKC!H97-DGKC!H98)/DGKC!H96))</f>
        <v>11221.110353736964</v>
      </c>
      <c r="F377" s="190">
        <f>AVERAGE(DGKC!G70,DGKC!H70)</f>
        <v>113371.96100000001</v>
      </c>
      <c r="G377" s="190">
        <f t="shared" si="10"/>
        <v>9.8976062994420314E-2</v>
      </c>
      <c r="H377" s="190"/>
      <c r="I377" s="177" t="str">
        <f t="shared" si="11"/>
        <v>No identical published series</v>
      </c>
      <c r="J377" s="177">
        <v>4</v>
      </c>
      <c r="K377" s="184" t="s">
        <v>9150</v>
      </c>
      <c r="L377" s="184" t="s">
        <v>9151</v>
      </c>
    </row>
    <row r="378" spans="1:12" ht="64.05" customHeight="1" x14ac:dyDescent="0.3">
      <c r="A378" s="180" t="s">
        <v>86</v>
      </c>
      <c r="B378" s="180">
        <v>2021</v>
      </c>
      <c r="C378" s="180" t="s">
        <v>9086</v>
      </c>
      <c r="D378" s="180" t="s">
        <v>9148</v>
      </c>
      <c r="E378" s="189">
        <f>(DGKC!D96+DGKC!D106)</f>
        <v>7657.514000000001</v>
      </c>
      <c r="F378" s="189">
        <f>DGKC!D37</f>
        <v>137894.69700000001</v>
      </c>
      <c r="G378" s="189">
        <f t="shared" si="10"/>
        <v>5.5531606121154903E-2</v>
      </c>
      <c r="H378" s="189"/>
      <c r="I378" s="180" t="str">
        <f t="shared" si="11"/>
        <v>No identical published series</v>
      </c>
      <c r="J378" s="180">
        <v>4</v>
      </c>
      <c r="K378" s="183" t="s">
        <v>9150</v>
      </c>
      <c r="L378" s="183" t="s">
        <v>9151</v>
      </c>
    </row>
    <row r="379" spans="1:12" ht="64.05" customHeight="1" x14ac:dyDescent="0.3">
      <c r="A379" s="177" t="s">
        <v>86</v>
      </c>
      <c r="B379" s="177">
        <v>2021</v>
      </c>
      <c r="C379" s="177" t="s">
        <v>9086</v>
      </c>
      <c r="D379" s="177" t="s">
        <v>9149</v>
      </c>
      <c r="E379" s="190">
        <f>(DGKC!D96+DGKC!D106)</f>
        <v>7657.514000000001</v>
      </c>
      <c r="F379" s="190">
        <f>AVERAGE(DGKC!C37,DGKC!D37)</f>
        <v>133723.11550000001</v>
      </c>
      <c r="G379" s="190">
        <f t="shared" si="10"/>
        <v>5.7263951496852469E-2</v>
      </c>
      <c r="H379" s="190"/>
      <c r="I379" s="177" t="str">
        <f t="shared" si="11"/>
        <v>No identical published series</v>
      </c>
      <c r="J379" s="177">
        <v>4</v>
      </c>
      <c r="K379" s="184" t="s">
        <v>9150</v>
      </c>
      <c r="L379" s="184" t="s">
        <v>9151</v>
      </c>
    </row>
    <row r="380" spans="1:12" ht="64.05" customHeight="1" x14ac:dyDescent="0.3">
      <c r="A380" s="180" t="s">
        <v>86</v>
      </c>
      <c r="B380" s="180">
        <v>2022</v>
      </c>
      <c r="C380" s="180" t="s">
        <v>9086</v>
      </c>
      <c r="D380" s="180" t="s">
        <v>9148</v>
      </c>
      <c r="E380" s="189">
        <f>(DGKC!E96+DGKC!E106)</f>
        <v>9564.4179999999978</v>
      </c>
      <c r="F380" s="189">
        <f>DGKC!E37</f>
        <v>136562.01300000001</v>
      </c>
      <c r="G380" s="189">
        <f t="shared" si="10"/>
        <v>7.0037177908325046E-2</v>
      </c>
      <c r="H380" s="189"/>
      <c r="I380" s="180" t="str">
        <f t="shared" si="11"/>
        <v>No identical published series</v>
      </c>
      <c r="J380" s="180">
        <v>4</v>
      </c>
      <c r="K380" s="183" t="s">
        <v>9150</v>
      </c>
      <c r="L380" s="183" t="s">
        <v>9151</v>
      </c>
    </row>
    <row r="381" spans="1:12" ht="64.05" customHeight="1" x14ac:dyDescent="0.3">
      <c r="A381" s="177" t="s">
        <v>86</v>
      </c>
      <c r="B381" s="177">
        <v>2022</v>
      </c>
      <c r="C381" s="177" t="s">
        <v>9086</v>
      </c>
      <c r="D381" s="177" t="s">
        <v>9149</v>
      </c>
      <c r="E381" s="190">
        <f>(DGKC!E96+DGKC!E106)</f>
        <v>9564.4179999999978</v>
      </c>
      <c r="F381" s="190">
        <f>AVERAGE(DGKC!D37,DGKC!E37)</f>
        <v>137228.35500000001</v>
      </c>
      <c r="G381" s="190">
        <f t="shared" si="10"/>
        <v>6.9697097221634682E-2</v>
      </c>
      <c r="H381" s="190"/>
      <c r="I381" s="177" t="str">
        <f t="shared" si="11"/>
        <v>No identical published series</v>
      </c>
      <c r="J381" s="177">
        <v>4</v>
      </c>
      <c r="K381" s="184" t="s">
        <v>9150</v>
      </c>
      <c r="L381" s="184" t="s">
        <v>9151</v>
      </c>
    </row>
    <row r="382" spans="1:12" ht="64.05" customHeight="1" x14ac:dyDescent="0.3">
      <c r="A382" s="180" t="s">
        <v>86</v>
      </c>
      <c r="B382" s="180">
        <v>2023</v>
      </c>
      <c r="C382" s="180" t="s">
        <v>9086</v>
      </c>
      <c r="D382" s="180" t="s">
        <v>9148</v>
      </c>
      <c r="E382" s="189">
        <f>(DGKC!F96+DGKC!F106)</f>
        <v>9866.3420000000006</v>
      </c>
      <c r="F382" s="189">
        <f>DGKC!F37</f>
        <v>134713.25400000002</v>
      </c>
      <c r="G382" s="189">
        <f t="shared" si="10"/>
        <v>7.3239578935566346E-2</v>
      </c>
      <c r="H382" s="189"/>
      <c r="I382" s="180" t="str">
        <f t="shared" si="11"/>
        <v>No identical published series</v>
      </c>
      <c r="J382" s="180">
        <v>4</v>
      </c>
      <c r="K382" s="183" t="s">
        <v>9150</v>
      </c>
      <c r="L382" s="183" t="s">
        <v>9151</v>
      </c>
    </row>
    <row r="383" spans="1:12" ht="64.05" customHeight="1" x14ac:dyDescent="0.3">
      <c r="A383" s="177" t="s">
        <v>86</v>
      </c>
      <c r="B383" s="177">
        <v>2023</v>
      </c>
      <c r="C383" s="177" t="s">
        <v>9086</v>
      </c>
      <c r="D383" s="177" t="s">
        <v>9149</v>
      </c>
      <c r="E383" s="190">
        <f>(DGKC!F96+DGKC!F106)</f>
        <v>9866.3420000000006</v>
      </c>
      <c r="F383" s="190">
        <f>AVERAGE(DGKC!E37,DGKC!F37)</f>
        <v>135637.6335</v>
      </c>
      <c r="G383" s="190">
        <f t="shared" si="10"/>
        <v>7.2740446330479519E-2</v>
      </c>
      <c r="H383" s="190"/>
      <c r="I383" s="177" t="str">
        <f t="shared" si="11"/>
        <v>No identical published series</v>
      </c>
      <c r="J383" s="177">
        <v>4</v>
      </c>
      <c r="K383" s="184" t="s">
        <v>9150</v>
      </c>
      <c r="L383" s="184" t="s">
        <v>9151</v>
      </c>
    </row>
    <row r="384" spans="1:12" ht="64.05" customHeight="1" x14ac:dyDescent="0.3">
      <c r="A384" s="180" t="s">
        <v>86</v>
      </c>
      <c r="B384" s="180">
        <v>2024</v>
      </c>
      <c r="C384" s="180" t="s">
        <v>9086</v>
      </c>
      <c r="D384" s="180" t="s">
        <v>9148</v>
      </c>
      <c r="E384" s="189">
        <f>(DGKC!G96+DGKC!G106)</f>
        <v>10763.888000000001</v>
      </c>
      <c r="F384" s="189">
        <f>DGKC!G37</f>
        <v>138385.75400000002</v>
      </c>
      <c r="G384" s="189">
        <f t="shared" si="10"/>
        <v>7.7781763576617868E-2</v>
      </c>
      <c r="H384" s="189"/>
      <c r="I384" s="180" t="str">
        <f t="shared" si="11"/>
        <v>No identical published series</v>
      </c>
      <c r="J384" s="180">
        <v>4</v>
      </c>
      <c r="K384" s="183" t="s">
        <v>9150</v>
      </c>
      <c r="L384" s="183" t="s">
        <v>9151</v>
      </c>
    </row>
    <row r="385" spans="1:12" ht="64.05" customHeight="1" x14ac:dyDescent="0.3">
      <c r="A385" s="177" t="s">
        <v>86</v>
      </c>
      <c r="B385" s="177">
        <v>2024</v>
      </c>
      <c r="C385" s="177" t="s">
        <v>9086</v>
      </c>
      <c r="D385" s="177" t="s">
        <v>9149</v>
      </c>
      <c r="E385" s="190">
        <f>(DGKC!G96+DGKC!G106)</f>
        <v>10763.888000000001</v>
      </c>
      <c r="F385" s="190">
        <f>AVERAGE(DGKC!F37,DGKC!G37)</f>
        <v>136549.50400000002</v>
      </c>
      <c r="G385" s="190">
        <f t="shared" si="10"/>
        <v>7.8827734152736278E-2</v>
      </c>
      <c r="H385" s="190"/>
      <c r="I385" s="177" t="str">
        <f t="shared" si="11"/>
        <v>No identical published series</v>
      </c>
      <c r="J385" s="177">
        <v>4</v>
      </c>
      <c r="K385" s="184" t="s">
        <v>9150</v>
      </c>
      <c r="L385" s="184" t="s">
        <v>9151</v>
      </c>
    </row>
    <row r="386" spans="1:12" ht="64.05" customHeight="1" x14ac:dyDescent="0.3">
      <c r="A386" s="180" t="s">
        <v>86</v>
      </c>
      <c r="B386" s="180">
        <v>2025</v>
      </c>
      <c r="C386" s="180" t="s">
        <v>9086</v>
      </c>
      <c r="D386" s="180" t="s">
        <v>9148</v>
      </c>
      <c r="E386" s="189">
        <f>(DGKC!H96+DGKC!H106)</f>
        <v>16821.347999999998</v>
      </c>
      <c r="F386" s="189">
        <f>DGKC!H37</f>
        <v>145924.23499999999</v>
      </c>
      <c r="G386" s="189">
        <f t="shared" si="10"/>
        <v>0.11527453270527682</v>
      </c>
      <c r="H386" s="189"/>
      <c r="I386" s="180" t="str">
        <f t="shared" si="11"/>
        <v>No identical published series</v>
      </c>
      <c r="J386" s="180">
        <v>4</v>
      </c>
      <c r="K386" s="183" t="s">
        <v>9150</v>
      </c>
      <c r="L386" s="183" t="s">
        <v>9151</v>
      </c>
    </row>
    <row r="387" spans="1:12" ht="64.05" customHeight="1" x14ac:dyDescent="0.3">
      <c r="A387" s="177" t="s">
        <v>86</v>
      </c>
      <c r="B387" s="177">
        <v>2025</v>
      </c>
      <c r="C387" s="177" t="s">
        <v>9086</v>
      </c>
      <c r="D387" s="177" t="s">
        <v>9149</v>
      </c>
      <c r="E387" s="190">
        <f>(DGKC!H96+DGKC!H106)</f>
        <v>16821.347999999998</v>
      </c>
      <c r="F387" s="190">
        <f>AVERAGE(DGKC!G37,DGKC!H37)</f>
        <v>142154.9945</v>
      </c>
      <c r="G387" s="190">
        <f t="shared" si="10"/>
        <v>0.11833103760557634</v>
      </c>
      <c r="H387" s="190"/>
      <c r="I387" s="177" t="str">
        <f t="shared" si="11"/>
        <v>No identical published series</v>
      </c>
      <c r="J387" s="177">
        <v>4</v>
      </c>
      <c r="K387" s="184" t="s">
        <v>9150</v>
      </c>
      <c r="L387" s="184" t="s">
        <v>9151</v>
      </c>
    </row>
    <row r="388" spans="1:12" ht="64.05" customHeight="1" x14ac:dyDescent="0.3">
      <c r="A388" s="180" t="s">
        <v>106</v>
      </c>
      <c r="B388" s="180">
        <v>2021</v>
      </c>
      <c r="C388" s="180" t="s">
        <v>9082</v>
      </c>
      <c r="D388" s="180" t="s">
        <v>9148</v>
      </c>
      <c r="E388" s="189">
        <f>((MLCF!D96+MLCF!D106)*(1-(-MLCF!D97-MLCF!D98)/MLCF!D96))</f>
        <v>7495.8003306094506</v>
      </c>
      <c r="F388" s="189">
        <f>MLCF!D70</f>
        <v>53778.016999999993</v>
      </c>
      <c r="G388" s="189">
        <f t="shared" si="10"/>
        <v>0.13938409686265396</v>
      </c>
      <c r="H388" s="189"/>
      <c r="I388" s="180" t="str">
        <f t="shared" si="11"/>
        <v>No identical published series</v>
      </c>
      <c r="J388" s="180">
        <v>4</v>
      </c>
      <c r="K388" s="183" t="s">
        <v>9150</v>
      </c>
      <c r="L388" s="183" t="s">
        <v>9151</v>
      </c>
    </row>
    <row r="389" spans="1:12" ht="64.05" customHeight="1" x14ac:dyDescent="0.3">
      <c r="A389" s="177" t="s">
        <v>106</v>
      </c>
      <c r="B389" s="177">
        <v>2021</v>
      </c>
      <c r="C389" s="177" t="s">
        <v>9082</v>
      </c>
      <c r="D389" s="177" t="s">
        <v>9149</v>
      </c>
      <c r="E389" s="190">
        <f>((MLCF!D96+MLCF!D106)*(1-(-MLCF!D97-MLCF!D98)/MLCF!D96))</f>
        <v>7495.8003306094506</v>
      </c>
      <c r="F389" s="190">
        <f>AVERAGE(MLCF!C70,MLCF!D70)</f>
        <v>53519.630999999994</v>
      </c>
      <c r="G389" s="190">
        <f t="shared" si="10"/>
        <v>0.14005702562877259</v>
      </c>
      <c r="H389" s="190"/>
      <c r="I389" s="177" t="str">
        <f t="shared" si="11"/>
        <v>No identical published series</v>
      </c>
      <c r="J389" s="177">
        <v>4</v>
      </c>
      <c r="K389" s="184" t="s">
        <v>9150</v>
      </c>
      <c r="L389" s="184" t="s">
        <v>9151</v>
      </c>
    </row>
    <row r="390" spans="1:12" ht="64.05" customHeight="1" x14ac:dyDescent="0.3">
      <c r="A390" s="180" t="s">
        <v>106</v>
      </c>
      <c r="B390" s="180">
        <v>2022</v>
      </c>
      <c r="C390" s="180" t="s">
        <v>9082</v>
      </c>
      <c r="D390" s="180" t="s">
        <v>9148</v>
      </c>
      <c r="E390" s="189">
        <f>((MLCF!E96+MLCF!E106)*(1-(-MLCF!E97-MLCF!E98)/MLCF!E96))</f>
        <v>4479.4888857400119</v>
      </c>
      <c r="F390" s="189">
        <f>MLCF!E70</f>
        <v>65532.728999999992</v>
      </c>
      <c r="G390" s="189">
        <f t="shared" ref="G390:G427" si="12">IF(AND(ISNUMBER(E390),ISNUMBER(F390),F390&lt;&gt;0),E390/F390,"n/m")</f>
        <v>6.8354987715222609E-2</v>
      </c>
      <c r="H390" s="189"/>
      <c r="I390" s="180" t="str">
        <f t="shared" ref="I390:I427" si="13">IF(ISNUMBER(H390),IF(ROUND(G390,J390)=ROUND(H390,J390),"Numeric fit","No fit"),"No identical published series")</f>
        <v>No identical published series</v>
      </c>
      <c r="J390" s="180">
        <v>4</v>
      </c>
      <c r="K390" s="183" t="s">
        <v>9150</v>
      </c>
      <c r="L390" s="183" t="s">
        <v>9151</v>
      </c>
    </row>
    <row r="391" spans="1:12" ht="64.05" customHeight="1" x14ac:dyDescent="0.3">
      <c r="A391" s="177" t="s">
        <v>106</v>
      </c>
      <c r="B391" s="177">
        <v>2022</v>
      </c>
      <c r="C391" s="177" t="s">
        <v>9082</v>
      </c>
      <c r="D391" s="177" t="s">
        <v>9149</v>
      </c>
      <c r="E391" s="190">
        <f>((MLCF!E96+MLCF!E106)*(1-(-MLCF!E97-MLCF!E98)/MLCF!E96))</f>
        <v>4479.4888857400119</v>
      </c>
      <c r="F391" s="190">
        <f>AVERAGE(MLCF!D70,MLCF!E70)</f>
        <v>59655.372999999992</v>
      </c>
      <c r="G391" s="190">
        <f t="shared" si="12"/>
        <v>7.5089445601823873E-2</v>
      </c>
      <c r="H391" s="190"/>
      <c r="I391" s="177" t="str">
        <f t="shared" si="13"/>
        <v>No identical published series</v>
      </c>
      <c r="J391" s="177">
        <v>4</v>
      </c>
      <c r="K391" s="184" t="s">
        <v>9150</v>
      </c>
      <c r="L391" s="184" t="s">
        <v>9151</v>
      </c>
    </row>
    <row r="392" spans="1:12" ht="64.05" customHeight="1" x14ac:dyDescent="0.3">
      <c r="A392" s="180" t="s">
        <v>106</v>
      </c>
      <c r="B392" s="180">
        <v>2023</v>
      </c>
      <c r="C392" s="180" t="s">
        <v>9082</v>
      </c>
      <c r="D392" s="180" t="s">
        <v>9148</v>
      </c>
      <c r="E392" s="189">
        <f>((MLCF!F96+MLCF!F106)*(1-(-MLCF!F97-MLCF!F98)/MLCF!F96))</f>
        <v>5794.486836711123</v>
      </c>
      <c r="F392" s="189">
        <f>MLCF!F70</f>
        <v>64787.517000000007</v>
      </c>
      <c r="G392" s="189">
        <f t="shared" si="12"/>
        <v>8.9438322458184685E-2</v>
      </c>
      <c r="H392" s="189"/>
      <c r="I392" s="180" t="str">
        <f t="shared" si="13"/>
        <v>No identical published series</v>
      </c>
      <c r="J392" s="180">
        <v>4</v>
      </c>
      <c r="K392" s="183" t="s">
        <v>9150</v>
      </c>
      <c r="L392" s="183" t="s">
        <v>9151</v>
      </c>
    </row>
    <row r="393" spans="1:12" ht="64.05" customHeight="1" x14ac:dyDescent="0.3">
      <c r="A393" s="177" t="s">
        <v>106</v>
      </c>
      <c r="B393" s="177">
        <v>2023</v>
      </c>
      <c r="C393" s="177" t="s">
        <v>9082</v>
      </c>
      <c r="D393" s="177" t="s">
        <v>9149</v>
      </c>
      <c r="E393" s="190">
        <f>((MLCF!F96+MLCF!F106)*(1-(-MLCF!F97-MLCF!F98)/MLCF!F96))</f>
        <v>5794.486836711123</v>
      </c>
      <c r="F393" s="190">
        <f>AVERAGE(MLCF!E70,MLCF!F70)</f>
        <v>65160.123</v>
      </c>
      <c r="G393" s="190">
        <f t="shared" si="12"/>
        <v>8.8926886106570471E-2</v>
      </c>
      <c r="H393" s="190"/>
      <c r="I393" s="177" t="str">
        <f t="shared" si="13"/>
        <v>No identical published series</v>
      </c>
      <c r="J393" s="177">
        <v>4</v>
      </c>
      <c r="K393" s="184" t="s">
        <v>9150</v>
      </c>
      <c r="L393" s="184" t="s">
        <v>9151</v>
      </c>
    </row>
    <row r="394" spans="1:12" ht="64.05" customHeight="1" x14ac:dyDescent="0.3">
      <c r="A394" s="180" t="s">
        <v>106</v>
      </c>
      <c r="B394" s="180">
        <v>2024</v>
      </c>
      <c r="C394" s="180" t="s">
        <v>9082</v>
      </c>
      <c r="D394" s="180" t="s">
        <v>9148</v>
      </c>
      <c r="E394" s="189">
        <f>((MLCF!G96+MLCF!G106)*(1-(-MLCF!G97-MLCF!G98)/MLCF!G96))</f>
        <v>7666.5745773178087</v>
      </c>
      <c r="F394" s="189">
        <f>MLCF!G70</f>
        <v>72003.290999999997</v>
      </c>
      <c r="G394" s="189">
        <f t="shared" si="12"/>
        <v>0.10647533565261356</v>
      </c>
      <c r="H394" s="189"/>
      <c r="I394" s="180" t="str">
        <f t="shared" si="13"/>
        <v>No identical published series</v>
      </c>
      <c r="J394" s="180">
        <v>4</v>
      </c>
      <c r="K394" s="183" t="s">
        <v>9150</v>
      </c>
      <c r="L394" s="183" t="s">
        <v>9151</v>
      </c>
    </row>
    <row r="395" spans="1:12" ht="64.05" customHeight="1" x14ac:dyDescent="0.3">
      <c r="A395" s="177" t="s">
        <v>106</v>
      </c>
      <c r="B395" s="177">
        <v>2024</v>
      </c>
      <c r="C395" s="177" t="s">
        <v>9082</v>
      </c>
      <c r="D395" s="177" t="s">
        <v>9149</v>
      </c>
      <c r="E395" s="190">
        <f>((MLCF!G96+MLCF!G106)*(1-(-MLCF!G97-MLCF!G98)/MLCF!G96))</f>
        <v>7666.5745773178087</v>
      </c>
      <c r="F395" s="190">
        <f>AVERAGE(MLCF!F70,MLCF!G70)</f>
        <v>68395.40400000001</v>
      </c>
      <c r="G395" s="190">
        <f t="shared" si="12"/>
        <v>0.11209195543779239</v>
      </c>
      <c r="H395" s="190"/>
      <c r="I395" s="177" t="str">
        <f t="shared" si="13"/>
        <v>No identical published series</v>
      </c>
      <c r="J395" s="177">
        <v>4</v>
      </c>
      <c r="K395" s="184" t="s">
        <v>9150</v>
      </c>
      <c r="L395" s="184" t="s">
        <v>9151</v>
      </c>
    </row>
    <row r="396" spans="1:12" ht="64.05" customHeight="1" x14ac:dyDescent="0.3">
      <c r="A396" s="180" t="s">
        <v>106</v>
      </c>
      <c r="B396" s="180">
        <v>2025</v>
      </c>
      <c r="C396" s="180" t="s">
        <v>9082</v>
      </c>
      <c r="D396" s="180" t="s">
        <v>9148</v>
      </c>
      <c r="E396" s="189">
        <f>((MLCF!H96+MLCF!H106)*(1-(-MLCF!H97-MLCF!H98)/MLCF!H96))</f>
        <v>19721.047231870387</v>
      </c>
      <c r="F396" s="189">
        <f>MLCF!H70</f>
        <v>86041.662000000011</v>
      </c>
      <c r="G396" s="189">
        <f t="shared" si="12"/>
        <v>0.22920346694221672</v>
      </c>
      <c r="H396" s="189"/>
      <c r="I396" s="180" t="str">
        <f t="shared" si="13"/>
        <v>No identical published series</v>
      </c>
      <c r="J396" s="180">
        <v>4</v>
      </c>
      <c r="K396" s="183" t="s">
        <v>9150</v>
      </c>
      <c r="L396" s="183" t="s">
        <v>9151</v>
      </c>
    </row>
    <row r="397" spans="1:12" ht="64.05" customHeight="1" x14ac:dyDescent="0.3">
      <c r="A397" s="177" t="s">
        <v>106</v>
      </c>
      <c r="B397" s="177">
        <v>2025</v>
      </c>
      <c r="C397" s="177" t="s">
        <v>9082</v>
      </c>
      <c r="D397" s="177" t="s">
        <v>9149</v>
      </c>
      <c r="E397" s="190">
        <f>((MLCF!H96+MLCF!H106)*(1-(-MLCF!H97-MLCF!H98)/MLCF!H96))</f>
        <v>19721.047231870387</v>
      </c>
      <c r="F397" s="190">
        <f>AVERAGE(MLCF!G70,MLCF!H70)</f>
        <v>79022.476500000004</v>
      </c>
      <c r="G397" s="190">
        <f t="shared" si="12"/>
        <v>0.2495625055723277</v>
      </c>
      <c r="H397" s="190"/>
      <c r="I397" s="177" t="str">
        <f t="shared" si="13"/>
        <v>No identical published series</v>
      </c>
      <c r="J397" s="177">
        <v>4</v>
      </c>
      <c r="K397" s="184" t="s">
        <v>9150</v>
      </c>
      <c r="L397" s="184" t="s">
        <v>9151</v>
      </c>
    </row>
    <row r="398" spans="1:12" ht="64.05" customHeight="1" x14ac:dyDescent="0.3">
      <c r="A398" s="180" t="s">
        <v>106</v>
      </c>
      <c r="B398" s="180">
        <v>2021</v>
      </c>
      <c r="C398" s="180" t="s">
        <v>9086</v>
      </c>
      <c r="D398" s="180" t="s">
        <v>9148</v>
      </c>
      <c r="E398" s="189">
        <f>(MLCF!D96+MLCF!D106)</f>
        <v>8736.8789999999972</v>
      </c>
      <c r="F398" s="189">
        <f>MLCF!D37</f>
        <v>66239.277999999991</v>
      </c>
      <c r="G398" s="189">
        <f t="shared" si="12"/>
        <v>0.13189876556323574</v>
      </c>
      <c r="H398" s="189"/>
      <c r="I398" s="180" t="str">
        <f t="shared" si="13"/>
        <v>No identical published series</v>
      </c>
      <c r="J398" s="180">
        <v>4</v>
      </c>
      <c r="K398" s="183" t="s">
        <v>9150</v>
      </c>
      <c r="L398" s="183" t="s">
        <v>9151</v>
      </c>
    </row>
    <row r="399" spans="1:12" ht="64.05" customHeight="1" x14ac:dyDescent="0.3">
      <c r="A399" s="177" t="s">
        <v>106</v>
      </c>
      <c r="B399" s="177">
        <v>2021</v>
      </c>
      <c r="C399" s="177" t="s">
        <v>9086</v>
      </c>
      <c r="D399" s="177" t="s">
        <v>9149</v>
      </c>
      <c r="E399" s="190">
        <f>(MLCF!D96+MLCF!D106)</f>
        <v>8736.8789999999972</v>
      </c>
      <c r="F399" s="190">
        <f>AVERAGE(MLCF!C37,MLCF!D37)</f>
        <v>66124.5245</v>
      </c>
      <c r="G399" s="190">
        <f t="shared" si="12"/>
        <v>0.13212766467606127</v>
      </c>
      <c r="H399" s="190"/>
      <c r="I399" s="177" t="str">
        <f t="shared" si="13"/>
        <v>No identical published series</v>
      </c>
      <c r="J399" s="177">
        <v>4</v>
      </c>
      <c r="K399" s="184" t="s">
        <v>9150</v>
      </c>
      <c r="L399" s="184" t="s">
        <v>9151</v>
      </c>
    </row>
    <row r="400" spans="1:12" ht="64.05" customHeight="1" x14ac:dyDescent="0.3">
      <c r="A400" s="180" t="s">
        <v>106</v>
      </c>
      <c r="B400" s="180">
        <v>2022</v>
      </c>
      <c r="C400" s="180" t="s">
        <v>9086</v>
      </c>
      <c r="D400" s="180" t="s">
        <v>9148</v>
      </c>
      <c r="E400" s="189">
        <f>(MLCF!E96+MLCF!E106)</f>
        <v>8873.5370000000003</v>
      </c>
      <c r="F400" s="189">
        <f>MLCF!E37</f>
        <v>82214.209999999992</v>
      </c>
      <c r="G400" s="189">
        <f t="shared" si="12"/>
        <v>0.10793191347335213</v>
      </c>
      <c r="H400" s="189"/>
      <c r="I400" s="180" t="str">
        <f t="shared" si="13"/>
        <v>No identical published series</v>
      </c>
      <c r="J400" s="180">
        <v>4</v>
      </c>
      <c r="K400" s="183" t="s">
        <v>9150</v>
      </c>
      <c r="L400" s="183" t="s">
        <v>9151</v>
      </c>
    </row>
    <row r="401" spans="1:12" ht="64.05" customHeight="1" x14ac:dyDescent="0.3">
      <c r="A401" s="177" t="s">
        <v>106</v>
      </c>
      <c r="B401" s="177">
        <v>2022</v>
      </c>
      <c r="C401" s="177" t="s">
        <v>9086</v>
      </c>
      <c r="D401" s="177" t="s">
        <v>9149</v>
      </c>
      <c r="E401" s="190">
        <f>(MLCF!E96+MLCF!E106)</f>
        <v>8873.5370000000003</v>
      </c>
      <c r="F401" s="190">
        <f>AVERAGE(MLCF!D37,MLCF!E37)</f>
        <v>74226.743999999992</v>
      </c>
      <c r="G401" s="190">
        <f t="shared" si="12"/>
        <v>0.11954635919366208</v>
      </c>
      <c r="H401" s="190"/>
      <c r="I401" s="177" t="str">
        <f t="shared" si="13"/>
        <v>No identical published series</v>
      </c>
      <c r="J401" s="177">
        <v>4</v>
      </c>
      <c r="K401" s="184" t="s">
        <v>9150</v>
      </c>
      <c r="L401" s="184" t="s">
        <v>9151</v>
      </c>
    </row>
    <row r="402" spans="1:12" ht="64.05" customHeight="1" x14ac:dyDescent="0.3">
      <c r="A402" s="180" t="s">
        <v>106</v>
      </c>
      <c r="B402" s="180">
        <v>2023</v>
      </c>
      <c r="C402" s="180" t="s">
        <v>9086</v>
      </c>
      <c r="D402" s="180" t="s">
        <v>9148</v>
      </c>
      <c r="E402" s="189">
        <f>(MLCF!F96+MLCF!F106)</f>
        <v>11933.841999999997</v>
      </c>
      <c r="F402" s="189">
        <f>MLCF!F37</f>
        <v>89707.71100000001</v>
      </c>
      <c r="G402" s="189">
        <f t="shared" si="12"/>
        <v>0.13303028097551164</v>
      </c>
      <c r="H402" s="189"/>
      <c r="I402" s="180" t="str">
        <f t="shared" si="13"/>
        <v>No identical published series</v>
      </c>
      <c r="J402" s="180">
        <v>4</v>
      </c>
      <c r="K402" s="183" t="s">
        <v>9150</v>
      </c>
      <c r="L402" s="183" t="s">
        <v>9151</v>
      </c>
    </row>
    <row r="403" spans="1:12" ht="64.05" customHeight="1" x14ac:dyDescent="0.3">
      <c r="A403" s="177" t="s">
        <v>106</v>
      </c>
      <c r="B403" s="177">
        <v>2023</v>
      </c>
      <c r="C403" s="177" t="s">
        <v>9086</v>
      </c>
      <c r="D403" s="177" t="s">
        <v>9149</v>
      </c>
      <c r="E403" s="190">
        <f>(MLCF!F96+MLCF!F106)</f>
        <v>11933.841999999997</v>
      </c>
      <c r="F403" s="190">
        <f>AVERAGE(MLCF!E37,MLCF!F37)</f>
        <v>85960.960500000001</v>
      </c>
      <c r="G403" s="190">
        <f t="shared" si="12"/>
        <v>0.13882862558288883</v>
      </c>
      <c r="H403" s="190"/>
      <c r="I403" s="177" t="str">
        <f t="shared" si="13"/>
        <v>No identical published series</v>
      </c>
      <c r="J403" s="177">
        <v>4</v>
      </c>
      <c r="K403" s="184" t="s">
        <v>9150</v>
      </c>
      <c r="L403" s="184" t="s">
        <v>9151</v>
      </c>
    </row>
    <row r="404" spans="1:12" ht="64.05" customHeight="1" x14ac:dyDescent="0.3">
      <c r="A404" s="180" t="s">
        <v>106</v>
      </c>
      <c r="B404" s="180">
        <v>2024</v>
      </c>
      <c r="C404" s="180" t="s">
        <v>9086</v>
      </c>
      <c r="D404" s="180" t="s">
        <v>9148</v>
      </c>
      <c r="E404" s="189">
        <f>(MLCF!G96+MLCF!G106)</f>
        <v>12986.867999999999</v>
      </c>
      <c r="F404" s="189">
        <f>MLCF!G37</f>
        <v>99365.682000000001</v>
      </c>
      <c r="G404" s="189">
        <f t="shared" si="12"/>
        <v>0.13069771915820996</v>
      </c>
      <c r="H404" s="189"/>
      <c r="I404" s="180" t="str">
        <f t="shared" si="13"/>
        <v>No identical published series</v>
      </c>
      <c r="J404" s="180">
        <v>4</v>
      </c>
      <c r="K404" s="183" t="s">
        <v>9150</v>
      </c>
      <c r="L404" s="183" t="s">
        <v>9151</v>
      </c>
    </row>
    <row r="405" spans="1:12" ht="64.05" customHeight="1" x14ac:dyDescent="0.3">
      <c r="A405" s="177" t="s">
        <v>106</v>
      </c>
      <c r="B405" s="177">
        <v>2024</v>
      </c>
      <c r="C405" s="177" t="s">
        <v>9086</v>
      </c>
      <c r="D405" s="177" t="s">
        <v>9149</v>
      </c>
      <c r="E405" s="190">
        <f>(MLCF!G96+MLCF!G106)</f>
        <v>12986.867999999999</v>
      </c>
      <c r="F405" s="190">
        <f>AVERAGE(MLCF!F37,MLCF!G37)</f>
        <v>94536.696500000005</v>
      </c>
      <c r="G405" s="190">
        <f t="shared" si="12"/>
        <v>0.13737382921985219</v>
      </c>
      <c r="H405" s="190"/>
      <c r="I405" s="177" t="str">
        <f t="shared" si="13"/>
        <v>No identical published series</v>
      </c>
      <c r="J405" s="177">
        <v>4</v>
      </c>
      <c r="K405" s="184" t="s">
        <v>9150</v>
      </c>
      <c r="L405" s="184" t="s">
        <v>9151</v>
      </c>
    </row>
    <row r="406" spans="1:12" ht="64.05" customHeight="1" x14ac:dyDescent="0.3">
      <c r="A406" s="180" t="s">
        <v>106</v>
      </c>
      <c r="B406" s="180">
        <v>2025</v>
      </c>
      <c r="C406" s="180" t="s">
        <v>9086</v>
      </c>
      <c r="D406" s="180" t="s">
        <v>9148</v>
      </c>
      <c r="E406" s="189">
        <f>(MLCF!H96+MLCF!H106)</f>
        <v>25078.190999999999</v>
      </c>
      <c r="F406" s="189">
        <f>MLCF!H37</f>
        <v>119106.27099999998</v>
      </c>
      <c r="G406" s="189">
        <f t="shared" si="12"/>
        <v>0.21055306987152678</v>
      </c>
      <c r="H406" s="189"/>
      <c r="I406" s="180" t="str">
        <f t="shared" si="13"/>
        <v>No identical published series</v>
      </c>
      <c r="J406" s="180">
        <v>4</v>
      </c>
      <c r="K406" s="183" t="s">
        <v>9150</v>
      </c>
      <c r="L406" s="183" t="s">
        <v>9151</v>
      </c>
    </row>
    <row r="407" spans="1:12" ht="64.05" customHeight="1" x14ac:dyDescent="0.3">
      <c r="A407" s="177" t="s">
        <v>106</v>
      </c>
      <c r="B407" s="177">
        <v>2025</v>
      </c>
      <c r="C407" s="177" t="s">
        <v>9086</v>
      </c>
      <c r="D407" s="177" t="s">
        <v>9149</v>
      </c>
      <c r="E407" s="190">
        <f>(MLCF!H96+MLCF!H106)</f>
        <v>25078.190999999999</v>
      </c>
      <c r="F407" s="190">
        <f>AVERAGE(MLCF!G37,MLCF!H37)</f>
        <v>109235.97649999999</v>
      </c>
      <c r="G407" s="190">
        <f t="shared" si="12"/>
        <v>0.22957812804465572</v>
      </c>
      <c r="H407" s="190"/>
      <c r="I407" s="177" t="str">
        <f t="shared" si="13"/>
        <v>No identical published series</v>
      </c>
      <c r="J407" s="177">
        <v>4</v>
      </c>
      <c r="K407" s="184" t="s">
        <v>9150</v>
      </c>
      <c r="L407" s="184" t="s">
        <v>9151</v>
      </c>
    </row>
    <row r="408" spans="1:12" ht="64.05" customHeight="1" x14ac:dyDescent="0.3">
      <c r="A408" s="180" t="s">
        <v>114</v>
      </c>
      <c r="B408" s="180">
        <v>2021</v>
      </c>
      <c r="C408" s="180" t="s">
        <v>9082</v>
      </c>
      <c r="D408" s="180" t="s">
        <v>9148</v>
      </c>
      <c r="E408" s="189">
        <f>((FCCL!D96+FCCL!D106)*(1-(-FCCL!D97-FCCL!D98)/FCCL!D96))</f>
        <v>3533.9532640582083</v>
      </c>
      <c r="F408" s="189">
        <f>FCCL!D70</f>
        <v>25843.760000000002</v>
      </c>
      <c r="G408" s="189">
        <f t="shared" si="12"/>
        <v>0.13674299962769382</v>
      </c>
      <c r="H408" s="189"/>
      <c r="I408" s="180" t="str">
        <f t="shared" si="13"/>
        <v>No identical published series</v>
      </c>
      <c r="J408" s="180">
        <v>4</v>
      </c>
      <c r="K408" s="183" t="s">
        <v>9150</v>
      </c>
      <c r="L408" s="183" t="s">
        <v>9151</v>
      </c>
    </row>
    <row r="409" spans="1:12" ht="64.05" customHeight="1" x14ac:dyDescent="0.3">
      <c r="A409" s="177" t="s">
        <v>114</v>
      </c>
      <c r="B409" s="177">
        <v>2021</v>
      </c>
      <c r="C409" s="177" t="s">
        <v>9082</v>
      </c>
      <c r="D409" s="177" t="s">
        <v>9149</v>
      </c>
      <c r="E409" s="190">
        <f>((FCCL!D96+FCCL!D106)*(1-(-FCCL!D97-FCCL!D98)/FCCL!D96))</f>
        <v>3533.9532640582083</v>
      </c>
      <c r="F409" s="190">
        <f>AVERAGE(FCCL!C70,FCCL!D70)</f>
        <v>24174.9395</v>
      </c>
      <c r="G409" s="190">
        <f t="shared" si="12"/>
        <v>0.14618250705687219</v>
      </c>
      <c r="H409" s="190"/>
      <c r="I409" s="177" t="str">
        <f t="shared" si="13"/>
        <v>No identical published series</v>
      </c>
      <c r="J409" s="177">
        <v>4</v>
      </c>
      <c r="K409" s="184" t="s">
        <v>9150</v>
      </c>
      <c r="L409" s="184" t="s">
        <v>9151</v>
      </c>
    </row>
    <row r="410" spans="1:12" ht="64.05" customHeight="1" x14ac:dyDescent="0.3">
      <c r="A410" s="180" t="s">
        <v>114</v>
      </c>
      <c r="B410" s="180">
        <v>2022</v>
      </c>
      <c r="C410" s="180" t="s">
        <v>9082</v>
      </c>
      <c r="D410" s="180" t="s">
        <v>9148</v>
      </c>
      <c r="E410" s="189">
        <f>((FCCL!E96+FCCL!E106)*(1-(-FCCL!E97-FCCL!E98)/FCCL!E96))</f>
        <v>7726.5678803233113</v>
      </c>
      <c r="F410" s="189">
        <f>FCCL!E70</f>
        <v>83653.686000000002</v>
      </c>
      <c r="G410" s="189">
        <f t="shared" si="12"/>
        <v>9.2363746892435927E-2</v>
      </c>
      <c r="H410" s="189"/>
      <c r="I410" s="180" t="str">
        <f t="shared" si="13"/>
        <v>No identical published series</v>
      </c>
      <c r="J410" s="180">
        <v>4</v>
      </c>
      <c r="K410" s="183" t="s">
        <v>9150</v>
      </c>
      <c r="L410" s="183" t="s">
        <v>9151</v>
      </c>
    </row>
    <row r="411" spans="1:12" ht="64.05" customHeight="1" x14ac:dyDescent="0.3">
      <c r="A411" s="177" t="s">
        <v>114</v>
      </c>
      <c r="B411" s="177">
        <v>2022</v>
      </c>
      <c r="C411" s="177" t="s">
        <v>9082</v>
      </c>
      <c r="D411" s="177" t="s">
        <v>9149</v>
      </c>
      <c r="E411" s="190">
        <f>((FCCL!E96+FCCL!E106)*(1-(-FCCL!E97-FCCL!E98)/FCCL!E96))</f>
        <v>7726.5678803233113</v>
      </c>
      <c r="F411" s="190">
        <f>AVERAGE(FCCL!D70,FCCL!E70)</f>
        <v>54748.722999999998</v>
      </c>
      <c r="G411" s="190">
        <f t="shared" si="12"/>
        <v>0.14112781918809891</v>
      </c>
      <c r="H411" s="190"/>
      <c r="I411" s="177" t="str">
        <f t="shared" si="13"/>
        <v>No identical published series</v>
      </c>
      <c r="J411" s="177">
        <v>4</v>
      </c>
      <c r="K411" s="184" t="s">
        <v>9150</v>
      </c>
      <c r="L411" s="184" t="s">
        <v>9151</v>
      </c>
    </row>
    <row r="412" spans="1:12" ht="64.05" customHeight="1" x14ac:dyDescent="0.3">
      <c r="A412" s="180" t="s">
        <v>114</v>
      </c>
      <c r="B412" s="180">
        <v>2023</v>
      </c>
      <c r="C412" s="180" t="s">
        <v>9082</v>
      </c>
      <c r="D412" s="180" t="s">
        <v>9148</v>
      </c>
      <c r="E412" s="189">
        <f>((FCCL!F96+FCCL!F106)*(1-(-FCCL!F97-FCCL!F98)/FCCL!F96))</f>
        <v>8953.4472081467775</v>
      </c>
      <c r="F412" s="189">
        <f>FCCL!F70</f>
        <v>105829.73300000001</v>
      </c>
      <c r="G412" s="189">
        <f t="shared" si="12"/>
        <v>8.4602379259019547E-2</v>
      </c>
      <c r="H412" s="189"/>
      <c r="I412" s="180" t="str">
        <f t="shared" si="13"/>
        <v>No identical published series</v>
      </c>
      <c r="J412" s="180">
        <v>4</v>
      </c>
      <c r="K412" s="183" t="s">
        <v>9150</v>
      </c>
      <c r="L412" s="183" t="s">
        <v>9151</v>
      </c>
    </row>
    <row r="413" spans="1:12" ht="64.05" customHeight="1" x14ac:dyDescent="0.3">
      <c r="A413" s="177" t="s">
        <v>114</v>
      </c>
      <c r="B413" s="177">
        <v>2023</v>
      </c>
      <c r="C413" s="177" t="s">
        <v>9082</v>
      </c>
      <c r="D413" s="177" t="s">
        <v>9149</v>
      </c>
      <c r="E413" s="190">
        <f>((FCCL!F96+FCCL!F106)*(1-(-FCCL!F97-FCCL!F98)/FCCL!F96))</f>
        <v>8953.4472081467775</v>
      </c>
      <c r="F413" s="190">
        <f>AVERAGE(FCCL!E70,FCCL!F70)</f>
        <v>94741.709499999997</v>
      </c>
      <c r="G413" s="190">
        <f t="shared" si="12"/>
        <v>9.4503754000203874E-2</v>
      </c>
      <c r="H413" s="190"/>
      <c r="I413" s="177" t="str">
        <f t="shared" si="13"/>
        <v>No identical published series</v>
      </c>
      <c r="J413" s="177">
        <v>4</v>
      </c>
      <c r="K413" s="184" t="s">
        <v>9150</v>
      </c>
      <c r="L413" s="184" t="s">
        <v>9151</v>
      </c>
    </row>
    <row r="414" spans="1:12" ht="64.05" customHeight="1" x14ac:dyDescent="0.3">
      <c r="A414" s="180" t="s">
        <v>114</v>
      </c>
      <c r="B414" s="180">
        <v>2024</v>
      </c>
      <c r="C414" s="180" t="s">
        <v>9082</v>
      </c>
      <c r="D414" s="180" t="s">
        <v>9148</v>
      </c>
      <c r="E414" s="189">
        <f>((FCCL!G96+FCCL!G106)*(1-(-FCCL!G97-FCCL!G98)/FCCL!G96))</f>
        <v>11181.270749567593</v>
      </c>
      <c r="F414" s="189">
        <f>FCCL!G70</f>
        <v>109988.60200000001</v>
      </c>
      <c r="G414" s="189">
        <f t="shared" si="12"/>
        <v>0.10165844956887071</v>
      </c>
      <c r="H414" s="189"/>
      <c r="I414" s="180" t="str">
        <f t="shared" si="13"/>
        <v>No identical published series</v>
      </c>
      <c r="J414" s="180">
        <v>4</v>
      </c>
      <c r="K414" s="183" t="s">
        <v>9150</v>
      </c>
      <c r="L414" s="183" t="s">
        <v>9151</v>
      </c>
    </row>
    <row r="415" spans="1:12" ht="64.05" customHeight="1" x14ac:dyDescent="0.3">
      <c r="A415" s="177" t="s">
        <v>114</v>
      </c>
      <c r="B415" s="177">
        <v>2024</v>
      </c>
      <c r="C415" s="177" t="s">
        <v>9082</v>
      </c>
      <c r="D415" s="177" t="s">
        <v>9149</v>
      </c>
      <c r="E415" s="190">
        <f>((FCCL!G96+FCCL!G106)*(1-(-FCCL!G97-FCCL!G98)/FCCL!G96))</f>
        <v>11181.270749567593</v>
      </c>
      <c r="F415" s="190">
        <f>AVERAGE(FCCL!F70,FCCL!G70)</f>
        <v>107909.16750000001</v>
      </c>
      <c r="G415" s="190">
        <f t="shared" si="12"/>
        <v>0.10361743129533078</v>
      </c>
      <c r="H415" s="190"/>
      <c r="I415" s="177" t="str">
        <f t="shared" si="13"/>
        <v>No identical published series</v>
      </c>
      <c r="J415" s="177">
        <v>4</v>
      </c>
      <c r="K415" s="184" t="s">
        <v>9150</v>
      </c>
      <c r="L415" s="184" t="s">
        <v>9151</v>
      </c>
    </row>
    <row r="416" spans="1:12" ht="64.05" customHeight="1" x14ac:dyDescent="0.3">
      <c r="A416" s="180" t="s">
        <v>114</v>
      </c>
      <c r="B416" s="180">
        <v>2025</v>
      </c>
      <c r="C416" s="180" t="s">
        <v>9082</v>
      </c>
      <c r="D416" s="180" t="s">
        <v>9148</v>
      </c>
      <c r="E416" s="189">
        <f>((FCCL!H96+FCCL!H106)*(1-(-FCCL!H97-FCCL!H98)/FCCL!H96))</f>
        <v>16839.082284989898</v>
      </c>
      <c r="F416" s="189">
        <f>FCCL!H70</f>
        <v>124308.678</v>
      </c>
      <c r="G416" s="189">
        <f t="shared" si="12"/>
        <v>0.13546184028270253</v>
      </c>
      <c r="H416" s="189"/>
      <c r="I416" s="180" t="str">
        <f t="shared" si="13"/>
        <v>No identical published series</v>
      </c>
      <c r="J416" s="180">
        <v>4</v>
      </c>
      <c r="K416" s="183" t="s">
        <v>9150</v>
      </c>
      <c r="L416" s="183" t="s">
        <v>9151</v>
      </c>
    </row>
    <row r="417" spans="1:12" ht="64.05" customHeight="1" x14ac:dyDescent="0.3">
      <c r="A417" s="177" t="s">
        <v>114</v>
      </c>
      <c r="B417" s="177">
        <v>2025</v>
      </c>
      <c r="C417" s="177" t="s">
        <v>9082</v>
      </c>
      <c r="D417" s="177" t="s">
        <v>9149</v>
      </c>
      <c r="E417" s="190">
        <f>((FCCL!H96+FCCL!H106)*(1-(-FCCL!H97-FCCL!H98)/FCCL!H96))</f>
        <v>16839.082284989898</v>
      </c>
      <c r="F417" s="190">
        <f>AVERAGE(FCCL!G70,FCCL!H70)</f>
        <v>117148.64000000001</v>
      </c>
      <c r="G417" s="190">
        <f t="shared" si="12"/>
        <v>0.14374116750301066</v>
      </c>
      <c r="H417" s="190"/>
      <c r="I417" s="177" t="str">
        <f t="shared" si="13"/>
        <v>No identical published series</v>
      </c>
      <c r="J417" s="177">
        <v>4</v>
      </c>
      <c r="K417" s="184" t="s">
        <v>9150</v>
      </c>
      <c r="L417" s="184" t="s">
        <v>9151</v>
      </c>
    </row>
    <row r="418" spans="1:12" ht="64.05" customHeight="1" x14ac:dyDescent="0.3">
      <c r="A418" s="180" t="s">
        <v>114</v>
      </c>
      <c r="B418" s="180">
        <v>2021</v>
      </c>
      <c r="C418" s="180" t="s">
        <v>9086</v>
      </c>
      <c r="D418" s="180" t="s">
        <v>9148</v>
      </c>
      <c r="E418" s="189">
        <f>(FCCL!D96+FCCL!D106)</f>
        <v>5199.8039999999992</v>
      </c>
      <c r="F418" s="189">
        <f>FCCL!D37</f>
        <v>34052.231</v>
      </c>
      <c r="G418" s="189">
        <f t="shared" si="12"/>
        <v>0.15270083184857988</v>
      </c>
      <c r="H418" s="189"/>
      <c r="I418" s="180" t="str">
        <f t="shared" si="13"/>
        <v>No identical published series</v>
      </c>
      <c r="J418" s="180">
        <v>4</v>
      </c>
      <c r="K418" s="183" t="s">
        <v>9150</v>
      </c>
      <c r="L418" s="183" t="s">
        <v>9151</v>
      </c>
    </row>
    <row r="419" spans="1:12" ht="64.05" customHeight="1" x14ac:dyDescent="0.3">
      <c r="A419" s="177" t="s">
        <v>114</v>
      </c>
      <c r="B419" s="177">
        <v>2021</v>
      </c>
      <c r="C419" s="177" t="s">
        <v>9086</v>
      </c>
      <c r="D419" s="177" t="s">
        <v>9149</v>
      </c>
      <c r="E419" s="190">
        <f>(FCCL!D96+FCCL!D106)</f>
        <v>5199.8039999999992</v>
      </c>
      <c r="F419" s="190">
        <f>AVERAGE(FCCL!C37,FCCL!D37)</f>
        <v>31630.073499999999</v>
      </c>
      <c r="G419" s="190">
        <f t="shared" si="12"/>
        <v>0.16439430657661921</v>
      </c>
      <c r="H419" s="190"/>
      <c r="I419" s="177" t="str">
        <f t="shared" si="13"/>
        <v>No identical published series</v>
      </c>
      <c r="J419" s="177">
        <v>4</v>
      </c>
      <c r="K419" s="184" t="s">
        <v>9150</v>
      </c>
      <c r="L419" s="184" t="s">
        <v>9151</v>
      </c>
    </row>
    <row r="420" spans="1:12" ht="64.05" customHeight="1" x14ac:dyDescent="0.3">
      <c r="A420" s="180" t="s">
        <v>114</v>
      </c>
      <c r="B420" s="180">
        <v>2022</v>
      </c>
      <c r="C420" s="180" t="s">
        <v>9086</v>
      </c>
      <c r="D420" s="180" t="s">
        <v>9148</v>
      </c>
      <c r="E420" s="189">
        <f>(FCCL!E96+FCCL!E106)</f>
        <v>12523.317000000001</v>
      </c>
      <c r="F420" s="189">
        <f>FCCL!E37</f>
        <v>113698.07700000002</v>
      </c>
      <c r="G420" s="189">
        <f t="shared" si="12"/>
        <v>0.11014537211566031</v>
      </c>
      <c r="H420" s="189"/>
      <c r="I420" s="180" t="str">
        <f t="shared" si="13"/>
        <v>No identical published series</v>
      </c>
      <c r="J420" s="180">
        <v>4</v>
      </c>
      <c r="K420" s="183" t="s">
        <v>9150</v>
      </c>
      <c r="L420" s="183" t="s">
        <v>9151</v>
      </c>
    </row>
    <row r="421" spans="1:12" ht="64.05" customHeight="1" x14ac:dyDescent="0.3">
      <c r="A421" s="177" t="s">
        <v>114</v>
      </c>
      <c r="B421" s="177">
        <v>2022</v>
      </c>
      <c r="C421" s="177" t="s">
        <v>9086</v>
      </c>
      <c r="D421" s="177" t="s">
        <v>9149</v>
      </c>
      <c r="E421" s="190">
        <f>(FCCL!E96+FCCL!E106)</f>
        <v>12523.317000000001</v>
      </c>
      <c r="F421" s="190">
        <f>AVERAGE(FCCL!D37,FCCL!E37)</f>
        <v>73875.15400000001</v>
      </c>
      <c r="G421" s="190">
        <f t="shared" si="12"/>
        <v>0.1695200121004147</v>
      </c>
      <c r="H421" s="190"/>
      <c r="I421" s="177" t="str">
        <f t="shared" si="13"/>
        <v>No identical published series</v>
      </c>
      <c r="J421" s="177">
        <v>4</v>
      </c>
      <c r="K421" s="184" t="s">
        <v>9150</v>
      </c>
      <c r="L421" s="184" t="s">
        <v>9151</v>
      </c>
    </row>
    <row r="422" spans="1:12" ht="64.05" customHeight="1" x14ac:dyDescent="0.3">
      <c r="A422" s="180" t="s">
        <v>114</v>
      </c>
      <c r="B422" s="180">
        <v>2023</v>
      </c>
      <c r="C422" s="180" t="s">
        <v>9086</v>
      </c>
      <c r="D422" s="180" t="s">
        <v>9148</v>
      </c>
      <c r="E422" s="189">
        <f>(FCCL!F96+FCCL!F106)</f>
        <v>15524.919000000007</v>
      </c>
      <c r="F422" s="189">
        <f>FCCL!F37</f>
        <v>138828.497</v>
      </c>
      <c r="G422" s="189">
        <f t="shared" si="12"/>
        <v>0.11182804204816831</v>
      </c>
      <c r="H422" s="189"/>
      <c r="I422" s="180" t="str">
        <f t="shared" si="13"/>
        <v>No identical published series</v>
      </c>
      <c r="J422" s="180">
        <v>4</v>
      </c>
      <c r="K422" s="183" t="s">
        <v>9150</v>
      </c>
      <c r="L422" s="183" t="s">
        <v>9151</v>
      </c>
    </row>
    <row r="423" spans="1:12" ht="64.05" customHeight="1" x14ac:dyDescent="0.3">
      <c r="A423" s="177" t="s">
        <v>114</v>
      </c>
      <c r="B423" s="177">
        <v>2023</v>
      </c>
      <c r="C423" s="177" t="s">
        <v>9086</v>
      </c>
      <c r="D423" s="177" t="s">
        <v>9149</v>
      </c>
      <c r="E423" s="190">
        <f>(FCCL!F96+FCCL!F106)</f>
        <v>15524.919000000007</v>
      </c>
      <c r="F423" s="190">
        <f>AVERAGE(FCCL!E37,FCCL!F37)</f>
        <v>126263.28700000001</v>
      </c>
      <c r="G423" s="190">
        <f t="shared" si="12"/>
        <v>0.12295671504259197</v>
      </c>
      <c r="H423" s="190"/>
      <c r="I423" s="177" t="str">
        <f t="shared" si="13"/>
        <v>No identical published series</v>
      </c>
      <c r="J423" s="177">
        <v>4</v>
      </c>
      <c r="K423" s="184" t="s">
        <v>9150</v>
      </c>
      <c r="L423" s="184" t="s">
        <v>9151</v>
      </c>
    </row>
    <row r="424" spans="1:12" ht="64.05" customHeight="1" x14ac:dyDescent="0.3">
      <c r="A424" s="180" t="s">
        <v>114</v>
      </c>
      <c r="B424" s="180">
        <v>2024</v>
      </c>
      <c r="C424" s="180" t="s">
        <v>9086</v>
      </c>
      <c r="D424" s="180" t="s">
        <v>9148</v>
      </c>
      <c r="E424" s="189">
        <f>(FCCL!G96+FCCL!G106)</f>
        <v>20878.690999999995</v>
      </c>
      <c r="F424" s="189">
        <f>FCCL!G37</f>
        <v>147636.299</v>
      </c>
      <c r="G424" s="189">
        <f t="shared" si="12"/>
        <v>0.14141976696394967</v>
      </c>
      <c r="H424" s="189"/>
      <c r="I424" s="180" t="str">
        <f t="shared" si="13"/>
        <v>No identical published series</v>
      </c>
      <c r="J424" s="180">
        <v>4</v>
      </c>
      <c r="K424" s="183" t="s">
        <v>9150</v>
      </c>
      <c r="L424" s="183" t="s">
        <v>9151</v>
      </c>
    </row>
    <row r="425" spans="1:12" ht="64.05" customHeight="1" x14ac:dyDescent="0.3">
      <c r="A425" s="177" t="s">
        <v>114</v>
      </c>
      <c r="B425" s="177">
        <v>2024</v>
      </c>
      <c r="C425" s="177" t="s">
        <v>9086</v>
      </c>
      <c r="D425" s="177" t="s">
        <v>9149</v>
      </c>
      <c r="E425" s="190">
        <f>(FCCL!G96+FCCL!G106)</f>
        <v>20878.690999999995</v>
      </c>
      <c r="F425" s="190">
        <f>AVERAGE(FCCL!F37,FCCL!G37)</f>
        <v>143232.39799999999</v>
      </c>
      <c r="G425" s="190">
        <f t="shared" si="12"/>
        <v>0.14576793582692094</v>
      </c>
      <c r="H425" s="190"/>
      <c r="I425" s="177" t="str">
        <f t="shared" si="13"/>
        <v>No identical published series</v>
      </c>
      <c r="J425" s="177">
        <v>4</v>
      </c>
      <c r="K425" s="184" t="s">
        <v>9150</v>
      </c>
      <c r="L425" s="184" t="s">
        <v>9151</v>
      </c>
    </row>
    <row r="426" spans="1:12" ht="64.05" customHeight="1" x14ac:dyDescent="0.3">
      <c r="A426" s="180" t="s">
        <v>114</v>
      </c>
      <c r="B426" s="180">
        <v>2025</v>
      </c>
      <c r="C426" s="180" t="s">
        <v>9086</v>
      </c>
      <c r="D426" s="180" t="s">
        <v>9148</v>
      </c>
      <c r="E426" s="189">
        <f>(FCCL!H96+FCCL!H106)</f>
        <v>27199.797999999988</v>
      </c>
      <c r="F426" s="189">
        <f>FCCL!H37</f>
        <v>160845.19100000002</v>
      </c>
      <c r="G426" s="189">
        <f t="shared" si="12"/>
        <v>0.16910544748583739</v>
      </c>
      <c r="H426" s="189"/>
      <c r="I426" s="180" t="str">
        <f t="shared" si="13"/>
        <v>No identical published series</v>
      </c>
      <c r="J426" s="180">
        <v>4</v>
      </c>
      <c r="K426" s="183" t="s">
        <v>9150</v>
      </c>
      <c r="L426" s="183" t="s">
        <v>9151</v>
      </c>
    </row>
    <row r="427" spans="1:12" ht="64.05" customHeight="1" x14ac:dyDescent="0.3">
      <c r="A427" s="177" t="s">
        <v>114</v>
      </c>
      <c r="B427" s="177">
        <v>2025</v>
      </c>
      <c r="C427" s="177" t="s">
        <v>9086</v>
      </c>
      <c r="D427" s="177" t="s">
        <v>9149</v>
      </c>
      <c r="E427" s="190">
        <f>(FCCL!H96+FCCL!H106)</f>
        <v>27199.797999999988</v>
      </c>
      <c r="F427" s="190">
        <f>AVERAGE(FCCL!G37,FCCL!H37)</f>
        <v>154240.745</v>
      </c>
      <c r="G427" s="190">
        <f t="shared" si="12"/>
        <v>0.17634638629371241</v>
      </c>
      <c r="H427" s="190"/>
      <c r="I427" s="177" t="str">
        <f t="shared" si="13"/>
        <v>No identical published series</v>
      </c>
      <c r="J427" s="177">
        <v>4</v>
      </c>
      <c r="K427" s="184" t="s">
        <v>9150</v>
      </c>
      <c r="L427" s="184" t="s">
        <v>9151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30"/>
  <sheetViews>
    <sheetView showGridLines="0" workbookViewId="0">
      <pane xSplit="2" ySplit="5" topLeftCell="C6" activePane="bottomRight" state="frozen"/>
      <selection pane="topRight"/>
      <selection pane="bottomLeft"/>
      <selection pane="bottomRight" activeCell="C6" sqref="C6"/>
    </sheetView>
  </sheetViews>
  <sheetFormatPr defaultRowHeight="14.4" x14ac:dyDescent="0.3"/>
  <cols>
    <col min="1" max="1" width="13" customWidth="1"/>
    <col min="2" max="2" width="10" customWidth="1"/>
    <col min="3" max="3" width="45" customWidth="1"/>
    <col min="4" max="4" width="10" customWidth="1"/>
    <col min="5" max="29" width="22" customWidth="1"/>
    <col min="30" max="30" width="48" customWidth="1"/>
    <col min="31" max="32" width="125" customWidth="1"/>
  </cols>
  <sheetData>
    <row r="1" spans="1:32" ht="27" customHeight="1" x14ac:dyDescent="0.3">
      <c r="A1" s="177"/>
      <c r="B1" s="17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7"/>
      <c r="AD1" s="177"/>
      <c r="AE1" s="177"/>
      <c r="AF1" s="177"/>
    </row>
    <row r="2" spans="1:32" ht="27" customHeight="1" x14ac:dyDescent="0.3">
      <c r="A2" s="178" t="s">
        <v>9152</v>
      </c>
      <c r="B2" s="177"/>
      <c r="C2" s="177"/>
      <c r="D2" s="177"/>
      <c r="E2" s="177"/>
      <c r="F2" s="177"/>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row>
    <row r="3" spans="1:32" ht="27" customHeight="1" x14ac:dyDescent="0.3">
      <c r="A3" s="177" t="s">
        <v>9153</v>
      </c>
      <c r="B3" s="177"/>
      <c r="C3" s="177"/>
      <c r="D3" s="177"/>
      <c r="E3" s="177"/>
      <c r="F3" s="177"/>
      <c r="G3" s="177"/>
      <c r="H3" s="177"/>
      <c r="I3" s="177"/>
      <c r="J3" s="177"/>
      <c r="K3" s="177"/>
      <c r="L3" s="177"/>
      <c r="M3" s="177"/>
      <c r="N3" s="177"/>
      <c r="O3" s="177"/>
      <c r="P3" s="177"/>
      <c r="Q3" s="177"/>
      <c r="R3" s="177"/>
      <c r="S3" s="177"/>
      <c r="T3" s="177"/>
      <c r="U3" s="177"/>
      <c r="V3" s="177"/>
      <c r="W3" s="177"/>
      <c r="X3" s="177"/>
      <c r="Y3" s="177"/>
      <c r="Z3" s="177"/>
      <c r="AA3" s="177"/>
      <c r="AB3" s="177"/>
      <c r="AC3" s="177"/>
      <c r="AD3" s="177"/>
      <c r="AE3" s="177"/>
      <c r="AF3" s="177"/>
    </row>
    <row r="4" spans="1:32" ht="27" customHeight="1" x14ac:dyDescent="0.3">
      <c r="A4" s="177"/>
      <c r="B4" s="177"/>
      <c r="C4" s="177"/>
      <c r="D4" s="177"/>
      <c r="E4" s="177"/>
      <c r="F4" s="177"/>
      <c r="G4" s="177"/>
      <c r="H4" s="177"/>
      <c r="I4" s="177"/>
      <c r="J4" s="177"/>
      <c r="K4" s="177"/>
      <c r="L4" s="177"/>
      <c r="M4" s="177"/>
      <c r="N4" s="177"/>
      <c r="O4" s="177"/>
      <c r="P4" s="177"/>
      <c r="Q4" s="177"/>
      <c r="R4" s="177"/>
      <c r="S4" s="177"/>
      <c r="T4" s="177"/>
      <c r="U4" s="177"/>
      <c r="V4" s="177"/>
      <c r="W4" s="177"/>
      <c r="X4" s="177"/>
      <c r="Y4" s="177"/>
      <c r="Z4" s="177"/>
      <c r="AA4" s="177"/>
      <c r="AB4" s="177"/>
      <c r="AC4" s="177"/>
      <c r="AD4" s="177"/>
      <c r="AE4" s="177"/>
      <c r="AF4" s="177"/>
    </row>
    <row r="5" spans="1:32" ht="40.049999999999997" customHeight="1" x14ac:dyDescent="0.3">
      <c r="A5" s="179" t="s">
        <v>1</v>
      </c>
      <c r="B5" s="179" t="s">
        <v>3</v>
      </c>
      <c r="C5" s="179" t="s">
        <v>9154</v>
      </c>
      <c r="D5" s="179" t="s">
        <v>1092</v>
      </c>
      <c r="E5" s="179" t="s">
        <v>9155</v>
      </c>
      <c r="F5" s="179" t="s">
        <v>9156</v>
      </c>
      <c r="G5" s="179" t="s">
        <v>9157</v>
      </c>
      <c r="H5" s="179" t="s">
        <v>9158</v>
      </c>
      <c r="I5" s="179" t="s">
        <v>9159</v>
      </c>
      <c r="J5" s="179" t="s">
        <v>9160</v>
      </c>
      <c r="K5" s="179" t="s">
        <v>9161</v>
      </c>
      <c r="L5" s="179" t="s">
        <v>9162</v>
      </c>
      <c r="M5" s="179" t="s">
        <v>9163</v>
      </c>
      <c r="N5" s="179" t="s">
        <v>9164</v>
      </c>
      <c r="O5" s="179" t="s">
        <v>9165</v>
      </c>
      <c r="P5" s="179" t="s">
        <v>9166</v>
      </c>
      <c r="Q5" s="179" t="s">
        <v>9167</v>
      </c>
      <c r="R5" s="179" t="s">
        <v>9168</v>
      </c>
      <c r="S5" s="179" t="s">
        <v>9169</v>
      </c>
      <c r="T5" s="179" t="s">
        <v>9170</v>
      </c>
      <c r="U5" s="179" t="s">
        <v>9171</v>
      </c>
      <c r="V5" s="179" t="s">
        <v>9172</v>
      </c>
      <c r="W5" s="179" t="s">
        <v>9173</v>
      </c>
      <c r="X5" s="179" t="s">
        <v>9174</v>
      </c>
      <c r="Y5" s="179" t="s">
        <v>9175</v>
      </c>
      <c r="Z5" s="179" t="s">
        <v>9176</v>
      </c>
      <c r="AA5" s="179" t="s">
        <v>9177</v>
      </c>
      <c r="AB5" s="179" t="s">
        <v>9178</v>
      </c>
      <c r="AC5" s="179" t="s">
        <v>9179</v>
      </c>
      <c r="AD5" s="179" t="s">
        <v>9180</v>
      </c>
      <c r="AE5" s="179" t="s">
        <v>9181</v>
      </c>
      <c r="AF5" s="179" t="s">
        <v>9182</v>
      </c>
    </row>
    <row r="6" spans="1:32" ht="124.95" customHeight="1" x14ac:dyDescent="0.3">
      <c r="A6" s="180" t="s">
        <v>18</v>
      </c>
      <c r="B6" s="180">
        <v>2021</v>
      </c>
      <c r="C6" s="180" t="s">
        <v>1112</v>
      </c>
      <c r="D6" s="180">
        <v>95</v>
      </c>
      <c r="E6" s="181">
        <f>KOHC!D34</f>
        <v>1197.729351</v>
      </c>
      <c r="F6" s="181">
        <v>0</v>
      </c>
      <c r="G6" s="181">
        <v>0</v>
      </c>
      <c r="H6" s="181">
        <v>0</v>
      </c>
      <c r="I6" s="181">
        <v>1197.729351</v>
      </c>
      <c r="J6" s="181">
        <f t="shared" ref="J6:J30" si="0">E6+F6-G6</f>
        <v>1197.729351</v>
      </c>
      <c r="K6" s="181">
        <f t="shared" ref="K6:K30" si="1">J6-H6-I6</f>
        <v>0</v>
      </c>
      <c r="L6" s="181">
        <v>1225.80763</v>
      </c>
      <c r="M6" s="181">
        <v>0</v>
      </c>
      <c r="N6" s="181">
        <v>4.8850709999999999</v>
      </c>
      <c r="O6" s="181">
        <f t="shared" ref="O6:O30" si="2">SUM(L6:N6)</f>
        <v>1230.6927009999999</v>
      </c>
      <c r="P6" s="181">
        <f>KOHC!D107</f>
        <v>1230.6927009999999</v>
      </c>
      <c r="Q6" s="181">
        <f t="shared" ref="Q6:Q30" si="3">O6-P6</f>
        <v>0</v>
      </c>
      <c r="R6" s="181">
        <f>KOHC!D66</f>
        <v>6050.7861490000005</v>
      </c>
      <c r="S6" s="181">
        <f>KOHC!D251</f>
        <v>0</v>
      </c>
      <c r="T6" s="181">
        <f>KOHC!D252</f>
        <v>0</v>
      </c>
      <c r="U6" s="181">
        <f>KOHC!D53</f>
        <v>122.613973</v>
      </c>
      <c r="V6" s="181">
        <f t="shared" ref="V6:V30" si="4">SUM(S6:U6)</f>
        <v>122.613973</v>
      </c>
      <c r="W6" s="181">
        <f>KOHC!D130</f>
        <v>206.49</v>
      </c>
      <c r="X6" s="181">
        <f>KOHC!D128</f>
        <v>200.86129699999998</v>
      </c>
      <c r="Y6" s="181">
        <f t="shared" ref="Y6:Y30" si="5">W6*X6</f>
        <v>41475.849217529998</v>
      </c>
      <c r="Z6" s="181">
        <f t="shared" ref="Z6:Z30" si="6">Y6+R6+V6-J6</f>
        <v>46451.519988529995</v>
      </c>
      <c r="AA6" s="181">
        <f>KOHC!D96+KOHC!D106</f>
        <v>5376.2589380000009</v>
      </c>
      <c r="AB6" s="181">
        <f t="shared" ref="AB6:AB30" si="7">AA6+O6</f>
        <v>6606.9516390000008</v>
      </c>
      <c r="AC6" s="181">
        <f t="shared" ref="AC6:AC30" si="8">IF(OR(NOT(ISNUMBER(Z6)),NOT(ISNUMBER(AB6))),"n/m",IF(OR((AB6)&lt;=0,(Z6)&lt;0),"n/m",(Z6)/(AB6)))</f>
        <v>7.030703799061059</v>
      </c>
      <c r="AD6" s="183" t="s">
        <v>9183</v>
      </c>
      <c r="AE6" s="183" t="s">
        <v>9184</v>
      </c>
      <c r="AF6" s="183" t="s">
        <v>9185</v>
      </c>
    </row>
    <row r="7" spans="1:32" ht="124.95" customHeight="1" x14ac:dyDescent="0.3">
      <c r="A7" s="177" t="s">
        <v>18</v>
      </c>
      <c r="B7" s="177">
        <v>2022</v>
      </c>
      <c r="C7" s="177" t="s">
        <v>1112</v>
      </c>
      <c r="D7" s="177">
        <v>95</v>
      </c>
      <c r="E7" s="182">
        <f>KOHC!E34</f>
        <v>480.76563199999998</v>
      </c>
      <c r="F7" s="182">
        <v>0</v>
      </c>
      <c r="G7" s="182">
        <v>0</v>
      </c>
      <c r="H7" s="182">
        <v>0</v>
      </c>
      <c r="I7" s="182">
        <v>480.76563199999998</v>
      </c>
      <c r="J7" s="182">
        <f t="shared" si="0"/>
        <v>480.76563199999998</v>
      </c>
      <c r="K7" s="182">
        <f t="shared" si="1"/>
        <v>0</v>
      </c>
      <c r="L7" s="182">
        <v>1113.0653420000001</v>
      </c>
      <c r="M7" s="182">
        <v>0</v>
      </c>
      <c r="N7" s="182">
        <v>5.0444740000000001</v>
      </c>
      <c r="O7" s="182">
        <f t="shared" si="2"/>
        <v>1118.1098160000001</v>
      </c>
      <c r="P7" s="182">
        <f>KOHC!E107</f>
        <v>1118.1098159999999</v>
      </c>
      <c r="Q7" s="182">
        <f t="shared" si="3"/>
        <v>0</v>
      </c>
      <c r="R7" s="182">
        <f>KOHC!E66</f>
        <v>4251.3124740000003</v>
      </c>
      <c r="S7" s="182">
        <f>KOHC!E251</f>
        <v>0</v>
      </c>
      <c r="T7" s="182">
        <f>KOHC!E252</f>
        <v>0</v>
      </c>
      <c r="U7" s="182">
        <f>KOHC!E53</f>
        <v>142.17199299999999</v>
      </c>
      <c r="V7" s="182">
        <f t="shared" si="4"/>
        <v>142.17199299999999</v>
      </c>
      <c r="W7" s="182">
        <f>KOHC!E130</f>
        <v>130.13</v>
      </c>
      <c r="X7" s="182">
        <f>KOHC!E128</f>
        <v>200.86129699999998</v>
      </c>
      <c r="Y7" s="182">
        <f t="shared" si="5"/>
        <v>26138.080578609995</v>
      </c>
      <c r="Z7" s="182">
        <f t="shared" si="6"/>
        <v>30050.799413609995</v>
      </c>
      <c r="AA7" s="182">
        <f>KOHC!E96+KOHC!E106</f>
        <v>9440.8254749999996</v>
      </c>
      <c r="AB7" s="182">
        <f t="shared" si="7"/>
        <v>10558.935291</v>
      </c>
      <c r="AC7" s="182">
        <f t="shared" si="8"/>
        <v>2.8460065892461768</v>
      </c>
      <c r="AD7" s="184" t="s">
        <v>9186</v>
      </c>
      <c r="AE7" s="184" t="s">
        <v>9184</v>
      </c>
      <c r="AF7" s="184" t="s">
        <v>9187</v>
      </c>
    </row>
    <row r="8" spans="1:32" ht="124.95" customHeight="1" x14ac:dyDescent="0.3">
      <c r="A8" s="180" t="s">
        <v>18</v>
      </c>
      <c r="B8" s="180">
        <v>2023</v>
      </c>
      <c r="C8" s="180" t="s">
        <v>1119</v>
      </c>
      <c r="D8" s="180">
        <v>102</v>
      </c>
      <c r="E8" s="181">
        <f>KOHC!F34</f>
        <v>933.537193</v>
      </c>
      <c r="F8" s="181">
        <v>0</v>
      </c>
      <c r="G8" s="181">
        <v>0</v>
      </c>
      <c r="H8" s="181">
        <v>0</v>
      </c>
      <c r="I8" s="181">
        <v>933.537193</v>
      </c>
      <c r="J8" s="181">
        <f t="shared" si="0"/>
        <v>933.537193</v>
      </c>
      <c r="K8" s="181">
        <f t="shared" si="1"/>
        <v>0</v>
      </c>
      <c r="L8" s="181">
        <v>1114.8797420000001</v>
      </c>
      <c r="M8" s="181">
        <v>0</v>
      </c>
      <c r="N8" s="181">
        <v>1.133648</v>
      </c>
      <c r="O8" s="181">
        <f t="shared" si="2"/>
        <v>1116.0133900000001</v>
      </c>
      <c r="P8" s="181">
        <f>KOHC!F107</f>
        <v>1116.0133900000001</v>
      </c>
      <c r="Q8" s="181">
        <f t="shared" si="3"/>
        <v>0</v>
      </c>
      <c r="R8" s="181">
        <f>KOHC!F66</f>
        <v>3183.3732479999999</v>
      </c>
      <c r="S8" s="181">
        <f>KOHC!F251</f>
        <v>0</v>
      </c>
      <c r="T8" s="181">
        <f>KOHC!F252</f>
        <v>0</v>
      </c>
      <c r="U8" s="181">
        <f>KOHC!F53</f>
        <v>192.67479</v>
      </c>
      <c r="V8" s="181">
        <f t="shared" si="4"/>
        <v>192.67479</v>
      </c>
      <c r="W8" s="181">
        <f>KOHC!F130</f>
        <v>173.47</v>
      </c>
      <c r="X8" s="181">
        <f>KOHC!F128</f>
        <v>200.86129699999998</v>
      </c>
      <c r="Y8" s="181">
        <f t="shared" si="5"/>
        <v>34843.409190589999</v>
      </c>
      <c r="Z8" s="181">
        <f t="shared" si="6"/>
        <v>37285.920035590003</v>
      </c>
      <c r="AA8" s="181">
        <f>KOHC!F96+KOHC!F106</f>
        <v>11152.891156999996</v>
      </c>
      <c r="AB8" s="181">
        <f t="shared" si="7"/>
        <v>12268.904546999996</v>
      </c>
      <c r="AC8" s="181">
        <f t="shared" si="8"/>
        <v>3.0390586129963157</v>
      </c>
      <c r="AD8" s="183" t="s">
        <v>9188</v>
      </c>
      <c r="AE8" s="183" t="s">
        <v>9189</v>
      </c>
      <c r="AF8" s="183" t="s">
        <v>9190</v>
      </c>
    </row>
    <row r="9" spans="1:32" ht="124.95" customHeight="1" x14ac:dyDescent="0.3">
      <c r="A9" s="177" t="s">
        <v>18</v>
      </c>
      <c r="B9" s="177">
        <v>2024</v>
      </c>
      <c r="C9" s="177" t="s">
        <v>1123</v>
      </c>
      <c r="D9" s="177">
        <v>110</v>
      </c>
      <c r="E9" s="182">
        <f>KOHC!G34</f>
        <v>1102.6491719999999</v>
      </c>
      <c r="F9" s="182">
        <v>0</v>
      </c>
      <c r="G9" s="182">
        <v>0</v>
      </c>
      <c r="H9" s="182">
        <v>0</v>
      </c>
      <c r="I9" s="182">
        <v>1102.6491719999999</v>
      </c>
      <c r="J9" s="182">
        <f t="shared" si="0"/>
        <v>1102.6491719999999</v>
      </c>
      <c r="K9" s="182">
        <f t="shared" si="1"/>
        <v>0</v>
      </c>
      <c r="L9" s="182">
        <v>1181.727691</v>
      </c>
      <c r="M9" s="182">
        <v>0</v>
      </c>
      <c r="N9" s="182">
        <v>1.059483</v>
      </c>
      <c r="O9" s="182">
        <f t="shared" si="2"/>
        <v>1182.7871740000001</v>
      </c>
      <c r="P9" s="182">
        <f>KOHC!G107</f>
        <v>1182.7871740000001</v>
      </c>
      <c r="Q9" s="182">
        <f t="shared" si="3"/>
        <v>0</v>
      </c>
      <c r="R9" s="182">
        <f>KOHC!G66</f>
        <v>2153.059604</v>
      </c>
      <c r="S9" s="182">
        <f>KOHC!G251</f>
        <v>0</v>
      </c>
      <c r="T9" s="182">
        <f>KOHC!G252</f>
        <v>134.93977000000001</v>
      </c>
      <c r="U9" s="182">
        <f>KOHC!G53</f>
        <v>0</v>
      </c>
      <c r="V9" s="182">
        <f t="shared" si="4"/>
        <v>134.93977000000001</v>
      </c>
      <c r="W9" s="182">
        <f>KOHC!G130</f>
        <v>250.43</v>
      </c>
      <c r="X9" s="182">
        <f>KOHC!G128</f>
        <v>195.86129699999998</v>
      </c>
      <c r="Y9" s="182">
        <f t="shared" si="5"/>
        <v>49049.544607709999</v>
      </c>
      <c r="Z9" s="182">
        <f t="shared" si="6"/>
        <v>50234.89480971</v>
      </c>
      <c r="AA9" s="182">
        <f>KOHC!G96+KOHC!G106</f>
        <v>14422.469235000002</v>
      </c>
      <c r="AB9" s="182">
        <f t="shared" si="7"/>
        <v>15605.256409000001</v>
      </c>
      <c r="AC9" s="182">
        <f t="shared" si="8"/>
        <v>3.2191008909496732</v>
      </c>
      <c r="AD9" s="184" t="s">
        <v>9191</v>
      </c>
      <c r="AE9" s="184" t="s">
        <v>9192</v>
      </c>
      <c r="AF9" s="184" t="s">
        <v>9193</v>
      </c>
    </row>
    <row r="10" spans="1:32" ht="124.95" customHeight="1" x14ac:dyDescent="0.3">
      <c r="A10" s="180" t="s">
        <v>18</v>
      </c>
      <c r="B10" s="180">
        <v>2025</v>
      </c>
      <c r="C10" s="180" t="s">
        <v>1123</v>
      </c>
      <c r="D10" s="180">
        <v>110</v>
      </c>
      <c r="E10" s="181">
        <f>KOHC!H34</f>
        <v>1450.7027230000001</v>
      </c>
      <c r="F10" s="181">
        <v>0</v>
      </c>
      <c r="G10" s="181">
        <v>0</v>
      </c>
      <c r="H10" s="181">
        <v>0</v>
      </c>
      <c r="I10" s="181">
        <v>1450.7027230000001</v>
      </c>
      <c r="J10" s="181">
        <f t="shared" si="0"/>
        <v>1450.7027230000001</v>
      </c>
      <c r="K10" s="181">
        <f t="shared" si="1"/>
        <v>0</v>
      </c>
      <c r="L10" s="181">
        <v>1264.746263</v>
      </c>
      <c r="M10" s="181">
        <v>0</v>
      </c>
      <c r="N10" s="181">
        <v>0.24848400000000001</v>
      </c>
      <c r="O10" s="181">
        <f t="shared" si="2"/>
        <v>1264.994747</v>
      </c>
      <c r="P10" s="181">
        <f>KOHC!H107</f>
        <v>1264.994747</v>
      </c>
      <c r="Q10" s="181">
        <f t="shared" si="3"/>
        <v>0</v>
      </c>
      <c r="R10" s="181">
        <f>KOHC!H66</f>
        <v>2242.6215440000001</v>
      </c>
      <c r="S10" s="181">
        <f>KOHC!H251</f>
        <v>0</v>
      </c>
      <c r="T10" s="181">
        <f>KOHC!H252</f>
        <v>47.420397000000001</v>
      </c>
      <c r="U10" s="181">
        <f>KOHC!H53</f>
        <v>0</v>
      </c>
      <c r="V10" s="181">
        <f t="shared" si="4"/>
        <v>47.420397000000001</v>
      </c>
      <c r="W10" s="181">
        <f>KOHC!H130</f>
        <v>379.36</v>
      </c>
      <c r="X10" s="181">
        <f>KOHC!H128</f>
        <v>183.86129699999998</v>
      </c>
      <c r="Y10" s="181">
        <f t="shared" si="5"/>
        <v>69749.621629919988</v>
      </c>
      <c r="Z10" s="181">
        <f t="shared" si="6"/>
        <v>70588.960847919981</v>
      </c>
      <c r="AA10" s="181">
        <f>KOHC!H96+KOHC!H106</f>
        <v>18053.034155999998</v>
      </c>
      <c r="AB10" s="181">
        <f t="shared" si="7"/>
        <v>19318.028902999999</v>
      </c>
      <c r="AC10" s="181">
        <f t="shared" si="8"/>
        <v>3.6540457208322041</v>
      </c>
      <c r="AD10" s="183" t="s">
        <v>9191</v>
      </c>
      <c r="AE10" s="183" t="s">
        <v>9192</v>
      </c>
      <c r="AF10" s="183" t="s">
        <v>9193</v>
      </c>
    </row>
    <row r="11" spans="1:32" ht="124.95" customHeight="1" x14ac:dyDescent="0.3">
      <c r="A11" s="177" t="s">
        <v>68</v>
      </c>
      <c r="B11" s="177">
        <v>2021</v>
      </c>
      <c r="C11" s="177" t="s">
        <v>1589</v>
      </c>
      <c r="D11" s="177">
        <v>259</v>
      </c>
      <c r="E11" s="182">
        <f>LUCK!D34</f>
        <v>2825.424</v>
      </c>
      <c r="F11" s="182">
        <v>16187.615</v>
      </c>
      <c r="G11" s="182">
        <v>322</v>
      </c>
      <c r="H11" s="182">
        <v>7050</v>
      </c>
      <c r="I11" s="182">
        <v>11641.039000000001</v>
      </c>
      <c r="J11" s="182">
        <f t="shared" si="0"/>
        <v>18691.039000000001</v>
      </c>
      <c r="K11" s="182">
        <f t="shared" si="1"/>
        <v>0</v>
      </c>
      <c r="L11" s="182">
        <v>4298.76</v>
      </c>
      <c r="M11" s="182">
        <v>0</v>
      </c>
      <c r="N11" s="182">
        <v>10.653</v>
      </c>
      <c r="O11" s="182">
        <f t="shared" si="2"/>
        <v>4309.4130000000005</v>
      </c>
      <c r="P11" s="182">
        <f>LUCK!D107</f>
        <v>4298.76</v>
      </c>
      <c r="Q11" s="182">
        <f t="shared" si="3"/>
        <v>10.653000000000247</v>
      </c>
      <c r="R11" s="182">
        <f>LUCK!D66</f>
        <v>10490.951999999999</v>
      </c>
      <c r="S11" s="182">
        <f>LUCK!D251</f>
        <v>0</v>
      </c>
      <c r="T11" s="182">
        <f>LUCK!D252</f>
        <v>0</v>
      </c>
      <c r="U11" s="182">
        <f>LUCK!D53</f>
        <v>70.867999999999995</v>
      </c>
      <c r="V11" s="182">
        <f t="shared" si="4"/>
        <v>70.867999999999995</v>
      </c>
      <c r="W11" s="182">
        <f>LUCK!D130</f>
        <v>863.44</v>
      </c>
      <c r="X11" s="182">
        <f>LUCK!D128</f>
        <v>323.375</v>
      </c>
      <c r="Y11" s="182">
        <f t="shared" si="5"/>
        <v>279214.91000000003</v>
      </c>
      <c r="Z11" s="182">
        <f t="shared" si="6"/>
        <v>271085.69100000005</v>
      </c>
      <c r="AA11" s="182">
        <f>LUCK!D96+LUCK!D106</f>
        <v>17325.118000000002</v>
      </c>
      <c r="AB11" s="182">
        <f t="shared" si="7"/>
        <v>21634.531000000003</v>
      </c>
      <c r="AC11" s="182">
        <f t="shared" si="8"/>
        <v>12.530231924140164</v>
      </c>
      <c r="AD11" s="184" t="s">
        <v>9194</v>
      </c>
      <c r="AE11" s="184" t="s">
        <v>9195</v>
      </c>
      <c r="AF11" s="184" t="s">
        <v>9196</v>
      </c>
    </row>
    <row r="12" spans="1:32" ht="124.95" customHeight="1" x14ac:dyDescent="0.3">
      <c r="A12" s="180" t="s">
        <v>68</v>
      </c>
      <c r="B12" s="180">
        <v>2022</v>
      </c>
      <c r="C12" s="180" t="s">
        <v>1589</v>
      </c>
      <c r="D12" s="180">
        <v>259</v>
      </c>
      <c r="E12" s="181">
        <f>LUCK!E34</f>
        <v>3871.078</v>
      </c>
      <c r="F12" s="181">
        <v>12733.049000000001</v>
      </c>
      <c r="G12" s="181">
        <v>1111.1110000000001</v>
      </c>
      <c r="H12" s="181">
        <v>1000</v>
      </c>
      <c r="I12" s="181">
        <v>14493.016</v>
      </c>
      <c r="J12" s="181">
        <f t="shared" si="0"/>
        <v>15493.016</v>
      </c>
      <c r="K12" s="181">
        <f t="shared" si="1"/>
        <v>0</v>
      </c>
      <c r="L12" s="181">
        <v>4526.8760000000002</v>
      </c>
      <c r="M12" s="181">
        <v>0</v>
      </c>
      <c r="N12" s="181">
        <v>0.88500000000000001</v>
      </c>
      <c r="O12" s="181">
        <f t="shared" si="2"/>
        <v>4527.7610000000004</v>
      </c>
      <c r="P12" s="181">
        <f>LUCK!E107</f>
        <v>4527.7610000000004</v>
      </c>
      <c r="Q12" s="181">
        <f t="shared" si="3"/>
        <v>0</v>
      </c>
      <c r="R12" s="181">
        <f>LUCK!E66</f>
        <v>15595.647999999999</v>
      </c>
      <c r="S12" s="181">
        <f>LUCK!E251</f>
        <v>0</v>
      </c>
      <c r="T12" s="181">
        <f>LUCK!E252</f>
        <v>0</v>
      </c>
      <c r="U12" s="181">
        <f>LUCK!E53</f>
        <v>135.452</v>
      </c>
      <c r="V12" s="181">
        <f t="shared" si="4"/>
        <v>135.452</v>
      </c>
      <c r="W12" s="181">
        <f>LUCK!E130</f>
        <v>459.04</v>
      </c>
      <c r="X12" s="181">
        <f>LUCK!E128</f>
        <v>323.375</v>
      </c>
      <c r="Y12" s="181">
        <f t="shared" si="5"/>
        <v>148442.06</v>
      </c>
      <c r="Z12" s="181">
        <f t="shared" si="6"/>
        <v>148680.14399999997</v>
      </c>
      <c r="AA12" s="181">
        <f>LUCK!E96+LUCK!E106</f>
        <v>21815.748999999993</v>
      </c>
      <c r="AB12" s="181">
        <f t="shared" si="7"/>
        <v>26343.509999999995</v>
      </c>
      <c r="AC12" s="181">
        <f t="shared" si="8"/>
        <v>5.6439003003016683</v>
      </c>
      <c r="AD12" s="183" t="s">
        <v>9197</v>
      </c>
      <c r="AE12" s="183" t="s">
        <v>9195</v>
      </c>
      <c r="AF12" s="183" t="s">
        <v>9198</v>
      </c>
    </row>
    <row r="13" spans="1:32" ht="124.95" customHeight="1" x14ac:dyDescent="0.3">
      <c r="A13" s="177" t="s">
        <v>68</v>
      </c>
      <c r="B13" s="177">
        <v>2023</v>
      </c>
      <c r="C13" s="177" t="s">
        <v>1595</v>
      </c>
      <c r="D13" s="177">
        <v>272</v>
      </c>
      <c r="E13" s="182">
        <f>LUCK!F34</f>
        <v>4116.1809999999996</v>
      </c>
      <c r="F13" s="182">
        <v>21885.398000000001</v>
      </c>
      <c r="G13" s="182">
        <v>0</v>
      </c>
      <c r="H13" s="182">
        <v>0</v>
      </c>
      <c r="I13" s="182">
        <v>26001.579000000002</v>
      </c>
      <c r="J13" s="182">
        <f t="shared" si="0"/>
        <v>26001.579000000002</v>
      </c>
      <c r="K13" s="182">
        <f t="shared" si="1"/>
        <v>0</v>
      </c>
      <c r="L13" s="182">
        <v>5281.22</v>
      </c>
      <c r="M13" s="182">
        <v>0</v>
      </c>
      <c r="N13" s="182">
        <v>33.542000000000002</v>
      </c>
      <c r="O13" s="182">
        <f t="shared" si="2"/>
        <v>5314.7620000000006</v>
      </c>
      <c r="P13" s="182">
        <f>LUCK!F107</f>
        <v>5314.7619999999997</v>
      </c>
      <c r="Q13" s="182">
        <f t="shared" si="3"/>
        <v>0</v>
      </c>
      <c r="R13" s="182">
        <f>LUCK!F66</f>
        <v>21041.947</v>
      </c>
      <c r="S13" s="182">
        <f>LUCK!F251</f>
        <v>0</v>
      </c>
      <c r="T13" s="182">
        <f>LUCK!F252</f>
        <v>0</v>
      </c>
      <c r="U13" s="182">
        <f>LUCK!F53</f>
        <v>497.745</v>
      </c>
      <c r="V13" s="182">
        <f t="shared" si="4"/>
        <v>497.745</v>
      </c>
      <c r="W13" s="182">
        <f>LUCK!F130</f>
        <v>522.09</v>
      </c>
      <c r="X13" s="182">
        <f>LUCK!F128</f>
        <v>311.83859999999999</v>
      </c>
      <c r="Y13" s="182">
        <f t="shared" si="5"/>
        <v>162807.81467399999</v>
      </c>
      <c r="Z13" s="182">
        <f t="shared" si="6"/>
        <v>158345.92767400001</v>
      </c>
      <c r="AA13" s="182">
        <f>LUCK!F96+LUCK!F106</f>
        <v>22502.069999999996</v>
      </c>
      <c r="AB13" s="182">
        <f t="shared" si="7"/>
        <v>27816.831999999995</v>
      </c>
      <c r="AC13" s="182">
        <f t="shared" si="8"/>
        <v>5.6924500846825419</v>
      </c>
      <c r="AD13" s="184" t="s">
        <v>9199</v>
      </c>
      <c r="AE13" s="184" t="s">
        <v>9200</v>
      </c>
      <c r="AF13" s="184" t="s">
        <v>9201</v>
      </c>
    </row>
    <row r="14" spans="1:32" ht="124.95" customHeight="1" x14ac:dyDescent="0.3">
      <c r="A14" s="180" t="s">
        <v>68</v>
      </c>
      <c r="B14" s="180">
        <v>2024</v>
      </c>
      <c r="C14" s="180" t="s">
        <v>1598</v>
      </c>
      <c r="D14" s="180">
        <v>275</v>
      </c>
      <c r="E14" s="181">
        <f>LUCK!G34</f>
        <v>2567.1759999999999</v>
      </c>
      <c r="F14" s="181">
        <v>29814.955000000002</v>
      </c>
      <c r="G14" s="181">
        <v>0</v>
      </c>
      <c r="H14" s="181">
        <v>0</v>
      </c>
      <c r="I14" s="181">
        <v>32382.131000000001</v>
      </c>
      <c r="J14" s="181">
        <f t="shared" si="0"/>
        <v>32382.131000000001</v>
      </c>
      <c r="K14" s="181">
        <f t="shared" si="1"/>
        <v>0</v>
      </c>
      <c r="L14" s="181">
        <v>6054.3029999999999</v>
      </c>
      <c r="M14" s="181">
        <v>0</v>
      </c>
      <c r="N14" s="181">
        <v>43.119</v>
      </c>
      <c r="O14" s="181">
        <f t="shared" si="2"/>
        <v>6097.4219999999996</v>
      </c>
      <c r="P14" s="181">
        <f>LUCK!G107</f>
        <v>6097.4219999999996</v>
      </c>
      <c r="Q14" s="181">
        <f t="shared" si="3"/>
        <v>0</v>
      </c>
      <c r="R14" s="181">
        <f>LUCK!G66</f>
        <v>20344.784000000003</v>
      </c>
      <c r="S14" s="181">
        <f>LUCK!G251</f>
        <v>0</v>
      </c>
      <c r="T14" s="181">
        <f>LUCK!G252</f>
        <v>0</v>
      </c>
      <c r="U14" s="181">
        <f>LUCK!G53</f>
        <v>342.935</v>
      </c>
      <c r="V14" s="181">
        <f t="shared" si="4"/>
        <v>342.935</v>
      </c>
      <c r="W14" s="181">
        <f>LUCK!G130</f>
        <v>906.73</v>
      </c>
      <c r="X14" s="181">
        <f>LUCK!G128</f>
        <v>293</v>
      </c>
      <c r="Y14" s="181">
        <f t="shared" si="5"/>
        <v>265671.89</v>
      </c>
      <c r="Z14" s="181">
        <f t="shared" si="6"/>
        <v>253977.478</v>
      </c>
      <c r="AA14" s="181">
        <f>LUCK!G96+LUCK!G106</f>
        <v>42948.099000000002</v>
      </c>
      <c r="AB14" s="181">
        <f t="shared" si="7"/>
        <v>49045.521000000001</v>
      </c>
      <c r="AC14" s="181">
        <f t="shared" si="8"/>
        <v>5.178403100254557</v>
      </c>
      <c r="AD14" s="183" t="s">
        <v>9202</v>
      </c>
      <c r="AE14" s="183" t="s">
        <v>9203</v>
      </c>
      <c r="AF14" s="183" t="s">
        <v>9204</v>
      </c>
    </row>
    <row r="15" spans="1:32" ht="124.95" customHeight="1" x14ac:dyDescent="0.3">
      <c r="A15" s="177" t="s">
        <v>68</v>
      </c>
      <c r="B15" s="177">
        <v>2025</v>
      </c>
      <c r="C15" s="177" t="s">
        <v>1598</v>
      </c>
      <c r="D15" s="177">
        <v>275</v>
      </c>
      <c r="E15" s="182">
        <f>LUCK!H34</f>
        <v>2790.3229999999999</v>
      </c>
      <c r="F15" s="182">
        <v>61298.052000000003</v>
      </c>
      <c r="G15" s="182">
        <v>0</v>
      </c>
      <c r="H15" s="182">
        <v>0</v>
      </c>
      <c r="I15" s="182">
        <v>64088.375</v>
      </c>
      <c r="J15" s="182">
        <f t="shared" si="0"/>
        <v>64088.375</v>
      </c>
      <c r="K15" s="182">
        <f t="shared" si="1"/>
        <v>0</v>
      </c>
      <c r="L15" s="182">
        <v>6876.8230000000003</v>
      </c>
      <c r="M15" s="182">
        <v>0</v>
      </c>
      <c r="N15" s="182">
        <v>60.908999999999999</v>
      </c>
      <c r="O15" s="182">
        <f t="shared" si="2"/>
        <v>6937.732</v>
      </c>
      <c r="P15" s="182">
        <f>LUCK!H107</f>
        <v>6937.732</v>
      </c>
      <c r="Q15" s="182">
        <f t="shared" si="3"/>
        <v>0</v>
      </c>
      <c r="R15" s="182">
        <f>LUCK!H66</f>
        <v>17535.607</v>
      </c>
      <c r="S15" s="182">
        <f>LUCK!H251</f>
        <v>0</v>
      </c>
      <c r="T15" s="182">
        <f>LUCK!H252</f>
        <v>0</v>
      </c>
      <c r="U15" s="182">
        <f>LUCK!H53</f>
        <v>185.61600000000001</v>
      </c>
      <c r="V15" s="182">
        <f t="shared" si="4"/>
        <v>185.61600000000001</v>
      </c>
      <c r="W15" s="182">
        <f>LUCK!H130</f>
        <v>355.24</v>
      </c>
      <c r="X15" s="182">
        <f>LUCK!H128</f>
        <v>1465</v>
      </c>
      <c r="Y15" s="182">
        <f t="shared" si="5"/>
        <v>520426.60000000003</v>
      </c>
      <c r="Z15" s="182">
        <f t="shared" si="6"/>
        <v>474059.44800000009</v>
      </c>
      <c r="AA15" s="182">
        <f>LUCK!H96+LUCK!H106</f>
        <v>48649.106</v>
      </c>
      <c r="AB15" s="182">
        <f t="shared" si="7"/>
        <v>55586.838000000003</v>
      </c>
      <c r="AC15" s="182">
        <f t="shared" si="8"/>
        <v>8.5282679327793396</v>
      </c>
      <c r="AD15" s="184" t="s">
        <v>9202</v>
      </c>
      <c r="AE15" s="184" t="s">
        <v>9203</v>
      </c>
      <c r="AF15" s="184" t="s">
        <v>9204</v>
      </c>
    </row>
    <row r="16" spans="1:32" ht="124.95" customHeight="1" x14ac:dyDescent="0.3">
      <c r="A16" s="180" t="s">
        <v>86</v>
      </c>
      <c r="B16" s="180">
        <v>2021</v>
      </c>
      <c r="C16" s="180" t="s">
        <v>2035</v>
      </c>
      <c r="D16" s="180">
        <v>179</v>
      </c>
      <c r="E16" s="181">
        <f>DGKC!D34</f>
        <v>806.37300000000005</v>
      </c>
      <c r="F16" s="181">
        <v>0</v>
      </c>
      <c r="G16" s="181">
        <v>0</v>
      </c>
      <c r="H16" s="181">
        <v>18362.05</v>
      </c>
      <c r="I16" s="181">
        <v>-17555.677</v>
      </c>
      <c r="J16" s="181">
        <f t="shared" si="0"/>
        <v>806.37300000000005</v>
      </c>
      <c r="K16" s="181">
        <f t="shared" si="1"/>
        <v>0</v>
      </c>
      <c r="L16" s="181">
        <v>3580.8069999999998</v>
      </c>
      <c r="M16" s="181">
        <v>0</v>
      </c>
      <c r="N16" s="181">
        <v>0</v>
      </c>
      <c r="O16" s="181">
        <f t="shared" si="2"/>
        <v>3580.8069999999998</v>
      </c>
      <c r="P16" s="181">
        <f>DGKC!D107</f>
        <v>3580.8069999999998</v>
      </c>
      <c r="Q16" s="181">
        <f t="shared" si="3"/>
        <v>0</v>
      </c>
      <c r="R16" s="181">
        <f>DGKC!D66</f>
        <v>43792.817000000003</v>
      </c>
      <c r="S16" s="181">
        <f>DGKC!D251</f>
        <v>0</v>
      </c>
      <c r="T16" s="181">
        <f>DGKC!D252</f>
        <v>0</v>
      </c>
      <c r="U16" s="181">
        <f>DGKC!D53</f>
        <v>507.76900000000001</v>
      </c>
      <c r="V16" s="181">
        <f t="shared" si="4"/>
        <v>507.76900000000001</v>
      </c>
      <c r="W16" s="181">
        <f>DGKC!D130</f>
        <v>117.92</v>
      </c>
      <c r="X16" s="181">
        <f>DGKC!D128</f>
        <v>438.1191</v>
      </c>
      <c r="Y16" s="181">
        <f t="shared" si="5"/>
        <v>51663.004271999998</v>
      </c>
      <c r="Z16" s="181">
        <f t="shared" si="6"/>
        <v>95157.217271999994</v>
      </c>
      <c r="AA16" s="181">
        <f>DGKC!D96+DGKC!D106</f>
        <v>7657.514000000001</v>
      </c>
      <c r="AB16" s="181">
        <f t="shared" si="7"/>
        <v>11238.321</v>
      </c>
      <c r="AC16" s="181">
        <f t="shared" si="8"/>
        <v>8.4672094053907152</v>
      </c>
      <c r="AD16" s="183" t="s">
        <v>9205</v>
      </c>
      <c r="AE16" s="183" t="s">
        <v>9206</v>
      </c>
      <c r="AF16" s="183" t="s">
        <v>9207</v>
      </c>
    </row>
    <row r="17" spans="1:32" ht="124.95" customHeight="1" x14ac:dyDescent="0.3">
      <c r="A17" s="177" t="s">
        <v>86</v>
      </c>
      <c r="B17" s="177">
        <v>2022</v>
      </c>
      <c r="C17" s="177" t="s">
        <v>2035</v>
      </c>
      <c r="D17" s="177">
        <v>179</v>
      </c>
      <c r="E17" s="182">
        <f>DGKC!E34</f>
        <v>410.803</v>
      </c>
      <c r="F17" s="182">
        <v>0</v>
      </c>
      <c r="G17" s="182">
        <v>0</v>
      </c>
      <c r="H17" s="182">
        <v>25210.506000000001</v>
      </c>
      <c r="I17" s="182">
        <v>-24799.703000000001</v>
      </c>
      <c r="J17" s="182">
        <f t="shared" si="0"/>
        <v>410.803</v>
      </c>
      <c r="K17" s="182">
        <f t="shared" si="1"/>
        <v>0</v>
      </c>
      <c r="L17" s="182">
        <v>3909.107</v>
      </c>
      <c r="M17" s="182">
        <v>0</v>
      </c>
      <c r="N17" s="182">
        <v>4.181</v>
      </c>
      <c r="O17" s="182">
        <f t="shared" si="2"/>
        <v>3913.288</v>
      </c>
      <c r="P17" s="182">
        <f>DGKC!E107</f>
        <v>3913.288</v>
      </c>
      <c r="Q17" s="182">
        <f t="shared" si="3"/>
        <v>0</v>
      </c>
      <c r="R17" s="182">
        <f>DGKC!E66</f>
        <v>46475.900999999998</v>
      </c>
      <c r="S17" s="182">
        <f>DGKC!E251</f>
        <v>0</v>
      </c>
      <c r="T17" s="182">
        <f>DGKC!E252</f>
        <v>0</v>
      </c>
      <c r="U17" s="182">
        <f>DGKC!E53</f>
        <v>883.22900000000004</v>
      </c>
      <c r="V17" s="182">
        <f t="shared" si="4"/>
        <v>883.22900000000004</v>
      </c>
      <c r="W17" s="182">
        <f>DGKC!E130</f>
        <v>62.5</v>
      </c>
      <c r="X17" s="182">
        <f>DGKC!E128</f>
        <v>438.1191</v>
      </c>
      <c r="Y17" s="182">
        <f t="shared" si="5"/>
        <v>27382.443749999999</v>
      </c>
      <c r="Z17" s="182">
        <f t="shared" si="6"/>
        <v>74330.770749999996</v>
      </c>
      <c r="AA17" s="182">
        <f>DGKC!E96+DGKC!E106</f>
        <v>9564.4179999999978</v>
      </c>
      <c r="AB17" s="182">
        <f t="shared" si="7"/>
        <v>13477.705999999998</v>
      </c>
      <c r="AC17" s="182">
        <f t="shared" si="8"/>
        <v>5.5150906801201929</v>
      </c>
      <c r="AD17" s="184" t="s">
        <v>9208</v>
      </c>
      <c r="AE17" s="184" t="s">
        <v>9206</v>
      </c>
      <c r="AF17" s="184" t="s">
        <v>9209</v>
      </c>
    </row>
    <row r="18" spans="1:32" ht="124.95" customHeight="1" x14ac:dyDescent="0.3">
      <c r="A18" s="180" t="s">
        <v>86</v>
      </c>
      <c r="B18" s="180">
        <v>2023</v>
      </c>
      <c r="C18" s="180" t="s">
        <v>2041</v>
      </c>
      <c r="D18" s="180">
        <v>207</v>
      </c>
      <c r="E18" s="181">
        <f>DGKC!F34</f>
        <v>674.97199999999998</v>
      </c>
      <c r="F18" s="181">
        <v>0</v>
      </c>
      <c r="G18" s="181">
        <v>0</v>
      </c>
      <c r="H18" s="181">
        <v>25494.293000000001</v>
      </c>
      <c r="I18" s="181">
        <v>-24819.321</v>
      </c>
      <c r="J18" s="181">
        <f t="shared" si="0"/>
        <v>674.97199999999998</v>
      </c>
      <c r="K18" s="181">
        <f t="shared" si="1"/>
        <v>0</v>
      </c>
      <c r="L18" s="181">
        <v>3936.9609999999998</v>
      </c>
      <c r="M18" s="181">
        <v>0</v>
      </c>
      <c r="N18" s="181">
        <v>7.1669999999999998</v>
      </c>
      <c r="O18" s="181">
        <f t="shared" si="2"/>
        <v>3944.1279999999997</v>
      </c>
      <c r="P18" s="181">
        <f>DGKC!F107</f>
        <v>3944.1280000000002</v>
      </c>
      <c r="Q18" s="181">
        <f t="shared" si="3"/>
        <v>0</v>
      </c>
      <c r="R18" s="181">
        <f>DGKC!F66</f>
        <v>42528.276000000005</v>
      </c>
      <c r="S18" s="181">
        <f>DGKC!F251</f>
        <v>0</v>
      </c>
      <c r="T18" s="181">
        <f>DGKC!F252</f>
        <v>0</v>
      </c>
      <c r="U18" s="181">
        <f>DGKC!F53</f>
        <v>1739.547</v>
      </c>
      <c r="V18" s="181">
        <f t="shared" si="4"/>
        <v>1739.547</v>
      </c>
      <c r="W18" s="181">
        <f>DGKC!F130</f>
        <v>51.3</v>
      </c>
      <c r="X18" s="181">
        <f>DGKC!F128</f>
        <v>438.1191</v>
      </c>
      <c r="Y18" s="181">
        <f t="shared" si="5"/>
        <v>22475.509829999999</v>
      </c>
      <c r="Z18" s="181">
        <f t="shared" si="6"/>
        <v>66068.36083000002</v>
      </c>
      <c r="AA18" s="181">
        <f>DGKC!F96+DGKC!F106</f>
        <v>9866.3420000000006</v>
      </c>
      <c r="AB18" s="181">
        <f t="shared" si="7"/>
        <v>13810.470000000001</v>
      </c>
      <c r="AC18" s="181">
        <f t="shared" si="8"/>
        <v>4.7839328299471351</v>
      </c>
      <c r="AD18" s="183" t="s">
        <v>9210</v>
      </c>
      <c r="AE18" s="183" t="s">
        <v>9211</v>
      </c>
      <c r="AF18" s="183" t="s">
        <v>9212</v>
      </c>
    </row>
    <row r="19" spans="1:32" ht="124.95" customHeight="1" x14ac:dyDescent="0.3">
      <c r="A19" s="177" t="s">
        <v>86</v>
      </c>
      <c r="B19" s="177">
        <v>2024</v>
      </c>
      <c r="C19" s="177" t="s">
        <v>2043</v>
      </c>
      <c r="D19" s="177">
        <v>212</v>
      </c>
      <c r="E19" s="182">
        <f>DGKC!G34</f>
        <v>732.16800000000001</v>
      </c>
      <c r="F19" s="182">
        <v>0</v>
      </c>
      <c r="G19" s="182">
        <v>0</v>
      </c>
      <c r="H19" s="182">
        <v>13064.718000000001</v>
      </c>
      <c r="I19" s="182">
        <v>-12332.55</v>
      </c>
      <c r="J19" s="182">
        <f t="shared" si="0"/>
        <v>732.16800000000001</v>
      </c>
      <c r="K19" s="182">
        <f t="shared" si="1"/>
        <v>0</v>
      </c>
      <c r="L19" s="182">
        <v>3829.9070000000002</v>
      </c>
      <c r="M19" s="182">
        <v>0</v>
      </c>
      <c r="N19" s="182">
        <v>23.545000000000002</v>
      </c>
      <c r="O19" s="182">
        <f t="shared" si="2"/>
        <v>3853.4520000000002</v>
      </c>
      <c r="P19" s="182">
        <f>DGKC!G107</f>
        <v>3853.4520000000002</v>
      </c>
      <c r="Q19" s="182">
        <f t="shared" si="3"/>
        <v>0</v>
      </c>
      <c r="R19" s="182">
        <f>DGKC!G66</f>
        <v>34321.806000000004</v>
      </c>
      <c r="S19" s="182">
        <f>DGKC!G251</f>
        <v>0</v>
      </c>
      <c r="T19" s="182">
        <f>DGKC!G252</f>
        <v>0</v>
      </c>
      <c r="U19" s="182">
        <f>DGKC!G53</f>
        <v>1280.4459999999999</v>
      </c>
      <c r="V19" s="182">
        <f t="shared" si="4"/>
        <v>1280.4459999999999</v>
      </c>
      <c r="W19" s="182">
        <f>DGKC!G130</f>
        <v>90.27</v>
      </c>
      <c r="X19" s="182">
        <f>DGKC!G128</f>
        <v>438.1191</v>
      </c>
      <c r="Y19" s="182">
        <f t="shared" si="5"/>
        <v>39549.011157000001</v>
      </c>
      <c r="Z19" s="182">
        <f t="shared" si="6"/>
        <v>74419.095157000003</v>
      </c>
      <c r="AA19" s="182">
        <f>DGKC!G96+DGKC!G106</f>
        <v>10763.888000000001</v>
      </c>
      <c r="AB19" s="182">
        <f t="shared" si="7"/>
        <v>14617.34</v>
      </c>
      <c r="AC19" s="182">
        <f t="shared" si="8"/>
        <v>5.0911516840273263</v>
      </c>
      <c r="AD19" s="184" t="s">
        <v>9213</v>
      </c>
      <c r="AE19" s="184" t="s">
        <v>9214</v>
      </c>
      <c r="AF19" s="184" t="s">
        <v>9215</v>
      </c>
    </row>
    <row r="20" spans="1:32" ht="124.95" customHeight="1" x14ac:dyDescent="0.3">
      <c r="A20" s="180" t="s">
        <v>86</v>
      </c>
      <c r="B20" s="180">
        <v>2025</v>
      </c>
      <c r="C20" s="180" t="s">
        <v>2043</v>
      </c>
      <c r="D20" s="180">
        <v>212</v>
      </c>
      <c r="E20" s="181">
        <f>DGKC!H34</f>
        <v>568.83199999999999</v>
      </c>
      <c r="F20" s="181">
        <v>653.52</v>
      </c>
      <c r="G20" s="181">
        <v>0</v>
      </c>
      <c r="H20" s="181">
        <v>9878.4989999999998</v>
      </c>
      <c r="I20" s="181">
        <v>-8656.1470000000008</v>
      </c>
      <c r="J20" s="181">
        <f t="shared" si="0"/>
        <v>1222.3519999999999</v>
      </c>
      <c r="K20" s="181">
        <f t="shared" si="1"/>
        <v>0</v>
      </c>
      <c r="L20" s="181">
        <v>3802.9160000000002</v>
      </c>
      <c r="M20" s="181">
        <v>0</v>
      </c>
      <c r="N20" s="181">
        <v>29.686</v>
      </c>
      <c r="O20" s="181">
        <f t="shared" si="2"/>
        <v>3832.6020000000003</v>
      </c>
      <c r="P20" s="181">
        <f>DGKC!H107</f>
        <v>3832.6019999999999</v>
      </c>
      <c r="Q20" s="181">
        <f t="shared" si="3"/>
        <v>0</v>
      </c>
      <c r="R20" s="181">
        <f>DGKC!H66</f>
        <v>21907.100000000002</v>
      </c>
      <c r="S20" s="181">
        <f>DGKC!H251</f>
        <v>0</v>
      </c>
      <c r="T20" s="181">
        <f>DGKC!H252</f>
        <v>0</v>
      </c>
      <c r="U20" s="181">
        <f>DGKC!H53</f>
        <v>229.65199999999999</v>
      </c>
      <c r="V20" s="181">
        <f t="shared" si="4"/>
        <v>229.65199999999999</v>
      </c>
      <c r="W20" s="181">
        <f>DGKC!H130</f>
        <v>165.56</v>
      </c>
      <c r="X20" s="181">
        <f>DGKC!H128</f>
        <v>438.1191</v>
      </c>
      <c r="Y20" s="181">
        <f t="shared" si="5"/>
        <v>72534.998196</v>
      </c>
      <c r="Z20" s="181">
        <f t="shared" si="6"/>
        <v>93449.398196000009</v>
      </c>
      <c r="AA20" s="181">
        <f>DGKC!H96+DGKC!H106</f>
        <v>16821.347999999998</v>
      </c>
      <c r="AB20" s="181">
        <f t="shared" si="7"/>
        <v>20653.949999999997</v>
      </c>
      <c r="AC20" s="181">
        <f t="shared" si="8"/>
        <v>4.5245291189336676</v>
      </c>
      <c r="AD20" s="183" t="s">
        <v>9213</v>
      </c>
      <c r="AE20" s="183" t="s">
        <v>9214</v>
      </c>
      <c r="AF20" s="183" t="s">
        <v>9215</v>
      </c>
    </row>
    <row r="21" spans="1:32" ht="124.95" customHeight="1" x14ac:dyDescent="0.3">
      <c r="A21" s="177" t="s">
        <v>106</v>
      </c>
      <c r="B21" s="177">
        <v>2021</v>
      </c>
      <c r="C21" s="177" t="s">
        <v>1589</v>
      </c>
      <c r="D21" s="177">
        <v>244</v>
      </c>
      <c r="E21" s="182">
        <f>MLCF!D34</f>
        <v>490.32900000000001</v>
      </c>
      <c r="F21" s="182">
        <v>0</v>
      </c>
      <c r="G21" s="182">
        <v>0</v>
      </c>
      <c r="H21" s="182">
        <v>210.52699999999999</v>
      </c>
      <c r="I21" s="182">
        <v>279.80200000000002</v>
      </c>
      <c r="J21" s="182">
        <f t="shared" si="0"/>
        <v>490.32900000000001</v>
      </c>
      <c r="K21" s="182">
        <f t="shared" si="1"/>
        <v>0</v>
      </c>
      <c r="L21" s="182">
        <v>3284.6959999999999</v>
      </c>
      <c r="M21" s="182">
        <v>0</v>
      </c>
      <c r="N21" s="182">
        <v>3.0059999999999998</v>
      </c>
      <c r="O21" s="182">
        <f t="shared" si="2"/>
        <v>3287.7019999999998</v>
      </c>
      <c r="P21" s="182">
        <f>MLCF!D107</f>
        <v>3287.7020000000002</v>
      </c>
      <c r="Q21" s="182">
        <f t="shared" si="3"/>
        <v>0</v>
      </c>
      <c r="R21" s="182">
        <f>MLCF!D66</f>
        <v>16235.475999999999</v>
      </c>
      <c r="S21" s="182">
        <f>MLCF!D251</f>
        <v>0</v>
      </c>
      <c r="T21" s="182">
        <f>MLCF!D252</f>
        <v>0</v>
      </c>
      <c r="U21" s="182">
        <f>MLCF!D53</f>
        <v>260.95299999999997</v>
      </c>
      <c r="V21" s="182">
        <f t="shared" si="4"/>
        <v>260.95299999999997</v>
      </c>
      <c r="W21" s="182">
        <f>MLCF!D130</f>
        <v>46.98</v>
      </c>
      <c r="X21" s="182">
        <f>MLCF!D128</f>
        <v>1098.3462</v>
      </c>
      <c r="Y21" s="182">
        <f t="shared" si="5"/>
        <v>51600.304475999998</v>
      </c>
      <c r="Z21" s="182">
        <f t="shared" si="6"/>
        <v>67606.404475999996</v>
      </c>
      <c r="AA21" s="182">
        <f>MLCF!D96+MLCF!D106</f>
        <v>8736.8789999999972</v>
      </c>
      <c r="AB21" s="182">
        <f t="shared" si="7"/>
        <v>12024.580999999996</v>
      </c>
      <c r="AC21" s="182">
        <f t="shared" si="8"/>
        <v>5.6223501239668989</v>
      </c>
      <c r="AD21" s="184" t="s">
        <v>9216</v>
      </c>
      <c r="AE21" s="184" t="s">
        <v>9217</v>
      </c>
      <c r="AF21" s="184" t="s">
        <v>9218</v>
      </c>
    </row>
    <row r="22" spans="1:32" ht="124.95" customHeight="1" x14ac:dyDescent="0.3">
      <c r="A22" s="180" t="s">
        <v>106</v>
      </c>
      <c r="B22" s="180">
        <v>2022</v>
      </c>
      <c r="C22" s="180" t="s">
        <v>1589</v>
      </c>
      <c r="D22" s="180">
        <v>244</v>
      </c>
      <c r="E22" s="181">
        <f>MLCF!E34</f>
        <v>793.57600000000002</v>
      </c>
      <c r="F22" s="181">
        <v>0</v>
      </c>
      <c r="G22" s="181">
        <v>0</v>
      </c>
      <c r="H22" s="181">
        <v>1397.4949999999999</v>
      </c>
      <c r="I22" s="181">
        <v>-603.91899999999998</v>
      </c>
      <c r="J22" s="181">
        <f t="shared" si="0"/>
        <v>793.57600000000002</v>
      </c>
      <c r="K22" s="181">
        <f t="shared" si="1"/>
        <v>0</v>
      </c>
      <c r="L22" s="181">
        <v>3231.5889999999999</v>
      </c>
      <c r="M22" s="181">
        <v>0</v>
      </c>
      <c r="N22" s="181">
        <v>2.3879999999999999</v>
      </c>
      <c r="O22" s="181">
        <f t="shared" si="2"/>
        <v>3233.9769999999999</v>
      </c>
      <c r="P22" s="181">
        <f>MLCF!E107</f>
        <v>3233.9769999999999</v>
      </c>
      <c r="Q22" s="181">
        <f t="shared" si="3"/>
        <v>0</v>
      </c>
      <c r="R22" s="181">
        <f>MLCF!E66</f>
        <v>24973.713999999996</v>
      </c>
      <c r="S22" s="181">
        <f>MLCF!E251</f>
        <v>0</v>
      </c>
      <c r="T22" s="181">
        <f>MLCF!E252</f>
        <v>0</v>
      </c>
      <c r="U22" s="181">
        <f>MLCF!E53</f>
        <v>665.12199999999996</v>
      </c>
      <c r="V22" s="181">
        <f t="shared" si="4"/>
        <v>665.12199999999996</v>
      </c>
      <c r="W22" s="181">
        <f>MLCF!E130</f>
        <v>27.35</v>
      </c>
      <c r="X22" s="181">
        <f>MLCF!E128</f>
        <v>1079.8011999999999</v>
      </c>
      <c r="Y22" s="181">
        <f t="shared" si="5"/>
        <v>29532.562819999999</v>
      </c>
      <c r="Z22" s="181">
        <f t="shared" si="6"/>
        <v>54377.822820000001</v>
      </c>
      <c r="AA22" s="181">
        <f>MLCF!E96+MLCF!E106</f>
        <v>8873.5370000000003</v>
      </c>
      <c r="AB22" s="181">
        <f t="shared" si="7"/>
        <v>12107.513999999999</v>
      </c>
      <c r="AC22" s="181">
        <f t="shared" si="8"/>
        <v>4.4912459172048038</v>
      </c>
      <c r="AD22" s="183" t="s">
        <v>9216</v>
      </c>
      <c r="AE22" s="183" t="s">
        <v>9217</v>
      </c>
      <c r="AF22" s="183" t="s">
        <v>9218</v>
      </c>
    </row>
    <row r="23" spans="1:32" ht="124.95" customHeight="1" x14ac:dyDescent="0.3">
      <c r="A23" s="177" t="s">
        <v>106</v>
      </c>
      <c r="B23" s="177">
        <v>2023</v>
      </c>
      <c r="C23" s="177" t="s">
        <v>1595</v>
      </c>
      <c r="D23" s="177">
        <v>252</v>
      </c>
      <c r="E23" s="182">
        <f>MLCF!F34</f>
        <v>740.70699999999999</v>
      </c>
      <c r="F23" s="182">
        <v>0</v>
      </c>
      <c r="G23" s="182">
        <v>0</v>
      </c>
      <c r="H23" s="182">
        <v>0</v>
      </c>
      <c r="I23" s="182">
        <v>740.70699999999999</v>
      </c>
      <c r="J23" s="182">
        <f t="shared" si="0"/>
        <v>740.70699999999999</v>
      </c>
      <c r="K23" s="182">
        <f t="shared" si="1"/>
        <v>0</v>
      </c>
      <c r="L23" s="182">
        <v>3471.88</v>
      </c>
      <c r="M23" s="182">
        <v>0</v>
      </c>
      <c r="N23" s="182">
        <v>3.4689999999999999</v>
      </c>
      <c r="O23" s="182">
        <f t="shared" si="2"/>
        <v>3475.3490000000002</v>
      </c>
      <c r="P23" s="182">
        <f>MLCF!F107</f>
        <v>3475.3490000000002</v>
      </c>
      <c r="Q23" s="182">
        <f t="shared" si="3"/>
        <v>0</v>
      </c>
      <c r="R23" s="182">
        <f>MLCF!F66</f>
        <v>19874.403000000002</v>
      </c>
      <c r="S23" s="182">
        <f>MLCF!F251</f>
        <v>0</v>
      </c>
      <c r="T23" s="182">
        <f>MLCF!F252</f>
        <v>0</v>
      </c>
      <c r="U23" s="182">
        <f>MLCF!F53</f>
        <v>880.03899999999999</v>
      </c>
      <c r="V23" s="182">
        <f t="shared" si="4"/>
        <v>880.03899999999999</v>
      </c>
      <c r="W23" s="182">
        <f>MLCF!F130</f>
        <v>28.33</v>
      </c>
      <c r="X23" s="182">
        <f>MLCF!F128</f>
        <v>1073.3462</v>
      </c>
      <c r="Y23" s="182">
        <f t="shared" si="5"/>
        <v>30407.897845999996</v>
      </c>
      <c r="Z23" s="182">
        <f t="shared" si="6"/>
        <v>50421.632845999993</v>
      </c>
      <c r="AA23" s="182">
        <f>MLCF!F96+MLCF!F106</f>
        <v>11933.841999999997</v>
      </c>
      <c r="AB23" s="182">
        <f t="shared" si="7"/>
        <v>15409.190999999997</v>
      </c>
      <c r="AC23" s="182">
        <f t="shared" si="8"/>
        <v>3.2721791070017887</v>
      </c>
      <c r="AD23" s="184" t="s">
        <v>9219</v>
      </c>
      <c r="AE23" s="184" t="s">
        <v>9220</v>
      </c>
      <c r="AF23" s="184" t="s">
        <v>9221</v>
      </c>
    </row>
    <row r="24" spans="1:32" ht="124.95" customHeight="1" x14ac:dyDescent="0.3">
      <c r="A24" s="180" t="s">
        <v>106</v>
      </c>
      <c r="B24" s="180">
        <v>2024</v>
      </c>
      <c r="C24" s="180" t="s">
        <v>1598</v>
      </c>
      <c r="D24" s="180">
        <v>268</v>
      </c>
      <c r="E24" s="181">
        <f>MLCF!G34</f>
        <v>1133.412</v>
      </c>
      <c r="F24" s="181">
        <v>238.5</v>
      </c>
      <c r="G24" s="181">
        <v>0</v>
      </c>
      <c r="H24" s="181">
        <v>1645.316</v>
      </c>
      <c r="I24" s="181">
        <v>-273.404</v>
      </c>
      <c r="J24" s="181">
        <f t="shared" si="0"/>
        <v>1371.912</v>
      </c>
      <c r="K24" s="181">
        <f t="shared" si="1"/>
        <v>0</v>
      </c>
      <c r="L24" s="181">
        <v>4494.7889999999998</v>
      </c>
      <c r="M24" s="181">
        <v>13.593999999999999</v>
      </c>
      <c r="N24" s="181">
        <v>11.964</v>
      </c>
      <c r="O24" s="181">
        <f t="shared" si="2"/>
        <v>4520.3469999999998</v>
      </c>
      <c r="P24" s="181">
        <f>MLCF!G107</f>
        <v>4520.3469999999998</v>
      </c>
      <c r="Q24" s="181">
        <f t="shared" si="3"/>
        <v>0</v>
      </c>
      <c r="R24" s="181">
        <f>MLCF!G66</f>
        <v>19387.383000000002</v>
      </c>
      <c r="S24" s="181">
        <f>MLCF!G251</f>
        <v>0</v>
      </c>
      <c r="T24" s="181">
        <f>MLCF!G252</f>
        <v>0</v>
      </c>
      <c r="U24" s="181">
        <f>MLCF!G53</f>
        <v>865.94500000000005</v>
      </c>
      <c r="V24" s="181">
        <f t="shared" si="4"/>
        <v>865.94500000000005</v>
      </c>
      <c r="W24" s="181">
        <f>MLCF!G130</f>
        <v>38</v>
      </c>
      <c r="X24" s="181">
        <f>MLCF!G128</f>
        <v>1047.5626</v>
      </c>
      <c r="Y24" s="181">
        <f t="shared" si="5"/>
        <v>39807.378799999999</v>
      </c>
      <c r="Z24" s="181">
        <f t="shared" si="6"/>
        <v>58688.794800000003</v>
      </c>
      <c r="AA24" s="181">
        <f>MLCF!G96+MLCF!G106</f>
        <v>12986.867999999999</v>
      </c>
      <c r="AB24" s="181">
        <f t="shared" si="7"/>
        <v>17507.214999999997</v>
      </c>
      <c r="AC24" s="181">
        <f t="shared" si="8"/>
        <v>3.3522633268626687</v>
      </c>
      <c r="AD24" s="183" t="s">
        <v>9222</v>
      </c>
      <c r="AE24" s="183" t="s">
        <v>9223</v>
      </c>
      <c r="AF24" s="183" t="s">
        <v>9224</v>
      </c>
    </row>
    <row r="25" spans="1:32" ht="124.95" customHeight="1" x14ac:dyDescent="0.3">
      <c r="A25" s="177" t="s">
        <v>106</v>
      </c>
      <c r="B25" s="177">
        <v>2025</v>
      </c>
      <c r="C25" s="177" t="s">
        <v>1598</v>
      </c>
      <c r="D25" s="177">
        <v>268</v>
      </c>
      <c r="E25" s="182">
        <f>MLCF!H34</f>
        <v>1615.481</v>
      </c>
      <c r="F25" s="182">
        <v>0</v>
      </c>
      <c r="G25" s="182">
        <v>0</v>
      </c>
      <c r="H25" s="182">
        <v>143.52000000000001</v>
      </c>
      <c r="I25" s="182">
        <v>1471.961</v>
      </c>
      <c r="J25" s="182">
        <f t="shared" si="0"/>
        <v>1615.481</v>
      </c>
      <c r="K25" s="182">
        <f t="shared" si="1"/>
        <v>0</v>
      </c>
      <c r="L25" s="182">
        <v>4367.9480000000003</v>
      </c>
      <c r="M25" s="182">
        <v>15.151999999999999</v>
      </c>
      <c r="N25" s="182">
        <v>30.2</v>
      </c>
      <c r="O25" s="182">
        <f t="shared" si="2"/>
        <v>4413.3</v>
      </c>
      <c r="P25" s="182">
        <f>MLCF!H107</f>
        <v>4413.3</v>
      </c>
      <c r="Q25" s="182">
        <f t="shared" si="3"/>
        <v>0</v>
      </c>
      <c r="R25" s="182">
        <f>MLCF!H66</f>
        <v>14580.07</v>
      </c>
      <c r="S25" s="182">
        <f>MLCF!H251</f>
        <v>0</v>
      </c>
      <c r="T25" s="182">
        <f>MLCF!H252</f>
        <v>0</v>
      </c>
      <c r="U25" s="182">
        <f>MLCF!H53</f>
        <v>320.43400000000003</v>
      </c>
      <c r="V25" s="182">
        <f t="shared" si="4"/>
        <v>320.43400000000003</v>
      </c>
      <c r="W25" s="182">
        <f>MLCF!H130</f>
        <v>84.28</v>
      </c>
      <c r="X25" s="182">
        <f>MLCF!H128</f>
        <v>1047.5626</v>
      </c>
      <c r="Y25" s="182">
        <f t="shared" si="5"/>
        <v>88288.575928000006</v>
      </c>
      <c r="Z25" s="182">
        <f t="shared" si="6"/>
        <v>101573.59892800001</v>
      </c>
      <c r="AA25" s="182">
        <f>MLCF!H96+MLCF!H106</f>
        <v>25078.190999999999</v>
      </c>
      <c r="AB25" s="182">
        <f t="shared" si="7"/>
        <v>29491.490999999998</v>
      </c>
      <c r="AC25" s="182">
        <f t="shared" si="8"/>
        <v>3.4441662826745523</v>
      </c>
      <c r="AD25" s="184" t="s">
        <v>9222</v>
      </c>
      <c r="AE25" s="184" t="s">
        <v>9223</v>
      </c>
      <c r="AF25" s="184" t="s">
        <v>9224</v>
      </c>
    </row>
    <row r="26" spans="1:32" ht="124.95" customHeight="1" x14ac:dyDescent="0.3">
      <c r="A26" s="180" t="s">
        <v>114</v>
      </c>
      <c r="B26" s="180">
        <v>2021</v>
      </c>
      <c r="C26" s="180" t="s">
        <v>2918</v>
      </c>
      <c r="D26" s="180">
        <v>230</v>
      </c>
      <c r="E26" s="181">
        <f>FCCL!D34</f>
        <v>900.77800000000002</v>
      </c>
      <c r="F26" s="181">
        <v>0</v>
      </c>
      <c r="G26" s="181">
        <v>0</v>
      </c>
      <c r="H26" s="181">
        <v>1616.787</v>
      </c>
      <c r="I26" s="181">
        <v>-716.00900000000001</v>
      </c>
      <c r="J26" s="181">
        <f t="shared" si="0"/>
        <v>900.77800000000002</v>
      </c>
      <c r="K26" s="181">
        <f t="shared" si="1"/>
        <v>0</v>
      </c>
      <c r="L26" s="181">
        <v>1574.0319999999999</v>
      </c>
      <c r="M26" s="181">
        <v>25.518999999999998</v>
      </c>
      <c r="N26" s="181">
        <v>0</v>
      </c>
      <c r="O26" s="181">
        <f t="shared" si="2"/>
        <v>1599.5509999999999</v>
      </c>
      <c r="P26" s="181">
        <f>FCCL!D107</f>
        <v>1599.5509999999999</v>
      </c>
      <c r="Q26" s="181">
        <f t="shared" si="3"/>
        <v>0</v>
      </c>
      <c r="R26" s="181">
        <f>FCCL!D66</f>
        <v>2568.0890000000004</v>
      </c>
      <c r="S26" s="181">
        <f>FCCL!D251</f>
        <v>0</v>
      </c>
      <c r="T26" s="181">
        <f>FCCL!D252</f>
        <v>0</v>
      </c>
      <c r="U26" s="181">
        <f>FCCL!D53</f>
        <v>0</v>
      </c>
      <c r="V26" s="181">
        <f t="shared" si="4"/>
        <v>0</v>
      </c>
      <c r="W26" s="181">
        <f>FCCL!D130</f>
        <v>23</v>
      </c>
      <c r="X26" s="181">
        <f>FCCL!D128</f>
        <v>1379.8150000000001</v>
      </c>
      <c r="Y26" s="181">
        <f t="shared" si="5"/>
        <v>31735.745000000003</v>
      </c>
      <c r="Z26" s="181">
        <f t="shared" si="6"/>
        <v>33403.056000000004</v>
      </c>
      <c r="AA26" s="181">
        <f>FCCL!D96+FCCL!D106</f>
        <v>5199.8039999999992</v>
      </c>
      <c r="AB26" s="181">
        <f t="shared" si="7"/>
        <v>6799.3549999999996</v>
      </c>
      <c r="AC26" s="181">
        <f t="shared" si="8"/>
        <v>4.9126800998035849</v>
      </c>
      <c r="AD26" s="183" t="s">
        <v>9225</v>
      </c>
      <c r="AE26" s="183" t="s">
        <v>9226</v>
      </c>
      <c r="AF26" s="183" t="s">
        <v>9227</v>
      </c>
    </row>
    <row r="27" spans="1:32" ht="124.95" customHeight="1" x14ac:dyDescent="0.3">
      <c r="A27" s="177" t="s">
        <v>114</v>
      </c>
      <c r="B27" s="177">
        <v>2022</v>
      </c>
      <c r="C27" s="177" t="s">
        <v>2918</v>
      </c>
      <c r="D27" s="177">
        <v>230</v>
      </c>
      <c r="E27" s="182">
        <f>FCCL!E34</f>
        <v>2306.6329999999998</v>
      </c>
      <c r="F27" s="182">
        <v>0</v>
      </c>
      <c r="G27" s="182">
        <v>0</v>
      </c>
      <c r="H27" s="182">
        <v>3218.2489999999998</v>
      </c>
      <c r="I27" s="182">
        <v>-911.61599999999999</v>
      </c>
      <c r="J27" s="182">
        <f t="shared" si="0"/>
        <v>2306.6329999999998</v>
      </c>
      <c r="K27" s="182">
        <f t="shared" si="1"/>
        <v>0</v>
      </c>
      <c r="L27" s="182">
        <v>2705.692</v>
      </c>
      <c r="M27" s="182">
        <v>45.750999999999998</v>
      </c>
      <c r="N27" s="182">
        <v>198.7</v>
      </c>
      <c r="O27" s="182">
        <f t="shared" si="2"/>
        <v>2950.143</v>
      </c>
      <c r="P27" s="182">
        <f>FCCL!E107</f>
        <v>2950.143</v>
      </c>
      <c r="Q27" s="182">
        <f t="shared" si="3"/>
        <v>0</v>
      </c>
      <c r="R27" s="182">
        <f>FCCL!E66</f>
        <v>25917.630000000005</v>
      </c>
      <c r="S27" s="182">
        <f>FCCL!E251</f>
        <v>7387</v>
      </c>
      <c r="T27" s="182">
        <f>FCCL!E252</f>
        <v>0</v>
      </c>
      <c r="U27" s="182">
        <f>FCCL!E53</f>
        <v>0</v>
      </c>
      <c r="V27" s="182">
        <f t="shared" si="4"/>
        <v>7387</v>
      </c>
      <c r="W27" s="182">
        <f>FCCL!E130</f>
        <v>14.17</v>
      </c>
      <c r="X27" s="182">
        <f>FCCL!E128</f>
        <v>2180.3090000000002</v>
      </c>
      <c r="Y27" s="182">
        <f t="shared" si="5"/>
        <v>30894.978530000004</v>
      </c>
      <c r="Z27" s="182">
        <f t="shared" si="6"/>
        <v>61892.975530000011</v>
      </c>
      <c r="AA27" s="182">
        <f>FCCL!E96+FCCL!E106</f>
        <v>12523.317000000001</v>
      </c>
      <c r="AB27" s="182">
        <f t="shared" si="7"/>
        <v>15473.460000000001</v>
      </c>
      <c r="AC27" s="182">
        <f t="shared" si="8"/>
        <v>3.9999441320816422</v>
      </c>
      <c r="AD27" s="184" t="s">
        <v>9228</v>
      </c>
      <c r="AE27" s="184" t="s">
        <v>9226</v>
      </c>
      <c r="AF27" s="184" t="s">
        <v>9229</v>
      </c>
    </row>
    <row r="28" spans="1:32" ht="124.95" customHeight="1" x14ac:dyDescent="0.3">
      <c r="A28" s="180" t="s">
        <v>114</v>
      </c>
      <c r="B28" s="180">
        <v>2023</v>
      </c>
      <c r="C28" s="180" t="s">
        <v>2923</v>
      </c>
      <c r="D28" s="180">
        <v>230</v>
      </c>
      <c r="E28" s="181">
        <f>FCCL!F34</f>
        <v>970.45699999999999</v>
      </c>
      <c r="F28" s="181">
        <v>0</v>
      </c>
      <c r="G28" s="181">
        <v>89.5</v>
      </c>
      <c r="H28" s="181">
        <v>4530.9809999999998</v>
      </c>
      <c r="I28" s="181">
        <v>-3650.0239999999999</v>
      </c>
      <c r="J28" s="181">
        <f t="shared" si="0"/>
        <v>880.95699999999999</v>
      </c>
      <c r="K28" s="181">
        <f t="shared" si="1"/>
        <v>0</v>
      </c>
      <c r="L28" s="181">
        <v>3395.3310000000001</v>
      </c>
      <c r="M28" s="181">
        <v>49.207000000000001</v>
      </c>
      <c r="N28" s="181">
        <v>205.34800000000001</v>
      </c>
      <c r="O28" s="181">
        <f t="shared" si="2"/>
        <v>3649.886</v>
      </c>
      <c r="P28" s="181">
        <f>FCCL!F107</f>
        <v>3649.886</v>
      </c>
      <c r="Q28" s="181">
        <f t="shared" si="3"/>
        <v>0</v>
      </c>
      <c r="R28" s="181">
        <f>FCCL!F66</f>
        <v>40653.996000000006</v>
      </c>
      <c r="S28" s="181">
        <f>FCCL!F251</f>
        <v>7387</v>
      </c>
      <c r="T28" s="181">
        <f>FCCL!F252</f>
        <v>0</v>
      </c>
      <c r="U28" s="181">
        <f>FCCL!F53</f>
        <v>0</v>
      </c>
      <c r="V28" s="181">
        <f t="shared" si="4"/>
        <v>7387</v>
      </c>
      <c r="W28" s="181">
        <f>FCCL!F130</f>
        <v>11.76</v>
      </c>
      <c r="X28" s="181">
        <f>FCCL!F128</f>
        <v>2452.8476000000001</v>
      </c>
      <c r="Y28" s="181">
        <f t="shared" si="5"/>
        <v>28845.487776000002</v>
      </c>
      <c r="Z28" s="181">
        <f t="shared" si="6"/>
        <v>76005.526776000013</v>
      </c>
      <c r="AA28" s="181">
        <f>FCCL!F96+FCCL!F106</f>
        <v>15524.919000000007</v>
      </c>
      <c r="AB28" s="181">
        <f t="shared" si="7"/>
        <v>19174.805000000008</v>
      </c>
      <c r="AC28" s="181">
        <f t="shared" si="8"/>
        <v>3.9638226712605413</v>
      </c>
      <c r="AD28" s="183" t="s">
        <v>9230</v>
      </c>
      <c r="AE28" s="183" t="s">
        <v>9231</v>
      </c>
      <c r="AF28" s="183" t="s">
        <v>9232</v>
      </c>
    </row>
    <row r="29" spans="1:32" ht="124.95" customHeight="1" x14ac:dyDescent="0.3">
      <c r="A29" s="177" t="s">
        <v>114</v>
      </c>
      <c r="B29" s="177">
        <v>2024</v>
      </c>
      <c r="C29" s="177" t="s">
        <v>2925</v>
      </c>
      <c r="D29" s="177">
        <v>285</v>
      </c>
      <c r="E29" s="182">
        <f>FCCL!G34</f>
        <v>2932.9839999999999</v>
      </c>
      <c r="F29" s="182">
        <v>0</v>
      </c>
      <c r="G29" s="182">
        <v>85.5</v>
      </c>
      <c r="H29" s="182">
        <v>850.93399999999997</v>
      </c>
      <c r="I29" s="182">
        <v>1996.55</v>
      </c>
      <c r="J29" s="182">
        <f t="shared" si="0"/>
        <v>2847.4839999999999</v>
      </c>
      <c r="K29" s="182">
        <f t="shared" si="1"/>
        <v>0</v>
      </c>
      <c r="L29" s="182">
        <v>3775.527</v>
      </c>
      <c r="M29" s="182">
        <v>70.486999999999995</v>
      </c>
      <c r="N29" s="182">
        <v>212.03700000000001</v>
      </c>
      <c r="O29" s="182">
        <f t="shared" si="2"/>
        <v>4058.0509999999999</v>
      </c>
      <c r="P29" s="182">
        <f>FCCL!G107</f>
        <v>4058.0509999999999</v>
      </c>
      <c r="Q29" s="182">
        <f t="shared" si="3"/>
        <v>0</v>
      </c>
      <c r="R29" s="182">
        <f>FCCL!G66</f>
        <v>36589.749000000003</v>
      </c>
      <c r="S29" s="182">
        <f>FCCL!G251</f>
        <v>7387</v>
      </c>
      <c r="T29" s="182">
        <f>FCCL!G252</f>
        <v>0</v>
      </c>
      <c r="U29" s="182">
        <f>FCCL!G53</f>
        <v>0</v>
      </c>
      <c r="V29" s="182">
        <f t="shared" si="4"/>
        <v>7387</v>
      </c>
      <c r="W29" s="182">
        <f>FCCL!G130</f>
        <v>22.91</v>
      </c>
      <c r="X29" s="182">
        <f>FCCL!G128</f>
        <v>2452.8476000000001</v>
      </c>
      <c r="Y29" s="182">
        <f t="shared" si="5"/>
        <v>56194.738516000005</v>
      </c>
      <c r="Z29" s="182">
        <f t="shared" si="6"/>
        <v>97324.003516000012</v>
      </c>
      <c r="AA29" s="182">
        <f>FCCL!G96+FCCL!G106</f>
        <v>20878.690999999995</v>
      </c>
      <c r="AB29" s="182">
        <f t="shared" si="7"/>
        <v>24936.741999999995</v>
      </c>
      <c r="AC29" s="182">
        <f t="shared" si="8"/>
        <v>3.9028355635230949</v>
      </c>
      <c r="AD29" s="184" t="s">
        <v>9233</v>
      </c>
      <c r="AE29" s="184" t="s">
        <v>9234</v>
      </c>
      <c r="AF29" s="184" t="s">
        <v>9235</v>
      </c>
    </row>
    <row r="30" spans="1:32" ht="124.95" customHeight="1" x14ac:dyDescent="0.3">
      <c r="A30" s="180" t="s">
        <v>114</v>
      </c>
      <c r="B30" s="180">
        <v>2025</v>
      </c>
      <c r="C30" s="180" t="s">
        <v>2925</v>
      </c>
      <c r="D30" s="180">
        <v>285</v>
      </c>
      <c r="E30" s="181">
        <f>FCCL!H34</f>
        <v>2665.3380000000002</v>
      </c>
      <c r="F30" s="181">
        <v>0</v>
      </c>
      <c r="G30" s="181">
        <v>85.5</v>
      </c>
      <c r="H30" s="181">
        <v>268.46199999999999</v>
      </c>
      <c r="I30" s="181">
        <v>2311.3760000000002</v>
      </c>
      <c r="J30" s="181">
        <f t="shared" si="0"/>
        <v>2579.8380000000002</v>
      </c>
      <c r="K30" s="181">
        <f t="shared" si="1"/>
        <v>0</v>
      </c>
      <c r="L30" s="181">
        <v>4706.393</v>
      </c>
      <c r="M30" s="181">
        <v>51.313000000000002</v>
      </c>
      <c r="N30" s="181">
        <v>212.03299999999999</v>
      </c>
      <c r="O30" s="181">
        <f t="shared" si="2"/>
        <v>4969.7390000000005</v>
      </c>
      <c r="P30" s="181">
        <f>FCCL!H107</f>
        <v>4969.7389999999996</v>
      </c>
      <c r="Q30" s="181">
        <f t="shared" si="3"/>
        <v>0</v>
      </c>
      <c r="R30" s="181">
        <f>FCCL!H66</f>
        <v>40036.47</v>
      </c>
      <c r="S30" s="181">
        <f>FCCL!H251</f>
        <v>0</v>
      </c>
      <c r="T30" s="181">
        <f>FCCL!H252</f>
        <v>185.18600000000001</v>
      </c>
      <c r="U30" s="181">
        <f>FCCL!H53</f>
        <v>0</v>
      </c>
      <c r="V30" s="181">
        <f t="shared" si="4"/>
        <v>185.18600000000001</v>
      </c>
      <c r="W30" s="181">
        <f>FCCL!H130</f>
        <v>44.67</v>
      </c>
      <c r="X30" s="181">
        <f>FCCL!H128</f>
        <v>2452.8476000000001</v>
      </c>
      <c r="Y30" s="181">
        <f t="shared" si="5"/>
        <v>109568.702292</v>
      </c>
      <c r="Z30" s="181">
        <f t="shared" si="6"/>
        <v>147210.520292</v>
      </c>
      <c r="AA30" s="181">
        <f>FCCL!H96+FCCL!H106</f>
        <v>27199.797999999988</v>
      </c>
      <c r="AB30" s="181">
        <f t="shared" si="7"/>
        <v>32169.536999999989</v>
      </c>
      <c r="AC30" s="181">
        <f t="shared" si="8"/>
        <v>4.5760845203336329</v>
      </c>
      <c r="AD30" s="183" t="s">
        <v>9233</v>
      </c>
      <c r="AE30" s="183" t="s">
        <v>9234</v>
      </c>
      <c r="AF30" s="183" t="s">
        <v>9235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87"/>
  <sheetViews>
    <sheetView workbookViewId="0"/>
  </sheetViews>
  <sheetFormatPr defaultRowHeight="14.4" x14ac:dyDescent="0.3"/>
  <cols>
    <col min="1" max="1" width="38" customWidth="1"/>
    <col min="2" max="2" width="55" customWidth="1"/>
    <col min="3" max="8" width="25" customWidth="1"/>
  </cols>
  <sheetData>
    <row r="1" spans="1:8" ht="31.95" customHeight="1" x14ac:dyDescent="0.3">
      <c r="A1" s="191" t="s">
        <v>9363</v>
      </c>
      <c r="B1" s="192"/>
      <c r="C1" s="192"/>
      <c r="D1" s="192"/>
      <c r="E1" s="192"/>
      <c r="F1" s="192"/>
      <c r="G1" s="192"/>
      <c r="H1" s="192"/>
    </row>
    <row r="2" spans="1:8" ht="31.95" customHeight="1" x14ac:dyDescent="0.3">
      <c r="A2" s="192" t="s">
        <v>9364</v>
      </c>
      <c r="B2" s="192"/>
      <c r="C2" s="192"/>
      <c r="D2" s="192"/>
      <c r="E2" s="192"/>
      <c r="F2" s="192"/>
      <c r="G2" s="192"/>
      <c r="H2" s="192"/>
    </row>
    <row r="3" spans="1:8" x14ac:dyDescent="0.3">
      <c r="A3" s="3" t="s">
        <v>9236</v>
      </c>
      <c r="B3" t="s">
        <v>9237</v>
      </c>
    </row>
    <row r="4" spans="1:8" x14ac:dyDescent="0.3">
      <c r="A4" s="3" t="s">
        <v>9238</v>
      </c>
      <c r="B4" t="s">
        <v>9239</v>
      </c>
    </row>
    <row r="5" spans="1:8" x14ac:dyDescent="0.3">
      <c r="A5" s="3" t="s">
        <v>9240</v>
      </c>
      <c r="B5" t="s">
        <v>9241</v>
      </c>
    </row>
    <row r="6" spans="1:8" x14ac:dyDescent="0.3">
      <c r="A6" s="3" t="s">
        <v>9242</v>
      </c>
      <c r="B6" t="s">
        <v>9243</v>
      </c>
    </row>
    <row r="7" spans="1:8" x14ac:dyDescent="0.3">
      <c r="A7" s="3" t="s">
        <v>9244</v>
      </c>
      <c r="B7" t="s">
        <v>9245</v>
      </c>
    </row>
    <row r="8" spans="1:8" x14ac:dyDescent="0.3">
      <c r="A8" s="3" t="s">
        <v>221</v>
      </c>
      <c r="B8" t="s">
        <v>9246</v>
      </c>
    </row>
    <row r="9" spans="1:8" x14ac:dyDescent="0.3">
      <c r="A9" s="3" t="s">
        <v>9247</v>
      </c>
      <c r="B9" t="s">
        <v>9248</v>
      </c>
    </row>
    <row r="10" spans="1:8" x14ac:dyDescent="0.3">
      <c r="A10" s="3" t="s">
        <v>9249</v>
      </c>
      <c r="B10" t="s">
        <v>9250</v>
      </c>
    </row>
    <row r="12" spans="1:8" x14ac:dyDescent="0.3">
      <c r="A12" s="4" t="s">
        <v>9251</v>
      </c>
    </row>
    <row r="13" spans="1:8" x14ac:dyDescent="0.3">
      <c r="A13" s="5" t="s">
        <v>9252</v>
      </c>
      <c r="B13" s="5" t="s">
        <v>1</v>
      </c>
      <c r="C13" s="5" t="s">
        <v>9253</v>
      </c>
      <c r="D13" s="5" t="s">
        <v>3341</v>
      </c>
      <c r="E13" s="5" t="s">
        <v>9254</v>
      </c>
      <c r="F13" s="5" t="s">
        <v>1095</v>
      </c>
      <c r="G13" s="5" t="s">
        <v>9255</v>
      </c>
    </row>
    <row r="14" spans="1:8" x14ac:dyDescent="0.3">
      <c r="A14" t="s">
        <v>18</v>
      </c>
      <c r="B14" t="s">
        <v>218</v>
      </c>
      <c r="C14" t="s">
        <v>221</v>
      </c>
      <c r="D14" t="s">
        <v>9256</v>
      </c>
      <c r="E14" t="s">
        <v>1110</v>
      </c>
      <c r="F14" t="s">
        <v>1109</v>
      </c>
      <c r="G14" s="6" t="s">
        <v>9257</v>
      </c>
    </row>
    <row r="15" spans="1:8" x14ac:dyDescent="0.3">
      <c r="A15" t="s">
        <v>68</v>
      </c>
      <c r="B15" t="s">
        <v>615</v>
      </c>
      <c r="C15" t="s">
        <v>616</v>
      </c>
      <c r="D15" t="s">
        <v>9256</v>
      </c>
      <c r="E15" t="s">
        <v>1587</v>
      </c>
      <c r="F15" t="s">
        <v>1586</v>
      </c>
      <c r="G15" s="6" t="s">
        <v>9258</v>
      </c>
    </row>
    <row r="16" spans="1:8" x14ac:dyDescent="0.3">
      <c r="A16" t="s">
        <v>86</v>
      </c>
      <c r="B16" t="s">
        <v>692</v>
      </c>
      <c r="C16" t="s">
        <v>693</v>
      </c>
      <c r="D16" t="s">
        <v>9256</v>
      </c>
      <c r="E16" t="s">
        <v>1587</v>
      </c>
      <c r="F16" t="s">
        <v>2033</v>
      </c>
      <c r="G16" s="6" t="s">
        <v>9259</v>
      </c>
    </row>
    <row r="17" spans="1:8" x14ac:dyDescent="0.3">
      <c r="A17" t="s">
        <v>106</v>
      </c>
      <c r="B17" t="s">
        <v>765</v>
      </c>
      <c r="C17" t="s">
        <v>766</v>
      </c>
      <c r="D17" t="s">
        <v>9256</v>
      </c>
      <c r="E17" t="s">
        <v>1587</v>
      </c>
      <c r="F17" t="s">
        <v>2033</v>
      </c>
      <c r="G17" s="6" t="s">
        <v>9260</v>
      </c>
    </row>
    <row r="18" spans="1:8" x14ac:dyDescent="0.3">
      <c r="A18" t="s">
        <v>114</v>
      </c>
      <c r="B18" t="s">
        <v>836</v>
      </c>
      <c r="C18" t="s">
        <v>837</v>
      </c>
      <c r="D18" t="s">
        <v>9256</v>
      </c>
      <c r="E18" t="s">
        <v>1110</v>
      </c>
      <c r="F18" t="s">
        <v>2033</v>
      </c>
      <c r="G18" s="6" t="s">
        <v>9261</v>
      </c>
    </row>
    <row r="19" spans="1:8" x14ac:dyDescent="0.3">
      <c r="G19" s="6" t="s">
        <v>9262</v>
      </c>
    </row>
    <row r="20" spans="1:8" x14ac:dyDescent="0.3">
      <c r="G20" s="6" t="s">
        <v>9263</v>
      </c>
    </row>
    <row r="22" spans="1:8" x14ac:dyDescent="0.3">
      <c r="A22" s="4" t="s">
        <v>9264</v>
      </c>
    </row>
    <row r="23" spans="1:8" ht="72" x14ac:dyDescent="0.3">
      <c r="A23" s="3" t="s">
        <v>9265</v>
      </c>
      <c r="B23" s="2" t="s">
        <v>9266</v>
      </c>
      <c r="C23" s="2"/>
      <c r="D23" s="2"/>
      <c r="E23" s="2"/>
      <c r="F23" s="2"/>
      <c r="G23" s="2"/>
      <c r="H23" s="2"/>
    </row>
    <row r="24" spans="1:8" ht="43.2" x14ac:dyDescent="0.3">
      <c r="A24" s="3" t="s">
        <v>9267</v>
      </c>
      <c r="B24" s="2" t="s">
        <v>9268</v>
      </c>
      <c r="C24" s="2"/>
      <c r="D24" s="2"/>
      <c r="E24" s="2"/>
      <c r="F24" s="2"/>
      <c r="G24" s="2"/>
      <c r="H24" s="2"/>
    </row>
    <row r="25" spans="1:8" ht="28.8" x14ac:dyDescent="0.3">
      <c r="A25" s="3" t="s">
        <v>9022</v>
      </c>
      <c r="B25" s="2" t="s">
        <v>9269</v>
      </c>
      <c r="C25" s="2"/>
      <c r="D25" s="2"/>
      <c r="E25" s="2"/>
      <c r="F25" s="2"/>
      <c r="G25" s="2"/>
      <c r="H25" s="2"/>
    </row>
    <row r="26" spans="1:8" ht="57.6" x14ac:dyDescent="0.3">
      <c r="A26" s="3" t="s">
        <v>9270</v>
      </c>
      <c r="B26" s="2" t="s">
        <v>9271</v>
      </c>
      <c r="C26" s="2"/>
      <c r="D26" s="2"/>
      <c r="E26" s="2"/>
      <c r="F26" s="2"/>
      <c r="G26" s="2"/>
      <c r="H26" s="2"/>
    </row>
    <row r="27" spans="1:8" ht="43.2" x14ac:dyDescent="0.3">
      <c r="A27" s="3" t="s">
        <v>9272</v>
      </c>
      <c r="B27" s="2" t="s">
        <v>9273</v>
      </c>
      <c r="C27" s="2"/>
      <c r="D27" s="2"/>
      <c r="E27" s="2"/>
      <c r="F27" s="2"/>
      <c r="G27" s="2"/>
      <c r="H27" s="2"/>
    </row>
    <row r="28" spans="1:8" ht="57.6" x14ac:dyDescent="0.3">
      <c r="A28" s="3" t="s">
        <v>9274</v>
      </c>
      <c r="B28" s="2" t="s">
        <v>9275</v>
      </c>
      <c r="C28" s="2"/>
      <c r="D28" s="2"/>
      <c r="E28" s="2"/>
      <c r="F28" s="2"/>
      <c r="G28" s="2"/>
      <c r="H28" s="2"/>
    </row>
    <row r="29" spans="1:8" ht="57.6" x14ac:dyDescent="0.3">
      <c r="A29" s="3" t="s">
        <v>9276</v>
      </c>
      <c r="B29" s="2" t="s">
        <v>9277</v>
      </c>
      <c r="C29" s="2"/>
      <c r="D29" s="2"/>
      <c r="E29" s="2"/>
      <c r="F29" s="2"/>
      <c r="G29" s="2"/>
      <c r="H29" s="2"/>
    </row>
    <row r="30" spans="1:8" ht="43.2" x14ac:dyDescent="0.3">
      <c r="A30" s="3" t="s">
        <v>5254</v>
      </c>
      <c r="B30" s="2" t="s">
        <v>9278</v>
      </c>
      <c r="C30" s="2"/>
      <c r="D30" s="2"/>
      <c r="E30" s="2"/>
      <c r="F30" s="2"/>
      <c r="G30" s="2"/>
      <c r="H30" s="2"/>
    </row>
    <row r="31" spans="1:8" ht="57.6" x14ac:dyDescent="0.3">
      <c r="A31" s="3" t="s">
        <v>9279</v>
      </c>
      <c r="B31" s="2" t="s">
        <v>9280</v>
      </c>
      <c r="C31" s="2"/>
      <c r="D31" s="2"/>
      <c r="E31" s="2"/>
      <c r="F31" s="2"/>
      <c r="G31" s="2"/>
      <c r="H31" s="2"/>
    </row>
    <row r="32" spans="1:8" ht="57.6" x14ac:dyDescent="0.3">
      <c r="A32" s="3" t="s">
        <v>9281</v>
      </c>
      <c r="B32" s="2" t="s">
        <v>9282</v>
      </c>
      <c r="C32" s="2"/>
      <c r="D32" s="2"/>
      <c r="E32" s="2"/>
      <c r="F32" s="2"/>
      <c r="G32" s="2"/>
      <c r="H32" s="2"/>
    </row>
    <row r="34" spans="1:8" x14ac:dyDescent="0.3">
      <c r="A34" s="3" t="s">
        <v>9283</v>
      </c>
      <c r="B34" t="s">
        <v>9284</v>
      </c>
      <c r="C34" s="3"/>
      <c r="D34" s="3"/>
      <c r="E34" s="3"/>
      <c r="F34" s="3"/>
      <c r="G34" s="3"/>
    </row>
    <row r="35" spans="1:8" x14ac:dyDescent="0.3">
      <c r="A35" t="s">
        <v>9285</v>
      </c>
      <c r="B35" t="s">
        <v>9286</v>
      </c>
      <c r="C35" s="7"/>
      <c r="D35" s="7"/>
      <c r="E35" s="7"/>
      <c r="F35" s="7"/>
      <c r="G35" s="7"/>
      <c r="H35" s="8"/>
    </row>
    <row r="37" spans="1:8" x14ac:dyDescent="0.3">
      <c r="A37" s="4" t="s">
        <v>9287</v>
      </c>
    </row>
    <row r="38" spans="1:8" x14ac:dyDescent="0.3">
      <c r="A38" s="5" t="s">
        <v>908</v>
      </c>
      <c r="B38" s="5" t="s">
        <v>9015</v>
      </c>
      <c r="C38" s="5" t="s">
        <v>239</v>
      </c>
      <c r="D38" s="5" t="s">
        <v>3534</v>
      </c>
      <c r="E38" s="5" t="s">
        <v>906</v>
      </c>
    </row>
    <row r="39" spans="1:8" x14ac:dyDescent="0.3">
      <c r="A39" t="s">
        <v>460</v>
      </c>
      <c r="B39" s="1" t="s">
        <v>461</v>
      </c>
      <c r="C39" t="s">
        <v>462</v>
      </c>
      <c r="D39" t="s">
        <v>3544</v>
      </c>
      <c r="E39" t="s">
        <v>459</v>
      </c>
    </row>
    <row r="40" spans="1:8" x14ac:dyDescent="0.3">
      <c r="A40" t="s">
        <v>463</v>
      </c>
      <c r="B40" s="1" t="s">
        <v>464</v>
      </c>
      <c r="C40" t="s">
        <v>462</v>
      </c>
      <c r="D40" t="s">
        <v>3544</v>
      </c>
      <c r="E40" t="s">
        <v>459</v>
      </c>
    </row>
    <row r="41" spans="1:8" x14ac:dyDescent="0.3">
      <c r="A41" t="s">
        <v>465</v>
      </c>
      <c r="B41" s="1" t="s">
        <v>466</v>
      </c>
      <c r="C41" t="s">
        <v>462</v>
      </c>
      <c r="D41" t="s">
        <v>3544</v>
      </c>
      <c r="E41" t="s">
        <v>459</v>
      </c>
    </row>
    <row r="42" spans="1:8" x14ac:dyDescent="0.3">
      <c r="A42" t="s">
        <v>467</v>
      </c>
      <c r="B42" s="1" t="s">
        <v>468</v>
      </c>
      <c r="C42" t="s">
        <v>245</v>
      </c>
      <c r="D42" t="s">
        <v>3545</v>
      </c>
      <c r="E42" t="s">
        <v>459</v>
      </c>
    </row>
    <row r="43" spans="1:8" x14ac:dyDescent="0.3">
      <c r="A43" t="s">
        <v>469</v>
      </c>
      <c r="B43" s="1" t="s">
        <v>470</v>
      </c>
      <c r="C43" t="s">
        <v>245</v>
      </c>
      <c r="D43" t="s">
        <v>3545</v>
      </c>
      <c r="E43" t="s">
        <v>459</v>
      </c>
    </row>
    <row r="44" spans="1:8" x14ac:dyDescent="0.3">
      <c r="A44" t="s">
        <v>472</v>
      </c>
      <c r="B44" s="1" t="s">
        <v>473</v>
      </c>
      <c r="C44" t="s">
        <v>462</v>
      </c>
      <c r="D44" t="s">
        <v>3544</v>
      </c>
      <c r="E44" t="s">
        <v>471</v>
      </c>
    </row>
    <row r="45" spans="1:8" x14ac:dyDescent="0.3">
      <c r="A45" t="s">
        <v>474</v>
      </c>
      <c r="B45" s="1" t="s">
        <v>475</v>
      </c>
      <c r="C45" t="s">
        <v>462</v>
      </c>
      <c r="D45" t="s">
        <v>3545</v>
      </c>
      <c r="E45" t="s">
        <v>471</v>
      </c>
    </row>
    <row r="46" spans="1:8" x14ac:dyDescent="0.3">
      <c r="A46" t="s">
        <v>476</v>
      </c>
      <c r="B46" s="1" t="s">
        <v>477</v>
      </c>
      <c r="C46" t="s">
        <v>462</v>
      </c>
      <c r="D46" t="s">
        <v>3545</v>
      </c>
      <c r="E46" t="s">
        <v>471</v>
      </c>
    </row>
    <row r="47" spans="1:8" x14ac:dyDescent="0.3">
      <c r="A47" t="s">
        <v>478</v>
      </c>
      <c r="B47" s="1" t="s">
        <v>479</v>
      </c>
      <c r="C47" t="s">
        <v>480</v>
      </c>
      <c r="D47" t="s">
        <v>3545</v>
      </c>
      <c r="E47" t="s">
        <v>471</v>
      </c>
    </row>
    <row r="48" spans="1:8" x14ac:dyDescent="0.3">
      <c r="A48" t="s">
        <v>481</v>
      </c>
      <c r="B48" s="1" t="s">
        <v>482</v>
      </c>
      <c r="C48" t="s">
        <v>480</v>
      </c>
      <c r="D48" t="s">
        <v>3544</v>
      </c>
      <c r="E48" t="s">
        <v>471</v>
      </c>
    </row>
    <row r="49" spans="1:5" x14ac:dyDescent="0.3">
      <c r="A49" t="s">
        <v>483</v>
      </c>
      <c r="B49" s="1" t="s">
        <v>484</v>
      </c>
      <c r="C49" t="s">
        <v>480</v>
      </c>
      <c r="D49" t="s">
        <v>3545</v>
      </c>
      <c r="E49" t="s">
        <v>471</v>
      </c>
    </row>
    <row r="50" spans="1:5" x14ac:dyDescent="0.3">
      <c r="A50" t="s">
        <v>485</v>
      </c>
      <c r="B50" s="1" t="s">
        <v>486</v>
      </c>
      <c r="C50" t="s">
        <v>480</v>
      </c>
      <c r="D50" t="s">
        <v>3545</v>
      </c>
      <c r="E50" t="s">
        <v>471</v>
      </c>
    </row>
    <row r="51" spans="1:5" x14ac:dyDescent="0.3">
      <c r="A51" t="s">
        <v>487</v>
      </c>
      <c r="B51" s="1" t="s">
        <v>488</v>
      </c>
      <c r="C51" t="s">
        <v>480</v>
      </c>
      <c r="D51" t="s">
        <v>3545</v>
      </c>
      <c r="E51" t="s">
        <v>471</v>
      </c>
    </row>
    <row r="52" spans="1:5" x14ac:dyDescent="0.3">
      <c r="A52" t="s">
        <v>489</v>
      </c>
      <c r="B52" s="1" t="s">
        <v>490</v>
      </c>
      <c r="C52" t="s">
        <v>462</v>
      </c>
      <c r="D52" t="s">
        <v>3544</v>
      </c>
      <c r="E52" t="s">
        <v>471</v>
      </c>
    </row>
    <row r="53" spans="1:5" x14ac:dyDescent="0.3">
      <c r="A53" t="s">
        <v>491</v>
      </c>
      <c r="B53" s="1" t="s">
        <v>492</v>
      </c>
      <c r="C53" t="s">
        <v>462</v>
      </c>
      <c r="D53" t="s">
        <v>3544</v>
      </c>
      <c r="E53" t="s">
        <v>471</v>
      </c>
    </row>
    <row r="54" spans="1:5" x14ac:dyDescent="0.3">
      <c r="A54" t="s">
        <v>494</v>
      </c>
      <c r="B54" s="1" t="s">
        <v>495</v>
      </c>
      <c r="C54" t="s">
        <v>412</v>
      </c>
      <c r="D54" t="s">
        <v>3544</v>
      </c>
      <c r="E54" t="s">
        <v>493</v>
      </c>
    </row>
    <row r="55" spans="1:5" x14ac:dyDescent="0.3">
      <c r="A55" t="s">
        <v>496</v>
      </c>
      <c r="B55" s="1" t="s">
        <v>497</v>
      </c>
      <c r="C55" t="s">
        <v>462</v>
      </c>
      <c r="D55" t="s">
        <v>3544</v>
      </c>
      <c r="E55" t="s">
        <v>493</v>
      </c>
    </row>
    <row r="56" spans="1:5" x14ac:dyDescent="0.3">
      <c r="A56" t="s">
        <v>498</v>
      </c>
      <c r="B56" s="1" t="s">
        <v>499</v>
      </c>
      <c r="C56" t="s">
        <v>412</v>
      </c>
      <c r="D56" t="s">
        <v>3545</v>
      </c>
      <c r="E56" t="s">
        <v>493</v>
      </c>
    </row>
    <row r="57" spans="1:5" x14ac:dyDescent="0.3">
      <c r="A57" t="s">
        <v>500</v>
      </c>
      <c r="B57" s="1" t="s">
        <v>501</v>
      </c>
      <c r="C57" t="s">
        <v>412</v>
      </c>
      <c r="D57" t="s">
        <v>3545</v>
      </c>
      <c r="E57" t="s">
        <v>493</v>
      </c>
    </row>
    <row r="58" spans="1:5" x14ac:dyDescent="0.3">
      <c r="A58" t="s">
        <v>502</v>
      </c>
      <c r="B58" s="1" t="s">
        <v>503</v>
      </c>
      <c r="C58" t="s">
        <v>462</v>
      </c>
      <c r="D58" t="s">
        <v>3544</v>
      </c>
      <c r="E58" t="s">
        <v>493</v>
      </c>
    </row>
    <row r="59" spans="1:5" x14ac:dyDescent="0.3">
      <c r="A59" t="s">
        <v>505</v>
      </c>
      <c r="B59" s="1" t="s">
        <v>506</v>
      </c>
      <c r="C59" t="s">
        <v>412</v>
      </c>
      <c r="D59" t="s">
        <v>3544</v>
      </c>
      <c r="E59" t="s">
        <v>504</v>
      </c>
    </row>
    <row r="60" spans="1:5" x14ac:dyDescent="0.3">
      <c r="A60" t="s">
        <v>9288</v>
      </c>
      <c r="B60" s="1" t="s">
        <v>508</v>
      </c>
      <c r="C60" t="s">
        <v>412</v>
      </c>
      <c r="D60" t="s">
        <v>3544</v>
      </c>
      <c r="E60" t="s">
        <v>504</v>
      </c>
    </row>
    <row r="61" spans="1:5" x14ac:dyDescent="0.3">
      <c r="A61" t="s">
        <v>9289</v>
      </c>
      <c r="B61" s="1" t="s">
        <v>510</v>
      </c>
      <c r="C61" t="s">
        <v>412</v>
      </c>
      <c r="D61" t="s">
        <v>3544</v>
      </c>
      <c r="E61" t="s">
        <v>504</v>
      </c>
    </row>
    <row r="62" spans="1:5" x14ac:dyDescent="0.3">
      <c r="A62" t="s">
        <v>511</v>
      </c>
      <c r="B62" s="1" t="s">
        <v>512</v>
      </c>
      <c r="C62" t="s">
        <v>412</v>
      </c>
      <c r="D62" t="s">
        <v>3544</v>
      </c>
      <c r="E62" t="s">
        <v>504</v>
      </c>
    </row>
    <row r="63" spans="1:5" x14ac:dyDescent="0.3">
      <c r="A63" t="s">
        <v>513</v>
      </c>
      <c r="B63" s="1" t="s">
        <v>514</v>
      </c>
      <c r="C63" t="s">
        <v>412</v>
      </c>
      <c r="D63" t="s">
        <v>3544</v>
      </c>
      <c r="E63" t="s">
        <v>504</v>
      </c>
    </row>
    <row r="64" spans="1:5" x14ac:dyDescent="0.3">
      <c r="A64" t="s">
        <v>515</v>
      </c>
      <c r="B64" s="1" t="s">
        <v>516</v>
      </c>
      <c r="C64" t="s">
        <v>412</v>
      </c>
      <c r="D64" t="s">
        <v>3545</v>
      </c>
      <c r="E64" t="s">
        <v>504</v>
      </c>
    </row>
    <row r="65" spans="1:8" x14ac:dyDescent="0.3">
      <c r="A65" t="s">
        <v>517</v>
      </c>
      <c r="B65" s="1" t="s">
        <v>518</v>
      </c>
      <c r="C65" t="s">
        <v>412</v>
      </c>
      <c r="D65" t="s">
        <v>3545</v>
      </c>
      <c r="E65" t="s">
        <v>504</v>
      </c>
    </row>
    <row r="66" spans="1:8" x14ac:dyDescent="0.3">
      <c r="A66" t="s">
        <v>520</v>
      </c>
      <c r="B66" s="1" t="s">
        <v>521</v>
      </c>
      <c r="C66" t="s">
        <v>9290</v>
      </c>
      <c r="D66" t="s">
        <v>3545</v>
      </c>
      <c r="E66" t="s">
        <v>519</v>
      </c>
    </row>
    <row r="67" spans="1:8" x14ac:dyDescent="0.3">
      <c r="A67" t="s">
        <v>522</v>
      </c>
      <c r="B67" s="1" t="s">
        <v>523</v>
      </c>
      <c r="C67" t="s">
        <v>462</v>
      </c>
      <c r="D67" t="s">
        <v>3544</v>
      </c>
      <c r="E67" t="s">
        <v>519</v>
      </c>
    </row>
    <row r="68" spans="1:8" x14ac:dyDescent="0.3">
      <c r="A68" t="s">
        <v>524</v>
      </c>
      <c r="B68" s="1" t="s">
        <v>525</v>
      </c>
      <c r="C68" t="s">
        <v>9290</v>
      </c>
      <c r="D68" t="s">
        <v>3544</v>
      </c>
      <c r="E68" t="s">
        <v>519</v>
      </c>
    </row>
    <row r="69" spans="1:8" x14ac:dyDescent="0.3">
      <c r="A69" t="s">
        <v>526</v>
      </c>
      <c r="B69" s="1" t="s">
        <v>527</v>
      </c>
      <c r="C69" t="s">
        <v>462</v>
      </c>
      <c r="D69" t="s">
        <v>3544</v>
      </c>
      <c r="E69" t="s">
        <v>519</v>
      </c>
    </row>
    <row r="70" spans="1:8" x14ac:dyDescent="0.3">
      <c r="A70" t="s">
        <v>528</v>
      </c>
      <c r="B70" s="1" t="s">
        <v>529</v>
      </c>
      <c r="C70" t="s">
        <v>412</v>
      </c>
      <c r="D70" t="s">
        <v>3544</v>
      </c>
      <c r="E70" t="s">
        <v>519</v>
      </c>
    </row>
    <row r="71" spans="1:8" x14ac:dyDescent="0.3">
      <c r="A71" t="s">
        <v>530</v>
      </c>
      <c r="B71" s="1" t="s">
        <v>531</v>
      </c>
      <c r="C71" t="s">
        <v>412</v>
      </c>
      <c r="D71" t="s">
        <v>3545</v>
      </c>
      <c r="E71" t="s">
        <v>519</v>
      </c>
    </row>
    <row r="72" spans="1:8" x14ac:dyDescent="0.3">
      <c r="B72" s="1"/>
    </row>
    <row r="73" spans="1:8" x14ac:dyDescent="0.3">
      <c r="B73" s="1"/>
    </row>
    <row r="74" spans="1:8" x14ac:dyDescent="0.3">
      <c r="B74" s="1"/>
    </row>
    <row r="75" spans="1:8" x14ac:dyDescent="0.3">
      <c r="B75" s="1"/>
    </row>
    <row r="76" spans="1:8" x14ac:dyDescent="0.3">
      <c r="B76" s="1"/>
    </row>
    <row r="77" spans="1:8" x14ac:dyDescent="0.3">
      <c r="B77" s="1"/>
    </row>
    <row r="79" spans="1:8" x14ac:dyDescent="0.3">
      <c r="A79" s="4" t="s">
        <v>9291</v>
      </c>
    </row>
    <row r="80" spans="1:8" ht="43.2" x14ac:dyDescent="0.3">
      <c r="A80" s="1" t="s">
        <v>9292</v>
      </c>
      <c r="B80" s="1"/>
      <c r="C80" s="1"/>
      <c r="D80" s="1"/>
      <c r="E80" s="1"/>
      <c r="F80" s="1"/>
      <c r="G80" s="1"/>
      <c r="H80" s="1"/>
    </row>
    <row r="81" spans="1:8" ht="86.4" x14ac:dyDescent="0.3">
      <c r="A81" s="1" t="s">
        <v>9293</v>
      </c>
      <c r="B81" s="1"/>
      <c r="C81" s="1"/>
      <c r="D81" s="1"/>
      <c r="E81" s="1"/>
      <c r="F81" s="1"/>
      <c r="G81" s="1"/>
      <c r="H81" s="1"/>
    </row>
    <row r="82" spans="1:8" ht="57.6" x14ac:dyDescent="0.3">
      <c r="A82" s="1" t="s">
        <v>9294</v>
      </c>
      <c r="B82" s="1"/>
      <c r="C82" s="1"/>
      <c r="D82" s="1"/>
      <c r="E82" s="1"/>
      <c r="F82" s="1"/>
      <c r="G82" s="1"/>
      <c r="H82" s="1"/>
    </row>
    <row r="83" spans="1:8" ht="57.6" x14ac:dyDescent="0.3">
      <c r="A83" s="1" t="s">
        <v>9295</v>
      </c>
      <c r="B83" s="1"/>
      <c r="C83" s="1"/>
      <c r="D83" s="1"/>
      <c r="E83" s="1"/>
      <c r="F83" s="1"/>
      <c r="G83" s="1"/>
      <c r="H83" s="1"/>
    </row>
    <row r="84" spans="1:8" ht="43.2" x14ac:dyDescent="0.3">
      <c r="A84" s="1" t="s">
        <v>9296</v>
      </c>
      <c r="B84" s="1"/>
      <c r="C84" s="1"/>
      <c r="D84" s="1"/>
      <c r="E84" s="1"/>
      <c r="F84" s="1"/>
      <c r="G84" s="1"/>
      <c r="H84" s="1"/>
    </row>
    <row r="85" spans="1:8" ht="72" x14ac:dyDescent="0.3">
      <c r="A85" s="1" t="s">
        <v>9297</v>
      </c>
      <c r="B85" s="1"/>
      <c r="C85" s="1"/>
      <c r="D85" s="1"/>
      <c r="E85" s="1"/>
      <c r="F85" s="1"/>
      <c r="G85" s="1"/>
      <c r="H85" s="1"/>
    </row>
    <row r="86" spans="1:8" ht="57.6" x14ac:dyDescent="0.3">
      <c r="A86" s="1" t="s">
        <v>9298</v>
      </c>
      <c r="B86" s="1"/>
      <c r="C86" s="1"/>
      <c r="D86" s="1"/>
      <c r="E86" s="1"/>
      <c r="F86" s="1"/>
      <c r="G86" s="1"/>
      <c r="H86" s="1"/>
    </row>
    <row r="87" spans="1:8" ht="57.6" x14ac:dyDescent="0.3">
      <c r="A87" s="1" t="s">
        <v>9299</v>
      </c>
      <c r="B87" s="1"/>
      <c r="C87" s="1"/>
      <c r="D87" s="1"/>
      <c r="E87" s="1"/>
      <c r="F87" s="1"/>
      <c r="G87" s="1"/>
      <c r="H87" s="1"/>
    </row>
  </sheetData>
  <hyperlinks>
    <hyperlink ref="G14" r:id="rId1" xr:uid="{00000000-0004-0000-1E00-000000000000}"/>
    <hyperlink ref="G15" r:id="rId2" xr:uid="{00000000-0004-0000-1E00-000001000000}"/>
    <hyperlink ref="G16" r:id="rId3" xr:uid="{00000000-0004-0000-1E00-000002000000}"/>
    <hyperlink ref="G17" r:id="rId4" xr:uid="{00000000-0004-0000-1E00-000003000000}"/>
    <hyperlink ref="G18" r:id="rId5" xr:uid="{00000000-0004-0000-1E00-000004000000}"/>
    <hyperlink ref="G19" r:id="rId6" xr:uid="{00000000-0004-0000-1E00-000005000000}"/>
    <hyperlink ref="G20" r:id="rId7" xr:uid="{00000000-0004-0000-1E00-000006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34"/>
  <sheetViews>
    <sheetView showGridLines="0" workbookViewId="0">
      <pane xSplit="3" ySplit="13" topLeftCell="D14" activePane="bottomRight" state="frozen"/>
      <selection pane="topRight"/>
      <selection pane="bottomLeft"/>
      <selection pane="bottomRight" activeCell="D14" sqref="D14"/>
    </sheetView>
  </sheetViews>
  <sheetFormatPr defaultRowHeight="14.4" x14ac:dyDescent="0.3"/>
  <cols>
    <col min="1" max="1" width="13" customWidth="1"/>
    <col min="2" max="2" width="12" customWidth="1"/>
    <col min="3" max="3" width="33" customWidth="1"/>
    <col min="4" max="4" width="19" customWidth="1"/>
    <col min="5" max="5" width="22" customWidth="1"/>
    <col min="6" max="7" width="24" customWidth="1"/>
    <col min="8" max="8" width="26" customWidth="1"/>
    <col min="9" max="9" width="44" customWidth="1"/>
    <col min="10" max="10" width="48" customWidth="1"/>
    <col min="11" max="11" width="50" customWidth="1"/>
    <col min="12" max="12" width="65" customWidth="1"/>
    <col min="13" max="13" width="80" customWidth="1"/>
  </cols>
  <sheetData>
    <row r="1" spans="1:13" ht="30" customHeight="1" x14ac:dyDescent="0.3">
      <c r="A1" s="217" t="s">
        <v>9365</v>
      </c>
      <c r="B1" s="217"/>
      <c r="C1" s="217"/>
      <c r="D1" s="217"/>
      <c r="E1" s="217"/>
      <c r="F1" s="217"/>
      <c r="G1" s="217"/>
      <c r="H1" s="217"/>
      <c r="I1" s="217"/>
      <c r="J1" s="217"/>
      <c r="K1" s="217"/>
      <c r="L1" s="217"/>
      <c r="M1" s="217"/>
    </row>
    <row r="2" spans="1:13" ht="30" customHeight="1" x14ac:dyDescent="0.3">
      <c r="A2" s="196"/>
      <c r="B2" s="196"/>
      <c r="C2" s="196"/>
      <c r="D2" s="196"/>
      <c r="E2" s="196"/>
      <c r="F2" s="196"/>
      <c r="G2" s="196"/>
      <c r="H2" s="196"/>
      <c r="I2" s="196"/>
      <c r="J2" s="196"/>
      <c r="K2" s="196"/>
      <c r="L2" s="196"/>
      <c r="M2" s="196"/>
    </row>
    <row r="3" spans="1:13" ht="34.950000000000003" customHeight="1" x14ac:dyDescent="0.3">
      <c r="A3" s="218" t="s">
        <v>9366</v>
      </c>
      <c r="B3" s="218"/>
      <c r="C3" s="218"/>
      <c r="D3" s="218"/>
      <c r="E3" s="218"/>
      <c r="F3" s="218"/>
      <c r="G3" s="218"/>
      <c r="H3" s="218"/>
      <c r="I3" s="218"/>
      <c r="J3" s="218"/>
      <c r="K3" s="218"/>
      <c r="L3" s="218"/>
      <c r="M3" s="218"/>
    </row>
    <row r="4" spans="1:13" ht="30" customHeight="1" x14ac:dyDescent="0.3">
      <c r="A4" s="196"/>
      <c r="B4" s="196"/>
      <c r="C4" s="196"/>
      <c r="D4" s="196"/>
      <c r="E4" s="196"/>
      <c r="F4" s="196"/>
      <c r="G4" s="196"/>
      <c r="H4" s="196"/>
      <c r="I4" s="196"/>
      <c r="J4" s="196"/>
      <c r="K4" s="196"/>
      <c r="L4" s="196"/>
      <c r="M4" s="196"/>
    </row>
    <row r="5" spans="1:13" ht="76.05" customHeight="1" x14ac:dyDescent="0.3">
      <c r="A5" s="197" t="s">
        <v>9367</v>
      </c>
      <c r="B5" s="219" t="s">
        <v>9346</v>
      </c>
      <c r="C5" s="219"/>
      <c r="D5" s="219"/>
      <c r="E5" s="219"/>
      <c r="F5" s="219"/>
      <c r="G5" s="219"/>
      <c r="H5" s="219"/>
      <c r="I5" s="219"/>
      <c r="J5" s="219" t="s">
        <v>9368</v>
      </c>
      <c r="K5" s="219"/>
      <c r="L5" s="219"/>
      <c r="M5" s="219"/>
    </row>
    <row r="6" spans="1:13" ht="76.05" customHeight="1" x14ac:dyDescent="0.3">
      <c r="A6" s="198" t="s">
        <v>9369</v>
      </c>
      <c r="B6" s="220" t="s">
        <v>9347</v>
      </c>
      <c r="C6" s="220"/>
      <c r="D6" s="220"/>
      <c r="E6" s="220"/>
      <c r="F6" s="220"/>
      <c r="G6" s="220"/>
      <c r="H6" s="220"/>
      <c r="I6" s="220"/>
      <c r="J6" s="220" t="s">
        <v>9370</v>
      </c>
      <c r="K6" s="220"/>
      <c r="L6" s="220"/>
      <c r="M6" s="220"/>
    </row>
    <row r="7" spans="1:13" ht="76.05" customHeight="1" x14ac:dyDescent="0.3">
      <c r="A7" s="197" t="s">
        <v>9371</v>
      </c>
      <c r="B7" s="219" t="s">
        <v>9348</v>
      </c>
      <c r="C7" s="219"/>
      <c r="D7" s="219"/>
      <c r="E7" s="219"/>
      <c r="F7" s="219"/>
      <c r="G7" s="219"/>
      <c r="H7" s="219"/>
      <c r="I7" s="219"/>
      <c r="J7" s="219" t="s">
        <v>9372</v>
      </c>
      <c r="K7" s="219"/>
      <c r="L7" s="219"/>
      <c r="M7" s="219"/>
    </row>
    <row r="8" spans="1:13" ht="76.05" customHeight="1" x14ac:dyDescent="0.3">
      <c r="A8" s="198" t="s">
        <v>9373</v>
      </c>
      <c r="B8" s="220" t="s">
        <v>9349</v>
      </c>
      <c r="C8" s="220"/>
      <c r="D8" s="220"/>
      <c r="E8" s="220"/>
      <c r="F8" s="220"/>
      <c r="G8" s="220"/>
      <c r="H8" s="220"/>
      <c r="I8" s="220"/>
      <c r="J8" s="220" t="s">
        <v>9374</v>
      </c>
      <c r="K8" s="220"/>
      <c r="L8" s="220"/>
      <c r="M8" s="220"/>
    </row>
    <row r="9" spans="1:13" ht="76.05" customHeight="1" x14ac:dyDescent="0.3">
      <c r="A9" s="197" t="s">
        <v>9375</v>
      </c>
      <c r="B9" s="219" t="s">
        <v>9350</v>
      </c>
      <c r="C9" s="219"/>
      <c r="D9" s="219"/>
      <c r="E9" s="219"/>
      <c r="F9" s="219"/>
      <c r="G9" s="219"/>
      <c r="H9" s="219"/>
      <c r="I9" s="219"/>
      <c r="J9" s="219" t="s">
        <v>9376</v>
      </c>
      <c r="K9" s="219"/>
      <c r="L9" s="219"/>
      <c r="M9" s="219"/>
    </row>
    <row r="10" spans="1:13" ht="30" customHeight="1" x14ac:dyDescent="0.3">
      <c r="A10" s="196"/>
      <c r="B10" s="196"/>
      <c r="C10" s="196"/>
      <c r="D10" s="196"/>
      <c r="E10" s="196"/>
      <c r="F10" s="196"/>
      <c r="G10" s="196"/>
      <c r="H10" s="196"/>
      <c r="I10" s="196"/>
      <c r="J10" s="196"/>
      <c r="K10" s="196"/>
      <c r="L10" s="196"/>
      <c r="M10" s="196"/>
    </row>
    <row r="11" spans="1:13" ht="30" customHeight="1" x14ac:dyDescent="0.3">
      <c r="A11" s="196"/>
      <c r="B11" s="196"/>
      <c r="C11" s="196"/>
      <c r="D11" s="196"/>
      <c r="E11" s="196"/>
      <c r="F11" s="196"/>
      <c r="G11" s="196"/>
      <c r="H11" s="196"/>
      <c r="I11" s="196"/>
      <c r="J11" s="196"/>
      <c r="K11" s="196"/>
      <c r="L11" s="196"/>
      <c r="M11" s="196"/>
    </row>
    <row r="12" spans="1:13" ht="30" customHeight="1" x14ac:dyDescent="0.3">
      <c r="A12" s="196"/>
      <c r="B12" s="196"/>
      <c r="C12" s="196"/>
      <c r="D12" s="196"/>
      <c r="E12" s="196"/>
      <c r="F12" s="196"/>
      <c r="G12" s="196"/>
      <c r="H12" s="196"/>
      <c r="I12" s="196"/>
      <c r="J12" s="196"/>
      <c r="K12" s="196"/>
      <c r="L12" s="196"/>
      <c r="M12" s="196"/>
    </row>
    <row r="13" spans="1:13" ht="45" customHeight="1" x14ac:dyDescent="0.3">
      <c r="A13" s="199" t="s">
        <v>1</v>
      </c>
      <c r="B13" s="199" t="s">
        <v>3</v>
      </c>
      <c r="C13" s="199" t="s">
        <v>908</v>
      </c>
      <c r="D13" s="199" t="s">
        <v>4</v>
      </c>
      <c r="E13" s="199" t="s">
        <v>9377</v>
      </c>
      <c r="F13" s="199" t="s">
        <v>9378</v>
      </c>
      <c r="G13" s="199" t="s">
        <v>9379</v>
      </c>
      <c r="H13" s="199" t="s">
        <v>9380</v>
      </c>
      <c r="I13" s="199" t="s">
        <v>9381</v>
      </c>
      <c r="J13" s="199" t="s">
        <v>9382</v>
      </c>
      <c r="K13" s="199" t="s">
        <v>9383</v>
      </c>
      <c r="L13" s="199" t="s">
        <v>9384</v>
      </c>
      <c r="M13" s="199" t="s">
        <v>9385</v>
      </c>
    </row>
    <row r="14" spans="1:13" ht="120" customHeight="1" x14ac:dyDescent="0.3">
      <c r="A14" s="197" t="s">
        <v>114</v>
      </c>
      <c r="B14" s="197">
        <v>2025</v>
      </c>
      <c r="C14" s="197" t="s">
        <v>115</v>
      </c>
      <c r="D14" s="200">
        <f>'27 Published'!D205</f>
        <v>4.84</v>
      </c>
      <c r="E14" s="200">
        <f>'27 Calculations'!H615</f>
        <v>4.7935258018729412</v>
      </c>
      <c r="F14" s="200">
        <f>'27 Calculations'!E615</f>
        <v>27199.797999999988</v>
      </c>
      <c r="G14" s="200">
        <f>'27 Calculations'!F615</f>
        <v>5674.2779999999993</v>
      </c>
      <c r="H14" s="200">
        <f>'27 Calculations'!G615</f>
        <v>4.7935258018729412</v>
      </c>
      <c r="I14" s="197" t="s">
        <v>9386</v>
      </c>
      <c r="J14" s="197" t="s">
        <v>9387</v>
      </c>
      <c r="K14" s="197" t="s">
        <v>9388</v>
      </c>
      <c r="L14" s="197" t="s">
        <v>9389</v>
      </c>
      <c r="M14" s="197" t="s">
        <v>9390</v>
      </c>
    </row>
    <row r="15" spans="1:13" ht="120" customHeight="1" x14ac:dyDescent="0.3">
      <c r="A15" s="198" t="s">
        <v>114</v>
      </c>
      <c r="B15" s="198">
        <v>2021</v>
      </c>
      <c r="C15" s="198" t="s">
        <v>103</v>
      </c>
      <c r="D15" s="201">
        <f>'27 Published'!D216</f>
        <v>7.96</v>
      </c>
      <c r="E15" s="201">
        <f>'27 Calculations'!H661</f>
        <v>9.1421884447870596</v>
      </c>
      <c r="F15" s="201">
        <f>'27 Calculations'!E661</f>
        <v>23</v>
      </c>
      <c r="G15" s="201">
        <f>'27 Calculations'!F661</f>
        <v>2.5158090033808875</v>
      </c>
      <c r="H15" s="201">
        <f>'27 Calculations'!G661</f>
        <v>9.1421884447870596</v>
      </c>
      <c r="I15" s="198" t="s">
        <v>9391</v>
      </c>
      <c r="J15" s="198" t="s">
        <v>9392</v>
      </c>
      <c r="K15" s="198" t="s">
        <v>9388</v>
      </c>
      <c r="L15" s="198" t="s">
        <v>9393</v>
      </c>
      <c r="M15" s="198" t="s">
        <v>9394</v>
      </c>
    </row>
    <row r="16" spans="1:13" ht="120" customHeight="1" x14ac:dyDescent="0.3">
      <c r="A16" s="197" t="s">
        <v>114</v>
      </c>
      <c r="B16" s="197">
        <v>2022</v>
      </c>
      <c r="C16" s="197" t="s">
        <v>103</v>
      </c>
      <c r="D16" s="200">
        <f>'27 Published'!D217</f>
        <v>6</v>
      </c>
      <c r="E16" s="200">
        <f>'27 Calculations'!H662</f>
        <v>4.3437335368236942</v>
      </c>
      <c r="F16" s="200">
        <f>'27 Calculations'!E662</f>
        <v>14.17</v>
      </c>
      <c r="G16" s="200">
        <f>'27 Calculations'!F662</f>
        <v>3.2621706372812294</v>
      </c>
      <c r="H16" s="200">
        <f>'27 Calculations'!G662</f>
        <v>4.3437335368236942</v>
      </c>
      <c r="I16" s="197" t="s">
        <v>9391</v>
      </c>
      <c r="J16" s="197" t="s">
        <v>9392</v>
      </c>
      <c r="K16" s="197" t="s">
        <v>9388</v>
      </c>
      <c r="L16" s="197" t="s">
        <v>9395</v>
      </c>
      <c r="M16" s="197" t="s">
        <v>9394</v>
      </c>
    </row>
    <row r="17" spans="1:13" ht="120" customHeight="1" x14ac:dyDescent="0.3">
      <c r="A17" s="198" t="s">
        <v>114</v>
      </c>
      <c r="B17" s="198">
        <v>2023</v>
      </c>
      <c r="C17" s="198" t="s">
        <v>103</v>
      </c>
      <c r="D17" s="201">
        <f>'27 Published'!D218</f>
        <v>3.92</v>
      </c>
      <c r="E17" s="201">
        <f>'27 Calculations'!H663</f>
        <v>3.877247932539039</v>
      </c>
      <c r="F17" s="201">
        <f>'27 Calculations'!E663</f>
        <v>11.76</v>
      </c>
      <c r="G17" s="201">
        <f>'27 Calculations'!F663</f>
        <v>3.0330791851886794</v>
      </c>
      <c r="H17" s="201">
        <f>'27 Calculations'!G663</f>
        <v>3.877247932539039</v>
      </c>
      <c r="I17" s="198" t="s">
        <v>9391</v>
      </c>
      <c r="J17" s="198" t="s">
        <v>9392</v>
      </c>
      <c r="K17" s="198" t="s">
        <v>9388</v>
      </c>
      <c r="L17" s="198" t="s">
        <v>9396</v>
      </c>
      <c r="M17" s="198" t="s">
        <v>9394</v>
      </c>
    </row>
    <row r="18" spans="1:13" ht="120" customHeight="1" x14ac:dyDescent="0.3">
      <c r="A18" s="197" t="s">
        <v>114</v>
      </c>
      <c r="B18" s="197">
        <v>2024</v>
      </c>
      <c r="C18" s="197" t="s">
        <v>103</v>
      </c>
      <c r="D18" s="200">
        <f>'27 Published'!D219</f>
        <v>5.26</v>
      </c>
      <c r="E18" s="200">
        <f>'27 Calculations'!H664</f>
        <v>6.8337507059367812</v>
      </c>
      <c r="F18" s="200">
        <f>'27 Calculations'!E664</f>
        <v>22.91</v>
      </c>
      <c r="G18" s="200">
        <f>'27 Calculations'!F664</f>
        <v>3.3524781610919856</v>
      </c>
      <c r="H18" s="200">
        <f>'27 Calculations'!G664</f>
        <v>6.8337507059367812</v>
      </c>
      <c r="I18" s="197" t="s">
        <v>9391</v>
      </c>
      <c r="J18" s="197" t="s">
        <v>9392</v>
      </c>
      <c r="K18" s="197" t="s">
        <v>9388</v>
      </c>
      <c r="L18" s="197" t="s">
        <v>9397</v>
      </c>
      <c r="M18" s="197" t="s">
        <v>9394</v>
      </c>
    </row>
    <row r="19" spans="1:13" ht="120" customHeight="1" x14ac:dyDescent="0.3">
      <c r="A19" s="198" t="s">
        <v>114</v>
      </c>
      <c r="B19" s="198">
        <v>2025</v>
      </c>
      <c r="C19" s="198" t="s">
        <v>103</v>
      </c>
      <c r="D19" s="201">
        <f>'27 Published'!D220</f>
        <v>6.69</v>
      </c>
      <c r="E19" s="201">
        <f>'27 Calculations'!H665</f>
        <v>8.2220482242427426</v>
      </c>
      <c r="F19" s="201">
        <f>'27 Calculations'!E665</f>
        <v>44.67</v>
      </c>
      <c r="G19" s="201">
        <f>'27 Calculations'!F665</f>
        <v>5.4329528095311241</v>
      </c>
      <c r="H19" s="201">
        <f>'27 Calculations'!G665</f>
        <v>8.2220482242427426</v>
      </c>
      <c r="I19" s="198" t="s">
        <v>9391</v>
      </c>
      <c r="J19" s="198" t="s">
        <v>9392</v>
      </c>
      <c r="K19" s="198" t="s">
        <v>9388</v>
      </c>
      <c r="L19" s="198" t="s">
        <v>9398</v>
      </c>
      <c r="M19" s="198" t="s">
        <v>9394</v>
      </c>
    </row>
    <row r="20" spans="1:13" ht="120" customHeight="1" x14ac:dyDescent="0.3">
      <c r="A20" s="197" t="s">
        <v>86</v>
      </c>
      <c r="B20" s="197">
        <v>2021</v>
      </c>
      <c r="C20" s="197" t="s">
        <v>145</v>
      </c>
      <c r="D20" s="200">
        <f>'27 Published'!D316</f>
        <v>0.33</v>
      </c>
      <c r="E20" s="200">
        <f>'27 Calculations'!H286</f>
        <v>2.0011480184397672E-2</v>
      </c>
      <c r="F20" s="200">
        <f>'27 Calculations'!E286</f>
        <v>806.37300000000005</v>
      </c>
      <c r="G20" s="200">
        <f>'27 Calculations'!F286</f>
        <v>40295.519999999997</v>
      </c>
      <c r="H20" s="200">
        <f>'27 Calculations'!G286</f>
        <v>2.0011480184397672E-2</v>
      </c>
      <c r="I20" s="197" t="s">
        <v>9399</v>
      </c>
      <c r="J20" s="197" t="s">
        <v>9400</v>
      </c>
      <c r="K20" s="197" t="s">
        <v>9388</v>
      </c>
      <c r="L20" s="197" t="s">
        <v>9401</v>
      </c>
      <c r="M20" s="197" t="s">
        <v>9402</v>
      </c>
    </row>
    <row r="21" spans="1:13" ht="120" customHeight="1" x14ac:dyDescent="0.3">
      <c r="A21" s="198" t="s">
        <v>114</v>
      </c>
      <c r="B21" s="198">
        <v>2023</v>
      </c>
      <c r="C21" s="198" t="s">
        <v>187</v>
      </c>
      <c r="D21" s="201">
        <f>'27 Published'!D418</f>
        <v>18</v>
      </c>
      <c r="E21" s="201">
        <f>'27 Calculations'!H583</f>
        <v>16.046879229606091</v>
      </c>
      <c r="F21" s="201">
        <f>'27 Calculations'!E583</f>
        <v>1092299.5474999999</v>
      </c>
      <c r="G21" s="201">
        <f>'27 Calculations'!F583</f>
        <v>68069.282000000007</v>
      </c>
      <c r="H21" s="201">
        <f>'27 Calculations'!G583</f>
        <v>16.046879229606091</v>
      </c>
      <c r="I21" s="198" t="s">
        <v>9403</v>
      </c>
      <c r="J21" s="198" t="s">
        <v>9404</v>
      </c>
      <c r="K21" s="198" t="s">
        <v>9388</v>
      </c>
      <c r="L21" s="198" t="s">
        <v>9405</v>
      </c>
      <c r="M21" s="198" t="s">
        <v>9406</v>
      </c>
    </row>
    <row r="22" spans="1:13" ht="120" customHeight="1" x14ac:dyDescent="0.3">
      <c r="A22" s="197" t="s">
        <v>114</v>
      </c>
      <c r="B22" s="197">
        <v>2024</v>
      </c>
      <c r="C22" s="197" t="s">
        <v>187</v>
      </c>
      <c r="D22" s="200">
        <f>'27 Published'!D419</f>
        <v>26</v>
      </c>
      <c r="E22" s="200">
        <f>'27 Calculations'!H584</f>
        <v>20.792904753499183</v>
      </c>
      <c r="F22" s="200">
        <f>'27 Calculations'!E584</f>
        <v>1663977.6949999998</v>
      </c>
      <c r="G22" s="200">
        <f>'27 Calculations'!F584</f>
        <v>80026.225999999995</v>
      </c>
      <c r="H22" s="200">
        <f>'27 Calculations'!G584</f>
        <v>20.792904753499183</v>
      </c>
      <c r="I22" s="197" t="s">
        <v>9403</v>
      </c>
      <c r="J22" s="197" t="s">
        <v>9404</v>
      </c>
      <c r="K22" s="197" t="s">
        <v>9388</v>
      </c>
      <c r="L22" s="197" t="s">
        <v>9407</v>
      </c>
      <c r="M22" s="197" t="s">
        <v>9406</v>
      </c>
    </row>
    <row r="23" spans="1:13" ht="120" customHeight="1" x14ac:dyDescent="0.3">
      <c r="A23" s="198" t="s">
        <v>114</v>
      </c>
      <c r="B23" s="198">
        <v>2025</v>
      </c>
      <c r="C23" s="198" t="s">
        <v>187</v>
      </c>
      <c r="D23" s="201">
        <f>'27 Published'!D420</f>
        <v>23</v>
      </c>
      <c r="E23" s="201">
        <f>'27 Calculations'!H585</f>
        <v>25.555492212987932</v>
      </c>
      <c r="F23" s="201">
        <f>'27 Calculations'!E585</f>
        <v>2273322.7475000001</v>
      </c>
      <c r="G23" s="201">
        <f>'27 Calculations'!F585</f>
        <v>88956.327999999994</v>
      </c>
      <c r="H23" s="201">
        <f>'27 Calculations'!G585</f>
        <v>25.555492212987932</v>
      </c>
      <c r="I23" s="198" t="s">
        <v>9403</v>
      </c>
      <c r="J23" s="198" t="s">
        <v>9404</v>
      </c>
      <c r="K23" s="198" t="s">
        <v>9388</v>
      </c>
      <c r="L23" s="198" t="s">
        <v>9408</v>
      </c>
      <c r="M23" s="198" t="s">
        <v>9406</v>
      </c>
    </row>
    <row r="24" spans="1:13" ht="120" customHeight="1" x14ac:dyDescent="0.3">
      <c r="A24" s="197" t="s">
        <v>114</v>
      </c>
      <c r="B24" s="197">
        <v>2022</v>
      </c>
      <c r="C24" s="197" t="s">
        <v>196</v>
      </c>
      <c r="D24" s="200">
        <f>'27 Published'!D422</f>
        <v>0.08</v>
      </c>
      <c r="E24" s="200">
        <f>'27 Calculations'!H592</f>
        <v>0.4770803467502796</v>
      </c>
      <c r="F24" s="200">
        <f>'27 Calculations'!E592</f>
        <v>54243.118000000002</v>
      </c>
      <c r="G24" s="200">
        <f>'27 Calculations'!F592</f>
        <v>113698.07700000002</v>
      </c>
      <c r="H24" s="200">
        <f>'27 Calculations'!G592</f>
        <v>0.4770803467502796</v>
      </c>
      <c r="I24" s="197" t="s">
        <v>9404</v>
      </c>
      <c r="J24" s="197" t="s">
        <v>9409</v>
      </c>
      <c r="K24" s="197" t="s">
        <v>9410</v>
      </c>
      <c r="L24" s="197" t="s">
        <v>9411</v>
      </c>
      <c r="M24" s="197" t="s">
        <v>9412</v>
      </c>
    </row>
    <row r="25" spans="1:13" ht="120" customHeight="1" x14ac:dyDescent="0.3">
      <c r="A25" s="198" t="s">
        <v>114</v>
      </c>
      <c r="B25" s="198">
        <v>2023</v>
      </c>
      <c r="C25" s="198" t="s">
        <v>196</v>
      </c>
      <c r="D25" s="201">
        <f>'27 Published'!D423</f>
        <v>7.0000000000000007E-2</v>
      </c>
      <c r="E25" s="201">
        <f>'27 Calculations'!H593</f>
        <v>0.49031202866080159</v>
      </c>
      <c r="F25" s="201">
        <f>'27 Calculations'!E593</f>
        <v>68069.282000000007</v>
      </c>
      <c r="G25" s="201">
        <f>'27 Calculations'!F593</f>
        <v>138828.497</v>
      </c>
      <c r="H25" s="201">
        <f>'27 Calculations'!G593</f>
        <v>0.49031202866080159</v>
      </c>
      <c r="I25" s="198" t="s">
        <v>9404</v>
      </c>
      <c r="J25" s="198" t="s">
        <v>9409</v>
      </c>
      <c r="K25" s="198" t="s">
        <v>9410</v>
      </c>
      <c r="L25" s="198" t="s">
        <v>9413</v>
      </c>
      <c r="M25" s="198" t="s">
        <v>9412</v>
      </c>
    </row>
    <row r="26" spans="1:13" ht="120" customHeight="1" x14ac:dyDescent="0.3">
      <c r="A26" s="197" t="s">
        <v>114</v>
      </c>
      <c r="B26" s="197">
        <v>2024</v>
      </c>
      <c r="C26" s="197" t="s">
        <v>196</v>
      </c>
      <c r="D26" s="200">
        <f>'27 Published'!D424</f>
        <v>7.0000000000000007E-2</v>
      </c>
      <c r="E26" s="200">
        <f>'27 Calculations'!H594</f>
        <v>0.54204979765850125</v>
      </c>
      <c r="F26" s="200">
        <f>'27 Calculations'!E594</f>
        <v>80026.225999999995</v>
      </c>
      <c r="G26" s="200">
        <f>'27 Calculations'!F594</f>
        <v>147636.299</v>
      </c>
      <c r="H26" s="200">
        <f>'27 Calculations'!G594</f>
        <v>0.54204979765850125</v>
      </c>
      <c r="I26" s="197" t="s">
        <v>9404</v>
      </c>
      <c r="J26" s="197" t="s">
        <v>9409</v>
      </c>
      <c r="K26" s="197" t="s">
        <v>9410</v>
      </c>
      <c r="L26" s="197" t="s">
        <v>9414</v>
      </c>
      <c r="M26" s="197" t="s">
        <v>9412</v>
      </c>
    </row>
    <row r="27" spans="1:13" ht="120" customHeight="1" x14ac:dyDescent="0.3">
      <c r="A27" s="198" t="s">
        <v>114</v>
      </c>
      <c r="B27" s="198">
        <v>2025</v>
      </c>
      <c r="C27" s="198" t="s">
        <v>196</v>
      </c>
      <c r="D27" s="201">
        <f>'27 Published'!D425</f>
        <v>0.08</v>
      </c>
      <c r="E27" s="201">
        <f>'27 Calculations'!H595</f>
        <v>0.55305556508680442</v>
      </c>
      <c r="F27" s="201">
        <f>'27 Calculations'!E595</f>
        <v>88956.327999999994</v>
      </c>
      <c r="G27" s="201">
        <f>'27 Calculations'!F595</f>
        <v>160845.19100000002</v>
      </c>
      <c r="H27" s="201">
        <f>'27 Calculations'!G595</f>
        <v>0.55305556508680442</v>
      </c>
      <c r="I27" s="198" t="s">
        <v>9404</v>
      </c>
      <c r="J27" s="198" t="s">
        <v>9409</v>
      </c>
      <c r="K27" s="198" t="s">
        <v>9410</v>
      </c>
      <c r="L27" s="198" t="s">
        <v>9415</v>
      </c>
      <c r="M27" s="198" t="s">
        <v>9412</v>
      </c>
    </row>
    <row r="28" spans="1:13" ht="120" customHeight="1" x14ac:dyDescent="0.3">
      <c r="A28" s="197" t="s">
        <v>114</v>
      </c>
      <c r="B28" s="197">
        <v>2022</v>
      </c>
      <c r="C28" s="197" t="s">
        <v>199</v>
      </c>
      <c r="D28" s="200">
        <f>'27 Published'!D427</f>
        <v>0.16</v>
      </c>
      <c r="E28" s="200">
        <f>'27 Calculations'!H587</f>
        <v>0.73176601318978285</v>
      </c>
      <c r="F28" s="200">
        <f>'27 Calculations'!E587</f>
        <v>54243.118000000002</v>
      </c>
      <c r="G28" s="200">
        <f>'27 Calculations'!F587</f>
        <v>74126.315000000002</v>
      </c>
      <c r="H28" s="200">
        <f>'27 Calculations'!G587</f>
        <v>0.73176601318978285</v>
      </c>
      <c r="I28" s="197" t="s">
        <v>9404</v>
      </c>
      <c r="J28" s="197" t="s">
        <v>9416</v>
      </c>
      <c r="K28" s="197" t="s">
        <v>9410</v>
      </c>
      <c r="L28" s="197" t="s">
        <v>9417</v>
      </c>
      <c r="M28" s="197" t="s">
        <v>9412</v>
      </c>
    </row>
    <row r="29" spans="1:13" ht="120" customHeight="1" x14ac:dyDescent="0.3">
      <c r="A29" s="198" t="s">
        <v>114</v>
      </c>
      <c r="B29" s="198">
        <v>2023</v>
      </c>
      <c r="C29" s="198" t="s">
        <v>199</v>
      </c>
      <c r="D29" s="201">
        <f>'27 Published'!D428</f>
        <v>0.11</v>
      </c>
      <c r="E29" s="201">
        <f>'27 Calculations'!H588</f>
        <v>0.65184739301529204</v>
      </c>
      <c r="F29" s="201">
        <f>'27 Calculations'!E588</f>
        <v>68069.282000000007</v>
      </c>
      <c r="G29" s="201">
        <f>'27 Calculations'!F588</f>
        <v>104425.181</v>
      </c>
      <c r="H29" s="201">
        <f>'27 Calculations'!G588</f>
        <v>0.65184739301529204</v>
      </c>
      <c r="I29" s="198" t="s">
        <v>9404</v>
      </c>
      <c r="J29" s="198" t="s">
        <v>9416</v>
      </c>
      <c r="K29" s="198" t="s">
        <v>9410</v>
      </c>
      <c r="L29" s="198" t="s">
        <v>9418</v>
      </c>
      <c r="M29" s="198" t="s">
        <v>9412</v>
      </c>
    </row>
    <row r="30" spans="1:13" ht="120" customHeight="1" x14ac:dyDescent="0.3">
      <c r="A30" s="197" t="s">
        <v>114</v>
      </c>
      <c r="B30" s="197">
        <v>2024</v>
      </c>
      <c r="C30" s="197" t="s">
        <v>199</v>
      </c>
      <c r="D30" s="200">
        <f>'27 Published'!D429</f>
        <v>0.09</v>
      </c>
      <c r="E30" s="200">
        <f>'27 Calculations'!H589</f>
        <v>0.72196082222901214</v>
      </c>
      <c r="F30" s="200">
        <f>'27 Calculations'!E589</f>
        <v>80026.225999999995</v>
      </c>
      <c r="G30" s="200">
        <f>'27 Calculations'!F589</f>
        <v>110845.663</v>
      </c>
      <c r="H30" s="200">
        <f>'27 Calculations'!G589</f>
        <v>0.72196082222901214</v>
      </c>
      <c r="I30" s="197" t="s">
        <v>9404</v>
      </c>
      <c r="J30" s="197" t="s">
        <v>9416</v>
      </c>
      <c r="K30" s="197" t="s">
        <v>9410</v>
      </c>
      <c r="L30" s="197" t="s">
        <v>9419</v>
      </c>
      <c r="M30" s="197" t="s">
        <v>9412</v>
      </c>
    </row>
    <row r="31" spans="1:13" ht="120" customHeight="1" x14ac:dyDescent="0.3">
      <c r="A31" s="198" t="s">
        <v>114</v>
      </c>
      <c r="B31" s="198">
        <v>2025</v>
      </c>
      <c r="C31" s="198" t="s">
        <v>199</v>
      </c>
      <c r="D31" s="201">
        <f>'27 Published'!D430</f>
        <v>0.12</v>
      </c>
      <c r="E31" s="201">
        <f>'27 Calculations'!H590</f>
        <v>0.81180021491144161</v>
      </c>
      <c r="F31" s="201">
        <f>'27 Calculations'!E590</f>
        <v>88956.327999999994</v>
      </c>
      <c r="G31" s="201">
        <f>'27 Calculations'!F590</f>
        <v>109579.08900000001</v>
      </c>
      <c r="H31" s="201">
        <f>'27 Calculations'!G590</f>
        <v>0.81180021491144161</v>
      </c>
      <c r="I31" s="198" t="s">
        <v>9404</v>
      </c>
      <c r="J31" s="198" t="s">
        <v>9416</v>
      </c>
      <c r="K31" s="198" t="s">
        <v>9410</v>
      </c>
      <c r="L31" s="198" t="s">
        <v>9420</v>
      </c>
      <c r="M31" s="198" t="s">
        <v>9412</v>
      </c>
    </row>
    <row r="32" spans="1:13" ht="30" customHeight="1" x14ac:dyDescent="0.3">
      <c r="A32" s="196"/>
      <c r="B32" s="196"/>
      <c r="C32" s="196"/>
      <c r="D32" s="196"/>
      <c r="E32" s="196"/>
      <c r="F32" s="196"/>
      <c r="G32" s="196"/>
      <c r="H32" s="196"/>
      <c r="I32" s="196"/>
      <c r="J32" s="196"/>
      <c r="K32" s="196"/>
      <c r="L32" s="196"/>
      <c r="M32" s="196"/>
    </row>
    <row r="33" spans="1:13" ht="30" customHeight="1" x14ac:dyDescent="0.3">
      <c r="A33" s="196"/>
      <c r="B33" s="196"/>
      <c r="C33" s="196"/>
      <c r="D33" s="196"/>
      <c r="E33" s="196"/>
      <c r="F33" s="196"/>
      <c r="G33" s="196"/>
      <c r="H33" s="196"/>
      <c r="I33" s="196"/>
      <c r="J33" s="196"/>
      <c r="K33" s="196"/>
      <c r="L33" s="196"/>
      <c r="M33" s="196"/>
    </row>
    <row r="34" spans="1:13" ht="30" customHeight="1" x14ac:dyDescent="0.3">
      <c r="A34" s="196"/>
      <c r="B34" s="196"/>
      <c r="C34" s="196"/>
      <c r="D34" s="196"/>
      <c r="E34" s="196"/>
      <c r="F34" s="196"/>
      <c r="G34" s="196"/>
      <c r="H34" s="196"/>
      <c r="I34" s="196"/>
      <c r="J34" s="196"/>
      <c r="K34" s="196"/>
      <c r="L34" s="196"/>
      <c r="M34" s="196"/>
    </row>
  </sheetData>
  <mergeCells count="12">
    <mergeCell ref="B7:I7"/>
    <mergeCell ref="J7:M7"/>
    <mergeCell ref="B8:I8"/>
    <mergeCell ref="J8:M8"/>
    <mergeCell ref="B9:I9"/>
    <mergeCell ref="J9:M9"/>
    <mergeCell ref="A1:M1"/>
    <mergeCell ref="A3:M3"/>
    <mergeCell ref="B5:I5"/>
    <mergeCell ref="J5:M5"/>
    <mergeCell ref="B6:I6"/>
    <mergeCell ref="J6:M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Overview &amp; Methodology</vt:lpstr>
      <vt:lpstr>Published Ratio Reconciliation</vt:lpstr>
      <vt:lpstr>KOHC</vt:lpstr>
      <vt:lpstr>LUCK</vt:lpstr>
      <vt:lpstr>DGKC</vt:lpstr>
      <vt:lpstr>MLCF</vt:lpstr>
      <vt:lpstr>FCCL</vt:lpstr>
      <vt:lpstr>Industry Comparison</vt:lpstr>
      <vt:lpstr>Sources &amp; Validation</vt:lpstr>
      <vt:lpstr>PSX Prices</vt:lpstr>
      <vt:lpstr>Share Basis</vt:lpstr>
      <vt:lpstr>Corporate Actions</vt:lpstr>
      <vt:lpstr>Price Evidence</vt:lpstr>
      <vt:lpstr>Ratio Verification</vt:lpstr>
      <vt:lpstr>Input Review</vt:lpstr>
      <vt:lpstr>Opening Balances</vt:lpstr>
      <vt:lpstr>Investigation Log</vt:lpstr>
      <vt:lpstr>Full Audit Summary</vt:lpstr>
      <vt:lpstr>PSX Price Probe</vt:lpstr>
      <vt:lpstr>Forensic 63</vt:lpstr>
      <vt:lpstr>Forensic Tests</vt:lpstr>
      <vt:lpstr>Forensic Inputs</vt:lpstr>
      <vt:lpstr>Forensic Prices</vt:lpstr>
      <vt:lpstr>Forensic Identities</vt:lpstr>
      <vt:lpstr>27 Scope</vt:lpstr>
      <vt:lpstr>27 Calculations</vt:lpstr>
      <vt:lpstr>27 Industry</vt:lpstr>
      <vt:lpstr>27 Published</vt:lpstr>
      <vt:lpstr>Balance Practices</vt:lpstr>
      <vt:lpstr>EV Inputs</vt:lpstr>
      <vt:lpstr>Archived Methodology</vt:lpstr>
      <vt:lpstr>Reconciliation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Raahin Tajuddin</cp:lastModifiedBy>
  <dcterms:modified xsi:type="dcterms:W3CDTF">2026-10-23T12:58:12Z</dcterms:modified>
</cp:coreProperties>
</file>